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eter\Desktop\"/>
    </mc:Choice>
  </mc:AlternateContent>
  <bookViews>
    <workbookView xWindow="0" yWindow="0" windowWidth="21570" windowHeight="7785" xr2:uid="{00000000-000D-0000-FFFF-FFFF00000000}"/>
  </bookViews>
  <sheets>
    <sheet name="Sheet1" sheetId="1" r:id="rId1"/>
    <sheet name="Sheet2" sheetId="2" r:id="rId2"/>
    <sheet name="Sheet3" sheetId="3" r:id="rId3"/>
    <sheet name="DV-IDENTITY-0" sheetId="4" state="veryHidden" r:id="rId4"/>
  </sheets>
  <calcPr calcId="171027"/>
</workbook>
</file>

<file path=xl/calcChain.xml><?xml version="1.0" encoding="utf-8"?>
<calcChain xmlns="http://schemas.openxmlformats.org/spreadsheetml/2006/main">
  <c r="A271" i="4" l="1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AB271" i="4"/>
  <c r="AC271" i="4"/>
  <c r="AD271" i="4"/>
  <c r="AE271" i="4"/>
  <c r="AF271" i="4"/>
  <c r="AG271" i="4"/>
  <c r="AH271" i="4"/>
  <c r="AI271" i="4"/>
  <c r="AJ271" i="4"/>
  <c r="AK271" i="4"/>
  <c r="AL271" i="4"/>
  <c r="AM271" i="4"/>
  <c r="AN271" i="4"/>
  <c r="AO271" i="4"/>
  <c r="AP271" i="4"/>
  <c r="AQ271" i="4"/>
  <c r="AR271" i="4"/>
  <c r="AS271" i="4"/>
  <c r="AT271" i="4"/>
  <c r="AU271" i="4"/>
  <c r="AV271" i="4"/>
  <c r="AW271" i="4"/>
  <c r="AX271" i="4"/>
  <c r="AY271" i="4"/>
  <c r="AZ271" i="4"/>
  <c r="BA271" i="4"/>
  <c r="BB271" i="4"/>
  <c r="BC271" i="4"/>
  <c r="BD271" i="4"/>
  <c r="BE271" i="4"/>
  <c r="BF271" i="4"/>
  <c r="BG271" i="4"/>
  <c r="BH271" i="4"/>
  <c r="BI271" i="4"/>
  <c r="BJ271" i="4"/>
  <c r="BK271" i="4"/>
  <c r="BL271" i="4"/>
  <c r="BM271" i="4"/>
  <c r="BN271" i="4"/>
  <c r="BO271" i="4"/>
  <c r="BP271" i="4"/>
  <c r="BQ271" i="4"/>
  <c r="BR271" i="4"/>
  <c r="BS271" i="4"/>
  <c r="BT271" i="4"/>
  <c r="BU271" i="4"/>
  <c r="BV271" i="4"/>
  <c r="BW271" i="4"/>
  <c r="BX271" i="4"/>
  <c r="BY271" i="4"/>
  <c r="BZ271" i="4"/>
  <c r="CA271" i="4"/>
  <c r="CB271" i="4"/>
  <c r="CC271" i="4"/>
  <c r="CD271" i="4"/>
  <c r="CE271" i="4"/>
  <c r="CF271" i="4"/>
  <c r="CG271" i="4"/>
  <c r="CH271" i="4"/>
  <c r="CI271" i="4"/>
  <c r="CJ271" i="4"/>
  <c r="CK271" i="4"/>
  <c r="CL271" i="4"/>
  <c r="CM271" i="4"/>
  <c r="CN271" i="4"/>
  <c r="CO271" i="4"/>
  <c r="CP271" i="4"/>
  <c r="CQ271" i="4"/>
  <c r="CR271" i="4"/>
  <c r="CS271" i="4"/>
  <c r="CT271" i="4"/>
  <c r="CU271" i="4"/>
  <c r="CV271" i="4"/>
  <c r="CW271" i="4"/>
  <c r="CX271" i="4"/>
  <c r="CY271" i="4"/>
  <c r="CZ271" i="4"/>
  <c r="DA271" i="4"/>
  <c r="DB271" i="4"/>
  <c r="DC271" i="4"/>
  <c r="DD271" i="4"/>
  <c r="DE271" i="4"/>
  <c r="DF271" i="4"/>
  <c r="DG271" i="4"/>
  <c r="DH271" i="4"/>
  <c r="DI271" i="4"/>
  <c r="DJ271" i="4"/>
  <c r="DK271" i="4"/>
  <c r="DL271" i="4"/>
  <c r="DM271" i="4"/>
  <c r="DN271" i="4"/>
  <c r="DO271" i="4"/>
  <c r="DP271" i="4"/>
  <c r="DQ271" i="4"/>
  <c r="DR271" i="4"/>
  <c r="DS271" i="4"/>
  <c r="DT271" i="4"/>
  <c r="DU271" i="4"/>
  <c r="DV271" i="4"/>
  <c r="DW271" i="4"/>
  <c r="DX271" i="4"/>
  <c r="DY271" i="4"/>
  <c r="DZ271" i="4"/>
  <c r="EA271" i="4"/>
  <c r="EB271" i="4"/>
  <c r="EC271" i="4"/>
  <c r="ED271" i="4"/>
  <c r="A270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AB270" i="4"/>
  <c r="AC270" i="4"/>
  <c r="AD270" i="4"/>
  <c r="AE270" i="4"/>
  <c r="AF270" i="4"/>
  <c r="AG270" i="4"/>
  <c r="AH270" i="4"/>
  <c r="AI270" i="4"/>
  <c r="AJ270" i="4"/>
  <c r="AK270" i="4"/>
  <c r="AL270" i="4"/>
  <c r="AM270" i="4"/>
  <c r="AN270" i="4"/>
  <c r="AO270" i="4"/>
  <c r="AP270" i="4"/>
  <c r="AQ270" i="4"/>
  <c r="AR270" i="4"/>
  <c r="AS270" i="4"/>
  <c r="AT270" i="4"/>
  <c r="AU270" i="4"/>
  <c r="AV270" i="4"/>
  <c r="AW270" i="4"/>
  <c r="AX270" i="4"/>
  <c r="AY270" i="4"/>
  <c r="AZ270" i="4"/>
  <c r="BA270" i="4"/>
  <c r="BB270" i="4"/>
  <c r="BC270" i="4"/>
  <c r="BD270" i="4"/>
  <c r="BE270" i="4"/>
  <c r="BF270" i="4"/>
  <c r="BG270" i="4"/>
  <c r="BH270" i="4"/>
  <c r="BI270" i="4"/>
  <c r="BJ270" i="4"/>
  <c r="BK270" i="4"/>
  <c r="BL270" i="4"/>
  <c r="BM270" i="4"/>
  <c r="BN270" i="4"/>
  <c r="BO270" i="4"/>
  <c r="BP270" i="4"/>
  <c r="BQ270" i="4"/>
  <c r="BR270" i="4"/>
  <c r="BS270" i="4"/>
  <c r="BT270" i="4"/>
  <c r="BU270" i="4"/>
  <c r="BV270" i="4"/>
  <c r="BW270" i="4"/>
  <c r="BX270" i="4"/>
  <c r="BY270" i="4"/>
  <c r="BZ270" i="4"/>
  <c r="CA270" i="4"/>
  <c r="CB270" i="4"/>
  <c r="CC270" i="4"/>
  <c r="CD270" i="4"/>
  <c r="CE270" i="4"/>
  <c r="CF270" i="4"/>
  <c r="CG270" i="4"/>
  <c r="CH270" i="4"/>
  <c r="CI270" i="4"/>
  <c r="CJ270" i="4"/>
  <c r="CK270" i="4"/>
  <c r="CL270" i="4"/>
  <c r="CM270" i="4"/>
  <c r="CN270" i="4"/>
  <c r="CO270" i="4"/>
  <c r="CP270" i="4"/>
  <c r="CQ270" i="4"/>
  <c r="CR270" i="4"/>
  <c r="CS270" i="4"/>
  <c r="CT270" i="4"/>
  <c r="CU270" i="4"/>
  <c r="CV270" i="4"/>
  <c r="CW270" i="4"/>
  <c r="CX270" i="4"/>
  <c r="CY270" i="4"/>
  <c r="CZ270" i="4"/>
  <c r="DA270" i="4"/>
  <c r="DB270" i="4"/>
  <c r="DC270" i="4"/>
  <c r="DD270" i="4"/>
  <c r="DE270" i="4"/>
  <c r="DF270" i="4"/>
  <c r="DG270" i="4"/>
  <c r="DH270" i="4"/>
  <c r="DI270" i="4"/>
  <c r="DJ270" i="4"/>
  <c r="DK270" i="4"/>
  <c r="DL270" i="4"/>
  <c r="DM270" i="4"/>
  <c r="DN270" i="4"/>
  <c r="DO270" i="4"/>
  <c r="DP270" i="4"/>
  <c r="DQ270" i="4"/>
  <c r="DR270" i="4"/>
  <c r="DS270" i="4"/>
  <c r="DT270" i="4"/>
  <c r="DU270" i="4"/>
  <c r="DV270" i="4"/>
  <c r="DW270" i="4"/>
  <c r="DX270" i="4"/>
  <c r="DY270" i="4"/>
  <c r="DZ270" i="4"/>
  <c r="EA270" i="4"/>
  <c r="EB270" i="4"/>
  <c r="EC270" i="4"/>
  <c r="ED270" i="4"/>
  <c r="EE270" i="4"/>
  <c r="EF270" i="4"/>
  <c r="EG270" i="4"/>
  <c r="EH270" i="4"/>
  <c r="EI270" i="4"/>
  <c r="EJ270" i="4"/>
  <c r="EK270" i="4"/>
  <c r="EL270" i="4"/>
  <c r="EM270" i="4"/>
  <c r="EN270" i="4"/>
  <c r="EO270" i="4"/>
  <c r="EP270" i="4"/>
  <c r="EQ270" i="4"/>
  <c r="ER270" i="4"/>
  <c r="ES270" i="4"/>
  <c r="ET270" i="4"/>
  <c r="EU270" i="4"/>
  <c r="EV270" i="4"/>
  <c r="EW270" i="4"/>
  <c r="EX270" i="4"/>
  <c r="EY270" i="4"/>
  <c r="EZ270" i="4"/>
  <c r="FA270" i="4"/>
  <c r="FB270" i="4"/>
  <c r="FC270" i="4"/>
  <c r="FD270" i="4"/>
  <c r="FE270" i="4"/>
  <c r="FF270" i="4"/>
  <c r="FG270" i="4"/>
  <c r="FH270" i="4"/>
  <c r="FI270" i="4"/>
  <c r="FJ270" i="4"/>
  <c r="FK270" i="4"/>
  <c r="FL270" i="4"/>
  <c r="FM270" i="4"/>
  <c r="FN270" i="4"/>
  <c r="FO270" i="4"/>
  <c r="FP270" i="4"/>
  <c r="FQ270" i="4"/>
  <c r="FR270" i="4"/>
  <c r="FS270" i="4"/>
  <c r="FT270" i="4"/>
  <c r="FU270" i="4"/>
  <c r="FV270" i="4"/>
  <c r="FW270" i="4"/>
  <c r="FX270" i="4"/>
  <c r="FY270" i="4"/>
  <c r="FZ270" i="4"/>
  <c r="GA270" i="4"/>
  <c r="GB270" i="4"/>
  <c r="GC270" i="4"/>
  <c r="GD270" i="4"/>
  <c r="GE270" i="4"/>
  <c r="GF270" i="4"/>
  <c r="GG270" i="4"/>
  <c r="GH270" i="4"/>
  <c r="GI270" i="4"/>
  <c r="GJ270" i="4"/>
  <c r="GK270" i="4"/>
  <c r="GL270" i="4"/>
  <c r="GM270" i="4"/>
  <c r="GN270" i="4"/>
  <c r="GO270" i="4"/>
  <c r="GP270" i="4"/>
  <c r="GQ270" i="4"/>
  <c r="GR270" i="4"/>
  <c r="GS270" i="4"/>
  <c r="GT270" i="4"/>
  <c r="GU270" i="4"/>
  <c r="GV270" i="4"/>
  <c r="GW270" i="4"/>
  <c r="GX270" i="4"/>
  <c r="GY270" i="4"/>
  <c r="GZ270" i="4"/>
  <c r="HA270" i="4"/>
  <c r="HB270" i="4"/>
  <c r="HC270" i="4"/>
  <c r="HD270" i="4"/>
  <c r="HE270" i="4"/>
  <c r="HF270" i="4"/>
  <c r="HG270" i="4"/>
  <c r="HH270" i="4"/>
  <c r="HI270" i="4"/>
  <c r="HJ270" i="4"/>
  <c r="HK270" i="4"/>
  <c r="HL270" i="4"/>
  <c r="HM270" i="4"/>
  <c r="HN270" i="4"/>
  <c r="HO270" i="4"/>
  <c r="HP270" i="4"/>
  <c r="HQ270" i="4"/>
  <c r="HR270" i="4"/>
  <c r="HS270" i="4"/>
  <c r="HT270" i="4"/>
  <c r="HU270" i="4"/>
  <c r="HV270" i="4"/>
  <c r="HW270" i="4"/>
  <c r="HX270" i="4"/>
  <c r="HY270" i="4"/>
  <c r="HZ270" i="4"/>
  <c r="IA270" i="4"/>
  <c r="IB270" i="4"/>
  <c r="IC270" i="4"/>
  <c r="ID270" i="4"/>
  <c r="IE270" i="4"/>
  <c r="IF270" i="4"/>
  <c r="IG270" i="4"/>
  <c r="IH270" i="4"/>
  <c r="II270" i="4"/>
  <c r="IJ270" i="4"/>
  <c r="IK270" i="4"/>
  <c r="IL270" i="4"/>
  <c r="IM270" i="4"/>
  <c r="IN270" i="4"/>
  <c r="IO270" i="4"/>
  <c r="IP270" i="4"/>
  <c r="IQ270" i="4"/>
  <c r="IR270" i="4"/>
  <c r="IS270" i="4"/>
  <c r="IT270" i="4"/>
  <c r="IU270" i="4"/>
  <c r="IV270" i="4"/>
  <c r="A269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AB269" i="4"/>
  <c r="AC269" i="4"/>
  <c r="AD269" i="4"/>
  <c r="AE269" i="4"/>
  <c r="AF269" i="4"/>
  <c r="AG269" i="4"/>
  <c r="AH269" i="4"/>
  <c r="AI269" i="4"/>
  <c r="AJ269" i="4"/>
  <c r="AK269" i="4"/>
  <c r="AL269" i="4"/>
  <c r="AM269" i="4"/>
  <c r="AN269" i="4"/>
  <c r="AO269" i="4"/>
  <c r="AP269" i="4"/>
  <c r="AQ269" i="4"/>
  <c r="AR269" i="4"/>
  <c r="AS269" i="4"/>
  <c r="AT269" i="4"/>
  <c r="AU269" i="4"/>
  <c r="AV269" i="4"/>
  <c r="AW269" i="4"/>
  <c r="AX269" i="4"/>
  <c r="AY269" i="4"/>
  <c r="AZ269" i="4"/>
  <c r="BA269" i="4"/>
  <c r="BB269" i="4"/>
  <c r="BC269" i="4"/>
  <c r="BD269" i="4"/>
  <c r="BE269" i="4"/>
  <c r="BF269" i="4"/>
  <c r="BG269" i="4"/>
  <c r="BH269" i="4"/>
  <c r="BI269" i="4"/>
  <c r="BJ269" i="4"/>
  <c r="BK269" i="4"/>
  <c r="BL269" i="4"/>
  <c r="BM269" i="4"/>
  <c r="BN269" i="4"/>
  <c r="BO269" i="4"/>
  <c r="BP269" i="4"/>
  <c r="BQ269" i="4"/>
  <c r="BR269" i="4"/>
  <c r="BS269" i="4"/>
  <c r="BT269" i="4"/>
  <c r="BU269" i="4"/>
  <c r="BV269" i="4"/>
  <c r="BW269" i="4"/>
  <c r="BX269" i="4"/>
  <c r="BY269" i="4"/>
  <c r="BZ269" i="4"/>
  <c r="CA269" i="4"/>
  <c r="CB269" i="4"/>
  <c r="CC269" i="4"/>
  <c r="CD269" i="4"/>
  <c r="CE269" i="4"/>
  <c r="CF269" i="4"/>
  <c r="CG269" i="4"/>
  <c r="CH269" i="4"/>
  <c r="CI269" i="4"/>
  <c r="CJ269" i="4"/>
  <c r="CK269" i="4"/>
  <c r="CL269" i="4"/>
  <c r="CM269" i="4"/>
  <c r="CN269" i="4"/>
  <c r="CO269" i="4"/>
  <c r="CP269" i="4"/>
  <c r="CQ269" i="4"/>
  <c r="CR269" i="4"/>
  <c r="CS269" i="4"/>
  <c r="CT269" i="4"/>
  <c r="CU269" i="4"/>
  <c r="CV269" i="4"/>
  <c r="CW269" i="4"/>
  <c r="CX269" i="4"/>
  <c r="CY269" i="4"/>
  <c r="CZ269" i="4"/>
  <c r="DA269" i="4"/>
  <c r="DB269" i="4"/>
  <c r="DC269" i="4"/>
  <c r="DD269" i="4"/>
  <c r="DE269" i="4"/>
  <c r="DF269" i="4"/>
  <c r="DG269" i="4"/>
  <c r="DH269" i="4"/>
  <c r="DI269" i="4"/>
  <c r="DJ269" i="4"/>
  <c r="DK269" i="4"/>
  <c r="DL269" i="4"/>
  <c r="DM269" i="4"/>
  <c r="DN269" i="4"/>
  <c r="DO269" i="4"/>
  <c r="DP269" i="4"/>
  <c r="DQ269" i="4"/>
  <c r="DR269" i="4"/>
  <c r="DS269" i="4"/>
  <c r="DT269" i="4"/>
  <c r="DU269" i="4"/>
  <c r="DV269" i="4"/>
  <c r="DW269" i="4"/>
  <c r="DX269" i="4"/>
  <c r="DY269" i="4"/>
  <c r="DZ269" i="4"/>
  <c r="EA269" i="4"/>
  <c r="EB269" i="4"/>
  <c r="EC269" i="4"/>
  <c r="ED269" i="4"/>
  <c r="EE269" i="4"/>
  <c r="EF269" i="4"/>
  <c r="EG269" i="4"/>
  <c r="EH269" i="4"/>
  <c r="EI269" i="4"/>
  <c r="EJ269" i="4"/>
  <c r="EK269" i="4"/>
  <c r="EL269" i="4"/>
  <c r="EM269" i="4"/>
  <c r="EN269" i="4"/>
  <c r="EO269" i="4"/>
  <c r="EP269" i="4"/>
  <c r="EQ269" i="4"/>
  <c r="ER269" i="4"/>
  <c r="ES269" i="4"/>
  <c r="ET269" i="4"/>
  <c r="EU269" i="4"/>
  <c r="EV269" i="4"/>
  <c r="EW269" i="4"/>
  <c r="EX269" i="4"/>
  <c r="EY269" i="4"/>
  <c r="EZ269" i="4"/>
  <c r="FA269" i="4"/>
  <c r="FB269" i="4"/>
  <c r="FC269" i="4"/>
  <c r="FD269" i="4"/>
  <c r="FE269" i="4"/>
  <c r="FF269" i="4"/>
  <c r="FG269" i="4"/>
  <c r="FH269" i="4"/>
  <c r="FI269" i="4"/>
  <c r="FJ269" i="4"/>
  <c r="FK269" i="4"/>
  <c r="FL269" i="4"/>
  <c r="FM269" i="4"/>
  <c r="FN269" i="4"/>
  <c r="FO269" i="4"/>
  <c r="FP269" i="4"/>
  <c r="FQ269" i="4"/>
  <c r="FR269" i="4"/>
  <c r="FS269" i="4"/>
  <c r="FT269" i="4"/>
  <c r="FU269" i="4"/>
  <c r="FV269" i="4"/>
  <c r="FW269" i="4"/>
  <c r="FX269" i="4"/>
  <c r="FY269" i="4"/>
  <c r="FZ269" i="4"/>
  <c r="GA269" i="4"/>
  <c r="GB269" i="4"/>
  <c r="GC269" i="4"/>
  <c r="GD269" i="4"/>
  <c r="GE269" i="4"/>
  <c r="GF269" i="4"/>
  <c r="GG269" i="4"/>
  <c r="GH269" i="4"/>
  <c r="GI269" i="4"/>
  <c r="GJ269" i="4"/>
  <c r="GK269" i="4"/>
  <c r="GL269" i="4"/>
  <c r="GM269" i="4"/>
  <c r="GN269" i="4"/>
  <c r="GO269" i="4"/>
  <c r="GP269" i="4"/>
  <c r="GQ269" i="4"/>
  <c r="GR269" i="4"/>
  <c r="GS269" i="4"/>
  <c r="GT269" i="4"/>
  <c r="GU269" i="4"/>
  <c r="GV269" i="4"/>
  <c r="GW269" i="4"/>
  <c r="GX269" i="4"/>
  <c r="GY269" i="4"/>
  <c r="GZ269" i="4"/>
  <c r="HA269" i="4"/>
  <c r="HB269" i="4"/>
  <c r="HC269" i="4"/>
  <c r="HD269" i="4"/>
  <c r="HE269" i="4"/>
  <c r="HF269" i="4"/>
  <c r="HG269" i="4"/>
  <c r="HH269" i="4"/>
  <c r="HI269" i="4"/>
  <c r="HJ269" i="4"/>
  <c r="HK269" i="4"/>
  <c r="HL269" i="4"/>
  <c r="HM269" i="4"/>
  <c r="HN269" i="4"/>
  <c r="HO269" i="4"/>
  <c r="HP269" i="4"/>
  <c r="HQ269" i="4"/>
  <c r="HR269" i="4"/>
  <c r="HS269" i="4"/>
  <c r="HT269" i="4"/>
  <c r="HU269" i="4"/>
  <c r="HV269" i="4"/>
  <c r="HW269" i="4"/>
  <c r="HX269" i="4"/>
  <c r="HY269" i="4"/>
  <c r="HZ269" i="4"/>
  <c r="IA269" i="4"/>
  <c r="IB269" i="4"/>
  <c r="IC269" i="4"/>
  <c r="ID269" i="4"/>
  <c r="IE269" i="4"/>
  <c r="IF269" i="4"/>
  <c r="IG269" i="4"/>
  <c r="IH269" i="4"/>
  <c r="II269" i="4"/>
  <c r="IJ269" i="4"/>
  <c r="IK269" i="4"/>
  <c r="IL269" i="4"/>
  <c r="IM269" i="4"/>
  <c r="IN269" i="4"/>
  <c r="IO269" i="4"/>
  <c r="IP269" i="4"/>
  <c r="IQ269" i="4"/>
  <c r="IR269" i="4"/>
  <c r="IS269" i="4"/>
  <c r="IT269" i="4"/>
  <c r="IU269" i="4"/>
  <c r="IV269" i="4"/>
  <c r="A268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AB268" i="4"/>
  <c r="AC268" i="4"/>
  <c r="AD268" i="4"/>
  <c r="AE268" i="4"/>
  <c r="AF268" i="4"/>
  <c r="AG268" i="4"/>
  <c r="AH268" i="4"/>
  <c r="AI268" i="4"/>
  <c r="AJ268" i="4"/>
  <c r="AK268" i="4"/>
  <c r="AL268" i="4"/>
  <c r="AM268" i="4"/>
  <c r="AN268" i="4"/>
  <c r="AO268" i="4"/>
  <c r="AP268" i="4"/>
  <c r="AQ268" i="4"/>
  <c r="AR268" i="4"/>
  <c r="AS268" i="4"/>
  <c r="AT268" i="4"/>
  <c r="AU268" i="4"/>
  <c r="AV268" i="4"/>
  <c r="AW268" i="4"/>
  <c r="AX268" i="4"/>
  <c r="AY268" i="4"/>
  <c r="AZ268" i="4"/>
  <c r="BA268" i="4"/>
  <c r="BB268" i="4"/>
  <c r="BC268" i="4"/>
  <c r="BD268" i="4"/>
  <c r="BE268" i="4"/>
  <c r="BF268" i="4"/>
  <c r="BG268" i="4"/>
  <c r="BH268" i="4"/>
  <c r="BI268" i="4"/>
  <c r="BJ268" i="4"/>
  <c r="BK268" i="4"/>
  <c r="BL268" i="4"/>
  <c r="BM268" i="4"/>
  <c r="BN268" i="4"/>
  <c r="BO268" i="4"/>
  <c r="BP268" i="4"/>
  <c r="BQ268" i="4"/>
  <c r="BR268" i="4"/>
  <c r="BS268" i="4"/>
  <c r="BT268" i="4"/>
  <c r="BU268" i="4"/>
  <c r="BV268" i="4"/>
  <c r="BW268" i="4"/>
  <c r="BX268" i="4"/>
  <c r="BY268" i="4"/>
  <c r="BZ268" i="4"/>
  <c r="CA268" i="4"/>
  <c r="CB268" i="4"/>
  <c r="CC268" i="4"/>
  <c r="CD268" i="4"/>
  <c r="CE268" i="4"/>
  <c r="CF268" i="4"/>
  <c r="CG268" i="4"/>
  <c r="CH268" i="4"/>
  <c r="CI268" i="4"/>
  <c r="CJ268" i="4"/>
  <c r="CK268" i="4"/>
  <c r="CL268" i="4"/>
  <c r="CM268" i="4"/>
  <c r="CN268" i="4"/>
  <c r="CO268" i="4"/>
  <c r="CP268" i="4"/>
  <c r="CQ268" i="4"/>
  <c r="CR268" i="4"/>
  <c r="CS268" i="4"/>
  <c r="CT268" i="4"/>
  <c r="CU268" i="4"/>
  <c r="CV268" i="4"/>
  <c r="CW268" i="4"/>
  <c r="CX268" i="4"/>
  <c r="CY268" i="4"/>
  <c r="CZ268" i="4"/>
  <c r="DA268" i="4"/>
  <c r="DB268" i="4"/>
  <c r="DC268" i="4"/>
  <c r="DD268" i="4"/>
  <c r="DE268" i="4"/>
  <c r="DF268" i="4"/>
  <c r="DG268" i="4"/>
  <c r="DH268" i="4"/>
  <c r="DI268" i="4"/>
  <c r="DJ268" i="4"/>
  <c r="DK268" i="4"/>
  <c r="DL268" i="4"/>
  <c r="DM268" i="4"/>
  <c r="DN268" i="4"/>
  <c r="DO268" i="4"/>
  <c r="DP268" i="4"/>
  <c r="DQ268" i="4"/>
  <c r="DR268" i="4"/>
  <c r="DS268" i="4"/>
  <c r="DT268" i="4"/>
  <c r="DU268" i="4"/>
  <c r="DV268" i="4"/>
  <c r="DW268" i="4"/>
  <c r="DX268" i="4"/>
  <c r="DY268" i="4"/>
  <c r="DZ268" i="4"/>
  <c r="EA268" i="4"/>
  <c r="EB268" i="4"/>
  <c r="EC268" i="4"/>
  <c r="ED268" i="4"/>
  <c r="EE268" i="4"/>
  <c r="EF268" i="4"/>
  <c r="EG268" i="4"/>
  <c r="EH268" i="4"/>
  <c r="EI268" i="4"/>
  <c r="EJ268" i="4"/>
  <c r="EK268" i="4"/>
  <c r="EL268" i="4"/>
  <c r="EM268" i="4"/>
  <c r="EN268" i="4"/>
  <c r="EO268" i="4"/>
  <c r="EP268" i="4"/>
  <c r="EQ268" i="4"/>
  <c r="ER268" i="4"/>
  <c r="ES268" i="4"/>
  <c r="ET268" i="4"/>
  <c r="EU268" i="4"/>
  <c r="EV268" i="4"/>
  <c r="EW268" i="4"/>
  <c r="EX268" i="4"/>
  <c r="EY268" i="4"/>
  <c r="EZ268" i="4"/>
  <c r="FA268" i="4"/>
  <c r="FB268" i="4"/>
  <c r="FC268" i="4"/>
  <c r="FD268" i="4"/>
  <c r="FE268" i="4"/>
  <c r="FF268" i="4"/>
  <c r="FG268" i="4"/>
  <c r="FH268" i="4"/>
  <c r="FI268" i="4"/>
  <c r="FJ268" i="4"/>
  <c r="FK268" i="4"/>
  <c r="FL268" i="4"/>
  <c r="FM268" i="4"/>
  <c r="FN268" i="4"/>
  <c r="FO268" i="4"/>
  <c r="FP268" i="4"/>
  <c r="FQ268" i="4"/>
  <c r="FR268" i="4"/>
  <c r="FS268" i="4"/>
  <c r="FT268" i="4"/>
  <c r="FU268" i="4"/>
  <c r="FV268" i="4"/>
  <c r="FW268" i="4"/>
  <c r="FX268" i="4"/>
  <c r="FY268" i="4"/>
  <c r="FZ268" i="4"/>
  <c r="GA268" i="4"/>
  <c r="GB268" i="4"/>
  <c r="GC268" i="4"/>
  <c r="GD268" i="4"/>
  <c r="GE268" i="4"/>
  <c r="GF268" i="4"/>
  <c r="GG268" i="4"/>
  <c r="GH268" i="4"/>
  <c r="GI268" i="4"/>
  <c r="GJ268" i="4"/>
  <c r="GK268" i="4"/>
  <c r="GL268" i="4"/>
  <c r="GM268" i="4"/>
  <c r="GN268" i="4"/>
  <c r="GO268" i="4"/>
  <c r="GP268" i="4"/>
  <c r="GQ268" i="4"/>
  <c r="GR268" i="4"/>
  <c r="GS268" i="4"/>
  <c r="GT268" i="4"/>
  <c r="GU268" i="4"/>
  <c r="GV268" i="4"/>
  <c r="GW268" i="4"/>
  <c r="GX268" i="4"/>
  <c r="GY268" i="4"/>
  <c r="GZ268" i="4"/>
  <c r="HA268" i="4"/>
  <c r="HB268" i="4"/>
  <c r="HC268" i="4"/>
  <c r="HD268" i="4"/>
  <c r="HE268" i="4"/>
  <c r="HF268" i="4"/>
  <c r="HG268" i="4"/>
  <c r="HH268" i="4"/>
  <c r="HI268" i="4"/>
  <c r="HJ268" i="4"/>
  <c r="HK268" i="4"/>
  <c r="HL268" i="4"/>
  <c r="HM268" i="4"/>
  <c r="HN268" i="4"/>
  <c r="HO268" i="4"/>
  <c r="HP268" i="4"/>
  <c r="HQ268" i="4"/>
  <c r="HR268" i="4"/>
  <c r="HS268" i="4"/>
  <c r="HT268" i="4"/>
  <c r="HU268" i="4"/>
  <c r="HV268" i="4"/>
  <c r="HW268" i="4"/>
  <c r="HX268" i="4"/>
  <c r="HY268" i="4"/>
  <c r="HZ268" i="4"/>
  <c r="IA268" i="4"/>
  <c r="IB268" i="4"/>
  <c r="IC268" i="4"/>
  <c r="ID268" i="4"/>
  <c r="IE268" i="4"/>
  <c r="IF268" i="4"/>
  <c r="IG268" i="4"/>
  <c r="IH268" i="4"/>
  <c r="II268" i="4"/>
  <c r="IJ268" i="4"/>
  <c r="IK268" i="4"/>
  <c r="IL268" i="4"/>
  <c r="IM268" i="4"/>
  <c r="IN268" i="4"/>
  <c r="IO268" i="4"/>
  <c r="IP268" i="4"/>
  <c r="IQ268" i="4"/>
  <c r="IR268" i="4"/>
  <c r="IS268" i="4"/>
  <c r="IT268" i="4"/>
  <c r="IU268" i="4"/>
  <c r="IV268" i="4"/>
  <c r="A267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AI267" i="4"/>
  <c r="AJ267" i="4"/>
  <c r="AK267" i="4"/>
  <c r="AL267" i="4"/>
  <c r="AM267" i="4"/>
  <c r="AN267" i="4"/>
  <c r="AO267" i="4"/>
  <c r="AP267" i="4"/>
  <c r="AQ267" i="4"/>
  <c r="AR267" i="4"/>
  <c r="AS267" i="4"/>
  <c r="AT267" i="4"/>
  <c r="AU267" i="4"/>
  <c r="AV267" i="4"/>
  <c r="AW267" i="4"/>
  <c r="AX267" i="4"/>
  <c r="AY267" i="4"/>
  <c r="AZ267" i="4"/>
  <c r="BA267" i="4"/>
  <c r="BB267" i="4"/>
  <c r="BC267" i="4"/>
  <c r="BD267" i="4"/>
  <c r="BE267" i="4"/>
  <c r="BF267" i="4"/>
  <c r="BG267" i="4"/>
  <c r="BH267" i="4"/>
  <c r="BI267" i="4"/>
  <c r="BJ267" i="4"/>
  <c r="BK267" i="4"/>
  <c r="BL267" i="4"/>
  <c r="BM267" i="4"/>
  <c r="BN267" i="4"/>
  <c r="BO267" i="4"/>
  <c r="BP267" i="4"/>
  <c r="BQ267" i="4"/>
  <c r="BR267" i="4"/>
  <c r="BS267" i="4"/>
  <c r="BT267" i="4"/>
  <c r="BU267" i="4"/>
  <c r="BV267" i="4"/>
  <c r="BW267" i="4"/>
  <c r="BX267" i="4"/>
  <c r="BY267" i="4"/>
  <c r="BZ267" i="4"/>
  <c r="CA267" i="4"/>
  <c r="CB267" i="4"/>
  <c r="CC267" i="4"/>
  <c r="CD267" i="4"/>
  <c r="CE267" i="4"/>
  <c r="CF267" i="4"/>
  <c r="CG267" i="4"/>
  <c r="CH267" i="4"/>
  <c r="CI267" i="4"/>
  <c r="CJ267" i="4"/>
  <c r="CK267" i="4"/>
  <c r="CL267" i="4"/>
  <c r="CM267" i="4"/>
  <c r="CN267" i="4"/>
  <c r="CO267" i="4"/>
  <c r="CP267" i="4"/>
  <c r="CQ267" i="4"/>
  <c r="CR267" i="4"/>
  <c r="CS267" i="4"/>
  <c r="CT267" i="4"/>
  <c r="CU267" i="4"/>
  <c r="CV267" i="4"/>
  <c r="CW267" i="4"/>
  <c r="CX267" i="4"/>
  <c r="CY267" i="4"/>
  <c r="CZ267" i="4"/>
  <c r="DA267" i="4"/>
  <c r="DB267" i="4"/>
  <c r="DC267" i="4"/>
  <c r="DD267" i="4"/>
  <c r="DE267" i="4"/>
  <c r="DF267" i="4"/>
  <c r="DG267" i="4"/>
  <c r="DH267" i="4"/>
  <c r="DI267" i="4"/>
  <c r="DJ267" i="4"/>
  <c r="DK267" i="4"/>
  <c r="DL267" i="4"/>
  <c r="DM267" i="4"/>
  <c r="DN267" i="4"/>
  <c r="DO267" i="4"/>
  <c r="DP267" i="4"/>
  <c r="DQ267" i="4"/>
  <c r="DR267" i="4"/>
  <c r="DS267" i="4"/>
  <c r="DT267" i="4"/>
  <c r="DU267" i="4"/>
  <c r="DV267" i="4"/>
  <c r="DW267" i="4"/>
  <c r="DX267" i="4"/>
  <c r="DY267" i="4"/>
  <c r="DZ267" i="4"/>
  <c r="EA267" i="4"/>
  <c r="EB267" i="4"/>
  <c r="EC267" i="4"/>
  <c r="ED267" i="4"/>
  <c r="EE267" i="4"/>
  <c r="EF267" i="4"/>
  <c r="EG267" i="4"/>
  <c r="EH267" i="4"/>
  <c r="EI267" i="4"/>
  <c r="EJ267" i="4"/>
  <c r="EK267" i="4"/>
  <c r="EL267" i="4"/>
  <c r="EM267" i="4"/>
  <c r="EN267" i="4"/>
  <c r="EO267" i="4"/>
  <c r="EP267" i="4"/>
  <c r="EQ267" i="4"/>
  <c r="ER267" i="4"/>
  <c r="ES267" i="4"/>
  <c r="ET267" i="4"/>
  <c r="EU267" i="4"/>
  <c r="EV267" i="4"/>
  <c r="EW267" i="4"/>
  <c r="EX267" i="4"/>
  <c r="EY267" i="4"/>
  <c r="EZ267" i="4"/>
  <c r="FA267" i="4"/>
  <c r="FB267" i="4"/>
  <c r="FC267" i="4"/>
  <c r="FD267" i="4"/>
  <c r="FE267" i="4"/>
  <c r="FF267" i="4"/>
  <c r="FG267" i="4"/>
  <c r="FH267" i="4"/>
  <c r="FI267" i="4"/>
  <c r="FJ267" i="4"/>
  <c r="FK267" i="4"/>
  <c r="FL267" i="4"/>
  <c r="FM267" i="4"/>
  <c r="FN267" i="4"/>
  <c r="FO267" i="4"/>
  <c r="FP267" i="4"/>
  <c r="FQ267" i="4"/>
  <c r="FR267" i="4"/>
  <c r="FS267" i="4"/>
  <c r="FT267" i="4"/>
  <c r="FU267" i="4"/>
  <c r="FV267" i="4"/>
  <c r="FW267" i="4"/>
  <c r="FX267" i="4"/>
  <c r="FY267" i="4"/>
  <c r="FZ267" i="4"/>
  <c r="GA267" i="4"/>
  <c r="GB267" i="4"/>
  <c r="GC267" i="4"/>
  <c r="GD267" i="4"/>
  <c r="GE267" i="4"/>
  <c r="GF267" i="4"/>
  <c r="GG267" i="4"/>
  <c r="GH267" i="4"/>
  <c r="GI267" i="4"/>
  <c r="GJ267" i="4"/>
  <c r="GK267" i="4"/>
  <c r="GL267" i="4"/>
  <c r="GM267" i="4"/>
  <c r="GN267" i="4"/>
  <c r="GO267" i="4"/>
  <c r="GP267" i="4"/>
  <c r="GQ267" i="4"/>
  <c r="GR267" i="4"/>
  <c r="GS267" i="4"/>
  <c r="GT267" i="4"/>
  <c r="GU267" i="4"/>
  <c r="GV267" i="4"/>
  <c r="GW267" i="4"/>
  <c r="GX267" i="4"/>
  <c r="GY267" i="4"/>
  <c r="GZ267" i="4"/>
  <c r="HA267" i="4"/>
  <c r="HB267" i="4"/>
  <c r="HC267" i="4"/>
  <c r="HD267" i="4"/>
  <c r="HE267" i="4"/>
  <c r="HF267" i="4"/>
  <c r="HG267" i="4"/>
  <c r="HH267" i="4"/>
  <c r="HI267" i="4"/>
  <c r="HJ267" i="4"/>
  <c r="HK267" i="4"/>
  <c r="HL267" i="4"/>
  <c r="HM267" i="4"/>
  <c r="HN267" i="4"/>
  <c r="HO267" i="4"/>
  <c r="HP267" i="4"/>
  <c r="HQ267" i="4"/>
  <c r="HR267" i="4"/>
  <c r="HS267" i="4"/>
  <c r="HT267" i="4"/>
  <c r="HU267" i="4"/>
  <c r="HV267" i="4"/>
  <c r="HW267" i="4"/>
  <c r="HX267" i="4"/>
  <c r="HY267" i="4"/>
  <c r="HZ267" i="4"/>
  <c r="IA267" i="4"/>
  <c r="IB267" i="4"/>
  <c r="IC267" i="4"/>
  <c r="ID267" i="4"/>
  <c r="IE267" i="4"/>
  <c r="IF267" i="4"/>
  <c r="IG267" i="4"/>
  <c r="IH267" i="4"/>
  <c r="II267" i="4"/>
  <c r="IJ267" i="4"/>
  <c r="IK267" i="4"/>
  <c r="IL267" i="4"/>
  <c r="IM267" i="4"/>
  <c r="IN267" i="4"/>
  <c r="IO267" i="4"/>
  <c r="IP267" i="4"/>
  <c r="IQ267" i="4"/>
  <c r="IR267" i="4"/>
  <c r="IS267" i="4"/>
  <c r="IT267" i="4"/>
  <c r="IU267" i="4"/>
  <c r="IV267" i="4"/>
  <c r="A266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AD266" i="4"/>
  <c r="AE266" i="4"/>
  <c r="AF266" i="4"/>
  <c r="AG266" i="4"/>
  <c r="AH266" i="4"/>
  <c r="AI266" i="4"/>
  <c r="AJ266" i="4"/>
  <c r="AK266" i="4"/>
  <c r="AL266" i="4"/>
  <c r="AM266" i="4"/>
  <c r="AN266" i="4"/>
  <c r="AO266" i="4"/>
  <c r="AP266" i="4"/>
  <c r="AQ266" i="4"/>
  <c r="AR266" i="4"/>
  <c r="AS266" i="4"/>
  <c r="AT266" i="4"/>
  <c r="AU266" i="4"/>
  <c r="AV266" i="4"/>
  <c r="AW266" i="4"/>
  <c r="AX266" i="4"/>
  <c r="AY266" i="4"/>
  <c r="AZ266" i="4"/>
  <c r="BA266" i="4"/>
  <c r="BB266" i="4"/>
  <c r="BC266" i="4"/>
  <c r="BD266" i="4"/>
  <c r="BE266" i="4"/>
  <c r="BF266" i="4"/>
  <c r="BG266" i="4"/>
  <c r="BH266" i="4"/>
  <c r="BI266" i="4"/>
  <c r="BJ266" i="4"/>
  <c r="BK266" i="4"/>
  <c r="BL266" i="4"/>
  <c r="BM266" i="4"/>
  <c r="BN266" i="4"/>
  <c r="BO266" i="4"/>
  <c r="BP266" i="4"/>
  <c r="BQ266" i="4"/>
  <c r="BR266" i="4"/>
  <c r="BS266" i="4"/>
  <c r="BT266" i="4"/>
  <c r="BU266" i="4"/>
  <c r="BV266" i="4"/>
  <c r="BW266" i="4"/>
  <c r="BX266" i="4"/>
  <c r="BY266" i="4"/>
  <c r="BZ266" i="4"/>
  <c r="CA266" i="4"/>
  <c r="CB266" i="4"/>
  <c r="CC266" i="4"/>
  <c r="CD266" i="4"/>
  <c r="CE266" i="4"/>
  <c r="CF266" i="4"/>
  <c r="CG266" i="4"/>
  <c r="CH266" i="4"/>
  <c r="CI266" i="4"/>
  <c r="CJ266" i="4"/>
  <c r="CK266" i="4"/>
  <c r="CL266" i="4"/>
  <c r="CM266" i="4"/>
  <c r="CN266" i="4"/>
  <c r="CO266" i="4"/>
  <c r="CP266" i="4"/>
  <c r="CQ266" i="4"/>
  <c r="CR266" i="4"/>
  <c r="CS266" i="4"/>
  <c r="CT266" i="4"/>
  <c r="CU266" i="4"/>
  <c r="CV266" i="4"/>
  <c r="CW266" i="4"/>
  <c r="CX266" i="4"/>
  <c r="CY266" i="4"/>
  <c r="CZ266" i="4"/>
  <c r="DA266" i="4"/>
  <c r="DB266" i="4"/>
  <c r="DC266" i="4"/>
  <c r="DD266" i="4"/>
  <c r="DE266" i="4"/>
  <c r="DF266" i="4"/>
  <c r="DG266" i="4"/>
  <c r="DH266" i="4"/>
  <c r="DI266" i="4"/>
  <c r="DJ266" i="4"/>
  <c r="DK266" i="4"/>
  <c r="DL266" i="4"/>
  <c r="DM266" i="4"/>
  <c r="DN266" i="4"/>
  <c r="DO266" i="4"/>
  <c r="DP266" i="4"/>
  <c r="DQ266" i="4"/>
  <c r="DR266" i="4"/>
  <c r="DS266" i="4"/>
  <c r="DT266" i="4"/>
  <c r="DU266" i="4"/>
  <c r="DV266" i="4"/>
  <c r="DW266" i="4"/>
  <c r="DX266" i="4"/>
  <c r="DY266" i="4"/>
  <c r="DZ266" i="4"/>
  <c r="EA266" i="4"/>
  <c r="EB266" i="4"/>
  <c r="EC266" i="4"/>
  <c r="ED266" i="4"/>
  <c r="EE266" i="4"/>
  <c r="EF266" i="4"/>
  <c r="EG266" i="4"/>
  <c r="EH266" i="4"/>
  <c r="EI266" i="4"/>
  <c r="EJ266" i="4"/>
  <c r="EK266" i="4"/>
  <c r="EL266" i="4"/>
  <c r="EM266" i="4"/>
  <c r="EN266" i="4"/>
  <c r="EO266" i="4"/>
  <c r="EP266" i="4"/>
  <c r="EQ266" i="4"/>
  <c r="ER266" i="4"/>
  <c r="ES266" i="4"/>
  <c r="ET266" i="4"/>
  <c r="EU266" i="4"/>
  <c r="EV266" i="4"/>
  <c r="EW266" i="4"/>
  <c r="EX266" i="4"/>
  <c r="EY266" i="4"/>
  <c r="EZ266" i="4"/>
  <c r="FA266" i="4"/>
  <c r="FB266" i="4"/>
  <c r="FC266" i="4"/>
  <c r="FD266" i="4"/>
  <c r="FE266" i="4"/>
  <c r="FF266" i="4"/>
  <c r="FG266" i="4"/>
  <c r="FH266" i="4"/>
  <c r="FI266" i="4"/>
  <c r="FJ266" i="4"/>
  <c r="FK266" i="4"/>
  <c r="FL266" i="4"/>
  <c r="FM266" i="4"/>
  <c r="FN266" i="4"/>
  <c r="FO266" i="4"/>
  <c r="FP266" i="4"/>
  <c r="FQ266" i="4"/>
  <c r="FR266" i="4"/>
  <c r="FS266" i="4"/>
  <c r="FT266" i="4"/>
  <c r="FU266" i="4"/>
  <c r="FV266" i="4"/>
  <c r="FW266" i="4"/>
  <c r="FX266" i="4"/>
  <c r="FY266" i="4"/>
  <c r="FZ266" i="4"/>
  <c r="GA266" i="4"/>
  <c r="GB266" i="4"/>
  <c r="GC266" i="4"/>
  <c r="GD266" i="4"/>
  <c r="GE266" i="4"/>
  <c r="GF266" i="4"/>
  <c r="GG266" i="4"/>
  <c r="GH266" i="4"/>
  <c r="GI266" i="4"/>
  <c r="GJ266" i="4"/>
  <c r="GK266" i="4"/>
  <c r="GL266" i="4"/>
  <c r="GM266" i="4"/>
  <c r="GN266" i="4"/>
  <c r="GO266" i="4"/>
  <c r="GP266" i="4"/>
  <c r="GQ266" i="4"/>
  <c r="GR266" i="4"/>
  <c r="GS266" i="4"/>
  <c r="GT266" i="4"/>
  <c r="GU266" i="4"/>
  <c r="GV266" i="4"/>
  <c r="GW266" i="4"/>
  <c r="GX266" i="4"/>
  <c r="GY266" i="4"/>
  <c r="GZ266" i="4"/>
  <c r="HA266" i="4"/>
  <c r="HB266" i="4"/>
  <c r="HC266" i="4"/>
  <c r="HD266" i="4"/>
  <c r="HE266" i="4"/>
  <c r="HF266" i="4"/>
  <c r="HG266" i="4"/>
  <c r="HH266" i="4"/>
  <c r="HI266" i="4"/>
  <c r="HJ266" i="4"/>
  <c r="HK266" i="4"/>
  <c r="HL266" i="4"/>
  <c r="HM266" i="4"/>
  <c r="HN266" i="4"/>
  <c r="HO266" i="4"/>
  <c r="HP266" i="4"/>
  <c r="HQ266" i="4"/>
  <c r="HR266" i="4"/>
  <c r="HS266" i="4"/>
  <c r="HT266" i="4"/>
  <c r="HU266" i="4"/>
  <c r="HV266" i="4"/>
  <c r="HW266" i="4"/>
  <c r="HX266" i="4"/>
  <c r="HY266" i="4"/>
  <c r="HZ266" i="4"/>
  <c r="IA266" i="4"/>
  <c r="IB266" i="4"/>
  <c r="IC266" i="4"/>
  <c r="ID266" i="4"/>
  <c r="IE266" i="4"/>
  <c r="IF266" i="4"/>
  <c r="IG266" i="4"/>
  <c r="IH266" i="4"/>
  <c r="II266" i="4"/>
  <c r="IJ266" i="4"/>
  <c r="IK266" i="4"/>
  <c r="IL266" i="4"/>
  <c r="IM266" i="4"/>
  <c r="IN266" i="4"/>
  <c r="IO266" i="4"/>
  <c r="IP266" i="4"/>
  <c r="IQ266" i="4"/>
  <c r="IR266" i="4"/>
  <c r="IS266" i="4"/>
  <c r="IT266" i="4"/>
  <c r="IU266" i="4"/>
  <c r="IV266" i="4"/>
  <c r="A265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AD265" i="4"/>
  <c r="AE265" i="4"/>
  <c r="AF265" i="4"/>
  <c r="AG265" i="4"/>
  <c r="AH265" i="4"/>
  <c r="AI265" i="4"/>
  <c r="AJ265" i="4"/>
  <c r="AK265" i="4"/>
  <c r="AL265" i="4"/>
  <c r="AM265" i="4"/>
  <c r="AN265" i="4"/>
  <c r="AO265" i="4"/>
  <c r="AP265" i="4"/>
  <c r="AQ265" i="4"/>
  <c r="AR265" i="4"/>
  <c r="AS265" i="4"/>
  <c r="AT265" i="4"/>
  <c r="AU265" i="4"/>
  <c r="AV265" i="4"/>
  <c r="AW265" i="4"/>
  <c r="AX265" i="4"/>
  <c r="AY265" i="4"/>
  <c r="AZ265" i="4"/>
  <c r="BA265" i="4"/>
  <c r="BB265" i="4"/>
  <c r="BC265" i="4"/>
  <c r="BD265" i="4"/>
  <c r="BE265" i="4"/>
  <c r="BF265" i="4"/>
  <c r="BG265" i="4"/>
  <c r="BH265" i="4"/>
  <c r="BI265" i="4"/>
  <c r="BJ265" i="4"/>
  <c r="BK265" i="4"/>
  <c r="BL265" i="4"/>
  <c r="BM265" i="4"/>
  <c r="BN265" i="4"/>
  <c r="BO265" i="4"/>
  <c r="BP265" i="4"/>
  <c r="BQ265" i="4"/>
  <c r="BR265" i="4"/>
  <c r="BS265" i="4"/>
  <c r="BT265" i="4"/>
  <c r="BU265" i="4"/>
  <c r="BV265" i="4"/>
  <c r="BW265" i="4"/>
  <c r="BX265" i="4"/>
  <c r="BY265" i="4"/>
  <c r="BZ265" i="4"/>
  <c r="CA265" i="4"/>
  <c r="CB265" i="4"/>
  <c r="CC265" i="4"/>
  <c r="CD265" i="4"/>
  <c r="CE265" i="4"/>
  <c r="CF265" i="4"/>
  <c r="CG265" i="4"/>
  <c r="CH265" i="4"/>
  <c r="CI265" i="4"/>
  <c r="CJ265" i="4"/>
  <c r="CK265" i="4"/>
  <c r="CL265" i="4"/>
  <c r="CM265" i="4"/>
  <c r="CN265" i="4"/>
  <c r="CO265" i="4"/>
  <c r="CP265" i="4"/>
  <c r="CQ265" i="4"/>
  <c r="CR265" i="4"/>
  <c r="CS265" i="4"/>
  <c r="CT265" i="4"/>
  <c r="CU265" i="4"/>
  <c r="CV265" i="4"/>
  <c r="CW265" i="4"/>
  <c r="CX265" i="4"/>
  <c r="CY265" i="4"/>
  <c r="CZ265" i="4"/>
  <c r="DA265" i="4"/>
  <c r="DB265" i="4"/>
  <c r="DC265" i="4"/>
  <c r="DD265" i="4"/>
  <c r="DE265" i="4"/>
  <c r="DF265" i="4"/>
  <c r="DG265" i="4"/>
  <c r="DH265" i="4"/>
  <c r="DI265" i="4"/>
  <c r="DJ265" i="4"/>
  <c r="DK265" i="4"/>
  <c r="DL265" i="4"/>
  <c r="DM265" i="4"/>
  <c r="DN265" i="4"/>
  <c r="DO265" i="4"/>
  <c r="DP265" i="4"/>
  <c r="DQ265" i="4"/>
  <c r="DR265" i="4"/>
  <c r="DS265" i="4"/>
  <c r="DT265" i="4"/>
  <c r="DU265" i="4"/>
  <c r="DV265" i="4"/>
  <c r="DW265" i="4"/>
  <c r="DX265" i="4"/>
  <c r="DY265" i="4"/>
  <c r="DZ265" i="4"/>
  <c r="EA265" i="4"/>
  <c r="EB265" i="4"/>
  <c r="EC265" i="4"/>
  <c r="ED265" i="4"/>
  <c r="EE265" i="4"/>
  <c r="EF265" i="4"/>
  <c r="EG265" i="4"/>
  <c r="EH265" i="4"/>
  <c r="EI265" i="4"/>
  <c r="EJ265" i="4"/>
  <c r="EK265" i="4"/>
  <c r="EL265" i="4"/>
  <c r="EM265" i="4"/>
  <c r="EN265" i="4"/>
  <c r="EO265" i="4"/>
  <c r="EP265" i="4"/>
  <c r="EQ265" i="4"/>
  <c r="ER265" i="4"/>
  <c r="ES265" i="4"/>
  <c r="ET265" i="4"/>
  <c r="EU265" i="4"/>
  <c r="EV265" i="4"/>
  <c r="EW265" i="4"/>
  <c r="EX265" i="4"/>
  <c r="EY265" i="4"/>
  <c r="EZ265" i="4"/>
  <c r="FA265" i="4"/>
  <c r="FB265" i="4"/>
  <c r="FC265" i="4"/>
  <c r="FD265" i="4"/>
  <c r="FE265" i="4"/>
  <c r="FF265" i="4"/>
  <c r="FG265" i="4"/>
  <c r="FH265" i="4"/>
  <c r="FI265" i="4"/>
  <c r="FJ265" i="4"/>
  <c r="FK265" i="4"/>
  <c r="FL265" i="4"/>
  <c r="FM265" i="4"/>
  <c r="FN265" i="4"/>
  <c r="FO265" i="4"/>
  <c r="FP265" i="4"/>
  <c r="FQ265" i="4"/>
  <c r="FR265" i="4"/>
  <c r="FS265" i="4"/>
  <c r="FT265" i="4"/>
  <c r="FU265" i="4"/>
  <c r="FV265" i="4"/>
  <c r="FW265" i="4"/>
  <c r="FX265" i="4"/>
  <c r="FY265" i="4"/>
  <c r="FZ265" i="4"/>
  <c r="GA265" i="4"/>
  <c r="GB265" i="4"/>
  <c r="GC265" i="4"/>
  <c r="GD265" i="4"/>
  <c r="GE265" i="4"/>
  <c r="GF265" i="4"/>
  <c r="GG265" i="4"/>
  <c r="GH265" i="4"/>
  <c r="GI265" i="4"/>
  <c r="GJ265" i="4"/>
  <c r="GK265" i="4"/>
  <c r="GL265" i="4"/>
  <c r="GM265" i="4"/>
  <c r="GN265" i="4"/>
  <c r="GO265" i="4"/>
  <c r="GP265" i="4"/>
  <c r="GQ265" i="4"/>
  <c r="GR265" i="4"/>
  <c r="GS265" i="4"/>
  <c r="GT265" i="4"/>
  <c r="GU265" i="4"/>
  <c r="GV265" i="4"/>
  <c r="GW265" i="4"/>
  <c r="GX265" i="4"/>
  <c r="GY265" i="4"/>
  <c r="GZ265" i="4"/>
  <c r="HA265" i="4"/>
  <c r="HB265" i="4"/>
  <c r="HC265" i="4"/>
  <c r="HD265" i="4"/>
  <c r="HE265" i="4"/>
  <c r="HF265" i="4"/>
  <c r="HG265" i="4"/>
  <c r="HH265" i="4"/>
  <c r="HI265" i="4"/>
  <c r="HJ265" i="4"/>
  <c r="HK265" i="4"/>
  <c r="HL265" i="4"/>
  <c r="HM265" i="4"/>
  <c r="HN265" i="4"/>
  <c r="HO265" i="4"/>
  <c r="HP265" i="4"/>
  <c r="HQ265" i="4"/>
  <c r="HR265" i="4"/>
  <c r="HS265" i="4"/>
  <c r="HT265" i="4"/>
  <c r="HU265" i="4"/>
  <c r="HV265" i="4"/>
  <c r="HW265" i="4"/>
  <c r="HX265" i="4"/>
  <c r="HY265" i="4"/>
  <c r="HZ265" i="4"/>
  <c r="IA265" i="4"/>
  <c r="IB265" i="4"/>
  <c r="IC265" i="4"/>
  <c r="ID265" i="4"/>
  <c r="IE265" i="4"/>
  <c r="IF265" i="4"/>
  <c r="IG265" i="4"/>
  <c r="IH265" i="4"/>
  <c r="II265" i="4"/>
  <c r="IJ265" i="4"/>
  <c r="IK265" i="4"/>
  <c r="IL265" i="4"/>
  <c r="IM265" i="4"/>
  <c r="IN265" i="4"/>
  <c r="IO265" i="4"/>
  <c r="IP265" i="4"/>
  <c r="IQ265" i="4"/>
  <c r="IR265" i="4"/>
  <c r="IS265" i="4"/>
  <c r="IT265" i="4"/>
  <c r="IU265" i="4"/>
  <c r="IV265" i="4"/>
  <c r="A264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AD264" i="4"/>
  <c r="AE264" i="4"/>
  <c r="AF264" i="4"/>
  <c r="AG264" i="4"/>
  <c r="AH264" i="4"/>
  <c r="AI264" i="4"/>
  <c r="AJ264" i="4"/>
  <c r="AK264" i="4"/>
  <c r="AL264" i="4"/>
  <c r="AM264" i="4"/>
  <c r="AN264" i="4"/>
  <c r="AO264" i="4"/>
  <c r="AP264" i="4"/>
  <c r="AQ264" i="4"/>
  <c r="AR264" i="4"/>
  <c r="AS264" i="4"/>
  <c r="AT264" i="4"/>
  <c r="AU264" i="4"/>
  <c r="AV264" i="4"/>
  <c r="AW264" i="4"/>
  <c r="AX264" i="4"/>
  <c r="AY264" i="4"/>
  <c r="AZ264" i="4"/>
  <c r="BA264" i="4"/>
  <c r="BB264" i="4"/>
  <c r="BC264" i="4"/>
  <c r="BD264" i="4"/>
  <c r="BE264" i="4"/>
  <c r="BF264" i="4"/>
  <c r="BG264" i="4"/>
  <c r="BH264" i="4"/>
  <c r="BI264" i="4"/>
  <c r="BJ264" i="4"/>
  <c r="BK264" i="4"/>
  <c r="BL264" i="4"/>
  <c r="BM264" i="4"/>
  <c r="BN264" i="4"/>
  <c r="BO264" i="4"/>
  <c r="BP264" i="4"/>
  <c r="BQ264" i="4"/>
  <c r="BR264" i="4"/>
  <c r="BS264" i="4"/>
  <c r="BT264" i="4"/>
  <c r="BU264" i="4"/>
  <c r="BV264" i="4"/>
  <c r="BW264" i="4"/>
  <c r="BX264" i="4"/>
  <c r="BY264" i="4"/>
  <c r="BZ264" i="4"/>
  <c r="CA264" i="4"/>
  <c r="CB264" i="4"/>
  <c r="CC264" i="4"/>
  <c r="CD264" i="4"/>
  <c r="CE264" i="4"/>
  <c r="CF264" i="4"/>
  <c r="CG264" i="4"/>
  <c r="CH264" i="4"/>
  <c r="CI264" i="4"/>
  <c r="CJ264" i="4"/>
  <c r="CK264" i="4"/>
  <c r="CL264" i="4"/>
  <c r="CM264" i="4"/>
  <c r="CN264" i="4"/>
  <c r="CO264" i="4"/>
  <c r="CP264" i="4"/>
  <c r="CQ264" i="4"/>
  <c r="CR264" i="4"/>
  <c r="CS264" i="4"/>
  <c r="CT264" i="4"/>
  <c r="CU264" i="4"/>
  <c r="CV264" i="4"/>
  <c r="CW264" i="4"/>
  <c r="CX264" i="4"/>
  <c r="CY264" i="4"/>
  <c r="CZ264" i="4"/>
  <c r="DA264" i="4"/>
  <c r="DB264" i="4"/>
  <c r="DC264" i="4"/>
  <c r="DD264" i="4"/>
  <c r="DE264" i="4"/>
  <c r="DF264" i="4"/>
  <c r="DG264" i="4"/>
  <c r="DH264" i="4"/>
  <c r="DI264" i="4"/>
  <c r="DJ264" i="4"/>
  <c r="DK264" i="4"/>
  <c r="DL264" i="4"/>
  <c r="DM264" i="4"/>
  <c r="DN264" i="4"/>
  <c r="DO264" i="4"/>
  <c r="DP264" i="4"/>
  <c r="DQ264" i="4"/>
  <c r="DR264" i="4"/>
  <c r="DS264" i="4"/>
  <c r="DT264" i="4"/>
  <c r="DU264" i="4"/>
  <c r="DV264" i="4"/>
  <c r="DW264" i="4"/>
  <c r="DX264" i="4"/>
  <c r="DY264" i="4"/>
  <c r="DZ264" i="4"/>
  <c r="EA264" i="4"/>
  <c r="EB264" i="4"/>
  <c r="EC264" i="4"/>
  <c r="ED264" i="4"/>
  <c r="EE264" i="4"/>
  <c r="EF264" i="4"/>
  <c r="EG264" i="4"/>
  <c r="EH264" i="4"/>
  <c r="EI264" i="4"/>
  <c r="EJ264" i="4"/>
  <c r="EK264" i="4"/>
  <c r="EL264" i="4"/>
  <c r="EM264" i="4"/>
  <c r="EN264" i="4"/>
  <c r="EO264" i="4"/>
  <c r="EP264" i="4"/>
  <c r="EQ264" i="4"/>
  <c r="ER264" i="4"/>
  <c r="ES264" i="4"/>
  <c r="ET264" i="4"/>
  <c r="EU264" i="4"/>
  <c r="EV264" i="4"/>
  <c r="EW264" i="4"/>
  <c r="EX264" i="4"/>
  <c r="EY264" i="4"/>
  <c r="EZ264" i="4"/>
  <c r="FA264" i="4"/>
  <c r="FB264" i="4"/>
  <c r="FC264" i="4"/>
  <c r="FD264" i="4"/>
  <c r="FE264" i="4"/>
  <c r="FF264" i="4"/>
  <c r="FG264" i="4"/>
  <c r="FH264" i="4"/>
  <c r="FI264" i="4"/>
  <c r="FJ264" i="4"/>
  <c r="FK264" i="4"/>
  <c r="FL264" i="4"/>
  <c r="FM264" i="4"/>
  <c r="FN264" i="4"/>
  <c r="FO264" i="4"/>
  <c r="FP264" i="4"/>
  <c r="FQ264" i="4"/>
  <c r="FR264" i="4"/>
  <c r="FS264" i="4"/>
  <c r="FT264" i="4"/>
  <c r="FU264" i="4"/>
  <c r="FV264" i="4"/>
  <c r="FW264" i="4"/>
  <c r="FX264" i="4"/>
  <c r="FY264" i="4"/>
  <c r="FZ264" i="4"/>
  <c r="GA264" i="4"/>
  <c r="GB264" i="4"/>
  <c r="GC264" i="4"/>
  <c r="GD264" i="4"/>
  <c r="GE264" i="4"/>
  <c r="GF264" i="4"/>
  <c r="GG264" i="4"/>
  <c r="GH264" i="4"/>
  <c r="GI264" i="4"/>
  <c r="GJ264" i="4"/>
  <c r="GK264" i="4"/>
  <c r="GL264" i="4"/>
  <c r="GM264" i="4"/>
  <c r="GN264" i="4"/>
  <c r="GO264" i="4"/>
  <c r="GP264" i="4"/>
  <c r="GQ264" i="4"/>
  <c r="GR264" i="4"/>
  <c r="GS264" i="4"/>
  <c r="GT264" i="4"/>
  <c r="GU264" i="4"/>
  <c r="GV264" i="4"/>
  <c r="GW264" i="4"/>
  <c r="GX264" i="4"/>
  <c r="GY264" i="4"/>
  <c r="GZ264" i="4"/>
  <c r="HA264" i="4"/>
  <c r="HB264" i="4"/>
  <c r="HC264" i="4"/>
  <c r="HD264" i="4"/>
  <c r="HE264" i="4"/>
  <c r="HF264" i="4"/>
  <c r="HG264" i="4"/>
  <c r="HH264" i="4"/>
  <c r="HI264" i="4"/>
  <c r="HJ264" i="4"/>
  <c r="HK264" i="4"/>
  <c r="HL264" i="4"/>
  <c r="HM264" i="4"/>
  <c r="HN264" i="4"/>
  <c r="HO264" i="4"/>
  <c r="HP264" i="4"/>
  <c r="HQ264" i="4"/>
  <c r="HR264" i="4"/>
  <c r="HS264" i="4"/>
  <c r="HT264" i="4"/>
  <c r="HU264" i="4"/>
  <c r="HV264" i="4"/>
  <c r="HW264" i="4"/>
  <c r="HX264" i="4"/>
  <c r="HY264" i="4"/>
  <c r="HZ264" i="4"/>
  <c r="IA264" i="4"/>
  <c r="IB264" i="4"/>
  <c r="IC264" i="4"/>
  <c r="ID264" i="4"/>
  <c r="IE264" i="4"/>
  <c r="IF264" i="4"/>
  <c r="IG264" i="4"/>
  <c r="IH264" i="4"/>
  <c r="II264" i="4"/>
  <c r="IJ264" i="4"/>
  <c r="IK264" i="4"/>
  <c r="IL264" i="4"/>
  <c r="IM264" i="4"/>
  <c r="IN264" i="4"/>
  <c r="IO264" i="4"/>
  <c r="IP264" i="4"/>
  <c r="IQ264" i="4"/>
  <c r="IR264" i="4"/>
  <c r="IS264" i="4"/>
  <c r="IT264" i="4"/>
  <c r="IU264" i="4"/>
  <c r="IV264" i="4"/>
  <c r="A263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AD263" i="4"/>
  <c r="AE263" i="4"/>
  <c r="AF263" i="4"/>
  <c r="AG263" i="4"/>
  <c r="AH263" i="4"/>
  <c r="AI263" i="4"/>
  <c r="AJ263" i="4"/>
  <c r="AK263" i="4"/>
  <c r="AL263" i="4"/>
  <c r="AM263" i="4"/>
  <c r="AN263" i="4"/>
  <c r="AO263" i="4"/>
  <c r="AP263" i="4"/>
  <c r="AQ263" i="4"/>
  <c r="AR263" i="4"/>
  <c r="AS263" i="4"/>
  <c r="AT263" i="4"/>
  <c r="AU263" i="4"/>
  <c r="AV263" i="4"/>
  <c r="AW263" i="4"/>
  <c r="AX263" i="4"/>
  <c r="AY263" i="4"/>
  <c r="AZ263" i="4"/>
  <c r="BA263" i="4"/>
  <c r="BB263" i="4"/>
  <c r="BC263" i="4"/>
  <c r="BD263" i="4"/>
  <c r="BE263" i="4"/>
  <c r="BF263" i="4"/>
  <c r="BG263" i="4"/>
  <c r="BH263" i="4"/>
  <c r="BI263" i="4"/>
  <c r="BJ263" i="4"/>
  <c r="BK263" i="4"/>
  <c r="BL263" i="4"/>
  <c r="BM263" i="4"/>
  <c r="BN263" i="4"/>
  <c r="BO263" i="4"/>
  <c r="BP263" i="4"/>
  <c r="BQ263" i="4"/>
  <c r="BR263" i="4"/>
  <c r="BS263" i="4"/>
  <c r="BT263" i="4"/>
  <c r="BU263" i="4"/>
  <c r="BV263" i="4"/>
  <c r="BW263" i="4"/>
  <c r="BX263" i="4"/>
  <c r="BY263" i="4"/>
  <c r="BZ263" i="4"/>
  <c r="CA263" i="4"/>
  <c r="CB263" i="4"/>
  <c r="CC263" i="4"/>
  <c r="CD263" i="4"/>
  <c r="CE263" i="4"/>
  <c r="CF263" i="4"/>
  <c r="CG263" i="4"/>
  <c r="CH263" i="4"/>
  <c r="CI263" i="4"/>
  <c r="CJ263" i="4"/>
  <c r="CK263" i="4"/>
  <c r="CL263" i="4"/>
  <c r="CM263" i="4"/>
  <c r="CN263" i="4"/>
  <c r="CO263" i="4"/>
  <c r="CP263" i="4"/>
  <c r="CQ263" i="4"/>
  <c r="CR263" i="4"/>
  <c r="CS263" i="4"/>
  <c r="CT263" i="4"/>
  <c r="CU263" i="4"/>
  <c r="CV263" i="4"/>
  <c r="CW263" i="4"/>
  <c r="CX263" i="4"/>
  <c r="CY263" i="4"/>
  <c r="CZ263" i="4"/>
  <c r="DA263" i="4"/>
  <c r="DB263" i="4"/>
  <c r="DC263" i="4"/>
  <c r="DD263" i="4"/>
  <c r="DE263" i="4"/>
  <c r="DF263" i="4"/>
  <c r="DG263" i="4"/>
  <c r="DH263" i="4"/>
  <c r="DI263" i="4"/>
  <c r="DJ263" i="4"/>
  <c r="DK263" i="4"/>
  <c r="DL263" i="4"/>
  <c r="DM263" i="4"/>
  <c r="DN263" i="4"/>
  <c r="DO263" i="4"/>
  <c r="DP263" i="4"/>
  <c r="DQ263" i="4"/>
  <c r="DR263" i="4"/>
  <c r="DS263" i="4"/>
  <c r="DT263" i="4"/>
  <c r="DU263" i="4"/>
  <c r="DV263" i="4"/>
  <c r="DW263" i="4"/>
  <c r="DX263" i="4"/>
  <c r="DY263" i="4"/>
  <c r="DZ263" i="4"/>
  <c r="EA263" i="4"/>
  <c r="EB263" i="4"/>
  <c r="EC263" i="4"/>
  <c r="ED263" i="4"/>
  <c r="EE263" i="4"/>
  <c r="EF263" i="4"/>
  <c r="EG263" i="4"/>
  <c r="EH263" i="4"/>
  <c r="EI263" i="4"/>
  <c r="EJ263" i="4"/>
  <c r="EK263" i="4"/>
  <c r="EL263" i="4"/>
  <c r="EM263" i="4"/>
  <c r="EN263" i="4"/>
  <c r="EO263" i="4"/>
  <c r="EP263" i="4"/>
  <c r="EQ263" i="4"/>
  <c r="ER263" i="4"/>
  <c r="ES263" i="4"/>
  <c r="ET263" i="4"/>
  <c r="EU263" i="4"/>
  <c r="EV263" i="4"/>
  <c r="EW263" i="4"/>
  <c r="EX263" i="4"/>
  <c r="EY263" i="4"/>
  <c r="EZ263" i="4"/>
  <c r="FA263" i="4"/>
  <c r="FB263" i="4"/>
  <c r="FC263" i="4"/>
  <c r="FD263" i="4"/>
  <c r="FE263" i="4"/>
  <c r="FF263" i="4"/>
  <c r="FG263" i="4"/>
  <c r="FH263" i="4"/>
  <c r="FI263" i="4"/>
  <c r="FJ263" i="4"/>
  <c r="FK263" i="4"/>
  <c r="FL263" i="4"/>
  <c r="FM263" i="4"/>
  <c r="FN263" i="4"/>
  <c r="FO263" i="4"/>
  <c r="FP263" i="4"/>
  <c r="FQ263" i="4"/>
  <c r="FR263" i="4"/>
  <c r="FS263" i="4"/>
  <c r="FT263" i="4"/>
  <c r="FU263" i="4"/>
  <c r="FV263" i="4"/>
  <c r="FW263" i="4"/>
  <c r="FX263" i="4"/>
  <c r="FY263" i="4"/>
  <c r="FZ263" i="4"/>
  <c r="GA263" i="4"/>
  <c r="GB263" i="4"/>
  <c r="GC263" i="4"/>
  <c r="GD263" i="4"/>
  <c r="GE263" i="4"/>
  <c r="GF263" i="4"/>
  <c r="GG263" i="4"/>
  <c r="GH263" i="4"/>
  <c r="GI263" i="4"/>
  <c r="GJ263" i="4"/>
  <c r="GK263" i="4"/>
  <c r="GL263" i="4"/>
  <c r="GM263" i="4"/>
  <c r="GN263" i="4"/>
  <c r="GO263" i="4"/>
  <c r="GP263" i="4"/>
  <c r="GQ263" i="4"/>
  <c r="GR263" i="4"/>
  <c r="GS263" i="4"/>
  <c r="GT263" i="4"/>
  <c r="GU263" i="4"/>
  <c r="GV263" i="4"/>
  <c r="GW263" i="4"/>
  <c r="GX263" i="4"/>
  <c r="GY263" i="4"/>
  <c r="GZ263" i="4"/>
  <c r="HA263" i="4"/>
  <c r="HB263" i="4"/>
  <c r="HC263" i="4"/>
  <c r="HD263" i="4"/>
  <c r="HE263" i="4"/>
  <c r="HF263" i="4"/>
  <c r="HG263" i="4"/>
  <c r="HH263" i="4"/>
  <c r="HI263" i="4"/>
  <c r="HJ263" i="4"/>
  <c r="HK263" i="4"/>
  <c r="HL263" i="4"/>
  <c r="HM263" i="4"/>
  <c r="HN263" i="4"/>
  <c r="HO263" i="4"/>
  <c r="HP263" i="4"/>
  <c r="HQ263" i="4"/>
  <c r="HR263" i="4"/>
  <c r="HS263" i="4"/>
  <c r="HT263" i="4"/>
  <c r="HU263" i="4"/>
  <c r="HV263" i="4"/>
  <c r="HW263" i="4"/>
  <c r="HX263" i="4"/>
  <c r="HY263" i="4"/>
  <c r="HZ263" i="4"/>
  <c r="IA263" i="4"/>
  <c r="IB263" i="4"/>
  <c r="IC263" i="4"/>
  <c r="ID263" i="4"/>
  <c r="IE263" i="4"/>
  <c r="IF263" i="4"/>
  <c r="IG263" i="4"/>
  <c r="IH263" i="4"/>
  <c r="II263" i="4"/>
  <c r="IJ263" i="4"/>
  <c r="IK263" i="4"/>
  <c r="IL263" i="4"/>
  <c r="IM263" i="4"/>
  <c r="IN263" i="4"/>
  <c r="IO263" i="4"/>
  <c r="IP263" i="4"/>
  <c r="IQ263" i="4"/>
  <c r="IR263" i="4"/>
  <c r="IS263" i="4"/>
  <c r="IT263" i="4"/>
  <c r="IU263" i="4"/>
  <c r="IV263" i="4"/>
  <c r="A262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AD262" i="4"/>
  <c r="AE262" i="4"/>
  <c r="AF262" i="4"/>
  <c r="AG262" i="4"/>
  <c r="AH262" i="4"/>
  <c r="AI262" i="4"/>
  <c r="AJ262" i="4"/>
  <c r="AK262" i="4"/>
  <c r="AL262" i="4"/>
  <c r="AM262" i="4"/>
  <c r="AN262" i="4"/>
  <c r="AO262" i="4"/>
  <c r="AP262" i="4"/>
  <c r="AQ262" i="4"/>
  <c r="AR262" i="4"/>
  <c r="AS262" i="4"/>
  <c r="AT262" i="4"/>
  <c r="AU262" i="4"/>
  <c r="AV262" i="4"/>
  <c r="AW262" i="4"/>
  <c r="AX262" i="4"/>
  <c r="AY262" i="4"/>
  <c r="AZ262" i="4"/>
  <c r="BA262" i="4"/>
  <c r="BB262" i="4"/>
  <c r="BC262" i="4"/>
  <c r="BD262" i="4"/>
  <c r="BE262" i="4"/>
  <c r="BF262" i="4"/>
  <c r="BG262" i="4"/>
  <c r="BH262" i="4"/>
  <c r="BI262" i="4"/>
  <c r="BJ262" i="4"/>
  <c r="BK262" i="4"/>
  <c r="BL262" i="4"/>
  <c r="BM262" i="4"/>
  <c r="BN262" i="4"/>
  <c r="BO262" i="4"/>
  <c r="BP262" i="4"/>
  <c r="BQ262" i="4"/>
  <c r="BR262" i="4"/>
  <c r="BS262" i="4"/>
  <c r="BT262" i="4"/>
  <c r="BU262" i="4"/>
  <c r="BV262" i="4"/>
  <c r="BW262" i="4"/>
  <c r="BX262" i="4"/>
  <c r="BY262" i="4"/>
  <c r="BZ262" i="4"/>
  <c r="CA262" i="4"/>
  <c r="CB262" i="4"/>
  <c r="CC262" i="4"/>
  <c r="CD262" i="4"/>
  <c r="CE262" i="4"/>
  <c r="CF262" i="4"/>
  <c r="CG262" i="4"/>
  <c r="CH262" i="4"/>
  <c r="CI262" i="4"/>
  <c r="CJ262" i="4"/>
  <c r="CK262" i="4"/>
  <c r="CL262" i="4"/>
  <c r="CM262" i="4"/>
  <c r="CN262" i="4"/>
  <c r="CO262" i="4"/>
  <c r="CP262" i="4"/>
  <c r="CQ262" i="4"/>
  <c r="CR262" i="4"/>
  <c r="CS262" i="4"/>
  <c r="CT262" i="4"/>
  <c r="CU262" i="4"/>
  <c r="CV262" i="4"/>
  <c r="CW262" i="4"/>
  <c r="CX262" i="4"/>
  <c r="CY262" i="4"/>
  <c r="CZ262" i="4"/>
  <c r="DA262" i="4"/>
  <c r="DB262" i="4"/>
  <c r="DC262" i="4"/>
  <c r="DD262" i="4"/>
  <c r="DE262" i="4"/>
  <c r="DF262" i="4"/>
  <c r="DG262" i="4"/>
  <c r="DH262" i="4"/>
  <c r="DI262" i="4"/>
  <c r="DJ262" i="4"/>
  <c r="DK262" i="4"/>
  <c r="DL262" i="4"/>
  <c r="DM262" i="4"/>
  <c r="DN262" i="4"/>
  <c r="DO262" i="4"/>
  <c r="DP262" i="4"/>
  <c r="DQ262" i="4"/>
  <c r="DR262" i="4"/>
  <c r="DS262" i="4"/>
  <c r="DT262" i="4"/>
  <c r="DU262" i="4"/>
  <c r="DV262" i="4"/>
  <c r="DW262" i="4"/>
  <c r="DX262" i="4"/>
  <c r="DY262" i="4"/>
  <c r="DZ262" i="4"/>
  <c r="EA262" i="4"/>
  <c r="EB262" i="4"/>
  <c r="EC262" i="4"/>
  <c r="ED262" i="4"/>
  <c r="EE262" i="4"/>
  <c r="EF262" i="4"/>
  <c r="EG262" i="4"/>
  <c r="EH262" i="4"/>
  <c r="EI262" i="4"/>
  <c r="EJ262" i="4"/>
  <c r="EK262" i="4"/>
  <c r="EL262" i="4"/>
  <c r="EM262" i="4"/>
  <c r="EN262" i="4"/>
  <c r="EO262" i="4"/>
  <c r="EP262" i="4"/>
  <c r="EQ262" i="4"/>
  <c r="ER262" i="4"/>
  <c r="ES262" i="4"/>
  <c r="ET262" i="4"/>
  <c r="EU262" i="4"/>
  <c r="EV262" i="4"/>
  <c r="EW262" i="4"/>
  <c r="EX262" i="4"/>
  <c r="EY262" i="4"/>
  <c r="EZ262" i="4"/>
  <c r="FA262" i="4"/>
  <c r="FB262" i="4"/>
  <c r="FC262" i="4"/>
  <c r="FD262" i="4"/>
  <c r="FE262" i="4"/>
  <c r="FF262" i="4"/>
  <c r="FG262" i="4"/>
  <c r="FH262" i="4"/>
  <c r="FI262" i="4"/>
  <c r="FJ262" i="4"/>
  <c r="FK262" i="4"/>
  <c r="FL262" i="4"/>
  <c r="FM262" i="4"/>
  <c r="FN262" i="4"/>
  <c r="FO262" i="4"/>
  <c r="FP262" i="4"/>
  <c r="FQ262" i="4"/>
  <c r="FR262" i="4"/>
  <c r="FS262" i="4"/>
  <c r="FT262" i="4"/>
  <c r="FU262" i="4"/>
  <c r="FV262" i="4"/>
  <c r="FW262" i="4"/>
  <c r="FX262" i="4"/>
  <c r="FY262" i="4"/>
  <c r="FZ262" i="4"/>
  <c r="GA262" i="4"/>
  <c r="GB262" i="4"/>
  <c r="GC262" i="4"/>
  <c r="GD262" i="4"/>
  <c r="GE262" i="4"/>
  <c r="GF262" i="4"/>
  <c r="GG262" i="4"/>
  <c r="GH262" i="4"/>
  <c r="GI262" i="4"/>
  <c r="GJ262" i="4"/>
  <c r="GK262" i="4"/>
  <c r="GL262" i="4"/>
  <c r="GM262" i="4"/>
  <c r="GN262" i="4"/>
  <c r="GO262" i="4"/>
  <c r="GP262" i="4"/>
  <c r="GQ262" i="4"/>
  <c r="GR262" i="4"/>
  <c r="GS262" i="4"/>
  <c r="GT262" i="4"/>
  <c r="GU262" i="4"/>
  <c r="GV262" i="4"/>
  <c r="GW262" i="4"/>
  <c r="GX262" i="4"/>
  <c r="GY262" i="4"/>
  <c r="GZ262" i="4"/>
  <c r="HA262" i="4"/>
  <c r="HB262" i="4"/>
  <c r="HC262" i="4"/>
  <c r="HD262" i="4"/>
  <c r="HE262" i="4"/>
  <c r="HF262" i="4"/>
  <c r="HG262" i="4"/>
  <c r="HH262" i="4"/>
  <c r="HI262" i="4"/>
  <c r="HJ262" i="4"/>
  <c r="HK262" i="4"/>
  <c r="HL262" i="4"/>
  <c r="HM262" i="4"/>
  <c r="HN262" i="4"/>
  <c r="HO262" i="4"/>
  <c r="HP262" i="4"/>
  <c r="HQ262" i="4"/>
  <c r="HR262" i="4"/>
  <c r="HS262" i="4"/>
  <c r="HT262" i="4"/>
  <c r="HU262" i="4"/>
  <c r="HV262" i="4"/>
  <c r="HW262" i="4"/>
  <c r="HX262" i="4"/>
  <c r="HY262" i="4"/>
  <c r="HZ262" i="4"/>
  <c r="IA262" i="4"/>
  <c r="IB262" i="4"/>
  <c r="IC262" i="4"/>
  <c r="ID262" i="4"/>
  <c r="IE262" i="4"/>
  <c r="IF262" i="4"/>
  <c r="IG262" i="4"/>
  <c r="IH262" i="4"/>
  <c r="II262" i="4"/>
  <c r="IJ262" i="4"/>
  <c r="IK262" i="4"/>
  <c r="IL262" i="4"/>
  <c r="IM262" i="4"/>
  <c r="IN262" i="4"/>
  <c r="IO262" i="4"/>
  <c r="IP262" i="4"/>
  <c r="IQ262" i="4"/>
  <c r="IR262" i="4"/>
  <c r="IS262" i="4"/>
  <c r="IT262" i="4"/>
  <c r="IU262" i="4"/>
  <c r="IV262" i="4"/>
  <c r="A261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I261" i="4"/>
  <c r="AJ261" i="4"/>
  <c r="AK261" i="4"/>
  <c r="AL261" i="4"/>
  <c r="AM261" i="4"/>
  <c r="AN261" i="4"/>
  <c r="AO261" i="4"/>
  <c r="AP261" i="4"/>
  <c r="AQ261" i="4"/>
  <c r="AR261" i="4"/>
  <c r="AS261" i="4"/>
  <c r="AT261" i="4"/>
  <c r="AU261" i="4"/>
  <c r="AV261" i="4"/>
  <c r="AW261" i="4"/>
  <c r="AX261" i="4"/>
  <c r="AY261" i="4"/>
  <c r="AZ261" i="4"/>
  <c r="BA261" i="4"/>
  <c r="BB261" i="4"/>
  <c r="BC261" i="4"/>
  <c r="BD261" i="4"/>
  <c r="BE261" i="4"/>
  <c r="BF261" i="4"/>
  <c r="BG261" i="4"/>
  <c r="BH261" i="4"/>
  <c r="BI261" i="4"/>
  <c r="BJ261" i="4"/>
  <c r="BK261" i="4"/>
  <c r="BL261" i="4"/>
  <c r="BM261" i="4"/>
  <c r="BN261" i="4"/>
  <c r="BO261" i="4"/>
  <c r="BP261" i="4"/>
  <c r="BQ261" i="4"/>
  <c r="BR261" i="4"/>
  <c r="BS261" i="4"/>
  <c r="BT261" i="4"/>
  <c r="BU261" i="4"/>
  <c r="BV261" i="4"/>
  <c r="BW261" i="4"/>
  <c r="BX261" i="4"/>
  <c r="BY261" i="4"/>
  <c r="BZ261" i="4"/>
  <c r="CA261" i="4"/>
  <c r="CB261" i="4"/>
  <c r="CC261" i="4"/>
  <c r="CD261" i="4"/>
  <c r="CE261" i="4"/>
  <c r="CF261" i="4"/>
  <c r="CG261" i="4"/>
  <c r="CH261" i="4"/>
  <c r="CI261" i="4"/>
  <c r="CJ261" i="4"/>
  <c r="CK261" i="4"/>
  <c r="CL261" i="4"/>
  <c r="CM261" i="4"/>
  <c r="CN261" i="4"/>
  <c r="CO261" i="4"/>
  <c r="CP261" i="4"/>
  <c r="CQ261" i="4"/>
  <c r="CR261" i="4"/>
  <c r="CS261" i="4"/>
  <c r="CT261" i="4"/>
  <c r="CU261" i="4"/>
  <c r="CV261" i="4"/>
  <c r="CW261" i="4"/>
  <c r="CX261" i="4"/>
  <c r="CY261" i="4"/>
  <c r="CZ261" i="4"/>
  <c r="DA261" i="4"/>
  <c r="DB261" i="4"/>
  <c r="DC261" i="4"/>
  <c r="DD261" i="4"/>
  <c r="DE261" i="4"/>
  <c r="DF261" i="4"/>
  <c r="DG261" i="4"/>
  <c r="DH261" i="4"/>
  <c r="DI261" i="4"/>
  <c r="DJ261" i="4"/>
  <c r="DK261" i="4"/>
  <c r="DL261" i="4"/>
  <c r="DM261" i="4"/>
  <c r="DN261" i="4"/>
  <c r="DO261" i="4"/>
  <c r="DP261" i="4"/>
  <c r="DQ261" i="4"/>
  <c r="DR261" i="4"/>
  <c r="DS261" i="4"/>
  <c r="DT261" i="4"/>
  <c r="DU261" i="4"/>
  <c r="DV261" i="4"/>
  <c r="DW261" i="4"/>
  <c r="DX261" i="4"/>
  <c r="DY261" i="4"/>
  <c r="DZ261" i="4"/>
  <c r="EA261" i="4"/>
  <c r="EB261" i="4"/>
  <c r="EC261" i="4"/>
  <c r="ED261" i="4"/>
  <c r="EE261" i="4"/>
  <c r="EF261" i="4"/>
  <c r="EG261" i="4"/>
  <c r="EH261" i="4"/>
  <c r="EI261" i="4"/>
  <c r="EJ261" i="4"/>
  <c r="EK261" i="4"/>
  <c r="EL261" i="4"/>
  <c r="EM261" i="4"/>
  <c r="EN261" i="4"/>
  <c r="EO261" i="4"/>
  <c r="EP261" i="4"/>
  <c r="EQ261" i="4"/>
  <c r="ER261" i="4"/>
  <c r="ES261" i="4"/>
  <c r="ET261" i="4"/>
  <c r="EU261" i="4"/>
  <c r="EV261" i="4"/>
  <c r="EW261" i="4"/>
  <c r="EX261" i="4"/>
  <c r="EY261" i="4"/>
  <c r="EZ261" i="4"/>
  <c r="FA261" i="4"/>
  <c r="FB261" i="4"/>
  <c r="FC261" i="4"/>
  <c r="FD261" i="4"/>
  <c r="FE261" i="4"/>
  <c r="FF261" i="4"/>
  <c r="FG261" i="4"/>
  <c r="FH261" i="4"/>
  <c r="FI261" i="4"/>
  <c r="FJ261" i="4"/>
  <c r="FK261" i="4"/>
  <c r="FL261" i="4"/>
  <c r="FM261" i="4"/>
  <c r="FN261" i="4"/>
  <c r="FO261" i="4"/>
  <c r="FP261" i="4"/>
  <c r="FQ261" i="4"/>
  <c r="FR261" i="4"/>
  <c r="FS261" i="4"/>
  <c r="FT261" i="4"/>
  <c r="FU261" i="4"/>
  <c r="FV261" i="4"/>
  <c r="FW261" i="4"/>
  <c r="FX261" i="4"/>
  <c r="FY261" i="4"/>
  <c r="FZ261" i="4"/>
  <c r="GA261" i="4"/>
  <c r="GB261" i="4"/>
  <c r="GC261" i="4"/>
  <c r="GD261" i="4"/>
  <c r="GE261" i="4"/>
  <c r="GF261" i="4"/>
  <c r="GG261" i="4"/>
  <c r="GH261" i="4"/>
  <c r="GI261" i="4"/>
  <c r="GJ261" i="4"/>
  <c r="GK261" i="4"/>
  <c r="GL261" i="4"/>
  <c r="GM261" i="4"/>
  <c r="GN261" i="4"/>
  <c r="GO261" i="4"/>
  <c r="GP261" i="4"/>
  <c r="GQ261" i="4"/>
  <c r="GR261" i="4"/>
  <c r="GS261" i="4"/>
  <c r="GT261" i="4"/>
  <c r="GU261" i="4"/>
  <c r="GV261" i="4"/>
  <c r="GW261" i="4"/>
  <c r="GX261" i="4"/>
  <c r="GY261" i="4"/>
  <c r="GZ261" i="4"/>
  <c r="HA261" i="4"/>
  <c r="HB261" i="4"/>
  <c r="HC261" i="4"/>
  <c r="HD261" i="4"/>
  <c r="HE261" i="4"/>
  <c r="HF261" i="4"/>
  <c r="HG261" i="4"/>
  <c r="HH261" i="4"/>
  <c r="HI261" i="4"/>
  <c r="HJ261" i="4"/>
  <c r="HK261" i="4"/>
  <c r="HL261" i="4"/>
  <c r="HM261" i="4"/>
  <c r="HN261" i="4"/>
  <c r="HO261" i="4"/>
  <c r="HP261" i="4"/>
  <c r="HQ261" i="4"/>
  <c r="HR261" i="4"/>
  <c r="HS261" i="4"/>
  <c r="HT261" i="4"/>
  <c r="HU261" i="4"/>
  <c r="HV261" i="4"/>
  <c r="HW261" i="4"/>
  <c r="HX261" i="4"/>
  <c r="HY261" i="4"/>
  <c r="HZ261" i="4"/>
  <c r="IA261" i="4"/>
  <c r="IB261" i="4"/>
  <c r="IC261" i="4"/>
  <c r="ID261" i="4"/>
  <c r="IE261" i="4"/>
  <c r="IF261" i="4"/>
  <c r="IG261" i="4"/>
  <c r="IH261" i="4"/>
  <c r="II261" i="4"/>
  <c r="IJ261" i="4"/>
  <c r="IK261" i="4"/>
  <c r="IL261" i="4"/>
  <c r="IM261" i="4"/>
  <c r="IN261" i="4"/>
  <c r="IO261" i="4"/>
  <c r="IP261" i="4"/>
  <c r="IQ261" i="4"/>
  <c r="IR261" i="4"/>
  <c r="IS261" i="4"/>
  <c r="IT261" i="4"/>
  <c r="IU261" i="4"/>
  <c r="IV261" i="4"/>
  <c r="A260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AD260" i="4"/>
  <c r="AE260" i="4"/>
  <c r="AF260" i="4"/>
  <c r="AG260" i="4"/>
  <c r="AH260" i="4"/>
  <c r="AI260" i="4"/>
  <c r="AJ260" i="4"/>
  <c r="AK260" i="4"/>
  <c r="AL260" i="4"/>
  <c r="AM260" i="4"/>
  <c r="AN260" i="4"/>
  <c r="AO260" i="4"/>
  <c r="AP260" i="4"/>
  <c r="AQ260" i="4"/>
  <c r="AR260" i="4"/>
  <c r="AS260" i="4"/>
  <c r="AT260" i="4"/>
  <c r="AU260" i="4"/>
  <c r="AV260" i="4"/>
  <c r="AW260" i="4"/>
  <c r="AX260" i="4"/>
  <c r="AY260" i="4"/>
  <c r="AZ260" i="4"/>
  <c r="BA260" i="4"/>
  <c r="BB260" i="4"/>
  <c r="BC260" i="4"/>
  <c r="BD260" i="4"/>
  <c r="BE260" i="4"/>
  <c r="BF260" i="4"/>
  <c r="BG260" i="4"/>
  <c r="BH260" i="4"/>
  <c r="BI260" i="4"/>
  <c r="BJ260" i="4"/>
  <c r="BK260" i="4"/>
  <c r="BL260" i="4"/>
  <c r="BM260" i="4"/>
  <c r="BN260" i="4"/>
  <c r="BO260" i="4"/>
  <c r="BP260" i="4"/>
  <c r="BQ260" i="4"/>
  <c r="BR260" i="4"/>
  <c r="BS260" i="4"/>
  <c r="BT260" i="4"/>
  <c r="BU260" i="4"/>
  <c r="BV260" i="4"/>
  <c r="BW260" i="4"/>
  <c r="BX260" i="4"/>
  <c r="BY260" i="4"/>
  <c r="BZ260" i="4"/>
  <c r="CA260" i="4"/>
  <c r="CB260" i="4"/>
  <c r="CC260" i="4"/>
  <c r="CD260" i="4"/>
  <c r="CE260" i="4"/>
  <c r="CF260" i="4"/>
  <c r="CG260" i="4"/>
  <c r="CH260" i="4"/>
  <c r="CI260" i="4"/>
  <c r="CJ260" i="4"/>
  <c r="CK260" i="4"/>
  <c r="CL260" i="4"/>
  <c r="CM260" i="4"/>
  <c r="CN260" i="4"/>
  <c r="CO260" i="4"/>
  <c r="CP260" i="4"/>
  <c r="CQ260" i="4"/>
  <c r="CR260" i="4"/>
  <c r="CS260" i="4"/>
  <c r="CT260" i="4"/>
  <c r="CU260" i="4"/>
  <c r="CV260" i="4"/>
  <c r="CW260" i="4"/>
  <c r="CX260" i="4"/>
  <c r="CY260" i="4"/>
  <c r="CZ260" i="4"/>
  <c r="DA260" i="4"/>
  <c r="DB260" i="4"/>
  <c r="DC260" i="4"/>
  <c r="DD260" i="4"/>
  <c r="DE260" i="4"/>
  <c r="DF260" i="4"/>
  <c r="DG260" i="4"/>
  <c r="DH260" i="4"/>
  <c r="DI260" i="4"/>
  <c r="DJ260" i="4"/>
  <c r="DK260" i="4"/>
  <c r="DL260" i="4"/>
  <c r="DM260" i="4"/>
  <c r="DN260" i="4"/>
  <c r="DO260" i="4"/>
  <c r="DP260" i="4"/>
  <c r="DQ260" i="4"/>
  <c r="DR260" i="4"/>
  <c r="DS260" i="4"/>
  <c r="DT260" i="4"/>
  <c r="DU260" i="4"/>
  <c r="DV260" i="4"/>
  <c r="DW260" i="4"/>
  <c r="DX260" i="4"/>
  <c r="DY260" i="4"/>
  <c r="DZ260" i="4"/>
  <c r="EA260" i="4"/>
  <c r="EB260" i="4"/>
  <c r="EC260" i="4"/>
  <c r="ED260" i="4"/>
  <c r="EE260" i="4"/>
  <c r="EF260" i="4"/>
  <c r="EG260" i="4"/>
  <c r="EH260" i="4"/>
  <c r="EI260" i="4"/>
  <c r="EJ260" i="4"/>
  <c r="EK260" i="4"/>
  <c r="EL260" i="4"/>
  <c r="EM260" i="4"/>
  <c r="EN260" i="4"/>
  <c r="EO260" i="4"/>
  <c r="EP260" i="4"/>
  <c r="EQ260" i="4"/>
  <c r="ER260" i="4"/>
  <c r="ES260" i="4"/>
  <c r="ET260" i="4"/>
  <c r="EU260" i="4"/>
  <c r="EV260" i="4"/>
  <c r="EW260" i="4"/>
  <c r="EX260" i="4"/>
  <c r="EY260" i="4"/>
  <c r="EZ260" i="4"/>
  <c r="FA260" i="4"/>
  <c r="FB260" i="4"/>
  <c r="FC260" i="4"/>
  <c r="FD260" i="4"/>
  <c r="FE260" i="4"/>
  <c r="FF260" i="4"/>
  <c r="FG260" i="4"/>
  <c r="FH260" i="4"/>
  <c r="FI260" i="4"/>
  <c r="FJ260" i="4"/>
  <c r="FK260" i="4"/>
  <c r="FL260" i="4"/>
  <c r="FM260" i="4"/>
  <c r="FN260" i="4"/>
  <c r="FO260" i="4"/>
  <c r="FP260" i="4"/>
  <c r="FQ260" i="4"/>
  <c r="FR260" i="4"/>
  <c r="FS260" i="4"/>
  <c r="FT260" i="4"/>
  <c r="FU260" i="4"/>
  <c r="FV260" i="4"/>
  <c r="FW260" i="4"/>
  <c r="FX260" i="4"/>
  <c r="FY260" i="4"/>
  <c r="FZ260" i="4"/>
  <c r="GA260" i="4"/>
  <c r="GB260" i="4"/>
  <c r="GC260" i="4"/>
  <c r="GD260" i="4"/>
  <c r="GE260" i="4"/>
  <c r="GF260" i="4"/>
  <c r="GG260" i="4"/>
  <c r="GH260" i="4"/>
  <c r="GI260" i="4"/>
  <c r="GJ260" i="4"/>
  <c r="GK260" i="4"/>
  <c r="GL260" i="4"/>
  <c r="GM260" i="4"/>
  <c r="GN260" i="4"/>
  <c r="GO260" i="4"/>
  <c r="GP260" i="4"/>
  <c r="GQ260" i="4"/>
  <c r="GR260" i="4"/>
  <c r="GS260" i="4"/>
  <c r="GT260" i="4"/>
  <c r="GU260" i="4"/>
  <c r="GV260" i="4"/>
  <c r="GW260" i="4"/>
  <c r="GX260" i="4"/>
  <c r="GY260" i="4"/>
  <c r="GZ260" i="4"/>
  <c r="HA260" i="4"/>
  <c r="HB260" i="4"/>
  <c r="HC260" i="4"/>
  <c r="HD260" i="4"/>
  <c r="HE260" i="4"/>
  <c r="HF260" i="4"/>
  <c r="HG260" i="4"/>
  <c r="HH260" i="4"/>
  <c r="HI260" i="4"/>
  <c r="HJ260" i="4"/>
  <c r="HK260" i="4"/>
  <c r="HL260" i="4"/>
  <c r="HM260" i="4"/>
  <c r="HN260" i="4"/>
  <c r="HO260" i="4"/>
  <c r="HP260" i="4"/>
  <c r="HQ260" i="4"/>
  <c r="HR260" i="4"/>
  <c r="HS260" i="4"/>
  <c r="HT260" i="4"/>
  <c r="HU260" i="4"/>
  <c r="HV260" i="4"/>
  <c r="HW260" i="4"/>
  <c r="HX260" i="4"/>
  <c r="HY260" i="4"/>
  <c r="HZ260" i="4"/>
  <c r="IA260" i="4"/>
  <c r="IB260" i="4"/>
  <c r="IC260" i="4"/>
  <c r="ID260" i="4"/>
  <c r="IE260" i="4"/>
  <c r="IF260" i="4"/>
  <c r="IG260" i="4"/>
  <c r="IH260" i="4"/>
  <c r="II260" i="4"/>
  <c r="IJ260" i="4"/>
  <c r="IK260" i="4"/>
  <c r="IL260" i="4"/>
  <c r="IM260" i="4"/>
  <c r="IN260" i="4"/>
  <c r="IO260" i="4"/>
  <c r="IP260" i="4"/>
  <c r="IQ260" i="4"/>
  <c r="IR260" i="4"/>
  <c r="IS260" i="4"/>
  <c r="IT260" i="4"/>
  <c r="IU260" i="4"/>
  <c r="IV260" i="4"/>
  <c r="A259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AB259" i="4"/>
  <c r="AC259" i="4"/>
  <c r="AD259" i="4"/>
  <c r="AE259" i="4"/>
  <c r="AF259" i="4"/>
  <c r="AG259" i="4"/>
  <c r="AH259" i="4"/>
  <c r="AI259" i="4"/>
  <c r="AJ259" i="4"/>
  <c r="AK259" i="4"/>
  <c r="AL259" i="4"/>
  <c r="AM259" i="4"/>
  <c r="AN259" i="4"/>
  <c r="AO259" i="4"/>
  <c r="AP259" i="4"/>
  <c r="AQ259" i="4"/>
  <c r="AR259" i="4"/>
  <c r="AS259" i="4"/>
  <c r="AT259" i="4"/>
  <c r="AU259" i="4"/>
  <c r="AV259" i="4"/>
  <c r="AW259" i="4"/>
  <c r="AX259" i="4"/>
  <c r="AY259" i="4"/>
  <c r="AZ259" i="4"/>
  <c r="BA259" i="4"/>
  <c r="BB259" i="4"/>
  <c r="BC259" i="4"/>
  <c r="BD259" i="4"/>
  <c r="BE259" i="4"/>
  <c r="BF259" i="4"/>
  <c r="BG259" i="4"/>
  <c r="BH259" i="4"/>
  <c r="BI259" i="4"/>
  <c r="BJ259" i="4"/>
  <c r="BK259" i="4"/>
  <c r="BL259" i="4"/>
  <c r="BM259" i="4"/>
  <c r="BN259" i="4"/>
  <c r="BO259" i="4"/>
  <c r="BP259" i="4"/>
  <c r="BQ259" i="4"/>
  <c r="BR259" i="4"/>
  <c r="BS259" i="4"/>
  <c r="BT259" i="4"/>
  <c r="BU259" i="4"/>
  <c r="BV259" i="4"/>
  <c r="BW259" i="4"/>
  <c r="BX259" i="4"/>
  <c r="BY259" i="4"/>
  <c r="BZ259" i="4"/>
  <c r="CA259" i="4"/>
  <c r="CB259" i="4"/>
  <c r="CC259" i="4"/>
  <c r="CD259" i="4"/>
  <c r="CE259" i="4"/>
  <c r="CF259" i="4"/>
  <c r="CG259" i="4"/>
  <c r="CH259" i="4"/>
  <c r="CI259" i="4"/>
  <c r="CJ259" i="4"/>
  <c r="CK259" i="4"/>
  <c r="CL259" i="4"/>
  <c r="CM259" i="4"/>
  <c r="CN259" i="4"/>
  <c r="CO259" i="4"/>
  <c r="CP259" i="4"/>
  <c r="CQ259" i="4"/>
  <c r="CR259" i="4"/>
  <c r="CS259" i="4"/>
  <c r="CT259" i="4"/>
  <c r="CU259" i="4"/>
  <c r="CV259" i="4"/>
  <c r="CW259" i="4"/>
  <c r="CX259" i="4"/>
  <c r="CY259" i="4"/>
  <c r="CZ259" i="4"/>
  <c r="DA259" i="4"/>
  <c r="DB259" i="4"/>
  <c r="DC259" i="4"/>
  <c r="DD259" i="4"/>
  <c r="DE259" i="4"/>
  <c r="DF259" i="4"/>
  <c r="DG259" i="4"/>
  <c r="DH259" i="4"/>
  <c r="DI259" i="4"/>
  <c r="DJ259" i="4"/>
  <c r="DK259" i="4"/>
  <c r="DL259" i="4"/>
  <c r="DM259" i="4"/>
  <c r="DN259" i="4"/>
  <c r="DO259" i="4"/>
  <c r="DP259" i="4"/>
  <c r="DQ259" i="4"/>
  <c r="DR259" i="4"/>
  <c r="DS259" i="4"/>
  <c r="DT259" i="4"/>
  <c r="DU259" i="4"/>
  <c r="DV259" i="4"/>
  <c r="DW259" i="4"/>
  <c r="DX259" i="4"/>
  <c r="DY259" i="4"/>
  <c r="DZ259" i="4"/>
  <c r="EA259" i="4"/>
  <c r="EB259" i="4"/>
  <c r="EC259" i="4"/>
  <c r="ED259" i="4"/>
  <c r="EE259" i="4"/>
  <c r="EF259" i="4"/>
  <c r="EG259" i="4"/>
  <c r="EH259" i="4"/>
  <c r="EI259" i="4"/>
  <c r="EJ259" i="4"/>
  <c r="EK259" i="4"/>
  <c r="EL259" i="4"/>
  <c r="EM259" i="4"/>
  <c r="EN259" i="4"/>
  <c r="EO259" i="4"/>
  <c r="EP259" i="4"/>
  <c r="EQ259" i="4"/>
  <c r="ER259" i="4"/>
  <c r="ES259" i="4"/>
  <c r="ET259" i="4"/>
  <c r="EU259" i="4"/>
  <c r="EV259" i="4"/>
  <c r="EW259" i="4"/>
  <c r="EX259" i="4"/>
  <c r="EY259" i="4"/>
  <c r="EZ259" i="4"/>
  <c r="FA259" i="4"/>
  <c r="FB259" i="4"/>
  <c r="FC259" i="4"/>
  <c r="FD259" i="4"/>
  <c r="FE259" i="4"/>
  <c r="FF259" i="4"/>
  <c r="FG259" i="4"/>
  <c r="FH259" i="4"/>
  <c r="FI259" i="4"/>
  <c r="FJ259" i="4"/>
  <c r="FK259" i="4"/>
  <c r="FL259" i="4"/>
  <c r="FM259" i="4"/>
  <c r="FN259" i="4"/>
  <c r="FO259" i="4"/>
  <c r="FP259" i="4"/>
  <c r="FQ259" i="4"/>
  <c r="FR259" i="4"/>
  <c r="FS259" i="4"/>
  <c r="FT259" i="4"/>
  <c r="FU259" i="4"/>
  <c r="FV259" i="4"/>
  <c r="FW259" i="4"/>
  <c r="FX259" i="4"/>
  <c r="FY259" i="4"/>
  <c r="FZ259" i="4"/>
  <c r="GA259" i="4"/>
  <c r="GB259" i="4"/>
  <c r="GC259" i="4"/>
  <c r="GD259" i="4"/>
  <c r="GE259" i="4"/>
  <c r="GF259" i="4"/>
  <c r="GG259" i="4"/>
  <c r="GH259" i="4"/>
  <c r="GI259" i="4"/>
  <c r="GJ259" i="4"/>
  <c r="GK259" i="4"/>
  <c r="GL259" i="4"/>
  <c r="GM259" i="4"/>
  <c r="GN259" i="4"/>
  <c r="GO259" i="4"/>
  <c r="GP259" i="4"/>
  <c r="GQ259" i="4"/>
  <c r="GR259" i="4"/>
  <c r="GS259" i="4"/>
  <c r="GT259" i="4"/>
  <c r="GU259" i="4"/>
  <c r="GV259" i="4"/>
  <c r="GW259" i="4"/>
  <c r="GX259" i="4"/>
  <c r="GY259" i="4"/>
  <c r="GZ259" i="4"/>
  <c r="HA259" i="4"/>
  <c r="HB259" i="4"/>
  <c r="HC259" i="4"/>
  <c r="HD259" i="4"/>
  <c r="HE259" i="4"/>
  <c r="HF259" i="4"/>
  <c r="HG259" i="4"/>
  <c r="HH259" i="4"/>
  <c r="HI259" i="4"/>
  <c r="HJ259" i="4"/>
  <c r="HK259" i="4"/>
  <c r="HL259" i="4"/>
  <c r="HM259" i="4"/>
  <c r="HN259" i="4"/>
  <c r="HO259" i="4"/>
  <c r="HP259" i="4"/>
  <c r="HQ259" i="4"/>
  <c r="HR259" i="4"/>
  <c r="HS259" i="4"/>
  <c r="HT259" i="4"/>
  <c r="HU259" i="4"/>
  <c r="HV259" i="4"/>
  <c r="HW259" i="4"/>
  <c r="HX259" i="4"/>
  <c r="HY259" i="4"/>
  <c r="HZ259" i="4"/>
  <c r="IA259" i="4"/>
  <c r="IB259" i="4"/>
  <c r="IC259" i="4"/>
  <c r="ID259" i="4"/>
  <c r="IE259" i="4"/>
  <c r="IF259" i="4"/>
  <c r="IG259" i="4"/>
  <c r="IH259" i="4"/>
  <c r="II259" i="4"/>
  <c r="IJ259" i="4"/>
  <c r="IK259" i="4"/>
  <c r="IL259" i="4"/>
  <c r="IM259" i="4"/>
  <c r="IN259" i="4"/>
  <c r="IO259" i="4"/>
  <c r="IP259" i="4"/>
  <c r="IQ259" i="4"/>
  <c r="IR259" i="4"/>
  <c r="IS259" i="4"/>
  <c r="IT259" i="4"/>
  <c r="IU259" i="4"/>
  <c r="IV259" i="4"/>
  <c r="A258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AB258" i="4"/>
  <c r="AC258" i="4"/>
  <c r="AD258" i="4"/>
  <c r="AE258" i="4"/>
  <c r="AF258" i="4"/>
  <c r="AG258" i="4"/>
  <c r="AH258" i="4"/>
  <c r="AI258" i="4"/>
  <c r="AJ258" i="4"/>
  <c r="AK258" i="4"/>
  <c r="AL258" i="4"/>
  <c r="AM258" i="4"/>
  <c r="AN258" i="4"/>
  <c r="AO258" i="4"/>
  <c r="AP258" i="4"/>
  <c r="AQ258" i="4"/>
  <c r="AR258" i="4"/>
  <c r="AS258" i="4"/>
  <c r="AT258" i="4"/>
  <c r="AU258" i="4"/>
  <c r="AV258" i="4"/>
  <c r="AW258" i="4"/>
  <c r="AX258" i="4"/>
  <c r="AY258" i="4"/>
  <c r="AZ258" i="4"/>
  <c r="BA258" i="4"/>
  <c r="BB258" i="4"/>
  <c r="BC258" i="4"/>
  <c r="BD258" i="4"/>
  <c r="BE258" i="4"/>
  <c r="BF258" i="4"/>
  <c r="BG258" i="4"/>
  <c r="BH258" i="4"/>
  <c r="BI258" i="4"/>
  <c r="BJ258" i="4"/>
  <c r="BK258" i="4"/>
  <c r="BL258" i="4"/>
  <c r="BM258" i="4"/>
  <c r="BN258" i="4"/>
  <c r="BO258" i="4"/>
  <c r="BP258" i="4"/>
  <c r="BQ258" i="4"/>
  <c r="BR258" i="4"/>
  <c r="BS258" i="4"/>
  <c r="BT258" i="4"/>
  <c r="BU258" i="4"/>
  <c r="BV258" i="4"/>
  <c r="BW258" i="4"/>
  <c r="BX258" i="4"/>
  <c r="BY258" i="4"/>
  <c r="BZ258" i="4"/>
  <c r="CA258" i="4"/>
  <c r="CB258" i="4"/>
  <c r="CC258" i="4"/>
  <c r="CD258" i="4"/>
  <c r="CE258" i="4"/>
  <c r="CF258" i="4"/>
  <c r="CG258" i="4"/>
  <c r="CH258" i="4"/>
  <c r="CI258" i="4"/>
  <c r="CJ258" i="4"/>
  <c r="CK258" i="4"/>
  <c r="CL258" i="4"/>
  <c r="CM258" i="4"/>
  <c r="CN258" i="4"/>
  <c r="CO258" i="4"/>
  <c r="CP258" i="4"/>
  <c r="CQ258" i="4"/>
  <c r="CR258" i="4"/>
  <c r="CS258" i="4"/>
  <c r="CT258" i="4"/>
  <c r="CU258" i="4"/>
  <c r="CV258" i="4"/>
  <c r="CW258" i="4"/>
  <c r="CX258" i="4"/>
  <c r="CY258" i="4"/>
  <c r="CZ258" i="4"/>
  <c r="DA258" i="4"/>
  <c r="DB258" i="4"/>
  <c r="DC258" i="4"/>
  <c r="DD258" i="4"/>
  <c r="DE258" i="4"/>
  <c r="DF258" i="4"/>
  <c r="DG258" i="4"/>
  <c r="DH258" i="4"/>
  <c r="DI258" i="4"/>
  <c r="DJ258" i="4"/>
  <c r="DK258" i="4"/>
  <c r="DL258" i="4"/>
  <c r="DM258" i="4"/>
  <c r="DN258" i="4"/>
  <c r="DO258" i="4"/>
  <c r="DP258" i="4"/>
  <c r="DQ258" i="4"/>
  <c r="DR258" i="4"/>
  <c r="DS258" i="4"/>
  <c r="DT258" i="4"/>
  <c r="DU258" i="4"/>
  <c r="DV258" i="4"/>
  <c r="DW258" i="4"/>
  <c r="DX258" i="4"/>
  <c r="DY258" i="4"/>
  <c r="DZ258" i="4"/>
  <c r="EA258" i="4"/>
  <c r="EB258" i="4"/>
  <c r="EC258" i="4"/>
  <c r="ED258" i="4"/>
  <c r="EE258" i="4"/>
  <c r="EF258" i="4"/>
  <c r="EG258" i="4"/>
  <c r="EH258" i="4"/>
  <c r="EI258" i="4"/>
  <c r="EJ258" i="4"/>
  <c r="EK258" i="4"/>
  <c r="EL258" i="4"/>
  <c r="EM258" i="4"/>
  <c r="EN258" i="4"/>
  <c r="EO258" i="4"/>
  <c r="EP258" i="4"/>
  <c r="EQ258" i="4"/>
  <c r="ER258" i="4"/>
  <c r="ES258" i="4"/>
  <c r="ET258" i="4"/>
  <c r="EU258" i="4"/>
  <c r="EV258" i="4"/>
  <c r="EW258" i="4"/>
  <c r="EX258" i="4"/>
  <c r="EY258" i="4"/>
  <c r="EZ258" i="4"/>
  <c r="FA258" i="4"/>
  <c r="FB258" i="4"/>
  <c r="FC258" i="4"/>
  <c r="FD258" i="4"/>
  <c r="FE258" i="4"/>
  <c r="FF258" i="4"/>
  <c r="FG258" i="4"/>
  <c r="FH258" i="4"/>
  <c r="FI258" i="4"/>
  <c r="FJ258" i="4"/>
  <c r="FK258" i="4"/>
  <c r="FL258" i="4"/>
  <c r="FM258" i="4"/>
  <c r="FN258" i="4"/>
  <c r="FO258" i="4"/>
  <c r="FP258" i="4"/>
  <c r="FQ258" i="4"/>
  <c r="FR258" i="4"/>
  <c r="FS258" i="4"/>
  <c r="FT258" i="4"/>
  <c r="FU258" i="4"/>
  <c r="FV258" i="4"/>
  <c r="FW258" i="4"/>
  <c r="FX258" i="4"/>
  <c r="FY258" i="4"/>
  <c r="FZ258" i="4"/>
  <c r="GA258" i="4"/>
  <c r="GB258" i="4"/>
  <c r="GC258" i="4"/>
  <c r="GD258" i="4"/>
  <c r="GE258" i="4"/>
  <c r="GF258" i="4"/>
  <c r="GG258" i="4"/>
  <c r="GH258" i="4"/>
  <c r="GI258" i="4"/>
  <c r="GJ258" i="4"/>
  <c r="GK258" i="4"/>
  <c r="GL258" i="4"/>
  <c r="GM258" i="4"/>
  <c r="GN258" i="4"/>
  <c r="GO258" i="4"/>
  <c r="GP258" i="4"/>
  <c r="GQ258" i="4"/>
  <c r="GR258" i="4"/>
  <c r="GS258" i="4"/>
  <c r="GT258" i="4"/>
  <c r="GU258" i="4"/>
  <c r="GV258" i="4"/>
  <c r="GW258" i="4"/>
  <c r="GX258" i="4"/>
  <c r="GY258" i="4"/>
  <c r="GZ258" i="4"/>
  <c r="HA258" i="4"/>
  <c r="HB258" i="4"/>
  <c r="HC258" i="4"/>
  <c r="HD258" i="4"/>
  <c r="HE258" i="4"/>
  <c r="HF258" i="4"/>
  <c r="HG258" i="4"/>
  <c r="HH258" i="4"/>
  <c r="HI258" i="4"/>
  <c r="HJ258" i="4"/>
  <c r="HK258" i="4"/>
  <c r="HL258" i="4"/>
  <c r="HM258" i="4"/>
  <c r="HN258" i="4"/>
  <c r="HO258" i="4"/>
  <c r="HP258" i="4"/>
  <c r="HQ258" i="4"/>
  <c r="HR258" i="4"/>
  <c r="HS258" i="4"/>
  <c r="HT258" i="4"/>
  <c r="HU258" i="4"/>
  <c r="HV258" i="4"/>
  <c r="HW258" i="4"/>
  <c r="HX258" i="4"/>
  <c r="HY258" i="4"/>
  <c r="HZ258" i="4"/>
  <c r="IA258" i="4"/>
  <c r="IB258" i="4"/>
  <c r="IC258" i="4"/>
  <c r="ID258" i="4"/>
  <c r="IE258" i="4"/>
  <c r="IF258" i="4"/>
  <c r="IG258" i="4"/>
  <c r="IH258" i="4"/>
  <c r="II258" i="4"/>
  <c r="IJ258" i="4"/>
  <c r="IK258" i="4"/>
  <c r="IL258" i="4"/>
  <c r="IM258" i="4"/>
  <c r="IN258" i="4"/>
  <c r="IO258" i="4"/>
  <c r="IP258" i="4"/>
  <c r="IQ258" i="4"/>
  <c r="IR258" i="4"/>
  <c r="IS258" i="4"/>
  <c r="IT258" i="4"/>
  <c r="IU258" i="4"/>
  <c r="IV258" i="4"/>
  <c r="A257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AB257" i="4"/>
  <c r="AC257" i="4"/>
  <c r="AD257" i="4"/>
  <c r="AE257" i="4"/>
  <c r="AF257" i="4"/>
  <c r="AG257" i="4"/>
  <c r="AH257" i="4"/>
  <c r="AI257" i="4"/>
  <c r="AJ257" i="4"/>
  <c r="AK257" i="4"/>
  <c r="AL257" i="4"/>
  <c r="AM257" i="4"/>
  <c r="AN257" i="4"/>
  <c r="AO257" i="4"/>
  <c r="AP257" i="4"/>
  <c r="AQ257" i="4"/>
  <c r="AR257" i="4"/>
  <c r="AS257" i="4"/>
  <c r="AT257" i="4"/>
  <c r="AU257" i="4"/>
  <c r="AV257" i="4"/>
  <c r="AW257" i="4"/>
  <c r="AX257" i="4"/>
  <c r="AY257" i="4"/>
  <c r="AZ257" i="4"/>
  <c r="BA257" i="4"/>
  <c r="BB257" i="4"/>
  <c r="BC257" i="4"/>
  <c r="BD257" i="4"/>
  <c r="BE257" i="4"/>
  <c r="BF257" i="4"/>
  <c r="BG257" i="4"/>
  <c r="BH257" i="4"/>
  <c r="BI257" i="4"/>
  <c r="BJ257" i="4"/>
  <c r="BK257" i="4"/>
  <c r="BL257" i="4"/>
  <c r="BM257" i="4"/>
  <c r="BN257" i="4"/>
  <c r="BO257" i="4"/>
  <c r="BP257" i="4"/>
  <c r="BQ257" i="4"/>
  <c r="BR257" i="4"/>
  <c r="BS257" i="4"/>
  <c r="BT257" i="4"/>
  <c r="BU257" i="4"/>
  <c r="BV257" i="4"/>
  <c r="BW257" i="4"/>
  <c r="BX257" i="4"/>
  <c r="BY257" i="4"/>
  <c r="BZ257" i="4"/>
  <c r="CA257" i="4"/>
  <c r="CB257" i="4"/>
  <c r="CC257" i="4"/>
  <c r="CD257" i="4"/>
  <c r="CE257" i="4"/>
  <c r="CF257" i="4"/>
  <c r="CG257" i="4"/>
  <c r="CH257" i="4"/>
  <c r="CI257" i="4"/>
  <c r="CJ257" i="4"/>
  <c r="CK257" i="4"/>
  <c r="CL257" i="4"/>
  <c r="CM257" i="4"/>
  <c r="CN257" i="4"/>
  <c r="CO257" i="4"/>
  <c r="CP257" i="4"/>
  <c r="CQ257" i="4"/>
  <c r="CR257" i="4"/>
  <c r="CS257" i="4"/>
  <c r="CT257" i="4"/>
  <c r="CU257" i="4"/>
  <c r="CV257" i="4"/>
  <c r="CW257" i="4"/>
  <c r="CX257" i="4"/>
  <c r="CY257" i="4"/>
  <c r="CZ257" i="4"/>
  <c r="DA257" i="4"/>
  <c r="DB257" i="4"/>
  <c r="DC257" i="4"/>
  <c r="DD257" i="4"/>
  <c r="DE257" i="4"/>
  <c r="DF257" i="4"/>
  <c r="DG257" i="4"/>
  <c r="DH257" i="4"/>
  <c r="DI257" i="4"/>
  <c r="DJ257" i="4"/>
  <c r="DK257" i="4"/>
  <c r="DL257" i="4"/>
  <c r="DM257" i="4"/>
  <c r="DN257" i="4"/>
  <c r="DO257" i="4"/>
  <c r="DP257" i="4"/>
  <c r="DQ257" i="4"/>
  <c r="DR257" i="4"/>
  <c r="DS257" i="4"/>
  <c r="DT257" i="4"/>
  <c r="DU257" i="4"/>
  <c r="DV257" i="4"/>
  <c r="DW257" i="4"/>
  <c r="DX257" i="4"/>
  <c r="DY257" i="4"/>
  <c r="DZ257" i="4"/>
  <c r="EA257" i="4"/>
  <c r="EB257" i="4"/>
  <c r="EC257" i="4"/>
  <c r="ED257" i="4"/>
  <c r="EE257" i="4"/>
  <c r="EF257" i="4"/>
  <c r="EG257" i="4"/>
  <c r="EH257" i="4"/>
  <c r="EI257" i="4"/>
  <c r="EJ257" i="4"/>
  <c r="EK257" i="4"/>
  <c r="EL257" i="4"/>
  <c r="EM257" i="4"/>
  <c r="EN257" i="4"/>
  <c r="EO257" i="4"/>
  <c r="EP257" i="4"/>
  <c r="EQ257" i="4"/>
  <c r="ER257" i="4"/>
  <c r="ES257" i="4"/>
  <c r="ET257" i="4"/>
  <c r="EU257" i="4"/>
  <c r="EV257" i="4"/>
  <c r="EW257" i="4"/>
  <c r="EX257" i="4"/>
  <c r="EY257" i="4"/>
  <c r="EZ257" i="4"/>
  <c r="FA257" i="4"/>
  <c r="FB257" i="4"/>
  <c r="FC257" i="4"/>
  <c r="FD257" i="4"/>
  <c r="FE257" i="4"/>
  <c r="FF257" i="4"/>
  <c r="FG257" i="4"/>
  <c r="FH257" i="4"/>
  <c r="FI257" i="4"/>
  <c r="FJ257" i="4"/>
  <c r="FK257" i="4"/>
  <c r="FL257" i="4"/>
  <c r="FM257" i="4"/>
  <c r="FN257" i="4"/>
  <c r="FO257" i="4"/>
  <c r="FP257" i="4"/>
  <c r="FQ257" i="4"/>
  <c r="FR257" i="4"/>
  <c r="FS257" i="4"/>
  <c r="FT257" i="4"/>
  <c r="FU257" i="4"/>
  <c r="FV257" i="4"/>
  <c r="FW257" i="4"/>
  <c r="FX257" i="4"/>
  <c r="FY257" i="4"/>
  <c r="FZ257" i="4"/>
  <c r="GA257" i="4"/>
  <c r="GB257" i="4"/>
  <c r="GC257" i="4"/>
  <c r="GD257" i="4"/>
  <c r="GE257" i="4"/>
  <c r="GF257" i="4"/>
  <c r="GG257" i="4"/>
  <c r="GH257" i="4"/>
  <c r="GI257" i="4"/>
  <c r="GJ257" i="4"/>
  <c r="GK257" i="4"/>
  <c r="GL257" i="4"/>
  <c r="GM257" i="4"/>
  <c r="GN257" i="4"/>
  <c r="GO257" i="4"/>
  <c r="GP257" i="4"/>
  <c r="GQ257" i="4"/>
  <c r="GR257" i="4"/>
  <c r="GS257" i="4"/>
  <c r="GT257" i="4"/>
  <c r="GU257" i="4"/>
  <c r="GV257" i="4"/>
  <c r="GW257" i="4"/>
  <c r="GX257" i="4"/>
  <c r="GY257" i="4"/>
  <c r="GZ257" i="4"/>
  <c r="HA257" i="4"/>
  <c r="HB257" i="4"/>
  <c r="HC257" i="4"/>
  <c r="HD257" i="4"/>
  <c r="HE257" i="4"/>
  <c r="HF257" i="4"/>
  <c r="HG257" i="4"/>
  <c r="HH257" i="4"/>
  <c r="HI257" i="4"/>
  <c r="HJ257" i="4"/>
  <c r="HK257" i="4"/>
  <c r="HL257" i="4"/>
  <c r="HM257" i="4"/>
  <c r="HN257" i="4"/>
  <c r="HO257" i="4"/>
  <c r="HP257" i="4"/>
  <c r="HQ257" i="4"/>
  <c r="HR257" i="4"/>
  <c r="HS257" i="4"/>
  <c r="HT257" i="4"/>
  <c r="HU257" i="4"/>
  <c r="HV257" i="4"/>
  <c r="HW257" i="4"/>
  <c r="HX257" i="4"/>
  <c r="HY257" i="4"/>
  <c r="HZ257" i="4"/>
  <c r="IA257" i="4"/>
  <c r="IB257" i="4"/>
  <c r="IC257" i="4"/>
  <c r="ID257" i="4"/>
  <c r="IE257" i="4"/>
  <c r="IF257" i="4"/>
  <c r="IG257" i="4"/>
  <c r="IH257" i="4"/>
  <c r="II257" i="4"/>
  <c r="IJ257" i="4"/>
  <c r="IK257" i="4"/>
  <c r="IL257" i="4"/>
  <c r="IM257" i="4"/>
  <c r="IN257" i="4"/>
  <c r="IO257" i="4"/>
  <c r="IP257" i="4"/>
  <c r="IQ257" i="4"/>
  <c r="IR257" i="4"/>
  <c r="IS257" i="4"/>
  <c r="IT257" i="4"/>
  <c r="IU257" i="4"/>
  <c r="IV257" i="4"/>
  <c r="A256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AB256" i="4"/>
  <c r="AC256" i="4"/>
  <c r="AD256" i="4"/>
  <c r="AE256" i="4"/>
  <c r="AF256" i="4"/>
  <c r="AG256" i="4"/>
  <c r="AH256" i="4"/>
  <c r="AI256" i="4"/>
  <c r="AJ256" i="4"/>
  <c r="AK256" i="4"/>
  <c r="AL256" i="4"/>
  <c r="AM256" i="4"/>
  <c r="AN256" i="4"/>
  <c r="AO256" i="4"/>
  <c r="AP256" i="4"/>
  <c r="AQ256" i="4"/>
  <c r="AR256" i="4"/>
  <c r="AS256" i="4"/>
  <c r="AT256" i="4"/>
  <c r="AU256" i="4"/>
  <c r="AV256" i="4"/>
  <c r="AW256" i="4"/>
  <c r="AX256" i="4"/>
  <c r="AY256" i="4"/>
  <c r="AZ256" i="4"/>
  <c r="BA256" i="4"/>
  <c r="BB256" i="4"/>
  <c r="BC256" i="4"/>
  <c r="BD256" i="4"/>
  <c r="BE256" i="4"/>
  <c r="BF256" i="4"/>
  <c r="BG256" i="4"/>
  <c r="BH256" i="4"/>
  <c r="BI256" i="4"/>
  <c r="BJ256" i="4"/>
  <c r="BK256" i="4"/>
  <c r="BL256" i="4"/>
  <c r="BM256" i="4"/>
  <c r="BN256" i="4"/>
  <c r="BO256" i="4"/>
  <c r="BP256" i="4"/>
  <c r="BQ256" i="4"/>
  <c r="BR256" i="4"/>
  <c r="BS256" i="4"/>
  <c r="BT256" i="4"/>
  <c r="BU256" i="4"/>
  <c r="BV256" i="4"/>
  <c r="BW256" i="4"/>
  <c r="BX256" i="4"/>
  <c r="BY256" i="4"/>
  <c r="BZ256" i="4"/>
  <c r="CA256" i="4"/>
  <c r="CB256" i="4"/>
  <c r="CC256" i="4"/>
  <c r="CD256" i="4"/>
  <c r="CE256" i="4"/>
  <c r="CF256" i="4"/>
  <c r="CG256" i="4"/>
  <c r="CH256" i="4"/>
  <c r="CI256" i="4"/>
  <c r="CJ256" i="4"/>
  <c r="CK256" i="4"/>
  <c r="CL256" i="4"/>
  <c r="CM256" i="4"/>
  <c r="CN256" i="4"/>
  <c r="CO256" i="4"/>
  <c r="CP256" i="4"/>
  <c r="CQ256" i="4"/>
  <c r="CR256" i="4"/>
  <c r="CS256" i="4"/>
  <c r="CT256" i="4"/>
  <c r="CU256" i="4"/>
  <c r="CV256" i="4"/>
  <c r="CW256" i="4"/>
  <c r="CX256" i="4"/>
  <c r="CY256" i="4"/>
  <c r="CZ256" i="4"/>
  <c r="DA256" i="4"/>
  <c r="DB256" i="4"/>
  <c r="DC256" i="4"/>
  <c r="DD256" i="4"/>
  <c r="DE256" i="4"/>
  <c r="DF256" i="4"/>
  <c r="DG256" i="4"/>
  <c r="DH256" i="4"/>
  <c r="DI256" i="4"/>
  <c r="DJ256" i="4"/>
  <c r="DK256" i="4"/>
  <c r="DL256" i="4"/>
  <c r="DM256" i="4"/>
  <c r="DN256" i="4"/>
  <c r="DO256" i="4"/>
  <c r="DP256" i="4"/>
  <c r="DQ256" i="4"/>
  <c r="DR256" i="4"/>
  <c r="DS256" i="4"/>
  <c r="DT256" i="4"/>
  <c r="DU256" i="4"/>
  <c r="DV256" i="4"/>
  <c r="DW256" i="4"/>
  <c r="DX256" i="4"/>
  <c r="DY256" i="4"/>
  <c r="DZ256" i="4"/>
  <c r="EA256" i="4"/>
  <c r="EB256" i="4"/>
  <c r="EC256" i="4"/>
  <c r="ED256" i="4"/>
  <c r="EE256" i="4"/>
  <c r="EF256" i="4"/>
  <c r="EG256" i="4"/>
  <c r="EH256" i="4"/>
  <c r="EI256" i="4"/>
  <c r="EJ256" i="4"/>
  <c r="EK256" i="4"/>
  <c r="EL256" i="4"/>
  <c r="EM256" i="4"/>
  <c r="EN256" i="4"/>
  <c r="EO256" i="4"/>
  <c r="EP256" i="4"/>
  <c r="EQ256" i="4"/>
  <c r="ER256" i="4"/>
  <c r="ES256" i="4"/>
  <c r="ET256" i="4"/>
  <c r="EU256" i="4"/>
  <c r="EV256" i="4"/>
  <c r="EW256" i="4"/>
  <c r="EX256" i="4"/>
  <c r="EY256" i="4"/>
  <c r="EZ256" i="4"/>
  <c r="FA256" i="4"/>
  <c r="FB256" i="4"/>
  <c r="FC256" i="4"/>
  <c r="FD256" i="4"/>
  <c r="FE256" i="4"/>
  <c r="FF256" i="4"/>
  <c r="FG256" i="4"/>
  <c r="FH256" i="4"/>
  <c r="FI256" i="4"/>
  <c r="FJ256" i="4"/>
  <c r="FK256" i="4"/>
  <c r="FL256" i="4"/>
  <c r="FM256" i="4"/>
  <c r="FN256" i="4"/>
  <c r="FO256" i="4"/>
  <c r="FP256" i="4"/>
  <c r="FQ256" i="4"/>
  <c r="FR256" i="4"/>
  <c r="FS256" i="4"/>
  <c r="FT256" i="4"/>
  <c r="FU256" i="4"/>
  <c r="FV256" i="4"/>
  <c r="FW256" i="4"/>
  <c r="FX256" i="4"/>
  <c r="FY256" i="4"/>
  <c r="FZ256" i="4"/>
  <c r="GA256" i="4"/>
  <c r="GB256" i="4"/>
  <c r="GC256" i="4"/>
  <c r="GD256" i="4"/>
  <c r="GE256" i="4"/>
  <c r="GF256" i="4"/>
  <c r="GG256" i="4"/>
  <c r="GH256" i="4"/>
  <c r="GI256" i="4"/>
  <c r="GJ256" i="4"/>
  <c r="GK256" i="4"/>
  <c r="GL256" i="4"/>
  <c r="GM256" i="4"/>
  <c r="GN256" i="4"/>
  <c r="GO256" i="4"/>
  <c r="GP256" i="4"/>
  <c r="GQ256" i="4"/>
  <c r="GR256" i="4"/>
  <c r="GS256" i="4"/>
  <c r="GT256" i="4"/>
  <c r="GU256" i="4"/>
  <c r="GV256" i="4"/>
  <c r="GW256" i="4"/>
  <c r="GX256" i="4"/>
  <c r="GY256" i="4"/>
  <c r="GZ256" i="4"/>
  <c r="HA256" i="4"/>
  <c r="HB256" i="4"/>
  <c r="HC256" i="4"/>
  <c r="HD256" i="4"/>
  <c r="HE256" i="4"/>
  <c r="HF256" i="4"/>
  <c r="HG256" i="4"/>
  <c r="HH256" i="4"/>
  <c r="HI256" i="4"/>
  <c r="HJ256" i="4"/>
  <c r="HK256" i="4"/>
  <c r="HL256" i="4"/>
  <c r="HM256" i="4"/>
  <c r="HN256" i="4"/>
  <c r="HO256" i="4"/>
  <c r="HP256" i="4"/>
  <c r="HQ256" i="4"/>
  <c r="HR256" i="4"/>
  <c r="HS256" i="4"/>
  <c r="HT256" i="4"/>
  <c r="HU256" i="4"/>
  <c r="HV256" i="4"/>
  <c r="HW256" i="4"/>
  <c r="HX256" i="4"/>
  <c r="HY256" i="4"/>
  <c r="HZ256" i="4"/>
  <c r="IA256" i="4"/>
  <c r="IB256" i="4"/>
  <c r="IC256" i="4"/>
  <c r="ID256" i="4"/>
  <c r="IE256" i="4"/>
  <c r="IF256" i="4"/>
  <c r="IG256" i="4"/>
  <c r="IH256" i="4"/>
  <c r="II256" i="4"/>
  <c r="IJ256" i="4"/>
  <c r="IK256" i="4"/>
  <c r="IL256" i="4"/>
  <c r="IM256" i="4"/>
  <c r="IN256" i="4"/>
  <c r="IO256" i="4"/>
  <c r="IP256" i="4"/>
  <c r="IQ256" i="4"/>
  <c r="IR256" i="4"/>
  <c r="IS256" i="4"/>
  <c r="IT256" i="4"/>
  <c r="IU256" i="4"/>
  <c r="IV256" i="4"/>
  <c r="A255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AB255" i="4"/>
  <c r="AC255" i="4"/>
  <c r="AD255" i="4"/>
  <c r="AE255" i="4"/>
  <c r="AF255" i="4"/>
  <c r="AG255" i="4"/>
  <c r="AH255" i="4"/>
  <c r="AI255" i="4"/>
  <c r="AJ255" i="4"/>
  <c r="AK255" i="4"/>
  <c r="AL255" i="4"/>
  <c r="AM255" i="4"/>
  <c r="AN255" i="4"/>
  <c r="AO255" i="4"/>
  <c r="AP255" i="4"/>
  <c r="AQ255" i="4"/>
  <c r="AR255" i="4"/>
  <c r="AS255" i="4"/>
  <c r="AT255" i="4"/>
  <c r="AU255" i="4"/>
  <c r="AV255" i="4"/>
  <c r="AW255" i="4"/>
  <c r="AX255" i="4"/>
  <c r="AY255" i="4"/>
  <c r="AZ255" i="4"/>
  <c r="BA255" i="4"/>
  <c r="BB255" i="4"/>
  <c r="BC255" i="4"/>
  <c r="BD255" i="4"/>
  <c r="BE255" i="4"/>
  <c r="BF255" i="4"/>
  <c r="BG255" i="4"/>
  <c r="BH255" i="4"/>
  <c r="BI255" i="4"/>
  <c r="BJ255" i="4"/>
  <c r="BK255" i="4"/>
  <c r="BL255" i="4"/>
  <c r="BM255" i="4"/>
  <c r="BN255" i="4"/>
  <c r="BO255" i="4"/>
  <c r="BP255" i="4"/>
  <c r="BQ255" i="4"/>
  <c r="BR255" i="4"/>
  <c r="BS255" i="4"/>
  <c r="BT255" i="4"/>
  <c r="BU255" i="4"/>
  <c r="BV255" i="4"/>
  <c r="BW255" i="4"/>
  <c r="BX255" i="4"/>
  <c r="BY255" i="4"/>
  <c r="BZ255" i="4"/>
  <c r="CA255" i="4"/>
  <c r="CB255" i="4"/>
  <c r="CC255" i="4"/>
  <c r="CD255" i="4"/>
  <c r="CE255" i="4"/>
  <c r="CF255" i="4"/>
  <c r="CG255" i="4"/>
  <c r="CH255" i="4"/>
  <c r="CI255" i="4"/>
  <c r="CJ255" i="4"/>
  <c r="CK255" i="4"/>
  <c r="CL255" i="4"/>
  <c r="CM255" i="4"/>
  <c r="CN255" i="4"/>
  <c r="CO255" i="4"/>
  <c r="CP255" i="4"/>
  <c r="CQ255" i="4"/>
  <c r="CR255" i="4"/>
  <c r="CS255" i="4"/>
  <c r="CT255" i="4"/>
  <c r="CU255" i="4"/>
  <c r="CV255" i="4"/>
  <c r="CW255" i="4"/>
  <c r="CX255" i="4"/>
  <c r="CY255" i="4"/>
  <c r="CZ255" i="4"/>
  <c r="DA255" i="4"/>
  <c r="DB255" i="4"/>
  <c r="DC255" i="4"/>
  <c r="DD255" i="4"/>
  <c r="DE255" i="4"/>
  <c r="DF255" i="4"/>
  <c r="DG255" i="4"/>
  <c r="DH255" i="4"/>
  <c r="DI255" i="4"/>
  <c r="DJ255" i="4"/>
  <c r="DK255" i="4"/>
  <c r="DL255" i="4"/>
  <c r="DM255" i="4"/>
  <c r="DN255" i="4"/>
  <c r="DO255" i="4"/>
  <c r="DP255" i="4"/>
  <c r="DQ255" i="4"/>
  <c r="DR255" i="4"/>
  <c r="DS255" i="4"/>
  <c r="DT255" i="4"/>
  <c r="DU255" i="4"/>
  <c r="DV255" i="4"/>
  <c r="DW255" i="4"/>
  <c r="DX255" i="4"/>
  <c r="DY255" i="4"/>
  <c r="DZ255" i="4"/>
  <c r="EA255" i="4"/>
  <c r="EB255" i="4"/>
  <c r="EC255" i="4"/>
  <c r="ED255" i="4"/>
  <c r="EE255" i="4"/>
  <c r="EF255" i="4"/>
  <c r="EG255" i="4"/>
  <c r="EH255" i="4"/>
  <c r="EI255" i="4"/>
  <c r="EJ255" i="4"/>
  <c r="EK255" i="4"/>
  <c r="EL255" i="4"/>
  <c r="EM255" i="4"/>
  <c r="EN255" i="4"/>
  <c r="EO255" i="4"/>
  <c r="EP255" i="4"/>
  <c r="EQ255" i="4"/>
  <c r="ER255" i="4"/>
  <c r="ES255" i="4"/>
  <c r="ET255" i="4"/>
  <c r="EU255" i="4"/>
  <c r="EV255" i="4"/>
  <c r="EW255" i="4"/>
  <c r="EX255" i="4"/>
  <c r="EY255" i="4"/>
  <c r="EZ255" i="4"/>
  <c r="FA255" i="4"/>
  <c r="FB255" i="4"/>
  <c r="FC255" i="4"/>
  <c r="FD255" i="4"/>
  <c r="FE255" i="4"/>
  <c r="FF255" i="4"/>
  <c r="FG255" i="4"/>
  <c r="FH255" i="4"/>
  <c r="FI255" i="4"/>
  <c r="FJ255" i="4"/>
  <c r="FK255" i="4"/>
  <c r="FL255" i="4"/>
  <c r="FM255" i="4"/>
  <c r="FN255" i="4"/>
  <c r="FO255" i="4"/>
  <c r="FP255" i="4"/>
  <c r="FQ255" i="4"/>
  <c r="FR255" i="4"/>
  <c r="FS255" i="4"/>
  <c r="FT255" i="4"/>
  <c r="FU255" i="4"/>
  <c r="FV255" i="4"/>
  <c r="FW255" i="4"/>
  <c r="FX255" i="4"/>
  <c r="FY255" i="4"/>
  <c r="FZ255" i="4"/>
  <c r="GA255" i="4"/>
  <c r="GB255" i="4"/>
  <c r="GC255" i="4"/>
  <c r="GD255" i="4"/>
  <c r="GE255" i="4"/>
  <c r="GF255" i="4"/>
  <c r="GG255" i="4"/>
  <c r="GH255" i="4"/>
  <c r="GI255" i="4"/>
  <c r="GJ255" i="4"/>
  <c r="GK255" i="4"/>
  <c r="GL255" i="4"/>
  <c r="GM255" i="4"/>
  <c r="GN255" i="4"/>
  <c r="GO255" i="4"/>
  <c r="GP255" i="4"/>
  <c r="GQ255" i="4"/>
  <c r="GR255" i="4"/>
  <c r="GS255" i="4"/>
  <c r="GT255" i="4"/>
  <c r="GU255" i="4"/>
  <c r="GV255" i="4"/>
  <c r="GW255" i="4"/>
  <c r="GX255" i="4"/>
  <c r="GY255" i="4"/>
  <c r="GZ255" i="4"/>
  <c r="HA255" i="4"/>
  <c r="HB255" i="4"/>
  <c r="HC255" i="4"/>
  <c r="HD255" i="4"/>
  <c r="HE255" i="4"/>
  <c r="HF255" i="4"/>
  <c r="HG255" i="4"/>
  <c r="HH255" i="4"/>
  <c r="HI255" i="4"/>
  <c r="HJ255" i="4"/>
  <c r="HK255" i="4"/>
  <c r="HL255" i="4"/>
  <c r="HM255" i="4"/>
  <c r="HN255" i="4"/>
  <c r="HO255" i="4"/>
  <c r="HP255" i="4"/>
  <c r="HQ255" i="4"/>
  <c r="HR255" i="4"/>
  <c r="HS255" i="4"/>
  <c r="HT255" i="4"/>
  <c r="HU255" i="4"/>
  <c r="HV255" i="4"/>
  <c r="HW255" i="4"/>
  <c r="HX255" i="4"/>
  <c r="HY255" i="4"/>
  <c r="HZ255" i="4"/>
  <c r="IA255" i="4"/>
  <c r="IB255" i="4"/>
  <c r="IC255" i="4"/>
  <c r="ID255" i="4"/>
  <c r="IE255" i="4"/>
  <c r="IF255" i="4"/>
  <c r="IG255" i="4"/>
  <c r="IH255" i="4"/>
  <c r="II255" i="4"/>
  <c r="IJ255" i="4"/>
  <c r="IK255" i="4"/>
  <c r="IL255" i="4"/>
  <c r="IM255" i="4"/>
  <c r="IN255" i="4"/>
  <c r="IO255" i="4"/>
  <c r="IP255" i="4"/>
  <c r="IQ255" i="4"/>
  <c r="IR255" i="4"/>
  <c r="IS255" i="4"/>
  <c r="IT255" i="4"/>
  <c r="IU255" i="4"/>
  <c r="IV255" i="4"/>
  <c r="A254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AB254" i="4"/>
  <c r="AC254" i="4"/>
  <c r="AD254" i="4"/>
  <c r="AE254" i="4"/>
  <c r="AF254" i="4"/>
  <c r="AG254" i="4"/>
  <c r="AH254" i="4"/>
  <c r="AI254" i="4"/>
  <c r="AJ254" i="4"/>
  <c r="AK254" i="4"/>
  <c r="AL254" i="4"/>
  <c r="AM254" i="4"/>
  <c r="AN254" i="4"/>
  <c r="AO254" i="4"/>
  <c r="AP254" i="4"/>
  <c r="AQ254" i="4"/>
  <c r="AR254" i="4"/>
  <c r="AS254" i="4"/>
  <c r="AT254" i="4"/>
  <c r="AU254" i="4"/>
  <c r="AV254" i="4"/>
  <c r="AW254" i="4"/>
  <c r="AX254" i="4"/>
  <c r="AY254" i="4"/>
  <c r="AZ254" i="4"/>
  <c r="BA254" i="4"/>
  <c r="BB254" i="4"/>
  <c r="BC254" i="4"/>
  <c r="BD254" i="4"/>
  <c r="BE254" i="4"/>
  <c r="BF254" i="4"/>
  <c r="BG254" i="4"/>
  <c r="BH254" i="4"/>
  <c r="BI254" i="4"/>
  <c r="BJ254" i="4"/>
  <c r="BK254" i="4"/>
  <c r="BL254" i="4"/>
  <c r="BM254" i="4"/>
  <c r="BN254" i="4"/>
  <c r="BO254" i="4"/>
  <c r="BP254" i="4"/>
  <c r="BQ254" i="4"/>
  <c r="BR254" i="4"/>
  <c r="BS254" i="4"/>
  <c r="BT254" i="4"/>
  <c r="BU254" i="4"/>
  <c r="BV254" i="4"/>
  <c r="BW254" i="4"/>
  <c r="BX254" i="4"/>
  <c r="BY254" i="4"/>
  <c r="BZ254" i="4"/>
  <c r="CA254" i="4"/>
  <c r="CB254" i="4"/>
  <c r="CC254" i="4"/>
  <c r="CD254" i="4"/>
  <c r="CE254" i="4"/>
  <c r="CF254" i="4"/>
  <c r="CG254" i="4"/>
  <c r="CH254" i="4"/>
  <c r="CI254" i="4"/>
  <c r="CJ254" i="4"/>
  <c r="CK254" i="4"/>
  <c r="CL254" i="4"/>
  <c r="CM254" i="4"/>
  <c r="CN254" i="4"/>
  <c r="CO254" i="4"/>
  <c r="CP254" i="4"/>
  <c r="CQ254" i="4"/>
  <c r="CR254" i="4"/>
  <c r="CS254" i="4"/>
  <c r="CT254" i="4"/>
  <c r="CU254" i="4"/>
  <c r="CV254" i="4"/>
  <c r="CW254" i="4"/>
  <c r="CX254" i="4"/>
  <c r="CY254" i="4"/>
  <c r="CZ254" i="4"/>
  <c r="DA254" i="4"/>
  <c r="DB254" i="4"/>
  <c r="DC254" i="4"/>
  <c r="DD254" i="4"/>
  <c r="DE254" i="4"/>
  <c r="DF254" i="4"/>
  <c r="DG254" i="4"/>
  <c r="DH254" i="4"/>
  <c r="DI254" i="4"/>
  <c r="DJ254" i="4"/>
  <c r="DK254" i="4"/>
  <c r="DL254" i="4"/>
  <c r="DM254" i="4"/>
  <c r="DN254" i="4"/>
  <c r="DO254" i="4"/>
  <c r="DP254" i="4"/>
  <c r="DQ254" i="4"/>
  <c r="DR254" i="4"/>
  <c r="DS254" i="4"/>
  <c r="DT254" i="4"/>
  <c r="DU254" i="4"/>
  <c r="DV254" i="4"/>
  <c r="DW254" i="4"/>
  <c r="DX254" i="4"/>
  <c r="DY254" i="4"/>
  <c r="DZ254" i="4"/>
  <c r="EA254" i="4"/>
  <c r="EB254" i="4"/>
  <c r="EC254" i="4"/>
  <c r="ED254" i="4"/>
  <c r="EE254" i="4"/>
  <c r="EF254" i="4"/>
  <c r="EG254" i="4"/>
  <c r="EH254" i="4"/>
  <c r="EI254" i="4"/>
  <c r="EJ254" i="4"/>
  <c r="EK254" i="4"/>
  <c r="EL254" i="4"/>
  <c r="EM254" i="4"/>
  <c r="EN254" i="4"/>
  <c r="EO254" i="4"/>
  <c r="EP254" i="4"/>
  <c r="EQ254" i="4"/>
  <c r="ER254" i="4"/>
  <c r="ES254" i="4"/>
  <c r="ET254" i="4"/>
  <c r="EU254" i="4"/>
  <c r="EV254" i="4"/>
  <c r="EW254" i="4"/>
  <c r="EX254" i="4"/>
  <c r="EY254" i="4"/>
  <c r="EZ254" i="4"/>
  <c r="FA254" i="4"/>
  <c r="FB254" i="4"/>
  <c r="FC254" i="4"/>
  <c r="FD254" i="4"/>
  <c r="FE254" i="4"/>
  <c r="FF254" i="4"/>
  <c r="FG254" i="4"/>
  <c r="FH254" i="4"/>
  <c r="FI254" i="4"/>
  <c r="FJ254" i="4"/>
  <c r="FK254" i="4"/>
  <c r="FL254" i="4"/>
  <c r="FM254" i="4"/>
  <c r="FN254" i="4"/>
  <c r="FO254" i="4"/>
  <c r="FP254" i="4"/>
  <c r="FQ254" i="4"/>
  <c r="FR254" i="4"/>
  <c r="FS254" i="4"/>
  <c r="FT254" i="4"/>
  <c r="FU254" i="4"/>
  <c r="FV254" i="4"/>
  <c r="FW254" i="4"/>
  <c r="FX254" i="4"/>
  <c r="FY254" i="4"/>
  <c r="FZ254" i="4"/>
  <c r="GA254" i="4"/>
  <c r="GB254" i="4"/>
  <c r="GC254" i="4"/>
  <c r="GD254" i="4"/>
  <c r="GE254" i="4"/>
  <c r="GF254" i="4"/>
  <c r="GG254" i="4"/>
  <c r="GH254" i="4"/>
  <c r="GI254" i="4"/>
  <c r="GJ254" i="4"/>
  <c r="GK254" i="4"/>
  <c r="GL254" i="4"/>
  <c r="GM254" i="4"/>
  <c r="GN254" i="4"/>
  <c r="GO254" i="4"/>
  <c r="GP254" i="4"/>
  <c r="GQ254" i="4"/>
  <c r="GR254" i="4"/>
  <c r="GS254" i="4"/>
  <c r="GT254" i="4"/>
  <c r="GU254" i="4"/>
  <c r="GV254" i="4"/>
  <c r="GW254" i="4"/>
  <c r="GX254" i="4"/>
  <c r="GY254" i="4"/>
  <c r="GZ254" i="4"/>
  <c r="HA254" i="4"/>
  <c r="HB254" i="4"/>
  <c r="HC254" i="4"/>
  <c r="HD254" i="4"/>
  <c r="HE254" i="4"/>
  <c r="HF254" i="4"/>
  <c r="HG254" i="4"/>
  <c r="HH254" i="4"/>
  <c r="HI254" i="4"/>
  <c r="HJ254" i="4"/>
  <c r="HK254" i="4"/>
  <c r="HL254" i="4"/>
  <c r="HM254" i="4"/>
  <c r="HN254" i="4"/>
  <c r="HO254" i="4"/>
  <c r="HP254" i="4"/>
  <c r="HQ254" i="4"/>
  <c r="HR254" i="4"/>
  <c r="HS254" i="4"/>
  <c r="HT254" i="4"/>
  <c r="HU254" i="4"/>
  <c r="HV254" i="4"/>
  <c r="HW254" i="4"/>
  <c r="HX254" i="4"/>
  <c r="HY254" i="4"/>
  <c r="HZ254" i="4"/>
  <c r="IA254" i="4"/>
  <c r="IB254" i="4"/>
  <c r="IC254" i="4"/>
  <c r="ID254" i="4"/>
  <c r="IE254" i="4"/>
  <c r="IF254" i="4"/>
  <c r="IG254" i="4"/>
  <c r="IH254" i="4"/>
  <c r="II254" i="4"/>
  <c r="IJ254" i="4"/>
  <c r="IK254" i="4"/>
  <c r="IL254" i="4"/>
  <c r="IM254" i="4"/>
  <c r="IN254" i="4"/>
  <c r="IO254" i="4"/>
  <c r="IP254" i="4"/>
  <c r="IQ254" i="4"/>
  <c r="IR254" i="4"/>
  <c r="IS254" i="4"/>
  <c r="IT254" i="4"/>
  <c r="IU254" i="4"/>
  <c r="IV254" i="4"/>
  <c r="A253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AB253" i="4"/>
  <c r="AC253" i="4"/>
  <c r="AD253" i="4"/>
  <c r="AE253" i="4"/>
  <c r="AF253" i="4"/>
  <c r="AG253" i="4"/>
  <c r="AH253" i="4"/>
  <c r="AI253" i="4"/>
  <c r="AJ253" i="4"/>
  <c r="AK253" i="4"/>
  <c r="AL253" i="4"/>
  <c r="AM253" i="4"/>
  <c r="AN253" i="4"/>
  <c r="AO253" i="4"/>
  <c r="AP253" i="4"/>
  <c r="AQ253" i="4"/>
  <c r="AR253" i="4"/>
  <c r="AS253" i="4"/>
  <c r="AT253" i="4"/>
  <c r="AU253" i="4"/>
  <c r="AV253" i="4"/>
  <c r="AW253" i="4"/>
  <c r="AX253" i="4"/>
  <c r="AY253" i="4"/>
  <c r="AZ253" i="4"/>
  <c r="BA253" i="4"/>
  <c r="BB253" i="4"/>
  <c r="BC253" i="4"/>
  <c r="BD253" i="4"/>
  <c r="BE253" i="4"/>
  <c r="BF253" i="4"/>
  <c r="BG253" i="4"/>
  <c r="BH253" i="4"/>
  <c r="BI253" i="4"/>
  <c r="BJ253" i="4"/>
  <c r="BK253" i="4"/>
  <c r="BL253" i="4"/>
  <c r="BM253" i="4"/>
  <c r="BN253" i="4"/>
  <c r="BO253" i="4"/>
  <c r="BP253" i="4"/>
  <c r="BQ253" i="4"/>
  <c r="BR253" i="4"/>
  <c r="BS253" i="4"/>
  <c r="BT253" i="4"/>
  <c r="BU253" i="4"/>
  <c r="BV253" i="4"/>
  <c r="BW253" i="4"/>
  <c r="BX253" i="4"/>
  <c r="BY253" i="4"/>
  <c r="BZ253" i="4"/>
  <c r="CA253" i="4"/>
  <c r="CB253" i="4"/>
  <c r="CC253" i="4"/>
  <c r="CD253" i="4"/>
  <c r="CE253" i="4"/>
  <c r="CF253" i="4"/>
  <c r="CG253" i="4"/>
  <c r="CH253" i="4"/>
  <c r="CI253" i="4"/>
  <c r="CJ253" i="4"/>
  <c r="CK253" i="4"/>
  <c r="CL253" i="4"/>
  <c r="CM253" i="4"/>
  <c r="CN253" i="4"/>
  <c r="CO253" i="4"/>
  <c r="CP253" i="4"/>
  <c r="CQ253" i="4"/>
  <c r="CR253" i="4"/>
  <c r="CS253" i="4"/>
  <c r="CT253" i="4"/>
  <c r="CU253" i="4"/>
  <c r="CV253" i="4"/>
  <c r="CW253" i="4"/>
  <c r="CX253" i="4"/>
  <c r="CY253" i="4"/>
  <c r="CZ253" i="4"/>
  <c r="DA253" i="4"/>
  <c r="DB253" i="4"/>
  <c r="DC253" i="4"/>
  <c r="DD253" i="4"/>
  <c r="DE253" i="4"/>
  <c r="DF253" i="4"/>
  <c r="DG253" i="4"/>
  <c r="DH253" i="4"/>
  <c r="DI253" i="4"/>
  <c r="DJ253" i="4"/>
  <c r="DK253" i="4"/>
  <c r="DL253" i="4"/>
  <c r="DM253" i="4"/>
  <c r="DN253" i="4"/>
  <c r="DO253" i="4"/>
  <c r="DP253" i="4"/>
  <c r="DQ253" i="4"/>
  <c r="DR253" i="4"/>
  <c r="DS253" i="4"/>
  <c r="DT253" i="4"/>
  <c r="DU253" i="4"/>
  <c r="DV253" i="4"/>
  <c r="DW253" i="4"/>
  <c r="DX253" i="4"/>
  <c r="DY253" i="4"/>
  <c r="DZ253" i="4"/>
  <c r="EA253" i="4"/>
  <c r="EB253" i="4"/>
  <c r="EC253" i="4"/>
  <c r="ED253" i="4"/>
  <c r="EE253" i="4"/>
  <c r="EF253" i="4"/>
  <c r="EG253" i="4"/>
  <c r="EH253" i="4"/>
  <c r="EI253" i="4"/>
  <c r="EJ253" i="4"/>
  <c r="EK253" i="4"/>
  <c r="EL253" i="4"/>
  <c r="EM253" i="4"/>
  <c r="EN253" i="4"/>
  <c r="EO253" i="4"/>
  <c r="EP253" i="4"/>
  <c r="EQ253" i="4"/>
  <c r="ER253" i="4"/>
  <c r="ES253" i="4"/>
  <c r="ET253" i="4"/>
  <c r="EU253" i="4"/>
  <c r="EV253" i="4"/>
  <c r="EW253" i="4"/>
  <c r="EX253" i="4"/>
  <c r="EY253" i="4"/>
  <c r="EZ253" i="4"/>
  <c r="FA253" i="4"/>
  <c r="FB253" i="4"/>
  <c r="FC253" i="4"/>
  <c r="FD253" i="4"/>
  <c r="FE253" i="4"/>
  <c r="FF253" i="4"/>
  <c r="FG253" i="4"/>
  <c r="FH253" i="4"/>
  <c r="FI253" i="4"/>
  <c r="FJ253" i="4"/>
  <c r="FK253" i="4"/>
  <c r="FL253" i="4"/>
  <c r="FM253" i="4"/>
  <c r="FN253" i="4"/>
  <c r="FO253" i="4"/>
  <c r="FP253" i="4"/>
  <c r="FQ253" i="4"/>
  <c r="FR253" i="4"/>
  <c r="FS253" i="4"/>
  <c r="FT253" i="4"/>
  <c r="FU253" i="4"/>
  <c r="FV253" i="4"/>
  <c r="FW253" i="4"/>
  <c r="FX253" i="4"/>
  <c r="FY253" i="4"/>
  <c r="FZ253" i="4"/>
  <c r="GA253" i="4"/>
  <c r="GB253" i="4"/>
  <c r="GC253" i="4"/>
  <c r="GD253" i="4"/>
  <c r="GE253" i="4"/>
  <c r="GF253" i="4"/>
  <c r="GG253" i="4"/>
  <c r="GH253" i="4"/>
  <c r="GI253" i="4"/>
  <c r="GJ253" i="4"/>
  <c r="GK253" i="4"/>
  <c r="GL253" i="4"/>
  <c r="GM253" i="4"/>
  <c r="GN253" i="4"/>
  <c r="GO253" i="4"/>
  <c r="GP253" i="4"/>
  <c r="GQ253" i="4"/>
  <c r="GR253" i="4"/>
  <c r="GS253" i="4"/>
  <c r="GT253" i="4"/>
  <c r="GU253" i="4"/>
  <c r="GV253" i="4"/>
  <c r="GW253" i="4"/>
  <c r="GX253" i="4"/>
  <c r="GY253" i="4"/>
  <c r="GZ253" i="4"/>
  <c r="HA253" i="4"/>
  <c r="HB253" i="4"/>
  <c r="HC253" i="4"/>
  <c r="HD253" i="4"/>
  <c r="HE253" i="4"/>
  <c r="HF253" i="4"/>
  <c r="HG253" i="4"/>
  <c r="HH253" i="4"/>
  <c r="HI253" i="4"/>
  <c r="HJ253" i="4"/>
  <c r="HK253" i="4"/>
  <c r="HL253" i="4"/>
  <c r="HM253" i="4"/>
  <c r="HN253" i="4"/>
  <c r="HO253" i="4"/>
  <c r="HP253" i="4"/>
  <c r="HQ253" i="4"/>
  <c r="HR253" i="4"/>
  <c r="HS253" i="4"/>
  <c r="HT253" i="4"/>
  <c r="HU253" i="4"/>
  <c r="HV253" i="4"/>
  <c r="HW253" i="4"/>
  <c r="HX253" i="4"/>
  <c r="HY253" i="4"/>
  <c r="HZ253" i="4"/>
  <c r="IA253" i="4"/>
  <c r="IB253" i="4"/>
  <c r="IC253" i="4"/>
  <c r="ID253" i="4"/>
  <c r="IE253" i="4"/>
  <c r="IF253" i="4"/>
  <c r="IG253" i="4"/>
  <c r="IH253" i="4"/>
  <c r="II253" i="4"/>
  <c r="IJ253" i="4"/>
  <c r="IK253" i="4"/>
  <c r="IL253" i="4"/>
  <c r="IM253" i="4"/>
  <c r="IN253" i="4"/>
  <c r="IO253" i="4"/>
  <c r="IP253" i="4"/>
  <c r="IQ253" i="4"/>
  <c r="IR253" i="4"/>
  <c r="IS253" i="4"/>
  <c r="IT253" i="4"/>
  <c r="IU253" i="4"/>
  <c r="IV253" i="4"/>
  <c r="A252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AB252" i="4"/>
  <c r="AC252" i="4"/>
  <c r="AD252" i="4"/>
  <c r="AE252" i="4"/>
  <c r="AF252" i="4"/>
  <c r="AG252" i="4"/>
  <c r="AH252" i="4"/>
  <c r="AI252" i="4"/>
  <c r="AJ252" i="4"/>
  <c r="AK252" i="4"/>
  <c r="AL252" i="4"/>
  <c r="AM252" i="4"/>
  <c r="AN252" i="4"/>
  <c r="AO252" i="4"/>
  <c r="AP252" i="4"/>
  <c r="AQ252" i="4"/>
  <c r="AR252" i="4"/>
  <c r="AS252" i="4"/>
  <c r="AT252" i="4"/>
  <c r="AU252" i="4"/>
  <c r="AV252" i="4"/>
  <c r="AW252" i="4"/>
  <c r="AX252" i="4"/>
  <c r="AY252" i="4"/>
  <c r="AZ252" i="4"/>
  <c r="BA252" i="4"/>
  <c r="BB252" i="4"/>
  <c r="BC252" i="4"/>
  <c r="BD252" i="4"/>
  <c r="BE252" i="4"/>
  <c r="BF252" i="4"/>
  <c r="BG252" i="4"/>
  <c r="BH252" i="4"/>
  <c r="BI252" i="4"/>
  <c r="BJ252" i="4"/>
  <c r="BK252" i="4"/>
  <c r="BL252" i="4"/>
  <c r="BM252" i="4"/>
  <c r="BN252" i="4"/>
  <c r="BO252" i="4"/>
  <c r="BP252" i="4"/>
  <c r="BQ252" i="4"/>
  <c r="BR252" i="4"/>
  <c r="BS252" i="4"/>
  <c r="BT252" i="4"/>
  <c r="BU252" i="4"/>
  <c r="BV252" i="4"/>
  <c r="BW252" i="4"/>
  <c r="BX252" i="4"/>
  <c r="BY252" i="4"/>
  <c r="BZ252" i="4"/>
  <c r="CA252" i="4"/>
  <c r="CB252" i="4"/>
  <c r="CC252" i="4"/>
  <c r="CD252" i="4"/>
  <c r="CE252" i="4"/>
  <c r="CF252" i="4"/>
  <c r="CG252" i="4"/>
  <c r="CH252" i="4"/>
  <c r="CI252" i="4"/>
  <c r="CJ252" i="4"/>
  <c r="CK252" i="4"/>
  <c r="CL252" i="4"/>
  <c r="CM252" i="4"/>
  <c r="CN252" i="4"/>
  <c r="CO252" i="4"/>
  <c r="CP252" i="4"/>
  <c r="CQ252" i="4"/>
  <c r="CR252" i="4"/>
  <c r="CS252" i="4"/>
  <c r="CT252" i="4"/>
  <c r="CU252" i="4"/>
  <c r="CV252" i="4"/>
  <c r="CW252" i="4"/>
  <c r="CX252" i="4"/>
  <c r="CY252" i="4"/>
  <c r="CZ252" i="4"/>
  <c r="DA252" i="4"/>
  <c r="DB252" i="4"/>
  <c r="DC252" i="4"/>
  <c r="DD252" i="4"/>
  <c r="DE252" i="4"/>
  <c r="DF252" i="4"/>
  <c r="DG252" i="4"/>
  <c r="DH252" i="4"/>
  <c r="DI252" i="4"/>
  <c r="DJ252" i="4"/>
  <c r="DK252" i="4"/>
  <c r="DL252" i="4"/>
  <c r="DM252" i="4"/>
  <c r="DN252" i="4"/>
  <c r="DO252" i="4"/>
  <c r="DP252" i="4"/>
  <c r="DQ252" i="4"/>
  <c r="DR252" i="4"/>
  <c r="DS252" i="4"/>
  <c r="DT252" i="4"/>
  <c r="DU252" i="4"/>
  <c r="DV252" i="4"/>
  <c r="DW252" i="4"/>
  <c r="DX252" i="4"/>
  <c r="DY252" i="4"/>
  <c r="DZ252" i="4"/>
  <c r="EA252" i="4"/>
  <c r="EB252" i="4"/>
  <c r="EC252" i="4"/>
  <c r="ED252" i="4"/>
  <c r="EE252" i="4"/>
  <c r="EF252" i="4"/>
  <c r="EG252" i="4"/>
  <c r="EH252" i="4"/>
  <c r="EI252" i="4"/>
  <c r="EJ252" i="4"/>
  <c r="EK252" i="4"/>
  <c r="EL252" i="4"/>
  <c r="EM252" i="4"/>
  <c r="EN252" i="4"/>
  <c r="EO252" i="4"/>
  <c r="EP252" i="4"/>
  <c r="EQ252" i="4"/>
  <c r="ER252" i="4"/>
  <c r="ES252" i="4"/>
  <c r="ET252" i="4"/>
  <c r="EU252" i="4"/>
  <c r="EV252" i="4"/>
  <c r="EW252" i="4"/>
  <c r="EX252" i="4"/>
  <c r="EY252" i="4"/>
  <c r="EZ252" i="4"/>
  <c r="FA252" i="4"/>
  <c r="FB252" i="4"/>
  <c r="FC252" i="4"/>
  <c r="FD252" i="4"/>
  <c r="FE252" i="4"/>
  <c r="FF252" i="4"/>
  <c r="FG252" i="4"/>
  <c r="FH252" i="4"/>
  <c r="FI252" i="4"/>
  <c r="FJ252" i="4"/>
  <c r="FK252" i="4"/>
  <c r="FL252" i="4"/>
  <c r="FM252" i="4"/>
  <c r="FN252" i="4"/>
  <c r="FO252" i="4"/>
  <c r="FP252" i="4"/>
  <c r="FQ252" i="4"/>
  <c r="FR252" i="4"/>
  <c r="FS252" i="4"/>
  <c r="FT252" i="4"/>
  <c r="FU252" i="4"/>
  <c r="FV252" i="4"/>
  <c r="FW252" i="4"/>
  <c r="FX252" i="4"/>
  <c r="FY252" i="4"/>
  <c r="FZ252" i="4"/>
  <c r="GA252" i="4"/>
  <c r="GB252" i="4"/>
  <c r="GC252" i="4"/>
  <c r="GD252" i="4"/>
  <c r="GE252" i="4"/>
  <c r="GF252" i="4"/>
  <c r="GG252" i="4"/>
  <c r="GH252" i="4"/>
  <c r="GI252" i="4"/>
  <c r="GJ252" i="4"/>
  <c r="GK252" i="4"/>
  <c r="GL252" i="4"/>
  <c r="GM252" i="4"/>
  <c r="GN252" i="4"/>
  <c r="GO252" i="4"/>
  <c r="GP252" i="4"/>
  <c r="GQ252" i="4"/>
  <c r="GR252" i="4"/>
  <c r="GS252" i="4"/>
  <c r="GT252" i="4"/>
  <c r="GU252" i="4"/>
  <c r="GV252" i="4"/>
  <c r="GW252" i="4"/>
  <c r="GX252" i="4"/>
  <c r="GY252" i="4"/>
  <c r="GZ252" i="4"/>
  <c r="HA252" i="4"/>
  <c r="HB252" i="4"/>
  <c r="HC252" i="4"/>
  <c r="HD252" i="4"/>
  <c r="HE252" i="4"/>
  <c r="HF252" i="4"/>
  <c r="HG252" i="4"/>
  <c r="HH252" i="4"/>
  <c r="HI252" i="4"/>
  <c r="HJ252" i="4"/>
  <c r="HK252" i="4"/>
  <c r="HL252" i="4"/>
  <c r="HM252" i="4"/>
  <c r="HN252" i="4"/>
  <c r="HO252" i="4"/>
  <c r="HP252" i="4"/>
  <c r="HQ252" i="4"/>
  <c r="HR252" i="4"/>
  <c r="HS252" i="4"/>
  <c r="HT252" i="4"/>
  <c r="HU252" i="4"/>
  <c r="HV252" i="4"/>
  <c r="HW252" i="4"/>
  <c r="HX252" i="4"/>
  <c r="HY252" i="4"/>
  <c r="HZ252" i="4"/>
  <c r="IA252" i="4"/>
  <c r="IB252" i="4"/>
  <c r="IC252" i="4"/>
  <c r="ID252" i="4"/>
  <c r="IE252" i="4"/>
  <c r="IF252" i="4"/>
  <c r="IG252" i="4"/>
  <c r="IH252" i="4"/>
  <c r="II252" i="4"/>
  <c r="IJ252" i="4"/>
  <c r="IK252" i="4"/>
  <c r="IL252" i="4"/>
  <c r="IM252" i="4"/>
  <c r="IN252" i="4"/>
  <c r="IO252" i="4"/>
  <c r="IP252" i="4"/>
  <c r="IQ252" i="4"/>
  <c r="IR252" i="4"/>
  <c r="IS252" i="4"/>
  <c r="IT252" i="4"/>
  <c r="IU252" i="4"/>
  <c r="IV252" i="4"/>
  <c r="A251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AB251" i="4"/>
  <c r="AC251" i="4"/>
  <c r="AD251" i="4"/>
  <c r="AE251" i="4"/>
  <c r="AF251" i="4"/>
  <c r="AG251" i="4"/>
  <c r="AH251" i="4"/>
  <c r="AI251" i="4"/>
  <c r="AJ251" i="4"/>
  <c r="AK251" i="4"/>
  <c r="AL251" i="4"/>
  <c r="AM251" i="4"/>
  <c r="AN251" i="4"/>
  <c r="AO251" i="4"/>
  <c r="AP251" i="4"/>
  <c r="AQ251" i="4"/>
  <c r="AR251" i="4"/>
  <c r="AS251" i="4"/>
  <c r="AT251" i="4"/>
  <c r="AU251" i="4"/>
  <c r="AV251" i="4"/>
  <c r="AW251" i="4"/>
  <c r="AX251" i="4"/>
  <c r="AY251" i="4"/>
  <c r="AZ251" i="4"/>
  <c r="BA251" i="4"/>
  <c r="BB251" i="4"/>
  <c r="BC251" i="4"/>
  <c r="BD251" i="4"/>
  <c r="BE251" i="4"/>
  <c r="BF251" i="4"/>
  <c r="BG251" i="4"/>
  <c r="BH251" i="4"/>
  <c r="BI251" i="4"/>
  <c r="BJ251" i="4"/>
  <c r="BK251" i="4"/>
  <c r="BL251" i="4"/>
  <c r="BM251" i="4"/>
  <c r="BN251" i="4"/>
  <c r="BO251" i="4"/>
  <c r="BP251" i="4"/>
  <c r="BQ251" i="4"/>
  <c r="BR251" i="4"/>
  <c r="BS251" i="4"/>
  <c r="BT251" i="4"/>
  <c r="BU251" i="4"/>
  <c r="BV251" i="4"/>
  <c r="BW251" i="4"/>
  <c r="BX251" i="4"/>
  <c r="BY251" i="4"/>
  <c r="BZ251" i="4"/>
  <c r="CA251" i="4"/>
  <c r="CB251" i="4"/>
  <c r="CC251" i="4"/>
  <c r="CD251" i="4"/>
  <c r="CE251" i="4"/>
  <c r="CF251" i="4"/>
  <c r="CG251" i="4"/>
  <c r="CH251" i="4"/>
  <c r="CI251" i="4"/>
  <c r="CJ251" i="4"/>
  <c r="CK251" i="4"/>
  <c r="CL251" i="4"/>
  <c r="CM251" i="4"/>
  <c r="CN251" i="4"/>
  <c r="CO251" i="4"/>
  <c r="CP251" i="4"/>
  <c r="CQ251" i="4"/>
  <c r="CR251" i="4"/>
  <c r="CS251" i="4"/>
  <c r="CT251" i="4"/>
  <c r="CU251" i="4"/>
  <c r="CV251" i="4"/>
  <c r="CW251" i="4"/>
  <c r="CX251" i="4"/>
  <c r="CY251" i="4"/>
  <c r="CZ251" i="4"/>
  <c r="DA251" i="4"/>
  <c r="DB251" i="4"/>
  <c r="DC251" i="4"/>
  <c r="DD251" i="4"/>
  <c r="DE251" i="4"/>
  <c r="DF251" i="4"/>
  <c r="DG251" i="4"/>
  <c r="DH251" i="4"/>
  <c r="DI251" i="4"/>
  <c r="DJ251" i="4"/>
  <c r="DK251" i="4"/>
  <c r="DL251" i="4"/>
  <c r="DM251" i="4"/>
  <c r="DN251" i="4"/>
  <c r="DO251" i="4"/>
  <c r="DP251" i="4"/>
  <c r="DQ251" i="4"/>
  <c r="DR251" i="4"/>
  <c r="DS251" i="4"/>
  <c r="DT251" i="4"/>
  <c r="DU251" i="4"/>
  <c r="DV251" i="4"/>
  <c r="DW251" i="4"/>
  <c r="DX251" i="4"/>
  <c r="DY251" i="4"/>
  <c r="DZ251" i="4"/>
  <c r="EA251" i="4"/>
  <c r="EB251" i="4"/>
  <c r="EC251" i="4"/>
  <c r="ED251" i="4"/>
  <c r="EE251" i="4"/>
  <c r="EF251" i="4"/>
  <c r="EG251" i="4"/>
  <c r="EH251" i="4"/>
  <c r="EI251" i="4"/>
  <c r="EJ251" i="4"/>
  <c r="EK251" i="4"/>
  <c r="EL251" i="4"/>
  <c r="EM251" i="4"/>
  <c r="EN251" i="4"/>
  <c r="EO251" i="4"/>
  <c r="EP251" i="4"/>
  <c r="EQ251" i="4"/>
  <c r="ER251" i="4"/>
  <c r="ES251" i="4"/>
  <c r="ET251" i="4"/>
  <c r="EU251" i="4"/>
  <c r="EV251" i="4"/>
  <c r="EW251" i="4"/>
  <c r="EX251" i="4"/>
  <c r="EY251" i="4"/>
  <c r="EZ251" i="4"/>
  <c r="FA251" i="4"/>
  <c r="FB251" i="4"/>
  <c r="FC251" i="4"/>
  <c r="FD251" i="4"/>
  <c r="FE251" i="4"/>
  <c r="FF251" i="4"/>
  <c r="FG251" i="4"/>
  <c r="FH251" i="4"/>
  <c r="FI251" i="4"/>
  <c r="FJ251" i="4"/>
  <c r="FK251" i="4"/>
  <c r="FL251" i="4"/>
  <c r="FM251" i="4"/>
  <c r="FN251" i="4"/>
  <c r="FO251" i="4"/>
  <c r="FP251" i="4"/>
  <c r="FQ251" i="4"/>
  <c r="FR251" i="4"/>
  <c r="FS251" i="4"/>
  <c r="FT251" i="4"/>
  <c r="FU251" i="4"/>
  <c r="FV251" i="4"/>
  <c r="FW251" i="4"/>
  <c r="FX251" i="4"/>
  <c r="FY251" i="4"/>
  <c r="FZ251" i="4"/>
  <c r="GA251" i="4"/>
  <c r="GB251" i="4"/>
  <c r="GC251" i="4"/>
  <c r="GD251" i="4"/>
  <c r="GE251" i="4"/>
  <c r="GF251" i="4"/>
  <c r="GG251" i="4"/>
  <c r="GH251" i="4"/>
  <c r="GI251" i="4"/>
  <c r="GJ251" i="4"/>
  <c r="GK251" i="4"/>
  <c r="GL251" i="4"/>
  <c r="GM251" i="4"/>
  <c r="GN251" i="4"/>
  <c r="GO251" i="4"/>
  <c r="GP251" i="4"/>
  <c r="GQ251" i="4"/>
  <c r="GR251" i="4"/>
  <c r="GS251" i="4"/>
  <c r="GT251" i="4"/>
  <c r="GU251" i="4"/>
  <c r="GV251" i="4"/>
  <c r="GW251" i="4"/>
  <c r="GX251" i="4"/>
  <c r="GY251" i="4"/>
  <c r="GZ251" i="4"/>
  <c r="HA251" i="4"/>
  <c r="HB251" i="4"/>
  <c r="HC251" i="4"/>
  <c r="HD251" i="4"/>
  <c r="HE251" i="4"/>
  <c r="HF251" i="4"/>
  <c r="HG251" i="4"/>
  <c r="HH251" i="4"/>
  <c r="HI251" i="4"/>
  <c r="HJ251" i="4"/>
  <c r="HK251" i="4"/>
  <c r="HL251" i="4"/>
  <c r="HM251" i="4"/>
  <c r="HN251" i="4"/>
  <c r="HO251" i="4"/>
  <c r="HP251" i="4"/>
  <c r="HQ251" i="4"/>
  <c r="HR251" i="4"/>
  <c r="HS251" i="4"/>
  <c r="HT251" i="4"/>
  <c r="HU251" i="4"/>
  <c r="HV251" i="4"/>
  <c r="HW251" i="4"/>
  <c r="HX251" i="4"/>
  <c r="HY251" i="4"/>
  <c r="HZ251" i="4"/>
  <c r="IA251" i="4"/>
  <c r="IB251" i="4"/>
  <c r="IC251" i="4"/>
  <c r="ID251" i="4"/>
  <c r="IE251" i="4"/>
  <c r="IF251" i="4"/>
  <c r="IG251" i="4"/>
  <c r="IH251" i="4"/>
  <c r="II251" i="4"/>
  <c r="IJ251" i="4"/>
  <c r="IK251" i="4"/>
  <c r="IL251" i="4"/>
  <c r="IM251" i="4"/>
  <c r="IN251" i="4"/>
  <c r="IO251" i="4"/>
  <c r="IP251" i="4"/>
  <c r="IQ251" i="4"/>
  <c r="IR251" i="4"/>
  <c r="IS251" i="4"/>
  <c r="IT251" i="4"/>
  <c r="IU251" i="4"/>
  <c r="IV251" i="4"/>
  <c r="A250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AB250" i="4"/>
  <c r="AC250" i="4"/>
  <c r="AD250" i="4"/>
  <c r="AE250" i="4"/>
  <c r="AF250" i="4"/>
  <c r="AG250" i="4"/>
  <c r="AH250" i="4"/>
  <c r="AI250" i="4"/>
  <c r="AJ250" i="4"/>
  <c r="AK250" i="4"/>
  <c r="AL250" i="4"/>
  <c r="AM250" i="4"/>
  <c r="AN250" i="4"/>
  <c r="AO250" i="4"/>
  <c r="AP250" i="4"/>
  <c r="AQ250" i="4"/>
  <c r="AR250" i="4"/>
  <c r="AS250" i="4"/>
  <c r="AT250" i="4"/>
  <c r="AU250" i="4"/>
  <c r="AV250" i="4"/>
  <c r="AW250" i="4"/>
  <c r="AX250" i="4"/>
  <c r="AY250" i="4"/>
  <c r="AZ250" i="4"/>
  <c r="BA250" i="4"/>
  <c r="BB250" i="4"/>
  <c r="BC250" i="4"/>
  <c r="BD250" i="4"/>
  <c r="BE250" i="4"/>
  <c r="BF250" i="4"/>
  <c r="BG250" i="4"/>
  <c r="BH250" i="4"/>
  <c r="BI250" i="4"/>
  <c r="BJ250" i="4"/>
  <c r="BK250" i="4"/>
  <c r="BL250" i="4"/>
  <c r="BM250" i="4"/>
  <c r="BN250" i="4"/>
  <c r="BO250" i="4"/>
  <c r="BP250" i="4"/>
  <c r="BQ250" i="4"/>
  <c r="BR250" i="4"/>
  <c r="BS250" i="4"/>
  <c r="BT250" i="4"/>
  <c r="BU250" i="4"/>
  <c r="BV250" i="4"/>
  <c r="BW250" i="4"/>
  <c r="BX250" i="4"/>
  <c r="BY250" i="4"/>
  <c r="BZ250" i="4"/>
  <c r="CA250" i="4"/>
  <c r="CB250" i="4"/>
  <c r="CC250" i="4"/>
  <c r="CD250" i="4"/>
  <c r="CE250" i="4"/>
  <c r="CF250" i="4"/>
  <c r="CG250" i="4"/>
  <c r="CH250" i="4"/>
  <c r="CI250" i="4"/>
  <c r="CJ250" i="4"/>
  <c r="CK250" i="4"/>
  <c r="CL250" i="4"/>
  <c r="CM250" i="4"/>
  <c r="CN250" i="4"/>
  <c r="CO250" i="4"/>
  <c r="CP250" i="4"/>
  <c r="CQ250" i="4"/>
  <c r="CR250" i="4"/>
  <c r="CS250" i="4"/>
  <c r="CT250" i="4"/>
  <c r="CU250" i="4"/>
  <c r="CV250" i="4"/>
  <c r="CW250" i="4"/>
  <c r="CX250" i="4"/>
  <c r="CY250" i="4"/>
  <c r="CZ250" i="4"/>
  <c r="DA250" i="4"/>
  <c r="DB250" i="4"/>
  <c r="DC250" i="4"/>
  <c r="DD250" i="4"/>
  <c r="DE250" i="4"/>
  <c r="DF250" i="4"/>
  <c r="DG250" i="4"/>
  <c r="DH250" i="4"/>
  <c r="DI250" i="4"/>
  <c r="DJ250" i="4"/>
  <c r="DK250" i="4"/>
  <c r="DL250" i="4"/>
  <c r="DM250" i="4"/>
  <c r="DN250" i="4"/>
  <c r="DO250" i="4"/>
  <c r="DP250" i="4"/>
  <c r="DQ250" i="4"/>
  <c r="DR250" i="4"/>
  <c r="DS250" i="4"/>
  <c r="DT250" i="4"/>
  <c r="DU250" i="4"/>
  <c r="DV250" i="4"/>
  <c r="DW250" i="4"/>
  <c r="DX250" i="4"/>
  <c r="DY250" i="4"/>
  <c r="DZ250" i="4"/>
  <c r="EA250" i="4"/>
  <c r="EB250" i="4"/>
  <c r="EC250" i="4"/>
  <c r="ED250" i="4"/>
  <c r="EE250" i="4"/>
  <c r="EF250" i="4"/>
  <c r="EG250" i="4"/>
  <c r="EH250" i="4"/>
  <c r="EI250" i="4"/>
  <c r="EJ250" i="4"/>
  <c r="EK250" i="4"/>
  <c r="EL250" i="4"/>
  <c r="EM250" i="4"/>
  <c r="EN250" i="4"/>
  <c r="EO250" i="4"/>
  <c r="EP250" i="4"/>
  <c r="EQ250" i="4"/>
  <c r="ER250" i="4"/>
  <c r="ES250" i="4"/>
  <c r="ET250" i="4"/>
  <c r="EU250" i="4"/>
  <c r="EV250" i="4"/>
  <c r="EW250" i="4"/>
  <c r="EX250" i="4"/>
  <c r="EY250" i="4"/>
  <c r="EZ250" i="4"/>
  <c r="FA250" i="4"/>
  <c r="FB250" i="4"/>
  <c r="FC250" i="4"/>
  <c r="FD250" i="4"/>
  <c r="FE250" i="4"/>
  <c r="FF250" i="4"/>
  <c r="FG250" i="4"/>
  <c r="FH250" i="4"/>
  <c r="FI250" i="4"/>
  <c r="FJ250" i="4"/>
  <c r="FK250" i="4"/>
  <c r="FL250" i="4"/>
  <c r="FM250" i="4"/>
  <c r="FN250" i="4"/>
  <c r="FO250" i="4"/>
  <c r="FP250" i="4"/>
  <c r="FQ250" i="4"/>
  <c r="FR250" i="4"/>
  <c r="FS250" i="4"/>
  <c r="FT250" i="4"/>
  <c r="FU250" i="4"/>
  <c r="FV250" i="4"/>
  <c r="FW250" i="4"/>
  <c r="FX250" i="4"/>
  <c r="FY250" i="4"/>
  <c r="FZ250" i="4"/>
  <c r="GA250" i="4"/>
  <c r="GB250" i="4"/>
  <c r="GC250" i="4"/>
  <c r="GD250" i="4"/>
  <c r="GE250" i="4"/>
  <c r="GF250" i="4"/>
  <c r="GG250" i="4"/>
  <c r="GH250" i="4"/>
  <c r="GI250" i="4"/>
  <c r="GJ250" i="4"/>
  <c r="GK250" i="4"/>
  <c r="GL250" i="4"/>
  <c r="GM250" i="4"/>
  <c r="GN250" i="4"/>
  <c r="GO250" i="4"/>
  <c r="GP250" i="4"/>
  <c r="GQ250" i="4"/>
  <c r="GR250" i="4"/>
  <c r="GS250" i="4"/>
  <c r="GT250" i="4"/>
  <c r="GU250" i="4"/>
  <c r="GV250" i="4"/>
  <c r="GW250" i="4"/>
  <c r="GX250" i="4"/>
  <c r="GY250" i="4"/>
  <c r="GZ250" i="4"/>
  <c r="HA250" i="4"/>
  <c r="HB250" i="4"/>
  <c r="HC250" i="4"/>
  <c r="HD250" i="4"/>
  <c r="HE250" i="4"/>
  <c r="HF250" i="4"/>
  <c r="HG250" i="4"/>
  <c r="HH250" i="4"/>
  <c r="HI250" i="4"/>
  <c r="HJ250" i="4"/>
  <c r="HK250" i="4"/>
  <c r="HL250" i="4"/>
  <c r="HM250" i="4"/>
  <c r="HN250" i="4"/>
  <c r="HO250" i="4"/>
  <c r="HP250" i="4"/>
  <c r="HQ250" i="4"/>
  <c r="HR250" i="4"/>
  <c r="HS250" i="4"/>
  <c r="HT250" i="4"/>
  <c r="HU250" i="4"/>
  <c r="HV250" i="4"/>
  <c r="HW250" i="4"/>
  <c r="HX250" i="4"/>
  <c r="HY250" i="4"/>
  <c r="HZ250" i="4"/>
  <c r="IA250" i="4"/>
  <c r="IB250" i="4"/>
  <c r="IC250" i="4"/>
  <c r="ID250" i="4"/>
  <c r="IE250" i="4"/>
  <c r="IF250" i="4"/>
  <c r="IG250" i="4"/>
  <c r="IH250" i="4"/>
  <c r="II250" i="4"/>
  <c r="IJ250" i="4"/>
  <c r="IK250" i="4"/>
  <c r="IL250" i="4"/>
  <c r="IM250" i="4"/>
  <c r="IN250" i="4"/>
  <c r="IO250" i="4"/>
  <c r="IP250" i="4"/>
  <c r="IQ250" i="4"/>
  <c r="IR250" i="4"/>
  <c r="IS250" i="4"/>
  <c r="IT250" i="4"/>
  <c r="IU250" i="4"/>
  <c r="IV250" i="4"/>
  <c r="A249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AB249" i="4"/>
  <c r="AC249" i="4"/>
  <c r="AD249" i="4"/>
  <c r="AE249" i="4"/>
  <c r="AF249" i="4"/>
  <c r="AG249" i="4"/>
  <c r="AH249" i="4"/>
  <c r="AI249" i="4"/>
  <c r="AJ249" i="4"/>
  <c r="AK249" i="4"/>
  <c r="AL249" i="4"/>
  <c r="AM249" i="4"/>
  <c r="AN249" i="4"/>
  <c r="AO249" i="4"/>
  <c r="AP249" i="4"/>
  <c r="AQ249" i="4"/>
  <c r="AR249" i="4"/>
  <c r="AS249" i="4"/>
  <c r="AT249" i="4"/>
  <c r="AU249" i="4"/>
  <c r="AV249" i="4"/>
  <c r="AW249" i="4"/>
  <c r="AX249" i="4"/>
  <c r="AY249" i="4"/>
  <c r="AZ249" i="4"/>
  <c r="BA249" i="4"/>
  <c r="BB249" i="4"/>
  <c r="BC249" i="4"/>
  <c r="BD249" i="4"/>
  <c r="BE249" i="4"/>
  <c r="BF249" i="4"/>
  <c r="BG249" i="4"/>
  <c r="BH249" i="4"/>
  <c r="BI249" i="4"/>
  <c r="BJ249" i="4"/>
  <c r="BK249" i="4"/>
  <c r="BL249" i="4"/>
  <c r="BM249" i="4"/>
  <c r="BN249" i="4"/>
  <c r="BO249" i="4"/>
  <c r="BP249" i="4"/>
  <c r="BQ249" i="4"/>
  <c r="BR249" i="4"/>
  <c r="BS249" i="4"/>
  <c r="BT249" i="4"/>
  <c r="BU249" i="4"/>
  <c r="BV249" i="4"/>
  <c r="BW249" i="4"/>
  <c r="BX249" i="4"/>
  <c r="BY249" i="4"/>
  <c r="BZ249" i="4"/>
  <c r="CA249" i="4"/>
  <c r="CB249" i="4"/>
  <c r="CC249" i="4"/>
  <c r="CD249" i="4"/>
  <c r="CE249" i="4"/>
  <c r="CF249" i="4"/>
  <c r="CG249" i="4"/>
  <c r="CH249" i="4"/>
  <c r="CI249" i="4"/>
  <c r="CJ249" i="4"/>
  <c r="CK249" i="4"/>
  <c r="CL249" i="4"/>
  <c r="CM249" i="4"/>
  <c r="CN249" i="4"/>
  <c r="CO249" i="4"/>
  <c r="CP249" i="4"/>
  <c r="CQ249" i="4"/>
  <c r="CR249" i="4"/>
  <c r="CS249" i="4"/>
  <c r="CT249" i="4"/>
  <c r="CU249" i="4"/>
  <c r="CV249" i="4"/>
  <c r="CW249" i="4"/>
  <c r="CX249" i="4"/>
  <c r="CY249" i="4"/>
  <c r="CZ249" i="4"/>
  <c r="DA249" i="4"/>
  <c r="DB249" i="4"/>
  <c r="DC249" i="4"/>
  <c r="DD249" i="4"/>
  <c r="DE249" i="4"/>
  <c r="DF249" i="4"/>
  <c r="DG249" i="4"/>
  <c r="DH249" i="4"/>
  <c r="DI249" i="4"/>
  <c r="DJ249" i="4"/>
  <c r="DK249" i="4"/>
  <c r="DL249" i="4"/>
  <c r="DM249" i="4"/>
  <c r="DN249" i="4"/>
  <c r="DO249" i="4"/>
  <c r="DP249" i="4"/>
  <c r="DQ249" i="4"/>
  <c r="DR249" i="4"/>
  <c r="DS249" i="4"/>
  <c r="DT249" i="4"/>
  <c r="DU249" i="4"/>
  <c r="DV249" i="4"/>
  <c r="DW249" i="4"/>
  <c r="DX249" i="4"/>
  <c r="DY249" i="4"/>
  <c r="DZ249" i="4"/>
  <c r="EA249" i="4"/>
  <c r="EB249" i="4"/>
  <c r="EC249" i="4"/>
  <c r="ED249" i="4"/>
  <c r="EE249" i="4"/>
  <c r="EF249" i="4"/>
  <c r="EG249" i="4"/>
  <c r="EH249" i="4"/>
  <c r="EI249" i="4"/>
  <c r="EJ249" i="4"/>
  <c r="EK249" i="4"/>
  <c r="EL249" i="4"/>
  <c r="EM249" i="4"/>
  <c r="EN249" i="4"/>
  <c r="EO249" i="4"/>
  <c r="EP249" i="4"/>
  <c r="EQ249" i="4"/>
  <c r="ER249" i="4"/>
  <c r="ES249" i="4"/>
  <c r="ET249" i="4"/>
  <c r="EU249" i="4"/>
  <c r="EV249" i="4"/>
  <c r="EW249" i="4"/>
  <c r="EX249" i="4"/>
  <c r="EY249" i="4"/>
  <c r="EZ249" i="4"/>
  <c r="FA249" i="4"/>
  <c r="FB249" i="4"/>
  <c r="FC249" i="4"/>
  <c r="FD249" i="4"/>
  <c r="FE249" i="4"/>
  <c r="FF249" i="4"/>
  <c r="FG249" i="4"/>
  <c r="FH249" i="4"/>
  <c r="FI249" i="4"/>
  <c r="FJ249" i="4"/>
  <c r="FK249" i="4"/>
  <c r="FL249" i="4"/>
  <c r="FM249" i="4"/>
  <c r="FN249" i="4"/>
  <c r="FO249" i="4"/>
  <c r="FP249" i="4"/>
  <c r="FQ249" i="4"/>
  <c r="FR249" i="4"/>
  <c r="FS249" i="4"/>
  <c r="FT249" i="4"/>
  <c r="FU249" i="4"/>
  <c r="FV249" i="4"/>
  <c r="FW249" i="4"/>
  <c r="FX249" i="4"/>
  <c r="FY249" i="4"/>
  <c r="FZ249" i="4"/>
  <c r="GA249" i="4"/>
  <c r="GB249" i="4"/>
  <c r="GC249" i="4"/>
  <c r="GD249" i="4"/>
  <c r="GE249" i="4"/>
  <c r="GF249" i="4"/>
  <c r="GG249" i="4"/>
  <c r="GH249" i="4"/>
  <c r="GI249" i="4"/>
  <c r="GJ249" i="4"/>
  <c r="GK249" i="4"/>
  <c r="GL249" i="4"/>
  <c r="GM249" i="4"/>
  <c r="GN249" i="4"/>
  <c r="GO249" i="4"/>
  <c r="GP249" i="4"/>
  <c r="GQ249" i="4"/>
  <c r="GR249" i="4"/>
  <c r="GS249" i="4"/>
  <c r="GT249" i="4"/>
  <c r="GU249" i="4"/>
  <c r="GV249" i="4"/>
  <c r="GW249" i="4"/>
  <c r="GX249" i="4"/>
  <c r="GY249" i="4"/>
  <c r="GZ249" i="4"/>
  <c r="HA249" i="4"/>
  <c r="HB249" i="4"/>
  <c r="HC249" i="4"/>
  <c r="HD249" i="4"/>
  <c r="HE249" i="4"/>
  <c r="HF249" i="4"/>
  <c r="HG249" i="4"/>
  <c r="HH249" i="4"/>
  <c r="HI249" i="4"/>
  <c r="HJ249" i="4"/>
  <c r="HK249" i="4"/>
  <c r="HL249" i="4"/>
  <c r="HM249" i="4"/>
  <c r="HN249" i="4"/>
  <c r="HO249" i="4"/>
  <c r="HP249" i="4"/>
  <c r="HQ249" i="4"/>
  <c r="HR249" i="4"/>
  <c r="HS249" i="4"/>
  <c r="HT249" i="4"/>
  <c r="HU249" i="4"/>
  <c r="HV249" i="4"/>
  <c r="HW249" i="4"/>
  <c r="HX249" i="4"/>
  <c r="HY249" i="4"/>
  <c r="HZ249" i="4"/>
  <c r="IA249" i="4"/>
  <c r="IB249" i="4"/>
  <c r="IC249" i="4"/>
  <c r="ID249" i="4"/>
  <c r="IE249" i="4"/>
  <c r="IF249" i="4"/>
  <c r="IG249" i="4"/>
  <c r="IH249" i="4"/>
  <c r="II249" i="4"/>
  <c r="IJ249" i="4"/>
  <c r="IK249" i="4"/>
  <c r="IL249" i="4"/>
  <c r="IM249" i="4"/>
  <c r="IN249" i="4"/>
  <c r="IO249" i="4"/>
  <c r="IP249" i="4"/>
  <c r="IQ249" i="4"/>
  <c r="IR249" i="4"/>
  <c r="IS249" i="4"/>
  <c r="IT249" i="4"/>
  <c r="IU249" i="4"/>
  <c r="IV249" i="4"/>
  <c r="A248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AB248" i="4"/>
  <c r="AC248" i="4"/>
  <c r="AD248" i="4"/>
  <c r="AE248" i="4"/>
  <c r="AF248" i="4"/>
  <c r="AG248" i="4"/>
  <c r="AH248" i="4"/>
  <c r="AI248" i="4"/>
  <c r="AJ248" i="4"/>
  <c r="AK248" i="4"/>
  <c r="AL248" i="4"/>
  <c r="AM248" i="4"/>
  <c r="AN248" i="4"/>
  <c r="AO248" i="4"/>
  <c r="AP248" i="4"/>
  <c r="AQ248" i="4"/>
  <c r="AR248" i="4"/>
  <c r="AS248" i="4"/>
  <c r="AT248" i="4"/>
  <c r="AU248" i="4"/>
  <c r="AV248" i="4"/>
  <c r="AW248" i="4"/>
  <c r="AX248" i="4"/>
  <c r="AY248" i="4"/>
  <c r="AZ248" i="4"/>
  <c r="BA248" i="4"/>
  <c r="BB248" i="4"/>
  <c r="BC248" i="4"/>
  <c r="BD248" i="4"/>
  <c r="BE248" i="4"/>
  <c r="BF248" i="4"/>
  <c r="BG248" i="4"/>
  <c r="BH248" i="4"/>
  <c r="BI248" i="4"/>
  <c r="BJ248" i="4"/>
  <c r="BK248" i="4"/>
  <c r="BL248" i="4"/>
  <c r="BM248" i="4"/>
  <c r="BN248" i="4"/>
  <c r="BO248" i="4"/>
  <c r="BP248" i="4"/>
  <c r="BQ248" i="4"/>
  <c r="BR248" i="4"/>
  <c r="BS248" i="4"/>
  <c r="BT248" i="4"/>
  <c r="BU248" i="4"/>
  <c r="BV248" i="4"/>
  <c r="BW248" i="4"/>
  <c r="BX248" i="4"/>
  <c r="BY248" i="4"/>
  <c r="BZ248" i="4"/>
  <c r="CA248" i="4"/>
  <c r="CB248" i="4"/>
  <c r="CC248" i="4"/>
  <c r="CD248" i="4"/>
  <c r="CE248" i="4"/>
  <c r="CF248" i="4"/>
  <c r="CG248" i="4"/>
  <c r="CH248" i="4"/>
  <c r="CI248" i="4"/>
  <c r="CJ248" i="4"/>
  <c r="CK248" i="4"/>
  <c r="CL248" i="4"/>
  <c r="CM248" i="4"/>
  <c r="CN248" i="4"/>
  <c r="CO248" i="4"/>
  <c r="CP248" i="4"/>
  <c r="CQ248" i="4"/>
  <c r="CR248" i="4"/>
  <c r="CS248" i="4"/>
  <c r="CT248" i="4"/>
  <c r="CU248" i="4"/>
  <c r="CV248" i="4"/>
  <c r="CW248" i="4"/>
  <c r="CX248" i="4"/>
  <c r="CY248" i="4"/>
  <c r="CZ248" i="4"/>
  <c r="DA248" i="4"/>
  <c r="DB248" i="4"/>
  <c r="DC248" i="4"/>
  <c r="DD248" i="4"/>
  <c r="DE248" i="4"/>
  <c r="DF248" i="4"/>
  <c r="DG248" i="4"/>
  <c r="DH248" i="4"/>
  <c r="DI248" i="4"/>
  <c r="DJ248" i="4"/>
  <c r="DK248" i="4"/>
  <c r="DL248" i="4"/>
  <c r="DM248" i="4"/>
  <c r="DN248" i="4"/>
  <c r="DO248" i="4"/>
  <c r="DP248" i="4"/>
  <c r="DQ248" i="4"/>
  <c r="DR248" i="4"/>
  <c r="DS248" i="4"/>
  <c r="DT248" i="4"/>
  <c r="DU248" i="4"/>
  <c r="DV248" i="4"/>
  <c r="DW248" i="4"/>
  <c r="DX248" i="4"/>
  <c r="DY248" i="4"/>
  <c r="DZ248" i="4"/>
  <c r="EA248" i="4"/>
  <c r="EB248" i="4"/>
  <c r="EC248" i="4"/>
  <c r="ED248" i="4"/>
  <c r="EE248" i="4"/>
  <c r="EF248" i="4"/>
  <c r="EG248" i="4"/>
  <c r="EH248" i="4"/>
  <c r="EI248" i="4"/>
  <c r="EJ248" i="4"/>
  <c r="EK248" i="4"/>
  <c r="EL248" i="4"/>
  <c r="EM248" i="4"/>
  <c r="EN248" i="4"/>
  <c r="EO248" i="4"/>
  <c r="EP248" i="4"/>
  <c r="EQ248" i="4"/>
  <c r="ER248" i="4"/>
  <c r="ES248" i="4"/>
  <c r="ET248" i="4"/>
  <c r="EU248" i="4"/>
  <c r="EV248" i="4"/>
  <c r="EW248" i="4"/>
  <c r="EX248" i="4"/>
  <c r="EY248" i="4"/>
  <c r="EZ248" i="4"/>
  <c r="FA248" i="4"/>
  <c r="FB248" i="4"/>
  <c r="FC248" i="4"/>
  <c r="FD248" i="4"/>
  <c r="FE248" i="4"/>
  <c r="FF248" i="4"/>
  <c r="FG248" i="4"/>
  <c r="FH248" i="4"/>
  <c r="FI248" i="4"/>
  <c r="FJ248" i="4"/>
  <c r="FK248" i="4"/>
  <c r="FL248" i="4"/>
  <c r="FM248" i="4"/>
  <c r="FN248" i="4"/>
  <c r="FO248" i="4"/>
  <c r="FP248" i="4"/>
  <c r="FQ248" i="4"/>
  <c r="FR248" i="4"/>
  <c r="FS248" i="4"/>
  <c r="FT248" i="4"/>
  <c r="FU248" i="4"/>
  <c r="FV248" i="4"/>
  <c r="FW248" i="4"/>
  <c r="FX248" i="4"/>
  <c r="FY248" i="4"/>
  <c r="FZ248" i="4"/>
  <c r="GA248" i="4"/>
  <c r="GB248" i="4"/>
  <c r="GC248" i="4"/>
  <c r="GD248" i="4"/>
  <c r="GE248" i="4"/>
  <c r="GF248" i="4"/>
  <c r="GG248" i="4"/>
  <c r="GH248" i="4"/>
  <c r="GI248" i="4"/>
  <c r="GJ248" i="4"/>
  <c r="GK248" i="4"/>
  <c r="GL248" i="4"/>
  <c r="GM248" i="4"/>
  <c r="GN248" i="4"/>
  <c r="GO248" i="4"/>
  <c r="GP248" i="4"/>
  <c r="GQ248" i="4"/>
  <c r="GR248" i="4"/>
  <c r="GS248" i="4"/>
  <c r="GT248" i="4"/>
  <c r="GU248" i="4"/>
  <c r="GV248" i="4"/>
  <c r="GW248" i="4"/>
  <c r="GX248" i="4"/>
  <c r="GY248" i="4"/>
  <c r="GZ248" i="4"/>
  <c r="HA248" i="4"/>
  <c r="HB248" i="4"/>
  <c r="HC248" i="4"/>
  <c r="HD248" i="4"/>
  <c r="HE248" i="4"/>
  <c r="HF248" i="4"/>
  <c r="HG248" i="4"/>
  <c r="HH248" i="4"/>
  <c r="HI248" i="4"/>
  <c r="HJ248" i="4"/>
  <c r="HK248" i="4"/>
  <c r="HL248" i="4"/>
  <c r="HM248" i="4"/>
  <c r="HN248" i="4"/>
  <c r="HO248" i="4"/>
  <c r="HP248" i="4"/>
  <c r="HQ248" i="4"/>
  <c r="HR248" i="4"/>
  <c r="HS248" i="4"/>
  <c r="HT248" i="4"/>
  <c r="HU248" i="4"/>
  <c r="HV248" i="4"/>
  <c r="HW248" i="4"/>
  <c r="HX248" i="4"/>
  <c r="HY248" i="4"/>
  <c r="HZ248" i="4"/>
  <c r="IA248" i="4"/>
  <c r="IB248" i="4"/>
  <c r="IC248" i="4"/>
  <c r="ID248" i="4"/>
  <c r="IE248" i="4"/>
  <c r="IF248" i="4"/>
  <c r="IG248" i="4"/>
  <c r="IH248" i="4"/>
  <c r="II248" i="4"/>
  <c r="IJ248" i="4"/>
  <c r="IK248" i="4"/>
  <c r="IL248" i="4"/>
  <c r="IM248" i="4"/>
  <c r="IN248" i="4"/>
  <c r="IO248" i="4"/>
  <c r="IP248" i="4"/>
  <c r="IQ248" i="4"/>
  <c r="IR248" i="4"/>
  <c r="IS248" i="4"/>
  <c r="IT248" i="4"/>
  <c r="IU248" i="4"/>
  <c r="IV248" i="4"/>
  <c r="A247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AB247" i="4"/>
  <c r="AC247" i="4"/>
  <c r="AD247" i="4"/>
  <c r="AE247" i="4"/>
  <c r="AF247" i="4"/>
  <c r="AG247" i="4"/>
  <c r="AH247" i="4"/>
  <c r="AI247" i="4"/>
  <c r="AJ247" i="4"/>
  <c r="AK247" i="4"/>
  <c r="AL247" i="4"/>
  <c r="AM247" i="4"/>
  <c r="AN247" i="4"/>
  <c r="AO247" i="4"/>
  <c r="AP247" i="4"/>
  <c r="AQ247" i="4"/>
  <c r="AR247" i="4"/>
  <c r="AS247" i="4"/>
  <c r="AT247" i="4"/>
  <c r="AU247" i="4"/>
  <c r="AV247" i="4"/>
  <c r="AW247" i="4"/>
  <c r="AX247" i="4"/>
  <c r="AY247" i="4"/>
  <c r="AZ247" i="4"/>
  <c r="BA247" i="4"/>
  <c r="BB247" i="4"/>
  <c r="BC247" i="4"/>
  <c r="BD247" i="4"/>
  <c r="BE247" i="4"/>
  <c r="BF247" i="4"/>
  <c r="BG247" i="4"/>
  <c r="BH247" i="4"/>
  <c r="BI247" i="4"/>
  <c r="BJ247" i="4"/>
  <c r="BK247" i="4"/>
  <c r="BL247" i="4"/>
  <c r="BM247" i="4"/>
  <c r="BN247" i="4"/>
  <c r="BO247" i="4"/>
  <c r="BP247" i="4"/>
  <c r="BQ247" i="4"/>
  <c r="BR247" i="4"/>
  <c r="BS247" i="4"/>
  <c r="BT247" i="4"/>
  <c r="BU247" i="4"/>
  <c r="BV247" i="4"/>
  <c r="BW247" i="4"/>
  <c r="BX247" i="4"/>
  <c r="BY247" i="4"/>
  <c r="BZ247" i="4"/>
  <c r="CA247" i="4"/>
  <c r="CB247" i="4"/>
  <c r="CC247" i="4"/>
  <c r="CD247" i="4"/>
  <c r="CE247" i="4"/>
  <c r="CF247" i="4"/>
  <c r="CG247" i="4"/>
  <c r="CH247" i="4"/>
  <c r="CI247" i="4"/>
  <c r="CJ247" i="4"/>
  <c r="CK247" i="4"/>
  <c r="CL247" i="4"/>
  <c r="CM247" i="4"/>
  <c r="CN247" i="4"/>
  <c r="CO247" i="4"/>
  <c r="CP247" i="4"/>
  <c r="CQ247" i="4"/>
  <c r="CR247" i="4"/>
  <c r="CS247" i="4"/>
  <c r="CT247" i="4"/>
  <c r="CU247" i="4"/>
  <c r="CV247" i="4"/>
  <c r="CW247" i="4"/>
  <c r="CX247" i="4"/>
  <c r="CY247" i="4"/>
  <c r="CZ247" i="4"/>
  <c r="DA247" i="4"/>
  <c r="DB247" i="4"/>
  <c r="DC247" i="4"/>
  <c r="DD247" i="4"/>
  <c r="DE247" i="4"/>
  <c r="DF247" i="4"/>
  <c r="DG247" i="4"/>
  <c r="DH247" i="4"/>
  <c r="DI247" i="4"/>
  <c r="DJ247" i="4"/>
  <c r="DK247" i="4"/>
  <c r="DL247" i="4"/>
  <c r="DM247" i="4"/>
  <c r="DN247" i="4"/>
  <c r="DO247" i="4"/>
  <c r="DP247" i="4"/>
  <c r="DQ247" i="4"/>
  <c r="DR247" i="4"/>
  <c r="DS247" i="4"/>
  <c r="DT247" i="4"/>
  <c r="DU247" i="4"/>
  <c r="DV247" i="4"/>
  <c r="DW247" i="4"/>
  <c r="DX247" i="4"/>
  <c r="DY247" i="4"/>
  <c r="DZ247" i="4"/>
  <c r="EA247" i="4"/>
  <c r="EB247" i="4"/>
  <c r="EC247" i="4"/>
  <c r="ED247" i="4"/>
  <c r="EE247" i="4"/>
  <c r="EF247" i="4"/>
  <c r="EG247" i="4"/>
  <c r="EH247" i="4"/>
  <c r="EI247" i="4"/>
  <c r="EJ247" i="4"/>
  <c r="EK247" i="4"/>
  <c r="EL247" i="4"/>
  <c r="EM247" i="4"/>
  <c r="EN247" i="4"/>
  <c r="EO247" i="4"/>
  <c r="EP247" i="4"/>
  <c r="EQ247" i="4"/>
  <c r="ER247" i="4"/>
  <c r="ES247" i="4"/>
  <c r="ET247" i="4"/>
  <c r="EU247" i="4"/>
  <c r="EV247" i="4"/>
  <c r="EW247" i="4"/>
  <c r="EX247" i="4"/>
  <c r="EY247" i="4"/>
  <c r="EZ247" i="4"/>
  <c r="FA247" i="4"/>
  <c r="FB247" i="4"/>
  <c r="FC247" i="4"/>
  <c r="FD247" i="4"/>
  <c r="FE247" i="4"/>
  <c r="FF247" i="4"/>
  <c r="FG247" i="4"/>
  <c r="FH247" i="4"/>
  <c r="FI247" i="4"/>
  <c r="FJ247" i="4"/>
  <c r="FK247" i="4"/>
  <c r="FL247" i="4"/>
  <c r="FM247" i="4"/>
  <c r="FN247" i="4"/>
  <c r="FO247" i="4"/>
  <c r="FP247" i="4"/>
  <c r="FQ247" i="4"/>
  <c r="FR247" i="4"/>
  <c r="FS247" i="4"/>
  <c r="FT247" i="4"/>
  <c r="FU247" i="4"/>
  <c r="FV247" i="4"/>
  <c r="FW247" i="4"/>
  <c r="FX247" i="4"/>
  <c r="FY247" i="4"/>
  <c r="FZ247" i="4"/>
  <c r="GA247" i="4"/>
  <c r="GB247" i="4"/>
  <c r="GC247" i="4"/>
  <c r="GD247" i="4"/>
  <c r="GE247" i="4"/>
  <c r="GF247" i="4"/>
  <c r="GG247" i="4"/>
  <c r="GH247" i="4"/>
  <c r="GI247" i="4"/>
  <c r="GJ247" i="4"/>
  <c r="GK247" i="4"/>
  <c r="GL247" i="4"/>
  <c r="GM247" i="4"/>
  <c r="GN247" i="4"/>
  <c r="GO247" i="4"/>
  <c r="GP247" i="4"/>
  <c r="GQ247" i="4"/>
  <c r="GR247" i="4"/>
  <c r="GS247" i="4"/>
  <c r="GT247" i="4"/>
  <c r="GU247" i="4"/>
  <c r="GV247" i="4"/>
  <c r="GW247" i="4"/>
  <c r="GX247" i="4"/>
  <c r="GY247" i="4"/>
  <c r="GZ247" i="4"/>
  <c r="HA247" i="4"/>
  <c r="HB247" i="4"/>
  <c r="HC247" i="4"/>
  <c r="HD247" i="4"/>
  <c r="HE247" i="4"/>
  <c r="HF247" i="4"/>
  <c r="HG247" i="4"/>
  <c r="HH247" i="4"/>
  <c r="HI247" i="4"/>
  <c r="HJ247" i="4"/>
  <c r="HK247" i="4"/>
  <c r="HL247" i="4"/>
  <c r="HM247" i="4"/>
  <c r="HN247" i="4"/>
  <c r="HO247" i="4"/>
  <c r="HP247" i="4"/>
  <c r="HQ247" i="4"/>
  <c r="HR247" i="4"/>
  <c r="HS247" i="4"/>
  <c r="HT247" i="4"/>
  <c r="HU247" i="4"/>
  <c r="HV247" i="4"/>
  <c r="HW247" i="4"/>
  <c r="HX247" i="4"/>
  <c r="HY247" i="4"/>
  <c r="HZ247" i="4"/>
  <c r="IA247" i="4"/>
  <c r="IB247" i="4"/>
  <c r="IC247" i="4"/>
  <c r="ID247" i="4"/>
  <c r="IE247" i="4"/>
  <c r="IF247" i="4"/>
  <c r="IG247" i="4"/>
  <c r="IH247" i="4"/>
  <c r="II247" i="4"/>
  <c r="IJ247" i="4"/>
  <c r="IK247" i="4"/>
  <c r="IL247" i="4"/>
  <c r="IM247" i="4"/>
  <c r="IN247" i="4"/>
  <c r="IO247" i="4"/>
  <c r="IP247" i="4"/>
  <c r="IQ247" i="4"/>
  <c r="IR247" i="4"/>
  <c r="IS247" i="4"/>
  <c r="IT247" i="4"/>
  <c r="IU247" i="4"/>
  <c r="IV247" i="4"/>
  <c r="A246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AB246" i="4"/>
  <c r="AC246" i="4"/>
  <c r="AD246" i="4"/>
  <c r="AE246" i="4"/>
  <c r="AF246" i="4"/>
  <c r="AG246" i="4"/>
  <c r="AH246" i="4"/>
  <c r="AI246" i="4"/>
  <c r="AJ246" i="4"/>
  <c r="AK246" i="4"/>
  <c r="AL246" i="4"/>
  <c r="AM246" i="4"/>
  <c r="AN246" i="4"/>
  <c r="AO246" i="4"/>
  <c r="AP246" i="4"/>
  <c r="AQ246" i="4"/>
  <c r="AR246" i="4"/>
  <c r="AS246" i="4"/>
  <c r="AT246" i="4"/>
  <c r="AU246" i="4"/>
  <c r="AV246" i="4"/>
  <c r="AW246" i="4"/>
  <c r="AX246" i="4"/>
  <c r="AY246" i="4"/>
  <c r="AZ246" i="4"/>
  <c r="BA246" i="4"/>
  <c r="BB246" i="4"/>
  <c r="BC246" i="4"/>
  <c r="BD246" i="4"/>
  <c r="BE246" i="4"/>
  <c r="BF246" i="4"/>
  <c r="BG246" i="4"/>
  <c r="BH246" i="4"/>
  <c r="BI246" i="4"/>
  <c r="BJ246" i="4"/>
  <c r="BK246" i="4"/>
  <c r="BL246" i="4"/>
  <c r="BM246" i="4"/>
  <c r="BN246" i="4"/>
  <c r="BO246" i="4"/>
  <c r="BP246" i="4"/>
  <c r="BQ246" i="4"/>
  <c r="BR246" i="4"/>
  <c r="BS246" i="4"/>
  <c r="BT246" i="4"/>
  <c r="BU246" i="4"/>
  <c r="BV246" i="4"/>
  <c r="BW246" i="4"/>
  <c r="BX246" i="4"/>
  <c r="BY246" i="4"/>
  <c r="BZ246" i="4"/>
  <c r="CA246" i="4"/>
  <c r="CB246" i="4"/>
  <c r="CC246" i="4"/>
  <c r="CD246" i="4"/>
  <c r="CE246" i="4"/>
  <c r="CF246" i="4"/>
  <c r="CG246" i="4"/>
  <c r="CH246" i="4"/>
  <c r="CI246" i="4"/>
  <c r="CJ246" i="4"/>
  <c r="CK246" i="4"/>
  <c r="CL246" i="4"/>
  <c r="CM246" i="4"/>
  <c r="CN246" i="4"/>
  <c r="CO246" i="4"/>
  <c r="CP246" i="4"/>
  <c r="CQ246" i="4"/>
  <c r="CR246" i="4"/>
  <c r="CS246" i="4"/>
  <c r="CT246" i="4"/>
  <c r="CU246" i="4"/>
  <c r="CV246" i="4"/>
  <c r="CW246" i="4"/>
  <c r="CX246" i="4"/>
  <c r="CY246" i="4"/>
  <c r="CZ246" i="4"/>
  <c r="DA246" i="4"/>
  <c r="DB246" i="4"/>
  <c r="DC246" i="4"/>
  <c r="DD246" i="4"/>
  <c r="DE246" i="4"/>
  <c r="DF246" i="4"/>
  <c r="DG246" i="4"/>
  <c r="DH246" i="4"/>
  <c r="DI246" i="4"/>
  <c r="DJ246" i="4"/>
  <c r="DK246" i="4"/>
  <c r="DL246" i="4"/>
  <c r="DM246" i="4"/>
  <c r="DN246" i="4"/>
  <c r="DO246" i="4"/>
  <c r="DP246" i="4"/>
  <c r="DQ246" i="4"/>
  <c r="DR246" i="4"/>
  <c r="DS246" i="4"/>
  <c r="DT246" i="4"/>
  <c r="DU246" i="4"/>
  <c r="DV246" i="4"/>
  <c r="DW246" i="4"/>
  <c r="DX246" i="4"/>
  <c r="DY246" i="4"/>
  <c r="DZ246" i="4"/>
  <c r="EA246" i="4"/>
  <c r="EB246" i="4"/>
  <c r="EC246" i="4"/>
  <c r="ED246" i="4"/>
  <c r="EE246" i="4"/>
  <c r="EF246" i="4"/>
  <c r="EG246" i="4"/>
  <c r="EH246" i="4"/>
  <c r="EI246" i="4"/>
  <c r="EJ246" i="4"/>
  <c r="EK246" i="4"/>
  <c r="EL246" i="4"/>
  <c r="EM246" i="4"/>
  <c r="EN246" i="4"/>
  <c r="EO246" i="4"/>
  <c r="EP246" i="4"/>
  <c r="EQ246" i="4"/>
  <c r="ER246" i="4"/>
  <c r="ES246" i="4"/>
  <c r="ET246" i="4"/>
  <c r="EU246" i="4"/>
  <c r="EV246" i="4"/>
  <c r="EW246" i="4"/>
  <c r="EX246" i="4"/>
  <c r="EY246" i="4"/>
  <c r="EZ246" i="4"/>
  <c r="FA246" i="4"/>
  <c r="FB246" i="4"/>
  <c r="FC246" i="4"/>
  <c r="FD246" i="4"/>
  <c r="FE246" i="4"/>
  <c r="FF246" i="4"/>
  <c r="FG246" i="4"/>
  <c r="FH246" i="4"/>
  <c r="FI246" i="4"/>
  <c r="FJ246" i="4"/>
  <c r="FK246" i="4"/>
  <c r="FL246" i="4"/>
  <c r="FM246" i="4"/>
  <c r="FN246" i="4"/>
  <c r="FO246" i="4"/>
  <c r="FP246" i="4"/>
  <c r="FQ246" i="4"/>
  <c r="FR246" i="4"/>
  <c r="FS246" i="4"/>
  <c r="FT246" i="4"/>
  <c r="FU246" i="4"/>
  <c r="FV246" i="4"/>
  <c r="FW246" i="4"/>
  <c r="FX246" i="4"/>
  <c r="FY246" i="4"/>
  <c r="FZ246" i="4"/>
  <c r="GA246" i="4"/>
  <c r="GB246" i="4"/>
  <c r="GC246" i="4"/>
  <c r="GD246" i="4"/>
  <c r="GE246" i="4"/>
  <c r="GF246" i="4"/>
  <c r="GG246" i="4"/>
  <c r="GH246" i="4"/>
  <c r="GI246" i="4"/>
  <c r="GJ246" i="4"/>
  <c r="GK246" i="4"/>
  <c r="GL246" i="4"/>
  <c r="GM246" i="4"/>
  <c r="GN246" i="4"/>
  <c r="GO246" i="4"/>
  <c r="GP246" i="4"/>
  <c r="GQ246" i="4"/>
  <c r="GR246" i="4"/>
  <c r="GS246" i="4"/>
  <c r="GT246" i="4"/>
  <c r="GU246" i="4"/>
  <c r="GV246" i="4"/>
  <c r="GW246" i="4"/>
  <c r="GX246" i="4"/>
  <c r="GY246" i="4"/>
  <c r="GZ246" i="4"/>
  <c r="HA246" i="4"/>
  <c r="HB246" i="4"/>
  <c r="HC246" i="4"/>
  <c r="HD246" i="4"/>
  <c r="HE246" i="4"/>
  <c r="HF246" i="4"/>
  <c r="HG246" i="4"/>
  <c r="HH246" i="4"/>
  <c r="HI246" i="4"/>
  <c r="HJ246" i="4"/>
  <c r="HK246" i="4"/>
  <c r="HL246" i="4"/>
  <c r="HM246" i="4"/>
  <c r="HN246" i="4"/>
  <c r="HO246" i="4"/>
  <c r="HP246" i="4"/>
  <c r="HQ246" i="4"/>
  <c r="HR246" i="4"/>
  <c r="HS246" i="4"/>
  <c r="HT246" i="4"/>
  <c r="HU246" i="4"/>
  <c r="HV246" i="4"/>
  <c r="HW246" i="4"/>
  <c r="HX246" i="4"/>
  <c r="HY246" i="4"/>
  <c r="HZ246" i="4"/>
  <c r="IA246" i="4"/>
  <c r="IB246" i="4"/>
  <c r="IC246" i="4"/>
  <c r="ID246" i="4"/>
  <c r="IE246" i="4"/>
  <c r="IF246" i="4"/>
  <c r="IG246" i="4"/>
  <c r="IH246" i="4"/>
  <c r="II246" i="4"/>
  <c r="IJ246" i="4"/>
  <c r="IK246" i="4"/>
  <c r="IL246" i="4"/>
  <c r="IM246" i="4"/>
  <c r="IN246" i="4"/>
  <c r="IO246" i="4"/>
  <c r="IP246" i="4"/>
  <c r="IQ246" i="4"/>
  <c r="IR246" i="4"/>
  <c r="IS246" i="4"/>
  <c r="IT246" i="4"/>
  <c r="IU246" i="4"/>
  <c r="IV246" i="4"/>
  <c r="A245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AB245" i="4"/>
  <c r="AC245" i="4"/>
  <c r="AD245" i="4"/>
  <c r="AE245" i="4"/>
  <c r="AF245" i="4"/>
  <c r="AG245" i="4"/>
  <c r="AH245" i="4"/>
  <c r="AI245" i="4"/>
  <c r="AJ245" i="4"/>
  <c r="AK245" i="4"/>
  <c r="AL245" i="4"/>
  <c r="AM245" i="4"/>
  <c r="AN245" i="4"/>
  <c r="AO245" i="4"/>
  <c r="AP245" i="4"/>
  <c r="AQ245" i="4"/>
  <c r="AR245" i="4"/>
  <c r="AS245" i="4"/>
  <c r="AT245" i="4"/>
  <c r="AU245" i="4"/>
  <c r="AV245" i="4"/>
  <c r="AW245" i="4"/>
  <c r="AX245" i="4"/>
  <c r="AY245" i="4"/>
  <c r="AZ245" i="4"/>
  <c r="BA245" i="4"/>
  <c r="BB245" i="4"/>
  <c r="BC245" i="4"/>
  <c r="BD245" i="4"/>
  <c r="BE245" i="4"/>
  <c r="BF245" i="4"/>
  <c r="BG245" i="4"/>
  <c r="BH245" i="4"/>
  <c r="BI245" i="4"/>
  <c r="BJ245" i="4"/>
  <c r="BK245" i="4"/>
  <c r="BL245" i="4"/>
  <c r="BM245" i="4"/>
  <c r="BN245" i="4"/>
  <c r="BO245" i="4"/>
  <c r="BP245" i="4"/>
  <c r="BQ245" i="4"/>
  <c r="BR245" i="4"/>
  <c r="BS245" i="4"/>
  <c r="BT245" i="4"/>
  <c r="BU245" i="4"/>
  <c r="BV245" i="4"/>
  <c r="BW245" i="4"/>
  <c r="BX245" i="4"/>
  <c r="BY245" i="4"/>
  <c r="BZ245" i="4"/>
  <c r="CA245" i="4"/>
  <c r="CB245" i="4"/>
  <c r="CC245" i="4"/>
  <c r="CD245" i="4"/>
  <c r="CE245" i="4"/>
  <c r="CF245" i="4"/>
  <c r="CG245" i="4"/>
  <c r="CH245" i="4"/>
  <c r="CI245" i="4"/>
  <c r="CJ245" i="4"/>
  <c r="CK245" i="4"/>
  <c r="CL245" i="4"/>
  <c r="CM245" i="4"/>
  <c r="CN245" i="4"/>
  <c r="CO245" i="4"/>
  <c r="CP245" i="4"/>
  <c r="CQ245" i="4"/>
  <c r="CR245" i="4"/>
  <c r="CS245" i="4"/>
  <c r="CT245" i="4"/>
  <c r="CU245" i="4"/>
  <c r="CV245" i="4"/>
  <c r="CW245" i="4"/>
  <c r="CX245" i="4"/>
  <c r="CY245" i="4"/>
  <c r="CZ245" i="4"/>
  <c r="DA245" i="4"/>
  <c r="DB245" i="4"/>
  <c r="DC245" i="4"/>
  <c r="DD245" i="4"/>
  <c r="DE245" i="4"/>
  <c r="DF245" i="4"/>
  <c r="DG245" i="4"/>
  <c r="DH245" i="4"/>
  <c r="DI245" i="4"/>
  <c r="DJ245" i="4"/>
  <c r="DK245" i="4"/>
  <c r="DL245" i="4"/>
  <c r="DM245" i="4"/>
  <c r="DN245" i="4"/>
  <c r="DO245" i="4"/>
  <c r="DP245" i="4"/>
  <c r="DQ245" i="4"/>
  <c r="DR245" i="4"/>
  <c r="DS245" i="4"/>
  <c r="DT245" i="4"/>
  <c r="DU245" i="4"/>
  <c r="DV245" i="4"/>
  <c r="DW245" i="4"/>
  <c r="DX245" i="4"/>
  <c r="DY245" i="4"/>
  <c r="DZ245" i="4"/>
  <c r="EA245" i="4"/>
  <c r="EB245" i="4"/>
  <c r="EC245" i="4"/>
  <c r="ED245" i="4"/>
  <c r="EE245" i="4"/>
  <c r="EF245" i="4"/>
  <c r="EG245" i="4"/>
  <c r="EH245" i="4"/>
  <c r="EI245" i="4"/>
  <c r="EJ245" i="4"/>
  <c r="EK245" i="4"/>
  <c r="EL245" i="4"/>
  <c r="EM245" i="4"/>
  <c r="EN245" i="4"/>
  <c r="EO245" i="4"/>
  <c r="EP245" i="4"/>
  <c r="EQ245" i="4"/>
  <c r="ER245" i="4"/>
  <c r="ES245" i="4"/>
  <c r="ET245" i="4"/>
  <c r="EU245" i="4"/>
  <c r="EV245" i="4"/>
  <c r="EW245" i="4"/>
  <c r="EX245" i="4"/>
  <c r="EY245" i="4"/>
  <c r="EZ245" i="4"/>
  <c r="FA245" i="4"/>
  <c r="FB245" i="4"/>
  <c r="FC245" i="4"/>
  <c r="FD245" i="4"/>
  <c r="FE245" i="4"/>
  <c r="FF245" i="4"/>
  <c r="FG245" i="4"/>
  <c r="FH245" i="4"/>
  <c r="FI245" i="4"/>
  <c r="FJ245" i="4"/>
  <c r="FK245" i="4"/>
  <c r="FL245" i="4"/>
  <c r="FM245" i="4"/>
  <c r="FN245" i="4"/>
  <c r="FO245" i="4"/>
  <c r="FP245" i="4"/>
  <c r="FQ245" i="4"/>
  <c r="FR245" i="4"/>
  <c r="FS245" i="4"/>
  <c r="FT245" i="4"/>
  <c r="FU245" i="4"/>
  <c r="FV245" i="4"/>
  <c r="FW245" i="4"/>
  <c r="FX245" i="4"/>
  <c r="FY245" i="4"/>
  <c r="FZ245" i="4"/>
  <c r="GA245" i="4"/>
  <c r="GB245" i="4"/>
  <c r="GC245" i="4"/>
  <c r="GD245" i="4"/>
  <c r="GE245" i="4"/>
  <c r="GF245" i="4"/>
  <c r="GG245" i="4"/>
  <c r="GH245" i="4"/>
  <c r="GI245" i="4"/>
  <c r="GJ245" i="4"/>
  <c r="GK245" i="4"/>
  <c r="GL245" i="4"/>
  <c r="GM245" i="4"/>
  <c r="GN245" i="4"/>
  <c r="GO245" i="4"/>
  <c r="GP245" i="4"/>
  <c r="GQ245" i="4"/>
  <c r="GR245" i="4"/>
  <c r="GS245" i="4"/>
  <c r="GT245" i="4"/>
  <c r="GU245" i="4"/>
  <c r="GV245" i="4"/>
  <c r="GW245" i="4"/>
  <c r="GX245" i="4"/>
  <c r="GY245" i="4"/>
  <c r="GZ245" i="4"/>
  <c r="HA245" i="4"/>
  <c r="HB245" i="4"/>
  <c r="HC245" i="4"/>
  <c r="HD245" i="4"/>
  <c r="HE245" i="4"/>
  <c r="HF245" i="4"/>
  <c r="HG245" i="4"/>
  <c r="HH245" i="4"/>
  <c r="HI245" i="4"/>
  <c r="HJ245" i="4"/>
  <c r="HK245" i="4"/>
  <c r="HL245" i="4"/>
  <c r="HM245" i="4"/>
  <c r="HN245" i="4"/>
  <c r="HO245" i="4"/>
  <c r="HP245" i="4"/>
  <c r="HQ245" i="4"/>
  <c r="HR245" i="4"/>
  <c r="HS245" i="4"/>
  <c r="HT245" i="4"/>
  <c r="HU245" i="4"/>
  <c r="HV245" i="4"/>
  <c r="HW245" i="4"/>
  <c r="HX245" i="4"/>
  <c r="HY245" i="4"/>
  <c r="HZ245" i="4"/>
  <c r="IA245" i="4"/>
  <c r="IB245" i="4"/>
  <c r="IC245" i="4"/>
  <c r="ID245" i="4"/>
  <c r="IE245" i="4"/>
  <c r="IF245" i="4"/>
  <c r="IG245" i="4"/>
  <c r="IH245" i="4"/>
  <c r="II245" i="4"/>
  <c r="IJ245" i="4"/>
  <c r="IK245" i="4"/>
  <c r="IL245" i="4"/>
  <c r="IM245" i="4"/>
  <c r="IN245" i="4"/>
  <c r="IO245" i="4"/>
  <c r="IP245" i="4"/>
  <c r="IQ245" i="4"/>
  <c r="IR245" i="4"/>
  <c r="IS245" i="4"/>
  <c r="IT245" i="4"/>
  <c r="IU245" i="4"/>
  <c r="IV245" i="4"/>
  <c r="A244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I244" i="4"/>
  <c r="AJ244" i="4"/>
  <c r="AK244" i="4"/>
  <c r="AL244" i="4"/>
  <c r="AM244" i="4"/>
  <c r="AN244" i="4"/>
  <c r="AO244" i="4"/>
  <c r="AP244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BF244" i="4"/>
  <c r="BG244" i="4"/>
  <c r="BH244" i="4"/>
  <c r="BI244" i="4"/>
  <c r="BJ244" i="4"/>
  <c r="BK244" i="4"/>
  <c r="BL244" i="4"/>
  <c r="BM244" i="4"/>
  <c r="BN244" i="4"/>
  <c r="BO244" i="4"/>
  <c r="BP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CC244" i="4"/>
  <c r="CD244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U244" i="4"/>
  <c r="CV244" i="4"/>
  <c r="CW244" i="4"/>
  <c r="CX244" i="4"/>
  <c r="CY244" i="4"/>
  <c r="CZ244" i="4"/>
  <c r="DA244" i="4"/>
  <c r="DB244" i="4"/>
  <c r="DC244" i="4"/>
  <c r="DD244" i="4"/>
  <c r="DE244" i="4"/>
  <c r="DF244" i="4"/>
  <c r="DG244" i="4"/>
  <c r="DH244" i="4"/>
  <c r="DI244" i="4"/>
  <c r="DJ244" i="4"/>
  <c r="DK244" i="4"/>
  <c r="DL244" i="4"/>
  <c r="DM244" i="4"/>
  <c r="DN244" i="4"/>
  <c r="DO244" i="4"/>
  <c r="DP244" i="4"/>
  <c r="DQ244" i="4"/>
  <c r="DR244" i="4"/>
  <c r="DS244" i="4"/>
  <c r="DT244" i="4"/>
  <c r="DU244" i="4"/>
  <c r="DV244" i="4"/>
  <c r="DW244" i="4"/>
  <c r="DX244" i="4"/>
  <c r="DY244" i="4"/>
  <c r="DZ244" i="4"/>
  <c r="EA244" i="4"/>
  <c r="EB244" i="4"/>
  <c r="EC244" i="4"/>
  <c r="ED244" i="4"/>
  <c r="EE244" i="4"/>
  <c r="EF244" i="4"/>
  <c r="EG244" i="4"/>
  <c r="EH244" i="4"/>
  <c r="EI244" i="4"/>
  <c r="EJ244" i="4"/>
  <c r="EK244" i="4"/>
  <c r="EL244" i="4"/>
  <c r="EM244" i="4"/>
  <c r="EN244" i="4"/>
  <c r="EO244" i="4"/>
  <c r="EP244" i="4"/>
  <c r="EQ244" i="4"/>
  <c r="ER244" i="4"/>
  <c r="ES244" i="4"/>
  <c r="ET244" i="4"/>
  <c r="EU244" i="4"/>
  <c r="EV244" i="4"/>
  <c r="EW244" i="4"/>
  <c r="EX244" i="4"/>
  <c r="EY244" i="4"/>
  <c r="EZ244" i="4"/>
  <c r="FA244" i="4"/>
  <c r="FB244" i="4"/>
  <c r="FC244" i="4"/>
  <c r="FD244" i="4"/>
  <c r="FE244" i="4"/>
  <c r="FF244" i="4"/>
  <c r="FG244" i="4"/>
  <c r="FH244" i="4"/>
  <c r="FI244" i="4"/>
  <c r="FJ244" i="4"/>
  <c r="FK244" i="4"/>
  <c r="FL244" i="4"/>
  <c r="FM244" i="4"/>
  <c r="FN244" i="4"/>
  <c r="FO244" i="4"/>
  <c r="FP244" i="4"/>
  <c r="FQ244" i="4"/>
  <c r="FR244" i="4"/>
  <c r="FS244" i="4"/>
  <c r="FT244" i="4"/>
  <c r="FU244" i="4"/>
  <c r="FV244" i="4"/>
  <c r="FW244" i="4"/>
  <c r="FX244" i="4"/>
  <c r="FY244" i="4"/>
  <c r="FZ244" i="4"/>
  <c r="GA244" i="4"/>
  <c r="GB244" i="4"/>
  <c r="GC244" i="4"/>
  <c r="GD244" i="4"/>
  <c r="GE244" i="4"/>
  <c r="GF244" i="4"/>
  <c r="GG244" i="4"/>
  <c r="GH244" i="4"/>
  <c r="GI244" i="4"/>
  <c r="GJ244" i="4"/>
  <c r="GK244" i="4"/>
  <c r="GL244" i="4"/>
  <c r="GM244" i="4"/>
  <c r="GN244" i="4"/>
  <c r="GO244" i="4"/>
  <c r="GP244" i="4"/>
  <c r="GQ244" i="4"/>
  <c r="GR244" i="4"/>
  <c r="GS244" i="4"/>
  <c r="GT244" i="4"/>
  <c r="GU244" i="4"/>
  <c r="GV244" i="4"/>
  <c r="GW244" i="4"/>
  <c r="GX244" i="4"/>
  <c r="GY244" i="4"/>
  <c r="GZ244" i="4"/>
  <c r="HA244" i="4"/>
  <c r="HB244" i="4"/>
  <c r="HC244" i="4"/>
  <c r="HD244" i="4"/>
  <c r="HE244" i="4"/>
  <c r="HF244" i="4"/>
  <c r="HG244" i="4"/>
  <c r="HH244" i="4"/>
  <c r="HI244" i="4"/>
  <c r="HJ244" i="4"/>
  <c r="HK244" i="4"/>
  <c r="HL244" i="4"/>
  <c r="HM244" i="4"/>
  <c r="HN244" i="4"/>
  <c r="HO244" i="4"/>
  <c r="HP244" i="4"/>
  <c r="HQ244" i="4"/>
  <c r="HR244" i="4"/>
  <c r="HS244" i="4"/>
  <c r="HT244" i="4"/>
  <c r="HU244" i="4"/>
  <c r="HV244" i="4"/>
  <c r="HW244" i="4"/>
  <c r="HX244" i="4"/>
  <c r="HY244" i="4"/>
  <c r="HZ244" i="4"/>
  <c r="IA244" i="4"/>
  <c r="IB244" i="4"/>
  <c r="IC244" i="4"/>
  <c r="ID244" i="4"/>
  <c r="IE244" i="4"/>
  <c r="IF244" i="4"/>
  <c r="IG244" i="4"/>
  <c r="IH244" i="4"/>
  <c r="II244" i="4"/>
  <c r="IJ244" i="4"/>
  <c r="IK244" i="4"/>
  <c r="IL244" i="4"/>
  <c r="IM244" i="4"/>
  <c r="IN244" i="4"/>
  <c r="IO244" i="4"/>
  <c r="IP244" i="4"/>
  <c r="IQ244" i="4"/>
  <c r="IR244" i="4"/>
  <c r="IS244" i="4"/>
  <c r="IT244" i="4"/>
  <c r="IU244" i="4"/>
  <c r="IV244" i="4"/>
  <c r="A243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I243" i="4"/>
  <c r="AJ243" i="4"/>
  <c r="AK243" i="4"/>
  <c r="AL243" i="4"/>
  <c r="AM243" i="4"/>
  <c r="AN243" i="4"/>
  <c r="AO243" i="4"/>
  <c r="AP243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BF243" i="4"/>
  <c r="BG243" i="4"/>
  <c r="BH243" i="4"/>
  <c r="BI243" i="4"/>
  <c r="BJ243" i="4"/>
  <c r="BK243" i="4"/>
  <c r="BL243" i="4"/>
  <c r="BM243" i="4"/>
  <c r="BN243" i="4"/>
  <c r="BO243" i="4"/>
  <c r="BP243" i="4"/>
  <c r="BQ243" i="4"/>
  <c r="BR243" i="4"/>
  <c r="BS243" i="4"/>
  <c r="BT243" i="4"/>
  <c r="BU243" i="4"/>
  <c r="BV243" i="4"/>
  <c r="BW243" i="4"/>
  <c r="BX243" i="4"/>
  <c r="BY243" i="4"/>
  <c r="BZ243" i="4"/>
  <c r="CA243" i="4"/>
  <c r="CB243" i="4"/>
  <c r="CC243" i="4"/>
  <c r="CD243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U243" i="4"/>
  <c r="CV243" i="4"/>
  <c r="CW243" i="4"/>
  <c r="CX243" i="4"/>
  <c r="CY243" i="4"/>
  <c r="CZ243" i="4"/>
  <c r="DA243" i="4"/>
  <c r="DB243" i="4"/>
  <c r="DC243" i="4"/>
  <c r="DD243" i="4"/>
  <c r="DE243" i="4"/>
  <c r="DF243" i="4"/>
  <c r="DG243" i="4"/>
  <c r="DH243" i="4"/>
  <c r="DI243" i="4"/>
  <c r="DJ243" i="4"/>
  <c r="DK243" i="4"/>
  <c r="DL243" i="4"/>
  <c r="DM243" i="4"/>
  <c r="DN243" i="4"/>
  <c r="DO243" i="4"/>
  <c r="DP243" i="4"/>
  <c r="DQ243" i="4"/>
  <c r="DR243" i="4"/>
  <c r="DS243" i="4"/>
  <c r="DT243" i="4"/>
  <c r="DU243" i="4"/>
  <c r="DV243" i="4"/>
  <c r="DW243" i="4"/>
  <c r="DX243" i="4"/>
  <c r="DY243" i="4"/>
  <c r="DZ243" i="4"/>
  <c r="EA243" i="4"/>
  <c r="EB243" i="4"/>
  <c r="EC243" i="4"/>
  <c r="ED243" i="4"/>
  <c r="EE243" i="4"/>
  <c r="EF243" i="4"/>
  <c r="EG243" i="4"/>
  <c r="EH243" i="4"/>
  <c r="EI243" i="4"/>
  <c r="EJ243" i="4"/>
  <c r="EK243" i="4"/>
  <c r="EL243" i="4"/>
  <c r="EM243" i="4"/>
  <c r="EN243" i="4"/>
  <c r="EO243" i="4"/>
  <c r="EP243" i="4"/>
  <c r="EQ243" i="4"/>
  <c r="ER243" i="4"/>
  <c r="ES243" i="4"/>
  <c r="ET243" i="4"/>
  <c r="EU243" i="4"/>
  <c r="EV243" i="4"/>
  <c r="EW243" i="4"/>
  <c r="EX243" i="4"/>
  <c r="EY243" i="4"/>
  <c r="EZ243" i="4"/>
  <c r="FA243" i="4"/>
  <c r="FB243" i="4"/>
  <c r="FC243" i="4"/>
  <c r="FD243" i="4"/>
  <c r="FE243" i="4"/>
  <c r="FF243" i="4"/>
  <c r="FG243" i="4"/>
  <c r="FH243" i="4"/>
  <c r="FI243" i="4"/>
  <c r="FJ243" i="4"/>
  <c r="FK243" i="4"/>
  <c r="FL243" i="4"/>
  <c r="FM243" i="4"/>
  <c r="FN243" i="4"/>
  <c r="FO243" i="4"/>
  <c r="FP243" i="4"/>
  <c r="FQ243" i="4"/>
  <c r="FR243" i="4"/>
  <c r="FS243" i="4"/>
  <c r="FT243" i="4"/>
  <c r="FU243" i="4"/>
  <c r="FV243" i="4"/>
  <c r="FW243" i="4"/>
  <c r="FX243" i="4"/>
  <c r="FY243" i="4"/>
  <c r="FZ243" i="4"/>
  <c r="GA243" i="4"/>
  <c r="GB243" i="4"/>
  <c r="GC243" i="4"/>
  <c r="GD243" i="4"/>
  <c r="GE243" i="4"/>
  <c r="GF243" i="4"/>
  <c r="GG243" i="4"/>
  <c r="GH243" i="4"/>
  <c r="GI243" i="4"/>
  <c r="GJ243" i="4"/>
  <c r="GK243" i="4"/>
  <c r="GL243" i="4"/>
  <c r="GM243" i="4"/>
  <c r="GN243" i="4"/>
  <c r="GO243" i="4"/>
  <c r="GP243" i="4"/>
  <c r="GQ243" i="4"/>
  <c r="GR243" i="4"/>
  <c r="GS243" i="4"/>
  <c r="GT243" i="4"/>
  <c r="GU243" i="4"/>
  <c r="GV243" i="4"/>
  <c r="GW243" i="4"/>
  <c r="GX243" i="4"/>
  <c r="GY243" i="4"/>
  <c r="GZ243" i="4"/>
  <c r="HA243" i="4"/>
  <c r="HB243" i="4"/>
  <c r="HC243" i="4"/>
  <c r="HD243" i="4"/>
  <c r="HE243" i="4"/>
  <c r="HF243" i="4"/>
  <c r="HG243" i="4"/>
  <c r="HH243" i="4"/>
  <c r="HI243" i="4"/>
  <c r="HJ243" i="4"/>
  <c r="HK243" i="4"/>
  <c r="HL243" i="4"/>
  <c r="HM243" i="4"/>
  <c r="HN243" i="4"/>
  <c r="HO243" i="4"/>
  <c r="HP243" i="4"/>
  <c r="HQ243" i="4"/>
  <c r="HR243" i="4"/>
  <c r="HS243" i="4"/>
  <c r="HT243" i="4"/>
  <c r="HU243" i="4"/>
  <c r="HV243" i="4"/>
  <c r="HW243" i="4"/>
  <c r="HX243" i="4"/>
  <c r="HY243" i="4"/>
  <c r="HZ243" i="4"/>
  <c r="IA243" i="4"/>
  <c r="IB243" i="4"/>
  <c r="IC243" i="4"/>
  <c r="ID243" i="4"/>
  <c r="IE243" i="4"/>
  <c r="IF243" i="4"/>
  <c r="IG243" i="4"/>
  <c r="IH243" i="4"/>
  <c r="II243" i="4"/>
  <c r="IJ243" i="4"/>
  <c r="IK243" i="4"/>
  <c r="IL243" i="4"/>
  <c r="IM243" i="4"/>
  <c r="IN243" i="4"/>
  <c r="IO243" i="4"/>
  <c r="IP243" i="4"/>
  <c r="IQ243" i="4"/>
  <c r="IR243" i="4"/>
  <c r="IS243" i="4"/>
  <c r="IT243" i="4"/>
  <c r="IU243" i="4"/>
  <c r="IV243" i="4"/>
  <c r="A242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I242" i="4"/>
  <c r="AJ242" i="4"/>
  <c r="AK242" i="4"/>
  <c r="AL242" i="4"/>
  <c r="AM242" i="4"/>
  <c r="AN242" i="4"/>
  <c r="AO242" i="4"/>
  <c r="AP242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U242" i="4"/>
  <c r="CV242" i="4"/>
  <c r="CW242" i="4"/>
  <c r="CX242" i="4"/>
  <c r="CY242" i="4"/>
  <c r="CZ242" i="4"/>
  <c r="DA242" i="4"/>
  <c r="DB242" i="4"/>
  <c r="DC242" i="4"/>
  <c r="DD242" i="4"/>
  <c r="DE242" i="4"/>
  <c r="DF242" i="4"/>
  <c r="DG242" i="4"/>
  <c r="DH242" i="4"/>
  <c r="DI242" i="4"/>
  <c r="DJ242" i="4"/>
  <c r="DK242" i="4"/>
  <c r="DL242" i="4"/>
  <c r="DM242" i="4"/>
  <c r="DN242" i="4"/>
  <c r="DO242" i="4"/>
  <c r="DP242" i="4"/>
  <c r="DQ242" i="4"/>
  <c r="DR242" i="4"/>
  <c r="DS242" i="4"/>
  <c r="DT242" i="4"/>
  <c r="DU242" i="4"/>
  <c r="DV242" i="4"/>
  <c r="DW242" i="4"/>
  <c r="DX242" i="4"/>
  <c r="DY242" i="4"/>
  <c r="DZ242" i="4"/>
  <c r="EA242" i="4"/>
  <c r="EB242" i="4"/>
  <c r="EC242" i="4"/>
  <c r="ED242" i="4"/>
  <c r="EE242" i="4"/>
  <c r="EF242" i="4"/>
  <c r="EG242" i="4"/>
  <c r="EH242" i="4"/>
  <c r="EI242" i="4"/>
  <c r="EJ242" i="4"/>
  <c r="EK242" i="4"/>
  <c r="EL242" i="4"/>
  <c r="EM242" i="4"/>
  <c r="EN242" i="4"/>
  <c r="EO242" i="4"/>
  <c r="EP242" i="4"/>
  <c r="EQ242" i="4"/>
  <c r="ER242" i="4"/>
  <c r="ES242" i="4"/>
  <c r="ET242" i="4"/>
  <c r="EU242" i="4"/>
  <c r="EV242" i="4"/>
  <c r="EW242" i="4"/>
  <c r="EX242" i="4"/>
  <c r="EY242" i="4"/>
  <c r="EZ242" i="4"/>
  <c r="FA242" i="4"/>
  <c r="FB242" i="4"/>
  <c r="FC242" i="4"/>
  <c r="FD242" i="4"/>
  <c r="FE242" i="4"/>
  <c r="FF242" i="4"/>
  <c r="FG242" i="4"/>
  <c r="FH242" i="4"/>
  <c r="FI242" i="4"/>
  <c r="FJ242" i="4"/>
  <c r="FK242" i="4"/>
  <c r="FL242" i="4"/>
  <c r="FM242" i="4"/>
  <c r="FN242" i="4"/>
  <c r="FO242" i="4"/>
  <c r="FP242" i="4"/>
  <c r="FQ242" i="4"/>
  <c r="FR242" i="4"/>
  <c r="FS242" i="4"/>
  <c r="FT242" i="4"/>
  <c r="FU242" i="4"/>
  <c r="FV242" i="4"/>
  <c r="FW242" i="4"/>
  <c r="FX242" i="4"/>
  <c r="FY242" i="4"/>
  <c r="FZ242" i="4"/>
  <c r="GA242" i="4"/>
  <c r="GB242" i="4"/>
  <c r="GC242" i="4"/>
  <c r="GD242" i="4"/>
  <c r="GE242" i="4"/>
  <c r="GF242" i="4"/>
  <c r="GG242" i="4"/>
  <c r="GH242" i="4"/>
  <c r="GI242" i="4"/>
  <c r="GJ242" i="4"/>
  <c r="GK242" i="4"/>
  <c r="GL242" i="4"/>
  <c r="GM242" i="4"/>
  <c r="GN242" i="4"/>
  <c r="GO242" i="4"/>
  <c r="GP242" i="4"/>
  <c r="GQ242" i="4"/>
  <c r="GR242" i="4"/>
  <c r="GS242" i="4"/>
  <c r="GT242" i="4"/>
  <c r="GU242" i="4"/>
  <c r="GV242" i="4"/>
  <c r="GW242" i="4"/>
  <c r="GX242" i="4"/>
  <c r="GY242" i="4"/>
  <c r="GZ242" i="4"/>
  <c r="HA242" i="4"/>
  <c r="HB242" i="4"/>
  <c r="HC242" i="4"/>
  <c r="HD242" i="4"/>
  <c r="HE242" i="4"/>
  <c r="HF242" i="4"/>
  <c r="HG242" i="4"/>
  <c r="HH242" i="4"/>
  <c r="HI242" i="4"/>
  <c r="HJ242" i="4"/>
  <c r="HK242" i="4"/>
  <c r="HL242" i="4"/>
  <c r="HM242" i="4"/>
  <c r="HN242" i="4"/>
  <c r="HO242" i="4"/>
  <c r="HP242" i="4"/>
  <c r="HQ242" i="4"/>
  <c r="HR242" i="4"/>
  <c r="HS242" i="4"/>
  <c r="HT242" i="4"/>
  <c r="HU242" i="4"/>
  <c r="HV242" i="4"/>
  <c r="HW242" i="4"/>
  <c r="HX242" i="4"/>
  <c r="HY242" i="4"/>
  <c r="HZ242" i="4"/>
  <c r="IA242" i="4"/>
  <c r="IB242" i="4"/>
  <c r="IC242" i="4"/>
  <c r="ID242" i="4"/>
  <c r="IE242" i="4"/>
  <c r="IF242" i="4"/>
  <c r="IG242" i="4"/>
  <c r="IH242" i="4"/>
  <c r="II242" i="4"/>
  <c r="IJ242" i="4"/>
  <c r="IK242" i="4"/>
  <c r="IL242" i="4"/>
  <c r="IM242" i="4"/>
  <c r="IN242" i="4"/>
  <c r="IO242" i="4"/>
  <c r="IP242" i="4"/>
  <c r="IQ242" i="4"/>
  <c r="IR242" i="4"/>
  <c r="IS242" i="4"/>
  <c r="IT242" i="4"/>
  <c r="IU242" i="4"/>
  <c r="IV242" i="4"/>
  <c r="A241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I241" i="4"/>
  <c r="AJ241" i="4"/>
  <c r="AK241" i="4"/>
  <c r="AL241" i="4"/>
  <c r="AM241" i="4"/>
  <c r="AN241" i="4"/>
  <c r="AO241" i="4"/>
  <c r="AP241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BF241" i="4"/>
  <c r="BG241" i="4"/>
  <c r="BH241" i="4"/>
  <c r="BI241" i="4"/>
  <c r="BJ241" i="4"/>
  <c r="BK241" i="4"/>
  <c r="BL241" i="4"/>
  <c r="BM241" i="4"/>
  <c r="BN241" i="4"/>
  <c r="BO241" i="4"/>
  <c r="BP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U241" i="4"/>
  <c r="CV241" i="4"/>
  <c r="CW241" i="4"/>
  <c r="CX241" i="4"/>
  <c r="CY241" i="4"/>
  <c r="CZ241" i="4"/>
  <c r="DA241" i="4"/>
  <c r="DB241" i="4"/>
  <c r="DC241" i="4"/>
  <c r="DD241" i="4"/>
  <c r="DE241" i="4"/>
  <c r="DF241" i="4"/>
  <c r="DG241" i="4"/>
  <c r="DH241" i="4"/>
  <c r="DI241" i="4"/>
  <c r="DJ241" i="4"/>
  <c r="DK241" i="4"/>
  <c r="DL241" i="4"/>
  <c r="DM241" i="4"/>
  <c r="DN241" i="4"/>
  <c r="DO241" i="4"/>
  <c r="DP241" i="4"/>
  <c r="DQ241" i="4"/>
  <c r="DR241" i="4"/>
  <c r="DS241" i="4"/>
  <c r="DT241" i="4"/>
  <c r="DU241" i="4"/>
  <c r="DV241" i="4"/>
  <c r="DW241" i="4"/>
  <c r="DX241" i="4"/>
  <c r="DY241" i="4"/>
  <c r="DZ241" i="4"/>
  <c r="EA241" i="4"/>
  <c r="EB241" i="4"/>
  <c r="EC241" i="4"/>
  <c r="ED241" i="4"/>
  <c r="EE241" i="4"/>
  <c r="EF241" i="4"/>
  <c r="EG241" i="4"/>
  <c r="EH241" i="4"/>
  <c r="EI241" i="4"/>
  <c r="EJ241" i="4"/>
  <c r="EK241" i="4"/>
  <c r="EL241" i="4"/>
  <c r="EM241" i="4"/>
  <c r="EN241" i="4"/>
  <c r="EO241" i="4"/>
  <c r="EP241" i="4"/>
  <c r="EQ241" i="4"/>
  <c r="ER241" i="4"/>
  <c r="ES241" i="4"/>
  <c r="ET241" i="4"/>
  <c r="EU241" i="4"/>
  <c r="EV241" i="4"/>
  <c r="EW241" i="4"/>
  <c r="EX241" i="4"/>
  <c r="EY241" i="4"/>
  <c r="EZ241" i="4"/>
  <c r="FA241" i="4"/>
  <c r="FB241" i="4"/>
  <c r="FC241" i="4"/>
  <c r="FD241" i="4"/>
  <c r="FE241" i="4"/>
  <c r="FF241" i="4"/>
  <c r="FG241" i="4"/>
  <c r="FH241" i="4"/>
  <c r="FI241" i="4"/>
  <c r="FJ241" i="4"/>
  <c r="FK241" i="4"/>
  <c r="FL241" i="4"/>
  <c r="FM241" i="4"/>
  <c r="FN241" i="4"/>
  <c r="FO241" i="4"/>
  <c r="FP241" i="4"/>
  <c r="FQ241" i="4"/>
  <c r="FR241" i="4"/>
  <c r="FS241" i="4"/>
  <c r="FT241" i="4"/>
  <c r="FU241" i="4"/>
  <c r="FV241" i="4"/>
  <c r="FW241" i="4"/>
  <c r="FX241" i="4"/>
  <c r="FY241" i="4"/>
  <c r="FZ241" i="4"/>
  <c r="GA241" i="4"/>
  <c r="GB241" i="4"/>
  <c r="GC241" i="4"/>
  <c r="GD241" i="4"/>
  <c r="GE241" i="4"/>
  <c r="GF241" i="4"/>
  <c r="GG241" i="4"/>
  <c r="GH241" i="4"/>
  <c r="GI241" i="4"/>
  <c r="GJ241" i="4"/>
  <c r="GK241" i="4"/>
  <c r="GL241" i="4"/>
  <c r="GM241" i="4"/>
  <c r="GN241" i="4"/>
  <c r="GO241" i="4"/>
  <c r="GP241" i="4"/>
  <c r="GQ241" i="4"/>
  <c r="GR241" i="4"/>
  <c r="GS241" i="4"/>
  <c r="GT241" i="4"/>
  <c r="GU241" i="4"/>
  <c r="GV241" i="4"/>
  <c r="GW241" i="4"/>
  <c r="GX241" i="4"/>
  <c r="GY241" i="4"/>
  <c r="GZ241" i="4"/>
  <c r="HA241" i="4"/>
  <c r="HB241" i="4"/>
  <c r="HC241" i="4"/>
  <c r="HD241" i="4"/>
  <c r="HE241" i="4"/>
  <c r="HF241" i="4"/>
  <c r="HG241" i="4"/>
  <c r="HH241" i="4"/>
  <c r="HI241" i="4"/>
  <c r="HJ241" i="4"/>
  <c r="HK241" i="4"/>
  <c r="HL241" i="4"/>
  <c r="HM241" i="4"/>
  <c r="HN241" i="4"/>
  <c r="HO241" i="4"/>
  <c r="HP241" i="4"/>
  <c r="HQ241" i="4"/>
  <c r="HR241" i="4"/>
  <c r="HS241" i="4"/>
  <c r="HT241" i="4"/>
  <c r="HU241" i="4"/>
  <c r="HV241" i="4"/>
  <c r="HW241" i="4"/>
  <c r="HX241" i="4"/>
  <c r="HY241" i="4"/>
  <c r="HZ241" i="4"/>
  <c r="IA241" i="4"/>
  <c r="IB241" i="4"/>
  <c r="IC241" i="4"/>
  <c r="ID241" i="4"/>
  <c r="IE241" i="4"/>
  <c r="IF241" i="4"/>
  <c r="IG241" i="4"/>
  <c r="IH241" i="4"/>
  <c r="II241" i="4"/>
  <c r="IJ241" i="4"/>
  <c r="IK241" i="4"/>
  <c r="IL241" i="4"/>
  <c r="IM241" i="4"/>
  <c r="IN241" i="4"/>
  <c r="IO241" i="4"/>
  <c r="IP241" i="4"/>
  <c r="IQ241" i="4"/>
  <c r="IR241" i="4"/>
  <c r="IS241" i="4"/>
  <c r="IT241" i="4"/>
  <c r="IU241" i="4"/>
  <c r="IV241" i="4"/>
  <c r="A240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AJ240" i="4"/>
  <c r="AK240" i="4"/>
  <c r="AL240" i="4"/>
  <c r="AM240" i="4"/>
  <c r="AN240" i="4"/>
  <c r="AO240" i="4"/>
  <c r="AP240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BF240" i="4"/>
  <c r="BG240" i="4"/>
  <c r="BH240" i="4"/>
  <c r="BI240" i="4"/>
  <c r="BJ240" i="4"/>
  <c r="BK240" i="4"/>
  <c r="BL240" i="4"/>
  <c r="BM240" i="4"/>
  <c r="BN240" i="4"/>
  <c r="BO240" i="4"/>
  <c r="BP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U240" i="4"/>
  <c r="CV240" i="4"/>
  <c r="CW240" i="4"/>
  <c r="CX240" i="4"/>
  <c r="CY240" i="4"/>
  <c r="CZ240" i="4"/>
  <c r="DA240" i="4"/>
  <c r="DB240" i="4"/>
  <c r="DC240" i="4"/>
  <c r="DD240" i="4"/>
  <c r="DE240" i="4"/>
  <c r="DF240" i="4"/>
  <c r="DG240" i="4"/>
  <c r="DH240" i="4"/>
  <c r="DI240" i="4"/>
  <c r="DJ240" i="4"/>
  <c r="DK240" i="4"/>
  <c r="DL240" i="4"/>
  <c r="DM240" i="4"/>
  <c r="DN240" i="4"/>
  <c r="DO240" i="4"/>
  <c r="DP240" i="4"/>
  <c r="DQ240" i="4"/>
  <c r="DR240" i="4"/>
  <c r="DS240" i="4"/>
  <c r="DT240" i="4"/>
  <c r="DU240" i="4"/>
  <c r="DV240" i="4"/>
  <c r="DW240" i="4"/>
  <c r="DX240" i="4"/>
  <c r="DY240" i="4"/>
  <c r="DZ240" i="4"/>
  <c r="EA240" i="4"/>
  <c r="EB240" i="4"/>
  <c r="EC240" i="4"/>
  <c r="ED240" i="4"/>
  <c r="EE240" i="4"/>
  <c r="EF240" i="4"/>
  <c r="EG240" i="4"/>
  <c r="EH240" i="4"/>
  <c r="EI240" i="4"/>
  <c r="EJ240" i="4"/>
  <c r="EK240" i="4"/>
  <c r="EL240" i="4"/>
  <c r="EM240" i="4"/>
  <c r="EN240" i="4"/>
  <c r="EO240" i="4"/>
  <c r="EP240" i="4"/>
  <c r="EQ240" i="4"/>
  <c r="ER240" i="4"/>
  <c r="ES240" i="4"/>
  <c r="ET240" i="4"/>
  <c r="EU240" i="4"/>
  <c r="EV240" i="4"/>
  <c r="EW240" i="4"/>
  <c r="EX240" i="4"/>
  <c r="EY240" i="4"/>
  <c r="EZ240" i="4"/>
  <c r="FA240" i="4"/>
  <c r="FB240" i="4"/>
  <c r="FC240" i="4"/>
  <c r="FD240" i="4"/>
  <c r="FE240" i="4"/>
  <c r="FF240" i="4"/>
  <c r="FG240" i="4"/>
  <c r="FH240" i="4"/>
  <c r="FI240" i="4"/>
  <c r="FJ240" i="4"/>
  <c r="FK240" i="4"/>
  <c r="FL240" i="4"/>
  <c r="FM240" i="4"/>
  <c r="FN240" i="4"/>
  <c r="FO240" i="4"/>
  <c r="FP240" i="4"/>
  <c r="FQ240" i="4"/>
  <c r="FR240" i="4"/>
  <c r="FS240" i="4"/>
  <c r="FT240" i="4"/>
  <c r="FU240" i="4"/>
  <c r="FV240" i="4"/>
  <c r="FW240" i="4"/>
  <c r="FX240" i="4"/>
  <c r="FY240" i="4"/>
  <c r="FZ240" i="4"/>
  <c r="GA240" i="4"/>
  <c r="GB240" i="4"/>
  <c r="GC240" i="4"/>
  <c r="GD240" i="4"/>
  <c r="GE240" i="4"/>
  <c r="GF240" i="4"/>
  <c r="GG240" i="4"/>
  <c r="GH240" i="4"/>
  <c r="GI240" i="4"/>
  <c r="GJ240" i="4"/>
  <c r="GK240" i="4"/>
  <c r="GL240" i="4"/>
  <c r="GM240" i="4"/>
  <c r="GN240" i="4"/>
  <c r="GO240" i="4"/>
  <c r="GP240" i="4"/>
  <c r="GQ240" i="4"/>
  <c r="GR240" i="4"/>
  <c r="GS240" i="4"/>
  <c r="GT240" i="4"/>
  <c r="GU240" i="4"/>
  <c r="GV240" i="4"/>
  <c r="GW240" i="4"/>
  <c r="GX240" i="4"/>
  <c r="GY240" i="4"/>
  <c r="GZ240" i="4"/>
  <c r="HA240" i="4"/>
  <c r="HB240" i="4"/>
  <c r="HC240" i="4"/>
  <c r="HD240" i="4"/>
  <c r="HE240" i="4"/>
  <c r="HF240" i="4"/>
  <c r="HG240" i="4"/>
  <c r="HH240" i="4"/>
  <c r="HI240" i="4"/>
  <c r="HJ240" i="4"/>
  <c r="HK240" i="4"/>
  <c r="HL240" i="4"/>
  <c r="HM240" i="4"/>
  <c r="HN240" i="4"/>
  <c r="HO240" i="4"/>
  <c r="HP240" i="4"/>
  <c r="HQ240" i="4"/>
  <c r="HR240" i="4"/>
  <c r="HS240" i="4"/>
  <c r="HT240" i="4"/>
  <c r="HU240" i="4"/>
  <c r="HV240" i="4"/>
  <c r="HW240" i="4"/>
  <c r="HX240" i="4"/>
  <c r="HY240" i="4"/>
  <c r="HZ240" i="4"/>
  <c r="IA240" i="4"/>
  <c r="IB240" i="4"/>
  <c r="IC240" i="4"/>
  <c r="ID240" i="4"/>
  <c r="IE240" i="4"/>
  <c r="IF240" i="4"/>
  <c r="IG240" i="4"/>
  <c r="IH240" i="4"/>
  <c r="II240" i="4"/>
  <c r="IJ240" i="4"/>
  <c r="IK240" i="4"/>
  <c r="IL240" i="4"/>
  <c r="IM240" i="4"/>
  <c r="IN240" i="4"/>
  <c r="IO240" i="4"/>
  <c r="IP240" i="4"/>
  <c r="IQ240" i="4"/>
  <c r="IR240" i="4"/>
  <c r="IS240" i="4"/>
  <c r="IT240" i="4"/>
  <c r="IU240" i="4"/>
  <c r="IV240" i="4"/>
  <c r="A239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I239" i="4"/>
  <c r="AJ239" i="4"/>
  <c r="AK239" i="4"/>
  <c r="AL239" i="4"/>
  <c r="AM239" i="4"/>
  <c r="AN239" i="4"/>
  <c r="AO239" i="4"/>
  <c r="AP239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BF239" i="4"/>
  <c r="BG239" i="4"/>
  <c r="BH239" i="4"/>
  <c r="BI239" i="4"/>
  <c r="BJ239" i="4"/>
  <c r="BK239" i="4"/>
  <c r="BL239" i="4"/>
  <c r="BM239" i="4"/>
  <c r="BN239" i="4"/>
  <c r="BO239" i="4"/>
  <c r="BP239" i="4"/>
  <c r="BQ239" i="4"/>
  <c r="BR239" i="4"/>
  <c r="BS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U239" i="4"/>
  <c r="CV239" i="4"/>
  <c r="CW239" i="4"/>
  <c r="CX239" i="4"/>
  <c r="CY239" i="4"/>
  <c r="CZ239" i="4"/>
  <c r="DA239" i="4"/>
  <c r="DB239" i="4"/>
  <c r="DC239" i="4"/>
  <c r="DD239" i="4"/>
  <c r="DE239" i="4"/>
  <c r="DF239" i="4"/>
  <c r="DG239" i="4"/>
  <c r="DH239" i="4"/>
  <c r="DI239" i="4"/>
  <c r="DJ239" i="4"/>
  <c r="DK239" i="4"/>
  <c r="DL239" i="4"/>
  <c r="DM239" i="4"/>
  <c r="DN239" i="4"/>
  <c r="DO239" i="4"/>
  <c r="DP239" i="4"/>
  <c r="DQ239" i="4"/>
  <c r="DR239" i="4"/>
  <c r="DS239" i="4"/>
  <c r="DT239" i="4"/>
  <c r="DU239" i="4"/>
  <c r="DV239" i="4"/>
  <c r="DW239" i="4"/>
  <c r="DX239" i="4"/>
  <c r="DY239" i="4"/>
  <c r="DZ239" i="4"/>
  <c r="EA239" i="4"/>
  <c r="EB239" i="4"/>
  <c r="EC239" i="4"/>
  <c r="ED239" i="4"/>
  <c r="EE239" i="4"/>
  <c r="EF239" i="4"/>
  <c r="EG239" i="4"/>
  <c r="EH239" i="4"/>
  <c r="EI239" i="4"/>
  <c r="EJ239" i="4"/>
  <c r="EK239" i="4"/>
  <c r="EL239" i="4"/>
  <c r="EM239" i="4"/>
  <c r="EN239" i="4"/>
  <c r="EO239" i="4"/>
  <c r="EP239" i="4"/>
  <c r="EQ239" i="4"/>
  <c r="ER239" i="4"/>
  <c r="ES239" i="4"/>
  <c r="ET239" i="4"/>
  <c r="EU239" i="4"/>
  <c r="EV239" i="4"/>
  <c r="EW239" i="4"/>
  <c r="EX239" i="4"/>
  <c r="EY239" i="4"/>
  <c r="EZ239" i="4"/>
  <c r="FA239" i="4"/>
  <c r="FB239" i="4"/>
  <c r="FC239" i="4"/>
  <c r="FD239" i="4"/>
  <c r="FE239" i="4"/>
  <c r="FF239" i="4"/>
  <c r="FG239" i="4"/>
  <c r="FH239" i="4"/>
  <c r="FI239" i="4"/>
  <c r="FJ239" i="4"/>
  <c r="FK239" i="4"/>
  <c r="FL239" i="4"/>
  <c r="FM239" i="4"/>
  <c r="FN239" i="4"/>
  <c r="FO239" i="4"/>
  <c r="FP239" i="4"/>
  <c r="FQ239" i="4"/>
  <c r="FR239" i="4"/>
  <c r="FS239" i="4"/>
  <c r="FT239" i="4"/>
  <c r="FU239" i="4"/>
  <c r="FV239" i="4"/>
  <c r="FW239" i="4"/>
  <c r="FX239" i="4"/>
  <c r="FY239" i="4"/>
  <c r="FZ239" i="4"/>
  <c r="GA239" i="4"/>
  <c r="GB239" i="4"/>
  <c r="GC239" i="4"/>
  <c r="GD239" i="4"/>
  <c r="GE239" i="4"/>
  <c r="GF239" i="4"/>
  <c r="GG239" i="4"/>
  <c r="GH239" i="4"/>
  <c r="GI239" i="4"/>
  <c r="GJ239" i="4"/>
  <c r="GK239" i="4"/>
  <c r="GL239" i="4"/>
  <c r="GM239" i="4"/>
  <c r="GN239" i="4"/>
  <c r="GO239" i="4"/>
  <c r="GP239" i="4"/>
  <c r="GQ239" i="4"/>
  <c r="GR239" i="4"/>
  <c r="GS239" i="4"/>
  <c r="GT239" i="4"/>
  <c r="GU239" i="4"/>
  <c r="GV239" i="4"/>
  <c r="GW239" i="4"/>
  <c r="GX239" i="4"/>
  <c r="GY239" i="4"/>
  <c r="GZ239" i="4"/>
  <c r="HA239" i="4"/>
  <c r="HB239" i="4"/>
  <c r="HC239" i="4"/>
  <c r="HD239" i="4"/>
  <c r="HE239" i="4"/>
  <c r="HF239" i="4"/>
  <c r="HG239" i="4"/>
  <c r="HH239" i="4"/>
  <c r="HI239" i="4"/>
  <c r="HJ239" i="4"/>
  <c r="HK239" i="4"/>
  <c r="HL239" i="4"/>
  <c r="HM239" i="4"/>
  <c r="HN239" i="4"/>
  <c r="HO239" i="4"/>
  <c r="HP239" i="4"/>
  <c r="HQ239" i="4"/>
  <c r="HR239" i="4"/>
  <c r="HS239" i="4"/>
  <c r="HT239" i="4"/>
  <c r="HU239" i="4"/>
  <c r="HV239" i="4"/>
  <c r="HW239" i="4"/>
  <c r="HX239" i="4"/>
  <c r="HY239" i="4"/>
  <c r="HZ239" i="4"/>
  <c r="IA239" i="4"/>
  <c r="IB239" i="4"/>
  <c r="IC239" i="4"/>
  <c r="ID239" i="4"/>
  <c r="IE239" i="4"/>
  <c r="IF239" i="4"/>
  <c r="IG239" i="4"/>
  <c r="IH239" i="4"/>
  <c r="II239" i="4"/>
  <c r="IJ239" i="4"/>
  <c r="IK239" i="4"/>
  <c r="IL239" i="4"/>
  <c r="IM239" i="4"/>
  <c r="IN239" i="4"/>
  <c r="IO239" i="4"/>
  <c r="IP239" i="4"/>
  <c r="IQ239" i="4"/>
  <c r="IR239" i="4"/>
  <c r="IS239" i="4"/>
  <c r="IT239" i="4"/>
  <c r="IU239" i="4"/>
  <c r="IV239" i="4"/>
  <c r="A238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U238" i="4"/>
  <c r="CV238" i="4"/>
  <c r="CW238" i="4"/>
  <c r="CX238" i="4"/>
  <c r="CY238" i="4"/>
  <c r="CZ238" i="4"/>
  <c r="DA238" i="4"/>
  <c r="DB238" i="4"/>
  <c r="DC238" i="4"/>
  <c r="DD238" i="4"/>
  <c r="DE238" i="4"/>
  <c r="DF238" i="4"/>
  <c r="DG238" i="4"/>
  <c r="DH238" i="4"/>
  <c r="DI238" i="4"/>
  <c r="DJ238" i="4"/>
  <c r="DK238" i="4"/>
  <c r="DL238" i="4"/>
  <c r="DM238" i="4"/>
  <c r="DN238" i="4"/>
  <c r="DO238" i="4"/>
  <c r="DP238" i="4"/>
  <c r="DQ238" i="4"/>
  <c r="DR238" i="4"/>
  <c r="DS238" i="4"/>
  <c r="DT238" i="4"/>
  <c r="DU238" i="4"/>
  <c r="DV238" i="4"/>
  <c r="DW238" i="4"/>
  <c r="DX238" i="4"/>
  <c r="DY238" i="4"/>
  <c r="DZ238" i="4"/>
  <c r="EA238" i="4"/>
  <c r="EB238" i="4"/>
  <c r="EC238" i="4"/>
  <c r="ED238" i="4"/>
  <c r="EE238" i="4"/>
  <c r="EF238" i="4"/>
  <c r="EG238" i="4"/>
  <c r="EH238" i="4"/>
  <c r="EI238" i="4"/>
  <c r="EJ238" i="4"/>
  <c r="EK238" i="4"/>
  <c r="EL238" i="4"/>
  <c r="EM238" i="4"/>
  <c r="EN238" i="4"/>
  <c r="EO238" i="4"/>
  <c r="EP238" i="4"/>
  <c r="EQ238" i="4"/>
  <c r="ER238" i="4"/>
  <c r="ES238" i="4"/>
  <c r="ET238" i="4"/>
  <c r="EU238" i="4"/>
  <c r="EV238" i="4"/>
  <c r="EW238" i="4"/>
  <c r="EX238" i="4"/>
  <c r="EY238" i="4"/>
  <c r="EZ238" i="4"/>
  <c r="FA238" i="4"/>
  <c r="FB238" i="4"/>
  <c r="FC238" i="4"/>
  <c r="FD238" i="4"/>
  <c r="FE238" i="4"/>
  <c r="FF238" i="4"/>
  <c r="FG238" i="4"/>
  <c r="FH238" i="4"/>
  <c r="FI238" i="4"/>
  <c r="FJ238" i="4"/>
  <c r="FK238" i="4"/>
  <c r="FL238" i="4"/>
  <c r="FM238" i="4"/>
  <c r="FN238" i="4"/>
  <c r="FO238" i="4"/>
  <c r="FP238" i="4"/>
  <c r="FQ238" i="4"/>
  <c r="FR238" i="4"/>
  <c r="FS238" i="4"/>
  <c r="FT238" i="4"/>
  <c r="FU238" i="4"/>
  <c r="FV238" i="4"/>
  <c r="FW238" i="4"/>
  <c r="FX238" i="4"/>
  <c r="FY238" i="4"/>
  <c r="FZ238" i="4"/>
  <c r="GA238" i="4"/>
  <c r="GB238" i="4"/>
  <c r="GC238" i="4"/>
  <c r="GD238" i="4"/>
  <c r="GE238" i="4"/>
  <c r="GF238" i="4"/>
  <c r="GG238" i="4"/>
  <c r="GH238" i="4"/>
  <c r="GI238" i="4"/>
  <c r="GJ238" i="4"/>
  <c r="GK238" i="4"/>
  <c r="GL238" i="4"/>
  <c r="GM238" i="4"/>
  <c r="GN238" i="4"/>
  <c r="GO238" i="4"/>
  <c r="GP238" i="4"/>
  <c r="GQ238" i="4"/>
  <c r="GR238" i="4"/>
  <c r="GS238" i="4"/>
  <c r="GT238" i="4"/>
  <c r="GU238" i="4"/>
  <c r="GV238" i="4"/>
  <c r="GW238" i="4"/>
  <c r="GX238" i="4"/>
  <c r="GY238" i="4"/>
  <c r="GZ238" i="4"/>
  <c r="HA238" i="4"/>
  <c r="HB238" i="4"/>
  <c r="HC238" i="4"/>
  <c r="HD238" i="4"/>
  <c r="HE238" i="4"/>
  <c r="HF238" i="4"/>
  <c r="HG238" i="4"/>
  <c r="HH238" i="4"/>
  <c r="HI238" i="4"/>
  <c r="HJ238" i="4"/>
  <c r="HK238" i="4"/>
  <c r="HL238" i="4"/>
  <c r="HM238" i="4"/>
  <c r="HN238" i="4"/>
  <c r="HO238" i="4"/>
  <c r="HP238" i="4"/>
  <c r="HQ238" i="4"/>
  <c r="HR238" i="4"/>
  <c r="HS238" i="4"/>
  <c r="HT238" i="4"/>
  <c r="HU238" i="4"/>
  <c r="HV238" i="4"/>
  <c r="HW238" i="4"/>
  <c r="HX238" i="4"/>
  <c r="HY238" i="4"/>
  <c r="HZ238" i="4"/>
  <c r="IA238" i="4"/>
  <c r="IB238" i="4"/>
  <c r="IC238" i="4"/>
  <c r="ID238" i="4"/>
  <c r="IE238" i="4"/>
  <c r="IF238" i="4"/>
  <c r="IG238" i="4"/>
  <c r="IH238" i="4"/>
  <c r="II238" i="4"/>
  <c r="IJ238" i="4"/>
  <c r="IK238" i="4"/>
  <c r="IL238" i="4"/>
  <c r="IM238" i="4"/>
  <c r="IN238" i="4"/>
  <c r="IO238" i="4"/>
  <c r="IP238" i="4"/>
  <c r="IQ238" i="4"/>
  <c r="IR238" i="4"/>
  <c r="IS238" i="4"/>
  <c r="IT238" i="4"/>
  <c r="IU238" i="4"/>
  <c r="IV238" i="4"/>
  <c r="A237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AB237" i="4"/>
  <c r="AC237" i="4"/>
  <c r="AD237" i="4"/>
  <c r="AE237" i="4"/>
  <c r="AF237" i="4"/>
  <c r="AG237" i="4"/>
  <c r="AH237" i="4"/>
  <c r="AI237" i="4"/>
  <c r="AJ237" i="4"/>
  <c r="AK237" i="4"/>
  <c r="AL237" i="4"/>
  <c r="AM237" i="4"/>
  <c r="AN237" i="4"/>
  <c r="AO237" i="4"/>
  <c r="AP237" i="4"/>
  <c r="AQ237" i="4"/>
  <c r="AR237" i="4"/>
  <c r="AS237" i="4"/>
  <c r="AT237" i="4"/>
  <c r="AU237" i="4"/>
  <c r="AV237" i="4"/>
  <c r="AW237" i="4"/>
  <c r="AX237" i="4"/>
  <c r="AY237" i="4"/>
  <c r="AZ237" i="4"/>
  <c r="BA237" i="4"/>
  <c r="BB237" i="4"/>
  <c r="BC237" i="4"/>
  <c r="BD237" i="4"/>
  <c r="BE237" i="4"/>
  <c r="BF237" i="4"/>
  <c r="BG237" i="4"/>
  <c r="BH237" i="4"/>
  <c r="BI237" i="4"/>
  <c r="BJ237" i="4"/>
  <c r="BK237" i="4"/>
  <c r="BL237" i="4"/>
  <c r="BM237" i="4"/>
  <c r="BN237" i="4"/>
  <c r="BO237" i="4"/>
  <c r="BP237" i="4"/>
  <c r="BQ237" i="4"/>
  <c r="BR237" i="4"/>
  <c r="BS237" i="4"/>
  <c r="BT237" i="4"/>
  <c r="BU237" i="4"/>
  <c r="BV237" i="4"/>
  <c r="BW237" i="4"/>
  <c r="BX237" i="4"/>
  <c r="BY237" i="4"/>
  <c r="BZ237" i="4"/>
  <c r="CA237" i="4"/>
  <c r="CB237" i="4"/>
  <c r="CC237" i="4"/>
  <c r="CD237" i="4"/>
  <c r="CE237" i="4"/>
  <c r="CF237" i="4"/>
  <c r="CG237" i="4"/>
  <c r="CH237" i="4"/>
  <c r="CI237" i="4"/>
  <c r="CJ237" i="4"/>
  <c r="CK237" i="4"/>
  <c r="CL237" i="4"/>
  <c r="CM237" i="4"/>
  <c r="CN237" i="4"/>
  <c r="CO237" i="4"/>
  <c r="CP237" i="4"/>
  <c r="CQ237" i="4"/>
  <c r="CR237" i="4"/>
  <c r="CS237" i="4"/>
  <c r="CT237" i="4"/>
  <c r="CU237" i="4"/>
  <c r="CV237" i="4"/>
  <c r="CW237" i="4"/>
  <c r="CX237" i="4"/>
  <c r="CY237" i="4"/>
  <c r="CZ237" i="4"/>
  <c r="DA237" i="4"/>
  <c r="DB237" i="4"/>
  <c r="DC237" i="4"/>
  <c r="DD237" i="4"/>
  <c r="DE237" i="4"/>
  <c r="DF237" i="4"/>
  <c r="DG237" i="4"/>
  <c r="DH237" i="4"/>
  <c r="DI237" i="4"/>
  <c r="DJ237" i="4"/>
  <c r="DK237" i="4"/>
  <c r="DL237" i="4"/>
  <c r="DM237" i="4"/>
  <c r="DN237" i="4"/>
  <c r="DO237" i="4"/>
  <c r="DP237" i="4"/>
  <c r="DQ237" i="4"/>
  <c r="DR237" i="4"/>
  <c r="DS237" i="4"/>
  <c r="DT237" i="4"/>
  <c r="DU237" i="4"/>
  <c r="DV237" i="4"/>
  <c r="DW237" i="4"/>
  <c r="DX237" i="4"/>
  <c r="DY237" i="4"/>
  <c r="DZ237" i="4"/>
  <c r="EA237" i="4"/>
  <c r="EB237" i="4"/>
  <c r="EC237" i="4"/>
  <c r="ED237" i="4"/>
  <c r="EE237" i="4"/>
  <c r="EF237" i="4"/>
  <c r="EG237" i="4"/>
  <c r="EH237" i="4"/>
  <c r="EI237" i="4"/>
  <c r="EJ237" i="4"/>
  <c r="EK237" i="4"/>
  <c r="EL237" i="4"/>
  <c r="EM237" i="4"/>
  <c r="EN237" i="4"/>
  <c r="EO237" i="4"/>
  <c r="EP237" i="4"/>
  <c r="EQ237" i="4"/>
  <c r="ER237" i="4"/>
  <c r="ES237" i="4"/>
  <c r="ET237" i="4"/>
  <c r="EU237" i="4"/>
  <c r="EV237" i="4"/>
  <c r="EW237" i="4"/>
  <c r="EX237" i="4"/>
  <c r="EY237" i="4"/>
  <c r="EZ237" i="4"/>
  <c r="FA237" i="4"/>
  <c r="FB237" i="4"/>
  <c r="FC237" i="4"/>
  <c r="FD237" i="4"/>
  <c r="FE237" i="4"/>
  <c r="FF237" i="4"/>
  <c r="FG237" i="4"/>
  <c r="FH237" i="4"/>
  <c r="FI237" i="4"/>
  <c r="FJ237" i="4"/>
  <c r="FK237" i="4"/>
  <c r="FL237" i="4"/>
  <c r="FM237" i="4"/>
  <c r="FN237" i="4"/>
  <c r="FO237" i="4"/>
  <c r="FP237" i="4"/>
  <c r="FQ237" i="4"/>
  <c r="FR237" i="4"/>
  <c r="FS237" i="4"/>
  <c r="FT237" i="4"/>
  <c r="FU237" i="4"/>
  <c r="FV237" i="4"/>
  <c r="FW237" i="4"/>
  <c r="FX237" i="4"/>
  <c r="FY237" i="4"/>
  <c r="FZ237" i="4"/>
  <c r="GA237" i="4"/>
  <c r="GB237" i="4"/>
  <c r="GC237" i="4"/>
  <c r="GD237" i="4"/>
  <c r="GE237" i="4"/>
  <c r="GF237" i="4"/>
  <c r="GG237" i="4"/>
  <c r="GH237" i="4"/>
  <c r="GI237" i="4"/>
  <c r="GJ237" i="4"/>
  <c r="GK237" i="4"/>
  <c r="GL237" i="4"/>
  <c r="GM237" i="4"/>
  <c r="GN237" i="4"/>
  <c r="GO237" i="4"/>
  <c r="GP237" i="4"/>
  <c r="GQ237" i="4"/>
  <c r="GR237" i="4"/>
  <c r="GS237" i="4"/>
  <c r="GT237" i="4"/>
  <c r="GU237" i="4"/>
  <c r="GV237" i="4"/>
  <c r="GW237" i="4"/>
  <c r="GX237" i="4"/>
  <c r="GY237" i="4"/>
  <c r="GZ237" i="4"/>
  <c r="HA237" i="4"/>
  <c r="HB237" i="4"/>
  <c r="HC237" i="4"/>
  <c r="HD237" i="4"/>
  <c r="HE237" i="4"/>
  <c r="HF237" i="4"/>
  <c r="HG237" i="4"/>
  <c r="HH237" i="4"/>
  <c r="HI237" i="4"/>
  <c r="HJ237" i="4"/>
  <c r="HK237" i="4"/>
  <c r="HL237" i="4"/>
  <c r="HM237" i="4"/>
  <c r="HN237" i="4"/>
  <c r="HO237" i="4"/>
  <c r="HP237" i="4"/>
  <c r="HQ237" i="4"/>
  <c r="HR237" i="4"/>
  <c r="HS237" i="4"/>
  <c r="HT237" i="4"/>
  <c r="HU237" i="4"/>
  <c r="HV237" i="4"/>
  <c r="HW237" i="4"/>
  <c r="HX237" i="4"/>
  <c r="HY237" i="4"/>
  <c r="HZ237" i="4"/>
  <c r="IA237" i="4"/>
  <c r="IB237" i="4"/>
  <c r="IC237" i="4"/>
  <c r="ID237" i="4"/>
  <c r="IE237" i="4"/>
  <c r="IF237" i="4"/>
  <c r="IG237" i="4"/>
  <c r="IH237" i="4"/>
  <c r="II237" i="4"/>
  <c r="IJ237" i="4"/>
  <c r="IK237" i="4"/>
  <c r="IL237" i="4"/>
  <c r="IM237" i="4"/>
  <c r="IN237" i="4"/>
  <c r="IO237" i="4"/>
  <c r="IP237" i="4"/>
  <c r="IQ237" i="4"/>
  <c r="IR237" i="4"/>
  <c r="IS237" i="4"/>
  <c r="IT237" i="4"/>
  <c r="IU237" i="4"/>
  <c r="IV237" i="4"/>
  <c r="A236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AB236" i="4"/>
  <c r="AC236" i="4"/>
  <c r="AD236" i="4"/>
  <c r="AE236" i="4"/>
  <c r="AF236" i="4"/>
  <c r="AG236" i="4"/>
  <c r="AH236" i="4"/>
  <c r="AI236" i="4"/>
  <c r="AJ236" i="4"/>
  <c r="AK236" i="4"/>
  <c r="AL236" i="4"/>
  <c r="AM236" i="4"/>
  <c r="AN236" i="4"/>
  <c r="AO236" i="4"/>
  <c r="AP236" i="4"/>
  <c r="AQ236" i="4"/>
  <c r="AR236" i="4"/>
  <c r="AS236" i="4"/>
  <c r="AT236" i="4"/>
  <c r="AU236" i="4"/>
  <c r="AV236" i="4"/>
  <c r="AW236" i="4"/>
  <c r="AX236" i="4"/>
  <c r="AY236" i="4"/>
  <c r="AZ236" i="4"/>
  <c r="BA236" i="4"/>
  <c r="BB236" i="4"/>
  <c r="BC236" i="4"/>
  <c r="BD236" i="4"/>
  <c r="BE236" i="4"/>
  <c r="BF236" i="4"/>
  <c r="BG236" i="4"/>
  <c r="BH236" i="4"/>
  <c r="BI236" i="4"/>
  <c r="BJ236" i="4"/>
  <c r="BK236" i="4"/>
  <c r="BL236" i="4"/>
  <c r="BM236" i="4"/>
  <c r="BN236" i="4"/>
  <c r="BO236" i="4"/>
  <c r="BP236" i="4"/>
  <c r="BQ236" i="4"/>
  <c r="BR236" i="4"/>
  <c r="BS236" i="4"/>
  <c r="BT236" i="4"/>
  <c r="BU236" i="4"/>
  <c r="BV236" i="4"/>
  <c r="BW236" i="4"/>
  <c r="BX236" i="4"/>
  <c r="BY236" i="4"/>
  <c r="BZ236" i="4"/>
  <c r="CA236" i="4"/>
  <c r="CB236" i="4"/>
  <c r="CC236" i="4"/>
  <c r="CD236" i="4"/>
  <c r="CE236" i="4"/>
  <c r="CF236" i="4"/>
  <c r="CG236" i="4"/>
  <c r="CH236" i="4"/>
  <c r="CI236" i="4"/>
  <c r="CJ236" i="4"/>
  <c r="CK236" i="4"/>
  <c r="CL236" i="4"/>
  <c r="CM236" i="4"/>
  <c r="CN236" i="4"/>
  <c r="CO236" i="4"/>
  <c r="CP236" i="4"/>
  <c r="CQ236" i="4"/>
  <c r="CR236" i="4"/>
  <c r="CS236" i="4"/>
  <c r="CT236" i="4"/>
  <c r="CU236" i="4"/>
  <c r="CV236" i="4"/>
  <c r="CW236" i="4"/>
  <c r="CX236" i="4"/>
  <c r="CY236" i="4"/>
  <c r="CZ236" i="4"/>
  <c r="DA236" i="4"/>
  <c r="DB236" i="4"/>
  <c r="DC236" i="4"/>
  <c r="DD236" i="4"/>
  <c r="DE236" i="4"/>
  <c r="DF236" i="4"/>
  <c r="DG236" i="4"/>
  <c r="DH236" i="4"/>
  <c r="DI236" i="4"/>
  <c r="DJ236" i="4"/>
  <c r="DK236" i="4"/>
  <c r="DL236" i="4"/>
  <c r="DM236" i="4"/>
  <c r="DN236" i="4"/>
  <c r="DO236" i="4"/>
  <c r="DP236" i="4"/>
  <c r="DQ236" i="4"/>
  <c r="DR236" i="4"/>
  <c r="DS236" i="4"/>
  <c r="DT236" i="4"/>
  <c r="DU236" i="4"/>
  <c r="DV236" i="4"/>
  <c r="DW236" i="4"/>
  <c r="DX236" i="4"/>
  <c r="DY236" i="4"/>
  <c r="DZ236" i="4"/>
  <c r="EA236" i="4"/>
  <c r="EB236" i="4"/>
  <c r="EC236" i="4"/>
  <c r="ED236" i="4"/>
  <c r="EE236" i="4"/>
  <c r="EF236" i="4"/>
  <c r="EG236" i="4"/>
  <c r="EH236" i="4"/>
  <c r="EI236" i="4"/>
  <c r="EJ236" i="4"/>
  <c r="EK236" i="4"/>
  <c r="EL236" i="4"/>
  <c r="EM236" i="4"/>
  <c r="EN236" i="4"/>
  <c r="EO236" i="4"/>
  <c r="EP236" i="4"/>
  <c r="EQ236" i="4"/>
  <c r="ER236" i="4"/>
  <c r="ES236" i="4"/>
  <c r="ET236" i="4"/>
  <c r="EU236" i="4"/>
  <c r="EV236" i="4"/>
  <c r="EW236" i="4"/>
  <c r="EX236" i="4"/>
  <c r="EY236" i="4"/>
  <c r="EZ236" i="4"/>
  <c r="FA236" i="4"/>
  <c r="FB236" i="4"/>
  <c r="FC236" i="4"/>
  <c r="FD236" i="4"/>
  <c r="FE236" i="4"/>
  <c r="FF236" i="4"/>
  <c r="FG236" i="4"/>
  <c r="FH236" i="4"/>
  <c r="FI236" i="4"/>
  <c r="FJ236" i="4"/>
  <c r="FK236" i="4"/>
  <c r="FL236" i="4"/>
  <c r="FM236" i="4"/>
  <c r="FN236" i="4"/>
  <c r="FO236" i="4"/>
  <c r="FP236" i="4"/>
  <c r="FQ236" i="4"/>
  <c r="FR236" i="4"/>
  <c r="FS236" i="4"/>
  <c r="FT236" i="4"/>
  <c r="FU236" i="4"/>
  <c r="FV236" i="4"/>
  <c r="FW236" i="4"/>
  <c r="FX236" i="4"/>
  <c r="FY236" i="4"/>
  <c r="FZ236" i="4"/>
  <c r="GA236" i="4"/>
  <c r="GB236" i="4"/>
  <c r="GC236" i="4"/>
  <c r="GD236" i="4"/>
  <c r="GE236" i="4"/>
  <c r="GF236" i="4"/>
  <c r="GG236" i="4"/>
  <c r="GH236" i="4"/>
  <c r="GI236" i="4"/>
  <c r="GJ236" i="4"/>
  <c r="GK236" i="4"/>
  <c r="GL236" i="4"/>
  <c r="GM236" i="4"/>
  <c r="GN236" i="4"/>
  <c r="GO236" i="4"/>
  <c r="GP236" i="4"/>
  <c r="GQ236" i="4"/>
  <c r="GR236" i="4"/>
  <c r="GS236" i="4"/>
  <c r="GT236" i="4"/>
  <c r="GU236" i="4"/>
  <c r="GV236" i="4"/>
  <c r="GW236" i="4"/>
  <c r="GX236" i="4"/>
  <c r="GY236" i="4"/>
  <c r="GZ236" i="4"/>
  <c r="HA236" i="4"/>
  <c r="HB236" i="4"/>
  <c r="HC236" i="4"/>
  <c r="HD236" i="4"/>
  <c r="HE236" i="4"/>
  <c r="HF236" i="4"/>
  <c r="HG236" i="4"/>
  <c r="HH236" i="4"/>
  <c r="HI236" i="4"/>
  <c r="HJ236" i="4"/>
  <c r="HK236" i="4"/>
  <c r="HL236" i="4"/>
  <c r="HM236" i="4"/>
  <c r="HN236" i="4"/>
  <c r="HO236" i="4"/>
  <c r="HP236" i="4"/>
  <c r="HQ236" i="4"/>
  <c r="HR236" i="4"/>
  <c r="HS236" i="4"/>
  <c r="HT236" i="4"/>
  <c r="HU236" i="4"/>
  <c r="HV236" i="4"/>
  <c r="HW236" i="4"/>
  <c r="HX236" i="4"/>
  <c r="HY236" i="4"/>
  <c r="HZ236" i="4"/>
  <c r="IA236" i="4"/>
  <c r="IB236" i="4"/>
  <c r="IC236" i="4"/>
  <c r="ID236" i="4"/>
  <c r="IE236" i="4"/>
  <c r="IF236" i="4"/>
  <c r="IG236" i="4"/>
  <c r="IH236" i="4"/>
  <c r="II236" i="4"/>
  <c r="IJ236" i="4"/>
  <c r="IK236" i="4"/>
  <c r="IL236" i="4"/>
  <c r="IM236" i="4"/>
  <c r="IN236" i="4"/>
  <c r="IO236" i="4"/>
  <c r="IP236" i="4"/>
  <c r="IQ236" i="4"/>
  <c r="IR236" i="4"/>
  <c r="IS236" i="4"/>
  <c r="IT236" i="4"/>
  <c r="IU236" i="4"/>
  <c r="IV236" i="4"/>
  <c r="A235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AB235" i="4"/>
  <c r="AC235" i="4"/>
  <c r="AD235" i="4"/>
  <c r="AE235" i="4"/>
  <c r="AF235" i="4"/>
  <c r="AG235" i="4"/>
  <c r="AH235" i="4"/>
  <c r="AI235" i="4"/>
  <c r="AJ235" i="4"/>
  <c r="AK235" i="4"/>
  <c r="AL235" i="4"/>
  <c r="AM235" i="4"/>
  <c r="AN235" i="4"/>
  <c r="AO235" i="4"/>
  <c r="AP235" i="4"/>
  <c r="AQ235" i="4"/>
  <c r="AR235" i="4"/>
  <c r="AS235" i="4"/>
  <c r="AT235" i="4"/>
  <c r="AU235" i="4"/>
  <c r="AV235" i="4"/>
  <c r="AW235" i="4"/>
  <c r="AX235" i="4"/>
  <c r="AY235" i="4"/>
  <c r="AZ235" i="4"/>
  <c r="BA235" i="4"/>
  <c r="BB235" i="4"/>
  <c r="BC235" i="4"/>
  <c r="BD235" i="4"/>
  <c r="BE235" i="4"/>
  <c r="BF235" i="4"/>
  <c r="BG235" i="4"/>
  <c r="BH235" i="4"/>
  <c r="BI235" i="4"/>
  <c r="BJ235" i="4"/>
  <c r="BK235" i="4"/>
  <c r="BL235" i="4"/>
  <c r="BM235" i="4"/>
  <c r="BN235" i="4"/>
  <c r="BO235" i="4"/>
  <c r="BP235" i="4"/>
  <c r="BQ235" i="4"/>
  <c r="BR235" i="4"/>
  <c r="BS235" i="4"/>
  <c r="BT235" i="4"/>
  <c r="BU235" i="4"/>
  <c r="BV235" i="4"/>
  <c r="BW235" i="4"/>
  <c r="BX235" i="4"/>
  <c r="BY235" i="4"/>
  <c r="BZ235" i="4"/>
  <c r="CA235" i="4"/>
  <c r="CB235" i="4"/>
  <c r="CC235" i="4"/>
  <c r="CD235" i="4"/>
  <c r="CE235" i="4"/>
  <c r="CF235" i="4"/>
  <c r="CG235" i="4"/>
  <c r="CH235" i="4"/>
  <c r="CI235" i="4"/>
  <c r="CJ235" i="4"/>
  <c r="CK235" i="4"/>
  <c r="CL235" i="4"/>
  <c r="CM235" i="4"/>
  <c r="CN235" i="4"/>
  <c r="CO235" i="4"/>
  <c r="CP235" i="4"/>
  <c r="CQ235" i="4"/>
  <c r="CR235" i="4"/>
  <c r="CS235" i="4"/>
  <c r="CT235" i="4"/>
  <c r="CU235" i="4"/>
  <c r="CV235" i="4"/>
  <c r="CW235" i="4"/>
  <c r="CX235" i="4"/>
  <c r="CY235" i="4"/>
  <c r="CZ235" i="4"/>
  <c r="DA235" i="4"/>
  <c r="DB235" i="4"/>
  <c r="DC235" i="4"/>
  <c r="DD235" i="4"/>
  <c r="DE235" i="4"/>
  <c r="DF235" i="4"/>
  <c r="DG235" i="4"/>
  <c r="DH235" i="4"/>
  <c r="DI235" i="4"/>
  <c r="DJ235" i="4"/>
  <c r="DK235" i="4"/>
  <c r="DL235" i="4"/>
  <c r="DM235" i="4"/>
  <c r="DN235" i="4"/>
  <c r="DO235" i="4"/>
  <c r="DP235" i="4"/>
  <c r="DQ235" i="4"/>
  <c r="DR235" i="4"/>
  <c r="DS235" i="4"/>
  <c r="DT235" i="4"/>
  <c r="DU235" i="4"/>
  <c r="DV235" i="4"/>
  <c r="DW235" i="4"/>
  <c r="DX235" i="4"/>
  <c r="DY235" i="4"/>
  <c r="DZ235" i="4"/>
  <c r="EA235" i="4"/>
  <c r="EB235" i="4"/>
  <c r="EC235" i="4"/>
  <c r="ED235" i="4"/>
  <c r="EE235" i="4"/>
  <c r="EF235" i="4"/>
  <c r="EG235" i="4"/>
  <c r="EH235" i="4"/>
  <c r="EI235" i="4"/>
  <c r="EJ235" i="4"/>
  <c r="EK235" i="4"/>
  <c r="EL235" i="4"/>
  <c r="EM235" i="4"/>
  <c r="EN235" i="4"/>
  <c r="EO235" i="4"/>
  <c r="EP235" i="4"/>
  <c r="EQ235" i="4"/>
  <c r="ER235" i="4"/>
  <c r="ES235" i="4"/>
  <c r="ET235" i="4"/>
  <c r="EU235" i="4"/>
  <c r="EV235" i="4"/>
  <c r="EW235" i="4"/>
  <c r="EX235" i="4"/>
  <c r="EY235" i="4"/>
  <c r="EZ235" i="4"/>
  <c r="FA235" i="4"/>
  <c r="FB235" i="4"/>
  <c r="FC235" i="4"/>
  <c r="FD235" i="4"/>
  <c r="FE235" i="4"/>
  <c r="FF235" i="4"/>
  <c r="FG235" i="4"/>
  <c r="FH235" i="4"/>
  <c r="FI235" i="4"/>
  <c r="FJ235" i="4"/>
  <c r="FK235" i="4"/>
  <c r="FL235" i="4"/>
  <c r="FM235" i="4"/>
  <c r="FN235" i="4"/>
  <c r="FO235" i="4"/>
  <c r="FP235" i="4"/>
  <c r="FQ235" i="4"/>
  <c r="FR235" i="4"/>
  <c r="FS235" i="4"/>
  <c r="FT235" i="4"/>
  <c r="FU235" i="4"/>
  <c r="FV235" i="4"/>
  <c r="FW235" i="4"/>
  <c r="FX235" i="4"/>
  <c r="FY235" i="4"/>
  <c r="FZ235" i="4"/>
  <c r="GA235" i="4"/>
  <c r="GB235" i="4"/>
  <c r="GC235" i="4"/>
  <c r="GD235" i="4"/>
  <c r="GE235" i="4"/>
  <c r="GF235" i="4"/>
  <c r="GG235" i="4"/>
  <c r="GH235" i="4"/>
  <c r="GI235" i="4"/>
  <c r="GJ235" i="4"/>
  <c r="GK235" i="4"/>
  <c r="GL235" i="4"/>
  <c r="GM235" i="4"/>
  <c r="GN235" i="4"/>
  <c r="GO235" i="4"/>
  <c r="GP235" i="4"/>
  <c r="GQ235" i="4"/>
  <c r="GR235" i="4"/>
  <c r="GS235" i="4"/>
  <c r="GT235" i="4"/>
  <c r="GU235" i="4"/>
  <c r="GV235" i="4"/>
  <c r="GW235" i="4"/>
  <c r="GX235" i="4"/>
  <c r="GY235" i="4"/>
  <c r="GZ235" i="4"/>
  <c r="HA235" i="4"/>
  <c r="HB235" i="4"/>
  <c r="HC235" i="4"/>
  <c r="HD235" i="4"/>
  <c r="HE235" i="4"/>
  <c r="HF235" i="4"/>
  <c r="HG235" i="4"/>
  <c r="HH235" i="4"/>
  <c r="HI235" i="4"/>
  <c r="HJ235" i="4"/>
  <c r="HK235" i="4"/>
  <c r="HL235" i="4"/>
  <c r="HM235" i="4"/>
  <c r="HN235" i="4"/>
  <c r="HO235" i="4"/>
  <c r="HP235" i="4"/>
  <c r="HQ235" i="4"/>
  <c r="HR235" i="4"/>
  <c r="HS235" i="4"/>
  <c r="HT235" i="4"/>
  <c r="HU235" i="4"/>
  <c r="HV235" i="4"/>
  <c r="HW235" i="4"/>
  <c r="HX235" i="4"/>
  <c r="HY235" i="4"/>
  <c r="HZ235" i="4"/>
  <c r="IA235" i="4"/>
  <c r="IB235" i="4"/>
  <c r="IC235" i="4"/>
  <c r="ID235" i="4"/>
  <c r="IE235" i="4"/>
  <c r="IF235" i="4"/>
  <c r="IG235" i="4"/>
  <c r="IH235" i="4"/>
  <c r="II235" i="4"/>
  <c r="IJ235" i="4"/>
  <c r="IK235" i="4"/>
  <c r="IL235" i="4"/>
  <c r="IM235" i="4"/>
  <c r="IN235" i="4"/>
  <c r="IO235" i="4"/>
  <c r="IP235" i="4"/>
  <c r="IQ235" i="4"/>
  <c r="IR235" i="4"/>
  <c r="IS235" i="4"/>
  <c r="IT235" i="4"/>
  <c r="IU235" i="4"/>
  <c r="IV235" i="4"/>
  <c r="A234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AB234" i="4"/>
  <c r="AC234" i="4"/>
  <c r="AD234" i="4"/>
  <c r="AE234" i="4"/>
  <c r="AF234" i="4"/>
  <c r="AG234" i="4"/>
  <c r="AH234" i="4"/>
  <c r="AI234" i="4"/>
  <c r="AJ234" i="4"/>
  <c r="AK234" i="4"/>
  <c r="AL234" i="4"/>
  <c r="AM234" i="4"/>
  <c r="AN234" i="4"/>
  <c r="AO234" i="4"/>
  <c r="AP234" i="4"/>
  <c r="AQ234" i="4"/>
  <c r="AR234" i="4"/>
  <c r="AS234" i="4"/>
  <c r="AT234" i="4"/>
  <c r="AU234" i="4"/>
  <c r="AV234" i="4"/>
  <c r="AW234" i="4"/>
  <c r="AX234" i="4"/>
  <c r="AY234" i="4"/>
  <c r="AZ234" i="4"/>
  <c r="BA234" i="4"/>
  <c r="BB234" i="4"/>
  <c r="BC234" i="4"/>
  <c r="BD234" i="4"/>
  <c r="BE234" i="4"/>
  <c r="BF234" i="4"/>
  <c r="BG234" i="4"/>
  <c r="BH234" i="4"/>
  <c r="BI234" i="4"/>
  <c r="BJ234" i="4"/>
  <c r="BK234" i="4"/>
  <c r="BL234" i="4"/>
  <c r="BM234" i="4"/>
  <c r="BN234" i="4"/>
  <c r="BO234" i="4"/>
  <c r="BP234" i="4"/>
  <c r="BQ234" i="4"/>
  <c r="BR234" i="4"/>
  <c r="BS234" i="4"/>
  <c r="BT234" i="4"/>
  <c r="BU234" i="4"/>
  <c r="BV234" i="4"/>
  <c r="BW234" i="4"/>
  <c r="BX234" i="4"/>
  <c r="BY234" i="4"/>
  <c r="BZ234" i="4"/>
  <c r="CA234" i="4"/>
  <c r="CB234" i="4"/>
  <c r="CC234" i="4"/>
  <c r="CD234" i="4"/>
  <c r="CE234" i="4"/>
  <c r="CF234" i="4"/>
  <c r="CG234" i="4"/>
  <c r="CH234" i="4"/>
  <c r="CI234" i="4"/>
  <c r="CJ234" i="4"/>
  <c r="CK234" i="4"/>
  <c r="CL234" i="4"/>
  <c r="CM234" i="4"/>
  <c r="CN234" i="4"/>
  <c r="CO234" i="4"/>
  <c r="CP234" i="4"/>
  <c r="CQ234" i="4"/>
  <c r="CR234" i="4"/>
  <c r="CS234" i="4"/>
  <c r="CT234" i="4"/>
  <c r="CU234" i="4"/>
  <c r="CV234" i="4"/>
  <c r="CW234" i="4"/>
  <c r="CX234" i="4"/>
  <c r="CY234" i="4"/>
  <c r="CZ234" i="4"/>
  <c r="DA234" i="4"/>
  <c r="DB234" i="4"/>
  <c r="DC234" i="4"/>
  <c r="DD234" i="4"/>
  <c r="DE234" i="4"/>
  <c r="DF234" i="4"/>
  <c r="DG234" i="4"/>
  <c r="DH234" i="4"/>
  <c r="DI234" i="4"/>
  <c r="DJ234" i="4"/>
  <c r="DK234" i="4"/>
  <c r="DL234" i="4"/>
  <c r="DM234" i="4"/>
  <c r="DN234" i="4"/>
  <c r="DO234" i="4"/>
  <c r="DP234" i="4"/>
  <c r="DQ234" i="4"/>
  <c r="DR234" i="4"/>
  <c r="DS234" i="4"/>
  <c r="DT234" i="4"/>
  <c r="DU234" i="4"/>
  <c r="DV234" i="4"/>
  <c r="DW234" i="4"/>
  <c r="DX234" i="4"/>
  <c r="DY234" i="4"/>
  <c r="DZ234" i="4"/>
  <c r="EA234" i="4"/>
  <c r="EB234" i="4"/>
  <c r="EC234" i="4"/>
  <c r="ED234" i="4"/>
  <c r="EE234" i="4"/>
  <c r="EF234" i="4"/>
  <c r="EG234" i="4"/>
  <c r="EH234" i="4"/>
  <c r="EI234" i="4"/>
  <c r="EJ234" i="4"/>
  <c r="EK234" i="4"/>
  <c r="EL234" i="4"/>
  <c r="EM234" i="4"/>
  <c r="EN234" i="4"/>
  <c r="EO234" i="4"/>
  <c r="EP234" i="4"/>
  <c r="EQ234" i="4"/>
  <c r="ER234" i="4"/>
  <c r="ES234" i="4"/>
  <c r="ET234" i="4"/>
  <c r="EU234" i="4"/>
  <c r="EV234" i="4"/>
  <c r="EW234" i="4"/>
  <c r="EX234" i="4"/>
  <c r="EY234" i="4"/>
  <c r="EZ234" i="4"/>
  <c r="FA234" i="4"/>
  <c r="FB234" i="4"/>
  <c r="FC234" i="4"/>
  <c r="FD234" i="4"/>
  <c r="FE234" i="4"/>
  <c r="FF234" i="4"/>
  <c r="FG234" i="4"/>
  <c r="FH234" i="4"/>
  <c r="FI234" i="4"/>
  <c r="FJ234" i="4"/>
  <c r="FK234" i="4"/>
  <c r="FL234" i="4"/>
  <c r="FM234" i="4"/>
  <c r="FN234" i="4"/>
  <c r="FO234" i="4"/>
  <c r="FP234" i="4"/>
  <c r="FQ234" i="4"/>
  <c r="FR234" i="4"/>
  <c r="FS234" i="4"/>
  <c r="FT234" i="4"/>
  <c r="FU234" i="4"/>
  <c r="FV234" i="4"/>
  <c r="FW234" i="4"/>
  <c r="FX234" i="4"/>
  <c r="FY234" i="4"/>
  <c r="FZ234" i="4"/>
  <c r="GA234" i="4"/>
  <c r="GB234" i="4"/>
  <c r="GC234" i="4"/>
  <c r="GD234" i="4"/>
  <c r="GE234" i="4"/>
  <c r="GF234" i="4"/>
  <c r="GG234" i="4"/>
  <c r="GH234" i="4"/>
  <c r="GI234" i="4"/>
  <c r="GJ234" i="4"/>
  <c r="GK234" i="4"/>
  <c r="GL234" i="4"/>
  <c r="GM234" i="4"/>
  <c r="GN234" i="4"/>
  <c r="GO234" i="4"/>
  <c r="GP234" i="4"/>
  <c r="GQ234" i="4"/>
  <c r="GR234" i="4"/>
  <c r="GS234" i="4"/>
  <c r="GT234" i="4"/>
  <c r="GU234" i="4"/>
  <c r="GV234" i="4"/>
  <c r="GW234" i="4"/>
  <c r="GX234" i="4"/>
  <c r="GY234" i="4"/>
  <c r="GZ234" i="4"/>
  <c r="HA234" i="4"/>
  <c r="HB234" i="4"/>
  <c r="HC234" i="4"/>
  <c r="HD234" i="4"/>
  <c r="HE234" i="4"/>
  <c r="HF234" i="4"/>
  <c r="HG234" i="4"/>
  <c r="HH234" i="4"/>
  <c r="HI234" i="4"/>
  <c r="HJ234" i="4"/>
  <c r="HK234" i="4"/>
  <c r="HL234" i="4"/>
  <c r="HM234" i="4"/>
  <c r="HN234" i="4"/>
  <c r="HO234" i="4"/>
  <c r="HP234" i="4"/>
  <c r="HQ234" i="4"/>
  <c r="HR234" i="4"/>
  <c r="HS234" i="4"/>
  <c r="HT234" i="4"/>
  <c r="HU234" i="4"/>
  <c r="HV234" i="4"/>
  <c r="HW234" i="4"/>
  <c r="HX234" i="4"/>
  <c r="HY234" i="4"/>
  <c r="HZ234" i="4"/>
  <c r="IA234" i="4"/>
  <c r="IB234" i="4"/>
  <c r="IC234" i="4"/>
  <c r="ID234" i="4"/>
  <c r="IE234" i="4"/>
  <c r="IF234" i="4"/>
  <c r="IG234" i="4"/>
  <c r="IH234" i="4"/>
  <c r="II234" i="4"/>
  <c r="IJ234" i="4"/>
  <c r="IK234" i="4"/>
  <c r="IL234" i="4"/>
  <c r="IM234" i="4"/>
  <c r="IN234" i="4"/>
  <c r="IO234" i="4"/>
  <c r="IP234" i="4"/>
  <c r="IQ234" i="4"/>
  <c r="IR234" i="4"/>
  <c r="IS234" i="4"/>
  <c r="IT234" i="4"/>
  <c r="IU234" i="4"/>
  <c r="IV234" i="4"/>
  <c r="A233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AB233" i="4"/>
  <c r="AC233" i="4"/>
  <c r="AD233" i="4"/>
  <c r="AE233" i="4"/>
  <c r="AF233" i="4"/>
  <c r="AG233" i="4"/>
  <c r="AH233" i="4"/>
  <c r="AI233" i="4"/>
  <c r="AJ233" i="4"/>
  <c r="AK233" i="4"/>
  <c r="AL233" i="4"/>
  <c r="AM233" i="4"/>
  <c r="AN233" i="4"/>
  <c r="AO233" i="4"/>
  <c r="AP233" i="4"/>
  <c r="AQ233" i="4"/>
  <c r="AR233" i="4"/>
  <c r="AS233" i="4"/>
  <c r="AT233" i="4"/>
  <c r="AU233" i="4"/>
  <c r="AV233" i="4"/>
  <c r="AW233" i="4"/>
  <c r="AX233" i="4"/>
  <c r="AY233" i="4"/>
  <c r="AZ233" i="4"/>
  <c r="BA233" i="4"/>
  <c r="BB233" i="4"/>
  <c r="BC233" i="4"/>
  <c r="BD233" i="4"/>
  <c r="BE233" i="4"/>
  <c r="BF233" i="4"/>
  <c r="BG233" i="4"/>
  <c r="BH233" i="4"/>
  <c r="BI233" i="4"/>
  <c r="BJ233" i="4"/>
  <c r="BK233" i="4"/>
  <c r="BL233" i="4"/>
  <c r="BM233" i="4"/>
  <c r="BN233" i="4"/>
  <c r="BO233" i="4"/>
  <c r="BP233" i="4"/>
  <c r="BQ233" i="4"/>
  <c r="BR233" i="4"/>
  <c r="BS233" i="4"/>
  <c r="BT233" i="4"/>
  <c r="BU233" i="4"/>
  <c r="BV233" i="4"/>
  <c r="BW233" i="4"/>
  <c r="BX233" i="4"/>
  <c r="BY233" i="4"/>
  <c r="BZ233" i="4"/>
  <c r="CA233" i="4"/>
  <c r="CB233" i="4"/>
  <c r="CC233" i="4"/>
  <c r="CD233" i="4"/>
  <c r="CE233" i="4"/>
  <c r="CF233" i="4"/>
  <c r="CG233" i="4"/>
  <c r="CH233" i="4"/>
  <c r="CI233" i="4"/>
  <c r="CJ233" i="4"/>
  <c r="CK233" i="4"/>
  <c r="CL233" i="4"/>
  <c r="CM233" i="4"/>
  <c r="CN233" i="4"/>
  <c r="CO233" i="4"/>
  <c r="CP233" i="4"/>
  <c r="CQ233" i="4"/>
  <c r="CR233" i="4"/>
  <c r="CS233" i="4"/>
  <c r="CT233" i="4"/>
  <c r="CU233" i="4"/>
  <c r="CV233" i="4"/>
  <c r="CW233" i="4"/>
  <c r="CX233" i="4"/>
  <c r="CY233" i="4"/>
  <c r="CZ233" i="4"/>
  <c r="DA233" i="4"/>
  <c r="DB233" i="4"/>
  <c r="DC233" i="4"/>
  <c r="DD233" i="4"/>
  <c r="DE233" i="4"/>
  <c r="DF233" i="4"/>
  <c r="DG233" i="4"/>
  <c r="DH233" i="4"/>
  <c r="DI233" i="4"/>
  <c r="DJ233" i="4"/>
  <c r="DK233" i="4"/>
  <c r="DL233" i="4"/>
  <c r="DM233" i="4"/>
  <c r="DN233" i="4"/>
  <c r="DO233" i="4"/>
  <c r="DP233" i="4"/>
  <c r="DQ233" i="4"/>
  <c r="DR233" i="4"/>
  <c r="DS233" i="4"/>
  <c r="DT233" i="4"/>
  <c r="DU233" i="4"/>
  <c r="DV233" i="4"/>
  <c r="DW233" i="4"/>
  <c r="DX233" i="4"/>
  <c r="DY233" i="4"/>
  <c r="DZ233" i="4"/>
  <c r="EA233" i="4"/>
  <c r="EB233" i="4"/>
  <c r="EC233" i="4"/>
  <c r="ED233" i="4"/>
  <c r="EE233" i="4"/>
  <c r="EF233" i="4"/>
  <c r="EG233" i="4"/>
  <c r="EH233" i="4"/>
  <c r="EI233" i="4"/>
  <c r="EJ233" i="4"/>
  <c r="EK233" i="4"/>
  <c r="EL233" i="4"/>
  <c r="EM233" i="4"/>
  <c r="EN233" i="4"/>
  <c r="EO233" i="4"/>
  <c r="EP233" i="4"/>
  <c r="EQ233" i="4"/>
  <c r="ER233" i="4"/>
  <c r="ES233" i="4"/>
  <c r="ET233" i="4"/>
  <c r="EU233" i="4"/>
  <c r="EV233" i="4"/>
  <c r="EW233" i="4"/>
  <c r="EX233" i="4"/>
  <c r="EY233" i="4"/>
  <c r="EZ233" i="4"/>
  <c r="FA233" i="4"/>
  <c r="FB233" i="4"/>
  <c r="FC233" i="4"/>
  <c r="FD233" i="4"/>
  <c r="FE233" i="4"/>
  <c r="FF233" i="4"/>
  <c r="FG233" i="4"/>
  <c r="FH233" i="4"/>
  <c r="FI233" i="4"/>
  <c r="FJ233" i="4"/>
  <c r="FK233" i="4"/>
  <c r="FL233" i="4"/>
  <c r="FM233" i="4"/>
  <c r="FN233" i="4"/>
  <c r="FO233" i="4"/>
  <c r="FP233" i="4"/>
  <c r="FQ233" i="4"/>
  <c r="FR233" i="4"/>
  <c r="FS233" i="4"/>
  <c r="FT233" i="4"/>
  <c r="FU233" i="4"/>
  <c r="FV233" i="4"/>
  <c r="FW233" i="4"/>
  <c r="FX233" i="4"/>
  <c r="FY233" i="4"/>
  <c r="FZ233" i="4"/>
  <c r="GA233" i="4"/>
  <c r="GB233" i="4"/>
  <c r="GC233" i="4"/>
  <c r="GD233" i="4"/>
  <c r="GE233" i="4"/>
  <c r="GF233" i="4"/>
  <c r="GG233" i="4"/>
  <c r="GH233" i="4"/>
  <c r="GI233" i="4"/>
  <c r="GJ233" i="4"/>
  <c r="GK233" i="4"/>
  <c r="GL233" i="4"/>
  <c r="GM233" i="4"/>
  <c r="GN233" i="4"/>
  <c r="GO233" i="4"/>
  <c r="GP233" i="4"/>
  <c r="GQ233" i="4"/>
  <c r="GR233" i="4"/>
  <c r="GS233" i="4"/>
  <c r="GT233" i="4"/>
  <c r="GU233" i="4"/>
  <c r="GV233" i="4"/>
  <c r="GW233" i="4"/>
  <c r="GX233" i="4"/>
  <c r="GY233" i="4"/>
  <c r="GZ233" i="4"/>
  <c r="HA233" i="4"/>
  <c r="HB233" i="4"/>
  <c r="HC233" i="4"/>
  <c r="HD233" i="4"/>
  <c r="HE233" i="4"/>
  <c r="HF233" i="4"/>
  <c r="HG233" i="4"/>
  <c r="HH233" i="4"/>
  <c r="HI233" i="4"/>
  <c r="HJ233" i="4"/>
  <c r="HK233" i="4"/>
  <c r="HL233" i="4"/>
  <c r="HM233" i="4"/>
  <c r="HN233" i="4"/>
  <c r="HO233" i="4"/>
  <c r="HP233" i="4"/>
  <c r="HQ233" i="4"/>
  <c r="HR233" i="4"/>
  <c r="HS233" i="4"/>
  <c r="HT233" i="4"/>
  <c r="HU233" i="4"/>
  <c r="HV233" i="4"/>
  <c r="HW233" i="4"/>
  <c r="HX233" i="4"/>
  <c r="HY233" i="4"/>
  <c r="HZ233" i="4"/>
  <c r="IA233" i="4"/>
  <c r="IB233" i="4"/>
  <c r="IC233" i="4"/>
  <c r="ID233" i="4"/>
  <c r="IE233" i="4"/>
  <c r="IF233" i="4"/>
  <c r="IG233" i="4"/>
  <c r="IH233" i="4"/>
  <c r="II233" i="4"/>
  <c r="IJ233" i="4"/>
  <c r="IK233" i="4"/>
  <c r="IL233" i="4"/>
  <c r="IM233" i="4"/>
  <c r="IN233" i="4"/>
  <c r="IO233" i="4"/>
  <c r="IP233" i="4"/>
  <c r="IQ233" i="4"/>
  <c r="IR233" i="4"/>
  <c r="IS233" i="4"/>
  <c r="IT233" i="4"/>
  <c r="IU233" i="4"/>
  <c r="IV233" i="4"/>
  <c r="A232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AB232" i="4"/>
  <c r="AC232" i="4"/>
  <c r="AD232" i="4"/>
  <c r="AE232" i="4"/>
  <c r="AF232" i="4"/>
  <c r="AG232" i="4"/>
  <c r="AH232" i="4"/>
  <c r="AI232" i="4"/>
  <c r="AJ232" i="4"/>
  <c r="AK232" i="4"/>
  <c r="AL232" i="4"/>
  <c r="AM232" i="4"/>
  <c r="AN232" i="4"/>
  <c r="AO232" i="4"/>
  <c r="AP232" i="4"/>
  <c r="AQ232" i="4"/>
  <c r="AR232" i="4"/>
  <c r="AS232" i="4"/>
  <c r="AT232" i="4"/>
  <c r="AU232" i="4"/>
  <c r="AV232" i="4"/>
  <c r="AW232" i="4"/>
  <c r="AX232" i="4"/>
  <c r="AY232" i="4"/>
  <c r="AZ232" i="4"/>
  <c r="BA232" i="4"/>
  <c r="BB232" i="4"/>
  <c r="BC232" i="4"/>
  <c r="BD232" i="4"/>
  <c r="BE232" i="4"/>
  <c r="BF232" i="4"/>
  <c r="BG232" i="4"/>
  <c r="BH232" i="4"/>
  <c r="BI232" i="4"/>
  <c r="BJ232" i="4"/>
  <c r="BK232" i="4"/>
  <c r="BL232" i="4"/>
  <c r="BM232" i="4"/>
  <c r="BN232" i="4"/>
  <c r="BO232" i="4"/>
  <c r="BP232" i="4"/>
  <c r="BQ232" i="4"/>
  <c r="BR232" i="4"/>
  <c r="BS232" i="4"/>
  <c r="BT232" i="4"/>
  <c r="BU232" i="4"/>
  <c r="BV232" i="4"/>
  <c r="BW232" i="4"/>
  <c r="BX232" i="4"/>
  <c r="BY232" i="4"/>
  <c r="BZ232" i="4"/>
  <c r="CA232" i="4"/>
  <c r="CB232" i="4"/>
  <c r="CC232" i="4"/>
  <c r="CD232" i="4"/>
  <c r="CE232" i="4"/>
  <c r="CF232" i="4"/>
  <c r="CG232" i="4"/>
  <c r="CH232" i="4"/>
  <c r="CI232" i="4"/>
  <c r="CJ232" i="4"/>
  <c r="CK232" i="4"/>
  <c r="CL232" i="4"/>
  <c r="CM232" i="4"/>
  <c r="CN232" i="4"/>
  <c r="CO232" i="4"/>
  <c r="CP232" i="4"/>
  <c r="CQ232" i="4"/>
  <c r="CR232" i="4"/>
  <c r="CS232" i="4"/>
  <c r="CT232" i="4"/>
  <c r="CU232" i="4"/>
  <c r="CV232" i="4"/>
  <c r="CW232" i="4"/>
  <c r="CX232" i="4"/>
  <c r="CY232" i="4"/>
  <c r="CZ232" i="4"/>
  <c r="DA232" i="4"/>
  <c r="DB232" i="4"/>
  <c r="DC232" i="4"/>
  <c r="DD232" i="4"/>
  <c r="DE232" i="4"/>
  <c r="DF232" i="4"/>
  <c r="DG232" i="4"/>
  <c r="DH232" i="4"/>
  <c r="DI232" i="4"/>
  <c r="DJ232" i="4"/>
  <c r="DK232" i="4"/>
  <c r="DL232" i="4"/>
  <c r="DM232" i="4"/>
  <c r="DN232" i="4"/>
  <c r="DO232" i="4"/>
  <c r="DP232" i="4"/>
  <c r="DQ232" i="4"/>
  <c r="DR232" i="4"/>
  <c r="DS232" i="4"/>
  <c r="DT232" i="4"/>
  <c r="DU232" i="4"/>
  <c r="DV232" i="4"/>
  <c r="DW232" i="4"/>
  <c r="DX232" i="4"/>
  <c r="DY232" i="4"/>
  <c r="DZ232" i="4"/>
  <c r="EA232" i="4"/>
  <c r="EB232" i="4"/>
  <c r="EC232" i="4"/>
  <c r="ED232" i="4"/>
  <c r="EE232" i="4"/>
  <c r="EF232" i="4"/>
  <c r="EG232" i="4"/>
  <c r="EH232" i="4"/>
  <c r="EI232" i="4"/>
  <c r="EJ232" i="4"/>
  <c r="EK232" i="4"/>
  <c r="EL232" i="4"/>
  <c r="EM232" i="4"/>
  <c r="EN232" i="4"/>
  <c r="EO232" i="4"/>
  <c r="EP232" i="4"/>
  <c r="EQ232" i="4"/>
  <c r="ER232" i="4"/>
  <c r="ES232" i="4"/>
  <c r="ET232" i="4"/>
  <c r="EU232" i="4"/>
  <c r="EV232" i="4"/>
  <c r="EW232" i="4"/>
  <c r="EX232" i="4"/>
  <c r="EY232" i="4"/>
  <c r="EZ232" i="4"/>
  <c r="FA232" i="4"/>
  <c r="FB232" i="4"/>
  <c r="FC232" i="4"/>
  <c r="FD232" i="4"/>
  <c r="FE232" i="4"/>
  <c r="FF232" i="4"/>
  <c r="FG232" i="4"/>
  <c r="FH232" i="4"/>
  <c r="FI232" i="4"/>
  <c r="FJ232" i="4"/>
  <c r="FK232" i="4"/>
  <c r="FL232" i="4"/>
  <c r="FM232" i="4"/>
  <c r="FN232" i="4"/>
  <c r="FO232" i="4"/>
  <c r="FP232" i="4"/>
  <c r="FQ232" i="4"/>
  <c r="FR232" i="4"/>
  <c r="FS232" i="4"/>
  <c r="FT232" i="4"/>
  <c r="FU232" i="4"/>
  <c r="FV232" i="4"/>
  <c r="FW232" i="4"/>
  <c r="FX232" i="4"/>
  <c r="FY232" i="4"/>
  <c r="FZ232" i="4"/>
  <c r="GA232" i="4"/>
  <c r="GB232" i="4"/>
  <c r="GC232" i="4"/>
  <c r="GD232" i="4"/>
  <c r="GE232" i="4"/>
  <c r="GF232" i="4"/>
  <c r="GG232" i="4"/>
  <c r="GH232" i="4"/>
  <c r="GI232" i="4"/>
  <c r="GJ232" i="4"/>
  <c r="GK232" i="4"/>
  <c r="GL232" i="4"/>
  <c r="GM232" i="4"/>
  <c r="GN232" i="4"/>
  <c r="GO232" i="4"/>
  <c r="GP232" i="4"/>
  <c r="GQ232" i="4"/>
  <c r="GR232" i="4"/>
  <c r="GS232" i="4"/>
  <c r="GT232" i="4"/>
  <c r="GU232" i="4"/>
  <c r="GV232" i="4"/>
  <c r="GW232" i="4"/>
  <c r="GX232" i="4"/>
  <c r="GY232" i="4"/>
  <c r="GZ232" i="4"/>
  <c r="HA232" i="4"/>
  <c r="HB232" i="4"/>
  <c r="HC232" i="4"/>
  <c r="HD232" i="4"/>
  <c r="HE232" i="4"/>
  <c r="HF232" i="4"/>
  <c r="HG232" i="4"/>
  <c r="HH232" i="4"/>
  <c r="HI232" i="4"/>
  <c r="HJ232" i="4"/>
  <c r="HK232" i="4"/>
  <c r="HL232" i="4"/>
  <c r="HM232" i="4"/>
  <c r="HN232" i="4"/>
  <c r="HO232" i="4"/>
  <c r="HP232" i="4"/>
  <c r="HQ232" i="4"/>
  <c r="HR232" i="4"/>
  <c r="HS232" i="4"/>
  <c r="HT232" i="4"/>
  <c r="HU232" i="4"/>
  <c r="HV232" i="4"/>
  <c r="HW232" i="4"/>
  <c r="HX232" i="4"/>
  <c r="HY232" i="4"/>
  <c r="HZ232" i="4"/>
  <c r="IA232" i="4"/>
  <c r="IB232" i="4"/>
  <c r="IC232" i="4"/>
  <c r="ID232" i="4"/>
  <c r="IE232" i="4"/>
  <c r="IF232" i="4"/>
  <c r="IG232" i="4"/>
  <c r="IH232" i="4"/>
  <c r="II232" i="4"/>
  <c r="IJ232" i="4"/>
  <c r="IK232" i="4"/>
  <c r="IL232" i="4"/>
  <c r="IM232" i="4"/>
  <c r="IN232" i="4"/>
  <c r="IO232" i="4"/>
  <c r="IP232" i="4"/>
  <c r="IQ232" i="4"/>
  <c r="IR232" i="4"/>
  <c r="IS232" i="4"/>
  <c r="IT232" i="4"/>
  <c r="IU232" i="4"/>
  <c r="IV232" i="4"/>
  <c r="A231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AB231" i="4"/>
  <c r="AC231" i="4"/>
  <c r="AD231" i="4"/>
  <c r="AE231" i="4"/>
  <c r="AF231" i="4"/>
  <c r="AG231" i="4"/>
  <c r="AH231" i="4"/>
  <c r="AI231" i="4"/>
  <c r="AJ231" i="4"/>
  <c r="AK231" i="4"/>
  <c r="AL231" i="4"/>
  <c r="AM231" i="4"/>
  <c r="AN231" i="4"/>
  <c r="AO231" i="4"/>
  <c r="AP231" i="4"/>
  <c r="AQ231" i="4"/>
  <c r="AR231" i="4"/>
  <c r="AS231" i="4"/>
  <c r="AT231" i="4"/>
  <c r="AU231" i="4"/>
  <c r="AV231" i="4"/>
  <c r="AW231" i="4"/>
  <c r="AX231" i="4"/>
  <c r="AY231" i="4"/>
  <c r="AZ231" i="4"/>
  <c r="BA231" i="4"/>
  <c r="BB231" i="4"/>
  <c r="BC231" i="4"/>
  <c r="BD231" i="4"/>
  <c r="BE231" i="4"/>
  <c r="BF231" i="4"/>
  <c r="BG231" i="4"/>
  <c r="BH231" i="4"/>
  <c r="BI231" i="4"/>
  <c r="BJ231" i="4"/>
  <c r="BK231" i="4"/>
  <c r="BL231" i="4"/>
  <c r="BM231" i="4"/>
  <c r="BN231" i="4"/>
  <c r="BO231" i="4"/>
  <c r="BP231" i="4"/>
  <c r="BQ231" i="4"/>
  <c r="BR231" i="4"/>
  <c r="BS231" i="4"/>
  <c r="BT231" i="4"/>
  <c r="BU231" i="4"/>
  <c r="BV231" i="4"/>
  <c r="BW231" i="4"/>
  <c r="BX231" i="4"/>
  <c r="BY231" i="4"/>
  <c r="BZ231" i="4"/>
  <c r="CA231" i="4"/>
  <c r="CB231" i="4"/>
  <c r="CC231" i="4"/>
  <c r="CD231" i="4"/>
  <c r="CE231" i="4"/>
  <c r="CF231" i="4"/>
  <c r="CG231" i="4"/>
  <c r="CH231" i="4"/>
  <c r="CI231" i="4"/>
  <c r="CJ231" i="4"/>
  <c r="CK231" i="4"/>
  <c r="CL231" i="4"/>
  <c r="CM231" i="4"/>
  <c r="CN231" i="4"/>
  <c r="CO231" i="4"/>
  <c r="CP231" i="4"/>
  <c r="CQ231" i="4"/>
  <c r="CR231" i="4"/>
  <c r="CS231" i="4"/>
  <c r="CT231" i="4"/>
  <c r="CU231" i="4"/>
  <c r="CV231" i="4"/>
  <c r="CW231" i="4"/>
  <c r="CX231" i="4"/>
  <c r="CY231" i="4"/>
  <c r="CZ231" i="4"/>
  <c r="DA231" i="4"/>
  <c r="DB231" i="4"/>
  <c r="DC231" i="4"/>
  <c r="DD231" i="4"/>
  <c r="DE231" i="4"/>
  <c r="DF231" i="4"/>
  <c r="DG231" i="4"/>
  <c r="DH231" i="4"/>
  <c r="DI231" i="4"/>
  <c r="DJ231" i="4"/>
  <c r="DK231" i="4"/>
  <c r="DL231" i="4"/>
  <c r="DM231" i="4"/>
  <c r="DN231" i="4"/>
  <c r="DO231" i="4"/>
  <c r="DP231" i="4"/>
  <c r="DQ231" i="4"/>
  <c r="DR231" i="4"/>
  <c r="DS231" i="4"/>
  <c r="DT231" i="4"/>
  <c r="DU231" i="4"/>
  <c r="DV231" i="4"/>
  <c r="DW231" i="4"/>
  <c r="DX231" i="4"/>
  <c r="DY231" i="4"/>
  <c r="DZ231" i="4"/>
  <c r="EA231" i="4"/>
  <c r="EB231" i="4"/>
  <c r="EC231" i="4"/>
  <c r="ED231" i="4"/>
  <c r="EE231" i="4"/>
  <c r="EF231" i="4"/>
  <c r="EG231" i="4"/>
  <c r="EH231" i="4"/>
  <c r="EI231" i="4"/>
  <c r="EJ231" i="4"/>
  <c r="EK231" i="4"/>
  <c r="EL231" i="4"/>
  <c r="EM231" i="4"/>
  <c r="EN231" i="4"/>
  <c r="EO231" i="4"/>
  <c r="EP231" i="4"/>
  <c r="EQ231" i="4"/>
  <c r="ER231" i="4"/>
  <c r="ES231" i="4"/>
  <c r="ET231" i="4"/>
  <c r="EU231" i="4"/>
  <c r="EV231" i="4"/>
  <c r="EW231" i="4"/>
  <c r="EX231" i="4"/>
  <c r="EY231" i="4"/>
  <c r="EZ231" i="4"/>
  <c r="FA231" i="4"/>
  <c r="FB231" i="4"/>
  <c r="FC231" i="4"/>
  <c r="FD231" i="4"/>
  <c r="FE231" i="4"/>
  <c r="FF231" i="4"/>
  <c r="FG231" i="4"/>
  <c r="FH231" i="4"/>
  <c r="FI231" i="4"/>
  <c r="FJ231" i="4"/>
  <c r="FK231" i="4"/>
  <c r="FL231" i="4"/>
  <c r="FM231" i="4"/>
  <c r="FN231" i="4"/>
  <c r="FO231" i="4"/>
  <c r="FP231" i="4"/>
  <c r="FQ231" i="4"/>
  <c r="FR231" i="4"/>
  <c r="FS231" i="4"/>
  <c r="FT231" i="4"/>
  <c r="FU231" i="4"/>
  <c r="FV231" i="4"/>
  <c r="FW231" i="4"/>
  <c r="FX231" i="4"/>
  <c r="FY231" i="4"/>
  <c r="FZ231" i="4"/>
  <c r="GA231" i="4"/>
  <c r="GB231" i="4"/>
  <c r="GC231" i="4"/>
  <c r="GD231" i="4"/>
  <c r="GE231" i="4"/>
  <c r="GF231" i="4"/>
  <c r="GG231" i="4"/>
  <c r="GH231" i="4"/>
  <c r="GI231" i="4"/>
  <c r="GJ231" i="4"/>
  <c r="GK231" i="4"/>
  <c r="GL231" i="4"/>
  <c r="GM231" i="4"/>
  <c r="GN231" i="4"/>
  <c r="GO231" i="4"/>
  <c r="GP231" i="4"/>
  <c r="GQ231" i="4"/>
  <c r="GR231" i="4"/>
  <c r="GS231" i="4"/>
  <c r="GT231" i="4"/>
  <c r="GU231" i="4"/>
  <c r="GV231" i="4"/>
  <c r="GW231" i="4"/>
  <c r="GX231" i="4"/>
  <c r="GY231" i="4"/>
  <c r="GZ231" i="4"/>
  <c r="HA231" i="4"/>
  <c r="HB231" i="4"/>
  <c r="HC231" i="4"/>
  <c r="HD231" i="4"/>
  <c r="HE231" i="4"/>
  <c r="HF231" i="4"/>
  <c r="HG231" i="4"/>
  <c r="HH231" i="4"/>
  <c r="HI231" i="4"/>
  <c r="HJ231" i="4"/>
  <c r="HK231" i="4"/>
  <c r="HL231" i="4"/>
  <c r="HM231" i="4"/>
  <c r="HN231" i="4"/>
  <c r="HO231" i="4"/>
  <c r="HP231" i="4"/>
  <c r="HQ231" i="4"/>
  <c r="HR231" i="4"/>
  <c r="HS231" i="4"/>
  <c r="HT231" i="4"/>
  <c r="HU231" i="4"/>
  <c r="HV231" i="4"/>
  <c r="HW231" i="4"/>
  <c r="HX231" i="4"/>
  <c r="HY231" i="4"/>
  <c r="HZ231" i="4"/>
  <c r="IA231" i="4"/>
  <c r="IB231" i="4"/>
  <c r="IC231" i="4"/>
  <c r="ID231" i="4"/>
  <c r="IE231" i="4"/>
  <c r="IF231" i="4"/>
  <c r="IG231" i="4"/>
  <c r="IH231" i="4"/>
  <c r="II231" i="4"/>
  <c r="IJ231" i="4"/>
  <c r="IK231" i="4"/>
  <c r="IL231" i="4"/>
  <c r="IM231" i="4"/>
  <c r="IN231" i="4"/>
  <c r="IO231" i="4"/>
  <c r="IP231" i="4"/>
  <c r="IQ231" i="4"/>
  <c r="IR231" i="4"/>
  <c r="IS231" i="4"/>
  <c r="IT231" i="4"/>
  <c r="IU231" i="4"/>
  <c r="IV231" i="4"/>
  <c r="A230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AB230" i="4"/>
  <c r="AC230" i="4"/>
  <c r="AD230" i="4"/>
  <c r="AE230" i="4"/>
  <c r="AF230" i="4"/>
  <c r="AG230" i="4"/>
  <c r="AH230" i="4"/>
  <c r="AI230" i="4"/>
  <c r="AJ230" i="4"/>
  <c r="AK230" i="4"/>
  <c r="AL230" i="4"/>
  <c r="AM230" i="4"/>
  <c r="AN230" i="4"/>
  <c r="AO230" i="4"/>
  <c r="AP230" i="4"/>
  <c r="AQ230" i="4"/>
  <c r="AR230" i="4"/>
  <c r="AS230" i="4"/>
  <c r="AT230" i="4"/>
  <c r="AU230" i="4"/>
  <c r="AV230" i="4"/>
  <c r="AW230" i="4"/>
  <c r="AX230" i="4"/>
  <c r="AY230" i="4"/>
  <c r="AZ230" i="4"/>
  <c r="BA230" i="4"/>
  <c r="BB230" i="4"/>
  <c r="BC230" i="4"/>
  <c r="BD230" i="4"/>
  <c r="BE230" i="4"/>
  <c r="BF230" i="4"/>
  <c r="BG230" i="4"/>
  <c r="BH230" i="4"/>
  <c r="BI230" i="4"/>
  <c r="BJ230" i="4"/>
  <c r="BK230" i="4"/>
  <c r="BL230" i="4"/>
  <c r="BM230" i="4"/>
  <c r="BN230" i="4"/>
  <c r="BO230" i="4"/>
  <c r="BP230" i="4"/>
  <c r="BQ230" i="4"/>
  <c r="BR230" i="4"/>
  <c r="BS230" i="4"/>
  <c r="BT230" i="4"/>
  <c r="BU230" i="4"/>
  <c r="BV230" i="4"/>
  <c r="BW230" i="4"/>
  <c r="BX230" i="4"/>
  <c r="BY230" i="4"/>
  <c r="BZ230" i="4"/>
  <c r="CA230" i="4"/>
  <c r="CB230" i="4"/>
  <c r="CC230" i="4"/>
  <c r="CD230" i="4"/>
  <c r="CE230" i="4"/>
  <c r="CF230" i="4"/>
  <c r="CG230" i="4"/>
  <c r="CH230" i="4"/>
  <c r="CI230" i="4"/>
  <c r="CJ230" i="4"/>
  <c r="CK230" i="4"/>
  <c r="CL230" i="4"/>
  <c r="CM230" i="4"/>
  <c r="CN230" i="4"/>
  <c r="CO230" i="4"/>
  <c r="CP230" i="4"/>
  <c r="CQ230" i="4"/>
  <c r="CR230" i="4"/>
  <c r="CS230" i="4"/>
  <c r="CT230" i="4"/>
  <c r="CU230" i="4"/>
  <c r="CV230" i="4"/>
  <c r="CW230" i="4"/>
  <c r="CX230" i="4"/>
  <c r="CY230" i="4"/>
  <c r="CZ230" i="4"/>
  <c r="DA230" i="4"/>
  <c r="DB230" i="4"/>
  <c r="DC230" i="4"/>
  <c r="DD230" i="4"/>
  <c r="DE230" i="4"/>
  <c r="DF230" i="4"/>
  <c r="DG230" i="4"/>
  <c r="DH230" i="4"/>
  <c r="DI230" i="4"/>
  <c r="DJ230" i="4"/>
  <c r="DK230" i="4"/>
  <c r="DL230" i="4"/>
  <c r="DM230" i="4"/>
  <c r="DN230" i="4"/>
  <c r="DO230" i="4"/>
  <c r="DP230" i="4"/>
  <c r="DQ230" i="4"/>
  <c r="DR230" i="4"/>
  <c r="DS230" i="4"/>
  <c r="DT230" i="4"/>
  <c r="DU230" i="4"/>
  <c r="DV230" i="4"/>
  <c r="DW230" i="4"/>
  <c r="DX230" i="4"/>
  <c r="DY230" i="4"/>
  <c r="DZ230" i="4"/>
  <c r="EA230" i="4"/>
  <c r="EB230" i="4"/>
  <c r="EC230" i="4"/>
  <c r="ED230" i="4"/>
  <c r="EE230" i="4"/>
  <c r="EF230" i="4"/>
  <c r="EG230" i="4"/>
  <c r="EH230" i="4"/>
  <c r="EI230" i="4"/>
  <c r="EJ230" i="4"/>
  <c r="EK230" i="4"/>
  <c r="EL230" i="4"/>
  <c r="EM230" i="4"/>
  <c r="EN230" i="4"/>
  <c r="EO230" i="4"/>
  <c r="EP230" i="4"/>
  <c r="EQ230" i="4"/>
  <c r="ER230" i="4"/>
  <c r="ES230" i="4"/>
  <c r="ET230" i="4"/>
  <c r="EU230" i="4"/>
  <c r="EV230" i="4"/>
  <c r="EW230" i="4"/>
  <c r="EX230" i="4"/>
  <c r="EY230" i="4"/>
  <c r="EZ230" i="4"/>
  <c r="FA230" i="4"/>
  <c r="FB230" i="4"/>
  <c r="FC230" i="4"/>
  <c r="FD230" i="4"/>
  <c r="FE230" i="4"/>
  <c r="FF230" i="4"/>
  <c r="FG230" i="4"/>
  <c r="FH230" i="4"/>
  <c r="FI230" i="4"/>
  <c r="FJ230" i="4"/>
  <c r="FK230" i="4"/>
  <c r="FL230" i="4"/>
  <c r="FM230" i="4"/>
  <c r="FN230" i="4"/>
  <c r="FO230" i="4"/>
  <c r="FP230" i="4"/>
  <c r="FQ230" i="4"/>
  <c r="FR230" i="4"/>
  <c r="FS230" i="4"/>
  <c r="FT230" i="4"/>
  <c r="FU230" i="4"/>
  <c r="FV230" i="4"/>
  <c r="FW230" i="4"/>
  <c r="FX230" i="4"/>
  <c r="FY230" i="4"/>
  <c r="FZ230" i="4"/>
  <c r="GA230" i="4"/>
  <c r="GB230" i="4"/>
  <c r="GC230" i="4"/>
  <c r="GD230" i="4"/>
  <c r="GE230" i="4"/>
  <c r="GF230" i="4"/>
  <c r="GG230" i="4"/>
  <c r="GH230" i="4"/>
  <c r="GI230" i="4"/>
  <c r="GJ230" i="4"/>
  <c r="GK230" i="4"/>
  <c r="GL230" i="4"/>
  <c r="GM230" i="4"/>
  <c r="GN230" i="4"/>
  <c r="GO230" i="4"/>
  <c r="GP230" i="4"/>
  <c r="GQ230" i="4"/>
  <c r="GR230" i="4"/>
  <c r="GS230" i="4"/>
  <c r="GT230" i="4"/>
  <c r="GU230" i="4"/>
  <c r="GV230" i="4"/>
  <c r="GW230" i="4"/>
  <c r="GX230" i="4"/>
  <c r="GY230" i="4"/>
  <c r="GZ230" i="4"/>
  <c r="HA230" i="4"/>
  <c r="HB230" i="4"/>
  <c r="HC230" i="4"/>
  <c r="HD230" i="4"/>
  <c r="HE230" i="4"/>
  <c r="HF230" i="4"/>
  <c r="HG230" i="4"/>
  <c r="HH230" i="4"/>
  <c r="HI230" i="4"/>
  <c r="HJ230" i="4"/>
  <c r="HK230" i="4"/>
  <c r="HL230" i="4"/>
  <c r="HM230" i="4"/>
  <c r="HN230" i="4"/>
  <c r="HO230" i="4"/>
  <c r="HP230" i="4"/>
  <c r="HQ230" i="4"/>
  <c r="HR230" i="4"/>
  <c r="HS230" i="4"/>
  <c r="HT230" i="4"/>
  <c r="HU230" i="4"/>
  <c r="HV230" i="4"/>
  <c r="HW230" i="4"/>
  <c r="HX230" i="4"/>
  <c r="HY230" i="4"/>
  <c r="HZ230" i="4"/>
  <c r="IA230" i="4"/>
  <c r="IB230" i="4"/>
  <c r="IC230" i="4"/>
  <c r="ID230" i="4"/>
  <c r="IE230" i="4"/>
  <c r="IF230" i="4"/>
  <c r="IG230" i="4"/>
  <c r="IH230" i="4"/>
  <c r="II230" i="4"/>
  <c r="IJ230" i="4"/>
  <c r="IK230" i="4"/>
  <c r="IL230" i="4"/>
  <c r="IM230" i="4"/>
  <c r="IN230" i="4"/>
  <c r="IO230" i="4"/>
  <c r="IP230" i="4"/>
  <c r="IQ230" i="4"/>
  <c r="IR230" i="4"/>
  <c r="IS230" i="4"/>
  <c r="IT230" i="4"/>
  <c r="IU230" i="4"/>
  <c r="IV230" i="4"/>
  <c r="A229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AD229" i="4"/>
  <c r="AE229" i="4"/>
  <c r="AF229" i="4"/>
  <c r="AG229" i="4"/>
  <c r="AH229" i="4"/>
  <c r="AI229" i="4"/>
  <c r="AJ229" i="4"/>
  <c r="AK229" i="4"/>
  <c r="AL229" i="4"/>
  <c r="AM229" i="4"/>
  <c r="AN229" i="4"/>
  <c r="AO229" i="4"/>
  <c r="AP229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BF229" i="4"/>
  <c r="BG229" i="4"/>
  <c r="BH229" i="4"/>
  <c r="BI229" i="4"/>
  <c r="BJ229" i="4"/>
  <c r="BK229" i="4"/>
  <c r="BL229" i="4"/>
  <c r="BM229" i="4"/>
  <c r="BN229" i="4"/>
  <c r="BO229" i="4"/>
  <c r="BP229" i="4"/>
  <c r="BQ229" i="4"/>
  <c r="BR229" i="4"/>
  <c r="BS229" i="4"/>
  <c r="BT229" i="4"/>
  <c r="BU229" i="4"/>
  <c r="BV229" i="4"/>
  <c r="BW229" i="4"/>
  <c r="BX229" i="4"/>
  <c r="BY229" i="4"/>
  <c r="BZ229" i="4"/>
  <c r="CA229" i="4"/>
  <c r="CB229" i="4"/>
  <c r="CC229" i="4"/>
  <c r="CD229" i="4"/>
  <c r="CE229" i="4"/>
  <c r="CF229" i="4"/>
  <c r="CG229" i="4"/>
  <c r="CH229" i="4"/>
  <c r="CI229" i="4"/>
  <c r="CJ229" i="4"/>
  <c r="CK229" i="4"/>
  <c r="CL229" i="4"/>
  <c r="CM229" i="4"/>
  <c r="CN229" i="4"/>
  <c r="CO229" i="4"/>
  <c r="CP229" i="4"/>
  <c r="CQ229" i="4"/>
  <c r="CR229" i="4"/>
  <c r="CS229" i="4"/>
  <c r="CT229" i="4"/>
  <c r="CU229" i="4"/>
  <c r="CV229" i="4"/>
  <c r="CW229" i="4"/>
  <c r="CX229" i="4"/>
  <c r="CY229" i="4"/>
  <c r="CZ229" i="4"/>
  <c r="DA229" i="4"/>
  <c r="DB229" i="4"/>
  <c r="DC229" i="4"/>
  <c r="DD229" i="4"/>
  <c r="DE229" i="4"/>
  <c r="DF229" i="4"/>
  <c r="DG229" i="4"/>
  <c r="DH229" i="4"/>
  <c r="DI229" i="4"/>
  <c r="DJ229" i="4"/>
  <c r="DK229" i="4"/>
  <c r="DL229" i="4"/>
  <c r="DM229" i="4"/>
  <c r="DN229" i="4"/>
  <c r="DO229" i="4"/>
  <c r="DP229" i="4"/>
  <c r="DQ229" i="4"/>
  <c r="DR229" i="4"/>
  <c r="DS229" i="4"/>
  <c r="DT229" i="4"/>
  <c r="DU229" i="4"/>
  <c r="DV229" i="4"/>
  <c r="DW229" i="4"/>
  <c r="DX229" i="4"/>
  <c r="DY229" i="4"/>
  <c r="DZ229" i="4"/>
  <c r="EA229" i="4"/>
  <c r="EB229" i="4"/>
  <c r="EC229" i="4"/>
  <c r="ED229" i="4"/>
  <c r="EE229" i="4"/>
  <c r="EF229" i="4"/>
  <c r="EG229" i="4"/>
  <c r="EH229" i="4"/>
  <c r="EI229" i="4"/>
  <c r="EJ229" i="4"/>
  <c r="EK229" i="4"/>
  <c r="EL229" i="4"/>
  <c r="EM229" i="4"/>
  <c r="EN229" i="4"/>
  <c r="EO229" i="4"/>
  <c r="EP229" i="4"/>
  <c r="EQ229" i="4"/>
  <c r="ER229" i="4"/>
  <c r="ES229" i="4"/>
  <c r="ET229" i="4"/>
  <c r="EU229" i="4"/>
  <c r="EV229" i="4"/>
  <c r="EW229" i="4"/>
  <c r="EX229" i="4"/>
  <c r="EY229" i="4"/>
  <c r="EZ229" i="4"/>
  <c r="FA229" i="4"/>
  <c r="FB229" i="4"/>
  <c r="FC229" i="4"/>
  <c r="FD229" i="4"/>
  <c r="FE229" i="4"/>
  <c r="FF229" i="4"/>
  <c r="FG229" i="4"/>
  <c r="FH229" i="4"/>
  <c r="FI229" i="4"/>
  <c r="FJ229" i="4"/>
  <c r="FK229" i="4"/>
  <c r="FL229" i="4"/>
  <c r="FM229" i="4"/>
  <c r="FN229" i="4"/>
  <c r="FO229" i="4"/>
  <c r="FP229" i="4"/>
  <c r="FQ229" i="4"/>
  <c r="FR229" i="4"/>
  <c r="FS229" i="4"/>
  <c r="FT229" i="4"/>
  <c r="FU229" i="4"/>
  <c r="FV229" i="4"/>
  <c r="FW229" i="4"/>
  <c r="FX229" i="4"/>
  <c r="FY229" i="4"/>
  <c r="FZ229" i="4"/>
  <c r="GA229" i="4"/>
  <c r="GB229" i="4"/>
  <c r="GC229" i="4"/>
  <c r="GD229" i="4"/>
  <c r="GE229" i="4"/>
  <c r="GF229" i="4"/>
  <c r="GG229" i="4"/>
  <c r="GH229" i="4"/>
  <c r="GI229" i="4"/>
  <c r="GJ229" i="4"/>
  <c r="GK229" i="4"/>
  <c r="GL229" i="4"/>
  <c r="GM229" i="4"/>
  <c r="GN229" i="4"/>
  <c r="GO229" i="4"/>
  <c r="GP229" i="4"/>
  <c r="GQ229" i="4"/>
  <c r="GR229" i="4"/>
  <c r="GS229" i="4"/>
  <c r="GT229" i="4"/>
  <c r="GU229" i="4"/>
  <c r="GV229" i="4"/>
  <c r="GW229" i="4"/>
  <c r="GX229" i="4"/>
  <c r="GY229" i="4"/>
  <c r="GZ229" i="4"/>
  <c r="HA229" i="4"/>
  <c r="HB229" i="4"/>
  <c r="HC229" i="4"/>
  <c r="HD229" i="4"/>
  <c r="HE229" i="4"/>
  <c r="HF229" i="4"/>
  <c r="HG229" i="4"/>
  <c r="HH229" i="4"/>
  <c r="HI229" i="4"/>
  <c r="HJ229" i="4"/>
  <c r="HK229" i="4"/>
  <c r="HL229" i="4"/>
  <c r="HM229" i="4"/>
  <c r="HN229" i="4"/>
  <c r="HO229" i="4"/>
  <c r="HP229" i="4"/>
  <c r="HQ229" i="4"/>
  <c r="HR229" i="4"/>
  <c r="HS229" i="4"/>
  <c r="HT229" i="4"/>
  <c r="HU229" i="4"/>
  <c r="HV229" i="4"/>
  <c r="HW229" i="4"/>
  <c r="HX229" i="4"/>
  <c r="HY229" i="4"/>
  <c r="HZ229" i="4"/>
  <c r="IA229" i="4"/>
  <c r="IB229" i="4"/>
  <c r="IC229" i="4"/>
  <c r="ID229" i="4"/>
  <c r="IE229" i="4"/>
  <c r="IF229" i="4"/>
  <c r="IG229" i="4"/>
  <c r="IH229" i="4"/>
  <c r="II229" i="4"/>
  <c r="IJ229" i="4"/>
  <c r="IK229" i="4"/>
  <c r="IL229" i="4"/>
  <c r="IM229" i="4"/>
  <c r="IN229" i="4"/>
  <c r="IO229" i="4"/>
  <c r="IP229" i="4"/>
  <c r="IQ229" i="4"/>
  <c r="IR229" i="4"/>
  <c r="IS229" i="4"/>
  <c r="IT229" i="4"/>
  <c r="IU229" i="4"/>
  <c r="IV229" i="4"/>
  <c r="A228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AB228" i="4"/>
  <c r="AC228" i="4"/>
  <c r="AD228" i="4"/>
  <c r="AE228" i="4"/>
  <c r="AF228" i="4"/>
  <c r="AG228" i="4"/>
  <c r="AH228" i="4"/>
  <c r="AI228" i="4"/>
  <c r="AJ228" i="4"/>
  <c r="AK228" i="4"/>
  <c r="AL228" i="4"/>
  <c r="AM228" i="4"/>
  <c r="AN228" i="4"/>
  <c r="AO228" i="4"/>
  <c r="AP228" i="4"/>
  <c r="AQ228" i="4"/>
  <c r="AR228" i="4"/>
  <c r="AS228" i="4"/>
  <c r="AT228" i="4"/>
  <c r="AU228" i="4"/>
  <c r="AV228" i="4"/>
  <c r="AW228" i="4"/>
  <c r="AX228" i="4"/>
  <c r="AY228" i="4"/>
  <c r="AZ228" i="4"/>
  <c r="BA228" i="4"/>
  <c r="BB228" i="4"/>
  <c r="BC228" i="4"/>
  <c r="BD228" i="4"/>
  <c r="BE228" i="4"/>
  <c r="BF228" i="4"/>
  <c r="BG228" i="4"/>
  <c r="BH228" i="4"/>
  <c r="BI228" i="4"/>
  <c r="BJ228" i="4"/>
  <c r="BK228" i="4"/>
  <c r="BL228" i="4"/>
  <c r="BM228" i="4"/>
  <c r="BN228" i="4"/>
  <c r="BO228" i="4"/>
  <c r="BP228" i="4"/>
  <c r="BQ228" i="4"/>
  <c r="BR228" i="4"/>
  <c r="BS228" i="4"/>
  <c r="BT228" i="4"/>
  <c r="BU228" i="4"/>
  <c r="BV228" i="4"/>
  <c r="BW228" i="4"/>
  <c r="BX228" i="4"/>
  <c r="BY228" i="4"/>
  <c r="BZ228" i="4"/>
  <c r="CA228" i="4"/>
  <c r="CB228" i="4"/>
  <c r="CC228" i="4"/>
  <c r="CD228" i="4"/>
  <c r="CE228" i="4"/>
  <c r="CF228" i="4"/>
  <c r="CG228" i="4"/>
  <c r="CH228" i="4"/>
  <c r="CI228" i="4"/>
  <c r="CJ228" i="4"/>
  <c r="CK228" i="4"/>
  <c r="CL228" i="4"/>
  <c r="CM228" i="4"/>
  <c r="CN228" i="4"/>
  <c r="CO228" i="4"/>
  <c r="CP228" i="4"/>
  <c r="CQ228" i="4"/>
  <c r="CR228" i="4"/>
  <c r="CS228" i="4"/>
  <c r="CT228" i="4"/>
  <c r="CU228" i="4"/>
  <c r="CV228" i="4"/>
  <c r="CW228" i="4"/>
  <c r="CX228" i="4"/>
  <c r="CY228" i="4"/>
  <c r="CZ228" i="4"/>
  <c r="DA228" i="4"/>
  <c r="DB228" i="4"/>
  <c r="DC228" i="4"/>
  <c r="DD228" i="4"/>
  <c r="DE228" i="4"/>
  <c r="DF228" i="4"/>
  <c r="DG228" i="4"/>
  <c r="DH228" i="4"/>
  <c r="DI228" i="4"/>
  <c r="DJ228" i="4"/>
  <c r="DK228" i="4"/>
  <c r="DL228" i="4"/>
  <c r="DM228" i="4"/>
  <c r="DN228" i="4"/>
  <c r="DO228" i="4"/>
  <c r="DP228" i="4"/>
  <c r="DQ228" i="4"/>
  <c r="DR228" i="4"/>
  <c r="DS228" i="4"/>
  <c r="DT228" i="4"/>
  <c r="DU228" i="4"/>
  <c r="DV228" i="4"/>
  <c r="DW228" i="4"/>
  <c r="DX228" i="4"/>
  <c r="DY228" i="4"/>
  <c r="DZ228" i="4"/>
  <c r="EA228" i="4"/>
  <c r="EB228" i="4"/>
  <c r="EC228" i="4"/>
  <c r="ED228" i="4"/>
  <c r="EE228" i="4"/>
  <c r="EF228" i="4"/>
  <c r="EG228" i="4"/>
  <c r="EH228" i="4"/>
  <c r="EI228" i="4"/>
  <c r="EJ228" i="4"/>
  <c r="EK228" i="4"/>
  <c r="EL228" i="4"/>
  <c r="EM228" i="4"/>
  <c r="EN228" i="4"/>
  <c r="EO228" i="4"/>
  <c r="EP228" i="4"/>
  <c r="EQ228" i="4"/>
  <c r="ER228" i="4"/>
  <c r="ES228" i="4"/>
  <c r="ET228" i="4"/>
  <c r="EU228" i="4"/>
  <c r="EV228" i="4"/>
  <c r="EW228" i="4"/>
  <c r="EX228" i="4"/>
  <c r="EY228" i="4"/>
  <c r="EZ228" i="4"/>
  <c r="FA228" i="4"/>
  <c r="FB228" i="4"/>
  <c r="FC228" i="4"/>
  <c r="FD228" i="4"/>
  <c r="FE228" i="4"/>
  <c r="FF228" i="4"/>
  <c r="FG228" i="4"/>
  <c r="FH228" i="4"/>
  <c r="FI228" i="4"/>
  <c r="FJ228" i="4"/>
  <c r="FK228" i="4"/>
  <c r="FL228" i="4"/>
  <c r="FM228" i="4"/>
  <c r="FN228" i="4"/>
  <c r="FO228" i="4"/>
  <c r="FP228" i="4"/>
  <c r="FQ228" i="4"/>
  <c r="FR228" i="4"/>
  <c r="FS228" i="4"/>
  <c r="FT228" i="4"/>
  <c r="FU228" i="4"/>
  <c r="FV228" i="4"/>
  <c r="FW228" i="4"/>
  <c r="FX228" i="4"/>
  <c r="FY228" i="4"/>
  <c r="FZ228" i="4"/>
  <c r="GA228" i="4"/>
  <c r="GB228" i="4"/>
  <c r="GC228" i="4"/>
  <c r="GD228" i="4"/>
  <c r="GE228" i="4"/>
  <c r="GF228" i="4"/>
  <c r="GG228" i="4"/>
  <c r="GH228" i="4"/>
  <c r="GI228" i="4"/>
  <c r="GJ228" i="4"/>
  <c r="GK228" i="4"/>
  <c r="GL228" i="4"/>
  <c r="GM228" i="4"/>
  <c r="GN228" i="4"/>
  <c r="GO228" i="4"/>
  <c r="GP228" i="4"/>
  <c r="GQ228" i="4"/>
  <c r="GR228" i="4"/>
  <c r="GS228" i="4"/>
  <c r="GT228" i="4"/>
  <c r="GU228" i="4"/>
  <c r="GV228" i="4"/>
  <c r="GW228" i="4"/>
  <c r="GX228" i="4"/>
  <c r="GY228" i="4"/>
  <c r="GZ228" i="4"/>
  <c r="HA228" i="4"/>
  <c r="HB228" i="4"/>
  <c r="HC228" i="4"/>
  <c r="HD228" i="4"/>
  <c r="HE228" i="4"/>
  <c r="HF228" i="4"/>
  <c r="HG228" i="4"/>
  <c r="HH228" i="4"/>
  <c r="HI228" i="4"/>
  <c r="HJ228" i="4"/>
  <c r="HK228" i="4"/>
  <c r="HL228" i="4"/>
  <c r="HM228" i="4"/>
  <c r="HN228" i="4"/>
  <c r="HO228" i="4"/>
  <c r="HP228" i="4"/>
  <c r="HQ228" i="4"/>
  <c r="HR228" i="4"/>
  <c r="HS228" i="4"/>
  <c r="HT228" i="4"/>
  <c r="HU228" i="4"/>
  <c r="HV228" i="4"/>
  <c r="HW228" i="4"/>
  <c r="HX228" i="4"/>
  <c r="HY228" i="4"/>
  <c r="HZ228" i="4"/>
  <c r="IA228" i="4"/>
  <c r="IB228" i="4"/>
  <c r="IC228" i="4"/>
  <c r="ID228" i="4"/>
  <c r="IE228" i="4"/>
  <c r="IF228" i="4"/>
  <c r="IG228" i="4"/>
  <c r="IH228" i="4"/>
  <c r="II228" i="4"/>
  <c r="IJ228" i="4"/>
  <c r="IK228" i="4"/>
  <c r="IL228" i="4"/>
  <c r="IM228" i="4"/>
  <c r="IN228" i="4"/>
  <c r="IO228" i="4"/>
  <c r="IP228" i="4"/>
  <c r="IQ228" i="4"/>
  <c r="IR228" i="4"/>
  <c r="IS228" i="4"/>
  <c r="IT228" i="4"/>
  <c r="IU228" i="4"/>
  <c r="IV228" i="4"/>
  <c r="A227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AD227" i="4"/>
  <c r="AE227" i="4"/>
  <c r="AF227" i="4"/>
  <c r="AG227" i="4"/>
  <c r="AH227" i="4"/>
  <c r="AI227" i="4"/>
  <c r="AJ227" i="4"/>
  <c r="AK227" i="4"/>
  <c r="AL227" i="4"/>
  <c r="AM227" i="4"/>
  <c r="AN227" i="4"/>
  <c r="AO227" i="4"/>
  <c r="AP227" i="4"/>
  <c r="AQ227" i="4"/>
  <c r="AR227" i="4"/>
  <c r="AS227" i="4"/>
  <c r="AT227" i="4"/>
  <c r="AU227" i="4"/>
  <c r="AV227" i="4"/>
  <c r="AW227" i="4"/>
  <c r="AX227" i="4"/>
  <c r="AY227" i="4"/>
  <c r="AZ227" i="4"/>
  <c r="BA227" i="4"/>
  <c r="BB227" i="4"/>
  <c r="BC227" i="4"/>
  <c r="BD227" i="4"/>
  <c r="BE227" i="4"/>
  <c r="BF227" i="4"/>
  <c r="BG227" i="4"/>
  <c r="BH227" i="4"/>
  <c r="BI227" i="4"/>
  <c r="BJ227" i="4"/>
  <c r="BK227" i="4"/>
  <c r="BL227" i="4"/>
  <c r="BM227" i="4"/>
  <c r="BN227" i="4"/>
  <c r="BO227" i="4"/>
  <c r="BP227" i="4"/>
  <c r="BQ227" i="4"/>
  <c r="BR227" i="4"/>
  <c r="BS227" i="4"/>
  <c r="BT227" i="4"/>
  <c r="BU227" i="4"/>
  <c r="BV227" i="4"/>
  <c r="BW227" i="4"/>
  <c r="BX227" i="4"/>
  <c r="BY227" i="4"/>
  <c r="BZ227" i="4"/>
  <c r="CA227" i="4"/>
  <c r="CB227" i="4"/>
  <c r="CC227" i="4"/>
  <c r="CD227" i="4"/>
  <c r="CE227" i="4"/>
  <c r="CF227" i="4"/>
  <c r="CG227" i="4"/>
  <c r="CH227" i="4"/>
  <c r="CI227" i="4"/>
  <c r="CJ227" i="4"/>
  <c r="CK227" i="4"/>
  <c r="CL227" i="4"/>
  <c r="CM227" i="4"/>
  <c r="CN227" i="4"/>
  <c r="CO227" i="4"/>
  <c r="CP227" i="4"/>
  <c r="CQ227" i="4"/>
  <c r="CR227" i="4"/>
  <c r="CS227" i="4"/>
  <c r="CT227" i="4"/>
  <c r="CU227" i="4"/>
  <c r="CV227" i="4"/>
  <c r="CW227" i="4"/>
  <c r="CX227" i="4"/>
  <c r="CY227" i="4"/>
  <c r="CZ227" i="4"/>
  <c r="DA227" i="4"/>
  <c r="DB227" i="4"/>
  <c r="DC227" i="4"/>
  <c r="DD227" i="4"/>
  <c r="DE227" i="4"/>
  <c r="DF227" i="4"/>
  <c r="DG227" i="4"/>
  <c r="DH227" i="4"/>
  <c r="DI227" i="4"/>
  <c r="DJ227" i="4"/>
  <c r="DK227" i="4"/>
  <c r="DL227" i="4"/>
  <c r="DM227" i="4"/>
  <c r="DN227" i="4"/>
  <c r="DO227" i="4"/>
  <c r="DP227" i="4"/>
  <c r="DQ227" i="4"/>
  <c r="DR227" i="4"/>
  <c r="DS227" i="4"/>
  <c r="DT227" i="4"/>
  <c r="DU227" i="4"/>
  <c r="DV227" i="4"/>
  <c r="DW227" i="4"/>
  <c r="DX227" i="4"/>
  <c r="DY227" i="4"/>
  <c r="DZ227" i="4"/>
  <c r="EA227" i="4"/>
  <c r="EB227" i="4"/>
  <c r="EC227" i="4"/>
  <c r="ED227" i="4"/>
  <c r="EE227" i="4"/>
  <c r="EF227" i="4"/>
  <c r="EG227" i="4"/>
  <c r="EH227" i="4"/>
  <c r="EI227" i="4"/>
  <c r="EJ227" i="4"/>
  <c r="EK227" i="4"/>
  <c r="EL227" i="4"/>
  <c r="EM227" i="4"/>
  <c r="EN227" i="4"/>
  <c r="EO227" i="4"/>
  <c r="EP227" i="4"/>
  <c r="EQ227" i="4"/>
  <c r="ER227" i="4"/>
  <c r="ES227" i="4"/>
  <c r="ET227" i="4"/>
  <c r="EU227" i="4"/>
  <c r="EV227" i="4"/>
  <c r="EW227" i="4"/>
  <c r="EX227" i="4"/>
  <c r="EY227" i="4"/>
  <c r="EZ227" i="4"/>
  <c r="FA227" i="4"/>
  <c r="FB227" i="4"/>
  <c r="FC227" i="4"/>
  <c r="FD227" i="4"/>
  <c r="FE227" i="4"/>
  <c r="FF227" i="4"/>
  <c r="FG227" i="4"/>
  <c r="FH227" i="4"/>
  <c r="FI227" i="4"/>
  <c r="FJ227" i="4"/>
  <c r="FK227" i="4"/>
  <c r="FL227" i="4"/>
  <c r="FM227" i="4"/>
  <c r="FN227" i="4"/>
  <c r="FO227" i="4"/>
  <c r="FP227" i="4"/>
  <c r="FQ227" i="4"/>
  <c r="FR227" i="4"/>
  <c r="FS227" i="4"/>
  <c r="FT227" i="4"/>
  <c r="FU227" i="4"/>
  <c r="FV227" i="4"/>
  <c r="FW227" i="4"/>
  <c r="FX227" i="4"/>
  <c r="FY227" i="4"/>
  <c r="FZ227" i="4"/>
  <c r="GA227" i="4"/>
  <c r="GB227" i="4"/>
  <c r="GC227" i="4"/>
  <c r="GD227" i="4"/>
  <c r="GE227" i="4"/>
  <c r="GF227" i="4"/>
  <c r="GG227" i="4"/>
  <c r="GH227" i="4"/>
  <c r="GI227" i="4"/>
  <c r="GJ227" i="4"/>
  <c r="GK227" i="4"/>
  <c r="GL227" i="4"/>
  <c r="GM227" i="4"/>
  <c r="GN227" i="4"/>
  <c r="GO227" i="4"/>
  <c r="GP227" i="4"/>
  <c r="GQ227" i="4"/>
  <c r="GR227" i="4"/>
  <c r="GS227" i="4"/>
  <c r="GT227" i="4"/>
  <c r="GU227" i="4"/>
  <c r="GV227" i="4"/>
  <c r="GW227" i="4"/>
  <c r="GX227" i="4"/>
  <c r="GY227" i="4"/>
  <c r="GZ227" i="4"/>
  <c r="HA227" i="4"/>
  <c r="HB227" i="4"/>
  <c r="HC227" i="4"/>
  <c r="HD227" i="4"/>
  <c r="HE227" i="4"/>
  <c r="HF227" i="4"/>
  <c r="HG227" i="4"/>
  <c r="HH227" i="4"/>
  <c r="HI227" i="4"/>
  <c r="HJ227" i="4"/>
  <c r="HK227" i="4"/>
  <c r="HL227" i="4"/>
  <c r="HM227" i="4"/>
  <c r="HN227" i="4"/>
  <c r="HO227" i="4"/>
  <c r="HP227" i="4"/>
  <c r="HQ227" i="4"/>
  <c r="HR227" i="4"/>
  <c r="HS227" i="4"/>
  <c r="HT227" i="4"/>
  <c r="HU227" i="4"/>
  <c r="HV227" i="4"/>
  <c r="HW227" i="4"/>
  <c r="HX227" i="4"/>
  <c r="HY227" i="4"/>
  <c r="HZ227" i="4"/>
  <c r="IA227" i="4"/>
  <c r="IB227" i="4"/>
  <c r="IC227" i="4"/>
  <c r="ID227" i="4"/>
  <c r="IE227" i="4"/>
  <c r="IF227" i="4"/>
  <c r="IG227" i="4"/>
  <c r="IH227" i="4"/>
  <c r="II227" i="4"/>
  <c r="IJ227" i="4"/>
  <c r="IK227" i="4"/>
  <c r="IL227" i="4"/>
  <c r="IM227" i="4"/>
  <c r="IN227" i="4"/>
  <c r="IO227" i="4"/>
  <c r="IP227" i="4"/>
  <c r="IQ227" i="4"/>
  <c r="IR227" i="4"/>
  <c r="IS227" i="4"/>
  <c r="IT227" i="4"/>
  <c r="IU227" i="4"/>
  <c r="IV227" i="4"/>
  <c r="A226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AB226" i="4"/>
  <c r="AC226" i="4"/>
  <c r="AD226" i="4"/>
  <c r="AE226" i="4"/>
  <c r="AF226" i="4"/>
  <c r="AG226" i="4"/>
  <c r="AH226" i="4"/>
  <c r="AI226" i="4"/>
  <c r="AJ226" i="4"/>
  <c r="AK226" i="4"/>
  <c r="AL226" i="4"/>
  <c r="AM226" i="4"/>
  <c r="AN226" i="4"/>
  <c r="AO226" i="4"/>
  <c r="AP226" i="4"/>
  <c r="AQ226" i="4"/>
  <c r="AR226" i="4"/>
  <c r="AS226" i="4"/>
  <c r="AT226" i="4"/>
  <c r="AU226" i="4"/>
  <c r="AV226" i="4"/>
  <c r="AW226" i="4"/>
  <c r="AX226" i="4"/>
  <c r="AY226" i="4"/>
  <c r="AZ226" i="4"/>
  <c r="BA226" i="4"/>
  <c r="BB226" i="4"/>
  <c r="BC226" i="4"/>
  <c r="BD226" i="4"/>
  <c r="BE226" i="4"/>
  <c r="BF226" i="4"/>
  <c r="BG226" i="4"/>
  <c r="BH226" i="4"/>
  <c r="BI226" i="4"/>
  <c r="BJ226" i="4"/>
  <c r="BK226" i="4"/>
  <c r="BL226" i="4"/>
  <c r="BM226" i="4"/>
  <c r="BN226" i="4"/>
  <c r="BO226" i="4"/>
  <c r="BP226" i="4"/>
  <c r="BQ226" i="4"/>
  <c r="BR226" i="4"/>
  <c r="BS226" i="4"/>
  <c r="BT226" i="4"/>
  <c r="BU226" i="4"/>
  <c r="BV226" i="4"/>
  <c r="BW226" i="4"/>
  <c r="BX226" i="4"/>
  <c r="BY226" i="4"/>
  <c r="BZ226" i="4"/>
  <c r="CA226" i="4"/>
  <c r="CB226" i="4"/>
  <c r="CC226" i="4"/>
  <c r="CD226" i="4"/>
  <c r="CE226" i="4"/>
  <c r="CF226" i="4"/>
  <c r="CG226" i="4"/>
  <c r="CH226" i="4"/>
  <c r="CI226" i="4"/>
  <c r="CJ226" i="4"/>
  <c r="CK226" i="4"/>
  <c r="CL226" i="4"/>
  <c r="CM226" i="4"/>
  <c r="CN226" i="4"/>
  <c r="CO226" i="4"/>
  <c r="CP226" i="4"/>
  <c r="CQ226" i="4"/>
  <c r="CR226" i="4"/>
  <c r="CS226" i="4"/>
  <c r="CT226" i="4"/>
  <c r="CU226" i="4"/>
  <c r="CV226" i="4"/>
  <c r="CW226" i="4"/>
  <c r="CX226" i="4"/>
  <c r="CY226" i="4"/>
  <c r="CZ226" i="4"/>
  <c r="DA226" i="4"/>
  <c r="DB226" i="4"/>
  <c r="DC226" i="4"/>
  <c r="DD226" i="4"/>
  <c r="DE226" i="4"/>
  <c r="DF226" i="4"/>
  <c r="DG226" i="4"/>
  <c r="DH226" i="4"/>
  <c r="DI226" i="4"/>
  <c r="DJ226" i="4"/>
  <c r="DK226" i="4"/>
  <c r="DL226" i="4"/>
  <c r="DM226" i="4"/>
  <c r="DN226" i="4"/>
  <c r="DO226" i="4"/>
  <c r="DP226" i="4"/>
  <c r="DQ226" i="4"/>
  <c r="DR226" i="4"/>
  <c r="DS226" i="4"/>
  <c r="DT226" i="4"/>
  <c r="DU226" i="4"/>
  <c r="DV226" i="4"/>
  <c r="DW226" i="4"/>
  <c r="DX226" i="4"/>
  <c r="DY226" i="4"/>
  <c r="DZ226" i="4"/>
  <c r="EA226" i="4"/>
  <c r="EB226" i="4"/>
  <c r="EC226" i="4"/>
  <c r="ED226" i="4"/>
  <c r="EE226" i="4"/>
  <c r="EF226" i="4"/>
  <c r="EG226" i="4"/>
  <c r="EH226" i="4"/>
  <c r="EI226" i="4"/>
  <c r="EJ226" i="4"/>
  <c r="EK226" i="4"/>
  <c r="EL226" i="4"/>
  <c r="EM226" i="4"/>
  <c r="EN226" i="4"/>
  <c r="EO226" i="4"/>
  <c r="EP226" i="4"/>
  <c r="EQ226" i="4"/>
  <c r="ER226" i="4"/>
  <c r="ES226" i="4"/>
  <c r="ET226" i="4"/>
  <c r="EU226" i="4"/>
  <c r="EV226" i="4"/>
  <c r="EW226" i="4"/>
  <c r="EX226" i="4"/>
  <c r="EY226" i="4"/>
  <c r="EZ226" i="4"/>
  <c r="FA226" i="4"/>
  <c r="FB226" i="4"/>
  <c r="FC226" i="4"/>
  <c r="FD226" i="4"/>
  <c r="FE226" i="4"/>
  <c r="FF226" i="4"/>
  <c r="FG226" i="4"/>
  <c r="FH226" i="4"/>
  <c r="FI226" i="4"/>
  <c r="FJ226" i="4"/>
  <c r="FK226" i="4"/>
  <c r="FL226" i="4"/>
  <c r="FM226" i="4"/>
  <c r="FN226" i="4"/>
  <c r="FO226" i="4"/>
  <c r="FP226" i="4"/>
  <c r="FQ226" i="4"/>
  <c r="FR226" i="4"/>
  <c r="FS226" i="4"/>
  <c r="FT226" i="4"/>
  <c r="FU226" i="4"/>
  <c r="FV226" i="4"/>
  <c r="FW226" i="4"/>
  <c r="FX226" i="4"/>
  <c r="FY226" i="4"/>
  <c r="FZ226" i="4"/>
  <c r="GA226" i="4"/>
  <c r="GB226" i="4"/>
  <c r="GC226" i="4"/>
  <c r="GD226" i="4"/>
  <c r="GE226" i="4"/>
  <c r="GF226" i="4"/>
  <c r="GG226" i="4"/>
  <c r="GH226" i="4"/>
  <c r="GI226" i="4"/>
  <c r="GJ226" i="4"/>
  <c r="GK226" i="4"/>
  <c r="GL226" i="4"/>
  <c r="GM226" i="4"/>
  <c r="GN226" i="4"/>
  <c r="GO226" i="4"/>
  <c r="GP226" i="4"/>
  <c r="GQ226" i="4"/>
  <c r="GR226" i="4"/>
  <c r="GS226" i="4"/>
  <c r="GT226" i="4"/>
  <c r="GU226" i="4"/>
  <c r="GV226" i="4"/>
  <c r="GW226" i="4"/>
  <c r="GX226" i="4"/>
  <c r="GY226" i="4"/>
  <c r="GZ226" i="4"/>
  <c r="HA226" i="4"/>
  <c r="HB226" i="4"/>
  <c r="HC226" i="4"/>
  <c r="HD226" i="4"/>
  <c r="HE226" i="4"/>
  <c r="HF226" i="4"/>
  <c r="HG226" i="4"/>
  <c r="HH226" i="4"/>
  <c r="HI226" i="4"/>
  <c r="HJ226" i="4"/>
  <c r="HK226" i="4"/>
  <c r="HL226" i="4"/>
  <c r="HM226" i="4"/>
  <c r="HN226" i="4"/>
  <c r="HO226" i="4"/>
  <c r="HP226" i="4"/>
  <c r="HQ226" i="4"/>
  <c r="HR226" i="4"/>
  <c r="HS226" i="4"/>
  <c r="HT226" i="4"/>
  <c r="HU226" i="4"/>
  <c r="HV226" i="4"/>
  <c r="HW226" i="4"/>
  <c r="HX226" i="4"/>
  <c r="HY226" i="4"/>
  <c r="HZ226" i="4"/>
  <c r="IA226" i="4"/>
  <c r="IB226" i="4"/>
  <c r="IC226" i="4"/>
  <c r="ID226" i="4"/>
  <c r="IE226" i="4"/>
  <c r="IF226" i="4"/>
  <c r="IG226" i="4"/>
  <c r="IH226" i="4"/>
  <c r="II226" i="4"/>
  <c r="IJ226" i="4"/>
  <c r="IK226" i="4"/>
  <c r="IL226" i="4"/>
  <c r="IM226" i="4"/>
  <c r="IN226" i="4"/>
  <c r="IO226" i="4"/>
  <c r="IP226" i="4"/>
  <c r="IQ226" i="4"/>
  <c r="IR226" i="4"/>
  <c r="IS226" i="4"/>
  <c r="IT226" i="4"/>
  <c r="IU226" i="4"/>
  <c r="IV226" i="4"/>
  <c r="A225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F225" i="4"/>
  <c r="AG225" i="4"/>
  <c r="AH225" i="4"/>
  <c r="AI225" i="4"/>
  <c r="AJ225" i="4"/>
  <c r="AK225" i="4"/>
  <c r="AL225" i="4"/>
  <c r="AM225" i="4"/>
  <c r="AN225" i="4"/>
  <c r="AO225" i="4"/>
  <c r="AP225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BF225" i="4"/>
  <c r="BG225" i="4"/>
  <c r="BH225" i="4"/>
  <c r="BI225" i="4"/>
  <c r="BJ225" i="4"/>
  <c r="BK225" i="4"/>
  <c r="BL225" i="4"/>
  <c r="BM225" i="4"/>
  <c r="BN225" i="4"/>
  <c r="BO225" i="4"/>
  <c r="BP225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F225" i="4"/>
  <c r="CG225" i="4"/>
  <c r="CH225" i="4"/>
  <c r="CI225" i="4"/>
  <c r="CJ225" i="4"/>
  <c r="CK225" i="4"/>
  <c r="CL225" i="4"/>
  <c r="CM225" i="4"/>
  <c r="CN225" i="4"/>
  <c r="CO225" i="4"/>
  <c r="CP225" i="4"/>
  <c r="CQ225" i="4"/>
  <c r="CR225" i="4"/>
  <c r="CS225" i="4"/>
  <c r="CT225" i="4"/>
  <c r="CU225" i="4"/>
  <c r="CV225" i="4"/>
  <c r="CW225" i="4"/>
  <c r="CX225" i="4"/>
  <c r="CY225" i="4"/>
  <c r="CZ225" i="4"/>
  <c r="DA225" i="4"/>
  <c r="DB225" i="4"/>
  <c r="DC225" i="4"/>
  <c r="DD225" i="4"/>
  <c r="DE225" i="4"/>
  <c r="DF225" i="4"/>
  <c r="DG225" i="4"/>
  <c r="DH225" i="4"/>
  <c r="DI225" i="4"/>
  <c r="DJ225" i="4"/>
  <c r="DK225" i="4"/>
  <c r="DL225" i="4"/>
  <c r="DM225" i="4"/>
  <c r="DN225" i="4"/>
  <c r="DO225" i="4"/>
  <c r="DP225" i="4"/>
  <c r="DQ225" i="4"/>
  <c r="DR225" i="4"/>
  <c r="DS225" i="4"/>
  <c r="DT225" i="4"/>
  <c r="DU225" i="4"/>
  <c r="DV225" i="4"/>
  <c r="DW225" i="4"/>
  <c r="DX225" i="4"/>
  <c r="DY225" i="4"/>
  <c r="DZ225" i="4"/>
  <c r="EA225" i="4"/>
  <c r="EB225" i="4"/>
  <c r="EC225" i="4"/>
  <c r="ED225" i="4"/>
  <c r="EE225" i="4"/>
  <c r="EF225" i="4"/>
  <c r="EG225" i="4"/>
  <c r="EH225" i="4"/>
  <c r="EI225" i="4"/>
  <c r="EJ225" i="4"/>
  <c r="EK225" i="4"/>
  <c r="EL225" i="4"/>
  <c r="EM225" i="4"/>
  <c r="EN225" i="4"/>
  <c r="EO225" i="4"/>
  <c r="EP225" i="4"/>
  <c r="EQ225" i="4"/>
  <c r="ER225" i="4"/>
  <c r="ES225" i="4"/>
  <c r="ET225" i="4"/>
  <c r="EU225" i="4"/>
  <c r="EV225" i="4"/>
  <c r="EW225" i="4"/>
  <c r="EX225" i="4"/>
  <c r="EY225" i="4"/>
  <c r="EZ225" i="4"/>
  <c r="FA225" i="4"/>
  <c r="FB225" i="4"/>
  <c r="FC225" i="4"/>
  <c r="FD225" i="4"/>
  <c r="FE225" i="4"/>
  <c r="FF225" i="4"/>
  <c r="FG225" i="4"/>
  <c r="FH225" i="4"/>
  <c r="FI225" i="4"/>
  <c r="FJ225" i="4"/>
  <c r="FK225" i="4"/>
  <c r="FL225" i="4"/>
  <c r="FM225" i="4"/>
  <c r="FN225" i="4"/>
  <c r="FO225" i="4"/>
  <c r="FP225" i="4"/>
  <c r="FQ225" i="4"/>
  <c r="FR225" i="4"/>
  <c r="FS225" i="4"/>
  <c r="FT225" i="4"/>
  <c r="FU225" i="4"/>
  <c r="FV225" i="4"/>
  <c r="FW225" i="4"/>
  <c r="FX225" i="4"/>
  <c r="FY225" i="4"/>
  <c r="FZ225" i="4"/>
  <c r="GA225" i="4"/>
  <c r="GB225" i="4"/>
  <c r="GC225" i="4"/>
  <c r="GD225" i="4"/>
  <c r="GE225" i="4"/>
  <c r="GF225" i="4"/>
  <c r="GG225" i="4"/>
  <c r="GH225" i="4"/>
  <c r="GI225" i="4"/>
  <c r="GJ225" i="4"/>
  <c r="GK225" i="4"/>
  <c r="GL225" i="4"/>
  <c r="GM225" i="4"/>
  <c r="GN225" i="4"/>
  <c r="GO225" i="4"/>
  <c r="GP225" i="4"/>
  <c r="GQ225" i="4"/>
  <c r="GR225" i="4"/>
  <c r="GS225" i="4"/>
  <c r="GT225" i="4"/>
  <c r="GU225" i="4"/>
  <c r="GV225" i="4"/>
  <c r="GW225" i="4"/>
  <c r="GX225" i="4"/>
  <c r="GY225" i="4"/>
  <c r="GZ225" i="4"/>
  <c r="HA225" i="4"/>
  <c r="HB225" i="4"/>
  <c r="HC225" i="4"/>
  <c r="HD225" i="4"/>
  <c r="HE225" i="4"/>
  <c r="HF225" i="4"/>
  <c r="HG225" i="4"/>
  <c r="HH225" i="4"/>
  <c r="HI225" i="4"/>
  <c r="HJ225" i="4"/>
  <c r="HK225" i="4"/>
  <c r="HL225" i="4"/>
  <c r="HM225" i="4"/>
  <c r="HN225" i="4"/>
  <c r="HO225" i="4"/>
  <c r="HP225" i="4"/>
  <c r="HQ225" i="4"/>
  <c r="HR225" i="4"/>
  <c r="HS225" i="4"/>
  <c r="HT225" i="4"/>
  <c r="HU225" i="4"/>
  <c r="HV225" i="4"/>
  <c r="HW225" i="4"/>
  <c r="HX225" i="4"/>
  <c r="HY225" i="4"/>
  <c r="HZ225" i="4"/>
  <c r="IA225" i="4"/>
  <c r="IB225" i="4"/>
  <c r="IC225" i="4"/>
  <c r="ID225" i="4"/>
  <c r="IE225" i="4"/>
  <c r="IF225" i="4"/>
  <c r="IG225" i="4"/>
  <c r="IH225" i="4"/>
  <c r="II225" i="4"/>
  <c r="IJ225" i="4"/>
  <c r="IK225" i="4"/>
  <c r="IL225" i="4"/>
  <c r="IM225" i="4"/>
  <c r="IN225" i="4"/>
  <c r="IO225" i="4"/>
  <c r="IP225" i="4"/>
  <c r="IQ225" i="4"/>
  <c r="IR225" i="4"/>
  <c r="IS225" i="4"/>
  <c r="IT225" i="4"/>
  <c r="IU225" i="4"/>
  <c r="IV225" i="4"/>
  <c r="A224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E224" i="4"/>
  <c r="AF224" i="4"/>
  <c r="AG224" i="4"/>
  <c r="AH224" i="4"/>
  <c r="AI224" i="4"/>
  <c r="AJ224" i="4"/>
  <c r="AK224" i="4"/>
  <c r="AL224" i="4"/>
  <c r="AM224" i="4"/>
  <c r="AN224" i="4"/>
  <c r="AO224" i="4"/>
  <c r="AP224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BF224" i="4"/>
  <c r="BG224" i="4"/>
  <c r="BH224" i="4"/>
  <c r="BI224" i="4"/>
  <c r="BJ224" i="4"/>
  <c r="BK224" i="4"/>
  <c r="BL224" i="4"/>
  <c r="BM224" i="4"/>
  <c r="BN224" i="4"/>
  <c r="BO224" i="4"/>
  <c r="BP224" i="4"/>
  <c r="BQ224" i="4"/>
  <c r="BR224" i="4"/>
  <c r="BS224" i="4"/>
  <c r="BT224" i="4"/>
  <c r="BU224" i="4"/>
  <c r="BV224" i="4"/>
  <c r="BW224" i="4"/>
  <c r="BX224" i="4"/>
  <c r="BY224" i="4"/>
  <c r="BZ224" i="4"/>
  <c r="CA224" i="4"/>
  <c r="CB224" i="4"/>
  <c r="CC224" i="4"/>
  <c r="CD224" i="4"/>
  <c r="CE224" i="4"/>
  <c r="CF224" i="4"/>
  <c r="CG224" i="4"/>
  <c r="CH224" i="4"/>
  <c r="CI224" i="4"/>
  <c r="CJ224" i="4"/>
  <c r="CK224" i="4"/>
  <c r="CL224" i="4"/>
  <c r="CM224" i="4"/>
  <c r="CN224" i="4"/>
  <c r="CO224" i="4"/>
  <c r="CP224" i="4"/>
  <c r="CQ224" i="4"/>
  <c r="CR224" i="4"/>
  <c r="CS224" i="4"/>
  <c r="CT224" i="4"/>
  <c r="CU224" i="4"/>
  <c r="CV224" i="4"/>
  <c r="CW224" i="4"/>
  <c r="CX224" i="4"/>
  <c r="CY224" i="4"/>
  <c r="CZ224" i="4"/>
  <c r="DA224" i="4"/>
  <c r="DB224" i="4"/>
  <c r="DC224" i="4"/>
  <c r="DD224" i="4"/>
  <c r="DE224" i="4"/>
  <c r="DF224" i="4"/>
  <c r="DG224" i="4"/>
  <c r="DH224" i="4"/>
  <c r="DI224" i="4"/>
  <c r="DJ224" i="4"/>
  <c r="DK224" i="4"/>
  <c r="DL224" i="4"/>
  <c r="DM224" i="4"/>
  <c r="DN224" i="4"/>
  <c r="DO224" i="4"/>
  <c r="DP224" i="4"/>
  <c r="DQ224" i="4"/>
  <c r="DR224" i="4"/>
  <c r="DS224" i="4"/>
  <c r="DT224" i="4"/>
  <c r="DU224" i="4"/>
  <c r="DV224" i="4"/>
  <c r="DW224" i="4"/>
  <c r="DX224" i="4"/>
  <c r="DY224" i="4"/>
  <c r="DZ224" i="4"/>
  <c r="EA224" i="4"/>
  <c r="EB224" i="4"/>
  <c r="EC224" i="4"/>
  <c r="ED224" i="4"/>
  <c r="EE224" i="4"/>
  <c r="EF224" i="4"/>
  <c r="EG224" i="4"/>
  <c r="EH224" i="4"/>
  <c r="EI224" i="4"/>
  <c r="EJ224" i="4"/>
  <c r="EK224" i="4"/>
  <c r="EL224" i="4"/>
  <c r="EM224" i="4"/>
  <c r="EN224" i="4"/>
  <c r="EO224" i="4"/>
  <c r="EP224" i="4"/>
  <c r="EQ224" i="4"/>
  <c r="ER224" i="4"/>
  <c r="ES224" i="4"/>
  <c r="ET224" i="4"/>
  <c r="EU224" i="4"/>
  <c r="EV224" i="4"/>
  <c r="EW224" i="4"/>
  <c r="EX224" i="4"/>
  <c r="EY224" i="4"/>
  <c r="EZ224" i="4"/>
  <c r="FA224" i="4"/>
  <c r="FB224" i="4"/>
  <c r="FC224" i="4"/>
  <c r="FD224" i="4"/>
  <c r="FE224" i="4"/>
  <c r="FF224" i="4"/>
  <c r="FG224" i="4"/>
  <c r="FH224" i="4"/>
  <c r="FI224" i="4"/>
  <c r="FJ224" i="4"/>
  <c r="FK224" i="4"/>
  <c r="FL224" i="4"/>
  <c r="FM224" i="4"/>
  <c r="FN224" i="4"/>
  <c r="FO224" i="4"/>
  <c r="FP224" i="4"/>
  <c r="FQ224" i="4"/>
  <c r="FR224" i="4"/>
  <c r="FS224" i="4"/>
  <c r="FT224" i="4"/>
  <c r="FU224" i="4"/>
  <c r="FV224" i="4"/>
  <c r="FW224" i="4"/>
  <c r="FX224" i="4"/>
  <c r="FY224" i="4"/>
  <c r="FZ224" i="4"/>
  <c r="GA224" i="4"/>
  <c r="GB224" i="4"/>
  <c r="GC224" i="4"/>
  <c r="GD224" i="4"/>
  <c r="GE224" i="4"/>
  <c r="GF224" i="4"/>
  <c r="GG224" i="4"/>
  <c r="GH224" i="4"/>
  <c r="GI224" i="4"/>
  <c r="GJ224" i="4"/>
  <c r="GK224" i="4"/>
  <c r="GL224" i="4"/>
  <c r="GM224" i="4"/>
  <c r="GN224" i="4"/>
  <c r="GO224" i="4"/>
  <c r="GP224" i="4"/>
  <c r="GQ224" i="4"/>
  <c r="GR224" i="4"/>
  <c r="GS224" i="4"/>
  <c r="GT224" i="4"/>
  <c r="GU224" i="4"/>
  <c r="GV224" i="4"/>
  <c r="GW224" i="4"/>
  <c r="GX224" i="4"/>
  <c r="GY224" i="4"/>
  <c r="GZ224" i="4"/>
  <c r="HA224" i="4"/>
  <c r="HB224" i="4"/>
  <c r="HC224" i="4"/>
  <c r="HD224" i="4"/>
  <c r="HE224" i="4"/>
  <c r="HF224" i="4"/>
  <c r="HG224" i="4"/>
  <c r="HH224" i="4"/>
  <c r="HI224" i="4"/>
  <c r="HJ224" i="4"/>
  <c r="HK224" i="4"/>
  <c r="HL224" i="4"/>
  <c r="HM224" i="4"/>
  <c r="HN224" i="4"/>
  <c r="HO224" i="4"/>
  <c r="HP224" i="4"/>
  <c r="HQ224" i="4"/>
  <c r="HR224" i="4"/>
  <c r="HS224" i="4"/>
  <c r="HT224" i="4"/>
  <c r="HU224" i="4"/>
  <c r="HV224" i="4"/>
  <c r="HW224" i="4"/>
  <c r="HX224" i="4"/>
  <c r="HY224" i="4"/>
  <c r="HZ224" i="4"/>
  <c r="IA224" i="4"/>
  <c r="IB224" i="4"/>
  <c r="IC224" i="4"/>
  <c r="ID224" i="4"/>
  <c r="IE224" i="4"/>
  <c r="IF224" i="4"/>
  <c r="IG224" i="4"/>
  <c r="IH224" i="4"/>
  <c r="II224" i="4"/>
  <c r="IJ224" i="4"/>
  <c r="IK224" i="4"/>
  <c r="IL224" i="4"/>
  <c r="IM224" i="4"/>
  <c r="IN224" i="4"/>
  <c r="IO224" i="4"/>
  <c r="IP224" i="4"/>
  <c r="IQ224" i="4"/>
  <c r="IR224" i="4"/>
  <c r="IS224" i="4"/>
  <c r="IT224" i="4"/>
  <c r="IU224" i="4"/>
  <c r="IV224" i="4"/>
  <c r="A223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AD223" i="4"/>
  <c r="AE223" i="4"/>
  <c r="AF223" i="4"/>
  <c r="AG223" i="4"/>
  <c r="AH223" i="4"/>
  <c r="AI223" i="4"/>
  <c r="AJ223" i="4"/>
  <c r="AK223" i="4"/>
  <c r="AL223" i="4"/>
  <c r="AM223" i="4"/>
  <c r="AN223" i="4"/>
  <c r="AO223" i="4"/>
  <c r="AP223" i="4"/>
  <c r="AQ223" i="4"/>
  <c r="AR223" i="4"/>
  <c r="AS223" i="4"/>
  <c r="AT223" i="4"/>
  <c r="AU223" i="4"/>
  <c r="AV223" i="4"/>
  <c r="AW223" i="4"/>
  <c r="AX223" i="4"/>
  <c r="AY223" i="4"/>
  <c r="AZ223" i="4"/>
  <c r="BA223" i="4"/>
  <c r="BB223" i="4"/>
  <c r="BC223" i="4"/>
  <c r="BD223" i="4"/>
  <c r="BE223" i="4"/>
  <c r="BF223" i="4"/>
  <c r="BG223" i="4"/>
  <c r="BH223" i="4"/>
  <c r="BI223" i="4"/>
  <c r="BJ223" i="4"/>
  <c r="BK223" i="4"/>
  <c r="BL223" i="4"/>
  <c r="BM223" i="4"/>
  <c r="BN223" i="4"/>
  <c r="BO223" i="4"/>
  <c r="BP223" i="4"/>
  <c r="BQ223" i="4"/>
  <c r="BR223" i="4"/>
  <c r="BS223" i="4"/>
  <c r="BT223" i="4"/>
  <c r="BU223" i="4"/>
  <c r="BV223" i="4"/>
  <c r="BW223" i="4"/>
  <c r="BX223" i="4"/>
  <c r="BY223" i="4"/>
  <c r="BZ223" i="4"/>
  <c r="CA223" i="4"/>
  <c r="CB223" i="4"/>
  <c r="CC223" i="4"/>
  <c r="CD223" i="4"/>
  <c r="CE223" i="4"/>
  <c r="CF223" i="4"/>
  <c r="CG223" i="4"/>
  <c r="CH223" i="4"/>
  <c r="CI223" i="4"/>
  <c r="CJ223" i="4"/>
  <c r="CK223" i="4"/>
  <c r="CL223" i="4"/>
  <c r="CM223" i="4"/>
  <c r="CN223" i="4"/>
  <c r="CO223" i="4"/>
  <c r="CP223" i="4"/>
  <c r="CQ223" i="4"/>
  <c r="CR223" i="4"/>
  <c r="CS223" i="4"/>
  <c r="CT223" i="4"/>
  <c r="CU223" i="4"/>
  <c r="CV223" i="4"/>
  <c r="CW223" i="4"/>
  <c r="CX223" i="4"/>
  <c r="CY223" i="4"/>
  <c r="CZ223" i="4"/>
  <c r="DA223" i="4"/>
  <c r="DB223" i="4"/>
  <c r="DC223" i="4"/>
  <c r="DD223" i="4"/>
  <c r="DE223" i="4"/>
  <c r="DF223" i="4"/>
  <c r="DG223" i="4"/>
  <c r="DH223" i="4"/>
  <c r="DI223" i="4"/>
  <c r="DJ223" i="4"/>
  <c r="DK223" i="4"/>
  <c r="DL223" i="4"/>
  <c r="DM223" i="4"/>
  <c r="DN223" i="4"/>
  <c r="DO223" i="4"/>
  <c r="DP223" i="4"/>
  <c r="DQ223" i="4"/>
  <c r="DR223" i="4"/>
  <c r="DS223" i="4"/>
  <c r="DT223" i="4"/>
  <c r="DU223" i="4"/>
  <c r="DV223" i="4"/>
  <c r="DW223" i="4"/>
  <c r="DX223" i="4"/>
  <c r="DY223" i="4"/>
  <c r="DZ223" i="4"/>
  <c r="EA223" i="4"/>
  <c r="EB223" i="4"/>
  <c r="EC223" i="4"/>
  <c r="ED223" i="4"/>
  <c r="EE223" i="4"/>
  <c r="EF223" i="4"/>
  <c r="EG223" i="4"/>
  <c r="EH223" i="4"/>
  <c r="EI223" i="4"/>
  <c r="EJ223" i="4"/>
  <c r="EK223" i="4"/>
  <c r="EL223" i="4"/>
  <c r="EM223" i="4"/>
  <c r="EN223" i="4"/>
  <c r="EO223" i="4"/>
  <c r="EP223" i="4"/>
  <c r="EQ223" i="4"/>
  <c r="ER223" i="4"/>
  <c r="ES223" i="4"/>
  <c r="ET223" i="4"/>
  <c r="EU223" i="4"/>
  <c r="EV223" i="4"/>
  <c r="EW223" i="4"/>
  <c r="EX223" i="4"/>
  <c r="EY223" i="4"/>
  <c r="EZ223" i="4"/>
  <c r="FA223" i="4"/>
  <c r="FB223" i="4"/>
  <c r="FC223" i="4"/>
  <c r="FD223" i="4"/>
  <c r="FE223" i="4"/>
  <c r="FF223" i="4"/>
  <c r="FG223" i="4"/>
  <c r="FH223" i="4"/>
  <c r="FI223" i="4"/>
  <c r="FJ223" i="4"/>
  <c r="FK223" i="4"/>
  <c r="FL223" i="4"/>
  <c r="FM223" i="4"/>
  <c r="FN223" i="4"/>
  <c r="FO223" i="4"/>
  <c r="FP223" i="4"/>
  <c r="FQ223" i="4"/>
  <c r="FR223" i="4"/>
  <c r="FS223" i="4"/>
  <c r="FT223" i="4"/>
  <c r="FU223" i="4"/>
  <c r="FV223" i="4"/>
  <c r="FW223" i="4"/>
  <c r="FX223" i="4"/>
  <c r="FY223" i="4"/>
  <c r="FZ223" i="4"/>
  <c r="GA223" i="4"/>
  <c r="GB223" i="4"/>
  <c r="GC223" i="4"/>
  <c r="GD223" i="4"/>
  <c r="GE223" i="4"/>
  <c r="GF223" i="4"/>
  <c r="GG223" i="4"/>
  <c r="GH223" i="4"/>
  <c r="GI223" i="4"/>
  <c r="GJ223" i="4"/>
  <c r="GK223" i="4"/>
  <c r="GL223" i="4"/>
  <c r="GM223" i="4"/>
  <c r="GN223" i="4"/>
  <c r="GO223" i="4"/>
  <c r="GP223" i="4"/>
  <c r="GQ223" i="4"/>
  <c r="GR223" i="4"/>
  <c r="GS223" i="4"/>
  <c r="GT223" i="4"/>
  <c r="GU223" i="4"/>
  <c r="GV223" i="4"/>
  <c r="GW223" i="4"/>
  <c r="GX223" i="4"/>
  <c r="GY223" i="4"/>
  <c r="GZ223" i="4"/>
  <c r="HA223" i="4"/>
  <c r="HB223" i="4"/>
  <c r="HC223" i="4"/>
  <c r="HD223" i="4"/>
  <c r="HE223" i="4"/>
  <c r="HF223" i="4"/>
  <c r="HG223" i="4"/>
  <c r="HH223" i="4"/>
  <c r="HI223" i="4"/>
  <c r="HJ223" i="4"/>
  <c r="HK223" i="4"/>
  <c r="HL223" i="4"/>
  <c r="HM223" i="4"/>
  <c r="HN223" i="4"/>
  <c r="HO223" i="4"/>
  <c r="HP223" i="4"/>
  <c r="HQ223" i="4"/>
  <c r="HR223" i="4"/>
  <c r="HS223" i="4"/>
  <c r="HT223" i="4"/>
  <c r="HU223" i="4"/>
  <c r="HV223" i="4"/>
  <c r="HW223" i="4"/>
  <c r="HX223" i="4"/>
  <c r="HY223" i="4"/>
  <c r="HZ223" i="4"/>
  <c r="IA223" i="4"/>
  <c r="IB223" i="4"/>
  <c r="IC223" i="4"/>
  <c r="ID223" i="4"/>
  <c r="IE223" i="4"/>
  <c r="IF223" i="4"/>
  <c r="IG223" i="4"/>
  <c r="IH223" i="4"/>
  <c r="II223" i="4"/>
  <c r="IJ223" i="4"/>
  <c r="IK223" i="4"/>
  <c r="IL223" i="4"/>
  <c r="IM223" i="4"/>
  <c r="IN223" i="4"/>
  <c r="IO223" i="4"/>
  <c r="IP223" i="4"/>
  <c r="IQ223" i="4"/>
  <c r="IR223" i="4"/>
  <c r="IS223" i="4"/>
  <c r="IT223" i="4"/>
  <c r="IU223" i="4"/>
  <c r="IV223" i="4"/>
  <c r="A222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222" i="4"/>
  <c r="AD222" i="4"/>
  <c r="AE222" i="4"/>
  <c r="AF222" i="4"/>
  <c r="AG222" i="4"/>
  <c r="AH222" i="4"/>
  <c r="AI222" i="4"/>
  <c r="AJ222" i="4"/>
  <c r="AK222" i="4"/>
  <c r="AL222" i="4"/>
  <c r="AM222" i="4"/>
  <c r="AN222" i="4"/>
  <c r="AO222" i="4"/>
  <c r="AP222" i="4"/>
  <c r="AQ222" i="4"/>
  <c r="AR222" i="4"/>
  <c r="AS222" i="4"/>
  <c r="AT222" i="4"/>
  <c r="AU222" i="4"/>
  <c r="AV222" i="4"/>
  <c r="AW222" i="4"/>
  <c r="AX222" i="4"/>
  <c r="AY222" i="4"/>
  <c r="AZ222" i="4"/>
  <c r="BA222" i="4"/>
  <c r="BB222" i="4"/>
  <c r="BC222" i="4"/>
  <c r="BD222" i="4"/>
  <c r="BE222" i="4"/>
  <c r="BF222" i="4"/>
  <c r="BG222" i="4"/>
  <c r="BH222" i="4"/>
  <c r="BI222" i="4"/>
  <c r="BJ222" i="4"/>
  <c r="BK222" i="4"/>
  <c r="BL222" i="4"/>
  <c r="BM222" i="4"/>
  <c r="BN222" i="4"/>
  <c r="BO222" i="4"/>
  <c r="BP222" i="4"/>
  <c r="BQ222" i="4"/>
  <c r="BR222" i="4"/>
  <c r="BS222" i="4"/>
  <c r="BT222" i="4"/>
  <c r="BU222" i="4"/>
  <c r="BV222" i="4"/>
  <c r="BW222" i="4"/>
  <c r="BX222" i="4"/>
  <c r="BY222" i="4"/>
  <c r="BZ222" i="4"/>
  <c r="CA222" i="4"/>
  <c r="CB222" i="4"/>
  <c r="CC222" i="4"/>
  <c r="CD222" i="4"/>
  <c r="CE222" i="4"/>
  <c r="CF222" i="4"/>
  <c r="CG222" i="4"/>
  <c r="CH222" i="4"/>
  <c r="CI222" i="4"/>
  <c r="CJ222" i="4"/>
  <c r="CK222" i="4"/>
  <c r="CL222" i="4"/>
  <c r="CM222" i="4"/>
  <c r="CN222" i="4"/>
  <c r="CO222" i="4"/>
  <c r="CP222" i="4"/>
  <c r="CQ222" i="4"/>
  <c r="CR222" i="4"/>
  <c r="CS222" i="4"/>
  <c r="CT222" i="4"/>
  <c r="CU222" i="4"/>
  <c r="CV222" i="4"/>
  <c r="CW222" i="4"/>
  <c r="CX222" i="4"/>
  <c r="CY222" i="4"/>
  <c r="CZ222" i="4"/>
  <c r="DA222" i="4"/>
  <c r="DB222" i="4"/>
  <c r="DC222" i="4"/>
  <c r="DD222" i="4"/>
  <c r="DE222" i="4"/>
  <c r="DF222" i="4"/>
  <c r="DG222" i="4"/>
  <c r="DH222" i="4"/>
  <c r="DI222" i="4"/>
  <c r="DJ222" i="4"/>
  <c r="DK222" i="4"/>
  <c r="DL222" i="4"/>
  <c r="DM222" i="4"/>
  <c r="DN222" i="4"/>
  <c r="DO222" i="4"/>
  <c r="DP222" i="4"/>
  <c r="DQ222" i="4"/>
  <c r="DR222" i="4"/>
  <c r="DS222" i="4"/>
  <c r="DT222" i="4"/>
  <c r="DU222" i="4"/>
  <c r="DV222" i="4"/>
  <c r="DW222" i="4"/>
  <c r="DX222" i="4"/>
  <c r="DY222" i="4"/>
  <c r="DZ222" i="4"/>
  <c r="EA222" i="4"/>
  <c r="EB222" i="4"/>
  <c r="EC222" i="4"/>
  <c r="ED222" i="4"/>
  <c r="EE222" i="4"/>
  <c r="EF222" i="4"/>
  <c r="EG222" i="4"/>
  <c r="EH222" i="4"/>
  <c r="EI222" i="4"/>
  <c r="EJ222" i="4"/>
  <c r="EK222" i="4"/>
  <c r="EL222" i="4"/>
  <c r="EM222" i="4"/>
  <c r="EN222" i="4"/>
  <c r="EO222" i="4"/>
  <c r="EP222" i="4"/>
  <c r="EQ222" i="4"/>
  <c r="ER222" i="4"/>
  <c r="ES222" i="4"/>
  <c r="ET222" i="4"/>
  <c r="EU222" i="4"/>
  <c r="EV222" i="4"/>
  <c r="EW222" i="4"/>
  <c r="EX222" i="4"/>
  <c r="EY222" i="4"/>
  <c r="EZ222" i="4"/>
  <c r="FA222" i="4"/>
  <c r="FB222" i="4"/>
  <c r="FC222" i="4"/>
  <c r="FD222" i="4"/>
  <c r="FE222" i="4"/>
  <c r="FF222" i="4"/>
  <c r="FG222" i="4"/>
  <c r="FH222" i="4"/>
  <c r="FI222" i="4"/>
  <c r="FJ222" i="4"/>
  <c r="FK222" i="4"/>
  <c r="FL222" i="4"/>
  <c r="FM222" i="4"/>
  <c r="FN222" i="4"/>
  <c r="FO222" i="4"/>
  <c r="FP222" i="4"/>
  <c r="FQ222" i="4"/>
  <c r="FR222" i="4"/>
  <c r="FS222" i="4"/>
  <c r="FT222" i="4"/>
  <c r="FU222" i="4"/>
  <c r="FV222" i="4"/>
  <c r="FW222" i="4"/>
  <c r="FX222" i="4"/>
  <c r="FY222" i="4"/>
  <c r="FZ222" i="4"/>
  <c r="GA222" i="4"/>
  <c r="GB222" i="4"/>
  <c r="GC222" i="4"/>
  <c r="GD222" i="4"/>
  <c r="GE222" i="4"/>
  <c r="GF222" i="4"/>
  <c r="GG222" i="4"/>
  <c r="GH222" i="4"/>
  <c r="GI222" i="4"/>
  <c r="GJ222" i="4"/>
  <c r="GK222" i="4"/>
  <c r="GL222" i="4"/>
  <c r="GM222" i="4"/>
  <c r="GN222" i="4"/>
  <c r="GO222" i="4"/>
  <c r="GP222" i="4"/>
  <c r="GQ222" i="4"/>
  <c r="GR222" i="4"/>
  <c r="GS222" i="4"/>
  <c r="GT222" i="4"/>
  <c r="GU222" i="4"/>
  <c r="GV222" i="4"/>
  <c r="GW222" i="4"/>
  <c r="GX222" i="4"/>
  <c r="GY222" i="4"/>
  <c r="GZ222" i="4"/>
  <c r="HA222" i="4"/>
  <c r="HB222" i="4"/>
  <c r="HC222" i="4"/>
  <c r="HD222" i="4"/>
  <c r="HE222" i="4"/>
  <c r="HF222" i="4"/>
  <c r="HG222" i="4"/>
  <c r="HH222" i="4"/>
  <c r="HI222" i="4"/>
  <c r="HJ222" i="4"/>
  <c r="HK222" i="4"/>
  <c r="HL222" i="4"/>
  <c r="HM222" i="4"/>
  <c r="HN222" i="4"/>
  <c r="HO222" i="4"/>
  <c r="HP222" i="4"/>
  <c r="HQ222" i="4"/>
  <c r="HR222" i="4"/>
  <c r="HS222" i="4"/>
  <c r="HT222" i="4"/>
  <c r="HU222" i="4"/>
  <c r="HV222" i="4"/>
  <c r="HW222" i="4"/>
  <c r="HX222" i="4"/>
  <c r="HY222" i="4"/>
  <c r="HZ222" i="4"/>
  <c r="IA222" i="4"/>
  <c r="IB222" i="4"/>
  <c r="IC222" i="4"/>
  <c r="ID222" i="4"/>
  <c r="IE222" i="4"/>
  <c r="IF222" i="4"/>
  <c r="IG222" i="4"/>
  <c r="IH222" i="4"/>
  <c r="II222" i="4"/>
  <c r="IJ222" i="4"/>
  <c r="IK222" i="4"/>
  <c r="IL222" i="4"/>
  <c r="IM222" i="4"/>
  <c r="IN222" i="4"/>
  <c r="IO222" i="4"/>
  <c r="IP222" i="4"/>
  <c r="IQ222" i="4"/>
  <c r="IR222" i="4"/>
  <c r="IS222" i="4"/>
  <c r="IT222" i="4"/>
  <c r="IU222" i="4"/>
  <c r="IV222" i="4"/>
  <c r="A221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AC221" i="4"/>
  <c r="AD221" i="4"/>
  <c r="AE221" i="4"/>
  <c r="AF221" i="4"/>
  <c r="AG221" i="4"/>
  <c r="AH221" i="4"/>
  <c r="AI221" i="4"/>
  <c r="AJ221" i="4"/>
  <c r="AK221" i="4"/>
  <c r="AL221" i="4"/>
  <c r="AM221" i="4"/>
  <c r="AN221" i="4"/>
  <c r="AO221" i="4"/>
  <c r="AP221" i="4"/>
  <c r="AQ221" i="4"/>
  <c r="AR221" i="4"/>
  <c r="AS221" i="4"/>
  <c r="AT221" i="4"/>
  <c r="AU221" i="4"/>
  <c r="AV221" i="4"/>
  <c r="AW221" i="4"/>
  <c r="AX221" i="4"/>
  <c r="AY221" i="4"/>
  <c r="AZ221" i="4"/>
  <c r="BA221" i="4"/>
  <c r="BB221" i="4"/>
  <c r="BC221" i="4"/>
  <c r="BD221" i="4"/>
  <c r="BE221" i="4"/>
  <c r="BF221" i="4"/>
  <c r="BG221" i="4"/>
  <c r="BH221" i="4"/>
  <c r="BI221" i="4"/>
  <c r="BJ221" i="4"/>
  <c r="BK221" i="4"/>
  <c r="BL221" i="4"/>
  <c r="BM221" i="4"/>
  <c r="BN221" i="4"/>
  <c r="BO221" i="4"/>
  <c r="BP221" i="4"/>
  <c r="BQ221" i="4"/>
  <c r="BR221" i="4"/>
  <c r="BS221" i="4"/>
  <c r="BT221" i="4"/>
  <c r="BU221" i="4"/>
  <c r="BV221" i="4"/>
  <c r="BW221" i="4"/>
  <c r="BX221" i="4"/>
  <c r="BY221" i="4"/>
  <c r="BZ221" i="4"/>
  <c r="CA221" i="4"/>
  <c r="CB221" i="4"/>
  <c r="CC221" i="4"/>
  <c r="CD221" i="4"/>
  <c r="CE221" i="4"/>
  <c r="CF221" i="4"/>
  <c r="CG221" i="4"/>
  <c r="CH221" i="4"/>
  <c r="CI221" i="4"/>
  <c r="CJ221" i="4"/>
  <c r="CK221" i="4"/>
  <c r="CL221" i="4"/>
  <c r="CM221" i="4"/>
  <c r="CN221" i="4"/>
  <c r="CO221" i="4"/>
  <c r="CP221" i="4"/>
  <c r="CQ221" i="4"/>
  <c r="CR221" i="4"/>
  <c r="CS221" i="4"/>
  <c r="CT221" i="4"/>
  <c r="CU221" i="4"/>
  <c r="CV221" i="4"/>
  <c r="CW221" i="4"/>
  <c r="CX221" i="4"/>
  <c r="CY221" i="4"/>
  <c r="CZ221" i="4"/>
  <c r="DA221" i="4"/>
  <c r="DB221" i="4"/>
  <c r="DC221" i="4"/>
  <c r="DD221" i="4"/>
  <c r="DE221" i="4"/>
  <c r="DF221" i="4"/>
  <c r="DG221" i="4"/>
  <c r="DH221" i="4"/>
  <c r="DI221" i="4"/>
  <c r="DJ221" i="4"/>
  <c r="DK221" i="4"/>
  <c r="DL221" i="4"/>
  <c r="DM221" i="4"/>
  <c r="DN221" i="4"/>
  <c r="DO221" i="4"/>
  <c r="DP221" i="4"/>
  <c r="DQ221" i="4"/>
  <c r="DR221" i="4"/>
  <c r="DS221" i="4"/>
  <c r="DT221" i="4"/>
  <c r="DU221" i="4"/>
  <c r="DV221" i="4"/>
  <c r="DW221" i="4"/>
  <c r="DX221" i="4"/>
  <c r="DY221" i="4"/>
  <c r="DZ221" i="4"/>
  <c r="EA221" i="4"/>
  <c r="EB221" i="4"/>
  <c r="EC221" i="4"/>
  <c r="ED221" i="4"/>
  <c r="EE221" i="4"/>
  <c r="EF221" i="4"/>
  <c r="EG221" i="4"/>
  <c r="EH221" i="4"/>
  <c r="EI221" i="4"/>
  <c r="EJ221" i="4"/>
  <c r="EK221" i="4"/>
  <c r="EL221" i="4"/>
  <c r="EM221" i="4"/>
  <c r="EN221" i="4"/>
  <c r="EO221" i="4"/>
  <c r="EP221" i="4"/>
  <c r="EQ221" i="4"/>
  <c r="ER221" i="4"/>
  <c r="ES221" i="4"/>
  <c r="ET221" i="4"/>
  <c r="EU221" i="4"/>
  <c r="EV221" i="4"/>
  <c r="EW221" i="4"/>
  <c r="EX221" i="4"/>
  <c r="EY221" i="4"/>
  <c r="EZ221" i="4"/>
  <c r="FA221" i="4"/>
  <c r="FB221" i="4"/>
  <c r="FC221" i="4"/>
  <c r="FD221" i="4"/>
  <c r="FE221" i="4"/>
  <c r="FF221" i="4"/>
  <c r="FG221" i="4"/>
  <c r="FH221" i="4"/>
  <c r="FI221" i="4"/>
  <c r="FJ221" i="4"/>
  <c r="FK221" i="4"/>
  <c r="FL221" i="4"/>
  <c r="FM221" i="4"/>
  <c r="FN221" i="4"/>
  <c r="FO221" i="4"/>
  <c r="FP221" i="4"/>
  <c r="FQ221" i="4"/>
  <c r="FR221" i="4"/>
  <c r="FS221" i="4"/>
  <c r="FT221" i="4"/>
  <c r="FU221" i="4"/>
  <c r="FV221" i="4"/>
  <c r="FW221" i="4"/>
  <c r="FX221" i="4"/>
  <c r="FY221" i="4"/>
  <c r="FZ221" i="4"/>
  <c r="GA221" i="4"/>
  <c r="GB221" i="4"/>
  <c r="GC221" i="4"/>
  <c r="GD221" i="4"/>
  <c r="GE221" i="4"/>
  <c r="GF221" i="4"/>
  <c r="GG221" i="4"/>
  <c r="GH221" i="4"/>
  <c r="GI221" i="4"/>
  <c r="GJ221" i="4"/>
  <c r="GK221" i="4"/>
  <c r="GL221" i="4"/>
  <c r="GM221" i="4"/>
  <c r="GN221" i="4"/>
  <c r="GO221" i="4"/>
  <c r="GP221" i="4"/>
  <c r="GQ221" i="4"/>
  <c r="GR221" i="4"/>
  <c r="GS221" i="4"/>
  <c r="GT221" i="4"/>
  <c r="GU221" i="4"/>
  <c r="GV221" i="4"/>
  <c r="GW221" i="4"/>
  <c r="GX221" i="4"/>
  <c r="GY221" i="4"/>
  <c r="GZ221" i="4"/>
  <c r="HA221" i="4"/>
  <c r="HB221" i="4"/>
  <c r="HC221" i="4"/>
  <c r="HD221" i="4"/>
  <c r="HE221" i="4"/>
  <c r="HF221" i="4"/>
  <c r="HG221" i="4"/>
  <c r="HH221" i="4"/>
  <c r="HI221" i="4"/>
  <c r="HJ221" i="4"/>
  <c r="HK221" i="4"/>
  <c r="HL221" i="4"/>
  <c r="HM221" i="4"/>
  <c r="HN221" i="4"/>
  <c r="HO221" i="4"/>
  <c r="HP221" i="4"/>
  <c r="HQ221" i="4"/>
  <c r="HR221" i="4"/>
  <c r="HS221" i="4"/>
  <c r="HT221" i="4"/>
  <c r="HU221" i="4"/>
  <c r="HV221" i="4"/>
  <c r="HW221" i="4"/>
  <c r="HX221" i="4"/>
  <c r="HY221" i="4"/>
  <c r="HZ221" i="4"/>
  <c r="IA221" i="4"/>
  <c r="IB221" i="4"/>
  <c r="IC221" i="4"/>
  <c r="ID221" i="4"/>
  <c r="IE221" i="4"/>
  <c r="IF221" i="4"/>
  <c r="IG221" i="4"/>
  <c r="IH221" i="4"/>
  <c r="II221" i="4"/>
  <c r="IJ221" i="4"/>
  <c r="IK221" i="4"/>
  <c r="IL221" i="4"/>
  <c r="IM221" i="4"/>
  <c r="IN221" i="4"/>
  <c r="IO221" i="4"/>
  <c r="IP221" i="4"/>
  <c r="IQ221" i="4"/>
  <c r="IR221" i="4"/>
  <c r="IS221" i="4"/>
  <c r="IT221" i="4"/>
  <c r="IU221" i="4"/>
  <c r="IV221" i="4"/>
  <c r="A220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AB220" i="4"/>
  <c r="AC220" i="4"/>
  <c r="AD220" i="4"/>
  <c r="AE220" i="4"/>
  <c r="AF220" i="4"/>
  <c r="AG220" i="4"/>
  <c r="AH220" i="4"/>
  <c r="AI220" i="4"/>
  <c r="AJ220" i="4"/>
  <c r="AK220" i="4"/>
  <c r="AL220" i="4"/>
  <c r="AM220" i="4"/>
  <c r="AN220" i="4"/>
  <c r="AO220" i="4"/>
  <c r="AP220" i="4"/>
  <c r="AQ220" i="4"/>
  <c r="AR220" i="4"/>
  <c r="AS220" i="4"/>
  <c r="AT220" i="4"/>
  <c r="AU220" i="4"/>
  <c r="AV220" i="4"/>
  <c r="AW220" i="4"/>
  <c r="AX220" i="4"/>
  <c r="AY220" i="4"/>
  <c r="AZ220" i="4"/>
  <c r="BA220" i="4"/>
  <c r="BB220" i="4"/>
  <c r="BC220" i="4"/>
  <c r="BD220" i="4"/>
  <c r="BE220" i="4"/>
  <c r="BF220" i="4"/>
  <c r="BG220" i="4"/>
  <c r="BH220" i="4"/>
  <c r="BI220" i="4"/>
  <c r="BJ220" i="4"/>
  <c r="BK220" i="4"/>
  <c r="BL220" i="4"/>
  <c r="BM220" i="4"/>
  <c r="BN220" i="4"/>
  <c r="BO220" i="4"/>
  <c r="BP220" i="4"/>
  <c r="BQ220" i="4"/>
  <c r="BR220" i="4"/>
  <c r="BS220" i="4"/>
  <c r="BT220" i="4"/>
  <c r="BU220" i="4"/>
  <c r="BV220" i="4"/>
  <c r="BW220" i="4"/>
  <c r="BX220" i="4"/>
  <c r="BY220" i="4"/>
  <c r="BZ220" i="4"/>
  <c r="CA220" i="4"/>
  <c r="CB220" i="4"/>
  <c r="CC220" i="4"/>
  <c r="CD220" i="4"/>
  <c r="CE220" i="4"/>
  <c r="CF220" i="4"/>
  <c r="CG220" i="4"/>
  <c r="CH220" i="4"/>
  <c r="CI220" i="4"/>
  <c r="CJ220" i="4"/>
  <c r="CK220" i="4"/>
  <c r="CL220" i="4"/>
  <c r="CM220" i="4"/>
  <c r="CN220" i="4"/>
  <c r="CO220" i="4"/>
  <c r="CP220" i="4"/>
  <c r="CQ220" i="4"/>
  <c r="CR220" i="4"/>
  <c r="CS220" i="4"/>
  <c r="CT220" i="4"/>
  <c r="CU220" i="4"/>
  <c r="CV220" i="4"/>
  <c r="CW220" i="4"/>
  <c r="CX220" i="4"/>
  <c r="CY220" i="4"/>
  <c r="CZ220" i="4"/>
  <c r="DA220" i="4"/>
  <c r="DB220" i="4"/>
  <c r="DC220" i="4"/>
  <c r="DD220" i="4"/>
  <c r="DE220" i="4"/>
  <c r="DF220" i="4"/>
  <c r="DG220" i="4"/>
  <c r="DH220" i="4"/>
  <c r="DI220" i="4"/>
  <c r="DJ220" i="4"/>
  <c r="DK220" i="4"/>
  <c r="DL220" i="4"/>
  <c r="DM220" i="4"/>
  <c r="DN220" i="4"/>
  <c r="DO220" i="4"/>
  <c r="DP220" i="4"/>
  <c r="DQ220" i="4"/>
  <c r="DR220" i="4"/>
  <c r="DS220" i="4"/>
  <c r="DT220" i="4"/>
  <c r="DU220" i="4"/>
  <c r="DV220" i="4"/>
  <c r="DW220" i="4"/>
  <c r="DX220" i="4"/>
  <c r="DY220" i="4"/>
  <c r="DZ220" i="4"/>
  <c r="EA220" i="4"/>
  <c r="EB220" i="4"/>
  <c r="EC220" i="4"/>
  <c r="ED220" i="4"/>
  <c r="EE220" i="4"/>
  <c r="EF220" i="4"/>
  <c r="EG220" i="4"/>
  <c r="EH220" i="4"/>
  <c r="EI220" i="4"/>
  <c r="EJ220" i="4"/>
  <c r="EK220" i="4"/>
  <c r="EL220" i="4"/>
  <c r="EM220" i="4"/>
  <c r="EN220" i="4"/>
  <c r="EO220" i="4"/>
  <c r="EP220" i="4"/>
  <c r="EQ220" i="4"/>
  <c r="ER220" i="4"/>
  <c r="ES220" i="4"/>
  <c r="ET220" i="4"/>
  <c r="EU220" i="4"/>
  <c r="EV220" i="4"/>
  <c r="EW220" i="4"/>
  <c r="EX220" i="4"/>
  <c r="EY220" i="4"/>
  <c r="EZ220" i="4"/>
  <c r="FA220" i="4"/>
  <c r="FB220" i="4"/>
  <c r="FC220" i="4"/>
  <c r="FD220" i="4"/>
  <c r="FE220" i="4"/>
  <c r="FF220" i="4"/>
  <c r="FG220" i="4"/>
  <c r="FH220" i="4"/>
  <c r="FI220" i="4"/>
  <c r="FJ220" i="4"/>
  <c r="FK220" i="4"/>
  <c r="FL220" i="4"/>
  <c r="FM220" i="4"/>
  <c r="FN220" i="4"/>
  <c r="FO220" i="4"/>
  <c r="FP220" i="4"/>
  <c r="FQ220" i="4"/>
  <c r="FR220" i="4"/>
  <c r="FS220" i="4"/>
  <c r="FT220" i="4"/>
  <c r="FU220" i="4"/>
  <c r="FV220" i="4"/>
  <c r="FW220" i="4"/>
  <c r="FX220" i="4"/>
  <c r="FY220" i="4"/>
  <c r="FZ220" i="4"/>
  <c r="GA220" i="4"/>
  <c r="GB220" i="4"/>
  <c r="GC220" i="4"/>
  <c r="GD220" i="4"/>
  <c r="GE220" i="4"/>
  <c r="GF220" i="4"/>
  <c r="GG220" i="4"/>
  <c r="GH220" i="4"/>
  <c r="GI220" i="4"/>
  <c r="GJ220" i="4"/>
  <c r="GK220" i="4"/>
  <c r="GL220" i="4"/>
  <c r="GM220" i="4"/>
  <c r="GN220" i="4"/>
  <c r="GO220" i="4"/>
  <c r="GP220" i="4"/>
  <c r="GQ220" i="4"/>
  <c r="GR220" i="4"/>
  <c r="GS220" i="4"/>
  <c r="GT220" i="4"/>
  <c r="GU220" i="4"/>
  <c r="GV220" i="4"/>
  <c r="GW220" i="4"/>
  <c r="GX220" i="4"/>
  <c r="GY220" i="4"/>
  <c r="GZ220" i="4"/>
  <c r="HA220" i="4"/>
  <c r="HB220" i="4"/>
  <c r="HC220" i="4"/>
  <c r="HD220" i="4"/>
  <c r="HE220" i="4"/>
  <c r="HF220" i="4"/>
  <c r="HG220" i="4"/>
  <c r="HH220" i="4"/>
  <c r="HI220" i="4"/>
  <c r="HJ220" i="4"/>
  <c r="HK220" i="4"/>
  <c r="HL220" i="4"/>
  <c r="HM220" i="4"/>
  <c r="HN220" i="4"/>
  <c r="HO220" i="4"/>
  <c r="HP220" i="4"/>
  <c r="HQ220" i="4"/>
  <c r="HR220" i="4"/>
  <c r="HS220" i="4"/>
  <c r="HT220" i="4"/>
  <c r="HU220" i="4"/>
  <c r="HV220" i="4"/>
  <c r="HW220" i="4"/>
  <c r="HX220" i="4"/>
  <c r="HY220" i="4"/>
  <c r="HZ220" i="4"/>
  <c r="IA220" i="4"/>
  <c r="IB220" i="4"/>
  <c r="IC220" i="4"/>
  <c r="ID220" i="4"/>
  <c r="IE220" i="4"/>
  <c r="IF220" i="4"/>
  <c r="IG220" i="4"/>
  <c r="IH220" i="4"/>
  <c r="II220" i="4"/>
  <c r="IJ220" i="4"/>
  <c r="IK220" i="4"/>
  <c r="IL220" i="4"/>
  <c r="IM220" i="4"/>
  <c r="IN220" i="4"/>
  <c r="IO220" i="4"/>
  <c r="IP220" i="4"/>
  <c r="IQ220" i="4"/>
  <c r="IR220" i="4"/>
  <c r="IS220" i="4"/>
  <c r="IT220" i="4"/>
  <c r="IU220" i="4"/>
  <c r="IV220" i="4"/>
  <c r="A219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AD219" i="4"/>
  <c r="AE219" i="4"/>
  <c r="AF219" i="4"/>
  <c r="AG219" i="4"/>
  <c r="AH219" i="4"/>
  <c r="AI219" i="4"/>
  <c r="AJ219" i="4"/>
  <c r="AK219" i="4"/>
  <c r="AL219" i="4"/>
  <c r="AM219" i="4"/>
  <c r="AN219" i="4"/>
  <c r="AO219" i="4"/>
  <c r="AP219" i="4"/>
  <c r="AQ219" i="4"/>
  <c r="AR219" i="4"/>
  <c r="AS219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U219" i="4"/>
  <c r="CV219" i="4"/>
  <c r="CW219" i="4"/>
  <c r="CX219" i="4"/>
  <c r="CY219" i="4"/>
  <c r="CZ219" i="4"/>
  <c r="DA219" i="4"/>
  <c r="DB219" i="4"/>
  <c r="DC219" i="4"/>
  <c r="DD219" i="4"/>
  <c r="DE219" i="4"/>
  <c r="DF219" i="4"/>
  <c r="DG219" i="4"/>
  <c r="DH219" i="4"/>
  <c r="DI219" i="4"/>
  <c r="DJ219" i="4"/>
  <c r="DK219" i="4"/>
  <c r="DL219" i="4"/>
  <c r="DM219" i="4"/>
  <c r="DN219" i="4"/>
  <c r="DO219" i="4"/>
  <c r="DP219" i="4"/>
  <c r="DQ219" i="4"/>
  <c r="DR219" i="4"/>
  <c r="DS219" i="4"/>
  <c r="DT219" i="4"/>
  <c r="DU219" i="4"/>
  <c r="DV219" i="4"/>
  <c r="DW219" i="4"/>
  <c r="DX219" i="4"/>
  <c r="DY219" i="4"/>
  <c r="DZ219" i="4"/>
  <c r="EA219" i="4"/>
  <c r="EB219" i="4"/>
  <c r="EC219" i="4"/>
  <c r="ED219" i="4"/>
  <c r="EE219" i="4"/>
  <c r="EF219" i="4"/>
  <c r="EG219" i="4"/>
  <c r="EH219" i="4"/>
  <c r="EI219" i="4"/>
  <c r="EJ219" i="4"/>
  <c r="EK219" i="4"/>
  <c r="EL219" i="4"/>
  <c r="EM219" i="4"/>
  <c r="EN219" i="4"/>
  <c r="EO219" i="4"/>
  <c r="EP219" i="4"/>
  <c r="EQ219" i="4"/>
  <c r="ER219" i="4"/>
  <c r="ES219" i="4"/>
  <c r="ET219" i="4"/>
  <c r="EU219" i="4"/>
  <c r="EV219" i="4"/>
  <c r="EW219" i="4"/>
  <c r="EX219" i="4"/>
  <c r="EY219" i="4"/>
  <c r="EZ219" i="4"/>
  <c r="FA219" i="4"/>
  <c r="FB219" i="4"/>
  <c r="FC219" i="4"/>
  <c r="FD219" i="4"/>
  <c r="FE219" i="4"/>
  <c r="FF219" i="4"/>
  <c r="FG219" i="4"/>
  <c r="FH219" i="4"/>
  <c r="FI219" i="4"/>
  <c r="FJ219" i="4"/>
  <c r="FK219" i="4"/>
  <c r="FL219" i="4"/>
  <c r="FM219" i="4"/>
  <c r="FN219" i="4"/>
  <c r="FO219" i="4"/>
  <c r="FP219" i="4"/>
  <c r="FQ219" i="4"/>
  <c r="FR219" i="4"/>
  <c r="FS219" i="4"/>
  <c r="FT219" i="4"/>
  <c r="FU219" i="4"/>
  <c r="FV219" i="4"/>
  <c r="FW219" i="4"/>
  <c r="FX219" i="4"/>
  <c r="FY219" i="4"/>
  <c r="FZ219" i="4"/>
  <c r="GA219" i="4"/>
  <c r="GB219" i="4"/>
  <c r="GC219" i="4"/>
  <c r="GD219" i="4"/>
  <c r="GE219" i="4"/>
  <c r="GF219" i="4"/>
  <c r="GG219" i="4"/>
  <c r="GH219" i="4"/>
  <c r="GI219" i="4"/>
  <c r="GJ219" i="4"/>
  <c r="GK219" i="4"/>
  <c r="GL219" i="4"/>
  <c r="GM219" i="4"/>
  <c r="GN219" i="4"/>
  <c r="GO219" i="4"/>
  <c r="GP219" i="4"/>
  <c r="GQ219" i="4"/>
  <c r="GR219" i="4"/>
  <c r="GS219" i="4"/>
  <c r="GT219" i="4"/>
  <c r="GU219" i="4"/>
  <c r="GV219" i="4"/>
  <c r="GW219" i="4"/>
  <c r="GX219" i="4"/>
  <c r="GY219" i="4"/>
  <c r="GZ219" i="4"/>
  <c r="HA219" i="4"/>
  <c r="HB219" i="4"/>
  <c r="HC219" i="4"/>
  <c r="HD219" i="4"/>
  <c r="HE219" i="4"/>
  <c r="HF219" i="4"/>
  <c r="HG219" i="4"/>
  <c r="HH219" i="4"/>
  <c r="HI219" i="4"/>
  <c r="HJ219" i="4"/>
  <c r="HK219" i="4"/>
  <c r="HL219" i="4"/>
  <c r="HM219" i="4"/>
  <c r="HN219" i="4"/>
  <c r="HO219" i="4"/>
  <c r="HP219" i="4"/>
  <c r="HQ219" i="4"/>
  <c r="HR219" i="4"/>
  <c r="HS219" i="4"/>
  <c r="HT219" i="4"/>
  <c r="HU219" i="4"/>
  <c r="HV219" i="4"/>
  <c r="HW219" i="4"/>
  <c r="HX219" i="4"/>
  <c r="HY219" i="4"/>
  <c r="HZ219" i="4"/>
  <c r="IA219" i="4"/>
  <c r="IB219" i="4"/>
  <c r="IC219" i="4"/>
  <c r="ID219" i="4"/>
  <c r="IE219" i="4"/>
  <c r="IF219" i="4"/>
  <c r="IG219" i="4"/>
  <c r="IH219" i="4"/>
  <c r="II219" i="4"/>
  <c r="IJ219" i="4"/>
  <c r="IK219" i="4"/>
  <c r="IL219" i="4"/>
  <c r="IM219" i="4"/>
  <c r="IN219" i="4"/>
  <c r="IO219" i="4"/>
  <c r="IP219" i="4"/>
  <c r="IQ219" i="4"/>
  <c r="IR219" i="4"/>
  <c r="IS219" i="4"/>
  <c r="IT219" i="4"/>
  <c r="IU219" i="4"/>
  <c r="IV219" i="4"/>
  <c r="A218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AF218" i="4"/>
  <c r="AG218" i="4"/>
  <c r="AH218" i="4"/>
  <c r="AI218" i="4"/>
  <c r="AJ218" i="4"/>
  <c r="AK218" i="4"/>
  <c r="AL218" i="4"/>
  <c r="AM218" i="4"/>
  <c r="AN218" i="4"/>
  <c r="AO218" i="4"/>
  <c r="AP218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BF218" i="4"/>
  <c r="BG218" i="4"/>
  <c r="BH218" i="4"/>
  <c r="BI218" i="4"/>
  <c r="BJ218" i="4"/>
  <c r="BK218" i="4"/>
  <c r="BL218" i="4"/>
  <c r="BM218" i="4"/>
  <c r="BN218" i="4"/>
  <c r="BO218" i="4"/>
  <c r="BP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U218" i="4"/>
  <c r="CV218" i="4"/>
  <c r="CW218" i="4"/>
  <c r="CX218" i="4"/>
  <c r="CY218" i="4"/>
  <c r="CZ218" i="4"/>
  <c r="DA218" i="4"/>
  <c r="DB218" i="4"/>
  <c r="DC218" i="4"/>
  <c r="DD218" i="4"/>
  <c r="DE218" i="4"/>
  <c r="DF218" i="4"/>
  <c r="DG218" i="4"/>
  <c r="DH218" i="4"/>
  <c r="DI218" i="4"/>
  <c r="DJ218" i="4"/>
  <c r="DK218" i="4"/>
  <c r="DL218" i="4"/>
  <c r="DM218" i="4"/>
  <c r="DN218" i="4"/>
  <c r="DO218" i="4"/>
  <c r="DP218" i="4"/>
  <c r="DQ218" i="4"/>
  <c r="DR218" i="4"/>
  <c r="DS218" i="4"/>
  <c r="DT218" i="4"/>
  <c r="DU218" i="4"/>
  <c r="DV218" i="4"/>
  <c r="DW218" i="4"/>
  <c r="DX218" i="4"/>
  <c r="DY218" i="4"/>
  <c r="DZ218" i="4"/>
  <c r="EA218" i="4"/>
  <c r="EB218" i="4"/>
  <c r="EC218" i="4"/>
  <c r="ED218" i="4"/>
  <c r="EE218" i="4"/>
  <c r="EF218" i="4"/>
  <c r="EG218" i="4"/>
  <c r="EH218" i="4"/>
  <c r="EI218" i="4"/>
  <c r="EJ218" i="4"/>
  <c r="EK218" i="4"/>
  <c r="EL218" i="4"/>
  <c r="EM218" i="4"/>
  <c r="EN218" i="4"/>
  <c r="EO218" i="4"/>
  <c r="EP218" i="4"/>
  <c r="EQ218" i="4"/>
  <c r="ER218" i="4"/>
  <c r="ES218" i="4"/>
  <c r="ET218" i="4"/>
  <c r="EU218" i="4"/>
  <c r="EV218" i="4"/>
  <c r="EW218" i="4"/>
  <c r="EX218" i="4"/>
  <c r="EY218" i="4"/>
  <c r="EZ218" i="4"/>
  <c r="FA218" i="4"/>
  <c r="FB218" i="4"/>
  <c r="FC218" i="4"/>
  <c r="FD218" i="4"/>
  <c r="FE218" i="4"/>
  <c r="FF218" i="4"/>
  <c r="FG218" i="4"/>
  <c r="FH218" i="4"/>
  <c r="FI218" i="4"/>
  <c r="FJ218" i="4"/>
  <c r="FK218" i="4"/>
  <c r="FL218" i="4"/>
  <c r="FM218" i="4"/>
  <c r="FN218" i="4"/>
  <c r="FO218" i="4"/>
  <c r="FP218" i="4"/>
  <c r="FQ218" i="4"/>
  <c r="FR218" i="4"/>
  <c r="FS218" i="4"/>
  <c r="FT218" i="4"/>
  <c r="FU218" i="4"/>
  <c r="FV218" i="4"/>
  <c r="FW218" i="4"/>
  <c r="FX218" i="4"/>
  <c r="FY218" i="4"/>
  <c r="FZ218" i="4"/>
  <c r="GA218" i="4"/>
  <c r="GB218" i="4"/>
  <c r="GC218" i="4"/>
  <c r="GD218" i="4"/>
  <c r="GE218" i="4"/>
  <c r="GF218" i="4"/>
  <c r="GG218" i="4"/>
  <c r="GH218" i="4"/>
  <c r="GI218" i="4"/>
  <c r="GJ218" i="4"/>
  <c r="GK218" i="4"/>
  <c r="GL218" i="4"/>
  <c r="GM218" i="4"/>
  <c r="GN218" i="4"/>
  <c r="GO218" i="4"/>
  <c r="GP218" i="4"/>
  <c r="GQ218" i="4"/>
  <c r="GR218" i="4"/>
  <c r="GS218" i="4"/>
  <c r="GT218" i="4"/>
  <c r="GU218" i="4"/>
  <c r="GV218" i="4"/>
  <c r="GW218" i="4"/>
  <c r="GX218" i="4"/>
  <c r="GY218" i="4"/>
  <c r="GZ218" i="4"/>
  <c r="HA218" i="4"/>
  <c r="HB218" i="4"/>
  <c r="HC218" i="4"/>
  <c r="HD218" i="4"/>
  <c r="HE218" i="4"/>
  <c r="HF218" i="4"/>
  <c r="HG218" i="4"/>
  <c r="HH218" i="4"/>
  <c r="HI218" i="4"/>
  <c r="HJ218" i="4"/>
  <c r="HK218" i="4"/>
  <c r="HL218" i="4"/>
  <c r="HM218" i="4"/>
  <c r="HN218" i="4"/>
  <c r="HO218" i="4"/>
  <c r="HP218" i="4"/>
  <c r="HQ218" i="4"/>
  <c r="HR218" i="4"/>
  <c r="HS218" i="4"/>
  <c r="HT218" i="4"/>
  <c r="HU218" i="4"/>
  <c r="HV218" i="4"/>
  <c r="HW218" i="4"/>
  <c r="HX218" i="4"/>
  <c r="HY218" i="4"/>
  <c r="HZ218" i="4"/>
  <c r="IA218" i="4"/>
  <c r="IB218" i="4"/>
  <c r="IC218" i="4"/>
  <c r="ID218" i="4"/>
  <c r="IE218" i="4"/>
  <c r="IF218" i="4"/>
  <c r="IG218" i="4"/>
  <c r="IH218" i="4"/>
  <c r="II218" i="4"/>
  <c r="IJ218" i="4"/>
  <c r="IK218" i="4"/>
  <c r="IL218" i="4"/>
  <c r="IM218" i="4"/>
  <c r="IN218" i="4"/>
  <c r="IO218" i="4"/>
  <c r="IP218" i="4"/>
  <c r="IQ218" i="4"/>
  <c r="IR218" i="4"/>
  <c r="IS218" i="4"/>
  <c r="IT218" i="4"/>
  <c r="IU218" i="4"/>
  <c r="IV218" i="4"/>
  <c r="A217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AD217" i="4"/>
  <c r="AE217" i="4"/>
  <c r="AF217" i="4"/>
  <c r="AG217" i="4"/>
  <c r="AH217" i="4"/>
  <c r="AI217" i="4"/>
  <c r="AJ217" i="4"/>
  <c r="AK217" i="4"/>
  <c r="AL217" i="4"/>
  <c r="AM217" i="4"/>
  <c r="AN217" i="4"/>
  <c r="AO217" i="4"/>
  <c r="AP217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BF217" i="4"/>
  <c r="BG217" i="4"/>
  <c r="BH217" i="4"/>
  <c r="BI217" i="4"/>
  <c r="BJ217" i="4"/>
  <c r="BK217" i="4"/>
  <c r="BL217" i="4"/>
  <c r="BM217" i="4"/>
  <c r="BN217" i="4"/>
  <c r="BO217" i="4"/>
  <c r="BP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U217" i="4"/>
  <c r="CV217" i="4"/>
  <c r="CW217" i="4"/>
  <c r="CX217" i="4"/>
  <c r="CY217" i="4"/>
  <c r="CZ217" i="4"/>
  <c r="DA217" i="4"/>
  <c r="DB217" i="4"/>
  <c r="DC217" i="4"/>
  <c r="DD217" i="4"/>
  <c r="DE217" i="4"/>
  <c r="DF217" i="4"/>
  <c r="DG217" i="4"/>
  <c r="DH217" i="4"/>
  <c r="DI217" i="4"/>
  <c r="DJ217" i="4"/>
  <c r="DK217" i="4"/>
  <c r="DL217" i="4"/>
  <c r="DM217" i="4"/>
  <c r="DN217" i="4"/>
  <c r="DO217" i="4"/>
  <c r="DP217" i="4"/>
  <c r="DQ217" i="4"/>
  <c r="DR217" i="4"/>
  <c r="DS217" i="4"/>
  <c r="DT217" i="4"/>
  <c r="DU217" i="4"/>
  <c r="DV217" i="4"/>
  <c r="DW217" i="4"/>
  <c r="DX217" i="4"/>
  <c r="DY217" i="4"/>
  <c r="DZ217" i="4"/>
  <c r="EA217" i="4"/>
  <c r="EB217" i="4"/>
  <c r="EC217" i="4"/>
  <c r="ED217" i="4"/>
  <c r="EE217" i="4"/>
  <c r="EF217" i="4"/>
  <c r="EG217" i="4"/>
  <c r="EH217" i="4"/>
  <c r="EI217" i="4"/>
  <c r="EJ217" i="4"/>
  <c r="EK217" i="4"/>
  <c r="EL217" i="4"/>
  <c r="EM217" i="4"/>
  <c r="EN217" i="4"/>
  <c r="EO217" i="4"/>
  <c r="EP217" i="4"/>
  <c r="EQ217" i="4"/>
  <c r="ER217" i="4"/>
  <c r="ES217" i="4"/>
  <c r="ET217" i="4"/>
  <c r="EU217" i="4"/>
  <c r="EV217" i="4"/>
  <c r="EW217" i="4"/>
  <c r="EX217" i="4"/>
  <c r="EY217" i="4"/>
  <c r="EZ217" i="4"/>
  <c r="FA217" i="4"/>
  <c r="FB217" i="4"/>
  <c r="FC217" i="4"/>
  <c r="FD217" i="4"/>
  <c r="FE217" i="4"/>
  <c r="FF217" i="4"/>
  <c r="FG217" i="4"/>
  <c r="FH217" i="4"/>
  <c r="FI217" i="4"/>
  <c r="FJ217" i="4"/>
  <c r="FK217" i="4"/>
  <c r="FL217" i="4"/>
  <c r="FM217" i="4"/>
  <c r="FN217" i="4"/>
  <c r="FO217" i="4"/>
  <c r="FP217" i="4"/>
  <c r="FQ217" i="4"/>
  <c r="FR217" i="4"/>
  <c r="FS217" i="4"/>
  <c r="FT217" i="4"/>
  <c r="FU217" i="4"/>
  <c r="FV217" i="4"/>
  <c r="FW217" i="4"/>
  <c r="FX217" i="4"/>
  <c r="FY217" i="4"/>
  <c r="FZ217" i="4"/>
  <c r="GA217" i="4"/>
  <c r="GB217" i="4"/>
  <c r="GC217" i="4"/>
  <c r="GD217" i="4"/>
  <c r="GE217" i="4"/>
  <c r="GF217" i="4"/>
  <c r="GG217" i="4"/>
  <c r="GH217" i="4"/>
  <c r="GI217" i="4"/>
  <c r="GJ217" i="4"/>
  <c r="GK217" i="4"/>
  <c r="GL217" i="4"/>
  <c r="GM217" i="4"/>
  <c r="GN217" i="4"/>
  <c r="GO217" i="4"/>
  <c r="GP217" i="4"/>
  <c r="GQ217" i="4"/>
  <c r="GR217" i="4"/>
  <c r="GS217" i="4"/>
  <c r="GT217" i="4"/>
  <c r="GU217" i="4"/>
  <c r="GV217" i="4"/>
  <c r="GW217" i="4"/>
  <c r="GX217" i="4"/>
  <c r="GY217" i="4"/>
  <c r="GZ217" i="4"/>
  <c r="HA217" i="4"/>
  <c r="HB217" i="4"/>
  <c r="HC217" i="4"/>
  <c r="HD217" i="4"/>
  <c r="HE217" i="4"/>
  <c r="HF217" i="4"/>
  <c r="HG217" i="4"/>
  <c r="HH217" i="4"/>
  <c r="HI217" i="4"/>
  <c r="HJ217" i="4"/>
  <c r="HK217" i="4"/>
  <c r="HL217" i="4"/>
  <c r="HM217" i="4"/>
  <c r="HN217" i="4"/>
  <c r="HO217" i="4"/>
  <c r="HP217" i="4"/>
  <c r="HQ217" i="4"/>
  <c r="HR217" i="4"/>
  <c r="HS217" i="4"/>
  <c r="HT217" i="4"/>
  <c r="HU217" i="4"/>
  <c r="HV217" i="4"/>
  <c r="HW217" i="4"/>
  <c r="HX217" i="4"/>
  <c r="HY217" i="4"/>
  <c r="HZ217" i="4"/>
  <c r="IA217" i="4"/>
  <c r="IB217" i="4"/>
  <c r="IC217" i="4"/>
  <c r="ID217" i="4"/>
  <c r="IE217" i="4"/>
  <c r="IF217" i="4"/>
  <c r="IG217" i="4"/>
  <c r="IH217" i="4"/>
  <c r="II217" i="4"/>
  <c r="IJ217" i="4"/>
  <c r="IK217" i="4"/>
  <c r="IL217" i="4"/>
  <c r="IM217" i="4"/>
  <c r="IN217" i="4"/>
  <c r="IO217" i="4"/>
  <c r="IP217" i="4"/>
  <c r="IQ217" i="4"/>
  <c r="IR217" i="4"/>
  <c r="IS217" i="4"/>
  <c r="IT217" i="4"/>
  <c r="IU217" i="4"/>
  <c r="IV217" i="4"/>
  <c r="A216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AD216" i="4"/>
  <c r="AE216" i="4"/>
  <c r="AF216" i="4"/>
  <c r="AG216" i="4"/>
  <c r="AH216" i="4"/>
  <c r="AI216" i="4"/>
  <c r="AJ216" i="4"/>
  <c r="AK216" i="4"/>
  <c r="AL216" i="4"/>
  <c r="AM216" i="4"/>
  <c r="AN216" i="4"/>
  <c r="AO216" i="4"/>
  <c r="AP216" i="4"/>
  <c r="AQ216" i="4"/>
  <c r="AR216" i="4"/>
  <c r="AS216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BF216" i="4"/>
  <c r="BG216" i="4"/>
  <c r="BH216" i="4"/>
  <c r="BI216" i="4"/>
  <c r="BJ216" i="4"/>
  <c r="BK216" i="4"/>
  <c r="BL216" i="4"/>
  <c r="BM216" i="4"/>
  <c r="BN216" i="4"/>
  <c r="BO216" i="4"/>
  <c r="BP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U216" i="4"/>
  <c r="CV216" i="4"/>
  <c r="CW216" i="4"/>
  <c r="CX216" i="4"/>
  <c r="CY216" i="4"/>
  <c r="CZ216" i="4"/>
  <c r="DA216" i="4"/>
  <c r="DB216" i="4"/>
  <c r="DC216" i="4"/>
  <c r="DD216" i="4"/>
  <c r="DE216" i="4"/>
  <c r="DF216" i="4"/>
  <c r="DG216" i="4"/>
  <c r="DH216" i="4"/>
  <c r="DI216" i="4"/>
  <c r="DJ216" i="4"/>
  <c r="DK216" i="4"/>
  <c r="DL216" i="4"/>
  <c r="DM216" i="4"/>
  <c r="DN216" i="4"/>
  <c r="DO216" i="4"/>
  <c r="DP216" i="4"/>
  <c r="DQ216" i="4"/>
  <c r="DR216" i="4"/>
  <c r="DS216" i="4"/>
  <c r="DT216" i="4"/>
  <c r="DU216" i="4"/>
  <c r="DV216" i="4"/>
  <c r="DW216" i="4"/>
  <c r="DX216" i="4"/>
  <c r="DY216" i="4"/>
  <c r="DZ216" i="4"/>
  <c r="EA216" i="4"/>
  <c r="EB216" i="4"/>
  <c r="EC216" i="4"/>
  <c r="ED216" i="4"/>
  <c r="EE216" i="4"/>
  <c r="EF216" i="4"/>
  <c r="EG216" i="4"/>
  <c r="EH216" i="4"/>
  <c r="EI216" i="4"/>
  <c r="EJ216" i="4"/>
  <c r="EK216" i="4"/>
  <c r="EL216" i="4"/>
  <c r="EM216" i="4"/>
  <c r="EN216" i="4"/>
  <c r="EO216" i="4"/>
  <c r="EP216" i="4"/>
  <c r="EQ216" i="4"/>
  <c r="ER216" i="4"/>
  <c r="ES216" i="4"/>
  <c r="ET216" i="4"/>
  <c r="EU216" i="4"/>
  <c r="EV216" i="4"/>
  <c r="EW216" i="4"/>
  <c r="EX216" i="4"/>
  <c r="EY216" i="4"/>
  <c r="EZ216" i="4"/>
  <c r="FA216" i="4"/>
  <c r="FB216" i="4"/>
  <c r="FC216" i="4"/>
  <c r="FD216" i="4"/>
  <c r="FE216" i="4"/>
  <c r="FF216" i="4"/>
  <c r="FG216" i="4"/>
  <c r="FH216" i="4"/>
  <c r="FI216" i="4"/>
  <c r="FJ216" i="4"/>
  <c r="FK216" i="4"/>
  <c r="FL216" i="4"/>
  <c r="FM216" i="4"/>
  <c r="FN216" i="4"/>
  <c r="FO216" i="4"/>
  <c r="FP216" i="4"/>
  <c r="FQ216" i="4"/>
  <c r="FR216" i="4"/>
  <c r="FS216" i="4"/>
  <c r="FT216" i="4"/>
  <c r="FU216" i="4"/>
  <c r="FV216" i="4"/>
  <c r="FW216" i="4"/>
  <c r="FX216" i="4"/>
  <c r="FY216" i="4"/>
  <c r="FZ216" i="4"/>
  <c r="GA216" i="4"/>
  <c r="GB216" i="4"/>
  <c r="GC216" i="4"/>
  <c r="GD216" i="4"/>
  <c r="GE216" i="4"/>
  <c r="GF216" i="4"/>
  <c r="GG216" i="4"/>
  <c r="GH216" i="4"/>
  <c r="GI216" i="4"/>
  <c r="GJ216" i="4"/>
  <c r="GK216" i="4"/>
  <c r="GL216" i="4"/>
  <c r="GM216" i="4"/>
  <c r="GN216" i="4"/>
  <c r="GO216" i="4"/>
  <c r="GP216" i="4"/>
  <c r="GQ216" i="4"/>
  <c r="GR216" i="4"/>
  <c r="GS216" i="4"/>
  <c r="GT216" i="4"/>
  <c r="GU216" i="4"/>
  <c r="GV216" i="4"/>
  <c r="GW216" i="4"/>
  <c r="GX216" i="4"/>
  <c r="GY216" i="4"/>
  <c r="GZ216" i="4"/>
  <c r="HA216" i="4"/>
  <c r="HB216" i="4"/>
  <c r="HC216" i="4"/>
  <c r="HD216" i="4"/>
  <c r="HE216" i="4"/>
  <c r="HF216" i="4"/>
  <c r="HG216" i="4"/>
  <c r="HH216" i="4"/>
  <c r="HI216" i="4"/>
  <c r="HJ216" i="4"/>
  <c r="HK216" i="4"/>
  <c r="HL216" i="4"/>
  <c r="HM216" i="4"/>
  <c r="HN216" i="4"/>
  <c r="HO216" i="4"/>
  <c r="HP216" i="4"/>
  <c r="HQ216" i="4"/>
  <c r="HR216" i="4"/>
  <c r="HS216" i="4"/>
  <c r="HT216" i="4"/>
  <c r="HU216" i="4"/>
  <c r="HV216" i="4"/>
  <c r="HW216" i="4"/>
  <c r="HX216" i="4"/>
  <c r="HY216" i="4"/>
  <c r="HZ216" i="4"/>
  <c r="IA216" i="4"/>
  <c r="IB216" i="4"/>
  <c r="IC216" i="4"/>
  <c r="ID216" i="4"/>
  <c r="IE216" i="4"/>
  <c r="IF216" i="4"/>
  <c r="IG216" i="4"/>
  <c r="IH216" i="4"/>
  <c r="II216" i="4"/>
  <c r="IJ216" i="4"/>
  <c r="IK216" i="4"/>
  <c r="IL216" i="4"/>
  <c r="IM216" i="4"/>
  <c r="IN216" i="4"/>
  <c r="IO216" i="4"/>
  <c r="IP216" i="4"/>
  <c r="IQ216" i="4"/>
  <c r="IR216" i="4"/>
  <c r="IS216" i="4"/>
  <c r="IT216" i="4"/>
  <c r="IU216" i="4"/>
  <c r="IV216" i="4"/>
  <c r="A215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I215" i="4"/>
  <c r="AJ215" i="4"/>
  <c r="AK215" i="4"/>
  <c r="AL215" i="4"/>
  <c r="AM215" i="4"/>
  <c r="AN215" i="4"/>
  <c r="AO215" i="4"/>
  <c r="AP215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R215" i="4"/>
  <c r="BS215" i="4"/>
  <c r="BT215" i="4"/>
  <c r="BU215" i="4"/>
  <c r="BV215" i="4"/>
  <c r="BW215" i="4"/>
  <c r="BX215" i="4"/>
  <c r="BY215" i="4"/>
  <c r="BZ215" i="4"/>
  <c r="CA215" i="4"/>
  <c r="CB215" i="4"/>
  <c r="CC215" i="4"/>
  <c r="CD215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U215" i="4"/>
  <c r="CV215" i="4"/>
  <c r="CW215" i="4"/>
  <c r="CX215" i="4"/>
  <c r="CY215" i="4"/>
  <c r="CZ215" i="4"/>
  <c r="DA215" i="4"/>
  <c r="DB215" i="4"/>
  <c r="DC215" i="4"/>
  <c r="DD215" i="4"/>
  <c r="DE215" i="4"/>
  <c r="DF215" i="4"/>
  <c r="DG215" i="4"/>
  <c r="DH215" i="4"/>
  <c r="DI215" i="4"/>
  <c r="DJ215" i="4"/>
  <c r="DK215" i="4"/>
  <c r="DL215" i="4"/>
  <c r="DM215" i="4"/>
  <c r="DN215" i="4"/>
  <c r="DO215" i="4"/>
  <c r="DP215" i="4"/>
  <c r="DQ215" i="4"/>
  <c r="DR215" i="4"/>
  <c r="DS215" i="4"/>
  <c r="DT215" i="4"/>
  <c r="DU215" i="4"/>
  <c r="DV215" i="4"/>
  <c r="DW215" i="4"/>
  <c r="DX215" i="4"/>
  <c r="DY215" i="4"/>
  <c r="DZ215" i="4"/>
  <c r="EA215" i="4"/>
  <c r="EB215" i="4"/>
  <c r="EC215" i="4"/>
  <c r="ED215" i="4"/>
  <c r="EE215" i="4"/>
  <c r="EF215" i="4"/>
  <c r="EG215" i="4"/>
  <c r="EH215" i="4"/>
  <c r="EI215" i="4"/>
  <c r="EJ215" i="4"/>
  <c r="EK215" i="4"/>
  <c r="EL215" i="4"/>
  <c r="EM215" i="4"/>
  <c r="EN215" i="4"/>
  <c r="EO215" i="4"/>
  <c r="EP215" i="4"/>
  <c r="EQ215" i="4"/>
  <c r="ER215" i="4"/>
  <c r="ES215" i="4"/>
  <c r="ET215" i="4"/>
  <c r="EU215" i="4"/>
  <c r="EV215" i="4"/>
  <c r="EW215" i="4"/>
  <c r="EX215" i="4"/>
  <c r="EY215" i="4"/>
  <c r="EZ215" i="4"/>
  <c r="FA215" i="4"/>
  <c r="FB215" i="4"/>
  <c r="FC215" i="4"/>
  <c r="FD215" i="4"/>
  <c r="FE215" i="4"/>
  <c r="FF215" i="4"/>
  <c r="FG215" i="4"/>
  <c r="FH215" i="4"/>
  <c r="FI215" i="4"/>
  <c r="FJ215" i="4"/>
  <c r="FK215" i="4"/>
  <c r="FL215" i="4"/>
  <c r="FM215" i="4"/>
  <c r="FN215" i="4"/>
  <c r="FO215" i="4"/>
  <c r="FP215" i="4"/>
  <c r="FQ215" i="4"/>
  <c r="FR215" i="4"/>
  <c r="FS215" i="4"/>
  <c r="FT215" i="4"/>
  <c r="FU215" i="4"/>
  <c r="FV215" i="4"/>
  <c r="FW215" i="4"/>
  <c r="FX215" i="4"/>
  <c r="FY215" i="4"/>
  <c r="FZ215" i="4"/>
  <c r="GA215" i="4"/>
  <c r="GB215" i="4"/>
  <c r="GC215" i="4"/>
  <c r="GD215" i="4"/>
  <c r="GE215" i="4"/>
  <c r="GF215" i="4"/>
  <c r="GG215" i="4"/>
  <c r="GH215" i="4"/>
  <c r="GI215" i="4"/>
  <c r="GJ215" i="4"/>
  <c r="GK215" i="4"/>
  <c r="GL215" i="4"/>
  <c r="GM215" i="4"/>
  <c r="GN215" i="4"/>
  <c r="GO215" i="4"/>
  <c r="GP215" i="4"/>
  <c r="GQ215" i="4"/>
  <c r="GR215" i="4"/>
  <c r="GS215" i="4"/>
  <c r="GT215" i="4"/>
  <c r="GU215" i="4"/>
  <c r="GV215" i="4"/>
  <c r="GW215" i="4"/>
  <c r="GX215" i="4"/>
  <c r="GY215" i="4"/>
  <c r="GZ215" i="4"/>
  <c r="HA215" i="4"/>
  <c r="HB215" i="4"/>
  <c r="HC215" i="4"/>
  <c r="HD215" i="4"/>
  <c r="HE215" i="4"/>
  <c r="HF215" i="4"/>
  <c r="HG215" i="4"/>
  <c r="HH215" i="4"/>
  <c r="HI215" i="4"/>
  <c r="HJ215" i="4"/>
  <c r="HK215" i="4"/>
  <c r="HL215" i="4"/>
  <c r="HM215" i="4"/>
  <c r="HN215" i="4"/>
  <c r="HO215" i="4"/>
  <c r="HP215" i="4"/>
  <c r="HQ215" i="4"/>
  <c r="HR215" i="4"/>
  <c r="HS215" i="4"/>
  <c r="HT215" i="4"/>
  <c r="HU215" i="4"/>
  <c r="HV215" i="4"/>
  <c r="HW215" i="4"/>
  <c r="HX215" i="4"/>
  <c r="HY215" i="4"/>
  <c r="HZ215" i="4"/>
  <c r="IA215" i="4"/>
  <c r="IB215" i="4"/>
  <c r="IC215" i="4"/>
  <c r="ID215" i="4"/>
  <c r="IE215" i="4"/>
  <c r="IF215" i="4"/>
  <c r="IG215" i="4"/>
  <c r="IH215" i="4"/>
  <c r="II215" i="4"/>
  <c r="IJ215" i="4"/>
  <c r="IK215" i="4"/>
  <c r="IL215" i="4"/>
  <c r="IM215" i="4"/>
  <c r="IN215" i="4"/>
  <c r="IO215" i="4"/>
  <c r="IP215" i="4"/>
  <c r="IQ215" i="4"/>
  <c r="IR215" i="4"/>
  <c r="IS215" i="4"/>
  <c r="IT215" i="4"/>
  <c r="IU215" i="4"/>
  <c r="IV215" i="4"/>
  <c r="A214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DU214" i="4"/>
  <c r="DV214" i="4"/>
  <c r="DW214" i="4"/>
  <c r="DX214" i="4"/>
  <c r="DY214" i="4"/>
  <c r="DZ214" i="4"/>
  <c r="EA214" i="4"/>
  <c r="EB214" i="4"/>
  <c r="EC214" i="4"/>
  <c r="ED214" i="4"/>
  <c r="EE214" i="4"/>
  <c r="EF214" i="4"/>
  <c r="EG214" i="4"/>
  <c r="EH214" i="4"/>
  <c r="EI214" i="4"/>
  <c r="EJ214" i="4"/>
  <c r="EK214" i="4"/>
  <c r="EL214" i="4"/>
  <c r="EM214" i="4"/>
  <c r="EN214" i="4"/>
  <c r="EO214" i="4"/>
  <c r="EP214" i="4"/>
  <c r="EQ214" i="4"/>
  <c r="ER214" i="4"/>
  <c r="ES214" i="4"/>
  <c r="ET214" i="4"/>
  <c r="EU214" i="4"/>
  <c r="EV214" i="4"/>
  <c r="EW214" i="4"/>
  <c r="EX214" i="4"/>
  <c r="EY214" i="4"/>
  <c r="EZ214" i="4"/>
  <c r="FA214" i="4"/>
  <c r="FB214" i="4"/>
  <c r="FC214" i="4"/>
  <c r="FD214" i="4"/>
  <c r="FE214" i="4"/>
  <c r="FF214" i="4"/>
  <c r="FG214" i="4"/>
  <c r="FH214" i="4"/>
  <c r="FI214" i="4"/>
  <c r="FJ214" i="4"/>
  <c r="FK214" i="4"/>
  <c r="FL214" i="4"/>
  <c r="FM214" i="4"/>
  <c r="FN214" i="4"/>
  <c r="FO214" i="4"/>
  <c r="FP214" i="4"/>
  <c r="FQ214" i="4"/>
  <c r="FR214" i="4"/>
  <c r="FS214" i="4"/>
  <c r="FT214" i="4"/>
  <c r="FU214" i="4"/>
  <c r="FV214" i="4"/>
  <c r="FW214" i="4"/>
  <c r="FX214" i="4"/>
  <c r="FY214" i="4"/>
  <c r="FZ214" i="4"/>
  <c r="GA214" i="4"/>
  <c r="GB214" i="4"/>
  <c r="GC214" i="4"/>
  <c r="GD214" i="4"/>
  <c r="GE214" i="4"/>
  <c r="GF214" i="4"/>
  <c r="GG214" i="4"/>
  <c r="GH214" i="4"/>
  <c r="GI214" i="4"/>
  <c r="GJ214" i="4"/>
  <c r="GK214" i="4"/>
  <c r="GL214" i="4"/>
  <c r="GM214" i="4"/>
  <c r="GN214" i="4"/>
  <c r="GO214" i="4"/>
  <c r="GP214" i="4"/>
  <c r="GQ214" i="4"/>
  <c r="GR214" i="4"/>
  <c r="GS214" i="4"/>
  <c r="GT214" i="4"/>
  <c r="GU214" i="4"/>
  <c r="GV214" i="4"/>
  <c r="GW214" i="4"/>
  <c r="GX214" i="4"/>
  <c r="GY214" i="4"/>
  <c r="GZ214" i="4"/>
  <c r="HA214" i="4"/>
  <c r="HB214" i="4"/>
  <c r="HC214" i="4"/>
  <c r="HD214" i="4"/>
  <c r="HE214" i="4"/>
  <c r="HF214" i="4"/>
  <c r="HG214" i="4"/>
  <c r="HH214" i="4"/>
  <c r="HI214" i="4"/>
  <c r="HJ214" i="4"/>
  <c r="HK214" i="4"/>
  <c r="HL214" i="4"/>
  <c r="HM214" i="4"/>
  <c r="HN214" i="4"/>
  <c r="HO214" i="4"/>
  <c r="HP214" i="4"/>
  <c r="HQ214" i="4"/>
  <c r="HR214" i="4"/>
  <c r="HS214" i="4"/>
  <c r="HT214" i="4"/>
  <c r="HU214" i="4"/>
  <c r="HV214" i="4"/>
  <c r="HW214" i="4"/>
  <c r="HX214" i="4"/>
  <c r="HY214" i="4"/>
  <c r="HZ214" i="4"/>
  <c r="IA214" i="4"/>
  <c r="IB214" i="4"/>
  <c r="IC214" i="4"/>
  <c r="ID214" i="4"/>
  <c r="IE214" i="4"/>
  <c r="IF214" i="4"/>
  <c r="IG214" i="4"/>
  <c r="IH214" i="4"/>
  <c r="II214" i="4"/>
  <c r="IJ214" i="4"/>
  <c r="IK214" i="4"/>
  <c r="IL214" i="4"/>
  <c r="IM214" i="4"/>
  <c r="IN214" i="4"/>
  <c r="IO214" i="4"/>
  <c r="IP214" i="4"/>
  <c r="IQ214" i="4"/>
  <c r="IR214" i="4"/>
  <c r="IS214" i="4"/>
  <c r="IT214" i="4"/>
  <c r="IU214" i="4"/>
  <c r="IV214" i="4"/>
  <c r="A213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DU213" i="4"/>
  <c r="DV213" i="4"/>
  <c r="DW213" i="4"/>
  <c r="DX213" i="4"/>
  <c r="DY213" i="4"/>
  <c r="DZ213" i="4"/>
  <c r="EA213" i="4"/>
  <c r="EB213" i="4"/>
  <c r="EC213" i="4"/>
  <c r="ED213" i="4"/>
  <c r="EE213" i="4"/>
  <c r="EF213" i="4"/>
  <c r="EG213" i="4"/>
  <c r="EH213" i="4"/>
  <c r="EI213" i="4"/>
  <c r="EJ213" i="4"/>
  <c r="EK213" i="4"/>
  <c r="EL213" i="4"/>
  <c r="EM213" i="4"/>
  <c r="EN213" i="4"/>
  <c r="EO213" i="4"/>
  <c r="EP213" i="4"/>
  <c r="EQ213" i="4"/>
  <c r="ER213" i="4"/>
  <c r="ES213" i="4"/>
  <c r="ET213" i="4"/>
  <c r="EU213" i="4"/>
  <c r="EV213" i="4"/>
  <c r="EW213" i="4"/>
  <c r="EX213" i="4"/>
  <c r="EY213" i="4"/>
  <c r="EZ213" i="4"/>
  <c r="FA213" i="4"/>
  <c r="FB213" i="4"/>
  <c r="FC213" i="4"/>
  <c r="FD213" i="4"/>
  <c r="FE213" i="4"/>
  <c r="FF213" i="4"/>
  <c r="FG213" i="4"/>
  <c r="FH213" i="4"/>
  <c r="FI213" i="4"/>
  <c r="FJ213" i="4"/>
  <c r="FK213" i="4"/>
  <c r="FL213" i="4"/>
  <c r="FM213" i="4"/>
  <c r="FN213" i="4"/>
  <c r="FO213" i="4"/>
  <c r="FP213" i="4"/>
  <c r="FQ213" i="4"/>
  <c r="FR213" i="4"/>
  <c r="FS213" i="4"/>
  <c r="FT213" i="4"/>
  <c r="FU213" i="4"/>
  <c r="FV213" i="4"/>
  <c r="FW213" i="4"/>
  <c r="FX213" i="4"/>
  <c r="FY213" i="4"/>
  <c r="FZ213" i="4"/>
  <c r="GA213" i="4"/>
  <c r="GB213" i="4"/>
  <c r="GC213" i="4"/>
  <c r="GD213" i="4"/>
  <c r="GE213" i="4"/>
  <c r="GF213" i="4"/>
  <c r="GG213" i="4"/>
  <c r="GH213" i="4"/>
  <c r="GI213" i="4"/>
  <c r="GJ213" i="4"/>
  <c r="GK213" i="4"/>
  <c r="GL213" i="4"/>
  <c r="GM213" i="4"/>
  <c r="GN213" i="4"/>
  <c r="GO213" i="4"/>
  <c r="GP213" i="4"/>
  <c r="GQ213" i="4"/>
  <c r="GR213" i="4"/>
  <c r="GS213" i="4"/>
  <c r="GT213" i="4"/>
  <c r="GU213" i="4"/>
  <c r="GV213" i="4"/>
  <c r="GW213" i="4"/>
  <c r="GX213" i="4"/>
  <c r="GY213" i="4"/>
  <c r="GZ213" i="4"/>
  <c r="HA213" i="4"/>
  <c r="HB213" i="4"/>
  <c r="HC213" i="4"/>
  <c r="HD213" i="4"/>
  <c r="HE213" i="4"/>
  <c r="HF213" i="4"/>
  <c r="HG213" i="4"/>
  <c r="HH213" i="4"/>
  <c r="HI213" i="4"/>
  <c r="HJ213" i="4"/>
  <c r="HK213" i="4"/>
  <c r="HL213" i="4"/>
  <c r="HM213" i="4"/>
  <c r="HN213" i="4"/>
  <c r="HO213" i="4"/>
  <c r="HP213" i="4"/>
  <c r="HQ213" i="4"/>
  <c r="HR213" i="4"/>
  <c r="HS213" i="4"/>
  <c r="HT213" i="4"/>
  <c r="HU213" i="4"/>
  <c r="HV213" i="4"/>
  <c r="HW213" i="4"/>
  <c r="HX213" i="4"/>
  <c r="HY213" i="4"/>
  <c r="HZ213" i="4"/>
  <c r="IA213" i="4"/>
  <c r="IB213" i="4"/>
  <c r="IC213" i="4"/>
  <c r="ID213" i="4"/>
  <c r="IE213" i="4"/>
  <c r="IF213" i="4"/>
  <c r="IG213" i="4"/>
  <c r="IH213" i="4"/>
  <c r="II213" i="4"/>
  <c r="IJ213" i="4"/>
  <c r="IK213" i="4"/>
  <c r="IL213" i="4"/>
  <c r="IM213" i="4"/>
  <c r="IN213" i="4"/>
  <c r="IO213" i="4"/>
  <c r="IP213" i="4"/>
  <c r="IQ213" i="4"/>
  <c r="IR213" i="4"/>
  <c r="IS213" i="4"/>
  <c r="IT213" i="4"/>
  <c r="IU213" i="4"/>
  <c r="IV213" i="4"/>
  <c r="A212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DU212" i="4"/>
  <c r="DV212" i="4"/>
  <c r="DW212" i="4"/>
  <c r="DX212" i="4"/>
  <c r="DY212" i="4"/>
  <c r="DZ212" i="4"/>
  <c r="EA212" i="4"/>
  <c r="EB212" i="4"/>
  <c r="EC212" i="4"/>
  <c r="ED212" i="4"/>
  <c r="EE212" i="4"/>
  <c r="EF212" i="4"/>
  <c r="EG212" i="4"/>
  <c r="EH212" i="4"/>
  <c r="EI212" i="4"/>
  <c r="EJ212" i="4"/>
  <c r="EK212" i="4"/>
  <c r="EL212" i="4"/>
  <c r="EM212" i="4"/>
  <c r="EN212" i="4"/>
  <c r="EO212" i="4"/>
  <c r="EP212" i="4"/>
  <c r="EQ212" i="4"/>
  <c r="ER212" i="4"/>
  <c r="ES212" i="4"/>
  <c r="ET212" i="4"/>
  <c r="EU212" i="4"/>
  <c r="EV212" i="4"/>
  <c r="EW212" i="4"/>
  <c r="EX212" i="4"/>
  <c r="EY212" i="4"/>
  <c r="EZ212" i="4"/>
  <c r="FA212" i="4"/>
  <c r="FB212" i="4"/>
  <c r="FC212" i="4"/>
  <c r="FD212" i="4"/>
  <c r="FE212" i="4"/>
  <c r="FF212" i="4"/>
  <c r="FG212" i="4"/>
  <c r="FH212" i="4"/>
  <c r="FI212" i="4"/>
  <c r="FJ212" i="4"/>
  <c r="FK212" i="4"/>
  <c r="FL212" i="4"/>
  <c r="FM212" i="4"/>
  <c r="FN212" i="4"/>
  <c r="FO212" i="4"/>
  <c r="FP212" i="4"/>
  <c r="FQ212" i="4"/>
  <c r="FR212" i="4"/>
  <c r="FS212" i="4"/>
  <c r="FT212" i="4"/>
  <c r="FU212" i="4"/>
  <c r="FV212" i="4"/>
  <c r="FW212" i="4"/>
  <c r="FX212" i="4"/>
  <c r="FY212" i="4"/>
  <c r="FZ212" i="4"/>
  <c r="GA212" i="4"/>
  <c r="GB212" i="4"/>
  <c r="GC212" i="4"/>
  <c r="GD212" i="4"/>
  <c r="GE212" i="4"/>
  <c r="GF212" i="4"/>
  <c r="GG212" i="4"/>
  <c r="GH212" i="4"/>
  <c r="GI212" i="4"/>
  <c r="GJ212" i="4"/>
  <c r="GK212" i="4"/>
  <c r="GL212" i="4"/>
  <c r="GM212" i="4"/>
  <c r="GN212" i="4"/>
  <c r="GO212" i="4"/>
  <c r="GP212" i="4"/>
  <c r="GQ212" i="4"/>
  <c r="GR212" i="4"/>
  <c r="GS212" i="4"/>
  <c r="GT212" i="4"/>
  <c r="GU212" i="4"/>
  <c r="GV212" i="4"/>
  <c r="GW212" i="4"/>
  <c r="GX212" i="4"/>
  <c r="GY212" i="4"/>
  <c r="GZ212" i="4"/>
  <c r="HA212" i="4"/>
  <c r="HB212" i="4"/>
  <c r="HC212" i="4"/>
  <c r="HD212" i="4"/>
  <c r="HE212" i="4"/>
  <c r="HF212" i="4"/>
  <c r="HG212" i="4"/>
  <c r="HH212" i="4"/>
  <c r="HI212" i="4"/>
  <c r="HJ212" i="4"/>
  <c r="HK212" i="4"/>
  <c r="HL212" i="4"/>
  <c r="HM212" i="4"/>
  <c r="HN212" i="4"/>
  <c r="HO212" i="4"/>
  <c r="HP212" i="4"/>
  <c r="HQ212" i="4"/>
  <c r="HR212" i="4"/>
  <c r="HS212" i="4"/>
  <c r="HT212" i="4"/>
  <c r="HU212" i="4"/>
  <c r="HV212" i="4"/>
  <c r="HW212" i="4"/>
  <c r="HX212" i="4"/>
  <c r="HY212" i="4"/>
  <c r="HZ212" i="4"/>
  <c r="IA212" i="4"/>
  <c r="IB212" i="4"/>
  <c r="IC212" i="4"/>
  <c r="ID212" i="4"/>
  <c r="IE212" i="4"/>
  <c r="IF212" i="4"/>
  <c r="IG212" i="4"/>
  <c r="IH212" i="4"/>
  <c r="II212" i="4"/>
  <c r="IJ212" i="4"/>
  <c r="IK212" i="4"/>
  <c r="IL212" i="4"/>
  <c r="IM212" i="4"/>
  <c r="IN212" i="4"/>
  <c r="IO212" i="4"/>
  <c r="IP212" i="4"/>
  <c r="IQ212" i="4"/>
  <c r="IR212" i="4"/>
  <c r="IS212" i="4"/>
  <c r="IT212" i="4"/>
  <c r="IU212" i="4"/>
  <c r="IV212" i="4"/>
  <c r="A211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DU211" i="4"/>
  <c r="DV211" i="4"/>
  <c r="DW211" i="4"/>
  <c r="DX211" i="4"/>
  <c r="DY211" i="4"/>
  <c r="DZ211" i="4"/>
  <c r="EA211" i="4"/>
  <c r="EB211" i="4"/>
  <c r="EC211" i="4"/>
  <c r="ED211" i="4"/>
  <c r="EE211" i="4"/>
  <c r="EF211" i="4"/>
  <c r="EG211" i="4"/>
  <c r="EH211" i="4"/>
  <c r="EI211" i="4"/>
  <c r="EJ211" i="4"/>
  <c r="EK211" i="4"/>
  <c r="EL211" i="4"/>
  <c r="EM211" i="4"/>
  <c r="EN211" i="4"/>
  <c r="EO211" i="4"/>
  <c r="EP211" i="4"/>
  <c r="EQ211" i="4"/>
  <c r="ER211" i="4"/>
  <c r="ES211" i="4"/>
  <c r="ET211" i="4"/>
  <c r="EU211" i="4"/>
  <c r="EV211" i="4"/>
  <c r="EW211" i="4"/>
  <c r="EX211" i="4"/>
  <c r="EY211" i="4"/>
  <c r="EZ211" i="4"/>
  <c r="FA211" i="4"/>
  <c r="FB211" i="4"/>
  <c r="FC211" i="4"/>
  <c r="FD211" i="4"/>
  <c r="FE211" i="4"/>
  <c r="FF211" i="4"/>
  <c r="FG211" i="4"/>
  <c r="FH211" i="4"/>
  <c r="FI211" i="4"/>
  <c r="FJ211" i="4"/>
  <c r="FK211" i="4"/>
  <c r="FL211" i="4"/>
  <c r="FM211" i="4"/>
  <c r="FN211" i="4"/>
  <c r="FO211" i="4"/>
  <c r="FP211" i="4"/>
  <c r="FQ211" i="4"/>
  <c r="FR211" i="4"/>
  <c r="FS211" i="4"/>
  <c r="FT211" i="4"/>
  <c r="FU211" i="4"/>
  <c r="FV211" i="4"/>
  <c r="FW211" i="4"/>
  <c r="FX211" i="4"/>
  <c r="FY211" i="4"/>
  <c r="FZ211" i="4"/>
  <c r="GA211" i="4"/>
  <c r="GB211" i="4"/>
  <c r="GC211" i="4"/>
  <c r="GD211" i="4"/>
  <c r="GE211" i="4"/>
  <c r="GF211" i="4"/>
  <c r="GG211" i="4"/>
  <c r="GH211" i="4"/>
  <c r="GI211" i="4"/>
  <c r="GJ211" i="4"/>
  <c r="GK211" i="4"/>
  <c r="GL211" i="4"/>
  <c r="GM211" i="4"/>
  <c r="GN211" i="4"/>
  <c r="GO211" i="4"/>
  <c r="GP211" i="4"/>
  <c r="GQ211" i="4"/>
  <c r="GR211" i="4"/>
  <c r="GS211" i="4"/>
  <c r="GT211" i="4"/>
  <c r="GU211" i="4"/>
  <c r="GV211" i="4"/>
  <c r="GW211" i="4"/>
  <c r="GX211" i="4"/>
  <c r="GY211" i="4"/>
  <c r="GZ211" i="4"/>
  <c r="HA211" i="4"/>
  <c r="HB211" i="4"/>
  <c r="HC211" i="4"/>
  <c r="HD211" i="4"/>
  <c r="HE211" i="4"/>
  <c r="HF211" i="4"/>
  <c r="HG211" i="4"/>
  <c r="HH211" i="4"/>
  <c r="HI211" i="4"/>
  <c r="HJ211" i="4"/>
  <c r="HK211" i="4"/>
  <c r="HL211" i="4"/>
  <c r="HM211" i="4"/>
  <c r="HN211" i="4"/>
  <c r="HO211" i="4"/>
  <c r="HP211" i="4"/>
  <c r="HQ211" i="4"/>
  <c r="HR211" i="4"/>
  <c r="HS211" i="4"/>
  <c r="HT211" i="4"/>
  <c r="HU211" i="4"/>
  <c r="HV211" i="4"/>
  <c r="HW211" i="4"/>
  <c r="HX211" i="4"/>
  <c r="HY211" i="4"/>
  <c r="HZ211" i="4"/>
  <c r="IA211" i="4"/>
  <c r="IB211" i="4"/>
  <c r="IC211" i="4"/>
  <c r="ID211" i="4"/>
  <c r="IE211" i="4"/>
  <c r="IF211" i="4"/>
  <c r="IG211" i="4"/>
  <c r="IH211" i="4"/>
  <c r="II211" i="4"/>
  <c r="IJ211" i="4"/>
  <c r="IK211" i="4"/>
  <c r="IL211" i="4"/>
  <c r="IM211" i="4"/>
  <c r="IN211" i="4"/>
  <c r="IO211" i="4"/>
  <c r="IP211" i="4"/>
  <c r="IQ211" i="4"/>
  <c r="IR211" i="4"/>
  <c r="IS211" i="4"/>
  <c r="IT211" i="4"/>
  <c r="IU211" i="4"/>
  <c r="IV211" i="4"/>
  <c r="A210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F210" i="4"/>
  <c r="EG210" i="4"/>
  <c r="EH210" i="4"/>
  <c r="EI210" i="4"/>
  <c r="EJ210" i="4"/>
  <c r="EK210" i="4"/>
  <c r="EL210" i="4"/>
  <c r="EM210" i="4"/>
  <c r="EN210" i="4"/>
  <c r="EO210" i="4"/>
  <c r="EP210" i="4"/>
  <c r="EQ210" i="4"/>
  <c r="ER210" i="4"/>
  <c r="ES210" i="4"/>
  <c r="ET210" i="4"/>
  <c r="EU210" i="4"/>
  <c r="EV210" i="4"/>
  <c r="EW210" i="4"/>
  <c r="EX210" i="4"/>
  <c r="EY210" i="4"/>
  <c r="EZ210" i="4"/>
  <c r="FA210" i="4"/>
  <c r="FB210" i="4"/>
  <c r="FC210" i="4"/>
  <c r="FD210" i="4"/>
  <c r="FE210" i="4"/>
  <c r="FF210" i="4"/>
  <c r="FG210" i="4"/>
  <c r="FH210" i="4"/>
  <c r="FI210" i="4"/>
  <c r="FJ210" i="4"/>
  <c r="FK210" i="4"/>
  <c r="FL210" i="4"/>
  <c r="FM210" i="4"/>
  <c r="FN210" i="4"/>
  <c r="FO210" i="4"/>
  <c r="FP210" i="4"/>
  <c r="FQ210" i="4"/>
  <c r="FR210" i="4"/>
  <c r="FS210" i="4"/>
  <c r="FT210" i="4"/>
  <c r="FU210" i="4"/>
  <c r="FV210" i="4"/>
  <c r="FW210" i="4"/>
  <c r="FX210" i="4"/>
  <c r="FY210" i="4"/>
  <c r="FZ210" i="4"/>
  <c r="GA210" i="4"/>
  <c r="GB210" i="4"/>
  <c r="GC210" i="4"/>
  <c r="GD210" i="4"/>
  <c r="GE210" i="4"/>
  <c r="GF210" i="4"/>
  <c r="GG210" i="4"/>
  <c r="GH210" i="4"/>
  <c r="GI210" i="4"/>
  <c r="GJ210" i="4"/>
  <c r="GK210" i="4"/>
  <c r="GL210" i="4"/>
  <c r="GM210" i="4"/>
  <c r="GN210" i="4"/>
  <c r="GO210" i="4"/>
  <c r="GP210" i="4"/>
  <c r="GQ210" i="4"/>
  <c r="GR210" i="4"/>
  <c r="GS210" i="4"/>
  <c r="GT210" i="4"/>
  <c r="GU210" i="4"/>
  <c r="GV210" i="4"/>
  <c r="GW210" i="4"/>
  <c r="GX210" i="4"/>
  <c r="GY210" i="4"/>
  <c r="GZ210" i="4"/>
  <c r="HA210" i="4"/>
  <c r="HB210" i="4"/>
  <c r="HC210" i="4"/>
  <c r="HD210" i="4"/>
  <c r="HE210" i="4"/>
  <c r="HF210" i="4"/>
  <c r="HG210" i="4"/>
  <c r="HH210" i="4"/>
  <c r="HI210" i="4"/>
  <c r="HJ210" i="4"/>
  <c r="HK210" i="4"/>
  <c r="HL210" i="4"/>
  <c r="HM210" i="4"/>
  <c r="HN210" i="4"/>
  <c r="HO210" i="4"/>
  <c r="HP210" i="4"/>
  <c r="HQ210" i="4"/>
  <c r="HR210" i="4"/>
  <c r="HS210" i="4"/>
  <c r="HT210" i="4"/>
  <c r="HU210" i="4"/>
  <c r="HV210" i="4"/>
  <c r="HW210" i="4"/>
  <c r="HX210" i="4"/>
  <c r="HY210" i="4"/>
  <c r="HZ210" i="4"/>
  <c r="IA210" i="4"/>
  <c r="IB210" i="4"/>
  <c r="IC210" i="4"/>
  <c r="ID210" i="4"/>
  <c r="IE210" i="4"/>
  <c r="IF210" i="4"/>
  <c r="IG210" i="4"/>
  <c r="IH210" i="4"/>
  <c r="II210" i="4"/>
  <c r="IJ210" i="4"/>
  <c r="IK210" i="4"/>
  <c r="IL210" i="4"/>
  <c r="IM210" i="4"/>
  <c r="IN210" i="4"/>
  <c r="IO210" i="4"/>
  <c r="IP210" i="4"/>
  <c r="IQ210" i="4"/>
  <c r="IR210" i="4"/>
  <c r="IS210" i="4"/>
  <c r="IT210" i="4"/>
  <c r="IU210" i="4"/>
  <c r="IV210" i="4"/>
  <c r="A209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F209" i="4"/>
  <c r="EG209" i="4"/>
  <c r="EH209" i="4"/>
  <c r="EI209" i="4"/>
  <c r="EJ209" i="4"/>
  <c r="EK209" i="4"/>
  <c r="EL209" i="4"/>
  <c r="EM209" i="4"/>
  <c r="EN209" i="4"/>
  <c r="EO209" i="4"/>
  <c r="EP209" i="4"/>
  <c r="EQ209" i="4"/>
  <c r="ER209" i="4"/>
  <c r="ES209" i="4"/>
  <c r="ET209" i="4"/>
  <c r="EU209" i="4"/>
  <c r="EV209" i="4"/>
  <c r="EW209" i="4"/>
  <c r="EX209" i="4"/>
  <c r="EY209" i="4"/>
  <c r="EZ209" i="4"/>
  <c r="FA209" i="4"/>
  <c r="FB209" i="4"/>
  <c r="FC209" i="4"/>
  <c r="FD209" i="4"/>
  <c r="FE209" i="4"/>
  <c r="FF209" i="4"/>
  <c r="FG209" i="4"/>
  <c r="FH209" i="4"/>
  <c r="FI209" i="4"/>
  <c r="FJ209" i="4"/>
  <c r="FK209" i="4"/>
  <c r="FL209" i="4"/>
  <c r="FM209" i="4"/>
  <c r="FN209" i="4"/>
  <c r="FO209" i="4"/>
  <c r="FP209" i="4"/>
  <c r="FQ209" i="4"/>
  <c r="FR209" i="4"/>
  <c r="FS209" i="4"/>
  <c r="FT209" i="4"/>
  <c r="FU209" i="4"/>
  <c r="FV209" i="4"/>
  <c r="FW209" i="4"/>
  <c r="FX209" i="4"/>
  <c r="FY209" i="4"/>
  <c r="FZ209" i="4"/>
  <c r="GA209" i="4"/>
  <c r="GB209" i="4"/>
  <c r="GC209" i="4"/>
  <c r="GD209" i="4"/>
  <c r="GE209" i="4"/>
  <c r="GF209" i="4"/>
  <c r="GG209" i="4"/>
  <c r="GH209" i="4"/>
  <c r="GI209" i="4"/>
  <c r="GJ209" i="4"/>
  <c r="GK209" i="4"/>
  <c r="GL209" i="4"/>
  <c r="GM209" i="4"/>
  <c r="GN209" i="4"/>
  <c r="GO209" i="4"/>
  <c r="GP209" i="4"/>
  <c r="GQ209" i="4"/>
  <c r="GR209" i="4"/>
  <c r="GS209" i="4"/>
  <c r="GT209" i="4"/>
  <c r="GU209" i="4"/>
  <c r="GV209" i="4"/>
  <c r="GW209" i="4"/>
  <c r="GX209" i="4"/>
  <c r="GY209" i="4"/>
  <c r="GZ209" i="4"/>
  <c r="HA209" i="4"/>
  <c r="HB209" i="4"/>
  <c r="HC209" i="4"/>
  <c r="HD209" i="4"/>
  <c r="HE209" i="4"/>
  <c r="HF209" i="4"/>
  <c r="HG209" i="4"/>
  <c r="HH209" i="4"/>
  <c r="HI209" i="4"/>
  <c r="HJ209" i="4"/>
  <c r="HK209" i="4"/>
  <c r="HL209" i="4"/>
  <c r="HM209" i="4"/>
  <c r="HN209" i="4"/>
  <c r="HO209" i="4"/>
  <c r="HP209" i="4"/>
  <c r="HQ209" i="4"/>
  <c r="HR209" i="4"/>
  <c r="HS209" i="4"/>
  <c r="HT209" i="4"/>
  <c r="HU209" i="4"/>
  <c r="HV209" i="4"/>
  <c r="HW209" i="4"/>
  <c r="HX209" i="4"/>
  <c r="HY209" i="4"/>
  <c r="HZ209" i="4"/>
  <c r="IA209" i="4"/>
  <c r="IB209" i="4"/>
  <c r="IC209" i="4"/>
  <c r="ID209" i="4"/>
  <c r="IE209" i="4"/>
  <c r="IF209" i="4"/>
  <c r="IG209" i="4"/>
  <c r="IH209" i="4"/>
  <c r="II209" i="4"/>
  <c r="IJ209" i="4"/>
  <c r="IK209" i="4"/>
  <c r="IL209" i="4"/>
  <c r="IM209" i="4"/>
  <c r="IN209" i="4"/>
  <c r="IO209" i="4"/>
  <c r="IP209" i="4"/>
  <c r="IQ209" i="4"/>
  <c r="IR209" i="4"/>
  <c r="IS209" i="4"/>
  <c r="IT209" i="4"/>
  <c r="IU209" i="4"/>
  <c r="IV209" i="4"/>
  <c r="A208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F208" i="4"/>
  <c r="EG208" i="4"/>
  <c r="EH208" i="4"/>
  <c r="EI208" i="4"/>
  <c r="EJ208" i="4"/>
  <c r="EK208" i="4"/>
  <c r="EL208" i="4"/>
  <c r="EM208" i="4"/>
  <c r="EN208" i="4"/>
  <c r="EO208" i="4"/>
  <c r="EP208" i="4"/>
  <c r="EQ208" i="4"/>
  <c r="ER208" i="4"/>
  <c r="ES208" i="4"/>
  <c r="ET208" i="4"/>
  <c r="EU208" i="4"/>
  <c r="EV208" i="4"/>
  <c r="EW208" i="4"/>
  <c r="EX208" i="4"/>
  <c r="EY208" i="4"/>
  <c r="EZ208" i="4"/>
  <c r="FA208" i="4"/>
  <c r="FB208" i="4"/>
  <c r="FC208" i="4"/>
  <c r="FD208" i="4"/>
  <c r="FE208" i="4"/>
  <c r="FF208" i="4"/>
  <c r="FG208" i="4"/>
  <c r="FH208" i="4"/>
  <c r="FI208" i="4"/>
  <c r="FJ208" i="4"/>
  <c r="FK208" i="4"/>
  <c r="FL208" i="4"/>
  <c r="FM208" i="4"/>
  <c r="FN208" i="4"/>
  <c r="FO208" i="4"/>
  <c r="FP208" i="4"/>
  <c r="FQ208" i="4"/>
  <c r="FR208" i="4"/>
  <c r="FS208" i="4"/>
  <c r="FT208" i="4"/>
  <c r="FU208" i="4"/>
  <c r="FV208" i="4"/>
  <c r="FW208" i="4"/>
  <c r="FX208" i="4"/>
  <c r="FY208" i="4"/>
  <c r="FZ208" i="4"/>
  <c r="GA208" i="4"/>
  <c r="GB208" i="4"/>
  <c r="GC208" i="4"/>
  <c r="GD208" i="4"/>
  <c r="GE208" i="4"/>
  <c r="GF208" i="4"/>
  <c r="GG208" i="4"/>
  <c r="GH208" i="4"/>
  <c r="GI208" i="4"/>
  <c r="GJ208" i="4"/>
  <c r="GK208" i="4"/>
  <c r="GL208" i="4"/>
  <c r="GM208" i="4"/>
  <c r="GN208" i="4"/>
  <c r="GO208" i="4"/>
  <c r="GP208" i="4"/>
  <c r="GQ208" i="4"/>
  <c r="GR208" i="4"/>
  <c r="GS208" i="4"/>
  <c r="GT208" i="4"/>
  <c r="GU208" i="4"/>
  <c r="GV208" i="4"/>
  <c r="GW208" i="4"/>
  <c r="GX208" i="4"/>
  <c r="GY208" i="4"/>
  <c r="GZ208" i="4"/>
  <c r="HA208" i="4"/>
  <c r="HB208" i="4"/>
  <c r="HC208" i="4"/>
  <c r="HD208" i="4"/>
  <c r="HE208" i="4"/>
  <c r="HF208" i="4"/>
  <c r="HG208" i="4"/>
  <c r="HH208" i="4"/>
  <c r="HI208" i="4"/>
  <c r="HJ208" i="4"/>
  <c r="HK208" i="4"/>
  <c r="HL208" i="4"/>
  <c r="HM208" i="4"/>
  <c r="HN208" i="4"/>
  <c r="HO208" i="4"/>
  <c r="HP208" i="4"/>
  <c r="HQ208" i="4"/>
  <c r="HR208" i="4"/>
  <c r="HS208" i="4"/>
  <c r="HT208" i="4"/>
  <c r="HU208" i="4"/>
  <c r="HV208" i="4"/>
  <c r="HW208" i="4"/>
  <c r="HX208" i="4"/>
  <c r="HY208" i="4"/>
  <c r="HZ208" i="4"/>
  <c r="IA208" i="4"/>
  <c r="IB208" i="4"/>
  <c r="IC208" i="4"/>
  <c r="ID208" i="4"/>
  <c r="IE208" i="4"/>
  <c r="IF208" i="4"/>
  <c r="IG208" i="4"/>
  <c r="IH208" i="4"/>
  <c r="II208" i="4"/>
  <c r="IJ208" i="4"/>
  <c r="IK208" i="4"/>
  <c r="IL208" i="4"/>
  <c r="IM208" i="4"/>
  <c r="IN208" i="4"/>
  <c r="IO208" i="4"/>
  <c r="IP208" i="4"/>
  <c r="IQ208" i="4"/>
  <c r="IR208" i="4"/>
  <c r="IS208" i="4"/>
  <c r="IT208" i="4"/>
  <c r="IU208" i="4"/>
  <c r="IV208" i="4"/>
  <c r="A207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M207" i="4"/>
  <c r="AN207" i="4"/>
  <c r="AO207" i="4"/>
  <c r="AP207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U207" i="4"/>
  <c r="CV207" i="4"/>
  <c r="CW207" i="4"/>
  <c r="CX207" i="4"/>
  <c r="CY207" i="4"/>
  <c r="CZ207" i="4"/>
  <c r="DA207" i="4"/>
  <c r="DB207" i="4"/>
  <c r="DC207" i="4"/>
  <c r="DD207" i="4"/>
  <c r="DE207" i="4"/>
  <c r="DF207" i="4"/>
  <c r="DG207" i="4"/>
  <c r="DH207" i="4"/>
  <c r="DI207" i="4"/>
  <c r="DJ207" i="4"/>
  <c r="DK207" i="4"/>
  <c r="DL207" i="4"/>
  <c r="DM207" i="4"/>
  <c r="DN207" i="4"/>
  <c r="DO207" i="4"/>
  <c r="DP207" i="4"/>
  <c r="DQ207" i="4"/>
  <c r="DR207" i="4"/>
  <c r="DS207" i="4"/>
  <c r="DT207" i="4"/>
  <c r="DU207" i="4"/>
  <c r="DV207" i="4"/>
  <c r="DW207" i="4"/>
  <c r="DX207" i="4"/>
  <c r="DY207" i="4"/>
  <c r="DZ207" i="4"/>
  <c r="EA207" i="4"/>
  <c r="EB207" i="4"/>
  <c r="EC207" i="4"/>
  <c r="ED207" i="4"/>
  <c r="EE207" i="4"/>
  <c r="EF207" i="4"/>
  <c r="EG207" i="4"/>
  <c r="EH207" i="4"/>
  <c r="EI207" i="4"/>
  <c r="EJ207" i="4"/>
  <c r="EK207" i="4"/>
  <c r="EL207" i="4"/>
  <c r="EM207" i="4"/>
  <c r="EN207" i="4"/>
  <c r="EO207" i="4"/>
  <c r="EP207" i="4"/>
  <c r="EQ207" i="4"/>
  <c r="ER207" i="4"/>
  <c r="ES207" i="4"/>
  <c r="ET207" i="4"/>
  <c r="EU207" i="4"/>
  <c r="EV207" i="4"/>
  <c r="EW207" i="4"/>
  <c r="EX207" i="4"/>
  <c r="EY207" i="4"/>
  <c r="EZ207" i="4"/>
  <c r="FA207" i="4"/>
  <c r="FB207" i="4"/>
  <c r="FC207" i="4"/>
  <c r="FD207" i="4"/>
  <c r="FE207" i="4"/>
  <c r="FF207" i="4"/>
  <c r="FG207" i="4"/>
  <c r="FH207" i="4"/>
  <c r="FI207" i="4"/>
  <c r="FJ207" i="4"/>
  <c r="FK207" i="4"/>
  <c r="FL207" i="4"/>
  <c r="FM207" i="4"/>
  <c r="FN207" i="4"/>
  <c r="FO207" i="4"/>
  <c r="FP207" i="4"/>
  <c r="FQ207" i="4"/>
  <c r="FR207" i="4"/>
  <c r="FS207" i="4"/>
  <c r="FT207" i="4"/>
  <c r="FU207" i="4"/>
  <c r="FV207" i="4"/>
  <c r="FW207" i="4"/>
  <c r="FX207" i="4"/>
  <c r="FY207" i="4"/>
  <c r="FZ207" i="4"/>
  <c r="GA207" i="4"/>
  <c r="GB207" i="4"/>
  <c r="GC207" i="4"/>
  <c r="GD207" i="4"/>
  <c r="GE207" i="4"/>
  <c r="GF207" i="4"/>
  <c r="GG207" i="4"/>
  <c r="GH207" i="4"/>
  <c r="GI207" i="4"/>
  <c r="GJ207" i="4"/>
  <c r="GK207" i="4"/>
  <c r="GL207" i="4"/>
  <c r="GM207" i="4"/>
  <c r="GN207" i="4"/>
  <c r="GO207" i="4"/>
  <c r="GP207" i="4"/>
  <c r="GQ207" i="4"/>
  <c r="GR207" i="4"/>
  <c r="GS207" i="4"/>
  <c r="GT207" i="4"/>
  <c r="GU207" i="4"/>
  <c r="GV207" i="4"/>
  <c r="GW207" i="4"/>
  <c r="GX207" i="4"/>
  <c r="GY207" i="4"/>
  <c r="GZ207" i="4"/>
  <c r="HA207" i="4"/>
  <c r="HB207" i="4"/>
  <c r="HC207" i="4"/>
  <c r="HD207" i="4"/>
  <c r="HE207" i="4"/>
  <c r="HF207" i="4"/>
  <c r="HG207" i="4"/>
  <c r="HH207" i="4"/>
  <c r="HI207" i="4"/>
  <c r="HJ207" i="4"/>
  <c r="HK207" i="4"/>
  <c r="HL207" i="4"/>
  <c r="HM207" i="4"/>
  <c r="HN207" i="4"/>
  <c r="HO207" i="4"/>
  <c r="HP207" i="4"/>
  <c r="HQ207" i="4"/>
  <c r="HR207" i="4"/>
  <c r="HS207" i="4"/>
  <c r="HT207" i="4"/>
  <c r="HU207" i="4"/>
  <c r="HV207" i="4"/>
  <c r="HW207" i="4"/>
  <c r="HX207" i="4"/>
  <c r="HY207" i="4"/>
  <c r="HZ207" i="4"/>
  <c r="IA207" i="4"/>
  <c r="IB207" i="4"/>
  <c r="IC207" i="4"/>
  <c r="ID207" i="4"/>
  <c r="IE207" i="4"/>
  <c r="IF207" i="4"/>
  <c r="IG207" i="4"/>
  <c r="IH207" i="4"/>
  <c r="II207" i="4"/>
  <c r="IJ207" i="4"/>
  <c r="IK207" i="4"/>
  <c r="IL207" i="4"/>
  <c r="IM207" i="4"/>
  <c r="IN207" i="4"/>
  <c r="IO207" i="4"/>
  <c r="IP207" i="4"/>
  <c r="IQ207" i="4"/>
  <c r="IR207" i="4"/>
  <c r="IS207" i="4"/>
  <c r="IT207" i="4"/>
  <c r="IU207" i="4"/>
  <c r="IV207" i="4"/>
  <c r="A206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I206" i="4"/>
  <c r="AJ206" i="4"/>
  <c r="AK206" i="4"/>
  <c r="AL206" i="4"/>
  <c r="AM206" i="4"/>
  <c r="AN206" i="4"/>
  <c r="AO206" i="4"/>
  <c r="AP206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BF206" i="4"/>
  <c r="BG206" i="4"/>
  <c r="BH206" i="4"/>
  <c r="BI206" i="4"/>
  <c r="BJ206" i="4"/>
  <c r="BK206" i="4"/>
  <c r="BL206" i="4"/>
  <c r="BM206" i="4"/>
  <c r="BN206" i="4"/>
  <c r="BO206" i="4"/>
  <c r="BP206" i="4"/>
  <c r="BQ206" i="4"/>
  <c r="BR206" i="4"/>
  <c r="BS206" i="4"/>
  <c r="BT206" i="4"/>
  <c r="BU206" i="4"/>
  <c r="BV206" i="4"/>
  <c r="BW206" i="4"/>
  <c r="BX206" i="4"/>
  <c r="BY206" i="4"/>
  <c r="BZ206" i="4"/>
  <c r="CA206" i="4"/>
  <c r="CB206" i="4"/>
  <c r="CC206" i="4"/>
  <c r="CD206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U206" i="4"/>
  <c r="CV206" i="4"/>
  <c r="CW206" i="4"/>
  <c r="CX206" i="4"/>
  <c r="CY206" i="4"/>
  <c r="CZ206" i="4"/>
  <c r="DA206" i="4"/>
  <c r="DB206" i="4"/>
  <c r="DC206" i="4"/>
  <c r="DD206" i="4"/>
  <c r="DE206" i="4"/>
  <c r="DF206" i="4"/>
  <c r="DG206" i="4"/>
  <c r="DH206" i="4"/>
  <c r="DI206" i="4"/>
  <c r="DJ206" i="4"/>
  <c r="DK206" i="4"/>
  <c r="DL206" i="4"/>
  <c r="DM206" i="4"/>
  <c r="DN206" i="4"/>
  <c r="DO206" i="4"/>
  <c r="DP206" i="4"/>
  <c r="DQ206" i="4"/>
  <c r="DR206" i="4"/>
  <c r="DS206" i="4"/>
  <c r="DT206" i="4"/>
  <c r="DU206" i="4"/>
  <c r="DV206" i="4"/>
  <c r="DW206" i="4"/>
  <c r="DX206" i="4"/>
  <c r="DY206" i="4"/>
  <c r="DZ206" i="4"/>
  <c r="EA206" i="4"/>
  <c r="EB206" i="4"/>
  <c r="EC206" i="4"/>
  <c r="ED206" i="4"/>
  <c r="EE206" i="4"/>
  <c r="EF206" i="4"/>
  <c r="EG206" i="4"/>
  <c r="EH206" i="4"/>
  <c r="EI206" i="4"/>
  <c r="EJ206" i="4"/>
  <c r="EK206" i="4"/>
  <c r="EL206" i="4"/>
  <c r="EM206" i="4"/>
  <c r="EN206" i="4"/>
  <c r="EO206" i="4"/>
  <c r="EP206" i="4"/>
  <c r="EQ206" i="4"/>
  <c r="ER206" i="4"/>
  <c r="ES206" i="4"/>
  <c r="ET206" i="4"/>
  <c r="EU206" i="4"/>
  <c r="EV206" i="4"/>
  <c r="EW206" i="4"/>
  <c r="EX206" i="4"/>
  <c r="EY206" i="4"/>
  <c r="EZ206" i="4"/>
  <c r="FA206" i="4"/>
  <c r="FB206" i="4"/>
  <c r="FC206" i="4"/>
  <c r="FD206" i="4"/>
  <c r="FE206" i="4"/>
  <c r="FF206" i="4"/>
  <c r="FG206" i="4"/>
  <c r="FH206" i="4"/>
  <c r="FI206" i="4"/>
  <c r="FJ206" i="4"/>
  <c r="FK206" i="4"/>
  <c r="FL206" i="4"/>
  <c r="FM206" i="4"/>
  <c r="FN206" i="4"/>
  <c r="FO206" i="4"/>
  <c r="FP206" i="4"/>
  <c r="FQ206" i="4"/>
  <c r="FR206" i="4"/>
  <c r="FS206" i="4"/>
  <c r="FT206" i="4"/>
  <c r="FU206" i="4"/>
  <c r="FV206" i="4"/>
  <c r="FW206" i="4"/>
  <c r="FX206" i="4"/>
  <c r="FY206" i="4"/>
  <c r="FZ206" i="4"/>
  <c r="GA206" i="4"/>
  <c r="GB206" i="4"/>
  <c r="GC206" i="4"/>
  <c r="GD206" i="4"/>
  <c r="GE206" i="4"/>
  <c r="GF206" i="4"/>
  <c r="GG206" i="4"/>
  <c r="GH206" i="4"/>
  <c r="GI206" i="4"/>
  <c r="GJ206" i="4"/>
  <c r="GK206" i="4"/>
  <c r="GL206" i="4"/>
  <c r="GM206" i="4"/>
  <c r="GN206" i="4"/>
  <c r="GO206" i="4"/>
  <c r="GP206" i="4"/>
  <c r="GQ206" i="4"/>
  <c r="GR206" i="4"/>
  <c r="GS206" i="4"/>
  <c r="GT206" i="4"/>
  <c r="GU206" i="4"/>
  <c r="GV206" i="4"/>
  <c r="GW206" i="4"/>
  <c r="GX206" i="4"/>
  <c r="GY206" i="4"/>
  <c r="GZ206" i="4"/>
  <c r="HA206" i="4"/>
  <c r="HB206" i="4"/>
  <c r="HC206" i="4"/>
  <c r="HD206" i="4"/>
  <c r="HE206" i="4"/>
  <c r="HF206" i="4"/>
  <c r="HG206" i="4"/>
  <c r="HH206" i="4"/>
  <c r="HI206" i="4"/>
  <c r="HJ206" i="4"/>
  <c r="HK206" i="4"/>
  <c r="HL206" i="4"/>
  <c r="HM206" i="4"/>
  <c r="HN206" i="4"/>
  <c r="HO206" i="4"/>
  <c r="HP206" i="4"/>
  <c r="HQ206" i="4"/>
  <c r="HR206" i="4"/>
  <c r="HS206" i="4"/>
  <c r="HT206" i="4"/>
  <c r="HU206" i="4"/>
  <c r="HV206" i="4"/>
  <c r="HW206" i="4"/>
  <c r="HX206" i="4"/>
  <c r="HY206" i="4"/>
  <c r="HZ206" i="4"/>
  <c r="IA206" i="4"/>
  <c r="IB206" i="4"/>
  <c r="IC206" i="4"/>
  <c r="ID206" i="4"/>
  <c r="IE206" i="4"/>
  <c r="IF206" i="4"/>
  <c r="IG206" i="4"/>
  <c r="IH206" i="4"/>
  <c r="II206" i="4"/>
  <c r="IJ206" i="4"/>
  <c r="IK206" i="4"/>
  <c r="IL206" i="4"/>
  <c r="IM206" i="4"/>
  <c r="IN206" i="4"/>
  <c r="IO206" i="4"/>
  <c r="IP206" i="4"/>
  <c r="IQ206" i="4"/>
  <c r="IR206" i="4"/>
  <c r="IS206" i="4"/>
  <c r="IT206" i="4"/>
  <c r="IU206" i="4"/>
  <c r="IV206" i="4"/>
  <c r="A205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I205" i="4"/>
  <c r="AJ205" i="4"/>
  <c r="AK205" i="4"/>
  <c r="AL205" i="4"/>
  <c r="AM205" i="4"/>
  <c r="AN205" i="4"/>
  <c r="AO205" i="4"/>
  <c r="AP205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BF205" i="4"/>
  <c r="BG205" i="4"/>
  <c r="BH205" i="4"/>
  <c r="BI205" i="4"/>
  <c r="BJ205" i="4"/>
  <c r="BK205" i="4"/>
  <c r="BL205" i="4"/>
  <c r="BM205" i="4"/>
  <c r="BN205" i="4"/>
  <c r="BO205" i="4"/>
  <c r="BP205" i="4"/>
  <c r="BQ205" i="4"/>
  <c r="BR205" i="4"/>
  <c r="BS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U205" i="4"/>
  <c r="CV205" i="4"/>
  <c r="CW205" i="4"/>
  <c r="CX205" i="4"/>
  <c r="CY205" i="4"/>
  <c r="CZ205" i="4"/>
  <c r="DA205" i="4"/>
  <c r="DB205" i="4"/>
  <c r="DC205" i="4"/>
  <c r="DD205" i="4"/>
  <c r="DE205" i="4"/>
  <c r="DF205" i="4"/>
  <c r="DG205" i="4"/>
  <c r="DH205" i="4"/>
  <c r="DI205" i="4"/>
  <c r="DJ205" i="4"/>
  <c r="DK205" i="4"/>
  <c r="DL205" i="4"/>
  <c r="DM205" i="4"/>
  <c r="DN205" i="4"/>
  <c r="DO205" i="4"/>
  <c r="DP205" i="4"/>
  <c r="DQ205" i="4"/>
  <c r="DR205" i="4"/>
  <c r="DS205" i="4"/>
  <c r="DT205" i="4"/>
  <c r="DU205" i="4"/>
  <c r="DV205" i="4"/>
  <c r="DW205" i="4"/>
  <c r="DX205" i="4"/>
  <c r="DY205" i="4"/>
  <c r="DZ205" i="4"/>
  <c r="EA205" i="4"/>
  <c r="EB205" i="4"/>
  <c r="EC205" i="4"/>
  <c r="ED205" i="4"/>
  <c r="EE205" i="4"/>
  <c r="EF205" i="4"/>
  <c r="EG205" i="4"/>
  <c r="EH205" i="4"/>
  <c r="EI205" i="4"/>
  <c r="EJ205" i="4"/>
  <c r="EK205" i="4"/>
  <c r="EL205" i="4"/>
  <c r="EM205" i="4"/>
  <c r="EN205" i="4"/>
  <c r="EO205" i="4"/>
  <c r="EP205" i="4"/>
  <c r="EQ205" i="4"/>
  <c r="ER205" i="4"/>
  <c r="ES205" i="4"/>
  <c r="ET205" i="4"/>
  <c r="EU205" i="4"/>
  <c r="EV205" i="4"/>
  <c r="EW205" i="4"/>
  <c r="EX205" i="4"/>
  <c r="EY205" i="4"/>
  <c r="EZ205" i="4"/>
  <c r="FA205" i="4"/>
  <c r="FB205" i="4"/>
  <c r="FC205" i="4"/>
  <c r="FD205" i="4"/>
  <c r="FE205" i="4"/>
  <c r="FF205" i="4"/>
  <c r="FG205" i="4"/>
  <c r="FH205" i="4"/>
  <c r="FI205" i="4"/>
  <c r="FJ205" i="4"/>
  <c r="FK205" i="4"/>
  <c r="FL205" i="4"/>
  <c r="FM205" i="4"/>
  <c r="FN205" i="4"/>
  <c r="FO205" i="4"/>
  <c r="FP205" i="4"/>
  <c r="FQ205" i="4"/>
  <c r="FR205" i="4"/>
  <c r="FS205" i="4"/>
  <c r="FT205" i="4"/>
  <c r="FU205" i="4"/>
  <c r="FV205" i="4"/>
  <c r="FW205" i="4"/>
  <c r="FX205" i="4"/>
  <c r="FY205" i="4"/>
  <c r="FZ205" i="4"/>
  <c r="GA205" i="4"/>
  <c r="GB205" i="4"/>
  <c r="GC205" i="4"/>
  <c r="GD205" i="4"/>
  <c r="GE205" i="4"/>
  <c r="GF205" i="4"/>
  <c r="GG205" i="4"/>
  <c r="GH205" i="4"/>
  <c r="GI205" i="4"/>
  <c r="GJ205" i="4"/>
  <c r="GK205" i="4"/>
  <c r="GL205" i="4"/>
  <c r="GM205" i="4"/>
  <c r="GN205" i="4"/>
  <c r="GO205" i="4"/>
  <c r="GP205" i="4"/>
  <c r="GQ205" i="4"/>
  <c r="GR205" i="4"/>
  <c r="GS205" i="4"/>
  <c r="GT205" i="4"/>
  <c r="GU205" i="4"/>
  <c r="GV205" i="4"/>
  <c r="GW205" i="4"/>
  <c r="GX205" i="4"/>
  <c r="GY205" i="4"/>
  <c r="GZ205" i="4"/>
  <c r="HA205" i="4"/>
  <c r="HB205" i="4"/>
  <c r="HC205" i="4"/>
  <c r="HD205" i="4"/>
  <c r="HE205" i="4"/>
  <c r="HF205" i="4"/>
  <c r="HG205" i="4"/>
  <c r="HH205" i="4"/>
  <c r="HI205" i="4"/>
  <c r="HJ205" i="4"/>
  <c r="HK205" i="4"/>
  <c r="HL205" i="4"/>
  <c r="HM205" i="4"/>
  <c r="HN205" i="4"/>
  <c r="HO205" i="4"/>
  <c r="HP205" i="4"/>
  <c r="HQ205" i="4"/>
  <c r="HR205" i="4"/>
  <c r="HS205" i="4"/>
  <c r="HT205" i="4"/>
  <c r="HU205" i="4"/>
  <c r="HV205" i="4"/>
  <c r="HW205" i="4"/>
  <c r="HX205" i="4"/>
  <c r="HY205" i="4"/>
  <c r="HZ205" i="4"/>
  <c r="IA205" i="4"/>
  <c r="IB205" i="4"/>
  <c r="IC205" i="4"/>
  <c r="ID205" i="4"/>
  <c r="IE205" i="4"/>
  <c r="IF205" i="4"/>
  <c r="IG205" i="4"/>
  <c r="IH205" i="4"/>
  <c r="II205" i="4"/>
  <c r="IJ205" i="4"/>
  <c r="IK205" i="4"/>
  <c r="IL205" i="4"/>
  <c r="IM205" i="4"/>
  <c r="IN205" i="4"/>
  <c r="IO205" i="4"/>
  <c r="IP205" i="4"/>
  <c r="IQ205" i="4"/>
  <c r="IR205" i="4"/>
  <c r="IS205" i="4"/>
  <c r="IT205" i="4"/>
  <c r="IU205" i="4"/>
  <c r="IV205" i="4"/>
  <c r="A204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U204" i="4"/>
  <c r="CV204" i="4"/>
  <c r="CW204" i="4"/>
  <c r="CX204" i="4"/>
  <c r="CY204" i="4"/>
  <c r="CZ204" i="4"/>
  <c r="DA204" i="4"/>
  <c r="DB204" i="4"/>
  <c r="DC204" i="4"/>
  <c r="DD204" i="4"/>
  <c r="DE204" i="4"/>
  <c r="DF204" i="4"/>
  <c r="DG204" i="4"/>
  <c r="DH204" i="4"/>
  <c r="DI204" i="4"/>
  <c r="DJ204" i="4"/>
  <c r="DK204" i="4"/>
  <c r="DL204" i="4"/>
  <c r="DM204" i="4"/>
  <c r="DN204" i="4"/>
  <c r="DO204" i="4"/>
  <c r="DP204" i="4"/>
  <c r="DQ204" i="4"/>
  <c r="DR204" i="4"/>
  <c r="DS204" i="4"/>
  <c r="DT204" i="4"/>
  <c r="DU204" i="4"/>
  <c r="DV204" i="4"/>
  <c r="DW204" i="4"/>
  <c r="DX204" i="4"/>
  <c r="DY204" i="4"/>
  <c r="DZ204" i="4"/>
  <c r="EA204" i="4"/>
  <c r="EB204" i="4"/>
  <c r="EC204" i="4"/>
  <c r="ED204" i="4"/>
  <c r="EE204" i="4"/>
  <c r="EF204" i="4"/>
  <c r="EG204" i="4"/>
  <c r="EH204" i="4"/>
  <c r="EI204" i="4"/>
  <c r="EJ204" i="4"/>
  <c r="EK204" i="4"/>
  <c r="EL204" i="4"/>
  <c r="EM204" i="4"/>
  <c r="EN204" i="4"/>
  <c r="EO204" i="4"/>
  <c r="EP204" i="4"/>
  <c r="EQ204" i="4"/>
  <c r="ER204" i="4"/>
  <c r="ES204" i="4"/>
  <c r="ET204" i="4"/>
  <c r="EU204" i="4"/>
  <c r="EV204" i="4"/>
  <c r="EW204" i="4"/>
  <c r="EX204" i="4"/>
  <c r="EY204" i="4"/>
  <c r="EZ204" i="4"/>
  <c r="FA204" i="4"/>
  <c r="FB204" i="4"/>
  <c r="FC204" i="4"/>
  <c r="FD204" i="4"/>
  <c r="FE204" i="4"/>
  <c r="FF204" i="4"/>
  <c r="FG204" i="4"/>
  <c r="FH204" i="4"/>
  <c r="FI204" i="4"/>
  <c r="FJ204" i="4"/>
  <c r="FK204" i="4"/>
  <c r="FL204" i="4"/>
  <c r="FM204" i="4"/>
  <c r="FN204" i="4"/>
  <c r="FO204" i="4"/>
  <c r="FP204" i="4"/>
  <c r="FQ204" i="4"/>
  <c r="FR204" i="4"/>
  <c r="FS204" i="4"/>
  <c r="FT204" i="4"/>
  <c r="FU204" i="4"/>
  <c r="FV204" i="4"/>
  <c r="FW204" i="4"/>
  <c r="FX204" i="4"/>
  <c r="FY204" i="4"/>
  <c r="FZ204" i="4"/>
  <c r="GA204" i="4"/>
  <c r="GB204" i="4"/>
  <c r="GC204" i="4"/>
  <c r="GD204" i="4"/>
  <c r="GE204" i="4"/>
  <c r="GF204" i="4"/>
  <c r="GG204" i="4"/>
  <c r="GH204" i="4"/>
  <c r="GI204" i="4"/>
  <c r="GJ204" i="4"/>
  <c r="GK204" i="4"/>
  <c r="GL204" i="4"/>
  <c r="GM204" i="4"/>
  <c r="GN204" i="4"/>
  <c r="GO204" i="4"/>
  <c r="GP204" i="4"/>
  <c r="GQ204" i="4"/>
  <c r="GR204" i="4"/>
  <c r="GS204" i="4"/>
  <c r="GT204" i="4"/>
  <c r="GU204" i="4"/>
  <c r="GV204" i="4"/>
  <c r="GW204" i="4"/>
  <c r="GX204" i="4"/>
  <c r="GY204" i="4"/>
  <c r="GZ204" i="4"/>
  <c r="HA204" i="4"/>
  <c r="HB204" i="4"/>
  <c r="HC204" i="4"/>
  <c r="HD204" i="4"/>
  <c r="HE204" i="4"/>
  <c r="HF204" i="4"/>
  <c r="HG204" i="4"/>
  <c r="HH204" i="4"/>
  <c r="HI204" i="4"/>
  <c r="HJ204" i="4"/>
  <c r="HK204" i="4"/>
  <c r="HL204" i="4"/>
  <c r="HM204" i="4"/>
  <c r="HN204" i="4"/>
  <c r="HO204" i="4"/>
  <c r="HP204" i="4"/>
  <c r="HQ204" i="4"/>
  <c r="HR204" i="4"/>
  <c r="HS204" i="4"/>
  <c r="HT204" i="4"/>
  <c r="HU204" i="4"/>
  <c r="HV204" i="4"/>
  <c r="HW204" i="4"/>
  <c r="HX204" i="4"/>
  <c r="HY204" i="4"/>
  <c r="HZ204" i="4"/>
  <c r="IA204" i="4"/>
  <c r="IB204" i="4"/>
  <c r="IC204" i="4"/>
  <c r="ID204" i="4"/>
  <c r="IE204" i="4"/>
  <c r="IF204" i="4"/>
  <c r="IG204" i="4"/>
  <c r="IH204" i="4"/>
  <c r="II204" i="4"/>
  <c r="IJ204" i="4"/>
  <c r="IK204" i="4"/>
  <c r="IL204" i="4"/>
  <c r="IM204" i="4"/>
  <c r="IN204" i="4"/>
  <c r="IO204" i="4"/>
  <c r="IP204" i="4"/>
  <c r="IQ204" i="4"/>
  <c r="IR204" i="4"/>
  <c r="IS204" i="4"/>
  <c r="IT204" i="4"/>
  <c r="IU204" i="4"/>
  <c r="IV204" i="4"/>
  <c r="A203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FC203" i="4"/>
  <c r="FD203" i="4"/>
  <c r="FE203" i="4"/>
  <c r="FF203" i="4"/>
  <c r="FG203" i="4"/>
  <c r="FH203" i="4"/>
  <c r="FI203" i="4"/>
  <c r="FJ203" i="4"/>
  <c r="FK203" i="4"/>
  <c r="FL203" i="4"/>
  <c r="FM203" i="4"/>
  <c r="FN203" i="4"/>
  <c r="FO203" i="4"/>
  <c r="FP203" i="4"/>
  <c r="FQ203" i="4"/>
  <c r="FR203" i="4"/>
  <c r="FS203" i="4"/>
  <c r="FT203" i="4"/>
  <c r="FU203" i="4"/>
  <c r="FV203" i="4"/>
  <c r="FW203" i="4"/>
  <c r="FX203" i="4"/>
  <c r="FY203" i="4"/>
  <c r="FZ203" i="4"/>
  <c r="GA203" i="4"/>
  <c r="GB203" i="4"/>
  <c r="GC203" i="4"/>
  <c r="GD203" i="4"/>
  <c r="GE203" i="4"/>
  <c r="GF203" i="4"/>
  <c r="GG203" i="4"/>
  <c r="GH203" i="4"/>
  <c r="GI203" i="4"/>
  <c r="GJ203" i="4"/>
  <c r="GK203" i="4"/>
  <c r="GL203" i="4"/>
  <c r="GM203" i="4"/>
  <c r="GN203" i="4"/>
  <c r="GO203" i="4"/>
  <c r="GP203" i="4"/>
  <c r="GQ203" i="4"/>
  <c r="GR203" i="4"/>
  <c r="GS203" i="4"/>
  <c r="GT203" i="4"/>
  <c r="GU203" i="4"/>
  <c r="GV203" i="4"/>
  <c r="GW203" i="4"/>
  <c r="GX203" i="4"/>
  <c r="GY203" i="4"/>
  <c r="GZ203" i="4"/>
  <c r="HA203" i="4"/>
  <c r="HB203" i="4"/>
  <c r="HC203" i="4"/>
  <c r="HD203" i="4"/>
  <c r="HE203" i="4"/>
  <c r="HF203" i="4"/>
  <c r="HG203" i="4"/>
  <c r="HH203" i="4"/>
  <c r="HI203" i="4"/>
  <c r="HJ203" i="4"/>
  <c r="HK203" i="4"/>
  <c r="HL203" i="4"/>
  <c r="HM203" i="4"/>
  <c r="HN203" i="4"/>
  <c r="HO203" i="4"/>
  <c r="HP203" i="4"/>
  <c r="HQ203" i="4"/>
  <c r="HR203" i="4"/>
  <c r="HS203" i="4"/>
  <c r="HT203" i="4"/>
  <c r="HU203" i="4"/>
  <c r="HV203" i="4"/>
  <c r="HW203" i="4"/>
  <c r="HX203" i="4"/>
  <c r="HY203" i="4"/>
  <c r="HZ203" i="4"/>
  <c r="IA203" i="4"/>
  <c r="IB203" i="4"/>
  <c r="IC203" i="4"/>
  <c r="ID203" i="4"/>
  <c r="IE203" i="4"/>
  <c r="IF203" i="4"/>
  <c r="IG203" i="4"/>
  <c r="IH203" i="4"/>
  <c r="II203" i="4"/>
  <c r="IJ203" i="4"/>
  <c r="IK203" i="4"/>
  <c r="IL203" i="4"/>
  <c r="IM203" i="4"/>
  <c r="IN203" i="4"/>
  <c r="IO203" i="4"/>
  <c r="IP203" i="4"/>
  <c r="IQ203" i="4"/>
  <c r="IR203" i="4"/>
  <c r="IS203" i="4"/>
  <c r="IT203" i="4"/>
  <c r="IU203" i="4"/>
  <c r="IV203" i="4"/>
  <c r="A202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K202" i="4"/>
  <c r="FL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R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L202" i="4"/>
  <c r="IM202" i="4"/>
  <c r="IN202" i="4"/>
  <c r="IO202" i="4"/>
  <c r="IP202" i="4"/>
  <c r="IQ202" i="4"/>
  <c r="IR202" i="4"/>
  <c r="IS202" i="4"/>
  <c r="IT202" i="4"/>
  <c r="IU202" i="4"/>
  <c r="IV202" i="4"/>
  <c r="A201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K201" i="4"/>
  <c r="FL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R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L201" i="4"/>
  <c r="IM201" i="4"/>
  <c r="IN201" i="4"/>
  <c r="IO201" i="4"/>
  <c r="IP201" i="4"/>
  <c r="IQ201" i="4"/>
  <c r="IR201" i="4"/>
  <c r="IS201" i="4"/>
  <c r="IT201" i="4"/>
  <c r="IU201" i="4"/>
  <c r="IV201" i="4"/>
  <c r="A200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K200" i="4"/>
  <c r="FL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R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L200" i="4"/>
  <c r="IM200" i="4"/>
  <c r="IN200" i="4"/>
  <c r="IO200" i="4"/>
  <c r="IP200" i="4"/>
  <c r="IQ200" i="4"/>
  <c r="IR200" i="4"/>
  <c r="IS200" i="4"/>
  <c r="IT200" i="4"/>
  <c r="IU200" i="4"/>
  <c r="IV200" i="4"/>
  <c r="A199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K199" i="4"/>
  <c r="FL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R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L199" i="4"/>
  <c r="IM199" i="4"/>
  <c r="IN199" i="4"/>
  <c r="IO199" i="4"/>
  <c r="IP199" i="4"/>
  <c r="IQ199" i="4"/>
  <c r="IR199" i="4"/>
  <c r="IS199" i="4"/>
  <c r="IT199" i="4"/>
  <c r="IU199" i="4"/>
  <c r="IV199" i="4"/>
  <c r="A198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K198" i="4"/>
  <c r="FL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R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L198" i="4"/>
  <c r="IM198" i="4"/>
  <c r="IN198" i="4"/>
  <c r="IO198" i="4"/>
  <c r="IP198" i="4"/>
  <c r="IQ198" i="4"/>
  <c r="IR198" i="4"/>
  <c r="IS198" i="4"/>
  <c r="IT198" i="4"/>
  <c r="IU198" i="4"/>
  <c r="IV198" i="4"/>
  <c r="A197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K197" i="4"/>
  <c r="FL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R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L197" i="4"/>
  <c r="IM197" i="4"/>
  <c r="IN197" i="4"/>
  <c r="IO197" i="4"/>
  <c r="IP197" i="4"/>
  <c r="IQ197" i="4"/>
  <c r="IR197" i="4"/>
  <c r="IS197" i="4"/>
  <c r="IT197" i="4"/>
  <c r="IU197" i="4"/>
  <c r="IV197" i="4"/>
  <c r="A196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EI196" i="4"/>
  <c r="EJ196" i="4"/>
  <c r="EK196" i="4"/>
  <c r="EL196" i="4"/>
  <c r="EM196" i="4"/>
  <c r="EN196" i="4"/>
  <c r="EO196" i="4"/>
  <c r="EP196" i="4"/>
  <c r="EQ196" i="4"/>
  <c r="ER196" i="4"/>
  <c r="ES196" i="4"/>
  <c r="ET196" i="4"/>
  <c r="EU196" i="4"/>
  <c r="EV196" i="4"/>
  <c r="EW196" i="4"/>
  <c r="EX196" i="4"/>
  <c r="EY196" i="4"/>
  <c r="EZ196" i="4"/>
  <c r="FA196" i="4"/>
  <c r="FB196" i="4"/>
  <c r="FC196" i="4"/>
  <c r="FD196" i="4"/>
  <c r="FE196" i="4"/>
  <c r="FF196" i="4"/>
  <c r="FG196" i="4"/>
  <c r="FH196" i="4"/>
  <c r="FI196" i="4"/>
  <c r="FJ196" i="4"/>
  <c r="FK196" i="4"/>
  <c r="FL196" i="4"/>
  <c r="FM196" i="4"/>
  <c r="FN196" i="4"/>
  <c r="FO196" i="4"/>
  <c r="FP196" i="4"/>
  <c r="FQ196" i="4"/>
  <c r="FR196" i="4"/>
  <c r="FS196" i="4"/>
  <c r="FT196" i="4"/>
  <c r="FU196" i="4"/>
  <c r="FV196" i="4"/>
  <c r="FW196" i="4"/>
  <c r="FX196" i="4"/>
  <c r="FY196" i="4"/>
  <c r="FZ196" i="4"/>
  <c r="GA196" i="4"/>
  <c r="GB196" i="4"/>
  <c r="GC196" i="4"/>
  <c r="GD196" i="4"/>
  <c r="GE196" i="4"/>
  <c r="GF196" i="4"/>
  <c r="GG196" i="4"/>
  <c r="GH196" i="4"/>
  <c r="GI196" i="4"/>
  <c r="GJ196" i="4"/>
  <c r="GK196" i="4"/>
  <c r="GL196" i="4"/>
  <c r="GM196" i="4"/>
  <c r="GN196" i="4"/>
  <c r="GO196" i="4"/>
  <c r="GP196" i="4"/>
  <c r="GQ196" i="4"/>
  <c r="GR196" i="4"/>
  <c r="GS196" i="4"/>
  <c r="GT196" i="4"/>
  <c r="GU196" i="4"/>
  <c r="GV196" i="4"/>
  <c r="GW196" i="4"/>
  <c r="GX196" i="4"/>
  <c r="GY196" i="4"/>
  <c r="GZ196" i="4"/>
  <c r="HA196" i="4"/>
  <c r="HB196" i="4"/>
  <c r="HC196" i="4"/>
  <c r="HD196" i="4"/>
  <c r="HE196" i="4"/>
  <c r="HF196" i="4"/>
  <c r="HG196" i="4"/>
  <c r="HH196" i="4"/>
  <c r="HI196" i="4"/>
  <c r="HJ196" i="4"/>
  <c r="HK196" i="4"/>
  <c r="HL196" i="4"/>
  <c r="HM196" i="4"/>
  <c r="HN196" i="4"/>
  <c r="HO196" i="4"/>
  <c r="HP196" i="4"/>
  <c r="HQ196" i="4"/>
  <c r="HR196" i="4"/>
  <c r="HS196" i="4"/>
  <c r="HT196" i="4"/>
  <c r="HU196" i="4"/>
  <c r="HV196" i="4"/>
  <c r="HW196" i="4"/>
  <c r="HX196" i="4"/>
  <c r="HY196" i="4"/>
  <c r="HZ196" i="4"/>
  <c r="IA196" i="4"/>
  <c r="IB196" i="4"/>
  <c r="IC196" i="4"/>
  <c r="ID196" i="4"/>
  <c r="IE196" i="4"/>
  <c r="IF196" i="4"/>
  <c r="IG196" i="4"/>
  <c r="IH196" i="4"/>
  <c r="II196" i="4"/>
  <c r="IJ196" i="4"/>
  <c r="IK196" i="4"/>
  <c r="IL196" i="4"/>
  <c r="IM196" i="4"/>
  <c r="IN196" i="4"/>
  <c r="IO196" i="4"/>
  <c r="IP196" i="4"/>
  <c r="IQ196" i="4"/>
  <c r="IR196" i="4"/>
  <c r="IS196" i="4"/>
  <c r="IT196" i="4"/>
  <c r="IU196" i="4"/>
  <c r="IV196" i="4"/>
  <c r="A195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F195" i="4"/>
  <c r="EG195" i="4"/>
  <c r="EH195" i="4"/>
  <c r="EI195" i="4"/>
  <c r="EJ195" i="4"/>
  <c r="EK195" i="4"/>
  <c r="EL195" i="4"/>
  <c r="EM195" i="4"/>
  <c r="EN195" i="4"/>
  <c r="EO195" i="4"/>
  <c r="EP195" i="4"/>
  <c r="EQ195" i="4"/>
  <c r="ER195" i="4"/>
  <c r="ES195" i="4"/>
  <c r="ET195" i="4"/>
  <c r="EU195" i="4"/>
  <c r="EV195" i="4"/>
  <c r="EW195" i="4"/>
  <c r="EX195" i="4"/>
  <c r="EY195" i="4"/>
  <c r="EZ195" i="4"/>
  <c r="FA195" i="4"/>
  <c r="FB195" i="4"/>
  <c r="FC195" i="4"/>
  <c r="FD195" i="4"/>
  <c r="FE195" i="4"/>
  <c r="FF195" i="4"/>
  <c r="FG195" i="4"/>
  <c r="FH195" i="4"/>
  <c r="FI195" i="4"/>
  <c r="FJ195" i="4"/>
  <c r="FK195" i="4"/>
  <c r="FL195" i="4"/>
  <c r="FM195" i="4"/>
  <c r="FN195" i="4"/>
  <c r="FO195" i="4"/>
  <c r="FP195" i="4"/>
  <c r="FQ195" i="4"/>
  <c r="FR195" i="4"/>
  <c r="FS195" i="4"/>
  <c r="FT195" i="4"/>
  <c r="FU195" i="4"/>
  <c r="FV195" i="4"/>
  <c r="FW195" i="4"/>
  <c r="FX195" i="4"/>
  <c r="FY195" i="4"/>
  <c r="FZ195" i="4"/>
  <c r="GA195" i="4"/>
  <c r="GB195" i="4"/>
  <c r="GC195" i="4"/>
  <c r="GD195" i="4"/>
  <c r="GE195" i="4"/>
  <c r="GF195" i="4"/>
  <c r="GG195" i="4"/>
  <c r="GH195" i="4"/>
  <c r="GI195" i="4"/>
  <c r="GJ195" i="4"/>
  <c r="GK195" i="4"/>
  <c r="GL195" i="4"/>
  <c r="GM195" i="4"/>
  <c r="GN195" i="4"/>
  <c r="GO195" i="4"/>
  <c r="GP195" i="4"/>
  <c r="GQ195" i="4"/>
  <c r="GR195" i="4"/>
  <c r="GS195" i="4"/>
  <c r="GT195" i="4"/>
  <c r="GU195" i="4"/>
  <c r="GV195" i="4"/>
  <c r="GW195" i="4"/>
  <c r="GX195" i="4"/>
  <c r="GY195" i="4"/>
  <c r="GZ195" i="4"/>
  <c r="HA195" i="4"/>
  <c r="HB195" i="4"/>
  <c r="HC195" i="4"/>
  <c r="HD195" i="4"/>
  <c r="HE195" i="4"/>
  <c r="HF195" i="4"/>
  <c r="HG195" i="4"/>
  <c r="HH195" i="4"/>
  <c r="HI195" i="4"/>
  <c r="HJ195" i="4"/>
  <c r="HK195" i="4"/>
  <c r="HL195" i="4"/>
  <c r="HM195" i="4"/>
  <c r="HN195" i="4"/>
  <c r="HO195" i="4"/>
  <c r="HP195" i="4"/>
  <c r="HQ195" i="4"/>
  <c r="HR195" i="4"/>
  <c r="HS195" i="4"/>
  <c r="HT195" i="4"/>
  <c r="HU195" i="4"/>
  <c r="HV195" i="4"/>
  <c r="HW195" i="4"/>
  <c r="HX195" i="4"/>
  <c r="HY195" i="4"/>
  <c r="HZ195" i="4"/>
  <c r="IA195" i="4"/>
  <c r="IB195" i="4"/>
  <c r="IC195" i="4"/>
  <c r="ID195" i="4"/>
  <c r="IE195" i="4"/>
  <c r="IF195" i="4"/>
  <c r="IG195" i="4"/>
  <c r="IH195" i="4"/>
  <c r="II195" i="4"/>
  <c r="IJ195" i="4"/>
  <c r="IK195" i="4"/>
  <c r="IL195" i="4"/>
  <c r="IM195" i="4"/>
  <c r="IN195" i="4"/>
  <c r="IO195" i="4"/>
  <c r="IP195" i="4"/>
  <c r="IQ195" i="4"/>
  <c r="IR195" i="4"/>
  <c r="IS195" i="4"/>
  <c r="IT195" i="4"/>
  <c r="IU195" i="4"/>
  <c r="IV195" i="4"/>
  <c r="A194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F194" i="4"/>
  <c r="EG194" i="4"/>
  <c r="EH194" i="4"/>
  <c r="EI194" i="4"/>
  <c r="EJ194" i="4"/>
  <c r="EK194" i="4"/>
  <c r="EL194" i="4"/>
  <c r="EM194" i="4"/>
  <c r="EN194" i="4"/>
  <c r="EO194" i="4"/>
  <c r="EP194" i="4"/>
  <c r="EQ194" i="4"/>
  <c r="ER194" i="4"/>
  <c r="ES194" i="4"/>
  <c r="ET194" i="4"/>
  <c r="EU194" i="4"/>
  <c r="EV194" i="4"/>
  <c r="EW194" i="4"/>
  <c r="EX194" i="4"/>
  <c r="EY194" i="4"/>
  <c r="EZ194" i="4"/>
  <c r="FA194" i="4"/>
  <c r="FB194" i="4"/>
  <c r="FC194" i="4"/>
  <c r="FD194" i="4"/>
  <c r="FE194" i="4"/>
  <c r="FF194" i="4"/>
  <c r="FG194" i="4"/>
  <c r="FH194" i="4"/>
  <c r="FI194" i="4"/>
  <c r="FJ194" i="4"/>
  <c r="FK194" i="4"/>
  <c r="FL194" i="4"/>
  <c r="FM194" i="4"/>
  <c r="FN194" i="4"/>
  <c r="FO194" i="4"/>
  <c r="FP194" i="4"/>
  <c r="FQ194" i="4"/>
  <c r="FR194" i="4"/>
  <c r="FS194" i="4"/>
  <c r="FT194" i="4"/>
  <c r="FU194" i="4"/>
  <c r="FV194" i="4"/>
  <c r="FW194" i="4"/>
  <c r="FX194" i="4"/>
  <c r="FY194" i="4"/>
  <c r="FZ194" i="4"/>
  <c r="GA194" i="4"/>
  <c r="GB194" i="4"/>
  <c r="GC194" i="4"/>
  <c r="GD194" i="4"/>
  <c r="GE194" i="4"/>
  <c r="GF194" i="4"/>
  <c r="GG194" i="4"/>
  <c r="GH194" i="4"/>
  <c r="GI194" i="4"/>
  <c r="GJ194" i="4"/>
  <c r="GK194" i="4"/>
  <c r="GL194" i="4"/>
  <c r="GM194" i="4"/>
  <c r="GN194" i="4"/>
  <c r="GO194" i="4"/>
  <c r="GP194" i="4"/>
  <c r="GQ194" i="4"/>
  <c r="GR194" i="4"/>
  <c r="GS194" i="4"/>
  <c r="GT194" i="4"/>
  <c r="GU194" i="4"/>
  <c r="GV194" i="4"/>
  <c r="GW194" i="4"/>
  <c r="GX194" i="4"/>
  <c r="GY194" i="4"/>
  <c r="GZ194" i="4"/>
  <c r="HA194" i="4"/>
  <c r="HB194" i="4"/>
  <c r="HC194" i="4"/>
  <c r="HD194" i="4"/>
  <c r="HE194" i="4"/>
  <c r="HF194" i="4"/>
  <c r="HG194" i="4"/>
  <c r="HH194" i="4"/>
  <c r="HI194" i="4"/>
  <c r="HJ194" i="4"/>
  <c r="HK194" i="4"/>
  <c r="HL194" i="4"/>
  <c r="HM194" i="4"/>
  <c r="HN194" i="4"/>
  <c r="HO194" i="4"/>
  <c r="HP194" i="4"/>
  <c r="HQ194" i="4"/>
  <c r="HR194" i="4"/>
  <c r="HS194" i="4"/>
  <c r="HT194" i="4"/>
  <c r="HU194" i="4"/>
  <c r="HV194" i="4"/>
  <c r="HW194" i="4"/>
  <c r="HX194" i="4"/>
  <c r="HY194" i="4"/>
  <c r="HZ194" i="4"/>
  <c r="IA194" i="4"/>
  <c r="IB194" i="4"/>
  <c r="IC194" i="4"/>
  <c r="ID194" i="4"/>
  <c r="IE194" i="4"/>
  <c r="IF194" i="4"/>
  <c r="IG194" i="4"/>
  <c r="IH194" i="4"/>
  <c r="II194" i="4"/>
  <c r="IJ194" i="4"/>
  <c r="IK194" i="4"/>
  <c r="IL194" i="4"/>
  <c r="IM194" i="4"/>
  <c r="IN194" i="4"/>
  <c r="IO194" i="4"/>
  <c r="IP194" i="4"/>
  <c r="IQ194" i="4"/>
  <c r="IR194" i="4"/>
  <c r="IS194" i="4"/>
  <c r="IT194" i="4"/>
  <c r="IU194" i="4"/>
  <c r="IV194" i="4"/>
  <c r="A193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EI193" i="4"/>
  <c r="EJ193" i="4"/>
  <c r="EK193" i="4"/>
  <c r="EL193" i="4"/>
  <c r="EM193" i="4"/>
  <c r="EN193" i="4"/>
  <c r="EO193" i="4"/>
  <c r="EP193" i="4"/>
  <c r="EQ193" i="4"/>
  <c r="ER193" i="4"/>
  <c r="ES193" i="4"/>
  <c r="ET193" i="4"/>
  <c r="EU193" i="4"/>
  <c r="EV193" i="4"/>
  <c r="EW193" i="4"/>
  <c r="EX193" i="4"/>
  <c r="EY193" i="4"/>
  <c r="EZ193" i="4"/>
  <c r="FA193" i="4"/>
  <c r="FB193" i="4"/>
  <c r="FC193" i="4"/>
  <c r="FD193" i="4"/>
  <c r="FE193" i="4"/>
  <c r="FF193" i="4"/>
  <c r="FG193" i="4"/>
  <c r="FH193" i="4"/>
  <c r="FI193" i="4"/>
  <c r="FJ193" i="4"/>
  <c r="FK193" i="4"/>
  <c r="FL193" i="4"/>
  <c r="FM193" i="4"/>
  <c r="FN193" i="4"/>
  <c r="FO193" i="4"/>
  <c r="FP193" i="4"/>
  <c r="FQ193" i="4"/>
  <c r="FR193" i="4"/>
  <c r="FS193" i="4"/>
  <c r="FT193" i="4"/>
  <c r="FU193" i="4"/>
  <c r="FV193" i="4"/>
  <c r="FW193" i="4"/>
  <c r="FX193" i="4"/>
  <c r="FY193" i="4"/>
  <c r="FZ193" i="4"/>
  <c r="GA193" i="4"/>
  <c r="GB193" i="4"/>
  <c r="GC193" i="4"/>
  <c r="GD193" i="4"/>
  <c r="GE193" i="4"/>
  <c r="GF193" i="4"/>
  <c r="GG193" i="4"/>
  <c r="GH193" i="4"/>
  <c r="GI193" i="4"/>
  <c r="GJ193" i="4"/>
  <c r="GK193" i="4"/>
  <c r="GL193" i="4"/>
  <c r="GM193" i="4"/>
  <c r="GN193" i="4"/>
  <c r="GO193" i="4"/>
  <c r="GP193" i="4"/>
  <c r="GQ193" i="4"/>
  <c r="GR193" i="4"/>
  <c r="GS193" i="4"/>
  <c r="GT193" i="4"/>
  <c r="GU193" i="4"/>
  <c r="GV193" i="4"/>
  <c r="GW193" i="4"/>
  <c r="GX193" i="4"/>
  <c r="GY193" i="4"/>
  <c r="GZ193" i="4"/>
  <c r="HA193" i="4"/>
  <c r="HB193" i="4"/>
  <c r="HC193" i="4"/>
  <c r="HD193" i="4"/>
  <c r="HE193" i="4"/>
  <c r="HF193" i="4"/>
  <c r="HG193" i="4"/>
  <c r="HH193" i="4"/>
  <c r="HI193" i="4"/>
  <c r="HJ193" i="4"/>
  <c r="HK193" i="4"/>
  <c r="HL193" i="4"/>
  <c r="HM193" i="4"/>
  <c r="HN193" i="4"/>
  <c r="HO193" i="4"/>
  <c r="HP193" i="4"/>
  <c r="HQ193" i="4"/>
  <c r="HR193" i="4"/>
  <c r="HS193" i="4"/>
  <c r="HT193" i="4"/>
  <c r="HU193" i="4"/>
  <c r="HV193" i="4"/>
  <c r="HW193" i="4"/>
  <c r="HX193" i="4"/>
  <c r="HY193" i="4"/>
  <c r="HZ193" i="4"/>
  <c r="IA193" i="4"/>
  <c r="IB193" i="4"/>
  <c r="IC193" i="4"/>
  <c r="ID193" i="4"/>
  <c r="IE193" i="4"/>
  <c r="IF193" i="4"/>
  <c r="IG193" i="4"/>
  <c r="IH193" i="4"/>
  <c r="II193" i="4"/>
  <c r="IJ193" i="4"/>
  <c r="IK193" i="4"/>
  <c r="IL193" i="4"/>
  <c r="IM193" i="4"/>
  <c r="IN193" i="4"/>
  <c r="IO193" i="4"/>
  <c r="IP193" i="4"/>
  <c r="IQ193" i="4"/>
  <c r="IR193" i="4"/>
  <c r="IS193" i="4"/>
  <c r="IT193" i="4"/>
  <c r="IU193" i="4"/>
  <c r="IV193" i="4"/>
  <c r="A192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EI192" i="4"/>
  <c r="EJ192" i="4"/>
  <c r="EK192" i="4"/>
  <c r="EL192" i="4"/>
  <c r="EM192" i="4"/>
  <c r="EN192" i="4"/>
  <c r="EO192" i="4"/>
  <c r="EP192" i="4"/>
  <c r="EQ192" i="4"/>
  <c r="ER192" i="4"/>
  <c r="ES192" i="4"/>
  <c r="ET192" i="4"/>
  <c r="EU192" i="4"/>
  <c r="EV192" i="4"/>
  <c r="EW192" i="4"/>
  <c r="EX192" i="4"/>
  <c r="EY192" i="4"/>
  <c r="EZ192" i="4"/>
  <c r="FA192" i="4"/>
  <c r="FB192" i="4"/>
  <c r="FC192" i="4"/>
  <c r="FD192" i="4"/>
  <c r="FE192" i="4"/>
  <c r="FF192" i="4"/>
  <c r="FG192" i="4"/>
  <c r="FH192" i="4"/>
  <c r="FI192" i="4"/>
  <c r="FJ192" i="4"/>
  <c r="FK192" i="4"/>
  <c r="FL192" i="4"/>
  <c r="FM192" i="4"/>
  <c r="FN192" i="4"/>
  <c r="FO192" i="4"/>
  <c r="FP192" i="4"/>
  <c r="FQ192" i="4"/>
  <c r="FR192" i="4"/>
  <c r="FS192" i="4"/>
  <c r="FT192" i="4"/>
  <c r="FU192" i="4"/>
  <c r="FV192" i="4"/>
  <c r="FW192" i="4"/>
  <c r="FX192" i="4"/>
  <c r="FY192" i="4"/>
  <c r="FZ192" i="4"/>
  <c r="GA192" i="4"/>
  <c r="GB192" i="4"/>
  <c r="GC192" i="4"/>
  <c r="GD192" i="4"/>
  <c r="GE192" i="4"/>
  <c r="GF192" i="4"/>
  <c r="GG192" i="4"/>
  <c r="GH192" i="4"/>
  <c r="GI192" i="4"/>
  <c r="GJ192" i="4"/>
  <c r="GK192" i="4"/>
  <c r="GL192" i="4"/>
  <c r="GM192" i="4"/>
  <c r="GN192" i="4"/>
  <c r="GO192" i="4"/>
  <c r="GP192" i="4"/>
  <c r="GQ192" i="4"/>
  <c r="GR192" i="4"/>
  <c r="GS192" i="4"/>
  <c r="GT192" i="4"/>
  <c r="GU192" i="4"/>
  <c r="GV192" i="4"/>
  <c r="GW192" i="4"/>
  <c r="GX192" i="4"/>
  <c r="GY192" i="4"/>
  <c r="GZ192" i="4"/>
  <c r="HA192" i="4"/>
  <c r="HB192" i="4"/>
  <c r="HC192" i="4"/>
  <c r="HD192" i="4"/>
  <c r="HE192" i="4"/>
  <c r="HF192" i="4"/>
  <c r="HG192" i="4"/>
  <c r="HH192" i="4"/>
  <c r="HI192" i="4"/>
  <c r="HJ192" i="4"/>
  <c r="HK192" i="4"/>
  <c r="HL192" i="4"/>
  <c r="HM192" i="4"/>
  <c r="HN192" i="4"/>
  <c r="HO192" i="4"/>
  <c r="HP192" i="4"/>
  <c r="HQ192" i="4"/>
  <c r="HR192" i="4"/>
  <c r="HS192" i="4"/>
  <c r="HT192" i="4"/>
  <c r="HU192" i="4"/>
  <c r="HV192" i="4"/>
  <c r="HW192" i="4"/>
  <c r="HX192" i="4"/>
  <c r="HY192" i="4"/>
  <c r="HZ192" i="4"/>
  <c r="IA192" i="4"/>
  <c r="IB192" i="4"/>
  <c r="IC192" i="4"/>
  <c r="ID192" i="4"/>
  <c r="IE192" i="4"/>
  <c r="IF192" i="4"/>
  <c r="IG192" i="4"/>
  <c r="IH192" i="4"/>
  <c r="II192" i="4"/>
  <c r="IJ192" i="4"/>
  <c r="IK192" i="4"/>
  <c r="IL192" i="4"/>
  <c r="IM192" i="4"/>
  <c r="IN192" i="4"/>
  <c r="IO192" i="4"/>
  <c r="IP192" i="4"/>
  <c r="IQ192" i="4"/>
  <c r="IR192" i="4"/>
  <c r="IS192" i="4"/>
  <c r="IT192" i="4"/>
  <c r="IU192" i="4"/>
  <c r="IV192" i="4"/>
  <c r="A191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EI191" i="4"/>
  <c r="EJ191" i="4"/>
  <c r="EK191" i="4"/>
  <c r="EL191" i="4"/>
  <c r="EM191" i="4"/>
  <c r="EN191" i="4"/>
  <c r="EO191" i="4"/>
  <c r="EP191" i="4"/>
  <c r="EQ191" i="4"/>
  <c r="ER191" i="4"/>
  <c r="ES191" i="4"/>
  <c r="ET191" i="4"/>
  <c r="EU191" i="4"/>
  <c r="EV191" i="4"/>
  <c r="EW191" i="4"/>
  <c r="EX191" i="4"/>
  <c r="EY191" i="4"/>
  <c r="EZ191" i="4"/>
  <c r="FA191" i="4"/>
  <c r="FB191" i="4"/>
  <c r="FC191" i="4"/>
  <c r="FD191" i="4"/>
  <c r="FE191" i="4"/>
  <c r="FF191" i="4"/>
  <c r="FG191" i="4"/>
  <c r="FH191" i="4"/>
  <c r="FI191" i="4"/>
  <c r="FJ191" i="4"/>
  <c r="FK191" i="4"/>
  <c r="FL191" i="4"/>
  <c r="FM191" i="4"/>
  <c r="FN191" i="4"/>
  <c r="FO191" i="4"/>
  <c r="FP191" i="4"/>
  <c r="FQ191" i="4"/>
  <c r="FR191" i="4"/>
  <c r="FS191" i="4"/>
  <c r="FT191" i="4"/>
  <c r="FU191" i="4"/>
  <c r="FV191" i="4"/>
  <c r="FW191" i="4"/>
  <c r="FX191" i="4"/>
  <c r="FY191" i="4"/>
  <c r="FZ191" i="4"/>
  <c r="GA191" i="4"/>
  <c r="GB191" i="4"/>
  <c r="GC191" i="4"/>
  <c r="GD191" i="4"/>
  <c r="GE191" i="4"/>
  <c r="GF191" i="4"/>
  <c r="GG191" i="4"/>
  <c r="GH191" i="4"/>
  <c r="GI191" i="4"/>
  <c r="GJ191" i="4"/>
  <c r="GK191" i="4"/>
  <c r="GL191" i="4"/>
  <c r="GM191" i="4"/>
  <c r="GN191" i="4"/>
  <c r="GO191" i="4"/>
  <c r="GP191" i="4"/>
  <c r="GQ191" i="4"/>
  <c r="GR191" i="4"/>
  <c r="GS191" i="4"/>
  <c r="GT191" i="4"/>
  <c r="GU191" i="4"/>
  <c r="GV191" i="4"/>
  <c r="GW191" i="4"/>
  <c r="GX191" i="4"/>
  <c r="GY191" i="4"/>
  <c r="GZ191" i="4"/>
  <c r="HA191" i="4"/>
  <c r="HB191" i="4"/>
  <c r="HC191" i="4"/>
  <c r="HD191" i="4"/>
  <c r="HE191" i="4"/>
  <c r="HF191" i="4"/>
  <c r="HG191" i="4"/>
  <c r="HH191" i="4"/>
  <c r="HI191" i="4"/>
  <c r="HJ191" i="4"/>
  <c r="HK191" i="4"/>
  <c r="HL191" i="4"/>
  <c r="HM191" i="4"/>
  <c r="HN191" i="4"/>
  <c r="HO191" i="4"/>
  <c r="HP191" i="4"/>
  <c r="HQ191" i="4"/>
  <c r="HR191" i="4"/>
  <c r="HS191" i="4"/>
  <c r="HT191" i="4"/>
  <c r="HU191" i="4"/>
  <c r="HV191" i="4"/>
  <c r="HW191" i="4"/>
  <c r="HX191" i="4"/>
  <c r="HY191" i="4"/>
  <c r="HZ191" i="4"/>
  <c r="IA191" i="4"/>
  <c r="IB191" i="4"/>
  <c r="IC191" i="4"/>
  <c r="ID191" i="4"/>
  <c r="IE191" i="4"/>
  <c r="IF191" i="4"/>
  <c r="IG191" i="4"/>
  <c r="IH191" i="4"/>
  <c r="II191" i="4"/>
  <c r="IJ191" i="4"/>
  <c r="IK191" i="4"/>
  <c r="IL191" i="4"/>
  <c r="IM191" i="4"/>
  <c r="IN191" i="4"/>
  <c r="IO191" i="4"/>
  <c r="IP191" i="4"/>
  <c r="IQ191" i="4"/>
  <c r="IR191" i="4"/>
  <c r="IS191" i="4"/>
  <c r="IT191" i="4"/>
  <c r="IU191" i="4"/>
  <c r="IV191" i="4"/>
  <c r="A190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EI190" i="4"/>
  <c r="EJ190" i="4"/>
  <c r="EK190" i="4"/>
  <c r="EL190" i="4"/>
  <c r="EM190" i="4"/>
  <c r="EN190" i="4"/>
  <c r="EO190" i="4"/>
  <c r="EP190" i="4"/>
  <c r="EQ190" i="4"/>
  <c r="ER190" i="4"/>
  <c r="ES190" i="4"/>
  <c r="ET190" i="4"/>
  <c r="EU190" i="4"/>
  <c r="EV190" i="4"/>
  <c r="EW190" i="4"/>
  <c r="EX190" i="4"/>
  <c r="EY190" i="4"/>
  <c r="EZ190" i="4"/>
  <c r="FA190" i="4"/>
  <c r="FB190" i="4"/>
  <c r="FC190" i="4"/>
  <c r="FD190" i="4"/>
  <c r="FE190" i="4"/>
  <c r="FF190" i="4"/>
  <c r="FG190" i="4"/>
  <c r="FH190" i="4"/>
  <c r="FI190" i="4"/>
  <c r="FJ190" i="4"/>
  <c r="FK190" i="4"/>
  <c r="FL190" i="4"/>
  <c r="FM190" i="4"/>
  <c r="FN190" i="4"/>
  <c r="FO190" i="4"/>
  <c r="FP190" i="4"/>
  <c r="FQ190" i="4"/>
  <c r="FR190" i="4"/>
  <c r="FS190" i="4"/>
  <c r="FT190" i="4"/>
  <c r="FU190" i="4"/>
  <c r="FV190" i="4"/>
  <c r="FW190" i="4"/>
  <c r="FX190" i="4"/>
  <c r="FY190" i="4"/>
  <c r="FZ190" i="4"/>
  <c r="GA190" i="4"/>
  <c r="GB190" i="4"/>
  <c r="GC190" i="4"/>
  <c r="GD190" i="4"/>
  <c r="GE190" i="4"/>
  <c r="GF190" i="4"/>
  <c r="GG190" i="4"/>
  <c r="GH190" i="4"/>
  <c r="GI190" i="4"/>
  <c r="GJ190" i="4"/>
  <c r="GK190" i="4"/>
  <c r="GL190" i="4"/>
  <c r="GM190" i="4"/>
  <c r="GN190" i="4"/>
  <c r="GO190" i="4"/>
  <c r="GP190" i="4"/>
  <c r="GQ190" i="4"/>
  <c r="GR190" i="4"/>
  <c r="GS190" i="4"/>
  <c r="GT190" i="4"/>
  <c r="GU190" i="4"/>
  <c r="GV190" i="4"/>
  <c r="GW190" i="4"/>
  <c r="GX190" i="4"/>
  <c r="GY190" i="4"/>
  <c r="GZ190" i="4"/>
  <c r="HA190" i="4"/>
  <c r="HB190" i="4"/>
  <c r="HC190" i="4"/>
  <c r="HD190" i="4"/>
  <c r="HE190" i="4"/>
  <c r="HF190" i="4"/>
  <c r="HG190" i="4"/>
  <c r="HH190" i="4"/>
  <c r="HI190" i="4"/>
  <c r="HJ190" i="4"/>
  <c r="HK190" i="4"/>
  <c r="HL190" i="4"/>
  <c r="HM190" i="4"/>
  <c r="HN190" i="4"/>
  <c r="HO190" i="4"/>
  <c r="HP190" i="4"/>
  <c r="HQ190" i="4"/>
  <c r="HR190" i="4"/>
  <c r="HS190" i="4"/>
  <c r="HT190" i="4"/>
  <c r="HU190" i="4"/>
  <c r="HV190" i="4"/>
  <c r="HW190" i="4"/>
  <c r="HX190" i="4"/>
  <c r="HY190" i="4"/>
  <c r="HZ190" i="4"/>
  <c r="IA190" i="4"/>
  <c r="IB190" i="4"/>
  <c r="IC190" i="4"/>
  <c r="ID190" i="4"/>
  <c r="IE190" i="4"/>
  <c r="IF190" i="4"/>
  <c r="IG190" i="4"/>
  <c r="IH190" i="4"/>
  <c r="II190" i="4"/>
  <c r="IJ190" i="4"/>
  <c r="IK190" i="4"/>
  <c r="IL190" i="4"/>
  <c r="IM190" i="4"/>
  <c r="IN190" i="4"/>
  <c r="IO190" i="4"/>
  <c r="IP190" i="4"/>
  <c r="IQ190" i="4"/>
  <c r="IR190" i="4"/>
  <c r="IS190" i="4"/>
  <c r="IT190" i="4"/>
  <c r="IU190" i="4"/>
  <c r="IV190" i="4"/>
  <c r="A189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EI189" i="4"/>
  <c r="EJ189" i="4"/>
  <c r="EK189" i="4"/>
  <c r="EL189" i="4"/>
  <c r="EM189" i="4"/>
  <c r="EN189" i="4"/>
  <c r="EO189" i="4"/>
  <c r="EP189" i="4"/>
  <c r="EQ189" i="4"/>
  <c r="ER189" i="4"/>
  <c r="ES189" i="4"/>
  <c r="ET189" i="4"/>
  <c r="EU189" i="4"/>
  <c r="EV189" i="4"/>
  <c r="EW189" i="4"/>
  <c r="EX189" i="4"/>
  <c r="EY189" i="4"/>
  <c r="EZ189" i="4"/>
  <c r="FA189" i="4"/>
  <c r="FB189" i="4"/>
  <c r="FC189" i="4"/>
  <c r="FD189" i="4"/>
  <c r="FE189" i="4"/>
  <c r="FF189" i="4"/>
  <c r="FG189" i="4"/>
  <c r="FH189" i="4"/>
  <c r="FI189" i="4"/>
  <c r="FJ189" i="4"/>
  <c r="FK189" i="4"/>
  <c r="FL189" i="4"/>
  <c r="FM189" i="4"/>
  <c r="FN189" i="4"/>
  <c r="FO189" i="4"/>
  <c r="FP189" i="4"/>
  <c r="FQ189" i="4"/>
  <c r="FR189" i="4"/>
  <c r="FS189" i="4"/>
  <c r="FT189" i="4"/>
  <c r="FU189" i="4"/>
  <c r="FV189" i="4"/>
  <c r="FW189" i="4"/>
  <c r="FX189" i="4"/>
  <c r="FY189" i="4"/>
  <c r="FZ189" i="4"/>
  <c r="GA189" i="4"/>
  <c r="GB189" i="4"/>
  <c r="GC189" i="4"/>
  <c r="GD189" i="4"/>
  <c r="GE189" i="4"/>
  <c r="GF189" i="4"/>
  <c r="GG189" i="4"/>
  <c r="GH189" i="4"/>
  <c r="GI189" i="4"/>
  <c r="GJ189" i="4"/>
  <c r="GK189" i="4"/>
  <c r="GL189" i="4"/>
  <c r="GM189" i="4"/>
  <c r="GN189" i="4"/>
  <c r="GO189" i="4"/>
  <c r="GP189" i="4"/>
  <c r="GQ189" i="4"/>
  <c r="GR189" i="4"/>
  <c r="GS189" i="4"/>
  <c r="GT189" i="4"/>
  <c r="GU189" i="4"/>
  <c r="GV189" i="4"/>
  <c r="GW189" i="4"/>
  <c r="GX189" i="4"/>
  <c r="GY189" i="4"/>
  <c r="GZ189" i="4"/>
  <c r="HA189" i="4"/>
  <c r="HB189" i="4"/>
  <c r="HC189" i="4"/>
  <c r="HD189" i="4"/>
  <c r="HE189" i="4"/>
  <c r="HF189" i="4"/>
  <c r="HG189" i="4"/>
  <c r="HH189" i="4"/>
  <c r="HI189" i="4"/>
  <c r="HJ189" i="4"/>
  <c r="HK189" i="4"/>
  <c r="HL189" i="4"/>
  <c r="HM189" i="4"/>
  <c r="HN189" i="4"/>
  <c r="HO189" i="4"/>
  <c r="HP189" i="4"/>
  <c r="HQ189" i="4"/>
  <c r="HR189" i="4"/>
  <c r="HS189" i="4"/>
  <c r="HT189" i="4"/>
  <c r="HU189" i="4"/>
  <c r="HV189" i="4"/>
  <c r="HW189" i="4"/>
  <c r="HX189" i="4"/>
  <c r="HY189" i="4"/>
  <c r="HZ189" i="4"/>
  <c r="IA189" i="4"/>
  <c r="IB189" i="4"/>
  <c r="IC189" i="4"/>
  <c r="ID189" i="4"/>
  <c r="IE189" i="4"/>
  <c r="IF189" i="4"/>
  <c r="IG189" i="4"/>
  <c r="IH189" i="4"/>
  <c r="II189" i="4"/>
  <c r="IJ189" i="4"/>
  <c r="IK189" i="4"/>
  <c r="IL189" i="4"/>
  <c r="IM189" i="4"/>
  <c r="IN189" i="4"/>
  <c r="IO189" i="4"/>
  <c r="IP189" i="4"/>
  <c r="IQ189" i="4"/>
  <c r="IR189" i="4"/>
  <c r="IS189" i="4"/>
  <c r="IT189" i="4"/>
  <c r="IU189" i="4"/>
  <c r="IV189" i="4"/>
  <c r="A188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EI188" i="4"/>
  <c r="EJ188" i="4"/>
  <c r="EK188" i="4"/>
  <c r="EL188" i="4"/>
  <c r="EM188" i="4"/>
  <c r="EN188" i="4"/>
  <c r="EO188" i="4"/>
  <c r="EP188" i="4"/>
  <c r="EQ188" i="4"/>
  <c r="ER188" i="4"/>
  <c r="ES188" i="4"/>
  <c r="ET188" i="4"/>
  <c r="EU188" i="4"/>
  <c r="EV188" i="4"/>
  <c r="EW188" i="4"/>
  <c r="EX188" i="4"/>
  <c r="EY188" i="4"/>
  <c r="EZ188" i="4"/>
  <c r="FA188" i="4"/>
  <c r="FB188" i="4"/>
  <c r="FC188" i="4"/>
  <c r="FD188" i="4"/>
  <c r="FE188" i="4"/>
  <c r="FF188" i="4"/>
  <c r="FG188" i="4"/>
  <c r="FH188" i="4"/>
  <c r="FI188" i="4"/>
  <c r="FJ188" i="4"/>
  <c r="FK188" i="4"/>
  <c r="FL188" i="4"/>
  <c r="FM188" i="4"/>
  <c r="FN188" i="4"/>
  <c r="FO188" i="4"/>
  <c r="FP188" i="4"/>
  <c r="FQ188" i="4"/>
  <c r="FR188" i="4"/>
  <c r="FS188" i="4"/>
  <c r="FT188" i="4"/>
  <c r="FU188" i="4"/>
  <c r="FV188" i="4"/>
  <c r="FW188" i="4"/>
  <c r="FX188" i="4"/>
  <c r="FY188" i="4"/>
  <c r="FZ188" i="4"/>
  <c r="GA188" i="4"/>
  <c r="GB188" i="4"/>
  <c r="GC188" i="4"/>
  <c r="GD188" i="4"/>
  <c r="GE188" i="4"/>
  <c r="GF188" i="4"/>
  <c r="GG188" i="4"/>
  <c r="GH188" i="4"/>
  <c r="GI188" i="4"/>
  <c r="GJ188" i="4"/>
  <c r="GK188" i="4"/>
  <c r="GL188" i="4"/>
  <c r="GM188" i="4"/>
  <c r="GN188" i="4"/>
  <c r="GO188" i="4"/>
  <c r="GP188" i="4"/>
  <c r="GQ188" i="4"/>
  <c r="GR188" i="4"/>
  <c r="GS188" i="4"/>
  <c r="GT188" i="4"/>
  <c r="GU188" i="4"/>
  <c r="GV188" i="4"/>
  <c r="GW188" i="4"/>
  <c r="GX188" i="4"/>
  <c r="GY188" i="4"/>
  <c r="GZ188" i="4"/>
  <c r="HA188" i="4"/>
  <c r="HB188" i="4"/>
  <c r="HC188" i="4"/>
  <c r="HD188" i="4"/>
  <c r="HE188" i="4"/>
  <c r="HF188" i="4"/>
  <c r="HG188" i="4"/>
  <c r="HH188" i="4"/>
  <c r="HI188" i="4"/>
  <c r="HJ188" i="4"/>
  <c r="HK188" i="4"/>
  <c r="HL188" i="4"/>
  <c r="HM188" i="4"/>
  <c r="HN188" i="4"/>
  <c r="HO188" i="4"/>
  <c r="HP188" i="4"/>
  <c r="HQ188" i="4"/>
  <c r="HR188" i="4"/>
  <c r="HS188" i="4"/>
  <c r="HT188" i="4"/>
  <c r="HU188" i="4"/>
  <c r="HV188" i="4"/>
  <c r="HW188" i="4"/>
  <c r="HX188" i="4"/>
  <c r="HY188" i="4"/>
  <c r="HZ188" i="4"/>
  <c r="IA188" i="4"/>
  <c r="IB188" i="4"/>
  <c r="IC188" i="4"/>
  <c r="ID188" i="4"/>
  <c r="IE188" i="4"/>
  <c r="IF188" i="4"/>
  <c r="IG188" i="4"/>
  <c r="IH188" i="4"/>
  <c r="II188" i="4"/>
  <c r="IJ188" i="4"/>
  <c r="IK188" i="4"/>
  <c r="IL188" i="4"/>
  <c r="IM188" i="4"/>
  <c r="IN188" i="4"/>
  <c r="IO188" i="4"/>
  <c r="IP188" i="4"/>
  <c r="IQ188" i="4"/>
  <c r="IR188" i="4"/>
  <c r="IS188" i="4"/>
  <c r="IT188" i="4"/>
  <c r="IU188" i="4"/>
  <c r="IV188" i="4"/>
  <c r="A187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EI187" i="4"/>
  <c r="EJ187" i="4"/>
  <c r="EK187" i="4"/>
  <c r="EL187" i="4"/>
  <c r="EM187" i="4"/>
  <c r="EN187" i="4"/>
  <c r="EO187" i="4"/>
  <c r="EP187" i="4"/>
  <c r="EQ187" i="4"/>
  <c r="ER187" i="4"/>
  <c r="ES187" i="4"/>
  <c r="ET187" i="4"/>
  <c r="EU187" i="4"/>
  <c r="EV187" i="4"/>
  <c r="EW187" i="4"/>
  <c r="EX187" i="4"/>
  <c r="EY187" i="4"/>
  <c r="EZ187" i="4"/>
  <c r="FA187" i="4"/>
  <c r="FB187" i="4"/>
  <c r="FC187" i="4"/>
  <c r="FD187" i="4"/>
  <c r="FE187" i="4"/>
  <c r="FF187" i="4"/>
  <c r="FG187" i="4"/>
  <c r="FH187" i="4"/>
  <c r="FI187" i="4"/>
  <c r="FJ187" i="4"/>
  <c r="FK187" i="4"/>
  <c r="FL187" i="4"/>
  <c r="FM187" i="4"/>
  <c r="FN187" i="4"/>
  <c r="FO187" i="4"/>
  <c r="FP187" i="4"/>
  <c r="FQ187" i="4"/>
  <c r="FR187" i="4"/>
  <c r="FS187" i="4"/>
  <c r="FT187" i="4"/>
  <c r="FU187" i="4"/>
  <c r="FV187" i="4"/>
  <c r="FW187" i="4"/>
  <c r="FX187" i="4"/>
  <c r="FY187" i="4"/>
  <c r="FZ187" i="4"/>
  <c r="GA187" i="4"/>
  <c r="GB187" i="4"/>
  <c r="GC187" i="4"/>
  <c r="GD187" i="4"/>
  <c r="GE187" i="4"/>
  <c r="GF187" i="4"/>
  <c r="GG187" i="4"/>
  <c r="GH187" i="4"/>
  <c r="GI187" i="4"/>
  <c r="GJ187" i="4"/>
  <c r="GK187" i="4"/>
  <c r="GL187" i="4"/>
  <c r="GM187" i="4"/>
  <c r="GN187" i="4"/>
  <c r="GO187" i="4"/>
  <c r="GP187" i="4"/>
  <c r="GQ187" i="4"/>
  <c r="GR187" i="4"/>
  <c r="GS187" i="4"/>
  <c r="GT187" i="4"/>
  <c r="GU187" i="4"/>
  <c r="GV187" i="4"/>
  <c r="GW187" i="4"/>
  <c r="GX187" i="4"/>
  <c r="GY187" i="4"/>
  <c r="GZ187" i="4"/>
  <c r="HA187" i="4"/>
  <c r="HB187" i="4"/>
  <c r="HC187" i="4"/>
  <c r="HD187" i="4"/>
  <c r="HE187" i="4"/>
  <c r="HF187" i="4"/>
  <c r="HG187" i="4"/>
  <c r="HH187" i="4"/>
  <c r="HI187" i="4"/>
  <c r="HJ187" i="4"/>
  <c r="HK187" i="4"/>
  <c r="HL187" i="4"/>
  <c r="HM187" i="4"/>
  <c r="HN187" i="4"/>
  <c r="HO187" i="4"/>
  <c r="HP187" i="4"/>
  <c r="HQ187" i="4"/>
  <c r="HR187" i="4"/>
  <c r="HS187" i="4"/>
  <c r="HT187" i="4"/>
  <c r="HU187" i="4"/>
  <c r="HV187" i="4"/>
  <c r="HW187" i="4"/>
  <c r="HX187" i="4"/>
  <c r="HY187" i="4"/>
  <c r="HZ187" i="4"/>
  <c r="IA187" i="4"/>
  <c r="IB187" i="4"/>
  <c r="IC187" i="4"/>
  <c r="ID187" i="4"/>
  <c r="IE187" i="4"/>
  <c r="IF187" i="4"/>
  <c r="IG187" i="4"/>
  <c r="IH187" i="4"/>
  <c r="II187" i="4"/>
  <c r="IJ187" i="4"/>
  <c r="IK187" i="4"/>
  <c r="IL187" i="4"/>
  <c r="IM187" i="4"/>
  <c r="IN187" i="4"/>
  <c r="IO187" i="4"/>
  <c r="IP187" i="4"/>
  <c r="IQ187" i="4"/>
  <c r="IR187" i="4"/>
  <c r="IS187" i="4"/>
  <c r="IT187" i="4"/>
  <c r="IU187" i="4"/>
  <c r="IV187" i="4"/>
  <c r="A186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EI186" i="4"/>
  <c r="EJ186" i="4"/>
  <c r="EK186" i="4"/>
  <c r="EL186" i="4"/>
  <c r="EM186" i="4"/>
  <c r="EN186" i="4"/>
  <c r="EO186" i="4"/>
  <c r="EP186" i="4"/>
  <c r="EQ186" i="4"/>
  <c r="ER186" i="4"/>
  <c r="ES186" i="4"/>
  <c r="ET186" i="4"/>
  <c r="EU186" i="4"/>
  <c r="EV186" i="4"/>
  <c r="EW186" i="4"/>
  <c r="EX186" i="4"/>
  <c r="EY186" i="4"/>
  <c r="EZ186" i="4"/>
  <c r="FA186" i="4"/>
  <c r="FB186" i="4"/>
  <c r="FC186" i="4"/>
  <c r="FD186" i="4"/>
  <c r="FE186" i="4"/>
  <c r="FF186" i="4"/>
  <c r="FG186" i="4"/>
  <c r="FH186" i="4"/>
  <c r="FI186" i="4"/>
  <c r="FJ186" i="4"/>
  <c r="FK186" i="4"/>
  <c r="FL186" i="4"/>
  <c r="FM186" i="4"/>
  <c r="FN186" i="4"/>
  <c r="FO186" i="4"/>
  <c r="FP186" i="4"/>
  <c r="FQ186" i="4"/>
  <c r="FR186" i="4"/>
  <c r="FS186" i="4"/>
  <c r="FT186" i="4"/>
  <c r="FU186" i="4"/>
  <c r="FV186" i="4"/>
  <c r="FW186" i="4"/>
  <c r="FX186" i="4"/>
  <c r="FY186" i="4"/>
  <c r="FZ186" i="4"/>
  <c r="GA186" i="4"/>
  <c r="GB186" i="4"/>
  <c r="GC186" i="4"/>
  <c r="GD186" i="4"/>
  <c r="GE186" i="4"/>
  <c r="GF186" i="4"/>
  <c r="GG186" i="4"/>
  <c r="GH186" i="4"/>
  <c r="GI186" i="4"/>
  <c r="GJ186" i="4"/>
  <c r="GK186" i="4"/>
  <c r="GL186" i="4"/>
  <c r="GM186" i="4"/>
  <c r="GN186" i="4"/>
  <c r="GO186" i="4"/>
  <c r="GP186" i="4"/>
  <c r="GQ186" i="4"/>
  <c r="GR186" i="4"/>
  <c r="GS186" i="4"/>
  <c r="GT186" i="4"/>
  <c r="GU186" i="4"/>
  <c r="GV186" i="4"/>
  <c r="GW186" i="4"/>
  <c r="GX186" i="4"/>
  <c r="GY186" i="4"/>
  <c r="GZ186" i="4"/>
  <c r="HA186" i="4"/>
  <c r="HB186" i="4"/>
  <c r="HC186" i="4"/>
  <c r="HD186" i="4"/>
  <c r="HE186" i="4"/>
  <c r="HF186" i="4"/>
  <c r="HG186" i="4"/>
  <c r="HH186" i="4"/>
  <c r="HI186" i="4"/>
  <c r="HJ186" i="4"/>
  <c r="HK186" i="4"/>
  <c r="HL186" i="4"/>
  <c r="HM186" i="4"/>
  <c r="HN186" i="4"/>
  <c r="HO186" i="4"/>
  <c r="HP186" i="4"/>
  <c r="HQ186" i="4"/>
  <c r="HR186" i="4"/>
  <c r="HS186" i="4"/>
  <c r="HT186" i="4"/>
  <c r="HU186" i="4"/>
  <c r="HV186" i="4"/>
  <c r="HW186" i="4"/>
  <c r="HX186" i="4"/>
  <c r="HY186" i="4"/>
  <c r="HZ186" i="4"/>
  <c r="IA186" i="4"/>
  <c r="IB186" i="4"/>
  <c r="IC186" i="4"/>
  <c r="ID186" i="4"/>
  <c r="IE186" i="4"/>
  <c r="IF186" i="4"/>
  <c r="IG186" i="4"/>
  <c r="IH186" i="4"/>
  <c r="II186" i="4"/>
  <c r="IJ186" i="4"/>
  <c r="IK186" i="4"/>
  <c r="IL186" i="4"/>
  <c r="IM186" i="4"/>
  <c r="IN186" i="4"/>
  <c r="IO186" i="4"/>
  <c r="IP186" i="4"/>
  <c r="IQ186" i="4"/>
  <c r="IR186" i="4"/>
  <c r="IS186" i="4"/>
  <c r="IT186" i="4"/>
  <c r="IU186" i="4"/>
  <c r="IV186" i="4"/>
  <c r="A185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EI185" i="4"/>
  <c r="EJ185" i="4"/>
  <c r="EK185" i="4"/>
  <c r="EL185" i="4"/>
  <c r="EM185" i="4"/>
  <c r="EN185" i="4"/>
  <c r="EO185" i="4"/>
  <c r="EP185" i="4"/>
  <c r="EQ185" i="4"/>
  <c r="ER185" i="4"/>
  <c r="ES185" i="4"/>
  <c r="ET185" i="4"/>
  <c r="EU185" i="4"/>
  <c r="EV185" i="4"/>
  <c r="EW185" i="4"/>
  <c r="EX185" i="4"/>
  <c r="EY185" i="4"/>
  <c r="EZ185" i="4"/>
  <c r="FA185" i="4"/>
  <c r="FB185" i="4"/>
  <c r="FC185" i="4"/>
  <c r="FD185" i="4"/>
  <c r="FE185" i="4"/>
  <c r="FF185" i="4"/>
  <c r="FG185" i="4"/>
  <c r="FH185" i="4"/>
  <c r="FI185" i="4"/>
  <c r="FJ185" i="4"/>
  <c r="FK185" i="4"/>
  <c r="FL185" i="4"/>
  <c r="FM185" i="4"/>
  <c r="FN185" i="4"/>
  <c r="FO185" i="4"/>
  <c r="FP185" i="4"/>
  <c r="FQ185" i="4"/>
  <c r="FR185" i="4"/>
  <c r="FS185" i="4"/>
  <c r="FT185" i="4"/>
  <c r="FU185" i="4"/>
  <c r="FV185" i="4"/>
  <c r="FW185" i="4"/>
  <c r="FX185" i="4"/>
  <c r="FY185" i="4"/>
  <c r="FZ185" i="4"/>
  <c r="GA185" i="4"/>
  <c r="GB185" i="4"/>
  <c r="GC185" i="4"/>
  <c r="GD185" i="4"/>
  <c r="GE185" i="4"/>
  <c r="GF185" i="4"/>
  <c r="GG185" i="4"/>
  <c r="GH185" i="4"/>
  <c r="GI185" i="4"/>
  <c r="GJ185" i="4"/>
  <c r="GK185" i="4"/>
  <c r="GL185" i="4"/>
  <c r="GM185" i="4"/>
  <c r="GN185" i="4"/>
  <c r="GO185" i="4"/>
  <c r="GP185" i="4"/>
  <c r="GQ185" i="4"/>
  <c r="GR185" i="4"/>
  <c r="GS185" i="4"/>
  <c r="GT185" i="4"/>
  <c r="GU185" i="4"/>
  <c r="GV185" i="4"/>
  <c r="GW185" i="4"/>
  <c r="GX185" i="4"/>
  <c r="GY185" i="4"/>
  <c r="GZ185" i="4"/>
  <c r="HA185" i="4"/>
  <c r="HB185" i="4"/>
  <c r="HC185" i="4"/>
  <c r="HD185" i="4"/>
  <c r="HE185" i="4"/>
  <c r="HF185" i="4"/>
  <c r="HG185" i="4"/>
  <c r="HH185" i="4"/>
  <c r="HI185" i="4"/>
  <c r="HJ185" i="4"/>
  <c r="HK185" i="4"/>
  <c r="HL185" i="4"/>
  <c r="HM185" i="4"/>
  <c r="HN185" i="4"/>
  <c r="HO185" i="4"/>
  <c r="HP185" i="4"/>
  <c r="HQ185" i="4"/>
  <c r="HR185" i="4"/>
  <c r="HS185" i="4"/>
  <c r="HT185" i="4"/>
  <c r="HU185" i="4"/>
  <c r="HV185" i="4"/>
  <c r="HW185" i="4"/>
  <c r="HX185" i="4"/>
  <c r="HY185" i="4"/>
  <c r="HZ185" i="4"/>
  <c r="IA185" i="4"/>
  <c r="IB185" i="4"/>
  <c r="IC185" i="4"/>
  <c r="ID185" i="4"/>
  <c r="IE185" i="4"/>
  <c r="IF185" i="4"/>
  <c r="IG185" i="4"/>
  <c r="IH185" i="4"/>
  <c r="II185" i="4"/>
  <c r="IJ185" i="4"/>
  <c r="IK185" i="4"/>
  <c r="IL185" i="4"/>
  <c r="IM185" i="4"/>
  <c r="IN185" i="4"/>
  <c r="IO185" i="4"/>
  <c r="IP185" i="4"/>
  <c r="IQ185" i="4"/>
  <c r="IR185" i="4"/>
  <c r="IS185" i="4"/>
  <c r="IT185" i="4"/>
  <c r="IU185" i="4"/>
  <c r="IV185" i="4"/>
  <c r="A184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EI184" i="4"/>
  <c r="EJ184" i="4"/>
  <c r="EK184" i="4"/>
  <c r="EL184" i="4"/>
  <c r="EM184" i="4"/>
  <c r="EN184" i="4"/>
  <c r="EO184" i="4"/>
  <c r="EP184" i="4"/>
  <c r="EQ184" i="4"/>
  <c r="ER184" i="4"/>
  <c r="ES184" i="4"/>
  <c r="ET184" i="4"/>
  <c r="EU184" i="4"/>
  <c r="EV184" i="4"/>
  <c r="EW184" i="4"/>
  <c r="EX184" i="4"/>
  <c r="EY184" i="4"/>
  <c r="EZ184" i="4"/>
  <c r="FA184" i="4"/>
  <c r="FB184" i="4"/>
  <c r="FC184" i="4"/>
  <c r="FD184" i="4"/>
  <c r="FE184" i="4"/>
  <c r="FF184" i="4"/>
  <c r="FG184" i="4"/>
  <c r="FH184" i="4"/>
  <c r="FI184" i="4"/>
  <c r="FJ184" i="4"/>
  <c r="FK184" i="4"/>
  <c r="FL184" i="4"/>
  <c r="FM184" i="4"/>
  <c r="FN184" i="4"/>
  <c r="FO184" i="4"/>
  <c r="FP184" i="4"/>
  <c r="FQ184" i="4"/>
  <c r="FR184" i="4"/>
  <c r="FS184" i="4"/>
  <c r="FT184" i="4"/>
  <c r="FU184" i="4"/>
  <c r="FV184" i="4"/>
  <c r="FW184" i="4"/>
  <c r="FX184" i="4"/>
  <c r="FY184" i="4"/>
  <c r="FZ184" i="4"/>
  <c r="GA184" i="4"/>
  <c r="GB184" i="4"/>
  <c r="GC184" i="4"/>
  <c r="GD184" i="4"/>
  <c r="GE184" i="4"/>
  <c r="GF184" i="4"/>
  <c r="GG184" i="4"/>
  <c r="GH184" i="4"/>
  <c r="GI184" i="4"/>
  <c r="GJ184" i="4"/>
  <c r="GK184" i="4"/>
  <c r="GL184" i="4"/>
  <c r="GM184" i="4"/>
  <c r="GN184" i="4"/>
  <c r="GO184" i="4"/>
  <c r="GP184" i="4"/>
  <c r="GQ184" i="4"/>
  <c r="GR184" i="4"/>
  <c r="GS184" i="4"/>
  <c r="GT184" i="4"/>
  <c r="GU184" i="4"/>
  <c r="GV184" i="4"/>
  <c r="GW184" i="4"/>
  <c r="GX184" i="4"/>
  <c r="GY184" i="4"/>
  <c r="GZ184" i="4"/>
  <c r="HA184" i="4"/>
  <c r="HB184" i="4"/>
  <c r="HC184" i="4"/>
  <c r="HD184" i="4"/>
  <c r="HE184" i="4"/>
  <c r="HF184" i="4"/>
  <c r="HG184" i="4"/>
  <c r="HH184" i="4"/>
  <c r="HI184" i="4"/>
  <c r="HJ184" i="4"/>
  <c r="HK184" i="4"/>
  <c r="HL184" i="4"/>
  <c r="HM184" i="4"/>
  <c r="HN184" i="4"/>
  <c r="HO184" i="4"/>
  <c r="HP184" i="4"/>
  <c r="HQ184" i="4"/>
  <c r="HR184" i="4"/>
  <c r="HS184" i="4"/>
  <c r="HT184" i="4"/>
  <c r="HU184" i="4"/>
  <c r="HV184" i="4"/>
  <c r="HW184" i="4"/>
  <c r="HX184" i="4"/>
  <c r="HY184" i="4"/>
  <c r="HZ184" i="4"/>
  <c r="IA184" i="4"/>
  <c r="IB184" i="4"/>
  <c r="IC184" i="4"/>
  <c r="ID184" i="4"/>
  <c r="IE184" i="4"/>
  <c r="IF184" i="4"/>
  <c r="IG184" i="4"/>
  <c r="IH184" i="4"/>
  <c r="II184" i="4"/>
  <c r="IJ184" i="4"/>
  <c r="IK184" i="4"/>
  <c r="IL184" i="4"/>
  <c r="IM184" i="4"/>
  <c r="IN184" i="4"/>
  <c r="IO184" i="4"/>
  <c r="IP184" i="4"/>
  <c r="IQ184" i="4"/>
  <c r="IR184" i="4"/>
  <c r="IS184" i="4"/>
  <c r="IT184" i="4"/>
  <c r="IU184" i="4"/>
  <c r="IV184" i="4"/>
  <c r="A183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EI183" i="4"/>
  <c r="EJ183" i="4"/>
  <c r="EK183" i="4"/>
  <c r="EL183" i="4"/>
  <c r="EM183" i="4"/>
  <c r="EN183" i="4"/>
  <c r="EO183" i="4"/>
  <c r="EP183" i="4"/>
  <c r="EQ183" i="4"/>
  <c r="ER183" i="4"/>
  <c r="ES183" i="4"/>
  <c r="ET183" i="4"/>
  <c r="EU183" i="4"/>
  <c r="EV183" i="4"/>
  <c r="EW183" i="4"/>
  <c r="EX183" i="4"/>
  <c r="EY183" i="4"/>
  <c r="EZ183" i="4"/>
  <c r="FA183" i="4"/>
  <c r="FB183" i="4"/>
  <c r="FC183" i="4"/>
  <c r="FD183" i="4"/>
  <c r="FE183" i="4"/>
  <c r="FF183" i="4"/>
  <c r="FG183" i="4"/>
  <c r="FH183" i="4"/>
  <c r="FI183" i="4"/>
  <c r="FJ183" i="4"/>
  <c r="FK183" i="4"/>
  <c r="FL183" i="4"/>
  <c r="FM183" i="4"/>
  <c r="FN183" i="4"/>
  <c r="FO183" i="4"/>
  <c r="FP183" i="4"/>
  <c r="FQ183" i="4"/>
  <c r="FR183" i="4"/>
  <c r="FS183" i="4"/>
  <c r="FT183" i="4"/>
  <c r="FU183" i="4"/>
  <c r="FV183" i="4"/>
  <c r="FW183" i="4"/>
  <c r="FX183" i="4"/>
  <c r="FY183" i="4"/>
  <c r="FZ183" i="4"/>
  <c r="GA183" i="4"/>
  <c r="GB183" i="4"/>
  <c r="GC183" i="4"/>
  <c r="GD183" i="4"/>
  <c r="GE183" i="4"/>
  <c r="GF183" i="4"/>
  <c r="GG183" i="4"/>
  <c r="GH183" i="4"/>
  <c r="GI183" i="4"/>
  <c r="GJ183" i="4"/>
  <c r="GK183" i="4"/>
  <c r="GL183" i="4"/>
  <c r="GM183" i="4"/>
  <c r="GN183" i="4"/>
  <c r="GO183" i="4"/>
  <c r="GP183" i="4"/>
  <c r="GQ183" i="4"/>
  <c r="GR183" i="4"/>
  <c r="GS183" i="4"/>
  <c r="GT183" i="4"/>
  <c r="GU183" i="4"/>
  <c r="GV183" i="4"/>
  <c r="GW183" i="4"/>
  <c r="GX183" i="4"/>
  <c r="GY183" i="4"/>
  <c r="GZ183" i="4"/>
  <c r="HA183" i="4"/>
  <c r="HB183" i="4"/>
  <c r="HC183" i="4"/>
  <c r="HD183" i="4"/>
  <c r="HE183" i="4"/>
  <c r="HF183" i="4"/>
  <c r="HG183" i="4"/>
  <c r="HH183" i="4"/>
  <c r="HI183" i="4"/>
  <c r="HJ183" i="4"/>
  <c r="HK183" i="4"/>
  <c r="HL183" i="4"/>
  <c r="HM183" i="4"/>
  <c r="HN183" i="4"/>
  <c r="HO183" i="4"/>
  <c r="HP183" i="4"/>
  <c r="HQ183" i="4"/>
  <c r="HR183" i="4"/>
  <c r="HS183" i="4"/>
  <c r="HT183" i="4"/>
  <c r="HU183" i="4"/>
  <c r="HV183" i="4"/>
  <c r="HW183" i="4"/>
  <c r="HX183" i="4"/>
  <c r="HY183" i="4"/>
  <c r="HZ183" i="4"/>
  <c r="IA183" i="4"/>
  <c r="IB183" i="4"/>
  <c r="IC183" i="4"/>
  <c r="ID183" i="4"/>
  <c r="IE183" i="4"/>
  <c r="IF183" i="4"/>
  <c r="IG183" i="4"/>
  <c r="IH183" i="4"/>
  <c r="II183" i="4"/>
  <c r="IJ183" i="4"/>
  <c r="IK183" i="4"/>
  <c r="IL183" i="4"/>
  <c r="IM183" i="4"/>
  <c r="IN183" i="4"/>
  <c r="IO183" i="4"/>
  <c r="IP183" i="4"/>
  <c r="IQ183" i="4"/>
  <c r="IR183" i="4"/>
  <c r="IS183" i="4"/>
  <c r="IT183" i="4"/>
  <c r="IU183" i="4"/>
  <c r="IV183" i="4"/>
  <c r="A182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EI182" i="4"/>
  <c r="EJ182" i="4"/>
  <c r="EK182" i="4"/>
  <c r="EL182" i="4"/>
  <c r="EM182" i="4"/>
  <c r="EN182" i="4"/>
  <c r="EO182" i="4"/>
  <c r="EP182" i="4"/>
  <c r="EQ182" i="4"/>
  <c r="ER182" i="4"/>
  <c r="ES182" i="4"/>
  <c r="ET182" i="4"/>
  <c r="EU182" i="4"/>
  <c r="EV182" i="4"/>
  <c r="EW182" i="4"/>
  <c r="EX182" i="4"/>
  <c r="EY182" i="4"/>
  <c r="EZ182" i="4"/>
  <c r="FA182" i="4"/>
  <c r="FB182" i="4"/>
  <c r="FC182" i="4"/>
  <c r="FD182" i="4"/>
  <c r="FE182" i="4"/>
  <c r="FF182" i="4"/>
  <c r="FG182" i="4"/>
  <c r="FH182" i="4"/>
  <c r="FI182" i="4"/>
  <c r="FJ182" i="4"/>
  <c r="FK182" i="4"/>
  <c r="FL182" i="4"/>
  <c r="FM182" i="4"/>
  <c r="FN182" i="4"/>
  <c r="FO182" i="4"/>
  <c r="FP182" i="4"/>
  <c r="FQ182" i="4"/>
  <c r="FR182" i="4"/>
  <c r="FS182" i="4"/>
  <c r="FT182" i="4"/>
  <c r="FU182" i="4"/>
  <c r="FV182" i="4"/>
  <c r="FW182" i="4"/>
  <c r="FX182" i="4"/>
  <c r="FY182" i="4"/>
  <c r="FZ182" i="4"/>
  <c r="GA182" i="4"/>
  <c r="GB182" i="4"/>
  <c r="GC182" i="4"/>
  <c r="GD182" i="4"/>
  <c r="GE182" i="4"/>
  <c r="GF182" i="4"/>
  <c r="GG182" i="4"/>
  <c r="GH182" i="4"/>
  <c r="GI182" i="4"/>
  <c r="GJ182" i="4"/>
  <c r="GK182" i="4"/>
  <c r="GL182" i="4"/>
  <c r="GM182" i="4"/>
  <c r="GN182" i="4"/>
  <c r="GO182" i="4"/>
  <c r="GP182" i="4"/>
  <c r="GQ182" i="4"/>
  <c r="GR182" i="4"/>
  <c r="GS182" i="4"/>
  <c r="GT182" i="4"/>
  <c r="GU182" i="4"/>
  <c r="GV182" i="4"/>
  <c r="GW182" i="4"/>
  <c r="GX182" i="4"/>
  <c r="GY182" i="4"/>
  <c r="GZ182" i="4"/>
  <c r="HA182" i="4"/>
  <c r="HB182" i="4"/>
  <c r="HC182" i="4"/>
  <c r="HD182" i="4"/>
  <c r="HE182" i="4"/>
  <c r="HF182" i="4"/>
  <c r="HG182" i="4"/>
  <c r="HH182" i="4"/>
  <c r="HI182" i="4"/>
  <c r="HJ182" i="4"/>
  <c r="HK182" i="4"/>
  <c r="HL182" i="4"/>
  <c r="HM182" i="4"/>
  <c r="HN182" i="4"/>
  <c r="HO182" i="4"/>
  <c r="HP182" i="4"/>
  <c r="HQ182" i="4"/>
  <c r="HR182" i="4"/>
  <c r="HS182" i="4"/>
  <c r="HT182" i="4"/>
  <c r="HU182" i="4"/>
  <c r="HV182" i="4"/>
  <c r="HW182" i="4"/>
  <c r="HX182" i="4"/>
  <c r="HY182" i="4"/>
  <c r="HZ182" i="4"/>
  <c r="IA182" i="4"/>
  <c r="IB182" i="4"/>
  <c r="IC182" i="4"/>
  <c r="ID182" i="4"/>
  <c r="IE182" i="4"/>
  <c r="IF182" i="4"/>
  <c r="IG182" i="4"/>
  <c r="IH182" i="4"/>
  <c r="II182" i="4"/>
  <c r="IJ182" i="4"/>
  <c r="IK182" i="4"/>
  <c r="IL182" i="4"/>
  <c r="IM182" i="4"/>
  <c r="IN182" i="4"/>
  <c r="IO182" i="4"/>
  <c r="IP182" i="4"/>
  <c r="IQ182" i="4"/>
  <c r="IR182" i="4"/>
  <c r="IS182" i="4"/>
  <c r="IT182" i="4"/>
  <c r="IU182" i="4"/>
  <c r="IV182" i="4"/>
  <c r="A181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F181" i="4"/>
  <c r="EG181" i="4"/>
  <c r="EH181" i="4"/>
  <c r="EI181" i="4"/>
  <c r="EJ181" i="4"/>
  <c r="EK181" i="4"/>
  <c r="EL181" i="4"/>
  <c r="EM181" i="4"/>
  <c r="EN181" i="4"/>
  <c r="EO181" i="4"/>
  <c r="EP181" i="4"/>
  <c r="EQ181" i="4"/>
  <c r="ER181" i="4"/>
  <c r="ES181" i="4"/>
  <c r="ET181" i="4"/>
  <c r="EU181" i="4"/>
  <c r="EV181" i="4"/>
  <c r="EW181" i="4"/>
  <c r="EX181" i="4"/>
  <c r="EY181" i="4"/>
  <c r="EZ181" i="4"/>
  <c r="FA181" i="4"/>
  <c r="FB181" i="4"/>
  <c r="FC181" i="4"/>
  <c r="FD181" i="4"/>
  <c r="FE181" i="4"/>
  <c r="FF181" i="4"/>
  <c r="FG181" i="4"/>
  <c r="FH181" i="4"/>
  <c r="FI181" i="4"/>
  <c r="FJ181" i="4"/>
  <c r="FK181" i="4"/>
  <c r="FL181" i="4"/>
  <c r="FM181" i="4"/>
  <c r="FN181" i="4"/>
  <c r="FO181" i="4"/>
  <c r="FP181" i="4"/>
  <c r="FQ181" i="4"/>
  <c r="FR181" i="4"/>
  <c r="FS181" i="4"/>
  <c r="FT181" i="4"/>
  <c r="FU181" i="4"/>
  <c r="FV181" i="4"/>
  <c r="FW181" i="4"/>
  <c r="FX181" i="4"/>
  <c r="FY181" i="4"/>
  <c r="FZ181" i="4"/>
  <c r="GA181" i="4"/>
  <c r="GB181" i="4"/>
  <c r="GC181" i="4"/>
  <c r="GD181" i="4"/>
  <c r="GE181" i="4"/>
  <c r="GF181" i="4"/>
  <c r="GG181" i="4"/>
  <c r="GH181" i="4"/>
  <c r="GI181" i="4"/>
  <c r="GJ181" i="4"/>
  <c r="GK181" i="4"/>
  <c r="GL181" i="4"/>
  <c r="GM181" i="4"/>
  <c r="GN181" i="4"/>
  <c r="GO181" i="4"/>
  <c r="GP181" i="4"/>
  <c r="GQ181" i="4"/>
  <c r="GR181" i="4"/>
  <c r="GS181" i="4"/>
  <c r="GT181" i="4"/>
  <c r="GU181" i="4"/>
  <c r="GV181" i="4"/>
  <c r="GW181" i="4"/>
  <c r="GX181" i="4"/>
  <c r="GY181" i="4"/>
  <c r="GZ181" i="4"/>
  <c r="HA181" i="4"/>
  <c r="HB181" i="4"/>
  <c r="HC181" i="4"/>
  <c r="HD181" i="4"/>
  <c r="HE181" i="4"/>
  <c r="HF181" i="4"/>
  <c r="HG181" i="4"/>
  <c r="HH181" i="4"/>
  <c r="HI181" i="4"/>
  <c r="HJ181" i="4"/>
  <c r="HK181" i="4"/>
  <c r="HL181" i="4"/>
  <c r="HM181" i="4"/>
  <c r="HN181" i="4"/>
  <c r="HO181" i="4"/>
  <c r="HP181" i="4"/>
  <c r="HQ181" i="4"/>
  <c r="HR181" i="4"/>
  <c r="HS181" i="4"/>
  <c r="HT181" i="4"/>
  <c r="HU181" i="4"/>
  <c r="HV181" i="4"/>
  <c r="HW181" i="4"/>
  <c r="HX181" i="4"/>
  <c r="HY181" i="4"/>
  <c r="HZ181" i="4"/>
  <c r="IA181" i="4"/>
  <c r="IB181" i="4"/>
  <c r="IC181" i="4"/>
  <c r="ID181" i="4"/>
  <c r="IE181" i="4"/>
  <c r="IF181" i="4"/>
  <c r="IG181" i="4"/>
  <c r="IH181" i="4"/>
  <c r="II181" i="4"/>
  <c r="IJ181" i="4"/>
  <c r="IK181" i="4"/>
  <c r="IL181" i="4"/>
  <c r="IM181" i="4"/>
  <c r="IN181" i="4"/>
  <c r="IO181" i="4"/>
  <c r="IP181" i="4"/>
  <c r="IQ181" i="4"/>
  <c r="IR181" i="4"/>
  <c r="IS181" i="4"/>
  <c r="IT181" i="4"/>
  <c r="IU181" i="4"/>
  <c r="IV181" i="4"/>
  <c r="A180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EI180" i="4"/>
  <c r="EJ180" i="4"/>
  <c r="EK180" i="4"/>
  <c r="EL180" i="4"/>
  <c r="EM180" i="4"/>
  <c r="EN180" i="4"/>
  <c r="EO180" i="4"/>
  <c r="EP180" i="4"/>
  <c r="EQ180" i="4"/>
  <c r="ER180" i="4"/>
  <c r="ES180" i="4"/>
  <c r="ET180" i="4"/>
  <c r="EU180" i="4"/>
  <c r="EV180" i="4"/>
  <c r="EW180" i="4"/>
  <c r="EX180" i="4"/>
  <c r="EY180" i="4"/>
  <c r="EZ180" i="4"/>
  <c r="FA180" i="4"/>
  <c r="FB180" i="4"/>
  <c r="FC180" i="4"/>
  <c r="FD180" i="4"/>
  <c r="FE180" i="4"/>
  <c r="FF180" i="4"/>
  <c r="FG180" i="4"/>
  <c r="FH180" i="4"/>
  <c r="FI180" i="4"/>
  <c r="FJ180" i="4"/>
  <c r="FK180" i="4"/>
  <c r="FL180" i="4"/>
  <c r="FM180" i="4"/>
  <c r="FN180" i="4"/>
  <c r="FO180" i="4"/>
  <c r="FP180" i="4"/>
  <c r="FQ180" i="4"/>
  <c r="FR180" i="4"/>
  <c r="FS180" i="4"/>
  <c r="FT180" i="4"/>
  <c r="FU180" i="4"/>
  <c r="FV180" i="4"/>
  <c r="FW180" i="4"/>
  <c r="FX180" i="4"/>
  <c r="FY180" i="4"/>
  <c r="FZ180" i="4"/>
  <c r="GA180" i="4"/>
  <c r="GB180" i="4"/>
  <c r="GC180" i="4"/>
  <c r="GD180" i="4"/>
  <c r="GE180" i="4"/>
  <c r="GF180" i="4"/>
  <c r="GG180" i="4"/>
  <c r="GH180" i="4"/>
  <c r="GI180" i="4"/>
  <c r="GJ180" i="4"/>
  <c r="GK180" i="4"/>
  <c r="GL180" i="4"/>
  <c r="GM180" i="4"/>
  <c r="GN180" i="4"/>
  <c r="GO180" i="4"/>
  <c r="GP180" i="4"/>
  <c r="GQ180" i="4"/>
  <c r="GR180" i="4"/>
  <c r="GS180" i="4"/>
  <c r="GT180" i="4"/>
  <c r="GU180" i="4"/>
  <c r="GV180" i="4"/>
  <c r="GW180" i="4"/>
  <c r="GX180" i="4"/>
  <c r="GY180" i="4"/>
  <c r="GZ180" i="4"/>
  <c r="HA180" i="4"/>
  <c r="HB180" i="4"/>
  <c r="HC180" i="4"/>
  <c r="HD180" i="4"/>
  <c r="HE180" i="4"/>
  <c r="HF180" i="4"/>
  <c r="HG180" i="4"/>
  <c r="HH180" i="4"/>
  <c r="HI180" i="4"/>
  <c r="HJ180" i="4"/>
  <c r="HK180" i="4"/>
  <c r="HL180" i="4"/>
  <c r="HM180" i="4"/>
  <c r="HN180" i="4"/>
  <c r="HO180" i="4"/>
  <c r="HP180" i="4"/>
  <c r="HQ180" i="4"/>
  <c r="HR180" i="4"/>
  <c r="HS180" i="4"/>
  <c r="HT180" i="4"/>
  <c r="HU180" i="4"/>
  <c r="HV180" i="4"/>
  <c r="HW180" i="4"/>
  <c r="HX180" i="4"/>
  <c r="HY180" i="4"/>
  <c r="HZ180" i="4"/>
  <c r="IA180" i="4"/>
  <c r="IB180" i="4"/>
  <c r="IC180" i="4"/>
  <c r="ID180" i="4"/>
  <c r="IE180" i="4"/>
  <c r="IF180" i="4"/>
  <c r="IG180" i="4"/>
  <c r="IH180" i="4"/>
  <c r="II180" i="4"/>
  <c r="IJ180" i="4"/>
  <c r="IK180" i="4"/>
  <c r="IL180" i="4"/>
  <c r="IM180" i="4"/>
  <c r="IN180" i="4"/>
  <c r="IO180" i="4"/>
  <c r="IP180" i="4"/>
  <c r="IQ180" i="4"/>
  <c r="IR180" i="4"/>
  <c r="IS180" i="4"/>
  <c r="IT180" i="4"/>
  <c r="IU180" i="4"/>
  <c r="IV180" i="4"/>
  <c r="A179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EI179" i="4"/>
  <c r="EJ179" i="4"/>
  <c r="EK179" i="4"/>
  <c r="EL179" i="4"/>
  <c r="EM179" i="4"/>
  <c r="EN179" i="4"/>
  <c r="EO179" i="4"/>
  <c r="EP179" i="4"/>
  <c r="EQ179" i="4"/>
  <c r="ER179" i="4"/>
  <c r="ES179" i="4"/>
  <c r="ET179" i="4"/>
  <c r="EU179" i="4"/>
  <c r="EV179" i="4"/>
  <c r="EW179" i="4"/>
  <c r="EX179" i="4"/>
  <c r="EY179" i="4"/>
  <c r="EZ179" i="4"/>
  <c r="FA179" i="4"/>
  <c r="FB179" i="4"/>
  <c r="FC179" i="4"/>
  <c r="FD179" i="4"/>
  <c r="FE179" i="4"/>
  <c r="FF179" i="4"/>
  <c r="FG179" i="4"/>
  <c r="FH179" i="4"/>
  <c r="FI179" i="4"/>
  <c r="FJ179" i="4"/>
  <c r="FK179" i="4"/>
  <c r="FL179" i="4"/>
  <c r="FM179" i="4"/>
  <c r="FN179" i="4"/>
  <c r="FO179" i="4"/>
  <c r="FP179" i="4"/>
  <c r="FQ179" i="4"/>
  <c r="FR179" i="4"/>
  <c r="FS179" i="4"/>
  <c r="FT179" i="4"/>
  <c r="FU179" i="4"/>
  <c r="FV179" i="4"/>
  <c r="FW179" i="4"/>
  <c r="FX179" i="4"/>
  <c r="FY179" i="4"/>
  <c r="FZ179" i="4"/>
  <c r="GA179" i="4"/>
  <c r="GB179" i="4"/>
  <c r="GC179" i="4"/>
  <c r="GD179" i="4"/>
  <c r="GE179" i="4"/>
  <c r="GF179" i="4"/>
  <c r="GG179" i="4"/>
  <c r="GH179" i="4"/>
  <c r="GI179" i="4"/>
  <c r="GJ179" i="4"/>
  <c r="GK179" i="4"/>
  <c r="GL179" i="4"/>
  <c r="GM179" i="4"/>
  <c r="GN179" i="4"/>
  <c r="GO179" i="4"/>
  <c r="GP179" i="4"/>
  <c r="GQ179" i="4"/>
  <c r="GR179" i="4"/>
  <c r="GS179" i="4"/>
  <c r="GT179" i="4"/>
  <c r="GU179" i="4"/>
  <c r="GV179" i="4"/>
  <c r="GW179" i="4"/>
  <c r="GX179" i="4"/>
  <c r="GY179" i="4"/>
  <c r="GZ179" i="4"/>
  <c r="HA179" i="4"/>
  <c r="HB179" i="4"/>
  <c r="HC179" i="4"/>
  <c r="HD179" i="4"/>
  <c r="HE179" i="4"/>
  <c r="HF179" i="4"/>
  <c r="HG179" i="4"/>
  <c r="HH179" i="4"/>
  <c r="HI179" i="4"/>
  <c r="HJ179" i="4"/>
  <c r="HK179" i="4"/>
  <c r="HL179" i="4"/>
  <c r="HM179" i="4"/>
  <c r="HN179" i="4"/>
  <c r="HO179" i="4"/>
  <c r="HP179" i="4"/>
  <c r="HQ179" i="4"/>
  <c r="HR179" i="4"/>
  <c r="HS179" i="4"/>
  <c r="HT179" i="4"/>
  <c r="HU179" i="4"/>
  <c r="HV179" i="4"/>
  <c r="HW179" i="4"/>
  <c r="HX179" i="4"/>
  <c r="HY179" i="4"/>
  <c r="HZ179" i="4"/>
  <c r="IA179" i="4"/>
  <c r="IB179" i="4"/>
  <c r="IC179" i="4"/>
  <c r="ID179" i="4"/>
  <c r="IE179" i="4"/>
  <c r="IF179" i="4"/>
  <c r="IG179" i="4"/>
  <c r="IH179" i="4"/>
  <c r="II179" i="4"/>
  <c r="IJ179" i="4"/>
  <c r="IK179" i="4"/>
  <c r="IL179" i="4"/>
  <c r="IM179" i="4"/>
  <c r="IN179" i="4"/>
  <c r="IO179" i="4"/>
  <c r="IP179" i="4"/>
  <c r="IQ179" i="4"/>
  <c r="IR179" i="4"/>
  <c r="IS179" i="4"/>
  <c r="IT179" i="4"/>
  <c r="IU179" i="4"/>
  <c r="IV179" i="4"/>
  <c r="A178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EI178" i="4"/>
  <c r="EJ178" i="4"/>
  <c r="EK178" i="4"/>
  <c r="EL178" i="4"/>
  <c r="EM178" i="4"/>
  <c r="EN178" i="4"/>
  <c r="EO178" i="4"/>
  <c r="EP178" i="4"/>
  <c r="EQ178" i="4"/>
  <c r="ER178" i="4"/>
  <c r="ES178" i="4"/>
  <c r="ET178" i="4"/>
  <c r="EU178" i="4"/>
  <c r="EV178" i="4"/>
  <c r="EW178" i="4"/>
  <c r="EX178" i="4"/>
  <c r="EY178" i="4"/>
  <c r="EZ178" i="4"/>
  <c r="FA178" i="4"/>
  <c r="FB178" i="4"/>
  <c r="FC178" i="4"/>
  <c r="FD178" i="4"/>
  <c r="FE178" i="4"/>
  <c r="FF178" i="4"/>
  <c r="FG178" i="4"/>
  <c r="FH178" i="4"/>
  <c r="FI178" i="4"/>
  <c r="FJ178" i="4"/>
  <c r="FK178" i="4"/>
  <c r="FL178" i="4"/>
  <c r="FM178" i="4"/>
  <c r="FN178" i="4"/>
  <c r="FO178" i="4"/>
  <c r="FP178" i="4"/>
  <c r="FQ178" i="4"/>
  <c r="FR178" i="4"/>
  <c r="FS178" i="4"/>
  <c r="FT178" i="4"/>
  <c r="FU178" i="4"/>
  <c r="FV178" i="4"/>
  <c r="FW178" i="4"/>
  <c r="FX178" i="4"/>
  <c r="FY178" i="4"/>
  <c r="FZ178" i="4"/>
  <c r="GA178" i="4"/>
  <c r="GB178" i="4"/>
  <c r="GC178" i="4"/>
  <c r="GD178" i="4"/>
  <c r="GE178" i="4"/>
  <c r="GF178" i="4"/>
  <c r="GG178" i="4"/>
  <c r="GH178" i="4"/>
  <c r="GI178" i="4"/>
  <c r="GJ178" i="4"/>
  <c r="GK178" i="4"/>
  <c r="GL178" i="4"/>
  <c r="GM178" i="4"/>
  <c r="GN178" i="4"/>
  <c r="GO178" i="4"/>
  <c r="GP178" i="4"/>
  <c r="GQ178" i="4"/>
  <c r="GR178" i="4"/>
  <c r="GS178" i="4"/>
  <c r="GT178" i="4"/>
  <c r="GU178" i="4"/>
  <c r="GV178" i="4"/>
  <c r="GW178" i="4"/>
  <c r="GX178" i="4"/>
  <c r="GY178" i="4"/>
  <c r="GZ178" i="4"/>
  <c r="HA178" i="4"/>
  <c r="HB178" i="4"/>
  <c r="HC178" i="4"/>
  <c r="HD178" i="4"/>
  <c r="HE178" i="4"/>
  <c r="HF178" i="4"/>
  <c r="HG178" i="4"/>
  <c r="HH178" i="4"/>
  <c r="HI178" i="4"/>
  <c r="HJ178" i="4"/>
  <c r="HK178" i="4"/>
  <c r="HL178" i="4"/>
  <c r="HM178" i="4"/>
  <c r="HN178" i="4"/>
  <c r="HO178" i="4"/>
  <c r="HP178" i="4"/>
  <c r="HQ178" i="4"/>
  <c r="HR178" i="4"/>
  <c r="HS178" i="4"/>
  <c r="HT178" i="4"/>
  <c r="HU178" i="4"/>
  <c r="HV178" i="4"/>
  <c r="HW178" i="4"/>
  <c r="HX178" i="4"/>
  <c r="HY178" i="4"/>
  <c r="HZ178" i="4"/>
  <c r="IA178" i="4"/>
  <c r="IB178" i="4"/>
  <c r="IC178" i="4"/>
  <c r="ID178" i="4"/>
  <c r="IE178" i="4"/>
  <c r="IF178" i="4"/>
  <c r="IG178" i="4"/>
  <c r="IH178" i="4"/>
  <c r="II178" i="4"/>
  <c r="IJ178" i="4"/>
  <c r="IK178" i="4"/>
  <c r="IL178" i="4"/>
  <c r="IM178" i="4"/>
  <c r="IN178" i="4"/>
  <c r="IO178" i="4"/>
  <c r="IP178" i="4"/>
  <c r="IQ178" i="4"/>
  <c r="IR178" i="4"/>
  <c r="IS178" i="4"/>
  <c r="IT178" i="4"/>
  <c r="IU178" i="4"/>
  <c r="IV178" i="4"/>
  <c r="A177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EI177" i="4"/>
  <c r="EJ177" i="4"/>
  <c r="EK177" i="4"/>
  <c r="EL177" i="4"/>
  <c r="EM177" i="4"/>
  <c r="EN177" i="4"/>
  <c r="EO177" i="4"/>
  <c r="EP177" i="4"/>
  <c r="EQ177" i="4"/>
  <c r="ER177" i="4"/>
  <c r="ES177" i="4"/>
  <c r="ET177" i="4"/>
  <c r="EU177" i="4"/>
  <c r="EV177" i="4"/>
  <c r="EW177" i="4"/>
  <c r="EX177" i="4"/>
  <c r="EY177" i="4"/>
  <c r="EZ177" i="4"/>
  <c r="FA177" i="4"/>
  <c r="FB177" i="4"/>
  <c r="FC177" i="4"/>
  <c r="FD177" i="4"/>
  <c r="FE177" i="4"/>
  <c r="FF177" i="4"/>
  <c r="FG177" i="4"/>
  <c r="FH177" i="4"/>
  <c r="FI177" i="4"/>
  <c r="FJ177" i="4"/>
  <c r="FK177" i="4"/>
  <c r="FL177" i="4"/>
  <c r="FM177" i="4"/>
  <c r="FN177" i="4"/>
  <c r="FO177" i="4"/>
  <c r="FP177" i="4"/>
  <c r="FQ177" i="4"/>
  <c r="FR177" i="4"/>
  <c r="FS177" i="4"/>
  <c r="FT177" i="4"/>
  <c r="FU177" i="4"/>
  <c r="FV177" i="4"/>
  <c r="FW177" i="4"/>
  <c r="FX177" i="4"/>
  <c r="FY177" i="4"/>
  <c r="FZ177" i="4"/>
  <c r="GA177" i="4"/>
  <c r="GB177" i="4"/>
  <c r="GC177" i="4"/>
  <c r="GD177" i="4"/>
  <c r="GE177" i="4"/>
  <c r="GF177" i="4"/>
  <c r="GG177" i="4"/>
  <c r="GH177" i="4"/>
  <c r="GI177" i="4"/>
  <c r="GJ177" i="4"/>
  <c r="GK177" i="4"/>
  <c r="GL177" i="4"/>
  <c r="GM177" i="4"/>
  <c r="GN177" i="4"/>
  <c r="GO177" i="4"/>
  <c r="GP177" i="4"/>
  <c r="GQ177" i="4"/>
  <c r="GR177" i="4"/>
  <c r="GS177" i="4"/>
  <c r="GT177" i="4"/>
  <c r="GU177" i="4"/>
  <c r="GV177" i="4"/>
  <c r="GW177" i="4"/>
  <c r="GX177" i="4"/>
  <c r="GY177" i="4"/>
  <c r="GZ177" i="4"/>
  <c r="HA177" i="4"/>
  <c r="HB177" i="4"/>
  <c r="HC177" i="4"/>
  <c r="HD177" i="4"/>
  <c r="HE177" i="4"/>
  <c r="HF177" i="4"/>
  <c r="HG177" i="4"/>
  <c r="HH177" i="4"/>
  <c r="HI177" i="4"/>
  <c r="HJ177" i="4"/>
  <c r="HK177" i="4"/>
  <c r="HL177" i="4"/>
  <c r="HM177" i="4"/>
  <c r="HN177" i="4"/>
  <c r="HO177" i="4"/>
  <c r="HP177" i="4"/>
  <c r="HQ177" i="4"/>
  <c r="HR177" i="4"/>
  <c r="HS177" i="4"/>
  <c r="HT177" i="4"/>
  <c r="HU177" i="4"/>
  <c r="HV177" i="4"/>
  <c r="HW177" i="4"/>
  <c r="HX177" i="4"/>
  <c r="HY177" i="4"/>
  <c r="HZ177" i="4"/>
  <c r="IA177" i="4"/>
  <c r="IB177" i="4"/>
  <c r="IC177" i="4"/>
  <c r="ID177" i="4"/>
  <c r="IE177" i="4"/>
  <c r="IF177" i="4"/>
  <c r="IG177" i="4"/>
  <c r="IH177" i="4"/>
  <c r="II177" i="4"/>
  <c r="IJ177" i="4"/>
  <c r="IK177" i="4"/>
  <c r="IL177" i="4"/>
  <c r="IM177" i="4"/>
  <c r="IN177" i="4"/>
  <c r="IO177" i="4"/>
  <c r="IP177" i="4"/>
  <c r="IQ177" i="4"/>
  <c r="IR177" i="4"/>
  <c r="IS177" i="4"/>
  <c r="IT177" i="4"/>
  <c r="IU177" i="4"/>
  <c r="IV177" i="4"/>
  <c r="A176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EI176" i="4"/>
  <c r="EJ176" i="4"/>
  <c r="EK176" i="4"/>
  <c r="EL176" i="4"/>
  <c r="EM176" i="4"/>
  <c r="EN176" i="4"/>
  <c r="EO176" i="4"/>
  <c r="EP176" i="4"/>
  <c r="EQ176" i="4"/>
  <c r="ER176" i="4"/>
  <c r="ES176" i="4"/>
  <c r="ET176" i="4"/>
  <c r="EU176" i="4"/>
  <c r="EV176" i="4"/>
  <c r="EW176" i="4"/>
  <c r="EX176" i="4"/>
  <c r="EY176" i="4"/>
  <c r="EZ176" i="4"/>
  <c r="FA176" i="4"/>
  <c r="FB176" i="4"/>
  <c r="FC176" i="4"/>
  <c r="FD176" i="4"/>
  <c r="FE176" i="4"/>
  <c r="FF176" i="4"/>
  <c r="FG176" i="4"/>
  <c r="FH176" i="4"/>
  <c r="FI176" i="4"/>
  <c r="FJ176" i="4"/>
  <c r="FK176" i="4"/>
  <c r="FL176" i="4"/>
  <c r="FM176" i="4"/>
  <c r="FN176" i="4"/>
  <c r="FO176" i="4"/>
  <c r="FP176" i="4"/>
  <c r="FQ176" i="4"/>
  <c r="FR176" i="4"/>
  <c r="FS176" i="4"/>
  <c r="FT176" i="4"/>
  <c r="FU176" i="4"/>
  <c r="FV176" i="4"/>
  <c r="FW176" i="4"/>
  <c r="FX176" i="4"/>
  <c r="FY176" i="4"/>
  <c r="FZ176" i="4"/>
  <c r="GA176" i="4"/>
  <c r="GB176" i="4"/>
  <c r="GC176" i="4"/>
  <c r="GD176" i="4"/>
  <c r="GE176" i="4"/>
  <c r="GF176" i="4"/>
  <c r="GG176" i="4"/>
  <c r="GH176" i="4"/>
  <c r="GI176" i="4"/>
  <c r="GJ176" i="4"/>
  <c r="GK176" i="4"/>
  <c r="GL176" i="4"/>
  <c r="GM176" i="4"/>
  <c r="GN176" i="4"/>
  <c r="GO176" i="4"/>
  <c r="GP176" i="4"/>
  <c r="GQ176" i="4"/>
  <c r="GR176" i="4"/>
  <c r="GS176" i="4"/>
  <c r="GT176" i="4"/>
  <c r="GU176" i="4"/>
  <c r="GV176" i="4"/>
  <c r="GW176" i="4"/>
  <c r="GX176" i="4"/>
  <c r="GY176" i="4"/>
  <c r="GZ176" i="4"/>
  <c r="HA176" i="4"/>
  <c r="HB176" i="4"/>
  <c r="HC176" i="4"/>
  <c r="HD176" i="4"/>
  <c r="HE176" i="4"/>
  <c r="HF176" i="4"/>
  <c r="HG176" i="4"/>
  <c r="HH176" i="4"/>
  <c r="HI176" i="4"/>
  <c r="HJ176" i="4"/>
  <c r="HK176" i="4"/>
  <c r="HL176" i="4"/>
  <c r="HM176" i="4"/>
  <c r="HN176" i="4"/>
  <c r="HO176" i="4"/>
  <c r="HP176" i="4"/>
  <c r="HQ176" i="4"/>
  <c r="HR176" i="4"/>
  <c r="HS176" i="4"/>
  <c r="HT176" i="4"/>
  <c r="HU176" i="4"/>
  <c r="HV176" i="4"/>
  <c r="HW176" i="4"/>
  <c r="HX176" i="4"/>
  <c r="HY176" i="4"/>
  <c r="HZ176" i="4"/>
  <c r="IA176" i="4"/>
  <c r="IB176" i="4"/>
  <c r="IC176" i="4"/>
  <c r="ID176" i="4"/>
  <c r="IE176" i="4"/>
  <c r="IF176" i="4"/>
  <c r="IG176" i="4"/>
  <c r="IH176" i="4"/>
  <c r="II176" i="4"/>
  <c r="IJ176" i="4"/>
  <c r="IK176" i="4"/>
  <c r="IL176" i="4"/>
  <c r="IM176" i="4"/>
  <c r="IN176" i="4"/>
  <c r="IO176" i="4"/>
  <c r="IP176" i="4"/>
  <c r="IQ176" i="4"/>
  <c r="IR176" i="4"/>
  <c r="IS176" i="4"/>
  <c r="IT176" i="4"/>
  <c r="IU176" i="4"/>
  <c r="IV176" i="4"/>
  <c r="A175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EI175" i="4"/>
  <c r="EJ175" i="4"/>
  <c r="EK175" i="4"/>
  <c r="EL175" i="4"/>
  <c r="EM175" i="4"/>
  <c r="EN175" i="4"/>
  <c r="EO175" i="4"/>
  <c r="EP175" i="4"/>
  <c r="EQ175" i="4"/>
  <c r="ER175" i="4"/>
  <c r="ES175" i="4"/>
  <c r="ET175" i="4"/>
  <c r="EU175" i="4"/>
  <c r="EV175" i="4"/>
  <c r="EW175" i="4"/>
  <c r="EX175" i="4"/>
  <c r="EY175" i="4"/>
  <c r="EZ175" i="4"/>
  <c r="FA175" i="4"/>
  <c r="FB175" i="4"/>
  <c r="FC175" i="4"/>
  <c r="FD175" i="4"/>
  <c r="FE175" i="4"/>
  <c r="FF175" i="4"/>
  <c r="FG175" i="4"/>
  <c r="FH175" i="4"/>
  <c r="FI175" i="4"/>
  <c r="FJ175" i="4"/>
  <c r="FK175" i="4"/>
  <c r="FL175" i="4"/>
  <c r="FM175" i="4"/>
  <c r="FN175" i="4"/>
  <c r="FO175" i="4"/>
  <c r="FP175" i="4"/>
  <c r="FQ175" i="4"/>
  <c r="FR175" i="4"/>
  <c r="FS175" i="4"/>
  <c r="FT175" i="4"/>
  <c r="FU175" i="4"/>
  <c r="FV175" i="4"/>
  <c r="FW175" i="4"/>
  <c r="FX175" i="4"/>
  <c r="FY175" i="4"/>
  <c r="FZ175" i="4"/>
  <c r="GA175" i="4"/>
  <c r="GB175" i="4"/>
  <c r="GC175" i="4"/>
  <c r="GD175" i="4"/>
  <c r="GE175" i="4"/>
  <c r="GF175" i="4"/>
  <c r="GG175" i="4"/>
  <c r="GH175" i="4"/>
  <c r="GI175" i="4"/>
  <c r="GJ175" i="4"/>
  <c r="GK175" i="4"/>
  <c r="GL175" i="4"/>
  <c r="GM175" i="4"/>
  <c r="GN175" i="4"/>
  <c r="GO175" i="4"/>
  <c r="GP175" i="4"/>
  <c r="GQ175" i="4"/>
  <c r="GR175" i="4"/>
  <c r="GS175" i="4"/>
  <c r="GT175" i="4"/>
  <c r="GU175" i="4"/>
  <c r="GV175" i="4"/>
  <c r="GW175" i="4"/>
  <c r="GX175" i="4"/>
  <c r="GY175" i="4"/>
  <c r="GZ175" i="4"/>
  <c r="HA175" i="4"/>
  <c r="HB175" i="4"/>
  <c r="HC175" i="4"/>
  <c r="HD175" i="4"/>
  <c r="HE175" i="4"/>
  <c r="HF175" i="4"/>
  <c r="HG175" i="4"/>
  <c r="HH175" i="4"/>
  <c r="HI175" i="4"/>
  <c r="HJ175" i="4"/>
  <c r="HK175" i="4"/>
  <c r="HL175" i="4"/>
  <c r="HM175" i="4"/>
  <c r="HN175" i="4"/>
  <c r="HO175" i="4"/>
  <c r="HP175" i="4"/>
  <c r="HQ175" i="4"/>
  <c r="HR175" i="4"/>
  <c r="HS175" i="4"/>
  <c r="HT175" i="4"/>
  <c r="HU175" i="4"/>
  <c r="HV175" i="4"/>
  <c r="HW175" i="4"/>
  <c r="HX175" i="4"/>
  <c r="HY175" i="4"/>
  <c r="HZ175" i="4"/>
  <c r="IA175" i="4"/>
  <c r="IB175" i="4"/>
  <c r="IC175" i="4"/>
  <c r="ID175" i="4"/>
  <c r="IE175" i="4"/>
  <c r="IF175" i="4"/>
  <c r="IG175" i="4"/>
  <c r="IH175" i="4"/>
  <c r="II175" i="4"/>
  <c r="IJ175" i="4"/>
  <c r="IK175" i="4"/>
  <c r="IL175" i="4"/>
  <c r="IM175" i="4"/>
  <c r="IN175" i="4"/>
  <c r="IO175" i="4"/>
  <c r="IP175" i="4"/>
  <c r="IQ175" i="4"/>
  <c r="IR175" i="4"/>
  <c r="IS175" i="4"/>
  <c r="IT175" i="4"/>
  <c r="IU175" i="4"/>
  <c r="IV175" i="4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EI174" i="4"/>
  <c r="EJ174" i="4"/>
  <c r="EK174" i="4"/>
  <c r="EL174" i="4"/>
  <c r="EM174" i="4"/>
  <c r="EN174" i="4"/>
  <c r="EO174" i="4"/>
  <c r="EP174" i="4"/>
  <c r="EQ174" i="4"/>
  <c r="ER174" i="4"/>
  <c r="ES174" i="4"/>
  <c r="ET174" i="4"/>
  <c r="EU174" i="4"/>
  <c r="EV174" i="4"/>
  <c r="EW174" i="4"/>
  <c r="EX174" i="4"/>
  <c r="EY174" i="4"/>
  <c r="EZ174" i="4"/>
  <c r="FA174" i="4"/>
  <c r="FB174" i="4"/>
  <c r="FC174" i="4"/>
  <c r="FD174" i="4"/>
  <c r="FE174" i="4"/>
  <c r="FF174" i="4"/>
  <c r="FG174" i="4"/>
  <c r="FH174" i="4"/>
  <c r="FI174" i="4"/>
  <c r="FJ174" i="4"/>
  <c r="FK174" i="4"/>
  <c r="FL174" i="4"/>
  <c r="FM174" i="4"/>
  <c r="FN174" i="4"/>
  <c r="FO174" i="4"/>
  <c r="FP174" i="4"/>
  <c r="FQ174" i="4"/>
  <c r="FR174" i="4"/>
  <c r="FS174" i="4"/>
  <c r="FT174" i="4"/>
  <c r="FU174" i="4"/>
  <c r="FV174" i="4"/>
  <c r="FW174" i="4"/>
  <c r="FX174" i="4"/>
  <c r="FY174" i="4"/>
  <c r="FZ174" i="4"/>
  <c r="GA174" i="4"/>
  <c r="GB174" i="4"/>
  <c r="GC174" i="4"/>
  <c r="GD174" i="4"/>
  <c r="GE174" i="4"/>
  <c r="GF174" i="4"/>
  <c r="GG174" i="4"/>
  <c r="GH174" i="4"/>
  <c r="GI174" i="4"/>
  <c r="GJ174" i="4"/>
  <c r="GK174" i="4"/>
  <c r="GL174" i="4"/>
  <c r="GM174" i="4"/>
  <c r="GN174" i="4"/>
  <c r="GO174" i="4"/>
  <c r="GP174" i="4"/>
  <c r="GQ174" i="4"/>
  <c r="GR174" i="4"/>
  <c r="GS174" i="4"/>
  <c r="GT174" i="4"/>
  <c r="GU174" i="4"/>
  <c r="GV174" i="4"/>
  <c r="GW174" i="4"/>
  <c r="GX174" i="4"/>
  <c r="GY174" i="4"/>
  <c r="GZ174" i="4"/>
  <c r="HA174" i="4"/>
  <c r="HB174" i="4"/>
  <c r="HC174" i="4"/>
  <c r="HD174" i="4"/>
  <c r="HE174" i="4"/>
  <c r="HF174" i="4"/>
  <c r="HG174" i="4"/>
  <c r="HH174" i="4"/>
  <c r="HI174" i="4"/>
  <c r="HJ174" i="4"/>
  <c r="HK174" i="4"/>
  <c r="HL174" i="4"/>
  <c r="HM174" i="4"/>
  <c r="HN174" i="4"/>
  <c r="HO174" i="4"/>
  <c r="HP174" i="4"/>
  <c r="HQ174" i="4"/>
  <c r="HR174" i="4"/>
  <c r="HS174" i="4"/>
  <c r="HT174" i="4"/>
  <c r="HU174" i="4"/>
  <c r="HV174" i="4"/>
  <c r="HW174" i="4"/>
  <c r="HX174" i="4"/>
  <c r="HY174" i="4"/>
  <c r="HZ174" i="4"/>
  <c r="IA174" i="4"/>
  <c r="IB174" i="4"/>
  <c r="IC174" i="4"/>
  <c r="ID174" i="4"/>
  <c r="IE174" i="4"/>
  <c r="IF174" i="4"/>
  <c r="IG174" i="4"/>
  <c r="IH174" i="4"/>
  <c r="II174" i="4"/>
  <c r="IJ174" i="4"/>
  <c r="IK174" i="4"/>
  <c r="IL174" i="4"/>
  <c r="IM174" i="4"/>
  <c r="IN174" i="4"/>
  <c r="IO174" i="4"/>
  <c r="IP174" i="4"/>
  <c r="IQ174" i="4"/>
  <c r="IR174" i="4"/>
  <c r="IS174" i="4"/>
  <c r="IT174" i="4"/>
  <c r="IU174" i="4"/>
  <c r="IV174" i="4"/>
  <c r="A173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EI173" i="4"/>
  <c r="EJ173" i="4"/>
  <c r="EK173" i="4"/>
  <c r="EL173" i="4"/>
  <c r="EM173" i="4"/>
  <c r="EN173" i="4"/>
  <c r="EO173" i="4"/>
  <c r="EP173" i="4"/>
  <c r="EQ173" i="4"/>
  <c r="ER173" i="4"/>
  <c r="ES173" i="4"/>
  <c r="ET173" i="4"/>
  <c r="EU173" i="4"/>
  <c r="EV173" i="4"/>
  <c r="EW173" i="4"/>
  <c r="EX173" i="4"/>
  <c r="EY173" i="4"/>
  <c r="EZ173" i="4"/>
  <c r="FA173" i="4"/>
  <c r="FB173" i="4"/>
  <c r="FC173" i="4"/>
  <c r="FD173" i="4"/>
  <c r="FE173" i="4"/>
  <c r="FF173" i="4"/>
  <c r="FG173" i="4"/>
  <c r="FH173" i="4"/>
  <c r="FI173" i="4"/>
  <c r="FJ173" i="4"/>
  <c r="FK173" i="4"/>
  <c r="FL173" i="4"/>
  <c r="FM173" i="4"/>
  <c r="FN173" i="4"/>
  <c r="FO173" i="4"/>
  <c r="FP173" i="4"/>
  <c r="FQ173" i="4"/>
  <c r="FR173" i="4"/>
  <c r="FS173" i="4"/>
  <c r="FT173" i="4"/>
  <c r="FU173" i="4"/>
  <c r="FV173" i="4"/>
  <c r="FW173" i="4"/>
  <c r="FX173" i="4"/>
  <c r="FY173" i="4"/>
  <c r="FZ173" i="4"/>
  <c r="GA173" i="4"/>
  <c r="GB173" i="4"/>
  <c r="GC173" i="4"/>
  <c r="GD173" i="4"/>
  <c r="GE173" i="4"/>
  <c r="GF173" i="4"/>
  <c r="GG173" i="4"/>
  <c r="GH173" i="4"/>
  <c r="GI173" i="4"/>
  <c r="GJ173" i="4"/>
  <c r="GK173" i="4"/>
  <c r="GL173" i="4"/>
  <c r="GM173" i="4"/>
  <c r="GN173" i="4"/>
  <c r="GO173" i="4"/>
  <c r="GP173" i="4"/>
  <c r="GQ173" i="4"/>
  <c r="GR173" i="4"/>
  <c r="GS173" i="4"/>
  <c r="GT173" i="4"/>
  <c r="GU173" i="4"/>
  <c r="GV173" i="4"/>
  <c r="GW173" i="4"/>
  <c r="GX173" i="4"/>
  <c r="GY173" i="4"/>
  <c r="GZ173" i="4"/>
  <c r="HA173" i="4"/>
  <c r="HB173" i="4"/>
  <c r="HC173" i="4"/>
  <c r="HD173" i="4"/>
  <c r="HE173" i="4"/>
  <c r="HF173" i="4"/>
  <c r="HG173" i="4"/>
  <c r="HH173" i="4"/>
  <c r="HI173" i="4"/>
  <c r="HJ173" i="4"/>
  <c r="HK173" i="4"/>
  <c r="HL173" i="4"/>
  <c r="HM173" i="4"/>
  <c r="HN173" i="4"/>
  <c r="HO173" i="4"/>
  <c r="HP173" i="4"/>
  <c r="HQ173" i="4"/>
  <c r="HR173" i="4"/>
  <c r="HS173" i="4"/>
  <c r="HT173" i="4"/>
  <c r="HU173" i="4"/>
  <c r="HV173" i="4"/>
  <c r="HW173" i="4"/>
  <c r="HX173" i="4"/>
  <c r="HY173" i="4"/>
  <c r="HZ173" i="4"/>
  <c r="IA173" i="4"/>
  <c r="IB173" i="4"/>
  <c r="IC173" i="4"/>
  <c r="ID173" i="4"/>
  <c r="IE173" i="4"/>
  <c r="IF173" i="4"/>
  <c r="IG173" i="4"/>
  <c r="IH173" i="4"/>
  <c r="II173" i="4"/>
  <c r="IJ173" i="4"/>
  <c r="IK173" i="4"/>
  <c r="IL173" i="4"/>
  <c r="IM173" i="4"/>
  <c r="IN173" i="4"/>
  <c r="IO173" i="4"/>
  <c r="IP173" i="4"/>
  <c r="IQ173" i="4"/>
  <c r="IR173" i="4"/>
  <c r="IS173" i="4"/>
  <c r="IT173" i="4"/>
  <c r="IU173" i="4"/>
  <c r="IV173" i="4"/>
  <c r="A172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EI172" i="4"/>
  <c r="EJ172" i="4"/>
  <c r="EK172" i="4"/>
  <c r="EL172" i="4"/>
  <c r="EM172" i="4"/>
  <c r="EN172" i="4"/>
  <c r="EO172" i="4"/>
  <c r="EP172" i="4"/>
  <c r="EQ172" i="4"/>
  <c r="ER172" i="4"/>
  <c r="ES172" i="4"/>
  <c r="ET172" i="4"/>
  <c r="EU172" i="4"/>
  <c r="EV172" i="4"/>
  <c r="EW172" i="4"/>
  <c r="EX172" i="4"/>
  <c r="EY172" i="4"/>
  <c r="EZ172" i="4"/>
  <c r="FA172" i="4"/>
  <c r="FB172" i="4"/>
  <c r="FC172" i="4"/>
  <c r="FD172" i="4"/>
  <c r="FE172" i="4"/>
  <c r="FF172" i="4"/>
  <c r="FG172" i="4"/>
  <c r="FH172" i="4"/>
  <c r="FI172" i="4"/>
  <c r="FJ172" i="4"/>
  <c r="FK172" i="4"/>
  <c r="FL172" i="4"/>
  <c r="FM172" i="4"/>
  <c r="FN172" i="4"/>
  <c r="FO172" i="4"/>
  <c r="FP172" i="4"/>
  <c r="FQ172" i="4"/>
  <c r="FR172" i="4"/>
  <c r="FS172" i="4"/>
  <c r="FT172" i="4"/>
  <c r="FU172" i="4"/>
  <c r="FV172" i="4"/>
  <c r="FW172" i="4"/>
  <c r="FX172" i="4"/>
  <c r="FY172" i="4"/>
  <c r="FZ172" i="4"/>
  <c r="GA172" i="4"/>
  <c r="GB172" i="4"/>
  <c r="GC172" i="4"/>
  <c r="GD172" i="4"/>
  <c r="GE172" i="4"/>
  <c r="GF172" i="4"/>
  <c r="GG172" i="4"/>
  <c r="GH172" i="4"/>
  <c r="GI172" i="4"/>
  <c r="GJ172" i="4"/>
  <c r="GK172" i="4"/>
  <c r="GL172" i="4"/>
  <c r="GM172" i="4"/>
  <c r="GN172" i="4"/>
  <c r="GO172" i="4"/>
  <c r="GP172" i="4"/>
  <c r="GQ172" i="4"/>
  <c r="GR172" i="4"/>
  <c r="GS172" i="4"/>
  <c r="GT172" i="4"/>
  <c r="GU172" i="4"/>
  <c r="GV172" i="4"/>
  <c r="GW172" i="4"/>
  <c r="GX172" i="4"/>
  <c r="GY172" i="4"/>
  <c r="GZ172" i="4"/>
  <c r="HA172" i="4"/>
  <c r="HB172" i="4"/>
  <c r="HC172" i="4"/>
  <c r="HD172" i="4"/>
  <c r="HE172" i="4"/>
  <c r="HF172" i="4"/>
  <c r="HG172" i="4"/>
  <c r="HH172" i="4"/>
  <c r="HI172" i="4"/>
  <c r="HJ172" i="4"/>
  <c r="HK172" i="4"/>
  <c r="HL172" i="4"/>
  <c r="HM172" i="4"/>
  <c r="HN172" i="4"/>
  <c r="HO172" i="4"/>
  <c r="HP172" i="4"/>
  <c r="HQ172" i="4"/>
  <c r="HR172" i="4"/>
  <c r="HS172" i="4"/>
  <c r="HT172" i="4"/>
  <c r="HU172" i="4"/>
  <c r="HV172" i="4"/>
  <c r="HW172" i="4"/>
  <c r="HX172" i="4"/>
  <c r="HY172" i="4"/>
  <c r="HZ172" i="4"/>
  <c r="IA172" i="4"/>
  <c r="IB172" i="4"/>
  <c r="IC172" i="4"/>
  <c r="ID172" i="4"/>
  <c r="IE172" i="4"/>
  <c r="IF172" i="4"/>
  <c r="IG172" i="4"/>
  <c r="IH172" i="4"/>
  <c r="II172" i="4"/>
  <c r="IJ172" i="4"/>
  <c r="IK172" i="4"/>
  <c r="IL172" i="4"/>
  <c r="IM172" i="4"/>
  <c r="IN172" i="4"/>
  <c r="IO172" i="4"/>
  <c r="IP172" i="4"/>
  <c r="IQ172" i="4"/>
  <c r="IR172" i="4"/>
  <c r="IS172" i="4"/>
  <c r="IT172" i="4"/>
  <c r="IU172" i="4"/>
  <c r="IV172" i="4"/>
  <c r="A171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EI171" i="4"/>
  <c r="EJ171" i="4"/>
  <c r="EK171" i="4"/>
  <c r="EL171" i="4"/>
  <c r="EM171" i="4"/>
  <c r="EN171" i="4"/>
  <c r="EO171" i="4"/>
  <c r="EP171" i="4"/>
  <c r="EQ171" i="4"/>
  <c r="ER171" i="4"/>
  <c r="ES171" i="4"/>
  <c r="ET171" i="4"/>
  <c r="EU171" i="4"/>
  <c r="EV171" i="4"/>
  <c r="EW171" i="4"/>
  <c r="EX171" i="4"/>
  <c r="EY171" i="4"/>
  <c r="EZ171" i="4"/>
  <c r="FA171" i="4"/>
  <c r="FB171" i="4"/>
  <c r="FC171" i="4"/>
  <c r="FD171" i="4"/>
  <c r="FE171" i="4"/>
  <c r="FF171" i="4"/>
  <c r="FG171" i="4"/>
  <c r="FH171" i="4"/>
  <c r="FI171" i="4"/>
  <c r="FJ171" i="4"/>
  <c r="FK171" i="4"/>
  <c r="FL171" i="4"/>
  <c r="FM171" i="4"/>
  <c r="FN171" i="4"/>
  <c r="FO171" i="4"/>
  <c r="FP171" i="4"/>
  <c r="FQ171" i="4"/>
  <c r="FR171" i="4"/>
  <c r="FS171" i="4"/>
  <c r="FT171" i="4"/>
  <c r="FU171" i="4"/>
  <c r="FV171" i="4"/>
  <c r="FW171" i="4"/>
  <c r="FX171" i="4"/>
  <c r="FY171" i="4"/>
  <c r="FZ171" i="4"/>
  <c r="GA171" i="4"/>
  <c r="GB171" i="4"/>
  <c r="GC171" i="4"/>
  <c r="GD171" i="4"/>
  <c r="GE171" i="4"/>
  <c r="GF171" i="4"/>
  <c r="GG171" i="4"/>
  <c r="GH171" i="4"/>
  <c r="GI171" i="4"/>
  <c r="GJ171" i="4"/>
  <c r="GK171" i="4"/>
  <c r="GL171" i="4"/>
  <c r="GM171" i="4"/>
  <c r="GN171" i="4"/>
  <c r="GO171" i="4"/>
  <c r="GP171" i="4"/>
  <c r="GQ171" i="4"/>
  <c r="GR171" i="4"/>
  <c r="GS171" i="4"/>
  <c r="GT171" i="4"/>
  <c r="GU171" i="4"/>
  <c r="GV171" i="4"/>
  <c r="GW171" i="4"/>
  <c r="GX171" i="4"/>
  <c r="GY171" i="4"/>
  <c r="GZ171" i="4"/>
  <c r="HA171" i="4"/>
  <c r="HB171" i="4"/>
  <c r="HC171" i="4"/>
  <c r="HD171" i="4"/>
  <c r="HE171" i="4"/>
  <c r="HF171" i="4"/>
  <c r="HG171" i="4"/>
  <c r="HH171" i="4"/>
  <c r="HI171" i="4"/>
  <c r="HJ171" i="4"/>
  <c r="HK171" i="4"/>
  <c r="HL171" i="4"/>
  <c r="HM171" i="4"/>
  <c r="HN171" i="4"/>
  <c r="HO171" i="4"/>
  <c r="HP171" i="4"/>
  <c r="HQ171" i="4"/>
  <c r="HR171" i="4"/>
  <c r="HS171" i="4"/>
  <c r="HT171" i="4"/>
  <c r="HU171" i="4"/>
  <c r="HV171" i="4"/>
  <c r="HW171" i="4"/>
  <c r="HX171" i="4"/>
  <c r="HY171" i="4"/>
  <c r="HZ171" i="4"/>
  <c r="IA171" i="4"/>
  <c r="IB171" i="4"/>
  <c r="IC171" i="4"/>
  <c r="ID171" i="4"/>
  <c r="IE171" i="4"/>
  <c r="IF171" i="4"/>
  <c r="IG171" i="4"/>
  <c r="IH171" i="4"/>
  <c r="II171" i="4"/>
  <c r="IJ171" i="4"/>
  <c r="IK171" i="4"/>
  <c r="IL171" i="4"/>
  <c r="IM171" i="4"/>
  <c r="IN171" i="4"/>
  <c r="IO171" i="4"/>
  <c r="IP171" i="4"/>
  <c r="IQ171" i="4"/>
  <c r="IR171" i="4"/>
  <c r="IS171" i="4"/>
  <c r="IT171" i="4"/>
  <c r="IU171" i="4"/>
  <c r="IV171" i="4"/>
  <c r="A170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EI170" i="4"/>
  <c r="EJ170" i="4"/>
  <c r="EK170" i="4"/>
  <c r="EL170" i="4"/>
  <c r="EM170" i="4"/>
  <c r="EN170" i="4"/>
  <c r="EO170" i="4"/>
  <c r="EP170" i="4"/>
  <c r="EQ170" i="4"/>
  <c r="ER170" i="4"/>
  <c r="ES170" i="4"/>
  <c r="ET170" i="4"/>
  <c r="EU170" i="4"/>
  <c r="EV170" i="4"/>
  <c r="EW170" i="4"/>
  <c r="EX170" i="4"/>
  <c r="EY170" i="4"/>
  <c r="EZ170" i="4"/>
  <c r="FA170" i="4"/>
  <c r="FB170" i="4"/>
  <c r="FC170" i="4"/>
  <c r="FD170" i="4"/>
  <c r="FE170" i="4"/>
  <c r="FF170" i="4"/>
  <c r="FG170" i="4"/>
  <c r="FH170" i="4"/>
  <c r="FI170" i="4"/>
  <c r="FJ170" i="4"/>
  <c r="FK170" i="4"/>
  <c r="FL170" i="4"/>
  <c r="FM170" i="4"/>
  <c r="FN170" i="4"/>
  <c r="FO170" i="4"/>
  <c r="FP170" i="4"/>
  <c r="FQ170" i="4"/>
  <c r="FR170" i="4"/>
  <c r="FS170" i="4"/>
  <c r="FT170" i="4"/>
  <c r="FU170" i="4"/>
  <c r="FV170" i="4"/>
  <c r="FW170" i="4"/>
  <c r="FX170" i="4"/>
  <c r="FY170" i="4"/>
  <c r="FZ170" i="4"/>
  <c r="GA170" i="4"/>
  <c r="GB170" i="4"/>
  <c r="GC170" i="4"/>
  <c r="GD170" i="4"/>
  <c r="GE170" i="4"/>
  <c r="GF170" i="4"/>
  <c r="GG170" i="4"/>
  <c r="GH170" i="4"/>
  <c r="GI170" i="4"/>
  <c r="GJ170" i="4"/>
  <c r="GK170" i="4"/>
  <c r="GL170" i="4"/>
  <c r="GM170" i="4"/>
  <c r="GN170" i="4"/>
  <c r="GO170" i="4"/>
  <c r="GP170" i="4"/>
  <c r="GQ170" i="4"/>
  <c r="GR170" i="4"/>
  <c r="GS170" i="4"/>
  <c r="GT170" i="4"/>
  <c r="GU170" i="4"/>
  <c r="GV170" i="4"/>
  <c r="GW170" i="4"/>
  <c r="GX170" i="4"/>
  <c r="GY170" i="4"/>
  <c r="GZ170" i="4"/>
  <c r="HA170" i="4"/>
  <c r="HB170" i="4"/>
  <c r="HC170" i="4"/>
  <c r="HD170" i="4"/>
  <c r="HE170" i="4"/>
  <c r="HF170" i="4"/>
  <c r="HG170" i="4"/>
  <c r="HH170" i="4"/>
  <c r="HI170" i="4"/>
  <c r="HJ170" i="4"/>
  <c r="HK170" i="4"/>
  <c r="HL170" i="4"/>
  <c r="HM170" i="4"/>
  <c r="HN170" i="4"/>
  <c r="HO170" i="4"/>
  <c r="HP170" i="4"/>
  <c r="HQ170" i="4"/>
  <c r="HR170" i="4"/>
  <c r="HS170" i="4"/>
  <c r="HT170" i="4"/>
  <c r="HU170" i="4"/>
  <c r="HV170" i="4"/>
  <c r="HW170" i="4"/>
  <c r="HX170" i="4"/>
  <c r="HY170" i="4"/>
  <c r="HZ170" i="4"/>
  <c r="IA170" i="4"/>
  <c r="IB170" i="4"/>
  <c r="IC170" i="4"/>
  <c r="ID170" i="4"/>
  <c r="IE170" i="4"/>
  <c r="IF170" i="4"/>
  <c r="IG170" i="4"/>
  <c r="IH170" i="4"/>
  <c r="II170" i="4"/>
  <c r="IJ170" i="4"/>
  <c r="IK170" i="4"/>
  <c r="IL170" i="4"/>
  <c r="IM170" i="4"/>
  <c r="IN170" i="4"/>
  <c r="IO170" i="4"/>
  <c r="IP170" i="4"/>
  <c r="IQ170" i="4"/>
  <c r="IR170" i="4"/>
  <c r="IS170" i="4"/>
  <c r="IT170" i="4"/>
  <c r="IU170" i="4"/>
  <c r="IV170" i="4"/>
  <c r="A169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EI169" i="4"/>
  <c r="EJ169" i="4"/>
  <c r="EK169" i="4"/>
  <c r="EL169" i="4"/>
  <c r="EM169" i="4"/>
  <c r="EN169" i="4"/>
  <c r="EO169" i="4"/>
  <c r="EP169" i="4"/>
  <c r="EQ169" i="4"/>
  <c r="ER169" i="4"/>
  <c r="ES169" i="4"/>
  <c r="ET169" i="4"/>
  <c r="EU169" i="4"/>
  <c r="EV169" i="4"/>
  <c r="EW169" i="4"/>
  <c r="EX169" i="4"/>
  <c r="EY169" i="4"/>
  <c r="EZ169" i="4"/>
  <c r="FA169" i="4"/>
  <c r="FB169" i="4"/>
  <c r="FC169" i="4"/>
  <c r="FD169" i="4"/>
  <c r="FE169" i="4"/>
  <c r="FF169" i="4"/>
  <c r="FG169" i="4"/>
  <c r="FH169" i="4"/>
  <c r="FI169" i="4"/>
  <c r="FJ169" i="4"/>
  <c r="FK169" i="4"/>
  <c r="FL169" i="4"/>
  <c r="FM169" i="4"/>
  <c r="FN169" i="4"/>
  <c r="FO169" i="4"/>
  <c r="FP169" i="4"/>
  <c r="FQ169" i="4"/>
  <c r="FR169" i="4"/>
  <c r="FS169" i="4"/>
  <c r="FT169" i="4"/>
  <c r="FU169" i="4"/>
  <c r="FV169" i="4"/>
  <c r="FW169" i="4"/>
  <c r="FX169" i="4"/>
  <c r="FY169" i="4"/>
  <c r="FZ169" i="4"/>
  <c r="GA169" i="4"/>
  <c r="GB169" i="4"/>
  <c r="GC169" i="4"/>
  <c r="GD169" i="4"/>
  <c r="GE169" i="4"/>
  <c r="GF169" i="4"/>
  <c r="GG169" i="4"/>
  <c r="GH169" i="4"/>
  <c r="GI169" i="4"/>
  <c r="GJ169" i="4"/>
  <c r="GK169" i="4"/>
  <c r="GL169" i="4"/>
  <c r="GM169" i="4"/>
  <c r="GN169" i="4"/>
  <c r="GO169" i="4"/>
  <c r="GP169" i="4"/>
  <c r="GQ169" i="4"/>
  <c r="GR169" i="4"/>
  <c r="GS169" i="4"/>
  <c r="GT169" i="4"/>
  <c r="GU169" i="4"/>
  <c r="GV169" i="4"/>
  <c r="GW169" i="4"/>
  <c r="GX169" i="4"/>
  <c r="GY169" i="4"/>
  <c r="GZ169" i="4"/>
  <c r="HA169" i="4"/>
  <c r="HB169" i="4"/>
  <c r="HC169" i="4"/>
  <c r="HD169" i="4"/>
  <c r="HE169" i="4"/>
  <c r="HF169" i="4"/>
  <c r="HG169" i="4"/>
  <c r="HH169" i="4"/>
  <c r="HI169" i="4"/>
  <c r="HJ169" i="4"/>
  <c r="HK169" i="4"/>
  <c r="HL169" i="4"/>
  <c r="HM169" i="4"/>
  <c r="HN169" i="4"/>
  <c r="HO169" i="4"/>
  <c r="HP169" i="4"/>
  <c r="HQ169" i="4"/>
  <c r="HR169" i="4"/>
  <c r="HS169" i="4"/>
  <c r="HT169" i="4"/>
  <c r="HU169" i="4"/>
  <c r="HV169" i="4"/>
  <c r="HW169" i="4"/>
  <c r="HX169" i="4"/>
  <c r="HY169" i="4"/>
  <c r="HZ169" i="4"/>
  <c r="IA169" i="4"/>
  <c r="IB169" i="4"/>
  <c r="IC169" i="4"/>
  <c r="ID169" i="4"/>
  <c r="IE169" i="4"/>
  <c r="IF169" i="4"/>
  <c r="IG169" i="4"/>
  <c r="IH169" i="4"/>
  <c r="II169" i="4"/>
  <c r="IJ169" i="4"/>
  <c r="IK169" i="4"/>
  <c r="IL169" i="4"/>
  <c r="IM169" i="4"/>
  <c r="IN169" i="4"/>
  <c r="IO169" i="4"/>
  <c r="IP169" i="4"/>
  <c r="IQ169" i="4"/>
  <c r="IR169" i="4"/>
  <c r="IS169" i="4"/>
  <c r="IT169" i="4"/>
  <c r="IU169" i="4"/>
  <c r="IV169" i="4"/>
  <c r="A168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EI168" i="4"/>
  <c r="EJ168" i="4"/>
  <c r="EK168" i="4"/>
  <c r="EL168" i="4"/>
  <c r="EM168" i="4"/>
  <c r="EN168" i="4"/>
  <c r="EO168" i="4"/>
  <c r="EP168" i="4"/>
  <c r="EQ168" i="4"/>
  <c r="ER168" i="4"/>
  <c r="ES168" i="4"/>
  <c r="ET168" i="4"/>
  <c r="EU168" i="4"/>
  <c r="EV168" i="4"/>
  <c r="EW168" i="4"/>
  <c r="EX168" i="4"/>
  <c r="EY168" i="4"/>
  <c r="EZ168" i="4"/>
  <c r="FA168" i="4"/>
  <c r="FB168" i="4"/>
  <c r="FC168" i="4"/>
  <c r="FD168" i="4"/>
  <c r="FE168" i="4"/>
  <c r="FF168" i="4"/>
  <c r="FG168" i="4"/>
  <c r="FH168" i="4"/>
  <c r="FI168" i="4"/>
  <c r="FJ168" i="4"/>
  <c r="FK168" i="4"/>
  <c r="FL168" i="4"/>
  <c r="FM168" i="4"/>
  <c r="FN168" i="4"/>
  <c r="FO168" i="4"/>
  <c r="FP168" i="4"/>
  <c r="FQ168" i="4"/>
  <c r="FR168" i="4"/>
  <c r="FS168" i="4"/>
  <c r="FT168" i="4"/>
  <c r="FU168" i="4"/>
  <c r="FV168" i="4"/>
  <c r="FW168" i="4"/>
  <c r="FX168" i="4"/>
  <c r="FY168" i="4"/>
  <c r="FZ168" i="4"/>
  <c r="GA168" i="4"/>
  <c r="GB168" i="4"/>
  <c r="GC168" i="4"/>
  <c r="GD168" i="4"/>
  <c r="GE168" i="4"/>
  <c r="GF168" i="4"/>
  <c r="GG168" i="4"/>
  <c r="GH168" i="4"/>
  <c r="GI168" i="4"/>
  <c r="GJ168" i="4"/>
  <c r="GK168" i="4"/>
  <c r="GL168" i="4"/>
  <c r="GM168" i="4"/>
  <c r="GN168" i="4"/>
  <c r="GO168" i="4"/>
  <c r="GP168" i="4"/>
  <c r="GQ168" i="4"/>
  <c r="GR168" i="4"/>
  <c r="GS168" i="4"/>
  <c r="GT168" i="4"/>
  <c r="GU168" i="4"/>
  <c r="GV168" i="4"/>
  <c r="GW168" i="4"/>
  <c r="GX168" i="4"/>
  <c r="GY168" i="4"/>
  <c r="GZ168" i="4"/>
  <c r="HA168" i="4"/>
  <c r="HB168" i="4"/>
  <c r="HC168" i="4"/>
  <c r="HD168" i="4"/>
  <c r="HE168" i="4"/>
  <c r="HF168" i="4"/>
  <c r="HG168" i="4"/>
  <c r="HH168" i="4"/>
  <c r="HI168" i="4"/>
  <c r="HJ168" i="4"/>
  <c r="HK168" i="4"/>
  <c r="HL168" i="4"/>
  <c r="HM168" i="4"/>
  <c r="HN168" i="4"/>
  <c r="HO168" i="4"/>
  <c r="HP168" i="4"/>
  <c r="HQ168" i="4"/>
  <c r="HR168" i="4"/>
  <c r="HS168" i="4"/>
  <c r="HT168" i="4"/>
  <c r="HU168" i="4"/>
  <c r="HV168" i="4"/>
  <c r="HW168" i="4"/>
  <c r="HX168" i="4"/>
  <c r="HY168" i="4"/>
  <c r="HZ168" i="4"/>
  <c r="IA168" i="4"/>
  <c r="IB168" i="4"/>
  <c r="IC168" i="4"/>
  <c r="ID168" i="4"/>
  <c r="IE168" i="4"/>
  <c r="IF168" i="4"/>
  <c r="IG168" i="4"/>
  <c r="IH168" i="4"/>
  <c r="II168" i="4"/>
  <c r="IJ168" i="4"/>
  <c r="IK168" i="4"/>
  <c r="IL168" i="4"/>
  <c r="IM168" i="4"/>
  <c r="IN168" i="4"/>
  <c r="IO168" i="4"/>
  <c r="IP168" i="4"/>
  <c r="IQ168" i="4"/>
  <c r="IR168" i="4"/>
  <c r="IS168" i="4"/>
  <c r="IT168" i="4"/>
  <c r="IU168" i="4"/>
  <c r="IV168" i="4"/>
  <c r="A167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DO167" i="4"/>
  <c r="DP167" i="4"/>
  <c r="DQ167" i="4"/>
  <c r="DR167" i="4"/>
  <c r="DS167" i="4"/>
  <c r="DT167" i="4"/>
  <c r="DU167" i="4"/>
  <c r="DV167" i="4"/>
  <c r="DW167" i="4"/>
  <c r="DX167" i="4"/>
  <c r="DY167" i="4"/>
  <c r="DZ167" i="4"/>
  <c r="EA167" i="4"/>
  <c r="EB167" i="4"/>
  <c r="EC167" i="4"/>
  <c r="ED167" i="4"/>
  <c r="EE167" i="4"/>
  <c r="EF167" i="4"/>
  <c r="EG167" i="4"/>
  <c r="EH167" i="4"/>
  <c r="EI167" i="4"/>
  <c r="EJ167" i="4"/>
  <c r="EK167" i="4"/>
  <c r="EL167" i="4"/>
  <c r="EM167" i="4"/>
  <c r="EN167" i="4"/>
  <c r="EO167" i="4"/>
  <c r="EP167" i="4"/>
  <c r="EQ167" i="4"/>
  <c r="ER167" i="4"/>
  <c r="ES167" i="4"/>
  <c r="ET167" i="4"/>
  <c r="EU167" i="4"/>
  <c r="EV167" i="4"/>
  <c r="EW167" i="4"/>
  <c r="EX167" i="4"/>
  <c r="EY167" i="4"/>
  <c r="EZ167" i="4"/>
  <c r="FA167" i="4"/>
  <c r="FB167" i="4"/>
  <c r="FC167" i="4"/>
  <c r="FD167" i="4"/>
  <c r="FE167" i="4"/>
  <c r="FF167" i="4"/>
  <c r="FG167" i="4"/>
  <c r="FH167" i="4"/>
  <c r="FI167" i="4"/>
  <c r="FJ167" i="4"/>
  <c r="FK167" i="4"/>
  <c r="FL167" i="4"/>
  <c r="FM167" i="4"/>
  <c r="FN167" i="4"/>
  <c r="FO167" i="4"/>
  <c r="FP167" i="4"/>
  <c r="FQ167" i="4"/>
  <c r="FR167" i="4"/>
  <c r="FS167" i="4"/>
  <c r="FT167" i="4"/>
  <c r="FU167" i="4"/>
  <c r="FV167" i="4"/>
  <c r="FW167" i="4"/>
  <c r="FX167" i="4"/>
  <c r="FY167" i="4"/>
  <c r="FZ167" i="4"/>
  <c r="GA167" i="4"/>
  <c r="GB167" i="4"/>
  <c r="GC167" i="4"/>
  <c r="GD167" i="4"/>
  <c r="GE167" i="4"/>
  <c r="GF167" i="4"/>
  <c r="GG167" i="4"/>
  <c r="GH167" i="4"/>
  <c r="GI167" i="4"/>
  <c r="GJ167" i="4"/>
  <c r="GK167" i="4"/>
  <c r="GL167" i="4"/>
  <c r="GM167" i="4"/>
  <c r="GN167" i="4"/>
  <c r="GO167" i="4"/>
  <c r="GP167" i="4"/>
  <c r="GQ167" i="4"/>
  <c r="GR167" i="4"/>
  <c r="GS167" i="4"/>
  <c r="GT167" i="4"/>
  <c r="GU167" i="4"/>
  <c r="GV167" i="4"/>
  <c r="GW167" i="4"/>
  <c r="GX167" i="4"/>
  <c r="GY167" i="4"/>
  <c r="GZ167" i="4"/>
  <c r="HA167" i="4"/>
  <c r="HB167" i="4"/>
  <c r="HC167" i="4"/>
  <c r="HD167" i="4"/>
  <c r="HE167" i="4"/>
  <c r="HF167" i="4"/>
  <c r="HG167" i="4"/>
  <c r="HH167" i="4"/>
  <c r="HI167" i="4"/>
  <c r="HJ167" i="4"/>
  <c r="HK167" i="4"/>
  <c r="HL167" i="4"/>
  <c r="HM167" i="4"/>
  <c r="HN167" i="4"/>
  <c r="HO167" i="4"/>
  <c r="HP167" i="4"/>
  <c r="HQ167" i="4"/>
  <c r="HR167" i="4"/>
  <c r="HS167" i="4"/>
  <c r="HT167" i="4"/>
  <c r="HU167" i="4"/>
  <c r="HV167" i="4"/>
  <c r="HW167" i="4"/>
  <c r="HX167" i="4"/>
  <c r="HY167" i="4"/>
  <c r="HZ167" i="4"/>
  <c r="IA167" i="4"/>
  <c r="IB167" i="4"/>
  <c r="IC167" i="4"/>
  <c r="ID167" i="4"/>
  <c r="IE167" i="4"/>
  <c r="IF167" i="4"/>
  <c r="IG167" i="4"/>
  <c r="IH167" i="4"/>
  <c r="II167" i="4"/>
  <c r="IJ167" i="4"/>
  <c r="IK167" i="4"/>
  <c r="IL167" i="4"/>
  <c r="IM167" i="4"/>
  <c r="IN167" i="4"/>
  <c r="IO167" i="4"/>
  <c r="IP167" i="4"/>
  <c r="IQ167" i="4"/>
  <c r="IR167" i="4"/>
  <c r="IS167" i="4"/>
  <c r="IT167" i="4"/>
  <c r="IU167" i="4"/>
  <c r="IV167" i="4"/>
  <c r="A166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DO166" i="4"/>
  <c r="DP166" i="4"/>
  <c r="DQ166" i="4"/>
  <c r="DR166" i="4"/>
  <c r="DS166" i="4"/>
  <c r="DT166" i="4"/>
  <c r="DU166" i="4"/>
  <c r="DV166" i="4"/>
  <c r="DW166" i="4"/>
  <c r="DX166" i="4"/>
  <c r="DY166" i="4"/>
  <c r="DZ166" i="4"/>
  <c r="EA166" i="4"/>
  <c r="EB166" i="4"/>
  <c r="EC166" i="4"/>
  <c r="ED166" i="4"/>
  <c r="EE166" i="4"/>
  <c r="EF166" i="4"/>
  <c r="EG166" i="4"/>
  <c r="EH166" i="4"/>
  <c r="EI166" i="4"/>
  <c r="EJ166" i="4"/>
  <c r="EK166" i="4"/>
  <c r="EL166" i="4"/>
  <c r="EM166" i="4"/>
  <c r="EN166" i="4"/>
  <c r="EO166" i="4"/>
  <c r="EP166" i="4"/>
  <c r="EQ166" i="4"/>
  <c r="ER166" i="4"/>
  <c r="ES166" i="4"/>
  <c r="ET166" i="4"/>
  <c r="EU166" i="4"/>
  <c r="EV166" i="4"/>
  <c r="EW166" i="4"/>
  <c r="EX166" i="4"/>
  <c r="EY166" i="4"/>
  <c r="EZ166" i="4"/>
  <c r="FA166" i="4"/>
  <c r="FB166" i="4"/>
  <c r="FC166" i="4"/>
  <c r="FD166" i="4"/>
  <c r="FE166" i="4"/>
  <c r="FF166" i="4"/>
  <c r="FG166" i="4"/>
  <c r="FH166" i="4"/>
  <c r="FI166" i="4"/>
  <c r="FJ166" i="4"/>
  <c r="FK166" i="4"/>
  <c r="FL166" i="4"/>
  <c r="FM166" i="4"/>
  <c r="FN166" i="4"/>
  <c r="FO166" i="4"/>
  <c r="FP166" i="4"/>
  <c r="FQ166" i="4"/>
  <c r="FR166" i="4"/>
  <c r="FS166" i="4"/>
  <c r="FT166" i="4"/>
  <c r="FU166" i="4"/>
  <c r="FV166" i="4"/>
  <c r="FW166" i="4"/>
  <c r="FX166" i="4"/>
  <c r="FY166" i="4"/>
  <c r="FZ166" i="4"/>
  <c r="GA166" i="4"/>
  <c r="GB166" i="4"/>
  <c r="GC166" i="4"/>
  <c r="GD166" i="4"/>
  <c r="GE166" i="4"/>
  <c r="GF166" i="4"/>
  <c r="GG166" i="4"/>
  <c r="GH166" i="4"/>
  <c r="GI166" i="4"/>
  <c r="GJ166" i="4"/>
  <c r="GK166" i="4"/>
  <c r="GL166" i="4"/>
  <c r="GM166" i="4"/>
  <c r="GN166" i="4"/>
  <c r="GO166" i="4"/>
  <c r="GP166" i="4"/>
  <c r="GQ166" i="4"/>
  <c r="GR166" i="4"/>
  <c r="GS166" i="4"/>
  <c r="GT166" i="4"/>
  <c r="GU166" i="4"/>
  <c r="GV166" i="4"/>
  <c r="GW166" i="4"/>
  <c r="GX166" i="4"/>
  <c r="GY166" i="4"/>
  <c r="GZ166" i="4"/>
  <c r="HA166" i="4"/>
  <c r="HB166" i="4"/>
  <c r="HC166" i="4"/>
  <c r="HD166" i="4"/>
  <c r="HE166" i="4"/>
  <c r="HF166" i="4"/>
  <c r="HG166" i="4"/>
  <c r="HH166" i="4"/>
  <c r="HI166" i="4"/>
  <c r="HJ166" i="4"/>
  <c r="HK166" i="4"/>
  <c r="HL166" i="4"/>
  <c r="HM166" i="4"/>
  <c r="HN166" i="4"/>
  <c r="HO166" i="4"/>
  <c r="HP166" i="4"/>
  <c r="HQ166" i="4"/>
  <c r="HR166" i="4"/>
  <c r="HS166" i="4"/>
  <c r="HT166" i="4"/>
  <c r="HU166" i="4"/>
  <c r="HV166" i="4"/>
  <c r="HW166" i="4"/>
  <c r="HX166" i="4"/>
  <c r="HY166" i="4"/>
  <c r="HZ166" i="4"/>
  <c r="IA166" i="4"/>
  <c r="IB166" i="4"/>
  <c r="IC166" i="4"/>
  <c r="ID166" i="4"/>
  <c r="IE166" i="4"/>
  <c r="IF166" i="4"/>
  <c r="IG166" i="4"/>
  <c r="IH166" i="4"/>
  <c r="II166" i="4"/>
  <c r="IJ166" i="4"/>
  <c r="IK166" i="4"/>
  <c r="IL166" i="4"/>
  <c r="IM166" i="4"/>
  <c r="IN166" i="4"/>
  <c r="IO166" i="4"/>
  <c r="IP166" i="4"/>
  <c r="IQ166" i="4"/>
  <c r="IR166" i="4"/>
  <c r="IS166" i="4"/>
  <c r="IT166" i="4"/>
  <c r="IU166" i="4"/>
  <c r="IV166" i="4"/>
  <c r="A165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DO165" i="4"/>
  <c r="DP165" i="4"/>
  <c r="DQ165" i="4"/>
  <c r="DR165" i="4"/>
  <c r="DS165" i="4"/>
  <c r="DT165" i="4"/>
  <c r="DU165" i="4"/>
  <c r="DV165" i="4"/>
  <c r="DW165" i="4"/>
  <c r="DX165" i="4"/>
  <c r="DY165" i="4"/>
  <c r="DZ165" i="4"/>
  <c r="EA165" i="4"/>
  <c r="EB165" i="4"/>
  <c r="EC165" i="4"/>
  <c r="ED165" i="4"/>
  <c r="EE165" i="4"/>
  <c r="EF165" i="4"/>
  <c r="EG165" i="4"/>
  <c r="EH165" i="4"/>
  <c r="EI165" i="4"/>
  <c r="EJ165" i="4"/>
  <c r="EK165" i="4"/>
  <c r="EL165" i="4"/>
  <c r="EM165" i="4"/>
  <c r="EN165" i="4"/>
  <c r="EO165" i="4"/>
  <c r="EP165" i="4"/>
  <c r="EQ165" i="4"/>
  <c r="ER165" i="4"/>
  <c r="ES165" i="4"/>
  <c r="ET165" i="4"/>
  <c r="EU165" i="4"/>
  <c r="EV165" i="4"/>
  <c r="EW165" i="4"/>
  <c r="EX165" i="4"/>
  <c r="EY165" i="4"/>
  <c r="EZ165" i="4"/>
  <c r="FA165" i="4"/>
  <c r="FB165" i="4"/>
  <c r="FC165" i="4"/>
  <c r="FD165" i="4"/>
  <c r="FE165" i="4"/>
  <c r="FF165" i="4"/>
  <c r="FG165" i="4"/>
  <c r="FH165" i="4"/>
  <c r="FI165" i="4"/>
  <c r="FJ165" i="4"/>
  <c r="FK165" i="4"/>
  <c r="FL165" i="4"/>
  <c r="FM165" i="4"/>
  <c r="FN165" i="4"/>
  <c r="FO165" i="4"/>
  <c r="FP165" i="4"/>
  <c r="FQ165" i="4"/>
  <c r="FR165" i="4"/>
  <c r="FS165" i="4"/>
  <c r="FT165" i="4"/>
  <c r="FU165" i="4"/>
  <c r="FV165" i="4"/>
  <c r="FW165" i="4"/>
  <c r="FX165" i="4"/>
  <c r="FY165" i="4"/>
  <c r="FZ165" i="4"/>
  <c r="GA165" i="4"/>
  <c r="GB165" i="4"/>
  <c r="GC165" i="4"/>
  <c r="GD165" i="4"/>
  <c r="GE165" i="4"/>
  <c r="GF165" i="4"/>
  <c r="GG165" i="4"/>
  <c r="GH165" i="4"/>
  <c r="GI165" i="4"/>
  <c r="GJ165" i="4"/>
  <c r="GK165" i="4"/>
  <c r="GL165" i="4"/>
  <c r="GM165" i="4"/>
  <c r="GN165" i="4"/>
  <c r="GO165" i="4"/>
  <c r="GP165" i="4"/>
  <c r="GQ165" i="4"/>
  <c r="GR165" i="4"/>
  <c r="GS165" i="4"/>
  <c r="GT165" i="4"/>
  <c r="GU165" i="4"/>
  <c r="GV165" i="4"/>
  <c r="GW165" i="4"/>
  <c r="GX165" i="4"/>
  <c r="GY165" i="4"/>
  <c r="GZ165" i="4"/>
  <c r="HA165" i="4"/>
  <c r="HB165" i="4"/>
  <c r="HC165" i="4"/>
  <c r="HD165" i="4"/>
  <c r="HE165" i="4"/>
  <c r="HF165" i="4"/>
  <c r="HG165" i="4"/>
  <c r="HH165" i="4"/>
  <c r="HI165" i="4"/>
  <c r="HJ165" i="4"/>
  <c r="HK165" i="4"/>
  <c r="HL165" i="4"/>
  <c r="HM165" i="4"/>
  <c r="HN165" i="4"/>
  <c r="HO165" i="4"/>
  <c r="HP165" i="4"/>
  <c r="HQ165" i="4"/>
  <c r="HR165" i="4"/>
  <c r="HS165" i="4"/>
  <c r="HT165" i="4"/>
  <c r="HU165" i="4"/>
  <c r="HV165" i="4"/>
  <c r="HW165" i="4"/>
  <c r="HX165" i="4"/>
  <c r="HY165" i="4"/>
  <c r="HZ165" i="4"/>
  <c r="IA165" i="4"/>
  <c r="IB165" i="4"/>
  <c r="IC165" i="4"/>
  <c r="ID165" i="4"/>
  <c r="IE165" i="4"/>
  <c r="IF165" i="4"/>
  <c r="IG165" i="4"/>
  <c r="IH165" i="4"/>
  <c r="II165" i="4"/>
  <c r="IJ165" i="4"/>
  <c r="IK165" i="4"/>
  <c r="IL165" i="4"/>
  <c r="IM165" i="4"/>
  <c r="IN165" i="4"/>
  <c r="IO165" i="4"/>
  <c r="IP165" i="4"/>
  <c r="IQ165" i="4"/>
  <c r="IR165" i="4"/>
  <c r="IS165" i="4"/>
  <c r="IT165" i="4"/>
  <c r="IU165" i="4"/>
  <c r="IV165" i="4"/>
  <c r="A164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DO164" i="4"/>
  <c r="DP164" i="4"/>
  <c r="DQ164" i="4"/>
  <c r="DR164" i="4"/>
  <c r="DS164" i="4"/>
  <c r="DT164" i="4"/>
  <c r="DU164" i="4"/>
  <c r="DV164" i="4"/>
  <c r="DW164" i="4"/>
  <c r="DX164" i="4"/>
  <c r="DY164" i="4"/>
  <c r="DZ164" i="4"/>
  <c r="EA164" i="4"/>
  <c r="EB164" i="4"/>
  <c r="EC164" i="4"/>
  <c r="ED164" i="4"/>
  <c r="EE164" i="4"/>
  <c r="EF164" i="4"/>
  <c r="EG164" i="4"/>
  <c r="EH164" i="4"/>
  <c r="EI164" i="4"/>
  <c r="EJ164" i="4"/>
  <c r="EK164" i="4"/>
  <c r="EL164" i="4"/>
  <c r="EM164" i="4"/>
  <c r="EN164" i="4"/>
  <c r="EO164" i="4"/>
  <c r="EP164" i="4"/>
  <c r="EQ164" i="4"/>
  <c r="ER164" i="4"/>
  <c r="ES164" i="4"/>
  <c r="ET164" i="4"/>
  <c r="EU164" i="4"/>
  <c r="EV164" i="4"/>
  <c r="EW164" i="4"/>
  <c r="EX164" i="4"/>
  <c r="EY164" i="4"/>
  <c r="EZ164" i="4"/>
  <c r="FA164" i="4"/>
  <c r="FB164" i="4"/>
  <c r="FC164" i="4"/>
  <c r="FD164" i="4"/>
  <c r="FE164" i="4"/>
  <c r="FF164" i="4"/>
  <c r="FG164" i="4"/>
  <c r="FH164" i="4"/>
  <c r="FI164" i="4"/>
  <c r="FJ164" i="4"/>
  <c r="FK164" i="4"/>
  <c r="FL164" i="4"/>
  <c r="FM164" i="4"/>
  <c r="FN164" i="4"/>
  <c r="FO164" i="4"/>
  <c r="FP164" i="4"/>
  <c r="FQ164" i="4"/>
  <c r="FR164" i="4"/>
  <c r="FS164" i="4"/>
  <c r="FT164" i="4"/>
  <c r="FU164" i="4"/>
  <c r="FV164" i="4"/>
  <c r="FW164" i="4"/>
  <c r="FX164" i="4"/>
  <c r="FY164" i="4"/>
  <c r="FZ164" i="4"/>
  <c r="GA164" i="4"/>
  <c r="GB164" i="4"/>
  <c r="GC164" i="4"/>
  <c r="GD164" i="4"/>
  <c r="GE164" i="4"/>
  <c r="GF164" i="4"/>
  <c r="GG164" i="4"/>
  <c r="GH164" i="4"/>
  <c r="GI164" i="4"/>
  <c r="GJ164" i="4"/>
  <c r="GK164" i="4"/>
  <c r="GL164" i="4"/>
  <c r="GM164" i="4"/>
  <c r="GN164" i="4"/>
  <c r="GO164" i="4"/>
  <c r="GP164" i="4"/>
  <c r="GQ164" i="4"/>
  <c r="GR164" i="4"/>
  <c r="GS164" i="4"/>
  <c r="GT164" i="4"/>
  <c r="GU164" i="4"/>
  <c r="GV164" i="4"/>
  <c r="GW164" i="4"/>
  <c r="GX164" i="4"/>
  <c r="GY164" i="4"/>
  <c r="GZ164" i="4"/>
  <c r="HA164" i="4"/>
  <c r="HB164" i="4"/>
  <c r="HC164" i="4"/>
  <c r="HD164" i="4"/>
  <c r="HE164" i="4"/>
  <c r="HF164" i="4"/>
  <c r="HG164" i="4"/>
  <c r="HH164" i="4"/>
  <c r="HI164" i="4"/>
  <c r="HJ164" i="4"/>
  <c r="HK164" i="4"/>
  <c r="HL164" i="4"/>
  <c r="HM164" i="4"/>
  <c r="HN164" i="4"/>
  <c r="HO164" i="4"/>
  <c r="HP164" i="4"/>
  <c r="HQ164" i="4"/>
  <c r="HR164" i="4"/>
  <c r="HS164" i="4"/>
  <c r="HT164" i="4"/>
  <c r="HU164" i="4"/>
  <c r="HV164" i="4"/>
  <c r="HW164" i="4"/>
  <c r="HX164" i="4"/>
  <c r="HY164" i="4"/>
  <c r="HZ164" i="4"/>
  <c r="IA164" i="4"/>
  <c r="IB164" i="4"/>
  <c r="IC164" i="4"/>
  <c r="ID164" i="4"/>
  <c r="IE164" i="4"/>
  <c r="IF164" i="4"/>
  <c r="IG164" i="4"/>
  <c r="IH164" i="4"/>
  <c r="II164" i="4"/>
  <c r="IJ164" i="4"/>
  <c r="IK164" i="4"/>
  <c r="IL164" i="4"/>
  <c r="IM164" i="4"/>
  <c r="IN164" i="4"/>
  <c r="IO164" i="4"/>
  <c r="IP164" i="4"/>
  <c r="IQ164" i="4"/>
  <c r="IR164" i="4"/>
  <c r="IS164" i="4"/>
  <c r="IT164" i="4"/>
  <c r="IU164" i="4"/>
  <c r="IV164" i="4"/>
  <c r="A163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DO163" i="4"/>
  <c r="DP163" i="4"/>
  <c r="DQ163" i="4"/>
  <c r="DR163" i="4"/>
  <c r="DS163" i="4"/>
  <c r="DT163" i="4"/>
  <c r="DU163" i="4"/>
  <c r="DV163" i="4"/>
  <c r="DW163" i="4"/>
  <c r="DX163" i="4"/>
  <c r="DY163" i="4"/>
  <c r="DZ163" i="4"/>
  <c r="EA163" i="4"/>
  <c r="EB163" i="4"/>
  <c r="EC163" i="4"/>
  <c r="ED163" i="4"/>
  <c r="EE163" i="4"/>
  <c r="EF163" i="4"/>
  <c r="EG163" i="4"/>
  <c r="EH163" i="4"/>
  <c r="EI163" i="4"/>
  <c r="EJ163" i="4"/>
  <c r="EK163" i="4"/>
  <c r="EL163" i="4"/>
  <c r="EM163" i="4"/>
  <c r="EN163" i="4"/>
  <c r="EO163" i="4"/>
  <c r="EP163" i="4"/>
  <c r="EQ163" i="4"/>
  <c r="ER163" i="4"/>
  <c r="ES163" i="4"/>
  <c r="ET163" i="4"/>
  <c r="EU163" i="4"/>
  <c r="EV163" i="4"/>
  <c r="EW163" i="4"/>
  <c r="EX163" i="4"/>
  <c r="EY163" i="4"/>
  <c r="EZ163" i="4"/>
  <c r="FA163" i="4"/>
  <c r="FB163" i="4"/>
  <c r="FC163" i="4"/>
  <c r="FD163" i="4"/>
  <c r="FE163" i="4"/>
  <c r="FF163" i="4"/>
  <c r="FG163" i="4"/>
  <c r="FH163" i="4"/>
  <c r="FI163" i="4"/>
  <c r="FJ163" i="4"/>
  <c r="FK163" i="4"/>
  <c r="FL163" i="4"/>
  <c r="FM163" i="4"/>
  <c r="FN163" i="4"/>
  <c r="FO163" i="4"/>
  <c r="FP163" i="4"/>
  <c r="FQ163" i="4"/>
  <c r="FR163" i="4"/>
  <c r="FS163" i="4"/>
  <c r="FT163" i="4"/>
  <c r="FU163" i="4"/>
  <c r="FV163" i="4"/>
  <c r="FW163" i="4"/>
  <c r="FX163" i="4"/>
  <c r="FY163" i="4"/>
  <c r="FZ163" i="4"/>
  <c r="GA163" i="4"/>
  <c r="GB163" i="4"/>
  <c r="GC163" i="4"/>
  <c r="GD163" i="4"/>
  <c r="GE163" i="4"/>
  <c r="GF163" i="4"/>
  <c r="GG163" i="4"/>
  <c r="GH163" i="4"/>
  <c r="GI163" i="4"/>
  <c r="GJ163" i="4"/>
  <c r="GK163" i="4"/>
  <c r="GL163" i="4"/>
  <c r="GM163" i="4"/>
  <c r="GN163" i="4"/>
  <c r="GO163" i="4"/>
  <c r="GP163" i="4"/>
  <c r="GQ163" i="4"/>
  <c r="GR163" i="4"/>
  <c r="GS163" i="4"/>
  <c r="GT163" i="4"/>
  <c r="GU163" i="4"/>
  <c r="GV163" i="4"/>
  <c r="GW163" i="4"/>
  <c r="GX163" i="4"/>
  <c r="GY163" i="4"/>
  <c r="GZ163" i="4"/>
  <c r="HA163" i="4"/>
  <c r="HB163" i="4"/>
  <c r="HC163" i="4"/>
  <c r="HD163" i="4"/>
  <c r="HE163" i="4"/>
  <c r="HF163" i="4"/>
  <c r="HG163" i="4"/>
  <c r="HH163" i="4"/>
  <c r="HI163" i="4"/>
  <c r="HJ163" i="4"/>
  <c r="HK163" i="4"/>
  <c r="HL163" i="4"/>
  <c r="HM163" i="4"/>
  <c r="HN163" i="4"/>
  <c r="HO163" i="4"/>
  <c r="HP163" i="4"/>
  <c r="HQ163" i="4"/>
  <c r="HR163" i="4"/>
  <c r="HS163" i="4"/>
  <c r="HT163" i="4"/>
  <c r="HU163" i="4"/>
  <c r="HV163" i="4"/>
  <c r="HW163" i="4"/>
  <c r="HX163" i="4"/>
  <c r="HY163" i="4"/>
  <c r="HZ163" i="4"/>
  <c r="IA163" i="4"/>
  <c r="IB163" i="4"/>
  <c r="IC163" i="4"/>
  <c r="ID163" i="4"/>
  <c r="IE163" i="4"/>
  <c r="IF163" i="4"/>
  <c r="IG163" i="4"/>
  <c r="IH163" i="4"/>
  <c r="II163" i="4"/>
  <c r="IJ163" i="4"/>
  <c r="IK163" i="4"/>
  <c r="IL163" i="4"/>
  <c r="IM163" i="4"/>
  <c r="IN163" i="4"/>
  <c r="IO163" i="4"/>
  <c r="IP163" i="4"/>
  <c r="IQ163" i="4"/>
  <c r="IR163" i="4"/>
  <c r="IS163" i="4"/>
  <c r="IT163" i="4"/>
  <c r="IU163" i="4"/>
  <c r="IV163" i="4"/>
  <c r="A162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F162" i="4"/>
  <c r="EG162" i="4"/>
  <c r="EH162" i="4"/>
  <c r="EI162" i="4"/>
  <c r="EJ162" i="4"/>
  <c r="EK162" i="4"/>
  <c r="EL162" i="4"/>
  <c r="EM162" i="4"/>
  <c r="EN162" i="4"/>
  <c r="EO162" i="4"/>
  <c r="EP162" i="4"/>
  <c r="EQ162" i="4"/>
  <c r="ER162" i="4"/>
  <c r="ES162" i="4"/>
  <c r="ET162" i="4"/>
  <c r="EU162" i="4"/>
  <c r="EV162" i="4"/>
  <c r="EW162" i="4"/>
  <c r="EX162" i="4"/>
  <c r="EY162" i="4"/>
  <c r="EZ162" i="4"/>
  <c r="FA162" i="4"/>
  <c r="FB162" i="4"/>
  <c r="FC162" i="4"/>
  <c r="FD162" i="4"/>
  <c r="FE162" i="4"/>
  <c r="FF162" i="4"/>
  <c r="FG162" i="4"/>
  <c r="FH162" i="4"/>
  <c r="FI162" i="4"/>
  <c r="FJ162" i="4"/>
  <c r="FK162" i="4"/>
  <c r="FL162" i="4"/>
  <c r="FM162" i="4"/>
  <c r="FN162" i="4"/>
  <c r="FO162" i="4"/>
  <c r="FP162" i="4"/>
  <c r="FQ162" i="4"/>
  <c r="FR162" i="4"/>
  <c r="FS162" i="4"/>
  <c r="FT162" i="4"/>
  <c r="FU162" i="4"/>
  <c r="FV162" i="4"/>
  <c r="FW162" i="4"/>
  <c r="FX162" i="4"/>
  <c r="FY162" i="4"/>
  <c r="FZ162" i="4"/>
  <c r="GA162" i="4"/>
  <c r="GB162" i="4"/>
  <c r="GC162" i="4"/>
  <c r="GD162" i="4"/>
  <c r="GE162" i="4"/>
  <c r="GF162" i="4"/>
  <c r="GG162" i="4"/>
  <c r="GH162" i="4"/>
  <c r="GI162" i="4"/>
  <c r="GJ162" i="4"/>
  <c r="GK162" i="4"/>
  <c r="GL162" i="4"/>
  <c r="GM162" i="4"/>
  <c r="GN162" i="4"/>
  <c r="GO162" i="4"/>
  <c r="GP162" i="4"/>
  <c r="GQ162" i="4"/>
  <c r="GR162" i="4"/>
  <c r="GS162" i="4"/>
  <c r="GT162" i="4"/>
  <c r="GU162" i="4"/>
  <c r="GV162" i="4"/>
  <c r="GW162" i="4"/>
  <c r="GX162" i="4"/>
  <c r="GY162" i="4"/>
  <c r="GZ162" i="4"/>
  <c r="HA162" i="4"/>
  <c r="HB162" i="4"/>
  <c r="HC162" i="4"/>
  <c r="HD162" i="4"/>
  <c r="HE162" i="4"/>
  <c r="HF162" i="4"/>
  <c r="HG162" i="4"/>
  <c r="HH162" i="4"/>
  <c r="HI162" i="4"/>
  <c r="HJ162" i="4"/>
  <c r="HK162" i="4"/>
  <c r="HL162" i="4"/>
  <c r="HM162" i="4"/>
  <c r="HN162" i="4"/>
  <c r="HO162" i="4"/>
  <c r="HP162" i="4"/>
  <c r="HQ162" i="4"/>
  <c r="HR162" i="4"/>
  <c r="HS162" i="4"/>
  <c r="HT162" i="4"/>
  <c r="HU162" i="4"/>
  <c r="HV162" i="4"/>
  <c r="HW162" i="4"/>
  <c r="HX162" i="4"/>
  <c r="HY162" i="4"/>
  <c r="HZ162" i="4"/>
  <c r="IA162" i="4"/>
  <c r="IB162" i="4"/>
  <c r="IC162" i="4"/>
  <c r="ID162" i="4"/>
  <c r="IE162" i="4"/>
  <c r="IF162" i="4"/>
  <c r="IG162" i="4"/>
  <c r="IH162" i="4"/>
  <c r="II162" i="4"/>
  <c r="IJ162" i="4"/>
  <c r="IK162" i="4"/>
  <c r="IL162" i="4"/>
  <c r="IM162" i="4"/>
  <c r="IN162" i="4"/>
  <c r="IO162" i="4"/>
  <c r="IP162" i="4"/>
  <c r="IQ162" i="4"/>
  <c r="IR162" i="4"/>
  <c r="IS162" i="4"/>
  <c r="IT162" i="4"/>
  <c r="IU162" i="4"/>
  <c r="IV162" i="4"/>
  <c r="A161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F161" i="4"/>
  <c r="EG161" i="4"/>
  <c r="EH161" i="4"/>
  <c r="EI161" i="4"/>
  <c r="EJ161" i="4"/>
  <c r="EK161" i="4"/>
  <c r="EL161" i="4"/>
  <c r="EM161" i="4"/>
  <c r="EN161" i="4"/>
  <c r="EO161" i="4"/>
  <c r="EP161" i="4"/>
  <c r="EQ161" i="4"/>
  <c r="ER161" i="4"/>
  <c r="ES161" i="4"/>
  <c r="ET161" i="4"/>
  <c r="EU161" i="4"/>
  <c r="EV161" i="4"/>
  <c r="EW161" i="4"/>
  <c r="EX161" i="4"/>
  <c r="EY161" i="4"/>
  <c r="EZ161" i="4"/>
  <c r="FA161" i="4"/>
  <c r="FB161" i="4"/>
  <c r="FC161" i="4"/>
  <c r="FD161" i="4"/>
  <c r="FE161" i="4"/>
  <c r="FF161" i="4"/>
  <c r="FG161" i="4"/>
  <c r="FH161" i="4"/>
  <c r="FI161" i="4"/>
  <c r="FJ161" i="4"/>
  <c r="FK161" i="4"/>
  <c r="FL161" i="4"/>
  <c r="FM161" i="4"/>
  <c r="FN161" i="4"/>
  <c r="FO161" i="4"/>
  <c r="FP161" i="4"/>
  <c r="FQ161" i="4"/>
  <c r="FR161" i="4"/>
  <c r="FS161" i="4"/>
  <c r="FT161" i="4"/>
  <c r="FU161" i="4"/>
  <c r="FV161" i="4"/>
  <c r="FW161" i="4"/>
  <c r="FX161" i="4"/>
  <c r="FY161" i="4"/>
  <c r="FZ161" i="4"/>
  <c r="GA161" i="4"/>
  <c r="GB161" i="4"/>
  <c r="GC161" i="4"/>
  <c r="GD161" i="4"/>
  <c r="GE161" i="4"/>
  <c r="GF161" i="4"/>
  <c r="GG161" i="4"/>
  <c r="GH161" i="4"/>
  <c r="GI161" i="4"/>
  <c r="GJ161" i="4"/>
  <c r="GK161" i="4"/>
  <c r="GL161" i="4"/>
  <c r="GM161" i="4"/>
  <c r="GN161" i="4"/>
  <c r="GO161" i="4"/>
  <c r="GP161" i="4"/>
  <c r="GQ161" i="4"/>
  <c r="GR161" i="4"/>
  <c r="GS161" i="4"/>
  <c r="GT161" i="4"/>
  <c r="GU161" i="4"/>
  <c r="GV161" i="4"/>
  <c r="GW161" i="4"/>
  <c r="GX161" i="4"/>
  <c r="GY161" i="4"/>
  <c r="GZ161" i="4"/>
  <c r="HA161" i="4"/>
  <c r="HB161" i="4"/>
  <c r="HC161" i="4"/>
  <c r="HD161" i="4"/>
  <c r="HE161" i="4"/>
  <c r="HF161" i="4"/>
  <c r="HG161" i="4"/>
  <c r="HH161" i="4"/>
  <c r="HI161" i="4"/>
  <c r="HJ161" i="4"/>
  <c r="HK161" i="4"/>
  <c r="HL161" i="4"/>
  <c r="HM161" i="4"/>
  <c r="HN161" i="4"/>
  <c r="HO161" i="4"/>
  <c r="HP161" i="4"/>
  <c r="HQ161" i="4"/>
  <c r="HR161" i="4"/>
  <c r="HS161" i="4"/>
  <c r="HT161" i="4"/>
  <c r="HU161" i="4"/>
  <c r="HV161" i="4"/>
  <c r="HW161" i="4"/>
  <c r="HX161" i="4"/>
  <c r="HY161" i="4"/>
  <c r="HZ161" i="4"/>
  <c r="IA161" i="4"/>
  <c r="IB161" i="4"/>
  <c r="IC161" i="4"/>
  <c r="ID161" i="4"/>
  <c r="IE161" i="4"/>
  <c r="IF161" i="4"/>
  <c r="IG161" i="4"/>
  <c r="IH161" i="4"/>
  <c r="II161" i="4"/>
  <c r="IJ161" i="4"/>
  <c r="IK161" i="4"/>
  <c r="IL161" i="4"/>
  <c r="IM161" i="4"/>
  <c r="IN161" i="4"/>
  <c r="IO161" i="4"/>
  <c r="IP161" i="4"/>
  <c r="IQ161" i="4"/>
  <c r="IR161" i="4"/>
  <c r="IS161" i="4"/>
  <c r="IT161" i="4"/>
  <c r="IU161" i="4"/>
  <c r="IV161" i="4"/>
  <c r="A160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F160" i="4"/>
  <c r="EG160" i="4"/>
  <c r="EH160" i="4"/>
  <c r="EI160" i="4"/>
  <c r="EJ160" i="4"/>
  <c r="EK160" i="4"/>
  <c r="EL160" i="4"/>
  <c r="EM160" i="4"/>
  <c r="EN160" i="4"/>
  <c r="EO160" i="4"/>
  <c r="EP160" i="4"/>
  <c r="EQ160" i="4"/>
  <c r="ER160" i="4"/>
  <c r="ES160" i="4"/>
  <c r="ET160" i="4"/>
  <c r="EU160" i="4"/>
  <c r="EV160" i="4"/>
  <c r="EW160" i="4"/>
  <c r="EX160" i="4"/>
  <c r="EY160" i="4"/>
  <c r="EZ160" i="4"/>
  <c r="FA160" i="4"/>
  <c r="FB160" i="4"/>
  <c r="FC160" i="4"/>
  <c r="FD160" i="4"/>
  <c r="FE160" i="4"/>
  <c r="FF160" i="4"/>
  <c r="FG160" i="4"/>
  <c r="FH160" i="4"/>
  <c r="FI160" i="4"/>
  <c r="FJ160" i="4"/>
  <c r="FK160" i="4"/>
  <c r="FL160" i="4"/>
  <c r="FM160" i="4"/>
  <c r="FN160" i="4"/>
  <c r="FO160" i="4"/>
  <c r="FP160" i="4"/>
  <c r="FQ160" i="4"/>
  <c r="FR160" i="4"/>
  <c r="FS160" i="4"/>
  <c r="FT160" i="4"/>
  <c r="FU160" i="4"/>
  <c r="FV160" i="4"/>
  <c r="FW160" i="4"/>
  <c r="FX160" i="4"/>
  <c r="FY160" i="4"/>
  <c r="FZ160" i="4"/>
  <c r="GA160" i="4"/>
  <c r="GB160" i="4"/>
  <c r="GC160" i="4"/>
  <c r="GD160" i="4"/>
  <c r="GE160" i="4"/>
  <c r="GF160" i="4"/>
  <c r="GG160" i="4"/>
  <c r="GH160" i="4"/>
  <c r="GI160" i="4"/>
  <c r="GJ160" i="4"/>
  <c r="GK160" i="4"/>
  <c r="GL160" i="4"/>
  <c r="GM160" i="4"/>
  <c r="GN160" i="4"/>
  <c r="GO160" i="4"/>
  <c r="GP160" i="4"/>
  <c r="GQ160" i="4"/>
  <c r="GR160" i="4"/>
  <c r="GS160" i="4"/>
  <c r="GT160" i="4"/>
  <c r="GU160" i="4"/>
  <c r="GV160" i="4"/>
  <c r="GW160" i="4"/>
  <c r="GX160" i="4"/>
  <c r="GY160" i="4"/>
  <c r="GZ160" i="4"/>
  <c r="HA160" i="4"/>
  <c r="HB160" i="4"/>
  <c r="HC160" i="4"/>
  <c r="HD160" i="4"/>
  <c r="HE160" i="4"/>
  <c r="HF160" i="4"/>
  <c r="HG160" i="4"/>
  <c r="HH160" i="4"/>
  <c r="HI160" i="4"/>
  <c r="HJ160" i="4"/>
  <c r="HK160" i="4"/>
  <c r="HL160" i="4"/>
  <c r="HM160" i="4"/>
  <c r="HN160" i="4"/>
  <c r="HO160" i="4"/>
  <c r="HP160" i="4"/>
  <c r="HQ160" i="4"/>
  <c r="HR160" i="4"/>
  <c r="HS160" i="4"/>
  <c r="HT160" i="4"/>
  <c r="HU160" i="4"/>
  <c r="HV160" i="4"/>
  <c r="HW160" i="4"/>
  <c r="HX160" i="4"/>
  <c r="HY160" i="4"/>
  <c r="HZ160" i="4"/>
  <c r="IA160" i="4"/>
  <c r="IB160" i="4"/>
  <c r="IC160" i="4"/>
  <c r="ID160" i="4"/>
  <c r="IE160" i="4"/>
  <c r="IF160" i="4"/>
  <c r="IG160" i="4"/>
  <c r="IH160" i="4"/>
  <c r="II160" i="4"/>
  <c r="IJ160" i="4"/>
  <c r="IK160" i="4"/>
  <c r="IL160" i="4"/>
  <c r="IM160" i="4"/>
  <c r="IN160" i="4"/>
  <c r="IO160" i="4"/>
  <c r="IP160" i="4"/>
  <c r="IQ160" i="4"/>
  <c r="IR160" i="4"/>
  <c r="IS160" i="4"/>
  <c r="IT160" i="4"/>
  <c r="IU160" i="4"/>
  <c r="IV160" i="4"/>
  <c r="A159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F159" i="4"/>
  <c r="EG159" i="4"/>
  <c r="EH159" i="4"/>
  <c r="EI159" i="4"/>
  <c r="EJ159" i="4"/>
  <c r="EK159" i="4"/>
  <c r="EL159" i="4"/>
  <c r="EM159" i="4"/>
  <c r="EN159" i="4"/>
  <c r="EO159" i="4"/>
  <c r="EP159" i="4"/>
  <c r="EQ159" i="4"/>
  <c r="ER159" i="4"/>
  <c r="ES159" i="4"/>
  <c r="ET159" i="4"/>
  <c r="EU159" i="4"/>
  <c r="EV159" i="4"/>
  <c r="EW159" i="4"/>
  <c r="EX159" i="4"/>
  <c r="EY159" i="4"/>
  <c r="EZ159" i="4"/>
  <c r="FA159" i="4"/>
  <c r="FB159" i="4"/>
  <c r="FC159" i="4"/>
  <c r="FD159" i="4"/>
  <c r="FE159" i="4"/>
  <c r="FF159" i="4"/>
  <c r="FG159" i="4"/>
  <c r="FH159" i="4"/>
  <c r="FI159" i="4"/>
  <c r="FJ159" i="4"/>
  <c r="FK159" i="4"/>
  <c r="FL159" i="4"/>
  <c r="FM159" i="4"/>
  <c r="FN159" i="4"/>
  <c r="FO159" i="4"/>
  <c r="FP159" i="4"/>
  <c r="FQ159" i="4"/>
  <c r="FR159" i="4"/>
  <c r="FS159" i="4"/>
  <c r="FT159" i="4"/>
  <c r="FU159" i="4"/>
  <c r="FV159" i="4"/>
  <c r="FW159" i="4"/>
  <c r="FX159" i="4"/>
  <c r="FY159" i="4"/>
  <c r="FZ159" i="4"/>
  <c r="GA159" i="4"/>
  <c r="GB159" i="4"/>
  <c r="GC159" i="4"/>
  <c r="GD159" i="4"/>
  <c r="GE159" i="4"/>
  <c r="GF159" i="4"/>
  <c r="GG159" i="4"/>
  <c r="GH159" i="4"/>
  <c r="GI159" i="4"/>
  <c r="GJ159" i="4"/>
  <c r="GK159" i="4"/>
  <c r="GL159" i="4"/>
  <c r="GM159" i="4"/>
  <c r="GN159" i="4"/>
  <c r="GO159" i="4"/>
  <c r="GP159" i="4"/>
  <c r="GQ159" i="4"/>
  <c r="GR159" i="4"/>
  <c r="GS159" i="4"/>
  <c r="GT159" i="4"/>
  <c r="GU159" i="4"/>
  <c r="GV159" i="4"/>
  <c r="GW159" i="4"/>
  <c r="GX159" i="4"/>
  <c r="GY159" i="4"/>
  <c r="GZ159" i="4"/>
  <c r="HA159" i="4"/>
  <c r="HB159" i="4"/>
  <c r="HC159" i="4"/>
  <c r="HD159" i="4"/>
  <c r="HE159" i="4"/>
  <c r="HF159" i="4"/>
  <c r="HG159" i="4"/>
  <c r="HH159" i="4"/>
  <c r="HI159" i="4"/>
  <c r="HJ159" i="4"/>
  <c r="HK159" i="4"/>
  <c r="HL159" i="4"/>
  <c r="HM159" i="4"/>
  <c r="HN159" i="4"/>
  <c r="HO159" i="4"/>
  <c r="HP159" i="4"/>
  <c r="HQ159" i="4"/>
  <c r="HR159" i="4"/>
  <c r="HS159" i="4"/>
  <c r="HT159" i="4"/>
  <c r="HU159" i="4"/>
  <c r="HV159" i="4"/>
  <c r="HW159" i="4"/>
  <c r="HX159" i="4"/>
  <c r="HY159" i="4"/>
  <c r="HZ159" i="4"/>
  <c r="IA159" i="4"/>
  <c r="IB159" i="4"/>
  <c r="IC159" i="4"/>
  <c r="ID159" i="4"/>
  <c r="IE159" i="4"/>
  <c r="IF159" i="4"/>
  <c r="IG159" i="4"/>
  <c r="IH159" i="4"/>
  <c r="II159" i="4"/>
  <c r="IJ159" i="4"/>
  <c r="IK159" i="4"/>
  <c r="IL159" i="4"/>
  <c r="IM159" i="4"/>
  <c r="IN159" i="4"/>
  <c r="IO159" i="4"/>
  <c r="IP159" i="4"/>
  <c r="IQ159" i="4"/>
  <c r="IR159" i="4"/>
  <c r="IS159" i="4"/>
  <c r="IT159" i="4"/>
  <c r="IU159" i="4"/>
  <c r="IV159" i="4"/>
  <c r="A158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F158" i="4"/>
  <c r="EG158" i="4"/>
  <c r="EH158" i="4"/>
  <c r="EI158" i="4"/>
  <c r="EJ158" i="4"/>
  <c r="EK158" i="4"/>
  <c r="EL158" i="4"/>
  <c r="EM158" i="4"/>
  <c r="EN158" i="4"/>
  <c r="EO158" i="4"/>
  <c r="EP158" i="4"/>
  <c r="EQ158" i="4"/>
  <c r="ER158" i="4"/>
  <c r="ES158" i="4"/>
  <c r="ET158" i="4"/>
  <c r="EU158" i="4"/>
  <c r="EV158" i="4"/>
  <c r="EW158" i="4"/>
  <c r="EX158" i="4"/>
  <c r="EY158" i="4"/>
  <c r="EZ158" i="4"/>
  <c r="FA158" i="4"/>
  <c r="FB158" i="4"/>
  <c r="FC158" i="4"/>
  <c r="FD158" i="4"/>
  <c r="FE158" i="4"/>
  <c r="FF158" i="4"/>
  <c r="FG158" i="4"/>
  <c r="FH158" i="4"/>
  <c r="FI158" i="4"/>
  <c r="FJ158" i="4"/>
  <c r="FK158" i="4"/>
  <c r="FL158" i="4"/>
  <c r="FM158" i="4"/>
  <c r="FN158" i="4"/>
  <c r="FO158" i="4"/>
  <c r="FP158" i="4"/>
  <c r="FQ158" i="4"/>
  <c r="FR158" i="4"/>
  <c r="FS158" i="4"/>
  <c r="FT158" i="4"/>
  <c r="FU158" i="4"/>
  <c r="FV158" i="4"/>
  <c r="FW158" i="4"/>
  <c r="FX158" i="4"/>
  <c r="FY158" i="4"/>
  <c r="FZ158" i="4"/>
  <c r="GA158" i="4"/>
  <c r="GB158" i="4"/>
  <c r="GC158" i="4"/>
  <c r="GD158" i="4"/>
  <c r="GE158" i="4"/>
  <c r="GF158" i="4"/>
  <c r="GG158" i="4"/>
  <c r="GH158" i="4"/>
  <c r="GI158" i="4"/>
  <c r="GJ158" i="4"/>
  <c r="GK158" i="4"/>
  <c r="GL158" i="4"/>
  <c r="GM158" i="4"/>
  <c r="GN158" i="4"/>
  <c r="GO158" i="4"/>
  <c r="GP158" i="4"/>
  <c r="GQ158" i="4"/>
  <c r="GR158" i="4"/>
  <c r="GS158" i="4"/>
  <c r="GT158" i="4"/>
  <c r="GU158" i="4"/>
  <c r="GV158" i="4"/>
  <c r="GW158" i="4"/>
  <c r="GX158" i="4"/>
  <c r="GY158" i="4"/>
  <c r="GZ158" i="4"/>
  <c r="HA158" i="4"/>
  <c r="HB158" i="4"/>
  <c r="HC158" i="4"/>
  <c r="HD158" i="4"/>
  <c r="HE158" i="4"/>
  <c r="HF158" i="4"/>
  <c r="HG158" i="4"/>
  <c r="HH158" i="4"/>
  <c r="HI158" i="4"/>
  <c r="HJ158" i="4"/>
  <c r="HK158" i="4"/>
  <c r="HL158" i="4"/>
  <c r="HM158" i="4"/>
  <c r="HN158" i="4"/>
  <c r="HO158" i="4"/>
  <c r="HP158" i="4"/>
  <c r="HQ158" i="4"/>
  <c r="HR158" i="4"/>
  <c r="HS158" i="4"/>
  <c r="HT158" i="4"/>
  <c r="HU158" i="4"/>
  <c r="HV158" i="4"/>
  <c r="HW158" i="4"/>
  <c r="HX158" i="4"/>
  <c r="HY158" i="4"/>
  <c r="HZ158" i="4"/>
  <c r="IA158" i="4"/>
  <c r="IB158" i="4"/>
  <c r="IC158" i="4"/>
  <c r="ID158" i="4"/>
  <c r="IE158" i="4"/>
  <c r="IF158" i="4"/>
  <c r="IG158" i="4"/>
  <c r="IH158" i="4"/>
  <c r="II158" i="4"/>
  <c r="IJ158" i="4"/>
  <c r="IK158" i="4"/>
  <c r="IL158" i="4"/>
  <c r="IM158" i="4"/>
  <c r="IN158" i="4"/>
  <c r="IO158" i="4"/>
  <c r="IP158" i="4"/>
  <c r="IQ158" i="4"/>
  <c r="IR158" i="4"/>
  <c r="IS158" i="4"/>
  <c r="IT158" i="4"/>
  <c r="IU158" i="4"/>
  <c r="IV158" i="4"/>
  <c r="A157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EI157" i="4"/>
  <c r="EJ157" i="4"/>
  <c r="EK157" i="4"/>
  <c r="EL157" i="4"/>
  <c r="EM157" i="4"/>
  <c r="EN157" i="4"/>
  <c r="EO157" i="4"/>
  <c r="EP157" i="4"/>
  <c r="EQ157" i="4"/>
  <c r="ER157" i="4"/>
  <c r="ES157" i="4"/>
  <c r="ET157" i="4"/>
  <c r="EU157" i="4"/>
  <c r="EV157" i="4"/>
  <c r="EW157" i="4"/>
  <c r="EX157" i="4"/>
  <c r="EY157" i="4"/>
  <c r="EZ157" i="4"/>
  <c r="FA157" i="4"/>
  <c r="FB157" i="4"/>
  <c r="FC157" i="4"/>
  <c r="FD157" i="4"/>
  <c r="FE157" i="4"/>
  <c r="FF157" i="4"/>
  <c r="FG157" i="4"/>
  <c r="FH157" i="4"/>
  <c r="FI157" i="4"/>
  <c r="FJ157" i="4"/>
  <c r="FK157" i="4"/>
  <c r="FL157" i="4"/>
  <c r="FM157" i="4"/>
  <c r="FN157" i="4"/>
  <c r="FO157" i="4"/>
  <c r="FP157" i="4"/>
  <c r="FQ157" i="4"/>
  <c r="FR157" i="4"/>
  <c r="FS157" i="4"/>
  <c r="FT157" i="4"/>
  <c r="FU157" i="4"/>
  <c r="FV157" i="4"/>
  <c r="FW157" i="4"/>
  <c r="FX157" i="4"/>
  <c r="FY157" i="4"/>
  <c r="FZ157" i="4"/>
  <c r="GA157" i="4"/>
  <c r="GB157" i="4"/>
  <c r="GC157" i="4"/>
  <c r="GD157" i="4"/>
  <c r="GE157" i="4"/>
  <c r="GF157" i="4"/>
  <c r="GG157" i="4"/>
  <c r="GH157" i="4"/>
  <c r="GI157" i="4"/>
  <c r="GJ157" i="4"/>
  <c r="GK157" i="4"/>
  <c r="GL157" i="4"/>
  <c r="GM157" i="4"/>
  <c r="GN157" i="4"/>
  <c r="GO157" i="4"/>
  <c r="GP157" i="4"/>
  <c r="GQ157" i="4"/>
  <c r="GR157" i="4"/>
  <c r="GS157" i="4"/>
  <c r="GT157" i="4"/>
  <c r="GU157" i="4"/>
  <c r="GV157" i="4"/>
  <c r="GW157" i="4"/>
  <c r="GX157" i="4"/>
  <c r="GY157" i="4"/>
  <c r="GZ157" i="4"/>
  <c r="HA157" i="4"/>
  <c r="HB157" i="4"/>
  <c r="HC157" i="4"/>
  <c r="HD157" i="4"/>
  <c r="HE157" i="4"/>
  <c r="HF157" i="4"/>
  <c r="HG157" i="4"/>
  <c r="HH157" i="4"/>
  <c r="HI157" i="4"/>
  <c r="HJ157" i="4"/>
  <c r="HK157" i="4"/>
  <c r="HL157" i="4"/>
  <c r="HM157" i="4"/>
  <c r="HN157" i="4"/>
  <c r="HO157" i="4"/>
  <c r="HP157" i="4"/>
  <c r="HQ157" i="4"/>
  <c r="HR157" i="4"/>
  <c r="HS157" i="4"/>
  <c r="HT157" i="4"/>
  <c r="HU157" i="4"/>
  <c r="HV157" i="4"/>
  <c r="HW157" i="4"/>
  <c r="HX157" i="4"/>
  <c r="HY157" i="4"/>
  <c r="HZ157" i="4"/>
  <c r="IA157" i="4"/>
  <c r="IB157" i="4"/>
  <c r="IC157" i="4"/>
  <c r="ID157" i="4"/>
  <c r="IE157" i="4"/>
  <c r="IF157" i="4"/>
  <c r="IG157" i="4"/>
  <c r="IH157" i="4"/>
  <c r="II157" i="4"/>
  <c r="IJ157" i="4"/>
  <c r="IK157" i="4"/>
  <c r="IL157" i="4"/>
  <c r="IM157" i="4"/>
  <c r="IN157" i="4"/>
  <c r="IO157" i="4"/>
  <c r="IP157" i="4"/>
  <c r="IQ157" i="4"/>
  <c r="IR157" i="4"/>
  <c r="IS157" i="4"/>
  <c r="IT157" i="4"/>
  <c r="IU157" i="4"/>
  <c r="IV157" i="4"/>
  <c r="A156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EI156" i="4"/>
  <c r="EJ156" i="4"/>
  <c r="EK156" i="4"/>
  <c r="EL156" i="4"/>
  <c r="EM156" i="4"/>
  <c r="EN156" i="4"/>
  <c r="EO156" i="4"/>
  <c r="EP156" i="4"/>
  <c r="EQ156" i="4"/>
  <c r="ER156" i="4"/>
  <c r="ES156" i="4"/>
  <c r="ET156" i="4"/>
  <c r="EU156" i="4"/>
  <c r="EV156" i="4"/>
  <c r="EW156" i="4"/>
  <c r="EX156" i="4"/>
  <c r="EY156" i="4"/>
  <c r="EZ156" i="4"/>
  <c r="FA156" i="4"/>
  <c r="FB156" i="4"/>
  <c r="FC156" i="4"/>
  <c r="FD156" i="4"/>
  <c r="FE156" i="4"/>
  <c r="FF156" i="4"/>
  <c r="FG156" i="4"/>
  <c r="FH156" i="4"/>
  <c r="FI156" i="4"/>
  <c r="FJ156" i="4"/>
  <c r="FK156" i="4"/>
  <c r="FL156" i="4"/>
  <c r="FM156" i="4"/>
  <c r="FN156" i="4"/>
  <c r="FO156" i="4"/>
  <c r="FP156" i="4"/>
  <c r="FQ156" i="4"/>
  <c r="FR156" i="4"/>
  <c r="FS156" i="4"/>
  <c r="FT156" i="4"/>
  <c r="FU156" i="4"/>
  <c r="FV156" i="4"/>
  <c r="FW156" i="4"/>
  <c r="FX156" i="4"/>
  <c r="FY156" i="4"/>
  <c r="FZ156" i="4"/>
  <c r="GA156" i="4"/>
  <c r="GB156" i="4"/>
  <c r="GC156" i="4"/>
  <c r="GD156" i="4"/>
  <c r="GE156" i="4"/>
  <c r="GF156" i="4"/>
  <c r="GG156" i="4"/>
  <c r="GH156" i="4"/>
  <c r="GI156" i="4"/>
  <c r="GJ156" i="4"/>
  <c r="GK156" i="4"/>
  <c r="GL156" i="4"/>
  <c r="GM156" i="4"/>
  <c r="GN156" i="4"/>
  <c r="GO156" i="4"/>
  <c r="GP156" i="4"/>
  <c r="GQ156" i="4"/>
  <c r="GR156" i="4"/>
  <c r="GS156" i="4"/>
  <c r="GT156" i="4"/>
  <c r="GU156" i="4"/>
  <c r="GV156" i="4"/>
  <c r="GW156" i="4"/>
  <c r="GX156" i="4"/>
  <c r="GY156" i="4"/>
  <c r="GZ156" i="4"/>
  <c r="HA156" i="4"/>
  <c r="HB156" i="4"/>
  <c r="HC156" i="4"/>
  <c r="HD156" i="4"/>
  <c r="HE156" i="4"/>
  <c r="HF156" i="4"/>
  <c r="HG156" i="4"/>
  <c r="HH156" i="4"/>
  <c r="HI156" i="4"/>
  <c r="HJ156" i="4"/>
  <c r="HK156" i="4"/>
  <c r="HL156" i="4"/>
  <c r="HM156" i="4"/>
  <c r="HN156" i="4"/>
  <c r="HO156" i="4"/>
  <c r="HP156" i="4"/>
  <c r="HQ156" i="4"/>
  <c r="HR156" i="4"/>
  <c r="HS156" i="4"/>
  <c r="HT156" i="4"/>
  <c r="HU156" i="4"/>
  <c r="HV156" i="4"/>
  <c r="HW156" i="4"/>
  <c r="HX156" i="4"/>
  <c r="HY156" i="4"/>
  <c r="HZ156" i="4"/>
  <c r="IA156" i="4"/>
  <c r="IB156" i="4"/>
  <c r="IC156" i="4"/>
  <c r="ID156" i="4"/>
  <c r="IE156" i="4"/>
  <c r="IF156" i="4"/>
  <c r="IG156" i="4"/>
  <c r="IH156" i="4"/>
  <c r="II156" i="4"/>
  <c r="IJ156" i="4"/>
  <c r="IK156" i="4"/>
  <c r="IL156" i="4"/>
  <c r="IM156" i="4"/>
  <c r="IN156" i="4"/>
  <c r="IO156" i="4"/>
  <c r="IP156" i="4"/>
  <c r="IQ156" i="4"/>
  <c r="IR156" i="4"/>
  <c r="IS156" i="4"/>
  <c r="IT156" i="4"/>
  <c r="IU156" i="4"/>
  <c r="IV156" i="4"/>
  <c r="A155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F155" i="4"/>
  <c r="EG155" i="4"/>
  <c r="EH155" i="4"/>
  <c r="EI155" i="4"/>
  <c r="EJ155" i="4"/>
  <c r="EK155" i="4"/>
  <c r="EL155" i="4"/>
  <c r="EM155" i="4"/>
  <c r="EN155" i="4"/>
  <c r="EO155" i="4"/>
  <c r="EP155" i="4"/>
  <c r="EQ155" i="4"/>
  <c r="ER155" i="4"/>
  <c r="ES155" i="4"/>
  <c r="ET155" i="4"/>
  <c r="EU155" i="4"/>
  <c r="EV155" i="4"/>
  <c r="EW155" i="4"/>
  <c r="EX155" i="4"/>
  <c r="EY155" i="4"/>
  <c r="EZ155" i="4"/>
  <c r="FA155" i="4"/>
  <c r="FB155" i="4"/>
  <c r="FC155" i="4"/>
  <c r="FD155" i="4"/>
  <c r="FE155" i="4"/>
  <c r="FF155" i="4"/>
  <c r="FG155" i="4"/>
  <c r="FH155" i="4"/>
  <c r="FI155" i="4"/>
  <c r="FJ155" i="4"/>
  <c r="FK155" i="4"/>
  <c r="FL155" i="4"/>
  <c r="FM155" i="4"/>
  <c r="FN155" i="4"/>
  <c r="FO155" i="4"/>
  <c r="FP155" i="4"/>
  <c r="FQ155" i="4"/>
  <c r="FR155" i="4"/>
  <c r="FS155" i="4"/>
  <c r="FT155" i="4"/>
  <c r="FU155" i="4"/>
  <c r="FV155" i="4"/>
  <c r="FW155" i="4"/>
  <c r="FX155" i="4"/>
  <c r="FY155" i="4"/>
  <c r="FZ155" i="4"/>
  <c r="GA155" i="4"/>
  <c r="GB155" i="4"/>
  <c r="GC155" i="4"/>
  <c r="GD155" i="4"/>
  <c r="GE155" i="4"/>
  <c r="GF155" i="4"/>
  <c r="GG155" i="4"/>
  <c r="GH155" i="4"/>
  <c r="GI155" i="4"/>
  <c r="GJ155" i="4"/>
  <c r="GK155" i="4"/>
  <c r="GL155" i="4"/>
  <c r="GM155" i="4"/>
  <c r="GN155" i="4"/>
  <c r="GO155" i="4"/>
  <c r="GP155" i="4"/>
  <c r="GQ155" i="4"/>
  <c r="GR155" i="4"/>
  <c r="GS155" i="4"/>
  <c r="GT155" i="4"/>
  <c r="GU155" i="4"/>
  <c r="GV155" i="4"/>
  <c r="GW155" i="4"/>
  <c r="GX155" i="4"/>
  <c r="GY155" i="4"/>
  <c r="GZ155" i="4"/>
  <c r="HA155" i="4"/>
  <c r="HB155" i="4"/>
  <c r="HC155" i="4"/>
  <c r="HD155" i="4"/>
  <c r="HE155" i="4"/>
  <c r="HF155" i="4"/>
  <c r="HG155" i="4"/>
  <c r="HH155" i="4"/>
  <c r="HI155" i="4"/>
  <c r="HJ155" i="4"/>
  <c r="HK155" i="4"/>
  <c r="HL155" i="4"/>
  <c r="HM155" i="4"/>
  <c r="HN155" i="4"/>
  <c r="HO155" i="4"/>
  <c r="HP155" i="4"/>
  <c r="HQ155" i="4"/>
  <c r="HR155" i="4"/>
  <c r="HS155" i="4"/>
  <c r="HT155" i="4"/>
  <c r="HU155" i="4"/>
  <c r="HV155" i="4"/>
  <c r="HW155" i="4"/>
  <c r="HX155" i="4"/>
  <c r="HY155" i="4"/>
  <c r="HZ155" i="4"/>
  <c r="IA155" i="4"/>
  <c r="IB155" i="4"/>
  <c r="IC155" i="4"/>
  <c r="ID155" i="4"/>
  <c r="IE155" i="4"/>
  <c r="IF155" i="4"/>
  <c r="IG155" i="4"/>
  <c r="IH155" i="4"/>
  <c r="II155" i="4"/>
  <c r="IJ155" i="4"/>
  <c r="IK155" i="4"/>
  <c r="IL155" i="4"/>
  <c r="IM155" i="4"/>
  <c r="IN155" i="4"/>
  <c r="IO155" i="4"/>
  <c r="IP155" i="4"/>
  <c r="IQ155" i="4"/>
  <c r="IR155" i="4"/>
  <c r="IS155" i="4"/>
  <c r="IT155" i="4"/>
  <c r="IU155" i="4"/>
  <c r="IV155" i="4"/>
  <c r="A154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F154" i="4"/>
  <c r="EG154" i="4"/>
  <c r="EH154" i="4"/>
  <c r="EI154" i="4"/>
  <c r="EJ154" i="4"/>
  <c r="EK154" i="4"/>
  <c r="EL154" i="4"/>
  <c r="EM154" i="4"/>
  <c r="EN154" i="4"/>
  <c r="EO154" i="4"/>
  <c r="EP154" i="4"/>
  <c r="EQ154" i="4"/>
  <c r="ER154" i="4"/>
  <c r="ES154" i="4"/>
  <c r="ET154" i="4"/>
  <c r="EU154" i="4"/>
  <c r="EV154" i="4"/>
  <c r="EW154" i="4"/>
  <c r="EX154" i="4"/>
  <c r="EY154" i="4"/>
  <c r="EZ154" i="4"/>
  <c r="FA154" i="4"/>
  <c r="FB154" i="4"/>
  <c r="FC154" i="4"/>
  <c r="FD154" i="4"/>
  <c r="FE154" i="4"/>
  <c r="FF154" i="4"/>
  <c r="FG154" i="4"/>
  <c r="FH154" i="4"/>
  <c r="FI154" i="4"/>
  <c r="FJ154" i="4"/>
  <c r="FK154" i="4"/>
  <c r="FL154" i="4"/>
  <c r="FM154" i="4"/>
  <c r="FN154" i="4"/>
  <c r="FO154" i="4"/>
  <c r="FP154" i="4"/>
  <c r="FQ154" i="4"/>
  <c r="FR154" i="4"/>
  <c r="FS154" i="4"/>
  <c r="FT154" i="4"/>
  <c r="FU154" i="4"/>
  <c r="FV154" i="4"/>
  <c r="FW154" i="4"/>
  <c r="FX154" i="4"/>
  <c r="FY154" i="4"/>
  <c r="FZ154" i="4"/>
  <c r="GA154" i="4"/>
  <c r="GB154" i="4"/>
  <c r="GC154" i="4"/>
  <c r="GD154" i="4"/>
  <c r="GE154" i="4"/>
  <c r="GF154" i="4"/>
  <c r="GG154" i="4"/>
  <c r="GH154" i="4"/>
  <c r="GI154" i="4"/>
  <c r="GJ154" i="4"/>
  <c r="GK154" i="4"/>
  <c r="GL154" i="4"/>
  <c r="GM154" i="4"/>
  <c r="GN154" i="4"/>
  <c r="GO154" i="4"/>
  <c r="GP154" i="4"/>
  <c r="GQ154" i="4"/>
  <c r="GR154" i="4"/>
  <c r="GS154" i="4"/>
  <c r="GT154" i="4"/>
  <c r="GU154" i="4"/>
  <c r="GV154" i="4"/>
  <c r="GW154" i="4"/>
  <c r="GX154" i="4"/>
  <c r="GY154" i="4"/>
  <c r="GZ154" i="4"/>
  <c r="HA154" i="4"/>
  <c r="HB154" i="4"/>
  <c r="HC154" i="4"/>
  <c r="HD154" i="4"/>
  <c r="HE154" i="4"/>
  <c r="HF154" i="4"/>
  <c r="HG154" i="4"/>
  <c r="HH154" i="4"/>
  <c r="HI154" i="4"/>
  <c r="HJ154" i="4"/>
  <c r="HK154" i="4"/>
  <c r="HL154" i="4"/>
  <c r="HM154" i="4"/>
  <c r="HN154" i="4"/>
  <c r="HO154" i="4"/>
  <c r="HP154" i="4"/>
  <c r="HQ154" i="4"/>
  <c r="HR154" i="4"/>
  <c r="HS154" i="4"/>
  <c r="HT154" i="4"/>
  <c r="HU154" i="4"/>
  <c r="HV154" i="4"/>
  <c r="HW154" i="4"/>
  <c r="HX154" i="4"/>
  <c r="HY154" i="4"/>
  <c r="HZ154" i="4"/>
  <c r="IA154" i="4"/>
  <c r="IB154" i="4"/>
  <c r="IC154" i="4"/>
  <c r="ID154" i="4"/>
  <c r="IE154" i="4"/>
  <c r="IF154" i="4"/>
  <c r="IG154" i="4"/>
  <c r="IH154" i="4"/>
  <c r="II154" i="4"/>
  <c r="IJ154" i="4"/>
  <c r="IK154" i="4"/>
  <c r="IL154" i="4"/>
  <c r="IM154" i="4"/>
  <c r="IN154" i="4"/>
  <c r="IO154" i="4"/>
  <c r="IP154" i="4"/>
  <c r="IQ154" i="4"/>
  <c r="IR154" i="4"/>
  <c r="IS154" i="4"/>
  <c r="IT154" i="4"/>
  <c r="IU154" i="4"/>
  <c r="IV154" i="4"/>
  <c r="A153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K153" i="4"/>
  <c r="FL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R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L153" i="4"/>
  <c r="IM153" i="4"/>
  <c r="IN153" i="4"/>
  <c r="IO153" i="4"/>
  <c r="IP153" i="4"/>
  <c r="IQ153" i="4"/>
  <c r="IR153" i="4"/>
  <c r="IS153" i="4"/>
  <c r="IT153" i="4"/>
  <c r="IU153" i="4"/>
  <c r="IV153" i="4"/>
  <c r="A152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K152" i="4"/>
  <c r="FL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R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L152" i="4"/>
  <c r="IM152" i="4"/>
  <c r="IN152" i="4"/>
  <c r="IO152" i="4"/>
  <c r="IP152" i="4"/>
  <c r="IQ152" i="4"/>
  <c r="IR152" i="4"/>
  <c r="IS152" i="4"/>
  <c r="IT152" i="4"/>
  <c r="IU152" i="4"/>
  <c r="IV152" i="4"/>
  <c r="A151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K151" i="4"/>
  <c r="FL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R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L151" i="4"/>
  <c r="IM151" i="4"/>
  <c r="IN151" i="4"/>
  <c r="IO151" i="4"/>
  <c r="IP151" i="4"/>
  <c r="IQ151" i="4"/>
  <c r="IR151" i="4"/>
  <c r="IS151" i="4"/>
  <c r="IT151" i="4"/>
  <c r="IU151" i="4"/>
  <c r="IV151" i="4"/>
  <c r="A150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K150" i="4"/>
  <c r="FL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R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L150" i="4"/>
  <c r="IM150" i="4"/>
  <c r="IN150" i="4"/>
  <c r="IO150" i="4"/>
  <c r="IP150" i="4"/>
  <c r="IQ150" i="4"/>
  <c r="IR150" i="4"/>
  <c r="IS150" i="4"/>
  <c r="IT150" i="4"/>
  <c r="IU150" i="4"/>
  <c r="IV150" i="4"/>
  <c r="A149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K149" i="4"/>
  <c r="FL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R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L149" i="4"/>
  <c r="IM149" i="4"/>
  <c r="IN149" i="4"/>
  <c r="IO149" i="4"/>
  <c r="IP149" i="4"/>
  <c r="IQ149" i="4"/>
  <c r="IR149" i="4"/>
  <c r="IS149" i="4"/>
  <c r="IT149" i="4"/>
  <c r="IU149" i="4"/>
  <c r="IV149" i="4"/>
  <c r="A148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K148" i="4"/>
  <c r="FL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R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L148" i="4"/>
  <c r="IM148" i="4"/>
  <c r="IN148" i="4"/>
  <c r="IO148" i="4"/>
  <c r="IP148" i="4"/>
  <c r="IQ148" i="4"/>
  <c r="IR148" i="4"/>
  <c r="IS148" i="4"/>
  <c r="IT148" i="4"/>
  <c r="IU148" i="4"/>
  <c r="IV148" i="4"/>
  <c r="A147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K147" i="4"/>
  <c r="FL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R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L147" i="4"/>
  <c r="IM147" i="4"/>
  <c r="IN147" i="4"/>
  <c r="IO147" i="4"/>
  <c r="IP147" i="4"/>
  <c r="IQ147" i="4"/>
  <c r="IR147" i="4"/>
  <c r="IS147" i="4"/>
  <c r="IT147" i="4"/>
  <c r="IU147" i="4"/>
  <c r="IV147" i="4"/>
  <c r="A146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K146" i="4"/>
  <c r="FL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R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L146" i="4"/>
  <c r="IM146" i="4"/>
  <c r="IN146" i="4"/>
  <c r="IO146" i="4"/>
  <c r="IP146" i="4"/>
  <c r="IQ146" i="4"/>
  <c r="IR146" i="4"/>
  <c r="IS146" i="4"/>
  <c r="IT146" i="4"/>
  <c r="IU146" i="4"/>
  <c r="IV146" i="4"/>
  <c r="A145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F145" i="4"/>
  <c r="EG145" i="4"/>
  <c r="EH145" i="4"/>
  <c r="EI145" i="4"/>
  <c r="EJ145" i="4"/>
  <c r="EK145" i="4"/>
  <c r="EL145" i="4"/>
  <c r="EM145" i="4"/>
  <c r="EN145" i="4"/>
  <c r="EO145" i="4"/>
  <c r="EP145" i="4"/>
  <c r="EQ145" i="4"/>
  <c r="ER145" i="4"/>
  <c r="ES145" i="4"/>
  <c r="ET145" i="4"/>
  <c r="EU145" i="4"/>
  <c r="EV145" i="4"/>
  <c r="EW145" i="4"/>
  <c r="EX145" i="4"/>
  <c r="EY145" i="4"/>
  <c r="EZ145" i="4"/>
  <c r="FA145" i="4"/>
  <c r="FB145" i="4"/>
  <c r="FC145" i="4"/>
  <c r="FD145" i="4"/>
  <c r="FE145" i="4"/>
  <c r="FF145" i="4"/>
  <c r="FG145" i="4"/>
  <c r="FH145" i="4"/>
  <c r="FI145" i="4"/>
  <c r="FJ145" i="4"/>
  <c r="FK145" i="4"/>
  <c r="FL145" i="4"/>
  <c r="FM145" i="4"/>
  <c r="FN145" i="4"/>
  <c r="FO145" i="4"/>
  <c r="FP145" i="4"/>
  <c r="FQ145" i="4"/>
  <c r="FR145" i="4"/>
  <c r="FS145" i="4"/>
  <c r="FT145" i="4"/>
  <c r="FU145" i="4"/>
  <c r="FV145" i="4"/>
  <c r="FW145" i="4"/>
  <c r="FX145" i="4"/>
  <c r="FY145" i="4"/>
  <c r="FZ145" i="4"/>
  <c r="GA145" i="4"/>
  <c r="GB145" i="4"/>
  <c r="GC145" i="4"/>
  <c r="GD145" i="4"/>
  <c r="GE145" i="4"/>
  <c r="GF145" i="4"/>
  <c r="GG145" i="4"/>
  <c r="GH145" i="4"/>
  <c r="GI145" i="4"/>
  <c r="GJ145" i="4"/>
  <c r="GK145" i="4"/>
  <c r="GL145" i="4"/>
  <c r="GM145" i="4"/>
  <c r="GN145" i="4"/>
  <c r="GO145" i="4"/>
  <c r="GP145" i="4"/>
  <c r="GQ145" i="4"/>
  <c r="GR145" i="4"/>
  <c r="GS145" i="4"/>
  <c r="GT145" i="4"/>
  <c r="GU145" i="4"/>
  <c r="GV145" i="4"/>
  <c r="GW145" i="4"/>
  <c r="GX145" i="4"/>
  <c r="GY145" i="4"/>
  <c r="GZ145" i="4"/>
  <c r="HA145" i="4"/>
  <c r="HB145" i="4"/>
  <c r="HC145" i="4"/>
  <c r="HD145" i="4"/>
  <c r="HE145" i="4"/>
  <c r="HF145" i="4"/>
  <c r="HG145" i="4"/>
  <c r="HH145" i="4"/>
  <c r="HI145" i="4"/>
  <c r="HJ145" i="4"/>
  <c r="HK145" i="4"/>
  <c r="HL145" i="4"/>
  <c r="HM145" i="4"/>
  <c r="HN145" i="4"/>
  <c r="HO145" i="4"/>
  <c r="HP145" i="4"/>
  <c r="HQ145" i="4"/>
  <c r="HR145" i="4"/>
  <c r="HS145" i="4"/>
  <c r="HT145" i="4"/>
  <c r="HU145" i="4"/>
  <c r="HV145" i="4"/>
  <c r="HW145" i="4"/>
  <c r="HX145" i="4"/>
  <c r="HY145" i="4"/>
  <c r="HZ145" i="4"/>
  <c r="IA145" i="4"/>
  <c r="IB145" i="4"/>
  <c r="IC145" i="4"/>
  <c r="ID145" i="4"/>
  <c r="IE145" i="4"/>
  <c r="IF145" i="4"/>
  <c r="IG145" i="4"/>
  <c r="IH145" i="4"/>
  <c r="II145" i="4"/>
  <c r="IJ145" i="4"/>
  <c r="IK145" i="4"/>
  <c r="IL145" i="4"/>
  <c r="IM145" i="4"/>
  <c r="IN145" i="4"/>
  <c r="IO145" i="4"/>
  <c r="IP145" i="4"/>
  <c r="IQ145" i="4"/>
  <c r="IR145" i="4"/>
  <c r="IS145" i="4"/>
  <c r="IT145" i="4"/>
  <c r="IU145" i="4"/>
  <c r="IV145" i="4"/>
  <c r="A144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F144" i="4"/>
  <c r="EG144" i="4"/>
  <c r="EH144" i="4"/>
  <c r="EI144" i="4"/>
  <c r="EJ144" i="4"/>
  <c r="EK144" i="4"/>
  <c r="EL144" i="4"/>
  <c r="EM144" i="4"/>
  <c r="EN144" i="4"/>
  <c r="EO144" i="4"/>
  <c r="EP144" i="4"/>
  <c r="EQ144" i="4"/>
  <c r="ER144" i="4"/>
  <c r="ES144" i="4"/>
  <c r="ET144" i="4"/>
  <c r="EU144" i="4"/>
  <c r="EV144" i="4"/>
  <c r="EW144" i="4"/>
  <c r="EX144" i="4"/>
  <c r="EY144" i="4"/>
  <c r="EZ144" i="4"/>
  <c r="FA144" i="4"/>
  <c r="FB144" i="4"/>
  <c r="FC144" i="4"/>
  <c r="FD144" i="4"/>
  <c r="FE144" i="4"/>
  <c r="FF144" i="4"/>
  <c r="FG144" i="4"/>
  <c r="FH144" i="4"/>
  <c r="FI144" i="4"/>
  <c r="FJ144" i="4"/>
  <c r="FK144" i="4"/>
  <c r="FL144" i="4"/>
  <c r="FM144" i="4"/>
  <c r="FN144" i="4"/>
  <c r="FO144" i="4"/>
  <c r="FP144" i="4"/>
  <c r="FQ144" i="4"/>
  <c r="FR144" i="4"/>
  <c r="FS144" i="4"/>
  <c r="FT144" i="4"/>
  <c r="FU144" i="4"/>
  <c r="FV144" i="4"/>
  <c r="FW144" i="4"/>
  <c r="FX144" i="4"/>
  <c r="FY144" i="4"/>
  <c r="FZ144" i="4"/>
  <c r="GA144" i="4"/>
  <c r="GB144" i="4"/>
  <c r="GC144" i="4"/>
  <c r="GD144" i="4"/>
  <c r="GE144" i="4"/>
  <c r="GF144" i="4"/>
  <c r="GG144" i="4"/>
  <c r="GH144" i="4"/>
  <c r="GI144" i="4"/>
  <c r="GJ144" i="4"/>
  <c r="GK144" i="4"/>
  <c r="GL144" i="4"/>
  <c r="GM144" i="4"/>
  <c r="GN144" i="4"/>
  <c r="GO144" i="4"/>
  <c r="GP144" i="4"/>
  <c r="GQ144" i="4"/>
  <c r="GR144" i="4"/>
  <c r="GS144" i="4"/>
  <c r="GT144" i="4"/>
  <c r="GU144" i="4"/>
  <c r="GV144" i="4"/>
  <c r="GW144" i="4"/>
  <c r="GX144" i="4"/>
  <c r="GY144" i="4"/>
  <c r="GZ144" i="4"/>
  <c r="HA144" i="4"/>
  <c r="HB144" i="4"/>
  <c r="HC144" i="4"/>
  <c r="HD144" i="4"/>
  <c r="HE144" i="4"/>
  <c r="HF144" i="4"/>
  <c r="HG144" i="4"/>
  <c r="HH144" i="4"/>
  <c r="HI144" i="4"/>
  <c r="HJ144" i="4"/>
  <c r="HK144" i="4"/>
  <c r="HL144" i="4"/>
  <c r="HM144" i="4"/>
  <c r="HN144" i="4"/>
  <c r="HO144" i="4"/>
  <c r="HP144" i="4"/>
  <c r="HQ144" i="4"/>
  <c r="HR144" i="4"/>
  <c r="HS144" i="4"/>
  <c r="HT144" i="4"/>
  <c r="HU144" i="4"/>
  <c r="HV144" i="4"/>
  <c r="HW144" i="4"/>
  <c r="HX144" i="4"/>
  <c r="HY144" i="4"/>
  <c r="HZ144" i="4"/>
  <c r="IA144" i="4"/>
  <c r="IB144" i="4"/>
  <c r="IC144" i="4"/>
  <c r="ID144" i="4"/>
  <c r="IE144" i="4"/>
  <c r="IF144" i="4"/>
  <c r="IG144" i="4"/>
  <c r="IH144" i="4"/>
  <c r="II144" i="4"/>
  <c r="IJ144" i="4"/>
  <c r="IK144" i="4"/>
  <c r="IL144" i="4"/>
  <c r="IM144" i="4"/>
  <c r="IN144" i="4"/>
  <c r="IO144" i="4"/>
  <c r="IP144" i="4"/>
  <c r="IQ144" i="4"/>
  <c r="IR144" i="4"/>
  <c r="IS144" i="4"/>
  <c r="IT144" i="4"/>
  <c r="IU144" i="4"/>
  <c r="IV144" i="4"/>
  <c r="A143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F143" i="4"/>
  <c r="EG143" i="4"/>
  <c r="EH143" i="4"/>
  <c r="EI143" i="4"/>
  <c r="EJ143" i="4"/>
  <c r="EK143" i="4"/>
  <c r="EL143" i="4"/>
  <c r="EM143" i="4"/>
  <c r="EN143" i="4"/>
  <c r="EO143" i="4"/>
  <c r="EP143" i="4"/>
  <c r="EQ143" i="4"/>
  <c r="ER143" i="4"/>
  <c r="ES143" i="4"/>
  <c r="ET143" i="4"/>
  <c r="EU143" i="4"/>
  <c r="EV143" i="4"/>
  <c r="EW143" i="4"/>
  <c r="EX143" i="4"/>
  <c r="EY143" i="4"/>
  <c r="EZ143" i="4"/>
  <c r="FA143" i="4"/>
  <c r="FB143" i="4"/>
  <c r="FC143" i="4"/>
  <c r="FD143" i="4"/>
  <c r="FE143" i="4"/>
  <c r="FF143" i="4"/>
  <c r="FG143" i="4"/>
  <c r="FH143" i="4"/>
  <c r="FI143" i="4"/>
  <c r="FJ143" i="4"/>
  <c r="FK143" i="4"/>
  <c r="FL143" i="4"/>
  <c r="FM143" i="4"/>
  <c r="FN143" i="4"/>
  <c r="FO143" i="4"/>
  <c r="FP143" i="4"/>
  <c r="FQ143" i="4"/>
  <c r="FR143" i="4"/>
  <c r="FS143" i="4"/>
  <c r="FT143" i="4"/>
  <c r="FU143" i="4"/>
  <c r="FV143" i="4"/>
  <c r="FW143" i="4"/>
  <c r="FX143" i="4"/>
  <c r="FY143" i="4"/>
  <c r="FZ143" i="4"/>
  <c r="GA143" i="4"/>
  <c r="GB143" i="4"/>
  <c r="GC143" i="4"/>
  <c r="GD143" i="4"/>
  <c r="GE143" i="4"/>
  <c r="GF143" i="4"/>
  <c r="GG143" i="4"/>
  <c r="GH143" i="4"/>
  <c r="GI143" i="4"/>
  <c r="GJ143" i="4"/>
  <c r="GK143" i="4"/>
  <c r="GL143" i="4"/>
  <c r="GM143" i="4"/>
  <c r="GN143" i="4"/>
  <c r="GO143" i="4"/>
  <c r="GP143" i="4"/>
  <c r="GQ143" i="4"/>
  <c r="GR143" i="4"/>
  <c r="GS143" i="4"/>
  <c r="GT143" i="4"/>
  <c r="GU143" i="4"/>
  <c r="GV143" i="4"/>
  <c r="GW143" i="4"/>
  <c r="GX143" i="4"/>
  <c r="GY143" i="4"/>
  <c r="GZ143" i="4"/>
  <c r="HA143" i="4"/>
  <c r="HB143" i="4"/>
  <c r="HC143" i="4"/>
  <c r="HD143" i="4"/>
  <c r="HE143" i="4"/>
  <c r="HF143" i="4"/>
  <c r="HG143" i="4"/>
  <c r="HH143" i="4"/>
  <c r="HI143" i="4"/>
  <c r="HJ143" i="4"/>
  <c r="HK143" i="4"/>
  <c r="HL143" i="4"/>
  <c r="HM143" i="4"/>
  <c r="HN143" i="4"/>
  <c r="HO143" i="4"/>
  <c r="HP143" i="4"/>
  <c r="HQ143" i="4"/>
  <c r="HR143" i="4"/>
  <c r="HS143" i="4"/>
  <c r="HT143" i="4"/>
  <c r="HU143" i="4"/>
  <c r="HV143" i="4"/>
  <c r="HW143" i="4"/>
  <c r="HX143" i="4"/>
  <c r="HY143" i="4"/>
  <c r="HZ143" i="4"/>
  <c r="IA143" i="4"/>
  <c r="IB143" i="4"/>
  <c r="IC143" i="4"/>
  <c r="ID143" i="4"/>
  <c r="IE143" i="4"/>
  <c r="IF143" i="4"/>
  <c r="IG143" i="4"/>
  <c r="IH143" i="4"/>
  <c r="II143" i="4"/>
  <c r="IJ143" i="4"/>
  <c r="IK143" i="4"/>
  <c r="IL143" i="4"/>
  <c r="IM143" i="4"/>
  <c r="IN143" i="4"/>
  <c r="IO143" i="4"/>
  <c r="IP143" i="4"/>
  <c r="IQ143" i="4"/>
  <c r="IR143" i="4"/>
  <c r="IS143" i="4"/>
  <c r="IT143" i="4"/>
  <c r="IU143" i="4"/>
  <c r="IV143" i="4"/>
  <c r="A142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F142" i="4"/>
  <c r="EG142" i="4"/>
  <c r="EH142" i="4"/>
  <c r="EI142" i="4"/>
  <c r="EJ142" i="4"/>
  <c r="EK142" i="4"/>
  <c r="EL142" i="4"/>
  <c r="EM142" i="4"/>
  <c r="EN142" i="4"/>
  <c r="EO142" i="4"/>
  <c r="EP142" i="4"/>
  <c r="EQ142" i="4"/>
  <c r="ER142" i="4"/>
  <c r="ES142" i="4"/>
  <c r="ET142" i="4"/>
  <c r="EU142" i="4"/>
  <c r="EV142" i="4"/>
  <c r="EW142" i="4"/>
  <c r="EX142" i="4"/>
  <c r="EY142" i="4"/>
  <c r="EZ142" i="4"/>
  <c r="FA142" i="4"/>
  <c r="FB142" i="4"/>
  <c r="FC142" i="4"/>
  <c r="FD142" i="4"/>
  <c r="FE142" i="4"/>
  <c r="FF142" i="4"/>
  <c r="FG142" i="4"/>
  <c r="FH142" i="4"/>
  <c r="FI142" i="4"/>
  <c r="FJ142" i="4"/>
  <c r="FK142" i="4"/>
  <c r="FL142" i="4"/>
  <c r="FM142" i="4"/>
  <c r="FN142" i="4"/>
  <c r="FO142" i="4"/>
  <c r="FP142" i="4"/>
  <c r="FQ142" i="4"/>
  <c r="FR142" i="4"/>
  <c r="FS142" i="4"/>
  <c r="FT142" i="4"/>
  <c r="FU142" i="4"/>
  <c r="FV142" i="4"/>
  <c r="FW142" i="4"/>
  <c r="FX142" i="4"/>
  <c r="FY142" i="4"/>
  <c r="FZ142" i="4"/>
  <c r="GA142" i="4"/>
  <c r="GB142" i="4"/>
  <c r="GC142" i="4"/>
  <c r="GD142" i="4"/>
  <c r="GE142" i="4"/>
  <c r="GF142" i="4"/>
  <c r="GG142" i="4"/>
  <c r="GH142" i="4"/>
  <c r="GI142" i="4"/>
  <c r="GJ142" i="4"/>
  <c r="GK142" i="4"/>
  <c r="GL142" i="4"/>
  <c r="GM142" i="4"/>
  <c r="GN142" i="4"/>
  <c r="GO142" i="4"/>
  <c r="GP142" i="4"/>
  <c r="GQ142" i="4"/>
  <c r="GR142" i="4"/>
  <c r="GS142" i="4"/>
  <c r="GT142" i="4"/>
  <c r="GU142" i="4"/>
  <c r="GV142" i="4"/>
  <c r="GW142" i="4"/>
  <c r="GX142" i="4"/>
  <c r="GY142" i="4"/>
  <c r="GZ142" i="4"/>
  <c r="HA142" i="4"/>
  <c r="HB142" i="4"/>
  <c r="HC142" i="4"/>
  <c r="HD142" i="4"/>
  <c r="HE142" i="4"/>
  <c r="HF142" i="4"/>
  <c r="HG142" i="4"/>
  <c r="HH142" i="4"/>
  <c r="HI142" i="4"/>
  <c r="HJ142" i="4"/>
  <c r="HK142" i="4"/>
  <c r="HL142" i="4"/>
  <c r="HM142" i="4"/>
  <c r="HN142" i="4"/>
  <c r="HO142" i="4"/>
  <c r="HP142" i="4"/>
  <c r="HQ142" i="4"/>
  <c r="HR142" i="4"/>
  <c r="HS142" i="4"/>
  <c r="HT142" i="4"/>
  <c r="HU142" i="4"/>
  <c r="HV142" i="4"/>
  <c r="HW142" i="4"/>
  <c r="HX142" i="4"/>
  <c r="HY142" i="4"/>
  <c r="HZ142" i="4"/>
  <c r="IA142" i="4"/>
  <c r="IB142" i="4"/>
  <c r="IC142" i="4"/>
  <c r="ID142" i="4"/>
  <c r="IE142" i="4"/>
  <c r="IF142" i="4"/>
  <c r="IG142" i="4"/>
  <c r="IH142" i="4"/>
  <c r="II142" i="4"/>
  <c r="IJ142" i="4"/>
  <c r="IK142" i="4"/>
  <c r="IL142" i="4"/>
  <c r="IM142" i="4"/>
  <c r="IN142" i="4"/>
  <c r="IO142" i="4"/>
  <c r="IP142" i="4"/>
  <c r="IQ142" i="4"/>
  <c r="IR142" i="4"/>
  <c r="IS142" i="4"/>
  <c r="IT142" i="4"/>
  <c r="IU142" i="4"/>
  <c r="IV142" i="4"/>
  <c r="A141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F141" i="4"/>
  <c r="EG141" i="4"/>
  <c r="EH141" i="4"/>
  <c r="EI141" i="4"/>
  <c r="EJ141" i="4"/>
  <c r="EK141" i="4"/>
  <c r="EL141" i="4"/>
  <c r="EM141" i="4"/>
  <c r="EN141" i="4"/>
  <c r="EO141" i="4"/>
  <c r="EP141" i="4"/>
  <c r="EQ141" i="4"/>
  <c r="ER141" i="4"/>
  <c r="ES141" i="4"/>
  <c r="ET141" i="4"/>
  <c r="EU141" i="4"/>
  <c r="EV141" i="4"/>
  <c r="EW141" i="4"/>
  <c r="EX141" i="4"/>
  <c r="EY141" i="4"/>
  <c r="EZ141" i="4"/>
  <c r="FA141" i="4"/>
  <c r="FB141" i="4"/>
  <c r="FC141" i="4"/>
  <c r="FD141" i="4"/>
  <c r="FE141" i="4"/>
  <c r="FF141" i="4"/>
  <c r="FG141" i="4"/>
  <c r="FH141" i="4"/>
  <c r="FI141" i="4"/>
  <c r="FJ141" i="4"/>
  <c r="FK141" i="4"/>
  <c r="FL141" i="4"/>
  <c r="FM141" i="4"/>
  <c r="FN141" i="4"/>
  <c r="FO141" i="4"/>
  <c r="FP141" i="4"/>
  <c r="FQ141" i="4"/>
  <c r="FR141" i="4"/>
  <c r="FS141" i="4"/>
  <c r="FT141" i="4"/>
  <c r="FU141" i="4"/>
  <c r="FV141" i="4"/>
  <c r="FW141" i="4"/>
  <c r="FX141" i="4"/>
  <c r="FY141" i="4"/>
  <c r="FZ141" i="4"/>
  <c r="GA141" i="4"/>
  <c r="GB141" i="4"/>
  <c r="GC141" i="4"/>
  <c r="GD141" i="4"/>
  <c r="GE141" i="4"/>
  <c r="GF141" i="4"/>
  <c r="GG141" i="4"/>
  <c r="GH141" i="4"/>
  <c r="GI141" i="4"/>
  <c r="GJ141" i="4"/>
  <c r="GK141" i="4"/>
  <c r="GL141" i="4"/>
  <c r="GM141" i="4"/>
  <c r="GN141" i="4"/>
  <c r="GO141" i="4"/>
  <c r="GP141" i="4"/>
  <c r="GQ141" i="4"/>
  <c r="GR141" i="4"/>
  <c r="GS141" i="4"/>
  <c r="GT141" i="4"/>
  <c r="GU141" i="4"/>
  <c r="GV141" i="4"/>
  <c r="GW141" i="4"/>
  <c r="GX141" i="4"/>
  <c r="GY141" i="4"/>
  <c r="GZ141" i="4"/>
  <c r="HA141" i="4"/>
  <c r="HB141" i="4"/>
  <c r="HC141" i="4"/>
  <c r="HD141" i="4"/>
  <c r="HE141" i="4"/>
  <c r="HF141" i="4"/>
  <c r="HG141" i="4"/>
  <c r="HH141" i="4"/>
  <c r="HI141" i="4"/>
  <c r="HJ141" i="4"/>
  <c r="HK141" i="4"/>
  <c r="HL141" i="4"/>
  <c r="HM141" i="4"/>
  <c r="HN141" i="4"/>
  <c r="HO141" i="4"/>
  <c r="HP141" i="4"/>
  <c r="HQ141" i="4"/>
  <c r="HR141" i="4"/>
  <c r="HS141" i="4"/>
  <c r="HT141" i="4"/>
  <c r="HU141" i="4"/>
  <c r="HV141" i="4"/>
  <c r="HW141" i="4"/>
  <c r="HX141" i="4"/>
  <c r="HY141" i="4"/>
  <c r="HZ141" i="4"/>
  <c r="IA141" i="4"/>
  <c r="IB141" i="4"/>
  <c r="IC141" i="4"/>
  <c r="ID141" i="4"/>
  <c r="IE141" i="4"/>
  <c r="IF141" i="4"/>
  <c r="IG141" i="4"/>
  <c r="IH141" i="4"/>
  <c r="II141" i="4"/>
  <c r="IJ141" i="4"/>
  <c r="IK141" i="4"/>
  <c r="IL141" i="4"/>
  <c r="IM141" i="4"/>
  <c r="IN141" i="4"/>
  <c r="IO141" i="4"/>
  <c r="IP141" i="4"/>
  <c r="IQ141" i="4"/>
  <c r="IR141" i="4"/>
  <c r="IS141" i="4"/>
  <c r="IT141" i="4"/>
  <c r="IU141" i="4"/>
  <c r="IV141" i="4"/>
  <c r="A140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F140" i="4"/>
  <c r="EG140" i="4"/>
  <c r="EH140" i="4"/>
  <c r="EI140" i="4"/>
  <c r="EJ140" i="4"/>
  <c r="EK140" i="4"/>
  <c r="EL140" i="4"/>
  <c r="EM140" i="4"/>
  <c r="EN140" i="4"/>
  <c r="EO140" i="4"/>
  <c r="EP140" i="4"/>
  <c r="EQ140" i="4"/>
  <c r="ER140" i="4"/>
  <c r="ES140" i="4"/>
  <c r="ET140" i="4"/>
  <c r="EU140" i="4"/>
  <c r="EV140" i="4"/>
  <c r="EW140" i="4"/>
  <c r="EX140" i="4"/>
  <c r="EY140" i="4"/>
  <c r="EZ140" i="4"/>
  <c r="FA140" i="4"/>
  <c r="FB140" i="4"/>
  <c r="FC140" i="4"/>
  <c r="FD140" i="4"/>
  <c r="FE140" i="4"/>
  <c r="FF140" i="4"/>
  <c r="FG140" i="4"/>
  <c r="FH140" i="4"/>
  <c r="FI140" i="4"/>
  <c r="FJ140" i="4"/>
  <c r="FK140" i="4"/>
  <c r="FL140" i="4"/>
  <c r="FM140" i="4"/>
  <c r="FN140" i="4"/>
  <c r="FO140" i="4"/>
  <c r="FP140" i="4"/>
  <c r="FQ140" i="4"/>
  <c r="FR140" i="4"/>
  <c r="FS140" i="4"/>
  <c r="FT140" i="4"/>
  <c r="FU140" i="4"/>
  <c r="FV140" i="4"/>
  <c r="FW140" i="4"/>
  <c r="FX140" i="4"/>
  <c r="FY140" i="4"/>
  <c r="FZ140" i="4"/>
  <c r="GA140" i="4"/>
  <c r="GB140" i="4"/>
  <c r="GC140" i="4"/>
  <c r="GD140" i="4"/>
  <c r="GE140" i="4"/>
  <c r="GF140" i="4"/>
  <c r="GG140" i="4"/>
  <c r="GH140" i="4"/>
  <c r="GI140" i="4"/>
  <c r="GJ140" i="4"/>
  <c r="GK140" i="4"/>
  <c r="GL140" i="4"/>
  <c r="GM140" i="4"/>
  <c r="GN140" i="4"/>
  <c r="GO140" i="4"/>
  <c r="GP140" i="4"/>
  <c r="GQ140" i="4"/>
  <c r="GR140" i="4"/>
  <c r="GS140" i="4"/>
  <c r="GT140" i="4"/>
  <c r="GU140" i="4"/>
  <c r="GV140" i="4"/>
  <c r="GW140" i="4"/>
  <c r="GX140" i="4"/>
  <c r="GY140" i="4"/>
  <c r="GZ140" i="4"/>
  <c r="HA140" i="4"/>
  <c r="HB140" i="4"/>
  <c r="HC140" i="4"/>
  <c r="HD140" i="4"/>
  <c r="HE140" i="4"/>
  <c r="HF140" i="4"/>
  <c r="HG140" i="4"/>
  <c r="HH140" i="4"/>
  <c r="HI140" i="4"/>
  <c r="HJ140" i="4"/>
  <c r="HK140" i="4"/>
  <c r="HL140" i="4"/>
  <c r="HM140" i="4"/>
  <c r="HN140" i="4"/>
  <c r="HO140" i="4"/>
  <c r="HP140" i="4"/>
  <c r="HQ140" i="4"/>
  <c r="HR140" i="4"/>
  <c r="HS140" i="4"/>
  <c r="HT140" i="4"/>
  <c r="HU140" i="4"/>
  <c r="HV140" i="4"/>
  <c r="HW140" i="4"/>
  <c r="HX140" i="4"/>
  <c r="HY140" i="4"/>
  <c r="HZ140" i="4"/>
  <c r="IA140" i="4"/>
  <c r="IB140" i="4"/>
  <c r="IC140" i="4"/>
  <c r="ID140" i="4"/>
  <c r="IE140" i="4"/>
  <c r="IF140" i="4"/>
  <c r="IG140" i="4"/>
  <c r="IH140" i="4"/>
  <c r="II140" i="4"/>
  <c r="IJ140" i="4"/>
  <c r="IK140" i="4"/>
  <c r="IL140" i="4"/>
  <c r="IM140" i="4"/>
  <c r="IN140" i="4"/>
  <c r="IO140" i="4"/>
  <c r="IP140" i="4"/>
  <c r="IQ140" i="4"/>
  <c r="IR140" i="4"/>
  <c r="IS140" i="4"/>
  <c r="IT140" i="4"/>
  <c r="IU140" i="4"/>
  <c r="IV140" i="4"/>
  <c r="A139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F139" i="4"/>
  <c r="EG139" i="4"/>
  <c r="EH139" i="4"/>
  <c r="EI139" i="4"/>
  <c r="EJ139" i="4"/>
  <c r="EK139" i="4"/>
  <c r="EL139" i="4"/>
  <c r="EM139" i="4"/>
  <c r="EN139" i="4"/>
  <c r="EO139" i="4"/>
  <c r="EP139" i="4"/>
  <c r="EQ139" i="4"/>
  <c r="ER139" i="4"/>
  <c r="ES139" i="4"/>
  <c r="ET139" i="4"/>
  <c r="EU139" i="4"/>
  <c r="EV139" i="4"/>
  <c r="EW139" i="4"/>
  <c r="EX139" i="4"/>
  <c r="EY139" i="4"/>
  <c r="EZ139" i="4"/>
  <c r="FA139" i="4"/>
  <c r="FB139" i="4"/>
  <c r="FC139" i="4"/>
  <c r="FD139" i="4"/>
  <c r="FE139" i="4"/>
  <c r="FF139" i="4"/>
  <c r="FG139" i="4"/>
  <c r="FH139" i="4"/>
  <c r="FI139" i="4"/>
  <c r="FJ139" i="4"/>
  <c r="FK139" i="4"/>
  <c r="FL139" i="4"/>
  <c r="FM139" i="4"/>
  <c r="FN139" i="4"/>
  <c r="FO139" i="4"/>
  <c r="FP139" i="4"/>
  <c r="FQ139" i="4"/>
  <c r="FR139" i="4"/>
  <c r="FS139" i="4"/>
  <c r="FT139" i="4"/>
  <c r="FU139" i="4"/>
  <c r="FV139" i="4"/>
  <c r="FW139" i="4"/>
  <c r="FX139" i="4"/>
  <c r="FY139" i="4"/>
  <c r="FZ139" i="4"/>
  <c r="GA139" i="4"/>
  <c r="GB139" i="4"/>
  <c r="GC139" i="4"/>
  <c r="GD139" i="4"/>
  <c r="GE139" i="4"/>
  <c r="GF139" i="4"/>
  <c r="GG139" i="4"/>
  <c r="GH139" i="4"/>
  <c r="GI139" i="4"/>
  <c r="GJ139" i="4"/>
  <c r="GK139" i="4"/>
  <c r="GL139" i="4"/>
  <c r="GM139" i="4"/>
  <c r="GN139" i="4"/>
  <c r="GO139" i="4"/>
  <c r="GP139" i="4"/>
  <c r="GQ139" i="4"/>
  <c r="GR139" i="4"/>
  <c r="GS139" i="4"/>
  <c r="GT139" i="4"/>
  <c r="GU139" i="4"/>
  <c r="GV139" i="4"/>
  <c r="GW139" i="4"/>
  <c r="GX139" i="4"/>
  <c r="GY139" i="4"/>
  <c r="GZ139" i="4"/>
  <c r="HA139" i="4"/>
  <c r="HB139" i="4"/>
  <c r="HC139" i="4"/>
  <c r="HD139" i="4"/>
  <c r="HE139" i="4"/>
  <c r="HF139" i="4"/>
  <c r="HG139" i="4"/>
  <c r="HH139" i="4"/>
  <c r="HI139" i="4"/>
  <c r="HJ139" i="4"/>
  <c r="HK139" i="4"/>
  <c r="HL139" i="4"/>
  <c r="HM139" i="4"/>
  <c r="HN139" i="4"/>
  <c r="HO139" i="4"/>
  <c r="HP139" i="4"/>
  <c r="HQ139" i="4"/>
  <c r="HR139" i="4"/>
  <c r="HS139" i="4"/>
  <c r="HT139" i="4"/>
  <c r="HU139" i="4"/>
  <c r="HV139" i="4"/>
  <c r="HW139" i="4"/>
  <c r="HX139" i="4"/>
  <c r="HY139" i="4"/>
  <c r="HZ139" i="4"/>
  <c r="IA139" i="4"/>
  <c r="IB139" i="4"/>
  <c r="IC139" i="4"/>
  <c r="ID139" i="4"/>
  <c r="IE139" i="4"/>
  <c r="IF139" i="4"/>
  <c r="IG139" i="4"/>
  <c r="IH139" i="4"/>
  <c r="II139" i="4"/>
  <c r="IJ139" i="4"/>
  <c r="IK139" i="4"/>
  <c r="IL139" i="4"/>
  <c r="IM139" i="4"/>
  <c r="IN139" i="4"/>
  <c r="IO139" i="4"/>
  <c r="IP139" i="4"/>
  <c r="IQ139" i="4"/>
  <c r="IR139" i="4"/>
  <c r="IS139" i="4"/>
  <c r="IT139" i="4"/>
  <c r="IU139" i="4"/>
  <c r="IV139" i="4"/>
  <c r="A138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F138" i="4"/>
  <c r="EG138" i="4"/>
  <c r="EH138" i="4"/>
  <c r="EI138" i="4"/>
  <c r="EJ138" i="4"/>
  <c r="EK138" i="4"/>
  <c r="EL138" i="4"/>
  <c r="EM138" i="4"/>
  <c r="EN138" i="4"/>
  <c r="EO138" i="4"/>
  <c r="EP138" i="4"/>
  <c r="EQ138" i="4"/>
  <c r="ER138" i="4"/>
  <c r="ES138" i="4"/>
  <c r="ET138" i="4"/>
  <c r="EU138" i="4"/>
  <c r="EV138" i="4"/>
  <c r="EW138" i="4"/>
  <c r="EX138" i="4"/>
  <c r="EY138" i="4"/>
  <c r="EZ138" i="4"/>
  <c r="FA138" i="4"/>
  <c r="FB138" i="4"/>
  <c r="FC138" i="4"/>
  <c r="FD138" i="4"/>
  <c r="FE138" i="4"/>
  <c r="FF138" i="4"/>
  <c r="FG138" i="4"/>
  <c r="FH138" i="4"/>
  <c r="FI138" i="4"/>
  <c r="FJ138" i="4"/>
  <c r="FK138" i="4"/>
  <c r="FL138" i="4"/>
  <c r="FM138" i="4"/>
  <c r="FN138" i="4"/>
  <c r="FO138" i="4"/>
  <c r="FP138" i="4"/>
  <c r="FQ138" i="4"/>
  <c r="FR138" i="4"/>
  <c r="FS138" i="4"/>
  <c r="FT138" i="4"/>
  <c r="FU138" i="4"/>
  <c r="FV138" i="4"/>
  <c r="FW138" i="4"/>
  <c r="FX138" i="4"/>
  <c r="FY138" i="4"/>
  <c r="FZ138" i="4"/>
  <c r="GA138" i="4"/>
  <c r="GB138" i="4"/>
  <c r="GC138" i="4"/>
  <c r="GD138" i="4"/>
  <c r="GE138" i="4"/>
  <c r="GF138" i="4"/>
  <c r="GG138" i="4"/>
  <c r="GH138" i="4"/>
  <c r="GI138" i="4"/>
  <c r="GJ138" i="4"/>
  <c r="GK138" i="4"/>
  <c r="GL138" i="4"/>
  <c r="GM138" i="4"/>
  <c r="GN138" i="4"/>
  <c r="GO138" i="4"/>
  <c r="GP138" i="4"/>
  <c r="GQ138" i="4"/>
  <c r="GR138" i="4"/>
  <c r="GS138" i="4"/>
  <c r="GT138" i="4"/>
  <c r="GU138" i="4"/>
  <c r="GV138" i="4"/>
  <c r="GW138" i="4"/>
  <c r="GX138" i="4"/>
  <c r="GY138" i="4"/>
  <c r="GZ138" i="4"/>
  <c r="HA138" i="4"/>
  <c r="HB138" i="4"/>
  <c r="HC138" i="4"/>
  <c r="HD138" i="4"/>
  <c r="HE138" i="4"/>
  <c r="HF138" i="4"/>
  <c r="HG138" i="4"/>
  <c r="HH138" i="4"/>
  <c r="HI138" i="4"/>
  <c r="HJ138" i="4"/>
  <c r="HK138" i="4"/>
  <c r="HL138" i="4"/>
  <c r="HM138" i="4"/>
  <c r="HN138" i="4"/>
  <c r="HO138" i="4"/>
  <c r="HP138" i="4"/>
  <c r="HQ138" i="4"/>
  <c r="HR138" i="4"/>
  <c r="HS138" i="4"/>
  <c r="HT138" i="4"/>
  <c r="HU138" i="4"/>
  <c r="HV138" i="4"/>
  <c r="HW138" i="4"/>
  <c r="HX138" i="4"/>
  <c r="HY138" i="4"/>
  <c r="HZ138" i="4"/>
  <c r="IA138" i="4"/>
  <c r="IB138" i="4"/>
  <c r="IC138" i="4"/>
  <c r="ID138" i="4"/>
  <c r="IE138" i="4"/>
  <c r="IF138" i="4"/>
  <c r="IG138" i="4"/>
  <c r="IH138" i="4"/>
  <c r="II138" i="4"/>
  <c r="IJ138" i="4"/>
  <c r="IK138" i="4"/>
  <c r="IL138" i="4"/>
  <c r="IM138" i="4"/>
  <c r="IN138" i="4"/>
  <c r="IO138" i="4"/>
  <c r="IP138" i="4"/>
  <c r="IQ138" i="4"/>
  <c r="IR138" i="4"/>
  <c r="IS138" i="4"/>
  <c r="IT138" i="4"/>
  <c r="IU138" i="4"/>
  <c r="IV138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F137" i="4"/>
  <c r="EG137" i="4"/>
  <c r="EH137" i="4"/>
  <c r="EI137" i="4"/>
  <c r="EJ137" i="4"/>
  <c r="EK137" i="4"/>
  <c r="EL137" i="4"/>
  <c r="EM137" i="4"/>
  <c r="EN137" i="4"/>
  <c r="EO137" i="4"/>
  <c r="EP137" i="4"/>
  <c r="EQ137" i="4"/>
  <c r="ER137" i="4"/>
  <c r="ES137" i="4"/>
  <c r="ET137" i="4"/>
  <c r="EU137" i="4"/>
  <c r="EV137" i="4"/>
  <c r="EW137" i="4"/>
  <c r="EX137" i="4"/>
  <c r="EY137" i="4"/>
  <c r="EZ137" i="4"/>
  <c r="FA137" i="4"/>
  <c r="FB137" i="4"/>
  <c r="FC137" i="4"/>
  <c r="FD137" i="4"/>
  <c r="FE137" i="4"/>
  <c r="FF137" i="4"/>
  <c r="FG137" i="4"/>
  <c r="FH137" i="4"/>
  <c r="FI137" i="4"/>
  <c r="FJ137" i="4"/>
  <c r="FK137" i="4"/>
  <c r="FL137" i="4"/>
  <c r="FM137" i="4"/>
  <c r="FN137" i="4"/>
  <c r="FO137" i="4"/>
  <c r="FP137" i="4"/>
  <c r="FQ137" i="4"/>
  <c r="FR137" i="4"/>
  <c r="FS137" i="4"/>
  <c r="FT137" i="4"/>
  <c r="FU137" i="4"/>
  <c r="FV137" i="4"/>
  <c r="FW137" i="4"/>
  <c r="FX137" i="4"/>
  <c r="FY137" i="4"/>
  <c r="FZ137" i="4"/>
  <c r="GA137" i="4"/>
  <c r="GB137" i="4"/>
  <c r="GC137" i="4"/>
  <c r="GD137" i="4"/>
  <c r="GE137" i="4"/>
  <c r="GF137" i="4"/>
  <c r="GG137" i="4"/>
  <c r="GH137" i="4"/>
  <c r="GI137" i="4"/>
  <c r="GJ137" i="4"/>
  <c r="GK137" i="4"/>
  <c r="GL137" i="4"/>
  <c r="GM137" i="4"/>
  <c r="GN137" i="4"/>
  <c r="GO137" i="4"/>
  <c r="GP137" i="4"/>
  <c r="GQ137" i="4"/>
  <c r="GR137" i="4"/>
  <c r="GS137" i="4"/>
  <c r="GT137" i="4"/>
  <c r="GU137" i="4"/>
  <c r="GV137" i="4"/>
  <c r="GW137" i="4"/>
  <c r="GX137" i="4"/>
  <c r="GY137" i="4"/>
  <c r="GZ137" i="4"/>
  <c r="HA137" i="4"/>
  <c r="HB137" i="4"/>
  <c r="HC137" i="4"/>
  <c r="HD137" i="4"/>
  <c r="HE137" i="4"/>
  <c r="HF137" i="4"/>
  <c r="HG137" i="4"/>
  <c r="HH137" i="4"/>
  <c r="HI137" i="4"/>
  <c r="HJ137" i="4"/>
  <c r="HK137" i="4"/>
  <c r="HL137" i="4"/>
  <c r="HM137" i="4"/>
  <c r="HN137" i="4"/>
  <c r="HO137" i="4"/>
  <c r="HP137" i="4"/>
  <c r="HQ137" i="4"/>
  <c r="HR137" i="4"/>
  <c r="HS137" i="4"/>
  <c r="HT137" i="4"/>
  <c r="HU137" i="4"/>
  <c r="HV137" i="4"/>
  <c r="HW137" i="4"/>
  <c r="HX137" i="4"/>
  <c r="HY137" i="4"/>
  <c r="HZ137" i="4"/>
  <c r="IA137" i="4"/>
  <c r="IB137" i="4"/>
  <c r="IC137" i="4"/>
  <c r="ID137" i="4"/>
  <c r="IE137" i="4"/>
  <c r="IF137" i="4"/>
  <c r="IG137" i="4"/>
  <c r="IH137" i="4"/>
  <c r="II137" i="4"/>
  <c r="IJ137" i="4"/>
  <c r="IK137" i="4"/>
  <c r="IL137" i="4"/>
  <c r="IM137" i="4"/>
  <c r="IN137" i="4"/>
  <c r="IO137" i="4"/>
  <c r="IP137" i="4"/>
  <c r="IQ137" i="4"/>
  <c r="IR137" i="4"/>
  <c r="IS137" i="4"/>
  <c r="IT137" i="4"/>
  <c r="IU137" i="4"/>
  <c r="IV137" i="4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F136" i="4"/>
  <c r="EG136" i="4"/>
  <c r="EH136" i="4"/>
  <c r="EI136" i="4"/>
  <c r="EJ136" i="4"/>
  <c r="EK136" i="4"/>
  <c r="EL136" i="4"/>
  <c r="EM136" i="4"/>
  <c r="EN136" i="4"/>
  <c r="EO136" i="4"/>
  <c r="EP136" i="4"/>
  <c r="EQ136" i="4"/>
  <c r="ER136" i="4"/>
  <c r="ES136" i="4"/>
  <c r="ET136" i="4"/>
  <c r="EU136" i="4"/>
  <c r="EV136" i="4"/>
  <c r="EW136" i="4"/>
  <c r="EX136" i="4"/>
  <c r="EY136" i="4"/>
  <c r="EZ136" i="4"/>
  <c r="FA136" i="4"/>
  <c r="FB136" i="4"/>
  <c r="FC136" i="4"/>
  <c r="FD136" i="4"/>
  <c r="FE136" i="4"/>
  <c r="FF136" i="4"/>
  <c r="FG136" i="4"/>
  <c r="FH136" i="4"/>
  <c r="FI136" i="4"/>
  <c r="FJ136" i="4"/>
  <c r="FK136" i="4"/>
  <c r="FL136" i="4"/>
  <c r="FM136" i="4"/>
  <c r="FN136" i="4"/>
  <c r="FO136" i="4"/>
  <c r="FP136" i="4"/>
  <c r="FQ136" i="4"/>
  <c r="FR136" i="4"/>
  <c r="FS136" i="4"/>
  <c r="FT136" i="4"/>
  <c r="FU136" i="4"/>
  <c r="FV136" i="4"/>
  <c r="FW136" i="4"/>
  <c r="FX136" i="4"/>
  <c r="FY136" i="4"/>
  <c r="FZ136" i="4"/>
  <c r="GA136" i="4"/>
  <c r="GB136" i="4"/>
  <c r="GC136" i="4"/>
  <c r="GD136" i="4"/>
  <c r="GE136" i="4"/>
  <c r="GF136" i="4"/>
  <c r="GG136" i="4"/>
  <c r="GH136" i="4"/>
  <c r="GI136" i="4"/>
  <c r="GJ136" i="4"/>
  <c r="GK136" i="4"/>
  <c r="GL136" i="4"/>
  <c r="GM136" i="4"/>
  <c r="GN136" i="4"/>
  <c r="GO136" i="4"/>
  <c r="GP136" i="4"/>
  <c r="GQ136" i="4"/>
  <c r="GR136" i="4"/>
  <c r="GS136" i="4"/>
  <c r="GT136" i="4"/>
  <c r="GU136" i="4"/>
  <c r="GV136" i="4"/>
  <c r="GW136" i="4"/>
  <c r="GX136" i="4"/>
  <c r="GY136" i="4"/>
  <c r="GZ136" i="4"/>
  <c r="HA136" i="4"/>
  <c r="HB136" i="4"/>
  <c r="HC136" i="4"/>
  <c r="HD136" i="4"/>
  <c r="HE136" i="4"/>
  <c r="HF136" i="4"/>
  <c r="HG136" i="4"/>
  <c r="HH136" i="4"/>
  <c r="HI136" i="4"/>
  <c r="HJ136" i="4"/>
  <c r="HK136" i="4"/>
  <c r="HL136" i="4"/>
  <c r="HM136" i="4"/>
  <c r="HN136" i="4"/>
  <c r="HO136" i="4"/>
  <c r="HP136" i="4"/>
  <c r="HQ136" i="4"/>
  <c r="HR136" i="4"/>
  <c r="HS136" i="4"/>
  <c r="HT136" i="4"/>
  <c r="HU136" i="4"/>
  <c r="HV136" i="4"/>
  <c r="HW136" i="4"/>
  <c r="HX136" i="4"/>
  <c r="HY136" i="4"/>
  <c r="HZ136" i="4"/>
  <c r="IA136" i="4"/>
  <c r="IB136" i="4"/>
  <c r="IC136" i="4"/>
  <c r="ID136" i="4"/>
  <c r="IE136" i="4"/>
  <c r="IF136" i="4"/>
  <c r="IG136" i="4"/>
  <c r="IH136" i="4"/>
  <c r="II136" i="4"/>
  <c r="IJ136" i="4"/>
  <c r="IK136" i="4"/>
  <c r="IL136" i="4"/>
  <c r="IM136" i="4"/>
  <c r="IN136" i="4"/>
  <c r="IO136" i="4"/>
  <c r="IP136" i="4"/>
  <c r="IQ136" i="4"/>
  <c r="IR136" i="4"/>
  <c r="IS136" i="4"/>
  <c r="IT136" i="4"/>
  <c r="IU136" i="4"/>
  <c r="IV136" i="4"/>
  <c r="A135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F135" i="4"/>
  <c r="EG135" i="4"/>
  <c r="EH135" i="4"/>
  <c r="EI135" i="4"/>
  <c r="EJ135" i="4"/>
  <c r="EK135" i="4"/>
  <c r="EL135" i="4"/>
  <c r="EM135" i="4"/>
  <c r="EN135" i="4"/>
  <c r="EO135" i="4"/>
  <c r="EP135" i="4"/>
  <c r="EQ135" i="4"/>
  <c r="ER135" i="4"/>
  <c r="ES135" i="4"/>
  <c r="ET135" i="4"/>
  <c r="EU135" i="4"/>
  <c r="EV135" i="4"/>
  <c r="EW135" i="4"/>
  <c r="EX135" i="4"/>
  <c r="EY135" i="4"/>
  <c r="EZ135" i="4"/>
  <c r="FA135" i="4"/>
  <c r="FB135" i="4"/>
  <c r="FC135" i="4"/>
  <c r="FD135" i="4"/>
  <c r="FE135" i="4"/>
  <c r="FF135" i="4"/>
  <c r="FG135" i="4"/>
  <c r="FH135" i="4"/>
  <c r="FI135" i="4"/>
  <c r="FJ135" i="4"/>
  <c r="FK135" i="4"/>
  <c r="FL135" i="4"/>
  <c r="FM135" i="4"/>
  <c r="FN135" i="4"/>
  <c r="FO135" i="4"/>
  <c r="FP135" i="4"/>
  <c r="FQ135" i="4"/>
  <c r="FR135" i="4"/>
  <c r="FS135" i="4"/>
  <c r="FT135" i="4"/>
  <c r="FU135" i="4"/>
  <c r="FV135" i="4"/>
  <c r="FW135" i="4"/>
  <c r="FX135" i="4"/>
  <c r="FY135" i="4"/>
  <c r="FZ135" i="4"/>
  <c r="GA135" i="4"/>
  <c r="GB135" i="4"/>
  <c r="GC135" i="4"/>
  <c r="GD135" i="4"/>
  <c r="GE135" i="4"/>
  <c r="GF135" i="4"/>
  <c r="GG135" i="4"/>
  <c r="GH135" i="4"/>
  <c r="GI135" i="4"/>
  <c r="GJ135" i="4"/>
  <c r="GK135" i="4"/>
  <c r="GL135" i="4"/>
  <c r="GM135" i="4"/>
  <c r="GN135" i="4"/>
  <c r="GO135" i="4"/>
  <c r="GP135" i="4"/>
  <c r="GQ135" i="4"/>
  <c r="GR135" i="4"/>
  <c r="GS135" i="4"/>
  <c r="GT135" i="4"/>
  <c r="GU135" i="4"/>
  <c r="GV135" i="4"/>
  <c r="GW135" i="4"/>
  <c r="GX135" i="4"/>
  <c r="GY135" i="4"/>
  <c r="GZ135" i="4"/>
  <c r="HA135" i="4"/>
  <c r="HB135" i="4"/>
  <c r="HC135" i="4"/>
  <c r="HD135" i="4"/>
  <c r="HE135" i="4"/>
  <c r="HF135" i="4"/>
  <c r="HG135" i="4"/>
  <c r="HH135" i="4"/>
  <c r="HI135" i="4"/>
  <c r="HJ135" i="4"/>
  <c r="HK135" i="4"/>
  <c r="HL135" i="4"/>
  <c r="HM135" i="4"/>
  <c r="HN135" i="4"/>
  <c r="HO135" i="4"/>
  <c r="HP135" i="4"/>
  <c r="HQ135" i="4"/>
  <c r="HR135" i="4"/>
  <c r="HS135" i="4"/>
  <c r="HT135" i="4"/>
  <c r="HU135" i="4"/>
  <c r="HV135" i="4"/>
  <c r="HW135" i="4"/>
  <c r="HX135" i="4"/>
  <c r="HY135" i="4"/>
  <c r="HZ135" i="4"/>
  <c r="IA135" i="4"/>
  <c r="IB135" i="4"/>
  <c r="IC135" i="4"/>
  <c r="ID135" i="4"/>
  <c r="IE135" i="4"/>
  <c r="IF135" i="4"/>
  <c r="IG135" i="4"/>
  <c r="IH135" i="4"/>
  <c r="II135" i="4"/>
  <c r="IJ135" i="4"/>
  <c r="IK135" i="4"/>
  <c r="IL135" i="4"/>
  <c r="IM135" i="4"/>
  <c r="IN135" i="4"/>
  <c r="IO135" i="4"/>
  <c r="IP135" i="4"/>
  <c r="IQ135" i="4"/>
  <c r="IR135" i="4"/>
  <c r="IS135" i="4"/>
  <c r="IT135" i="4"/>
  <c r="IU135" i="4"/>
  <c r="IV135" i="4"/>
  <c r="A134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F134" i="4"/>
  <c r="EG134" i="4"/>
  <c r="EH134" i="4"/>
  <c r="EI134" i="4"/>
  <c r="EJ134" i="4"/>
  <c r="EK134" i="4"/>
  <c r="EL134" i="4"/>
  <c r="EM134" i="4"/>
  <c r="EN134" i="4"/>
  <c r="EO134" i="4"/>
  <c r="EP134" i="4"/>
  <c r="EQ134" i="4"/>
  <c r="ER134" i="4"/>
  <c r="ES134" i="4"/>
  <c r="ET134" i="4"/>
  <c r="EU134" i="4"/>
  <c r="EV134" i="4"/>
  <c r="EW134" i="4"/>
  <c r="EX134" i="4"/>
  <c r="EY134" i="4"/>
  <c r="EZ134" i="4"/>
  <c r="FA134" i="4"/>
  <c r="FB134" i="4"/>
  <c r="FC134" i="4"/>
  <c r="FD134" i="4"/>
  <c r="FE134" i="4"/>
  <c r="FF134" i="4"/>
  <c r="FG134" i="4"/>
  <c r="FH134" i="4"/>
  <c r="FI134" i="4"/>
  <c r="FJ134" i="4"/>
  <c r="FK134" i="4"/>
  <c r="FL134" i="4"/>
  <c r="FM134" i="4"/>
  <c r="FN134" i="4"/>
  <c r="FO134" i="4"/>
  <c r="FP134" i="4"/>
  <c r="FQ134" i="4"/>
  <c r="FR134" i="4"/>
  <c r="FS134" i="4"/>
  <c r="FT134" i="4"/>
  <c r="FU134" i="4"/>
  <c r="FV134" i="4"/>
  <c r="FW134" i="4"/>
  <c r="FX134" i="4"/>
  <c r="FY134" i="4"/>
  <c r="FZ134" i="4"/>
  <c r="GA134" i="4"/>
  <c r="GB134" i="4"/>
  <c r="GC134" i="4"/>
  <c r="GD134" i="4"/>
  <c r="GE134" i="4"/>
  <c r="GF134" i="4"/>
  <c r="GG134" i="4"/>
  <c r="GH134" i="4"/>
  <c r="GI134" i="4"/>
  <c r="GJ134" i="4"/>
  <c r="GK134" i="4"/>
  <c r="GL134" i="4"/>
  <c r="GM134" i="4"/>
  <c r="GN134" i="4"/>
  <c r="GO134" i="4"/>
  <c r="GP134" i="4"/>
  <c r="GQ134" i="4"/>
  <c r="GR134" i="4"/>
  <c r="GS134" i="4"/>
  <c r="GT134" i="4"/>
  <c r="GU134" i="4"/>
  <c r="GV134" i="4"/>
  <c r="GW134" i="4"/>
  <c r="GX134" i="4"/>
  <c r="GY134" i="4"/>
  <c r="GZ134" i="4"/>
  <c r="HA134" i="4"/>
  <c r="HB134" i="4"/>
  <c r="HC134" i="4"/>
  <c r="HD134" i="4"/>
  <c r="HE134" i="4"/>
  <c r="HF134" i="4"/>
  <c r="HG134" i="4"/>
  <c r="HH134" i="4"/>
  <c r="HI134" i="4"/>
  <c r="HJ134" i="4"/>
  <c r="HK134" i="4"/>
  <c r="HL134" i="4"/>
  <c r="HM134" i="4"/>
  <c r="HN134" i="4"/>
  <c r="HO134" i="4"/>
  <c r="HP134" i="4"/>
  <c r="HQ134" i="4"/>
  <c r="HR134" i="4"/>
  <c r="HS134" i="4"/>
  <c r="HT134" i="4"/>
  <c r="HU134" i="4"/>
  <c r="HV134" i="4"/>
  <c r="HW134" i="4"/>
  <c r="HX134" i="4"/>
  <c r="HY134" i="4"/>
  <c r="HZ134" i="4"/>
  <c r="IA134" i="4"/>
  <c r="IB134" i="4"/>
  <c r="IC134" i="4"/>
  <c r="ID134" i="4"/>
  <c r="IE134" i="4"/>
  <c r="IF134" i="4"/>
  <c r="IG134" i="4"/>
  <c r="IH134" i="4"/>
  <c r="II134" i="4"/>
  <c r="IJ134" i="4"/>
  <c r="IK134" i="4"/>
  <c r="IL134" i="4"/>
  <c r="IM134" i="4"/>
  <c r="IN134" i="4"/>
  <c r="IO134" i="4"/>
  <c r="IP134" i="4"/>
  <c r="IQ134" i="4"/>
  <c r="IR134" i="4"/>
  <c r="IS134" i="4"/>
  <c r="IT134" i="4"/>
  <c r="IU134" i="4"/>
  <c r="IV134" i="4"/>
  <c r="A133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EI133" i="4"/>
  <c r="EJ133" i="4"/>
  <c r="EK133" i="4"/>
  <c r="EL133" i="4"/>
  <c r="EM133" i="4"/>
  <c r="EN133" i="4"/>
  <c r="EO133" i="4"/>
  <c r="EP133" i="4"/>
  <c r="EQ133" i="4"/>
  <c r="ER133" i="4"/>
  <c r="ES133" i="4"/>
  <c r="ET133" i="4"/>
  <c r="EU133" i="4"/>
  <c r="EV133" i="4"/>
  <c r="EW133" i="4"/>
  <c r="EX133" i="4"/>
  <c r="EY133" i="4"/>
  <c r="EZ133" i="4"/>
  <c r="FA133" i="4"/>
  <c r="FB133" i="4"/>
  <c r="FC133" i="4"/>
  <c r="FD133" i="4"/>
  <c r="FE133" i="4"/>
  <c r="FF133" i="4"/>
  <c r="FG133" i="4"/>
  <c r="FH133" i="4"/>
  <c r="FI133" i="4"/>
  <c r="FJ133" i="4"/>
  <c r="FK133" i="4"/>
  <c r="FL133" i="4"/>
  <c r="FM133" i="4"/>
  <c r="FN133" i="4"/>
  <c r="FO133" i="4"/>
  <c r="FP133" i="4"/>
  <c r="FQ133" i="4"/>
  <c r="FR133" i="4"/>
  <c r="FS133" i="4"/>
  <c r="FT133" i="4"/>
  <c r="FU133" i="4"/>
  <c r="FV133" i="4"/>
  <c r="FW133" i="4"/>
  <c r="FX133" i="4"/>
  <c r="FY133" i="4"/>
  <c r="FZ133" i="4"/>
  <c r="GA133" i="4"/>
  <c r="GB133" i="4"/>
  <c r="GC133" i="4"/>
  <c r="GD133" i="4"/>
  <c r="GE133" i="4"/>
  <c r="GF133" i="4"/>
  <c r="GG133" i="4"/>
  <c r="GH133" i="4"/>
  <c r="GI133" i="4"/>
  <c r="GJ133" i="4"/>
  <c r="GK133" i="4"/>
  <c r="GL133" i="4"/>
  <c r="GM133" i="4"/>
  <c r="GN133" i="4"/>
  <c r="GO133" i="4"/>
  <c r="GP133" i="4"/>
  <c r="GQ133" i="4"/>
  <c r="GR133" i="4"/>
  <c r="GS133" i="4"/>
  <c r="GT133" i="4"/>
  <c r="GU133" i="4"/>
  <c r="GV133" i="4"/>
  <c r="GW133" i="4"/>
  <c r="GX133" i="4"/>
  <c r="GY133" i="4"/>
  <c r="GZ133" i="4"/>
  <c r="HA133" i="4"/>
  <c r="HB133" i="4"/>
  <c r="HC133" i="4"/>
  <c r="HD133" i="4"/>
  <c r="HE133" i="4"/>
  <c r="HF133" i="4"/>
  <c r="HG133" i="4"/>
  <c r="HH133" i="4"/>
  <c r="HI133" i="4"/>
  <c r="HJ133" i="4"/>
  <c r="HK133" i="4"/>
  <c r="HL133" i="4"/>
  <c r="HM133" i="4"/>
  <c r="HN133" i="4"/>
  <c r="HO133" i="4"/>
  <c r="HP133" i="4"/>
  <c r="HQ133" i="4"/>
  <c r="HR133" i="4"/>
  <c r="HS133" i="4"/>
  <c r="HT133" i="4"/>
  <c r="HU133" i="4"/>
  <c r="HV133" i="4"/>
  <c r="HW133" i="4"/>
  <c r="HX133" i="4"/>
  <c r="HY133" i="4"/>
  <c r="HZ133" i="4"/>
  <c r="IA133" i="4"/>
  <c r="IB133" i="4"/>
  <c r="IC133" i="4"/>
  <c r="ID133" i="4"/>
  <c r="IE133" i="4"/>
  <c r="IF133" i="4"/>
  <c r="IG133" i="4"/>
  <c r="IH133" i="4"/>
  <c r="II133" i="4"/>
  <c r="IJ133" i="4"/>
  <c r="IK133" i="4"/>
  <c r="IL133" i="4"/>
  <c r="IM133" i="4"/>
  <c r="IN133" i="4"/>
  <c r="IO133" i="4"/>
  <c r="IP133" i="4"/>
  <c r="IQ133" i="4"/>
  <c r="IR133" i="4"/>
  <c r="IS133" i="4"/>
  <c r="IT133" i="4"/>
  <c r="IU133" i="4"/>
  <c r="IV133" i="4"/>
  <c r="A132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ED132" i="4"/>
  <c r="EE132" i="4"/>
  <c r="EF132" i="4"/>
  <c r="EG132" i="4"/>
  <c r="EH132" i="4"/>
  <c r="EI132" i="4"/>
  <c r="EJ132" i="4"/>
  <c r="EK132" i="4"/>
  <c r="EL132" i="4"/>
  <c r="EM132" i="4"/>
  <c r="EN132" i="4"/>
  <c r="EO132" i="4"/>
  <c r="EP132" i="4"/>
  <c r="EQ132" i="4"/>
  <c r="ER132" i="4"/>
  <c r="ES132" i="4"/>
  <c r="ET132" i="4"/>
  <c r="EU132" i="4"/>
  <c r="EV132" i="4"/>
  <c r="EW132" i="4"/>
  <c r="EX132" i="4"/>
  <c r="EY132" i="4"/>
  <c r="EZ132" i="4"/>
  <c r="FA132" i="4"/>
  <c r="FB132" i="4"/>
  <c r="FC132" i="4"/>
  <c r="FD132" i="4"/>
  <c r="FE132" i="4"/>
  <c r="FF132" i="4"/>
  <c r="FG132" i="4"/>
  <c r="FH132" i="4"/>
  <c r="FI132" i="4"/>
  <c r="FJ132" i="4"/>
  <c r="FK132" i="4"/>
  <c r="FL132" i="4"/>
  <c r="FM132" i="4"/>
  <c r="FN132" i="4"/>
  <c r="FO132" i="4"/>
  <c r="FP132" i="4"/>
  <c r="FQ132" i="4"/>
  <c r="FR132" i="4"/>
  <c r="FS132" i="4"/>
  <c r="FT132" i="4"/>
  <c r="FU132" i="4"/>
  <c r="FV132" i="4"/>
  <c r="FW132" i="4"/>
  <c r="FX132" i="4"/>
  <c r="FY132" i="4"/>
  <c r="FZ132" i="4"/>
  <c r="GA132" i="4"/>
  <c r="GB132" i="4"/>
  <c r="GC132" i="4"/>
  <c r="GD132" i="4"/>
  <c r="GE132" i="4"/>
  <c r="GF132" i="4"/>
  <c r="GG132" i="4"/>
  <c r="GH132" i="4"/>
  <c r="GI132" i="4"/>
  <c r="GJ132" i="4"/>
  <c r="GK132" i="4"/>
  <c r="GL132" i="4"/>
  <c r="GM132" i="4"/>
  <c r="GN132" i="4"/>
  <c r="GO132" i="4"/>
  <c r="GP132" i="4"/>
  <c r="GQ132" i="4"/>
  <c r="GR132" i="4"/>
  <c r="GS132" i="4"/>
  <c r="GT132" i="4"/>
  <c r="GU132" i="4"/>
  <c r="GV132" i="4"/>
  <c r="GW132" i="4"/>
  <c r="GX132" i="4"/>
  <c r="GY132" i="4"/>
  <c r="GZ132" i="4"/>
  <c r="HA132" i="4"/>
  <c r="HB132" i="4"/>
  <c r="HC132" i="4"/>
  <c r="HD132" i="4"/>
  <c r="HE132" i="4"/>
  <c r="HF132" i="4"/>
  <c r="HG132" i="4"/>
  <c r="HH132" i="4"/>
  <c r="HI132" i="4"/>
  <c r="HJ132" i="4"/>
  <c r="HK132" i="4"/>
  <c r="HL132" i="4"/>
  <c r="HM132" i="4"/>
  <c r="HN132" i="4"/>
  <c r="HO132" i="4"/>
  <c r="HP132" i="4"/>
  <c r="HQ132" i="4"/>
  <c r="HR132" i="4"/>
  <c r="HS132" i="4"/>
  <c r="HT132" i="4"/>
  <c r="HU132" i="4"/>
  <c r="HV132" i="4"/>
  <c r="HW132" i="4"/>
  <c r="HX132" i="4"/>
  <c r="HY132" i="4"/>
  <c r="HZ132" i="4"/>
  <c r="IA132" i="4"/>
  <c r="IB132" i="4"/>
  <c r="IC132" i="4"/>
  <c r="ID132" i="4"/>
  <c r="IE132" i="4"/>
  <c r="IF132" i="4"/>
  <c r="IG132" i="4"/>
  <c r="IH132" i="4"/>
  <c r="II132" i="4"/>
  <c r="IJ132" i="4"/>
  <c r="IK132" i="4"/>
  <c r="IL132" i="4"/>
  <c r="IM132" i="4"/>
  <c r="IN132" i="4"/>
  <c r="IO132" i="4"/>
  <c r="IP132" i="4"/>
  <c r="IQ132" i="4"/>
  <c r="IR132" i="4"/>
  <c r="IS132" i="4"/>
  <c r="IT132" i="4"/>
  <c r="IU132" i="4"/>
  <c r="IV132" i="4"/>
  <c r="A131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F131" i="4"/>
  <c r="EG131" i="4"/>
  <c r="EH131" i="4"/>
  <c r="EI131" i="4"/>
  <c r="EJ131" i="4"/>
  <c r="EK131" i="4"/>
  <c r="EL131" i="4"/>
  <c r="EM131" i="4"/>
  <c r="EN131" i="4"/>
  <c r="EO131" i="4"/>
  <c r="EP131" i="4"/>
  <c r="EQ131" i="4"/>
  <c r="ER131" i="4"/>
  <c r="ES131" i="4"/>
  <c r="ET131" i="4"/>
  <c r="EU131" i="4"/>
  <c r="EV131" i="4"/>
  <c r="EW131" i="4"/>
  <c r="EX131" i="4"/>
  <c r="EY131" i="4"/>
  <c r="EZ131" i="4"/>
  <c r="FA131" i="4"/>
  <c r="FB131" i="4"/>
  <c r="FC131" i="4"/>
  <c r="FD131" i="4"/>
  <c r="FE131" i="4"/>
  <c r="FF131" i="4"/>
  <c r="FG131" i="4"/>
  <c r="FH131" i="4"/>
  <c r="FI131" i="4"/>
  <c r="FJ131" i="4"/>
  <c r="FK131" i="4"/>
  <c r="FL131" i="4"/>
  <c r="FM131" i="4"/>
  <c r="FN131" i="4"/>
  <c r="FO131" i="4"/>
  <c r="FP131" i="4"/>
  <c r="FQ131" i="4"/>
  <c r="FR131" i="4"/>
  <c r="FS131" i="4"/>
  <c r="FT131" i="4"/>
  <c r="FU131" i="4"/>
  <c r="FV131" i="4"/>
  <c r="FW131" i="4"/>
  <c r="FX131" i="4"/>
  <c r="FY131" i="4"/>
  <c r="FZ131" i="4"/>
  <c r="GA131" i="4"/>
  <c r="GB131" i="4"/>
  <c r="GC131" i="4"/>
  <c r="GD131" i="4"/>
  <c r="GE131" i="4"/>
  <c r="GF131" i="4"/>
  <c r="GG131" i="4"/>
  <c r="GH131" i="4"/>
  <c r="GI131" i="4"/>
  <c r="GJ131" i="4"/>
  <c r="GK131" i="4"/>
  <c r="GL131" i="4"/>
  <c r="GM131" i="4"/>
  <c r="GN131" i="4"/>
  <c r="GO131" i="4"/>
  <c r="GP131" i="4"/>
  <c r="GQ131" i="4"/>
  <c r="GR131" i="4"/>
  <c r="GS131" i="4"/>
  <c r="GT131" i="4"/>
  <c r="GU131" i="4"/>
  <c r="GV131" i="4"/>
  <c r="GW131" i="4"/>
  <c r="GX131" i="4"/>
  <c r="GY131" i="4"/>
  <c r="GZ131" i="4"/>
  <c r="HA131" i="4"/>
  <c r="HB131" i="4"/>
  <c r="HC131" i="4"/>
  <c r="HD131" i="4"/>
  <c r="HE131" i="4"/>
  <c r="HF131" i="4"/>
  <c r="HG131" i="4"/>
  <c r="HH131" i="4"/>
  <c r="HI131" i="4"/>
  <c r="HJ131" i="4"/>
  <c r="HK131" i="4"/>
  <c r="HL131" i="4"/>
  <c r="HM131" i="4"/>
  <c r="HN131" i="4"/>
  <c r="HO131" i="4"/>
  <c r="HP131" i="4"/>
  <c r="HQ131" i="4"/>
  <c r="HR131" i="4"/>
  <c r="HS131" i="4"/>
  <c r="HT131" i="4"/>
  <c r="HU131" i="4"/>
  <c r="HV131" i="4"/>
  <c r="HW131" i="4"/>
  <c r="HX131" i="4"/>
  <c r="HY131" i="4"/>
  <c r="HZ131" i="4"/>
  <c r="IA131" i="4"/>
  <c r="IB131" i="4"/>
  <c r="IC131" i="4"/>
  <c r="ID131" i="4"/>
  <c r="IE131" i="4"/>
  <c r="IF131" i="4"/>
  <c r="IG131" i="4"/>
  <c r="IH131" i="4"/>
  <c r="II131" i="4"/>
  <c r="IJ131" i="4"/>
  <c r="IK131" i="4"/>
  <c r="IL131" i="4"/>
  <c r="IM131" i="4"/>
  <c r="IN131" i="4"/>
  <c r="IO131" i="4"/>
  <c r="IP131" i="4"/>
  <c r="IQ131" i="4"/>
  <c r="IR131" i="4"/>
  <c r="IS131" i="4"/>
  <c r="IT131" i="4"/>
  <c r="IU131" i="4"/>
  <c r="IV131" i="4"/>
  <c r="A130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F130" i="4"/>
  <c r="EG130" i="4"/>
  <c r="EH130" i="4"/>
  <c r="EI130" i="4"/>
  <c r="EJ130" i="4"/>
  <c r="EK130" i="4"/>
  <c r="EL130" i="4"/>
  <c r="EM130" i="4"/>
  <c r="EN130" i="4"/>
  <c r="EO130" i="4"/>
  <c r="EP130" i="4"/>
  <c r="EQ130" i="4"/>
  <c r="ER130" i="4"/>
  <c r="ES130" i="4"/>
  <c r="ET130" i="4"/>
  <c r="EU130" i="4"/>
  <c r="EV130" i="4"/>
  <c r="EW130" i="4"/>
  <c r="EX130" i="4"/>
  <c r="EY130" i="4"/>
  <c r="EZ130" i="4"/>
  <c r="FA130" i="4"/>
  <c r="FB130" i="4"/>
  <c r="FC130" i="4"/>
  <c r="FD130" i="4"/>
  <c r="FE130" i="4"/>
  <c r="FF130" i="4"/>
  <c r="FG130" i="4"/>
  <c r="FH130" i="4"/>
  <c r="FI130" i="4"/>
  <c r="FJ130" i="4"/>
  <c r="FK130" i="4"/>
  <c r="FL130" i="4"/>
  <c r="FM130" i="4"/>
  <c r="FN130" i="4"/>
  <c r="FO130" i="4"/>
  <c r="FP130" i="4"/>
  <c r="FQ130" i="4"/>
  <c r="FR130" i="4"/>
  <c r="FS130" i="4"/>
  <c r="FT130" i="4"/>
  <c r="FU130" i="4"/>
  <c r="FV130" i="4"/>
  <c r="FW130" i="4"/>
  <c r="FX130" i="4"/>
  <c r="FY130" i="4"/>
  <c r="FZ130" i="4"/>
  <c r="GA130" i="4"/>
  <c r="GB130" i="4"/>
  <c r="GC130" i="4"/>
  <c r="GD130" i="4"/>
  <c r="GE130" i="4"/>
  <c r="GF130" i="4"/>
  <c r="GG130" i="4"/>
  <c r="GH130" i="4"/>
  <c r="GI130" i="4"/>
  <c r="GJ130" i="4"/>
  <c r="GK130" i="4"/>
  <c r="GL130" i="4"/>
  <c r="GM130" i="4"/>
  <c r="GN130" i="4"/>
  <c r="GO130" i="4"/>
  <c r="GP130" i="4"/>
  <c r="GQ130" i="4"/>
  <c r="GR130" i="4"/>
  <c r="GS130" i="4"/>
  <c r="GT130" i="4"/>
  <c r="GU130" i="4"/>
  <c r="GV130" i="4"/>
  <c r="GW130" i="4"/>
  <c r="GX130" i="4"/>
  <c r="GY130" i="4"/>
  <c r="GZ130" i="4"/>
  <c r="HA130" i="4"/>
  <c r="HB130" i="4"/>
  <c r="HC130" i="4"/>
  <c r="HD130" i="4"/>
  <c r="HE130" i="4"/>
  <c r="HF130" i="4"/>
  <c r="HG130" i="4"/>
  <c r="HH130" i="4"/>
  <c r="HI130" i="4"/>
  <c r="HJ130" i="4"/>
  <c r="HK130" i="4"/>
  <c r="HL130" i="4"/>
  <c r="HM130" i="4"/>
  <c r="HN130" i="4"/>
  <c r="HO130" i="4"/>
  <c r="HP130" i="4"/>
  <c r="HQ130" i="4"/>
  <c r="HR130" i="4"/>
  <c r="HS130" i="4"/>
  <c r="HT130" i="4"/>
  <c r="HU130" i="4"/>
  <c r="HV130" i="4"/>
  <c r="HW130" i="4"/>
  <c r="HX130" i="4"/>
  <c r="HY130" i="4"/>
  <c r="HZ130" i="4"/>
  <c r="IA130" i="4"/>
  <c r="IB130" i="4"/>
  <c r="IC130" i="4"/>
  <c r="ID130" i="4"/>
  <c r="IE130" i="4"/>
  <c r="IF130" i="4"/>
  <c r="IG130" i="4"/>
  <c r="IH130" i="4"/>
  <c r="II130" i="4"/>
  <c r="IJ130" i="4"/>
  <c r="IK130" i="4"/>
  <c r="IL130" i="4"/>
  <c r="IM130" i="4"/>
  <c r="IN130" i="4"/>
  <c r="IO130" i="4"/>
  <c r="IP130" i="4"/>
  <c r="IQ130" i="4"/>
  <c r="IR130" i="4"/>
  <c r="IS130" i="4"/>
  <c r="IT130" i="4"/>
  <c r="IU130" i="4"/>
  <c r="IV130" i="4"/>
  <c r="A129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F129" i="4"/>
  <c r="EG129" i="4"/>
  <c r="EH129" i="4"/>
  <c r="EI129" i="4"/>
  <c r="EJ129" i="4"/>
  <c r="EK129" i="4"/>
  <c r="EL129" i="4"/>
  <c r="EM129" i="4"/>
  <c r="EN129" i="4"/>
  <c r="EO129" i="4"/>
  <c r="EP129" i="4"/>
  <c r="EQ129" i="4"/>
  <c r="ER129" i="4"/>
  <c r="ES129" i="4"/>
  <c r="ET129" i="4"/>
  <c r="EU129" i="4"/>
  <c r="EV129" i="4"/>
  <c r="EW129" i="4"/>
  <c r="EX129" i="4"/>
  <c r="EY129" i="4"/>
  <c r="EZ129" i="4"/>
  <c r="FA129" i="4"/>
  <c r="FB129" i="4"/>
  <c r="FC129" i="4"/>
  <c r="FD129" i="4"/>
  <c r="FE129" i="4"/>
  <c r="FF129" i="4"/>
  <c r="FG129" i="4"/>
  <c r="FH129" i="4"/>
  <c r="FI129" i="4"/>
  <c r="FJ129" i="4"/>
  <c r="FK129" i="4"/>
  <c r="FL129" i="4"/>
  <c r="FM129" i="4"/>
  <c r="FN129" i="4"/>
  <c r="FO129" i="4"/>
  <c r="FP129" i="4"/>
  <c r="FQ129" i="4"/>
  <c r="FR129" i="4"/>
  <c r="FS129" i="4"/>
  <c r="FT129" i="4"/>
  <c r="FU129" i="4"/>
  <c r="FV129" i="4"/>
  <c r="FW129" i="4"/>
  <c r="FX129" i="4"/>
  <c r="FY129" i="4"/>
  <c r="FZ129" i="4"/>
  <c r="GA129" i="4"/>
  <c r="GB129" i="4"/>
  <c r="GC129" i="4"/>
  <c r="GD129" i="4"/>
  <c r="GE129" i="4"/>
  <c r="GF129" i="4"/>
  <c r="GG129" i="4"/>
  <c r="GH129" i="4"/>
  <c r="GI129" i="4"/>
  <c r="GJ129" i="4"/>
  <c r="GK129" i="4"/>
  <c r="GL129" i="4"/>
  <c r="GM129" i="4"/>
  <c r="GN129" i="4"/>
  <c r="GO129" i="4"/>
  <c r="GP129" i="4"/>
  <c r="GQ129" i="4"/>
  <c r="GR129" i="4"/>
  <c r="GS129" i="4"/>
  <c r="GT129" i="4"/>
  <c r="GU129" i="4"/>
  <c r="GV129" i="4"/>
  <c r="GW129" i="4"/>
  <c r="GX129" i="4"/>
  <c r="GY129" i="4"/>
  <c r="GZ129" i="4"/>
  <c r="HA129" i="4"/>
  <c r="HB129" i="4"/>
  <c r="HC129" i="4"/>
  <c r="HD129" i="4"/>
  <c r="HE129" i="4"/>
  <c r="HF129" i="4"/>
  <c r="HG129" i="4"/>
  <c r="HH129" i="4"/>
  <c r="HI129" i="4"/>
  <c r="HJ129" i="4"/>
  <c r="HK129" i="4"/>
  <c r="HL129" i="4"/>
  <c r="HM129" i="4"/>
  <c r="HN129" i="4"/>
  <c r="HO129" i="4"/>
  <c r="HP129" i="4"/>
  <c r="HQ129" i="4"/>
  <c r="HR129" i="4"/>
  <c r="HS129" i="4"/>
  <c r="HT129" i="4"/>
  <c r="HU129" i="4"/>
  <c r="HV129" i="4"/>
  <c r="HW129" i="4"/>
  <c r="HX129" i="4"/>
  <c r="HY129" i="4"/>
  <c r="HZ129" i="4"/>
  <c r="IA129" i="4"/>
  <c r="IB129" i="4"/>
  <c r="IC129" i="4"/>
  <c r="ID129" i="4"/>
  <c r="IE129" i="4"/>
  <c r="IF129" i="4"/>
  <c r="IG129" i="4"/>
  <c r="IH129" i="4"/>
  <c r="II129" i="4"/>
  <c r="IJ129" i="4"/>
  <c r="IK129" i="4"/>
  <c r="IL129" i="4"/>
  <c r="IM129" i="4"/>
  <c r="IN129" i="4"/>
  <c r="IO129" i="4"/>
  <c r="IP129" i="4"/>
  <c r="IQ129" i="4"/>
  <c r="IR129" i="4"/>
  <c r="IS129" i="4"/>
  <c r="IT129" i="4"/>
  <c r="IU129" i="4"/>
  <c r="IV129" i="4"/>
  <c r="A128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F128" i="4"/>
  <c r="EG128" i="4"/>
  <c r="EH128" i="4"/>
  <c r="EI128" i="4"/>
  <c r="EJ128" i="4"/>
  <c r="EK128" i="4"/>
  <c r="EL128" i="4"/>
  <c r="EM128" i="4"/>
  <c r="EN128" i="4"/>
  <c r="EO128" i="4"/>
  <c r="EP128" i="4"/>
  <c r="EQ128" i="4"/>
  <c r="ER128" i="4"/>
  <c r="ES128" i="4"/>
  <c r="ET128" i="4"/>
  <c r="EU128" i="4"/>
  <c r="EV128" i="4"/>
  <c r="EW128" i="4"/>
  <c r="EX128" i="4"/>
  <c r="EY128" i="4"/>
  <c r="EZ128" i="4"/>
  <c r="FA128" i="4"/>
  <c r="FB128" i="4"/>
  <c r="FC128" i="4"/>
  <c r="FD128" i="4"/>
  <c r="FE128" i="4"/>
  <c r="FF128" i="4"/>
  <c r="FG128" i="4"/>
  <c r="FH128" i="4"/>
  <c r="FI128" i="4"/>
  <c r="FJ128" i="4"/>
  <c r="FK128" i="4"/>
  <c r="FL128" i="4"/>
  <c r="FM128" i="4"/>
  <c r="FN128" i="4"/>
  <c r="FO128" i="4"/>
  <c r="FP128" i="4"/>
  <c r="FQ128" i="4"/>
  <c r="FR128" i="4"/>
  <c r="FS128" i="4"/>
  <c r="FT128" i="4"/>
  <c r="FU128" i="4"/>
  <c r="FV128" i="4"/>
  <c r="FW128" i="4"/>
  <c r="FX128" i="4"/>
  <c r="FY128" i="4"/>
  <c r="FZ128" i="4"/>
  <c r="GA128" i="4"/>
  <c r="GB128" i="4"/>
  <c r="GC128" i="4"/>
  <c r="GD128" i="4"/>
  <c r="GE128" i="4"/>
  <c r="GF128" i="4"/>
  <c r="GG128" i="4"/>
  <c r="GH128" i="4"/>
  <c r="GI128" i="4"/>
  <c r="GJ128" i="4"/>
  <c r="GK128" i="4"/>
  <c r="GL128" i="4"/>
  <c r="GM128" i="4"/>
  <c r="GN128" i="4"/>
  <c r="GO128" i="4"/>
  <c r="GP128" i="4"/>
  <c r="GQ128" i="4"/>
  <c r="GR128" i="4"/>
  <c r="GS128" i="4"/>
  <c r="GT128" i="4"/>
  <c r="GU128" i="4"/>
  <c r="GV128" i="4"/>
  <c r="GW128" i="4"/>
  <c r="GX128" i="4"/>
  <c r="GY128" i="4"/>
  <c r="GZ128" i="4"/>
  <c r="HA128" i="4"/>
  <c r="HB128" i="4"/>
  <c r="HC128" i="4"/>
  <c r="HD128" i="4"/>
  <c r="HE128" i="4"/>
  <c r="HF128" i="4"/>
  <c r="HG128" i="4"/>
  <c r="HH128" i="4"/>
  <c r="HI128" i="4"/>
  <c r="HJ128" i="4"/>
  <c r="HK128" i="4"/>
  <c r="HL128" i="4"/>
  <c r="HM128" i="4"/>
  <c r="HN128" i="4"/>
  <c r="HO128" i="4"/>
  <c r="HP128" i="4"/>
  <c r="HQ128" i="4"/>
  <c r="HR128" i="4"/>
  <c r="HS128" i="4"/>
  <c r="HT128" i="4"/>
  <c r="HU128" i="4"/>
  <c r="HV128" i="4"/>
  <c r="HW128" i="4"/>
  <c r="HX128" i="4"/>
  <c r="HY128" i="4"/>
  <c r="HZ128" i="4"/>
  <c r="IA128" i="4"/>
  <c r="IB128" i="4"/>
  <c r="IC128" i="4"/>
  <c r="ID128" i="4"/>
  <c r="IE128" i="4"/>
  <c r="IF128" i="4"/>
  <c r="IG128" i="4"/>
  <c r="IH128" i="4"/>
  <c r="II128" i="4"/>
  <c r="IJ128" i="4"/>
  <c r="IK128" i="4"/>
  <c r="IL128" i="4"/>
  <c r="IM128" i="4"/>
  <c r="IN128" i="4"/>
  <c r="IO128" i="4"/>
  <c r="IP128" i="4"/>
  <c r="IQ128" i="4"/>
  <c r="IR128" i="4"/>
  <c r="IS128" i="4"/>
  <c r="IT128" i="4"/>
  <c r="IU128" i="4"/>
  <c r="IV128" i="4"/>
  <c r="A127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IU127" i="4"/>
  <c r="IV127" i="4"/>
  <c r="A126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IU126" i="4"/>
  <c r="IV126" i="4"/>
  <c r="A125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IU125" i="4"/>
  <c r="IV125" i="4"/>
  <c r="A124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IU124" i="4"/>
  <c r="IV124" i="4"/>
  <c r="A123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IU123" i="4"/>
  <c r="IV123" i="4"/>
  <c r="A122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IU122" i="4"/>
  <c r="IV122" i="4"/>
  <c r="A121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IU121" i="4"/>
  <c r="IV121" i="4"/>
  <c r="A120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IU120" i="4"/>
  <c r="IV120" i="4"/>
  <c r="A119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A118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A117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IU117" i="4"/>
  <c r="IV117" i="4"/>
  <c r="A116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IU116" i="4"/>
  <c r="IV116" i="4"/>
  <c r="A115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ET115" i="4"/>
  <c r="EU115" i="4"/>
  <c r="EV115" i="4"/>
  <c r="EW115" i="4"/>
  <c r="EX115" i="4"/>
  <c r="EY115" i="4"/>
  <c r="EZ115" i="4"/>
  <c r="FA115" i="4"/>
  <c r="FB115" i="4"/>
  <c r="FC115" i="4"/>
  <c r="FD115" i="4"/>
  <c r="FE115" i="4"/>
  <c r="FF115" i="4"/>
  <c r="FG115" i="4"/>
  <c r="FH115" i="4"/>
  <c r="FI115" i="4"/>
  <c r="FJ115" i="4"/>
  <c r="FK115" i="4"/>
  <c r="FL115" i="4"/>
  <c r="FM115" i="4"/>
  <c r="FN115" i="4"/>
  <c r="FO115" i="4"/>
  <c r="FP115" i="4"/>
  <c r="FQ115" i="4"/>
  <c r="FR115" i="4"/>
  <c r="FS115" i="4"/>
  <c r="FT115" i="4"/>
  <c r="FU115" i="4"/>
  <c r="FV115" i="4"/>
  <c r="FW115" i="4"/>
  <c r="FX115" i="4"/>
  <c r="FY115" i="4"/>
  <c r="FZ115" i="4"/>
  <c r="GA115" i="4"/>
  <c r="GB115" i="4"/>
  <c r="GC115" i="4"/>
  <c r="GD115" i="4"/>
  <c r="GE115" i="4"/>
  <c r="GF115" i="4"/>
  <c r="GG115" i="4"/>
  <c r="GH115" i="4"/>
  <c r="GI115" i="4"/>
  <c r="GJ115" i="4"/>
  <c r="GK115" i="4"/>
  <c r="GL115" i="4"/>
  <c r="GM115" i="4"/>
  <c r="GN115" i="4"/>
  <c r="GO115" i="4"/>
  <c r="GP115" i="4"/>
  <c r="GQ115" i="4"/>
  <c r="GR115" i="4"/>
  <c r="GS115" i="4"/>
  <c r="GT115" i="4"/>
  <c r="GU115" i="4"/>
  <c r="GV115" i="4"/>
  <c r="GW115" i="4"/>
  <c r="GX115" i="4"/>
  <c r="GY115" i="4"/>
  <c r="GZ115" i="4"/>
  <c r="HA115" i="4"/>
  <c r="HB115" i="4"/>
  <c r="HC115" i="4"/>
  <c r="HD115" i="4"/>
  <c r="HE115" i="4"/>
  <c r="HF115" i="4"/>
  <c r="HG115" i="4"/>
  <c r="HH115" i="4"/>
  <c r="HI115" i="4"/>
  <c r="HJ115" i="4"/>
  <c r="HK115" i="4"/>
  <c r="HL115" i="4"/>
  <c r="HM115" i="4"/>
  <c r="HN115" i="4"/>
  <c r="HO115" i="4"/>
  <c r="HP115" i="4"/>
  <c r="HQ115" i="4"/>
  <c r="HR115" i="4"/>
  <c r="HS115" i="4"/>
  <c r="HT115" i="4"/>
  <c r="HU115" i="4"/>
  <c r="HV115" i="4"/>
  <c r="HW115" i="4"/>
  <c r="HX115" i="4"/>
  <c r="HY115" i="4"/>
  <c r="HZ115" i="4"/>
  <c r="IA115" i="4"/>
  <c r="IB115" i="4"/>
  <c r="IC115" i="4"/>
  <c r="ID115" i="4"/>
  <c r="IE115" i="4"/>
  <c r="IF115" i="4"/>
  <c r="IG115" i="4"/>
  <c r="IH115" i="4"/>
  <c r="II115" i="4"/>
  <c r="IJ115" i="4"/>
  <c r="IK115" i="4"/>
  <c r="IL115" i="4"/>
  <c r="IM115" i="4"/>
  <c r="IN115" i="4"/>
  <c r="IO115" i="4"/>
  <c r="IP115" i="4"/>
  <c r="IQ115" i="4"/>
  <c r="IR115" i="4"/>
  <c r="IS115" i="4"/>
  <c r="IT115" i="4"/>
  <c r="IU115" i="4"/>
  <c r="IV115" i="4"/>
  <c r="A114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IU114" i="4"/>
  <c r="IV114" i="4"/>
  <c r="A113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A112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A111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IU111" i="4"/>
  <c r="IV111" i="4"/>
  <c r="A110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K110" i="4"/>
  <c r="FL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GB110" i="4"/>
  <c r="GC110" i="4"/>
  <c r="GD110" i="4"/>
  <c r="GE110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R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L110" i="4"/>
  <c r="IM110" i="4"/>
  <c r="IN110" i="4"/>
  <c r="IO110" i="4"/>
  <c r="IP110" i="4"/>
  <c r="IQ110" i="4"/>
  <c r="IR110" i="4"/>
  <c r="IS110" i="4"/>
  <c r="IT110" i="4"/>
  <c r="IU110" i="4"/>
  <c r="IV110" i="4"/>
  <c r="A109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IU109" i="4"/>
  <c r="IV109" i="4"/>
  <c r="A108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IU108" i="4"/>
  <c r="IV108" i="4"/>
  <c r="A107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K107" i="4"/>
  <c r="FL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GB107" i="4"/>
  <c r="GC107" i="4"/>
  <c r="GD107" i="4"/>
  <c r="GE107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R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L107" i="4"/>
  <c r="IM107" i="4"/>
  <c r="IN107" i="4"/>
  <c r="IO107" i="4"/>
  <c r="IP107" i="4"/>
  <c r="IQ107" i="4"/>
  <c r="IR107" i="4"/>
  <c r="IS107" i="4"/>
  <c r="IT107" i="4"/>
  <c r="IU107" i="4"/>
  <c r="IV107" i="4"/>
  <c r="A106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IU106" i="4"/>
  <c r="IV106" i="4"/>
  <c r="A105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IU105" i="4"/>
  <c r="IV105" i="4"/>
  <c r="A104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ET104" i="4"/>
  <c r="EU104" i="4"/>
  <c r="EV104" i="4"/>
  <c r="EW104" i="4"/>
  <c r="EX104" i="4"/>
  <c r="EY104" i="4"/>
  <c r="EZ104" i="4"/>
  <c r="FA104" i="4"/>
  <c r="FB104" i="4"/>
  <c r="FC104" i="4"/>
  <c r="FD104" i="4"/>
  <c r="FE104" i="4"/>
  <c r="FF104" i="4"/>
  <c r="FG104" i="4"/>
  <c r="FH104" i="4"/>
  <c r="FI104" i="4"/>
  <c r="FJ104" i="4"/>
  <c r="FK104" i="4"/>
  <c r="FL104" i="4"/>
  <c r="FM104" i="4"/>
  <c r="FN104" i="4"/>
  <c r="FO104" i="4"/>
  <c r="FP104" i="4"/>
  <c r="FQ104" i="4"/>
  <c r="FR104" i="4"/>
  <c r="FS104" i="4"/>
  <c r="FT104" i="4"/>
  <c r="FU104" i="4"/>
  <c r="FV104" i="4"/>
  <c r="FW104" i="4"/>
  <c r="FX104" i="4"/>
  <c r="FY104" i="4"/>
  <c r="FZ104" i="4"/>
  <c r="GA104" i="4"/>
  <c r="GB104" i="4"/>
  <c r="GC104" i="4"/>
  <c r="GD104" i="4"/>
  <c r="GE104" i="4"/>
  <c r="GF104" i="4"/>
  <c r="GG104" i="4"/>
  <c r="GH104" i="4"/>
  <c r="GI104" i="4"/>
  <c r="GJ104" i="4"/>
  <c r="GK104" i="4"/>
  <c r="GL104" i="4"/>
  <c r="GM104" i="4"/>
  <c r="GN104" i="4"/>
  <c r="GO104" i="4"/>
  <c r="GP104" i="4"/>
  <c r="GQ104" i="4"/>
  <c r="GR104" i="4"/>
  <c r="GS104" i="4"/>
  <c r="GT104" i="4"/>
  <c r="GU104" i="4"/>
  <c r="GV104" i="4"/>
  <c r="GW104" i="4"/>
  <c r="GX104" i="4"/>
  <c r="GY104" i="4"/>
  <c r="GZ104" i="4"/>
  <c r="HA104" i="4"/>
  <c r="HB104" i="4"/>
  <c r="HC104" i="4"/>
  <c r="HD104" i="4"/>
  <c r="HE104" i="4"/>
  <c r="HF104" i="4"/>
  <c r="HG104" i="4"/>
  <c r="HH104" i="4"/>
  <c r="HI104" i="4"/>
  <c r="HJ104" i="4"/>
  <c r="HK104" i="4"/>
  <c r="HL104" i="4"/>
  <c r="HM104" i="4"/>
  <c r="HN104" i="4"/>
  <c r="HO104" i="4"/>
  <c r="HP104" i="4"/>
  <c r="HQ104" i="4"/>
  <c r="HR104" i="4"/>
  <c r="HS104" i="4"/>
  <c r="HT104" i="4"/>
  <c r="HU104" i="4"/>
  <c r="HV104" i="4"/>
  <c r="HW104" i="4"/>
  <c r="HX104" i="4"/>
  <c r="HY104" i="4"/>
  <c r="HZ104" i="4"/>
  <c r="IA104" i="4"/>
  <c r="IB104" i="4"/>
  <c r="IC104" i="4"/>
  <c r="ID104" i="4"/>
  <c r="IE104" i="4"/>
  <c r="IF104" i="4"/>
  <c r="IG104" i="4"/>
  <c r="IH104" i="4"/>
  <c r="II104" i="4"/>
  <c r="IJ104" i="4"/>
  <c r="IK104" i="4"/>
  <c r="IL104" i="4"/>
  <c r="IM104" i="4"/>
  <c r="IN104" i="4"/>
  <c r="IO104" i="4"/>
  <c r="IP104" i="4"/>
  <c r="IQ104" i="4"/>
  <c r="IR104" i="4"/>
  <c r="IS104" i="4"/>
  <c r="IT104" i="4"/>
  <c r="IU104" i="4"/>
  <c r="IV104" i="4"/>
  <c r="A103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U103" i="4"/>
  <c r="IV103" i="4"/>
  <c r="A102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ET102" i="4"/>
  <c r="EU102" i="4"/>
  <c r="EV102" i="4"/>
  <c r="EW102" i="4"/>
  <c r="EX102" i="4"/>
  <c r="EY102" i="4"/>
  <c r="EZ102" i="4"/>
  <c r="FA102" i="4"/>
  <c r="FB102" i="4"/>
  <c r="FC102" i="4"/>
  <c r="FD102" i="4"/>
  <c r="FE102" i="4"/>
  <c r="FF102" i="4"/>
  <c r="FG102" i="4"/>
  <c r="FH102" i="4"/>
  <c r="FI102" i="4"/>
  <c r="FJ102" i="4"/>
  <c r="FK102" i="4"/>
  <c r="FL102" i="4"/>
  <c r="FM102" i="4"/>
  <c r="FN102" i="4"/>
  <c r="FO102" i="4"/>
  <c r="FP102" i="4"/>
  <c r="FQ102" i="4"/>
  <c r="FR102" i="4"/>
  <c r="FS102" i="4"/>
  <c r="FT102" i="4"/>
  <c r="FU102" i="4"/>
  <c r="FV102" i="4"/>
  <c r="FW102" i="4"/>
  <c r="FX102" i="4"/>
  <c r="FY102" i="4"/>
  <c r="FZ102" i="4"/>
  <c r="GA102" i="4"/>
  <c r="GB102" i="4"/>
  <c r="GC102" i="4"/>
  <c r="GD102" i="4"/>
  <c r="GE102" i="4"/>
  <c r="GF102" i="4"/>
  <c r="GG102" i="4"/>
  <c r="GH102" i="4"/>
  <c r="GI102" i="4"/>
  <c r="GJ102" i="4"/>
  <c r="GK102" i="4"/>
  <c r="GL102" i="4"/>
  <c r="GM102" i="4"/>
  <c r="GN102" i="4"/>
  <c r="GO102" i="4"/>
  <c r="GP102" i="4"/>
  <c r="GQ102" i="4"/>
  <c r="GR102" i="4"/>
  <c r="GS102" i="4"/>
  <c r="GT102" i="4"/>
  <c r="GU102" i="4"/>
  <c r="GV102" i="4"/>
  <c r="GW102" i="4"/>
  <c r="GX102" i="4"/>
  <c r="GY102" i="4"/>
  <c r="GZ102" i="4"/>
  <c r="HA102" i="4"/>
  <c r="HB102" i="4"/>
  <c r="HC102" i="4"/>
  <c r="HD102" i="4"/>
  <c r="HE102" i="4"/>
  <c r="HF102" i="4"/>
  <c r="HG102" i="4"/>
  <c r="HH102" i="4"/>
  <c r="HI102" i="4"/>
  <c r="HJ102" i="4"/>
  <c r="HK102" i="4"/>
  <c r="HL102" i="4"/>
  <c r="HM102" i="4"/>
  <c r="HN102" i="4"/>
  <c r="HO102" i="4"/>
  <c r="HP102" i="4"/>
  <c r="HQ102" i="4"/>
  <c r="HR102" i="4"/>
  <c r="HS102" i="4"/>
  <c r="HT102" i="4"/>
  <c r="HU102" i="4"/>
  <c r="HV102" i="4"/>
  <c r="HW102" i="4"/>
  <c r="HX102" i="4"/>
  <c r="HY102" i="4"/>
  <c r="HZ102" i="4"/>
  <c r="IA102" i="4"/>
  <c r="IB102" i="4"/>
  <c r="IC102" i="4"/>
  <c r="ID102" i="4"/>
  <c r="IE102" i="4"/>
  <c r="IF102" i="4"/>
  <c r="IG102" i="4"/>
  <c r="IH102" i="4"/>
  <c r="II102" i="4"/>
  <c r="IJ102" i="4"/>
  <c r="IK102" i="4"/>
  <c r="IL102" i="4"/>
  <c r="IM102" i="4"/>
  <c r="IN102" i="4"/>
  <c r="IO102" i="4"/>
  <c r="IP102" i="4"/>
  <c r="IQ102" i="4"/>
  <c r="IR102" i="4"/>
  <c r="IS102" i="4"/>
  <c r="IT102" i="4"/>
  <c r="IU102" i="4"/>
  <c r="IV102" i="4"/>
  <c r="A101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IU101" i="4"/>
  <c r="IV101" i="4"/>
  <c r="A100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IU100" i="4"/>
  <c r="IV100" i="4"/>
  <c r="A99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ET99" i="4"/>
  <c r="EU99" i="4"/>
  <c r="EV99" i="4"/>
  <c r="EW99" i="4"/>
  <c r="EX99" i="4"/>
  <c r="EY99" i="4"/>
  <c r="EZ99" i="4"/>
  <c r="FA99" i="4"/>
  <c r="FB99" i="4"/>
  <c r="FC99" i="4"/>
  <c r="FD99" i="4"/>
  <c r="FE99" i="4"/>
  <c r="FF99" i="4"/>
  <c r="FG99" i="4"/>
  <c r="FH99" i="4"/>
  <c r="FI99" i="4"/>
  <c r="FJ99" i="4"/>
  <c r="FK99" i="4"/>
  <c r="FL99" i="4"/>
  <c r="FM99" i="4"/>
  <c r="FN99" i="4"/>
  <c r="FO99" i="4"/>
  <c r="FP99" i="4"/>
  <c r="FQ99" i="4"/>
  <c r="FR99" i="4"/>
  <c r="FS99" i="4"/>
  <c r="FT99" i="4"/>
  <c r="FU99" i="4"/>
  <c r="FV99" i="4"/>
  <c r="FW99" i="4"/>
  <c r="FX99" i="4"/>
  <c r="FY99" i="4"/>
  <c r="FZ99" i="4"/>
  <c r="GA99" i="4"/>
  <c r="GB99" i="4"/>
  <c r="GC99" i="4"/>
  <c r="GD99" i="4"/>
  <c r="GE99" i="4"/>
  <c r="GF99" i="4"/>
  <c r="GG99" i="4"/>
  <c r="GH99" i="4"/>
  <c r="GI99" i="4"/>
  <c r="GJ99" i="4"/>
  <c r="GK99" i="4"/>
  <c r="GL99" i="4"/>
  <c r="GM99" i="4"/>
  <c r="GN99" i="4"/>
  <c r="GO99" i="4"/>
  <c r="GP99" i="4"/>
  <c r="GQ99" i="4"/>
  <c r="GR99" i="4"/>
  <c r="GS99" i="4"/>
  <c r="GT99" i="4"/>
  <c r="GU99" i="4"/>
  <c r="GV99" i="4"/>
  <c r="GW99" i="4"/>
  <c r="GX99" i="4"/>
  <c r="GY99" i="4"/>
  <c r="GZ99" i="4"/>
  <c r="HA99" i="4"/>
  <c r="HB99" i="4"/>
  <c r="HC99" i="4"/>
  <c r="HD99" i="4"/>
  <c r="HE99" i="4"/>
  <c r="HF99" i="4"/>
  <c r="HG99" i="4"/>
  <c r="HH99" i="4"/>
  <c r="HI99" i="4"/>
  <c r="HJ99" i="4"/>
  <c r="HK99" i="4"/>
  <c r="HL99" i="4"/>
  <c r="HM99" i="4"/>
  <c r="HN99" i="4"/>
  <c r="HO99" i="4"/>
  <c r="HP99" i="4"/>
  <c r="HQ99" i="4"/>
  <c r="HR99" i="4"/>
  <c r="HS99" i="4"/>
  <c r="HT99" i="4"/>
  <c r="HU99" i="4"/>
  <c r="HV99" i="4"/>
  <c r="HW99" i="4"/>
  <c r="HX99" i="4"/>
  <c r="HY99" i="4"/>
  <c r="HZ99" i="4"/>
  <c r="IA99" i="4"/>
  <c r="IB99" i="4"/>
  <c r="IC99" i="4"/>
  <c r="ID99" i="4"/>
  <c r="IE99" i="4"/>
  <c r="IF99" i="4"/>
  <c r="IG99" i="4"/>
  <c r="IH99" i="4"/>
  <c r="II99" i="4"/>
  <c r="IJ99" i="4"/>
  <c r="IK99" i="4"/>
  <c r="IL99" i="4"/>
  <c r="IM99" i="4"/>
  <c r="IN99" i="4"/>
  <c r="IO99" i="4"/>
  <c r="IP99" i="4"/>
  <c r="IQ99" i="4"/>
  <c r="IR99" i="4"/>
  <c r="IS99" i="4"/>
  <c r="IT99" i="4"/>
  <c r="IU99" i="4"/>
  <c r="IV99" i="4"/>
  <c r="A98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IU98" i="4"/>
  <c r="IV98" i="4"/>
  <c r="A97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ET97" i="4"/>
  <c r="EU97" i="4"/>
  <c r="EV97" i="4"/>
  <c r="EW97" i="4"/>
  <c r="EX97" i="4"/>
  <c r="EY97" i="4"/>
  <c r="EZ97" i="4"/>
  <c r="FA97" i="4"/>
  <c r="FB97" i="4"/>
  <c r="FC97" i="4"/>
  <c r="FD97" i="4"/>
  <c r="FE97" i="4"/>
  <c r="FF97" i="4"/>
  <c r="FG97" i="4"/>
  <c r="FH97" i="4"/>
  <c r="FI97" i="4"/>
  <c r="FJ97" i="4"/>
  <c r="FK97" i="4"/>
  <c r="FL97" i="4"/>
  <c r="FM97" i="4"/>
  <c r="FN97" i="4"/>
  <c r="FO97" i="4"/>
  <c r="FP97" i="4"/>
  <c r="FQ97" i="4"/>
  <c r="FR97" i="4"/>
  <c r="FS97" i="4"/>
  <c r="FT97" i="4"/>
  <c r="FU97" i="4"/>
  <c r="FV97" i="4"/>
  <c r="FW97" i="4"/>
  <c r="FX97" i="4"/>
  <c r="FY97" i="4"/>
  <c r="FZ97" i="4"/>
  <c r="GA97" i="4"/>
  <c r="GB97" i="4"/>
  <c r="GC97" i="4"/>
  <c r="GD97" i="4"/>
  <c r="GE97" i="4"/>
  <c r="GF97" i="4"/>
  <c r="GG97" i="4"/>
  <c r="GH97" i="4"/>
  <c r="GI97" i="4"/>
  <c r="GJ97" i="4"/>
  <c r="GK97" i="4"/>
  <c r="GL97" i="4"/>
  <c r="GM97" i="4"/>
  <c r="GN97" i="4"/>
  <c r="GO97" i="4"/>
  <c r="GP97" i="4"/>
  <c r="GQ97" i="4"/>
  <c r="GR97" i="4"/>
  <c r="GS97" i="4"/>
  <c r="GT97" i="4"/>
  <c r="GU97" i="4"/>
  <c r="GV97" i="4"/>
  <c r="GW97" i="4"/>
  <c r="GX97" i="4"/>
  <c r="GY97" i="4"/>
  <c r="GZ97" i="4"/>
  <c r="HA97" i="4"/>
  <c r="HB97" i="4"/>
  <c r="HC97" i="4"/>
  <c r="HD97" i="4"/>
  <c r="HE97" i="4"/>
  <c r="HF97" i="4"/>
  <c r="HG97" i="4"/>
  <c r="HH97" i="4"/>
  <c r="HI97" i="4"/>
  <c r="HJ97" i="4"/>
  <c r="HK97" i="4"/>
  <c r="HL97" i="4"/>
  <c r="HM97" i="4"/>
  <c r="HN97" i="4"/>
  <c r="HO97" i="4"/>
  <c r="HP97" i="4"/>
  <c r="HQ97" i="4"/>
  <c r="HR97" i="4"/>
  <c r="HS97" i="4"/>
  <c r="HT97" i="4"/>
  <c r="HU97" i="4"/>
  <c r="HV97" i="4"/>
  <c r="HW97" i="4"/>
  <c r="HX97" i="4"/>
  <c r="HY97" i="4"/>
  <c r="HZ97" i="4"/>
  <c r="IA97" i="4"/>
  <c r="IB97" i="4"/>
  <c r="IC97" i="4"/>
  <c r="ID97" i="4"/>
  <c r="IE97" i="4"/>
  <c r="IF97" i="4"/>
  <c r="IG97" i="4"/>
  <c r="IH97" i="4"/>
  <c r="II97" i="4"/>
  <c r="IJ97" i="4"/>
  <c r="IK97" i="4"/>
  <c r="IL97" i="4"/>
  <c r="IM97" i="4"/>
  <c r="IN97" i="4"/>
  <c r="IO97" i="4"/>
  <c r="IP97" i="4"/>
  <c r="IQ97" i="4"/>
  <c r="IR97" i="4"/>
  <c r="IS97" i="4"/>
  <c r="IT97" i="4"/>
  <c r="IU97" i="4"/>
  <c r="IV97" i="4"/>
  <c r="A96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IU96" i="4"/>
  <c r="IV96" i="4"/>
  <c r="A95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IU95" i="4"/>
  <c r="IV95" i="4"/>
  <c r="A94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ET94" i="4"/>
  <c r="EU94" i="4"/>
  <c r="EV94" i="4"/>
  <c r="EW94" i="4"/>
  <c r="EX94" i="4"/>
  <c r="EY94" i="4"/>
  <c r="EZ94" i="4"/>
  <c r="FA94" i="4"/>
  <c r="FB94" i="4"/>
  <c r="FC94" i="4"/>
  <c r="FD94" i="4"/>
  <c r="FE94" i="4"/>
  <c r="FF94" i="4"/>
  <c r="FG94" i="4"/>
  <c r="FH94" i="4"/>
  <c r="FI94" i="4"/>
  <c r="FJ94" i="4"/>
  <c r="FK94" i="4"/>
  <c r="FL94" i="4"/>
  <c r="FM94" i="4"/>
  <c r="FN94" i="4"/>
  <c r="FO94" i="4"/>
  <c r="FP94" i="4"/>
  <c r="FQ94" i="4"/>
  <c r="FR94" i="4"/>
  <c r="FS94" i="4"/>
  <c r="FT94" i="4"/>
  <c r="FU94" i="4"/>
  <c r="FV94" i="4"/>
  <c r="FW94" i="4"/>
  <c r="FX94" i="4"/>
  <c r="FY94" i="4"/>
  <c r="FZ94" i="4"/>
  <c r="GA94" i="4"/>
  <c r="GB94" i="4"/>
  <c r="GC94" i="4"/>
  <c r="GD94" i="4"/>
  <c r="GE94" i="4"/>
  <c r="GF94" i="4"/>
  <c r="GG94" i="4"/>
  <c r="GH94" i="4"/>
  <c r="GI94" i="4"/>
  <c r="GJ94" i="4"/>
  <c r="GK94" i="4"/>
  <c r="GL94" i="4"/>
  <c r="GM94" i="4"/>
  <c r="GN94" i="4"/>
  <c r="GO94" i="4"/>
  <c r="GP94" i="4"/>
  <c r="GQ94" i="4"/>
  <c r="GR94" i="4"/>
  <c r="GS94" i="4"/>
  <c r="GT94" i="4"/>
  <c r="GU94" i="4"/>
  <c r="GV94" i="4"/>
  <c r="GW94" i="4"/>
  <c r="GX94" i="4"/>
  <c r="GY94" i="4"/>
  <c r="GZ94" i="4"/>
  <c r="HA94" i="4"/>
  <c r="HB94" i="4"/>
  <c r="HC94" i="4"/>
  <c r="HD94" i="4"/>
  <c r="HE94" i="4"/>
  <c r="HF94" i="4"/>
  <c r="HG94" i="4"/>
  <c r="HH94" i="4"/>
  <c r="HI94" i="4"/>
  <c r="HJ94" i="4"/>
  <c r="HK94" i="4"/>
  <c r="HL94" i="4"/>
  <c r="HM94" i="4"/>
  <c r="HN94" i="4"/>
  <c r="HO94" i="4"/>
  <c r="HP94" i="4"/>
  <c r="HQ94" i="4"/>
  <c r="HR94" i="4"/>
  <c r="HS94" i="4"/>
  <c r="HT94" i="4"/>
  <c r="HU94" i="4"/>
  <c r="HV94" i="4"/>
  <c r="HW94" i="4"/>
  <c r="HX94" i="4"/>
  <c r="HY94" i="4"/>
  <c r="HZ94" i="4"/>
  <c r="IA94" i="4"/>
  <c r="IB94" i="4"/>
  <c r="IC94" i="4"/>
  <c r="ID94" i="4"/>
  <c r="IE94" i="4"/>
  <c r="IF94" i="4"/>
  <c r="IG94" i="4"/>
  <c r="IH94" i="4"/>
  <c r="II94" i="4"/>
  <c r="IJ94" i="4"/>
  <c r="IK94" i="4"/>
  <c r="IL94" i="4"/>
  <c r="IM94" i="4"/>
  <c r="IN94" i="4"/>
  <c r="IO94" i="4"/>
  <c r="IP94" i="4"/>
  <c r="IQ94" i="4"/>
  <c r="IR94" i="4"/>
  <c r="IS94" i="4"/>
  <c r="IT94" i="4"/>
  <c r="IU94" i="4"/>
  <c r="IV94" i="4"/>
  <c r="A93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IU93" i="4"/>
  <c r="IV93" i="4"/>
  <c r="A92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ET92" i="4"/>
  <c r="EU92" i="4"/>
  <c r="EV92" i="4"/>
  <c r="EW92" i="4"/>
  <c r="EX92" i="4"/>
  <c r="EY92" i="4"/>
  <c r="EZ92" i="4"/>
  <c r="FA92" i="4"/>
  <c r="FB92" i="4"/>
  <c r="FC92" i="4"/>
  <c r="FD92" i="4"/>
  <c r="FE92" i="4"/>
  <c r="FF92" i="4"/>
  <c r="FG92" i="4"/>
  <c r="FH92" i="4"/>
  <c r="FI92" i="4"/>
  <c r="FJ92" i="4"/>
  <c r="FK92" i="4"/>
  <c r="FL92" i="4"/>
  <c r="FM92" i="4"/>
  <c r="FN92" i="4"/>
  <c r="FO92" i="4"/>
  <c r="FP92" i="4"/>
  <c r="FQ92" i="4"/>
  <c r="FR92" i="4"/>
  <c r="FS92" i="4"/>
  <c r="FT92" i="4"/>
  <c r="FU92" i="4"/>
  <c r="FV92" i="4"/>
  <c r="FW92" i="4"/>
  <c r="FX92" i="4"/>
  <c r="FY92" i="4"/>
  <c r="FZ92" i="4"/>
  <c r="GA92" i="4"/>
  <c r="GB92" i="4"/>
  <c r="GC92" i="4"/>
  <c r="GD92" i="4"/>
  <c r="GE92" i="4"/>
  <c r="GF92" i="4"/>
  <c r="GG92" i="4"/>
  <c r="GH92" i="4"/>
  <c r="GI92" i="4"/>
  <c r="GJ92" i="4"/>
  <c r="GK92" i="4"/>
  <c r="GL92" i="4"/>
  <c r="GM92" i="4"/>
  <c r="GN92" i="4"/>
  <c r="GO92" i="4"/>
  <c r="GP92" i="4"/>
  <c r="GQ92" i="4"/>
  <c r="GR92" i="4"/>
  <c r="GS92" i="4"/>
  <c r="GT92" i="4"/>
  <c r="GU92" i="4"/>
  <c r="GV92" i="4"/>
  <c r="GW92" i="4"/>
  <c r="GX92" i="4"/>
  <c r="GY92" i="4"/>
  <c r="GZ92" i="4"/>
  <c r="HA92" i="4"/>
  <c r="HB92" i="4"/>
  <c r="HC92" i="4"/>
  <c r="HD92" i="4"/>
  <c r="HE92" i="4"/>
  <c r="HF92" i="4"/>
  <c r="HG92" i="4"/>
  <c r="HH92" i="4"/>
  <c r="HI92" i="4"/>
  <c r="HJ92" i="4"/>
  <c r="HK92" i="4"/>
  <c r="HL92" i="4"/>
  <c r="HM92" i="4"/>
  <c r="HN92" i="4"/>
  <c r="HO92" i="4"/>
  <c r="HP92" i="4"/>
  <c r="HQ92" i="4"/>
  <c r="HR92" i="4"/>
  <c r="HS92" i="4"/>
  <c r="HT92" i="4"/>
  <c r="HU92" i="4"/>
  <c r="HV92" i="4"/>
  <c r="HW92" i="4"/>
  <c r="HX92" i="4"/>
  <c r="HY92" i="4"/>
  <c r="HZ92" i="4"/>
  <c r="IA92" i="4"/>
  <c r="IB92" i="4"/>
  <c r="IC92" i="4"/>
  <c r="ID92" i="4"/>
  <c r="IE92" i="4"/>
  <c r="IF92" i="4"/>
  <c r="IG92" i="4"/>
  <c r="IH92" i="4"/>
  <c r="II92" i="4"/>
  <c r="IJ92" i="4"/>
  <c r="IK92" i="4"/>
  <c r="IL92" i="4"/>
  <c r="IM92" i="4"/>
  <c r="IN92" i="4"/>
  <c r="IO92" i="4"/>
  <c r="IP92" i="4"/>
  <c r="IQ92" i="4"/>
  <c r="IR92" i="4"/>
  <c r="IS92" i="4"/>
  <c r="IT92" i="4"/>
  <c r="IU92" i="4"/>
  <c r="IV92" i="4"/>
  <c r="A91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IU91" i="4"/>
  <c r="IV91" i="4"/>
  <c r="A90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IU90" i="4"/>
  <c r="IV90" i="4"/>
  <c r="A8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ET89" i="4"/>
  <c r="EU89" i="4"/>
  <c r="EV89" i="4"/>
  <c r="EW89" i="4"/>
  <c r="EX89" i="4"/>
  <c r="EY89" i="4"/>
  <c r="EZ89" i="4"/>
  <c r="FA89" i="4"/>
  <c r="FB89" i="4"/>
  <c r="FC89" i="4"/>
  <c r="FD89" i="4"/>
  <c r="FE89" i="4"/>
  <c r="FF89" i="4"/>
  <c r="FG89" i="4"/>
  <c r="FH89" i="4"/>
  <c r="FI89" i="4"/>
  <c r="FJ89" i="4"/>
  <c r="FK89" i="4"/>
  <c r="FL89" i="4"/>
  <c r="FM89" i="4"/>
  <c r="FN89" i="4"/>
  <c r="FO89" i="4"/>
  <c r="FP89" i="4"/>
  <c r="FQ89" i="4"/>
  <c r="FR89" i="4"/>
  <c r="FS89" i="4"/>
  <c r="FT89" i="4"/>
  <c r="FU89" i="4"/>
  <c r="FV89" i="4"/>
  <c r="FW89" i="4"/>
  <c r="FX89" i="4"/>
  <c r="FY89" i="4"/>
  <c r="FZ89" i="4"/>
  <c r="GA89" i="4"/>
  <c r="GB89" i="4"/>
  <c r="GC89" i="4"/>
  <c r="GD89" i="4"/>
  <c r="GE89" i="4"/>
  <c r="GF89" i="4"/>
  <c r="GG89" i="4"/>
  <c r="GH89" i="4"/>
  <c r="GI89" i="4"/>
  <c r="GJ89" i="4"/>
  <c r="GK89" i="4"/>
  <c r="GL89" i="4"/>
  <c r="GM89" i="4"/>
  <c r="GN89" i="4"/>
  <c r="GO89" i="4"/>
  <c r="GP89" i="4"/>
  <c r="GQ89" i="4"/>
  <c r="GR89" i="4"/>
  <c r="GS89" i="4"/>
  <c r="GT89" i="4"/>
  <c r="GU89" i="4"/>
  <c r="GV89" i="4"/>
  <c r="GW89" i="4"/>
  <c r="GX89" i="4"/>
  <c r="GY89" i="4"/>
  <c r="GZ89" i="4"/>
  <c r="HA89" i="4"/>
  <c r="HB89" i="4"/>
  <c r="HC89" i="4"/>
  <c r="HD89" i="4"/>
  <c r="HE89" i="4"/>
  <c r="HF89" i="4"/>
  <c r="HG89" i="4"/>
  <c r="HH89" i="4"/>
  <c r="HI89" i="4"/>
  <c r="HJ89" i="4"/>
  <c r="HK89" i="4"/>
  <c r="HL89" i="4"/>
  <c r="HM89" i="4"/>
  <c r="HN89" i="4"/>
  <c r="HO89" i="4"/>
  <c r="HP89" i="4"/>
  <c r="HQ89" i="4"/>
  <c r="HR89" i="4"/>
  <c r="HS89" i="4"/>
  <c r="HT89" i="4"/>
  <c r="HU89" i="4"/>
  <c r="HV89" i="4"/>
  <c r="HW89" i="4"/>
  <c r="HX89" i="4"/>
  <c r="HY89" i="4"/>
  <c r="HZ89" i="4"/>
  <c r="IA89" i="4"/>
  <c r="IB89" i="4"/>
  <c r="IC89" i="4"/>
  <c r="ID89" i="4"/>
  <c r="IE89" i="4"/>
  <c r="IF89" i="4"/>
  <c r="IG89" i="4"/>
  <c r="IH89" i="4"/>
  <c r="II89" i="4"/>
  <c r="IJ89" i="4"/>
  <c r="IK89" i="4"/>
  <c r="IL89" i="4"/>
  <c r="IM89" i="4"/>
  <c r="IN89" i="4"/>
  <c r="IO89" i="4"/>
  <c r="IP89" i="4"/>
  <c r="IQ89" i="4"/>
  <c r="IR89" i="4"/>
  <c r="IS89" i="4"/>
  <c r="IT89" i="4"/>
  <c r="IU89" i="4"/>
  <c r="IV89" i="4"/>
  <c r="A88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IU88" i="4"/>
  <c r="IV88" i="4"/>
  <c r="A87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ET87" i="4"/>
  <c r="EU87" i="4"/>
  <c r="EV87" i="4"/>
  <c r="EW87" i="4"/>
  <c r="EX87" i="4"/>
  <c r="EY87" i="4"/>
  <c r="EZ87" i="4"/>
  <c r="FA87" i="4"/>
  <c r="FB87" i="4"/>
  <c r="FC87" i="4"/>
  <c r="FD87" i="4"/>
  <c r="FE87" i="4"/>
  <c r="FF87" i="4"/>
  <c r="FG87" i="4"/>
  <c r="FH87" i="4"/>
  <c r="FI87" i="4"/>
  <c r="FJ87" i="4"/>
  <c r="FK87" i="4"/>
  <c r="FL87" i="4"/>
  <c r="FM87" i="4"/>
  <c r="FN87" i="4"/>
  <c r="FO87" i="4"/>
  <c r="FP87" i="4"/>
  <c r="FQ87" i="4"/>
  <c r="FR87" i="4"/>
  <c r="FS87" i="4"/>
  <c r="FT87" i="4"/>
  <c r="FU87" i="4"/>
  <c r="FV87" i="4"/>
  <c r="FW87" i="4"/>
  <c r="FX87" i="4"/>
  <c r="FY87" i="4"/>
  <c r="FZ87" i="4"/>
  <c r="GA87" i="4"/>
  <c r="GB87" i="4"/>
  <c r="GC87" i="4"/>
  <c r="GD87" i="4"/>
  <c r="GE87" i="4"/>
  <c r="GF87" i="4"/>
  <c r="GG87" i="4"/>
  <c r="GH87" i="4"/>
  <c r="GI87" i="4"/>
  <c r="GJ87" i="4"/>
  <c r="GK87" i="4"/>
  <c r="GL87" i="4"/>
  <c r="GM87" i="4"/>
  <c r="GN87" i="4"/>
  <c r="GO87" i="4"/>
  <c r="GP87" i="4"/>
  <c r="GQ87" i="4"/>
  <c r="GR87" i="4"/>
  <c r="GS87" i="4"/>
  <c r="GT87" i="4"/>
  <c r="GU87" i="4"/>
  <c r="GV87" i="4"/>
  <c r="GW87" i="4"/>
  <c r="GX87" i="4"/>
  <c r="GY87" i="4"/>
  <c r="GZ87" i="4"/>
  <c r="HA87" i="4"/>
  <c r="HB87" i="4"/>
  <c r="HC87" i="4"/>
  <c r="HD87" i="4"/>
  <c r="HE87" i="4"/>
  <c r="HF87" i="4"/>
  <c r="HG87" i="4"/>
  <c r="HH87" i="4"/>
  <c r="HI87" i="4"/>
  <c r="HJ87" i="4"/>
  <c r="HK87" i="4"/>
  <c r="HL87" i="4"/>
  <c r="HM87" i="4"/>
  <c r="HN87" i="4"/>
  <c r="HO87" i="4"/>
  <c r="HP87" i="4"/>
  <c r="HQ87" i="4"/>
  <c r="HR87" i="4"/>
  <c r="HS87" i="4"/>
  <c r="HT87" i="4"/>
  <c r="HU87" i="4"/>
  <c r="HV87" i="4"/>
  <c r="HW87" i="4"/>
  <c r="HX87" i="4"/>
  <c r="HY87" i="4"/>
  <c r="HZ87" i="4"/>
  <c r="IA87" i="4"/>
  <c r="IB87" i="4"/>
  <c r="IC87" i="4"/>
  <c r="ID87" i="4"/>
  <c r="IE87" i="4"/>
  <c r="IF87" i="4"/>
  <c r="IG87" i="4"/>
  <c r="IH87" i="4"/>
  <c r="II87" i="4"/>
  <c r="IJ87" i="4"/>
  <c r="IK87" i="4"/>
  <c r="IL87" i="4"/>
  <c r="IM87" i="4"/>
  <c r="IN87" i="4"/>
  <c r="IO87" i="4"/>
  <c r="IP87" i="4"/>
  <c r="IQ87" i="4"/>
  <c r="IR87" i="4"/>
  <c r="IS87" i="4"/>
  <c r="IT87" i="4"/>
  <c r="IU87" i="4"/>
  <c r="IV87" i="4"/>
  <c r="A86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IU86" i="4"/>
  <c r="IV86" i="4"/>
  <c r="A85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ET85" i="4"/>
  <c r="EU85" i="4"/>
  <c r="EV85" i="4"/>
  <c r="EW85" i="4"/>
  <c r="EX85" i="4"/>
  <c r="EY85" i="4"/>
  <c r="EZ85" i="4"/>
  <c r="FA85" i="4"/>
  <c r="FB85" i="4"/>
  <c r="FC85" i="4"/>
  <c r="FD85" i="4"/>
  <c r="FE85" i="4"/>
  <c r="FF85" i="4"/>
  <c r="FG85" i="4"/>
  <c r="FH85" i="4"/>
  <c r="FI85" i="4"/>
  <c r="FJ85" i="4"/>
  <c r="FK85" i="4"/>
  <c r="FL85" i="4"/>
  <c r="FM85" i="4"/>
  <c r="FN85" i="4"/>
  <c r="FO85" i="4"/>
  <c r="FP85" i="4"/>
  <c r="FQ85" i="4"/>
  <c r="FR85" i="4"/>
  <c r="FS85" i="4"/>
  <c r="FT85" i="4"/>
  <c r="FU85" i="4"/>
  <c r="FV85" i="4"/>
  <c r="FW85" i="4"/>
  <c r="FX85" i="4"/>
  <c r="FY85" i="4"/>
  <c r="FZ85" i="4"/>
  <c r="GA85" i="4"/>
  <c r="GB85" i="4"/>
  <c r="GC85" i="4"/>
  <c r="GD85" i="4"/>
  <c r="GE85" i="4"/>
  <c r="GF85" i="4"/>
  <c r="GG85" i="4"/>
  <c r="GH85" i="4"/>
  <c r="GI85" i="4"/>
  <c r="GJ85" i="4"/>
  <c r="GK85" i="4"/>
  <c r="GL85" i="4"/>
  <c r="GM85" i="4"/>
  <c r="GN85" i="4"/>
  <c r="GO85" i="4"/>
  <c r="GP85" i="4"/>
  <c r="GQ85" i="4"/>
  <c r="GR85" i="4"/>
  <c r="GS85" i="4"/>
  <c r="GT85" i="4"/>
  <c r="GU85" i="4"/>
  <c r="GV85" i="4"/>
  <c r="GW85" i="4"/>
  <c r="GX85" i="4"/>
  <c r="GY85" i="4"/>
  <c r="GZ85" i="4"/>
  <c r="HA85" i="4"/>
  <c r="HB85" i="4"/>
  <c r="HC85" i="4"/>
  <c r="HD85" i="4"/>
  <c r="HE85" i="4"/>
  <c r="HF85" i="4"/>
  <c r="HG85" i="4"/>
  <c r="HH85" i="4"/>
  <c r="HI85" i="4"/>
  <c r="HJ85" i="4"/>
  <c r="HK85" i="4"/>
  <c r="HL85" i="4"/>
  <c r="HM85" i="4"/>
  <c r="HN85" i="4"/>
  <c r="HO85" i="4"/>
  <c r="HP85" i="4"/>
  <c r="HQ85" i="4"/>
  <c r="HR85" i="4"/>
  <c r="HS85" i="4"/>
  <c r="HT85" i="4"/>
  <c r="HU85" i="4"/>
  <c r="HV85" i="4"/>
  <c r="HW85" i="4"/>
  <c r="HX85" i="4"/>
  <c r="HY85" i="4"/>
  <c r="HZ85" i="4"/>
  <c r="IA85" i="4"/>
  <c r="IB85" i="4"/>
  <c r="IC85" i="4"/>
  <c r="ID85" i="4"/>
  <c r="IE85" i="4"/>
  <c r="IF85" i="4"/>
  <c r="IG85" i="4"/>
  <c r="IH85" i="4"/>
  <c r="II85" i="4"/>
  <c r="IJ85" i="4"/>
  <c r="IK85" i="4"/>
  <c r="IL85" i="4"/>
  <c r="IM85" i="4"/>
  <c r="IN85" i="4"/>
  <c r="IO85" i="4"/>
  <c r="IP85" i="4"/>
  <c r="IQ85" i="4"/>
  <c r="IR85" i="4"/>
  <c r="IS85" i="4"/>
  <c r="IT85" i="4"/>
  <c r="IU85" i="4"/>
  <c r="IV85" i="4"/>
  <c r="A84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IU84" i="4"/>
  <c r="IV84" i="4"/>
  <c r="A83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IU83" i="4"/>
  <c r="IV83" i="4"/>
  <c r="A82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IU82" i="4"/>
  <c r="IV82" i="4"/>
  <c r="A81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IU81" i="4"/>
  <c r="IV81" i="4"/>
  <c r="A80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IU80" i="4"/>
  <c r="IV80" i="4"/>
  <c r="A79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IU79" i="4"/>
  <c r="IV79" i="4"/>
  <c r="A78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IU78" i="4"/>
  <c r="IV78" i="4"/>
  <c r="A7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IU77" i="4"/>
  <c r="IV77" i="4"/>
  <c r="A76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ET76" i="4"/>
  <c r="EU76" i="4"/>
  <c r="EV76" i="4"/>
  <c r="EW76" i="4"/>
  <c r="EX76" i="4"/>
  <c r="EY76" i="4"/>
  <c r="EZ76" i="4"/>
  <c r="FA76" i="4"/>
  <c r="FB76" i="4"/>
  <c r="FC76" i="4"/>
  <c r="FD76" i="4"/>
  <c r="FE76" i="4"/>
  <c r="FF76" i="4"/>
  <c r="FG76" i="4"/>
  <c r="FH76" i="4"/>
  <c r="FI76" i="4"/>
  <c r="FJ76" i="4"/>
  <c r="FK76" i="4"/>
  <c r="FL76" i="4"/>
  <c r="FM76" i="4"/>
  <c r="FN76" i="4"/>
  <c r="FO76" i="4"/>
  <c r="FP76" i="4"/>
  <c r="FQ76" i="4"/>
  <c r="FR76" i="4"/>
  <c r="FS76" i="4"/>
  <c r="FT76" i="4"/>
  <c r="FU76" i="4"/>
  <c r="FV76" i="4"/>
  <c r="FW76" i="4"/>
  <c r="FX76" i="4"/>
  <c r="FY76" i="4"/>
  <c r="FZ76" i="4"/>
  <c r="GA76" i="4"/>
  <c r="GB76" i="4"/>
  <c r="GC76" i="4"/>
  <c r="GD76" i="4"/>
  <c r="GE76" i="4"/>
  <c r="GF76" i="4"/>
  <c r="GG76" i="4"/>
  <c r="GH76" i="4"/>
  <c r="GI76" i="4"/>
  <c r="GJ76" i="4"/>
  <c r="GK76" i="4"/>
  <c r="GL76" i="4"/>
  <c r="GM76" i="4"/>
  <c r="GN76" i="4"/>
  <c r="GO76" i="4"/>
  <c r="GP76" i="4"/>
  <c r="GQ76" i="4"/>
  <c r="GR76" i="4"/>
  <c r="GS76" i="4"/>
  <c r="GT76" i="4"/>
  <c r="GU76" i="4"/>
  <c r="GV76" i="4"/>
  <c r="GW76" i="4"/>
  <c r="GX76" i="4"/>
  <c r="GY76" i="4"/>
  <c r="GZ76" i="4"/>
  <c r="HA76" i="4"/>
  <c r="HB76" i="4"/>
  <c r="HC76" i="4"/>
  <c r="HD76" i="4"/>
  <c r="HE76" i="4"/>
  <c r="HF76" i="4"/>
  <c r="HG76" i="4"/>
  <c r="HH76" i="4"/>
  <c r="HI76" i="4"/>
  <c r="HJ76" i="4"/>
  <c r="HK76" i="4"/>
  <c r="HL76" i="4"/>
  <c r="HM76" i="4"/>
  <c r="HN76" i="4"/>
  <c r="HO76" i="4"/>
  <c r="HP76" i="4"/>
  <c r="HQ76" i="4"/>
  <c r="HR76" i="4"/>
  <c r="HS76" i="4"/>
  <c r="HT76" i="4"/>
  <c r="HU76" i="4"/>
  <c r="HV76" i="4"/>
  <c r="HW76" i="4"/>
  <c r="HX76" i="4"/>
  <c r="HY76" i="4"/>
  <c r="HZ76" i="4"/>
  <c r="IA76" i="4"/>
  <c r="IB76" i="4"/>
  <c r="IC76" i="4"/>
  <c r="ID76" i="4"/>
  <c r="IE76" i="4"/>
  <c r="IF76" i="4"/>
  <c r="IG76" i="4"/>
  <c r="IH76" i="4"/>
  <c r="II76" i="4"/>
  <c r="IJ76" i="4"/>
  <c r="IK76" i="4"/>
  <c r="IL76" i="4"/>
  <c r="IM76" i="4"/>
  <c r="IN76" i="4"/>
  <c r="IO76" i="4"/>
  <c r="IP76" i="4"/>
  <c r="IQ76" i="4"/>
  <c r="IR76" i="4"/>
  <c r="IS76" i="4"/>
  <c r="IT76" i="4"/>
  <c r="IU76" i="4"/>
  <c r="IV76" i="4"/>
  <c r="A75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IU75" i="4"/>
  <c r="IV75" i="4"/>
  <c r="A74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ET74" i="4"/>
  <c r="EU74" i="4"/>
  <c r="EV74" i="4"/>
  <c r="EW74" i="4"/>
  <c r="EX74" i="4"/>
  <c r="EY74" i="4"/>
  <c r="EZ74" i="4"/>
  <c r="FA74" i="4"/>
  <c r="FB74" i="4"/>
  <c r="FC74" i="4"/>
  <c r="FD74" i="4"/>
  <c r="FE74" i="4"/>
  <c r="FF74" i="4"/>
  <c r="FG74" i="4"/>
  <c r="FH74" i="4"/>
  <c r="FI74" i="4"/>
  <c r="FJ74" i="4"/>
  <c r="FK74" i="4"/>
  <c r="FL74" i="4"/>
  <c r="FM74" i="4"/>
  <c r="FN74" i="4"/>
  <c r="FO74" i="4"/>
  <c r="FP74" i="4"/>
  <c r="FQ74" i="4"/>
  <c r="FR74" i="4"/>
  <c r="FS74" i="4"/>
  <c r="FT74" i="4"/>
  <c r="FU74" i="4"/>
  <c r="FV74" i="4"/>
  <c r="FW74" i="4"/>
  <c r="FX74" i="4"/>
  <c r="FY74" i="4"/>
  <c r="FZ74" i="4"/>
  <c r="GA74" i="4"/>
  <c r="GB74" i="4"/>
  <c r="GC74" i="4"/>
  <c r="GD74" i="4"/>
  <c r="GE74" i="4"/>
  <c r="GF74" i="4"/>
  <c r="GG74" i="4"/>
  <c r="GH74" i="4"/>
  <c r="GI74" i="4"/>
  <c r="GJ74" i="4"/>
  <c r="GK74" i="4"/>
  <c r="GL74" i="4"/>
  <c r="GM74" i="4"/>
  <c r="GN74" i="4"/>
  <c r="GO74" i="4"/>
  <c r="GP74" i="4"/>
  <c r="GQ74" i="4"/>
  <c r="GR74" i="4"/>
  <c r="GS74" i="4"/>
  <c r="GT74" i="4"/>
  <c r="GU74" i="4"/>
  <c r="GV74" i="4"/>
  <c r="GW74" i="4"/>
  <c r="GX74" i="4"/>
  <c r="GY74" i="4"/>
  <c r="GZ74" i="4"/>
  <c r="HA74" i="4"/>
  <c r="HB74" i="4"/>
  <c r="HC74" i="4"/>
  <c r="HD74" i="4"/>
  <c r="HE74" i="4"/>
  <c r="HF74" i="4"/>
  <c r="HG74" i="4"/>
  <c r="HH74" i="4"/>
  <c r="HI74" i="4"/>
  <c r="HJ74" i="4"/>
  <c r="HK74" i="4"/>
  <c r="HL74" i="4"/>
  <c r="HM74" i="4"/>
  <c r="HN74" i="4"/>
  <c r="HO74" i="4"/>
  <c r="HP74" i="4"/>
  <c r="HQ74" i="4"/>
  <c r="HR74" i="4"/>
  <c r="HS74" i="4"/>
  <c r="HT74" i="4"/>
  <c r="HU74" i="4"/>
  <c r="HV74" i="4"/>
  <c r="HW74" i="4"/>
  <c r="HX74" i="4"/>
  <c r="HY74" i="4"/>
  <c r="HZ74" i="4"/>
  <c r="IA74" i="4"/>
  <c r="IB74" i="4"/>
  <c r="IC74" i="4"/>
  <c r="ID74" i="4"/>
  <c r="IE74" i="4"/>
  <c r="IF74" i="4"/>
  <c r="IG74" i="4"/>
  <c r="IH74" i="4"/>
  <c r="II74" i="4"/>
  <c r="IJ74" i="4"/>
  <c r="IK74" i="4"/>
  <c r="IL74" i="4"/>
  <c r="IM74" i="4"/>
  <c r="IN74" i="4"/>
  <c r="IO74" i="4"/>
  <c r="IP74" i="4"/>
  <c r="IQ74" i="4"/>
  <c r="IR74" i="4"/>
  <c r="IS74" i="4"/>
  <c r="IT74" i="4"/>
  <c r="IU74" i="4"/>
  <c r="IV74" i="4"/>
  <c r="A73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IU73" i="4"/>
  <c r="IV73" i="4"/>
  <c r="A72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ET72" i="4"/>
  <c r="EU72" i="4"/>
  <c r="EV72" i="4"/>
  <c r="EW72" i="4"/>
  <c r="EX72" i="4"/>
  <c r="EY72" i="4"/>
  <c r="EZ72" i="4"/>
  <c r="FA72" i="4"/>
  <c r="FB72" i="4"/>
  <c r="FC72" i="4"/>
  <c r="FD72" i="4"/>
  <c r="FE72" i="4"/>
  <c r="FF72" i="4"/>
  <c r="FG72" i="4"/>
  <c r="FH72" i="4"/>
  <c r="FI72" i="4"/>
  <c r="FJ72" i="4"/>
  <c r="FK72" i="4"/>
  <c r="FL72" i="4"/>
  <c r="FM72" i="4"/>
  <c r="FN72" i="4"/>
  <c r="FO72" i="4"/>
  <c r="FP72" i="4"/>
  <c r="FQ72" i="4"/>
  <c r="FR72" i="4"/>
  <c r="FS72" i="4"/>
  <c r="FT72" i="4"/>
  <c r="FU72" i="4"/>
  <c r="FV72" i="4"/>
  <c r="FW72" i="4"/>
  <c r="FX72" i="4"/>
  <c r="FY72" i="4"/>
  <c r="FZ72" i="4"/>
  <c r="GA72" i="4"/>
  <c r="GB72" i="4"/>
  <c r="GC72" i="4"/>
  <c r="GD72" i="4"/>
  <c r="GE72" i="4"/>
  <c r="GF72" i="4"/>
  <c r="GG72" i="4"/>
  <c r="GH72" i="4"/>
  <c r="GI72" i="4"/>
  <c r="GJ72" i="4"/>
  <c r="GK72" i="4"/>
  <c r="GL72" i="4"/>
  <c r="GM72" i="4"/>
  <c r="GN72" i="4"/>
  <c r="GO72" i="4"/>
  <c r="GP72" i="4"/>
  <c r="GQ72" i="4"/>
  <c r="GR72" i="4"/>
  <c r="GS72" i="4"/>
  <c r="GT72" i="4"/>
  <c r="GU72" i="4"/>
  <c r="GV72" i="4"/>
  <c r="GW72" i="4"/>
  <c r="GX72" i="4"/>
  <c r="GY72" i="4"/>
  <c r="GZ72" i="4"/>
  <c r="HA72" i="4"/>
  <c r="HB72" i="4"/>
  <c r="HC72" i="4"/>
  <c r="HD72" i="4"/>
  <c r="HE72" i="4"/>
  <c r="HF72" i="4"/>
  <c r="HG72" i="4"/>
  <c r="HH72" i="4"/>
  <c r="HI72" i="4"/>
  <c r="HJ72" i="4"/>
  <c r="HK72" i="4"/>
  <c r="HL72" i="4"/>
  <c r="HM72" i="4"/>
  <c r="HN72" i="4"/>
  <c r="HO72" i="4"/>
  <c r="HP72" i="4"/>
  <c r="HQ72" i="4"/>
  <c r="HR72" i="4"/>
  <c r="HS72" i="4"/>
  <c r="HT72" i="4"/>
  <c r="HU72" i="4"/>
  <c r="HV72" i="4"/>
  <c r="HW72" i="4"/>
  <c r="HX72" i="4"/>
  <c r="HY72" i="4"/>
  <c r="HZ72" i="4"/>
  <c r="IA72" i="4"/>
  <c r="IB72" i="4"/>
  <c r="IC72" i="4"/>
  <c r="ID72" i="4"/>
  <c r="IE72" i="4"/>
  <c r="IF72" i="4"/>
  <c r="IG72" i="4"/>
  <c r="IH72" i="4"/>
  <c r="II72" i="4"/>
  <c r="IJ72" i="4"/>
  <c r="IK72" i="4"/>
  <c r="IL72" i="4"/>
  <c r="IM72" i="4"/>
  <c r="IN72" i="4"/>
  <c r="IO72" i="4"/>
  <c r="IP72" i="4"/>
  <c r="IQ72" i="4"/>
  <c r="IR72" i="4"/>
  <c r="IS72" i="4"/>
  <c r="IT72" i="4"/>
  <c r="IU72" i="4"/>
  <c r="IV72" i="4"/>
  <c r="A71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IU71" i="4"/>
  <c r="IV71" i="4"/>
  <c r="A70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IU70" i="4"/>
  <c r="IV70" i="4"/>
  <c r="A69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FE69" i="4"/>
  <c r="FF69" i="4"/>
  <c r="FG69" i="4"/>
  <c r="FH69" i="4"/>
  <c r="FI69" i="4"/>
  <c r="FJ69" i="4"/>
  <c r="FK69" i="4"/>
  <c r="FL69" i="4"/>
  <c r="FM69" i="4"/>
  <c r="FN69" i="4"/>
  <c r="FO69" i="4"/>
  <c r="FP69" i="4"/>
  <c r="FQ69" i="4"/>
  <c r="FR69" i="4"/>
  <c r="FS69" i="4"/>
  <c r="FT69" i="4"/>
  <c r="FU69" i="4"/>
  <c r="FV69" i="4"/>
  <c r="FW69" i="4"/>
  <c r="FX69" i="4"/>
  <c r="FY69" i="4"/>
  <c r="FZ69" i="4"/>
  <c r="GA69" i="4"/>
  <c r="GB69" i="4"/>
  <c r="GC69" i="4"/>
  <c r="GD69" i="4"/>
  <c r="GE69" i="4"/>
  <c r="GF69" i="4"/>
  <c r="GG69" i="4"/>
  <c r="GH69" i="4"/>
  <c r="GI69" i="4"/>
  <c r="GJ69" i="4"/>
  <c r="GK69" i="4"/>
  <c r="GL69" i="4"/>
  <c r="GM69" i="4"/>
  <c r="GN69" i="4"/>
  <c r="GO69" i="4"/>
  <c r="GP69" i="4"/>
  <c r="GQ69" i="4"/>
  <c r="GR69" i="4"/>
  <c r="GS69" i="4"/>
  <c r="GT69" i="4"/>
  <c r="GU69" i="4"/>
  <c r="GV69" i="4"/>
  <c r="GW69" i="4"/>
  <c r="GX69" i="4"/>
  <c r="GY69" i="4"/>
  <c r="GZ69" i="4"/>
  <c r="HA69" i="4"/>
  <c r="HB69" i="4"/>
  <c r="HC69" i="4"/>
  <c r="HD69" i="4"/>
  <c r="HE69" i="4"/>
  <c r="HF69" i="4"/>
  <c r="HG69" i="4"/>
  <c r="HH69" i="4"/>
  <c r="HI69" i="4"/>
  <c r="HJ69" i="4"/>
  <c r="HK69" i="4"/>
  <c r="HL69" i="4"/>
  <c r="HM69" i="4"/>
  <c r="HN69" i="4"/>
  <c r="HO69" i="4"/>
  <c r="HP69" i="4"/>
  <c r="HQ69" i="4"/>
  <c r="HR69" i="4"/>
  <c r="HS69" i="4"/>
  <c r="HT69" i="4"/>
  <c r="HU69" i="4"/>
  <c r="HV69" i="4"/>
  <c r="HW69" i="4"/>
  <c r="HX69" i="4"/>
  <c r="HY69" i="4"/>
  <c r="HZ69" i="4"/>
  <c r="IA69" i="4"/>
  <c r="IB69" i="4"/>
  <c r="IC69" i="4"/>
  <c r="ID69" i="4"/>
  <c r="IE69" i="4"/>
  <c r="IF69" i="4"/>
  <c r="IG69" i="4"/>
  <c r="IH69" i="4"/>
  <c r="II69" i="4"/>
  <c r="IJ69" i="4"/>
  <c r="IK69" i="4"/>
  <c r="IL69" i="4"/>
  <c r="IM69" i="4"/>
  <c r="IN69" i="4"/>
  <c r="IO69" i="4"/>
  <c r="IP69" i="4"/>
  <c r="IQ69" i="4"/>
  <c r="IR69" i="4"/>
  <c r="IS69" i="4"/>
  <c r="IT69" i="4"/>
  <c r="IU69" i="4"/>
  <c r="IV69" i="4"/>
  <c r="A68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IU68" i="4"/>
  <c r="IV68" i="4"/>
  <c r="A67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IU67" i="4"/>
  <c r="IV67" i="4"/>
  <c r="A66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IU66" i="4"/>
  <c r="IV66" i="4"/>
  <c r="A65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IU65" i="4"/>
  <c r="IV65" i="4"/>
  <c r="A64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IU64" i="4"/>
  <c r="IV64" i="4"/>
  <c r="A63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IU63" i="4"/>
  <c r="IV63" i="4"/>
  <c r="A62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FE62" i="4"/>
  <c r="FF62" i="4"/>
  <c r="FG62" i="4"/>
  <c r="FH62" i="4"/>
  <c r="FI62" i="4"/>
  <c r="FJ62" i="4"/>
  <c r="FK62" i="4"/>
  <c r="FL62" i="4"/>
  <c r="FM62" i="4"/>
  <c r="FN62" i="4"/>
  <c r="FO62" i="4"/>
  <c r="FP62" i="4"/>
  <c r="FQ62" i="4"/>
  <c r="FR62" i="4"/>
  <c r="FS62" i="4"/>
  <c r="FT62" i="4"/>
  <c r="FU62" i="4"/>
  <c r="FV62" i="4"/>
  <c r="FW62" i="4"/>
  <c r="FX62" i="4"/>
  <c r="FY62" i="4"/>
  <c r="FZ62" i="4"/>
  <c r="GA62" i="4"/>
  <c r="GB62" i="4"/>
  <c r="GC62" i="4"/>
  <c r="GD62" i="4"/>
  <c r="GE62" i="4"/>
  <c r="GF62" i="4"/>
  <c r="GG62" i="4"/>
  <c r="GH62" i="4"/>
  <c r="GI62" i="4"/>
  <c r="GJ62" i="4"/>
  <c r="GK62" i="4"/>
  <c r="GL62" i="4"/>
  <c r="GM62" i="4"/>
  <c r="GN62" i="4"/>
  <c r="GO62" i="4"/>
  <c r="GP62" i="4"/>
  <c r="GQ62" i="4"/>
  <c r="GR62" i="4"/>
  <c r="GS62" i="4"/>
  <c r="GT62" i="4"/>
  <c r="GU62" i="4"/>
  <c r="GV62" i="4"/>
  <c r="GW62" i="4"/>
  <c r="GX62" i="4"/>
  <c r="GY62" i="4"/>
  <c r="GZ62" i="4"/>
  <c r="HA62" i="4"/>
  <c r="HB62" i="4"/>
  <c r="HC62" i="4"/>
  <c r="HD62" i="4"/>
  <c r="HE62" i="4"/>
  <c r="HF62" i="4"/>
  <c r="HG62" i="4"/>
  <c r="HH62" i="4"/>
  <c r="HI62" i="4"/>
  <c r="HJ62" i="4"/>
  <c r="HK62" i="4"/>
  <c r="HL62" i="4"/>
  <c r="HM62" i="4"/>
  <c r="HN62" i="4"/>
  <c r="HO62" i="4"/>
  <c r="HP62" i="4"/>
  <c r="HQ62" i="4"/>
  <c r="HR62" i="4"/>
  <c r="HS62" i="4"/>
  <c r="HT62" i="4"/>
  <c r="HU62" i="4"/>
  <c r="HV62" i="4"/>
  <c r="HW62" i="4"/>
  <c r="HX62" i="4"/>
  <c r="HY62" i="4"/>
  <c r="HZ62" i="4"/>
  <c r="IA62" i="4"/>
  <c r="IB62" i="4"/>
  <c r="IC62" i="4"/>
  <c r="ID62" i="4"/>
  <c r="IE62" i="4"/>
  <c r="IF62" i="4"/>
  <c r="IG62" i="4"/>
  <c r="IH62" i="4"/>
  <c r="II62" i="4"/>
  <c r="IJ62" i="4"/>
  <c r="IK62" i="4"/>
  <c r="IL62" i="4"/>
  <c r="IM62" i="4"/>
  <c r="IN62" i="4"/>
  <c r="IO62" i="4"/>
  <c r="IP62" i="4"/>
  <c r="IQ62" i="4"/>
  <c r="IR62" i="4"/>
  <c r="IS62" i="4"/>
  <c r="IT62" i="4"/>
  <c r="IU62" i="4"/>
  <c r="IV62" i="4"/>
  <c r="A61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IU61" i="4"/>
  <c r="IV61" i="4"/>
  <c r="A60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FE60" i="4"/>
  <c r="FF60" i="4"/>
  <c r="FG60" i="4"/>
  <c r="FH60" i="4"/>
  <c r="FI60" i="4"/>
  <c r="FJ60" i="4"/>
  <c r="FK60" i="4"/>
  <c r="FL60" i="4"/>
  <c r="FM60" i="4"/>
  <c r="FN60" i="4"/>
  <c r="FO60" i="4"/>
  <c r="FP60" i="4"/>
  <c r="FQ60" i="4"/>
  <c r="FR60" i="4"/>
  <c r="FS60" i="4"/>
  <c r="FT60" i="4"/>
  <c r="FU60" i="4"/>
  <c r="FV60" i="4"/>
  <c r="FW60" i="4"/>
  <c r="FX60" i="4"/>
  <c r="FY60" i="4"/>
  <c r="FZ60" i="4"/>
  <c r="GA60" i="4"/>
  <c r="GB60" i="4"/>
  <c r="GC60" i="4"/>
  <c r="GD60" i="4"/>
  <c r="GE60" i="4"/>
  <c r="GF60" i="4"/>
  <c r="GG60" i="4"/>
  <c r="GH60" i="4"/>
  <c r="GI60" i="4"/>
  <c r="GJ60" i="4"/>
  <c r="GK60" i="4"/>
  <c r="GL60" i="4"/>
  <c r="GM60" i="4"/>
  <c r="GN60" i="4"/>
  <c r="GO60" i="4"/>
  <c r="GP60" i="4"/>
  <c r="GQ60" i="4"/>
  <c r="GR60" i="4"/>
  <c r="GS60" i="4"/>
  <c r="GT60" i="4"/>
  <c r="GU60" i="4"/>
  <c r="GV60" i="4"/>
  <c r="GW60" i="4"/>
  <c r="GX60" i="4"/>
  <c r="GY60" i="4"/>
  <c r="GZ60" i="4"/>
  <c r="HA60" i="4"/>
  <c r="HB60" i="4"/>
  <c r="HC60" i="4"/>
  <c r="HD60" i="4"/>
  <c r="HE60" i="4"/>
  <c r="HF60" i="4"/>
  <c r="HG60" i="4"/>
  <c r="HH60" i="4"/>
  <c r="HI60" i="4"/>
  <c r="HJ60" i="4"/>
  <c r="HK60" i="4"/>
  <c r="HL60" i="4"/>
  <c r="HM60" i="4"/>
  <c r="HN60" i="4"/>
  <c r="HO60" i="4"/>
  <c r="HP60" i="4"/>
  <c r="HQ60" i="4"/>
  <c r="HR60" i="4"/>
  <c r="HS60" i="4"/>
  <c r="HT60" i="4"/>
  <c r="HU60" i="4"/>
  <c r="HV60" i="4"/>
  <c r="HW60" i="4"/>
  <c r="HX60" i="4"/>
  <c r="HY60" i="4"/>
  <c r="HZ60" i="4"/>
  <c r="IA60" i="4"/>
  <c r="IB60" i="4"/>
  <c r="IC60" i="4"/>
  <c r="ID60" i="4"/>
  <c r="IE60" i="4"/>
  <c r="IF60" i="4"/>
  <c r="IG60" i="4"/>
  <c r="IH60" i="4"/>
  <c r="II60" i="4"/>
  <c r="IJ60" i="4"/>
  <c r="IK60" i="4"/>
  <c r="IL60" i="4"/>
  <c r="IM60" i="4"/>
  <c r="IN60" i="4"/>
  <c r="IO60" i="4"/>
  <c r="IP60" i="4"/>
  <c r="IQ60" i="4"/>
  <c r="IR60" i="4"/>
  <c r="IS60" i="4"/>
  <c r="IT60" i="4"/>
  <c r="IU60" i="4"/>
  <c r="IV60" i="4"/>
  <c r="A59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IU59" i="4"/>
  <c r="IV59" i="4"/>
  <c r="A58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IU58" i="4"/>
  <c r="IV58" i="4"/>
  <c r="A57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IU57" i="4"/>
  <c r="IV57" i="4"/>
  <c r="A56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IU56" i="4"/>
  <c r="IV56" i="4"/>
  <c r="A55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IU55" i="4"/>
  <c r="IV55" i="4"/>
  <c r="A54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IU54" i="4"/>
  <c r="IV54" i="4"/>
  <c r="A53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IU53" i="4"/>
  <c r="IV53" i="4"/>
  <c r="A52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IU52" i="4"/>
  <c r="IV52" i="4"/>
  <c r="A51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IU51" i="4"/>
  <c r="IV51" i="4"/>
  <c r="A50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FJ50" i="4"/>
  <c r="FK50" i="4"/>
  <c r="FL50" i="4"/>
  <c r="FM50" i="4"/>
  <c r="FN50" i="4"/>
  <c r="FO50" i="4"/>
  <c r="FP50" i="4"/>
  <c r="FQ50" i="4"/>
  <c r="FR50" i="4"/>
  <c r="FS50" i="4"/>
  <c r="FT50" i="4"/>
  <c r="FU50" i="4"/>
  <c r="FV50" i="4"/>
  <c r="FW50" i="4"/>
  <c r="FX50" i="4"/>
  <c r="FY50" i="4"/>
  <c r="FZ50" i="4"/>
  <c r="GA50" i="4"/>
  <c r="GB50" i="4"/>
  <c r="GC50" i="4"/>
  <c r="GD50" i="4"/>
  <c r="GE50" i="4"/>
  <c r="GF50" i="4"/>
  <c r="GG50" i="4"/>
  <c r="GH50" i="4"/>
  <c r="GI50" i="4"/>
  <c r="GJ50" i="4"/>
  <c r="GK50" i="4"/>
  <c r="GL50" i="4"/>
  <c r="GM50" i="4"/>
  <c r="GN50" i="4"/>
  <c r="GO50" i="4"/>
  <c r="GP50" i="4"/>
  <c r="GQ50" i="4"/>
  <c r="GR50" i="4"/>
  <c r="GS50" i="4"/>
  <c r="GT50" i="4"/>
  <c r="GU50" i="4"/>
  <c r="GV50" i="4"/>
  <c r="GW50" i="4"/>
  <c r="GX50" i="4"/>
  <c r="GY50" i="4"/>
  <c r="GZ50" i="4"/>
  <c r="HA50" i="4"/>
  <c r="HB50" i="4"/>
  <c r="HC50" i="4"/>
  <c r="HD50" i="4"/>
  <c r="HE50" i="4"/>
  <c r="HF50" i="4"/>
  <c r="HG50" i="4"/>
  <c r="HH50" i="4"/>
  <c r="HI50" i="4"/>
  <c r="HJ50" i="4"/>
  <c r="HK50" i="4"/>
  <c r="HL50" i="4"/>
  <c r="HM50" i="4"/>
  <c r="HN50" i="4"/>
  <c r="HO50" i="4"/>
  <c r="HP50" i="4"/>
  <c r="HQ50" i="4"/>
  <c r="HR50" i="4"/>
  <c r="HS50" i="4"/>
  <c r="HT50" i="4"/>
  <c r="HU50" i="4"/>
  <c r="HV50" i="4"/>
  <c r="HW50" i="4"/>
  <c r="HX50" i="4"/>
  <c r="HY50" i="4"/>
  <c r="HZ50" i="4"/>
  <c r="IA50" i="4"/>
  <c r="IB50" i="4"/>
  <c r="IC50" i="4"/>
  <c r="ID50" i="4"/>
  <c r="IE50" i="4"/>
  <c r="IF50" i="4"/>
  <c r="IG50" i="4"/>
  <c r="IH50" i="4"/>
  <c r="II50" i="4"/>
  <c r="IJ50" i="4"/>
  <c r="IK50" i="4"/>
  <c r="IL50" i="4"/>
  <c r="IM50" i="4"/>
  <c r="IN50" i="4"/>
  <c r="IO50" i="4"/>
  <c r="IP50" i="4"/>
  <c r="IQ50" i="4"/>
  <c r="IR50" i="4"/>
  <c r="IS50" i="4"/>
  <c r="IT50" i="4"/>
  <c r="IU50" i="4"/>
  <c r="IV50" i="4"/>
  <c r="A49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IU49" i="4"/>
  <c r="IV49" i="4"/>
  <c r="A48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IU48" i="4"/>
  <c r="IV48" i="4"/>
  <c r="A47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FJ47" i="4"/>
  <c r="FK47" i="4"/>
  <c r="FL47" i="4"/>
  <c r="FM47" i="4"/>
  <c r="FN47" i="4"/>
  <c r="FO47" i="4"/>
  <c r="FP47" i="4"/>
  <c r="FQ47" i="4"/>
  <c r="FR47" i="4"/>
  <c r="FS47" i="4"/>
  <c r="FT47" i="4"/>
  <c r="FU47" i="4"/>
  <c r="FV47" i="4"/>
  <c r="FW47" i="4"/>
  <c r="FX47" i="4"/>
  <c r="FY47" i="4"/>
  <c r="FZ47" i="4"/>
  <c r="GA47" i="4"/>
  <c r="GB47" i="4"/>
  <c r="GC47" i="4"/>
  <c r="GD47" i="4"/>
  <c r="GE47" i="4"/>
  <c r="GF47" i="4"/>
  <c r="GG47" i="4"/>
  <c r="GH47" i="4"/>
  <c r="GI47" i="4"/>
  <c r="GJ47" i="4"/>
  <c r="GK47" i="4"/>
  <c r="GL47" i="4"/>
  <c r="GM47" i="4"/>
  <c r="GN47" i="4"/>
  <c r="GO47" i="4"/>
  <c r="GP47" i="4"/>
  <c r="GQ47" i="4"/>
  <c r="GR47" i="4"/>
  <c r="GS47" i="4"/>
  <c r="GT47" i="4"/>
  <c r="GU47" i="4"/>
  <c r="GV47" i="4"/>
  <c r="GW47" i="4"/>
  <c r="GX47" i="4"/>
  <c r="GY47" i="4"/>
  <c r="GZ47" i="4"/>
  <c r="HA47" i="4"/>
  <c r="HB47" i="4"/>
  <c r="HC47" i="4"/>
  <c r="HD47" i="4"/>
  <c r="HE47" i="4"/>
  <c r="HF47" i="4"/>
  <c r="HG47" i="4"/>
  <c r="HH47" i="4"/>
  <c r="HI47" i="4"/>
  <c r="HJ47" i="4"/>
  <c r="HK47" i="4"/>
  <c r="HL47" i="4"/>
  <c r="HM47" i="4"/>
  <c r="HN47" i="4"/>
  <c r="HO47" i="4"/>
  <c r="HP47" i="4"/>
  <c r="HQ47" i="4"/>
  <c r="HR47" i="4"/>
  <c r="HS47" i="4"/>
  <c r="HT47" i="4"/>
  <c r="HU47" i="4"/>
  <c r="HV47" i="4"/>
  <c r="HW47" i="4"/>
  <c r="HX47" i="4"/>
  <c r="HY47" i="4"/>
  <c r="HZ47" i="4"/>
  <c r="IA47" i="4"/>
  <c r="IB47" i="4"/>
  <c r="IC47" i="4"/>
  <c r="ID47" i="4"/>
  <c r="IE47" i="4"/>
  <c r="IF47" i="4"/>
  <c r="IG47" i="4"/>
  <c r="IH47" i="4"/>
  <c r="II47" i="4"/>
  <c r="IJ47" i="4"/>
  <c r="IK47" i="4"/>
  <c r="IL47" i="4"/>
  <c r="IM47" i="4"/>
  <c r="IN47" i="4"/>
  <c r="IO47" i="4"/>
  <c r="IP47" i="4"/>
  <c r="IQ47" i="4"/>
  <c r="IR47" i="4"/>
  <c r="IS47" i="4"/>
  <c r="IT47" i="4"/>
  <c r="IU47" i="4"/>
  <c r="IV47" i="4"/>
  <c r="A46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IU46" i="4"/>
  <c r="IV46" i="4"/>
  <c r="A45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IU45" i="4"/>
  <c r="IV45" i="4"/>
  <c r="A44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IU44" i="4"/>
  <c r="IV44" i="4"/>
  <c r="A43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IU43" i="4"/>
  <c r="IV43" i="4"/>
  <c r="A42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FC42" i="4"/>
  <c r="FD42" i="4"/>
  <c r="FE42" i="4"/>
  <c r="FF42" i="4"/>
  <c r="FG42" i="4"/>
  <c r="FH42" i="4"/>
  <c r="FI42" i="4"/>
  <c r="FJ42" i="4"/>
  <c r="FK42" i="4"/>
  <c r="FL42" i="4"/>
  <c r="FM42" i="4"/>
  <c r="FN42" i="4"/>
  <c r="FO42" i="4"/>
  <c r="FP42" i="4"/>
  <c r="FQ42" i="4"/>
  <c r="FR42" i="4"/>
  <c r="FS42" i="4"/>
  <c r="FT42" i="4"/>
  <c r="FU42" i="4"/>
  <c r="FV42" i="4"/>
  <c r="FW42" i="4"/>
  <c r="FX42" i="4"/>
  <c r="FY42" i="4"/>
  <c r="FZ42" i="4"/>
  <c r="GA42" i="4"/>
  <c r="GB42" i="4"/>
  <c r="GC42" i="4"/>
  <c r="GD42" i="4"/>
  <c r="GE42" i="4"/>
  <c r="GF42" i="4"/>
  <c r="GG42" i="4"/>
  <c r="GH42" i="4"/>
  <c r="GI42" i="4"/>
  <c r="GJ42" i="4"/>
  <c r="GK42" i="4"/>
  <c r="GL42" i="4"/>
  <c r="GM42" i="4"/>
  <c r="GN42" i="4"/>
  <c r="GO42" i="4"/>
  <c r="GP42" i="4"/>
  <c r="GQ42" i="4"/>
  <c r="GR42" i="4"/>
  <c r="GS42" i="4"/>
  <c r="GT42" i="4"/>
  <c r="GU42" i="4"/>
  <c r="GV42" i="4"/>
  <c r="GW42" i="4"/>
  <c r="GX42" i="4"/>
  <c r="GY42" i="4"/>
  <c r="GZ42" i="4"/>
  <c r="HA42" i="4"/>
  <c r="HB42" i="4"/>
  <c r="HC42" i="4"/>
  <c r="HD42" i="4"/>
  <c r="HE42" i="4"/>
  <c r="HF42" i="4"/>
  <c r="HG42" i="4"/>
  <c r="HH42" i="4"/>
  <c r="HI42" i="4"/>
  <c r="HJ42" i="4"/>
  <c r="HK42" i="4"/>
  <c r="HL42" i="4"/>
  <c r="HM42" i="4"/>
  <c r="HN42" i="4"/>
  <c r="HO42" i="4"/>
  <c r="HP42" i="4"/>
  <c r="HQ42" i="4"/>
  <c r="HR42" i="4"/>
  <c r="HS42" i="4"/>
  <c r="HT42" i="4"/>
  <c r="HU42" i="4"/>
  <c r="HV42" i="4"/>
  <c r="HW42" i="4"/>
  <c r="HX42" i="4"/>
  <c r="HY42" i="4"/>
  <c r="HZ42" i="4"/>
  <c r="IA42" i="4"/>
  <c r="IB42" i="4"/>
  <c r="IC42" i="4"/>
  <c r="ID42" i="4"/>
  <c r="IE42" i="4"/>
  <c r="IF42" i="4"/>
  <c r="IG42" i="4"/>
  <c r="IH42" i="4"/>
  <c r="II42" i="4"/>
  <c r="IJ42" i="4"/>
  <c r="IK42" i="4"/>
  <c r="IL42" i="4"/>
  <c r="IM42" i="4"/>
  <c r="IN42" i="4"/>
  <c r="IO42" i="4"/>
  <c r="IP42" i="4"/>
  <c r="IQ42" i="4"/>
  <c r="IR42" i="4"/>
  <c r="IS42" i="4"/>
  <c r="IT42" i="4"/>
  <c r="IU42" i="4"/>
  <c r="IV42" i="4"/>
  <c r="A41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IU41" i="4"/>
  <c r="IV41" i="4"/>
  <c r="A40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FC40" i="4"/>
  <c r="FD40" i="4"/>
  <c r="FE40" i="4"/>
  <c r="FF40" i="4"/>
  <c r="FG40" i="4"/>
  <c r="FH40" i="4"/>
  <c r="FI40" i="4"/>
  <c r="FJ40" i="4"/>
  <c r="FK40" i="4"/>
  <c r="FL40" i="4"/>
  <c r="FM40" i="4"/>
  <c r="FN40" i="4"/>
  <c r="FO40" i="4"/>
  <c r="FP40" i="4"/>
  <c r="FQ40" i="4"/>
  <c r="FR40" i="4"/>
  <c r="FS40" i="4"/>
  <c r="FT40" i="4"/>
  <c r="FU40" i="4"/>
  <c r="FV40" i="4"/>
  <c r="FW40" i="4"/>
  <c r="FX40" i="4"/>
  <c r="FY40" i="4"/>
  <c r="FZ40" i="4"/>
  <c r="GA40" i="4"/>
  <c r="GB40" i="4"/>
  <c r="GC40" i="4"/>
  <c r="GD40" i="4"/>
  <c r="GE40" i="4"/>
  <c r="GF40" i="4"/>
  <c r="GG40" i="4"/>
  <c r="GH40" i="4"/>
  <c r="GI40" i="4"/>
  <c r="GJ40" i="4"/>
  <c r="GK40" i="4"/>
  <c r="GL40" i="4"/>
  <c r="GM40" i="4"/>
  <c r="GN40" i="4"/>
  <c r="GO40" i="4"/>
  <c r="GP40" i="4"/>
  <c r="GQ40" i="4"/>
  <c r="GR40" i="4"/>
  <c r="GS40" i="4"/>
  <c r="GT40" i="4"/>
  <c r="GU40" i="4"/>
  <c r="GV40" i="4"/>
  <c r="GW40" i="4"/>
  <c r="GX40" i="4"/>
  <c r="GY40" i="4"/>
  <c r="GZ40" i="4"/>
  <c r="HA40" i="4"/>
  <c r="HB40" i="4"/>
  <c r="HC40" i="4"/>
  <c r="HD40" i="4"/>
  <c r="HE40" i="4"/>
  <c r="HF40" i="4"/>
  <c r="HG40" i="4"/>
  <c r="HH40" i="4"/>
  <c r="HI40" i="4"/>
  <c r="HJ40" i="4"/>
  <c r="HK40" i="4"/>
  <c r="HL40" i="4"/>
  <c r="HM40" i="4"/>
  <c r="HN40" i="4"/>
  <c r="HO40" i="4"/>
  <c r="HP40" i="4"/>
  <c r="HQ40" i="4"/>
  <c r="HR40" i="4"/>
  <c r="HS40" i="4"/>
  <c r="HT40" i="4"/>
  <c r="HU40" i="4"/>
  <c r="HV40" i="4"/>
  <c r="HW40" i="4"/>
  <c r="HX40" i="4"/>
  <c r="HY40" i="4"/>
  <c r="HZ40" i="4"/>
  <c r="IA40" i="4"/>
  <c r="IB40" i="4"/>
  <c r="IC40" i="4"/>
  <c r="ID40" i="4"/>
  <c r="IE40" i="4"/>
  <c r="IF40" i="4"/>
  <c r="IG40" i="4"/>
  <c r="IH40" i="4"/>
  <c r="II40" i="4"/>
  <c r="IJ40" i="4"/>
  <c r="IK40" i="4"/>
  <c r="IL40" i="4"/>
  <c r="IM40" i="4"/>
  <c r="IN40" i="4"/>
  <c r="IO40" i="4"/>
  <c r="IP40" i="4"/>
  <c r="IQ40" i="4"/>
  <c r="IR40" i="4"/>
  <c r="IS40" i="4"/>
  <c r="IT40" i="4"/>
  <c r="IU40" i="4"/>
  <c r="IV40" i="4"/>
  <c r="A39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FC39" i="4"/>
  <c r="FD39" i="4"/>
  <c r="FE39" i="4"/>
  <c r="FF39" i="4"/>
  <c r="FG39" i="4"/>
  <c r="FH39" i="4"/>
  <c r="FI39" i="4"/>
  <c r="FJ39" i="4"/>
  <c r="FK39" i="4"/>
  <c r="FL39" i="4"/>
  <c r="FM39" i="4"/>
  <c r="FN39" i="4"/>
  <c r="FO39" i="4"/>
  <c r="FP39" i="4"/>
  <c r="FQ39" i="4"/>
  <c r="FR39" i="4"/>
  <c r="FS39" i="4"/>
  <c r="FT39" i="4"/>
  <c r="FU39" i="4"/>
  <c r="FV39" i="4"/>
  <c r="FW39" i="4"/>
  <c r="FX39" i="4"/>
  <c r="FY39" i="4"/>
  <c r="FZ39" i="4"/>
  <c r="GA39" i="4"/>
  <c r="GB39" i="4"/>
  <c r="GC39" i="4"/>
  <c r="GD39" i="4"/>
  <c r="GE39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R39" i="4"/>
  <c r="GS39" i="4"/>
  <c r="GT39" i="4"/>
  <c r="GU39" i="4"/>
  <c r="GV39" i="4"/>
  <c r="GW39" i="4"/>
  <c r="GX39" i="4"/>
  <c r="GY39" i="4"/>
  <c r="GZ39" i="4"/>
  <c r="HA39" i="4"/>
  <c r="HB39" i="4"/>
  <c r="HC39" i="4"/>
  <c r="HD39" i="4"/>
  <c r="HE39" i="4"/>
  <c r="HF39" i="4"/>
  <c r="HG39" i="4"/>
  <c r="HH39" i="4"/>
  <c r="HI39" i="4"/>
  <c r="HJ39" i="4"/>
  <c r="HK39" i="4"/>
  <c r="HL39" i="4"/>
  <c r="HM39" i="4"/>
  <c r="HN39" i="4"/>
  <c r="HO39" i="4"/>
  <c r="HP39" i="4"/>
  <c r="HQ39" i="4"/>
  <c r="HR39" i="4"/>
  <c r="HS39" i="4"/>
  <c r="HT39" i="4"/>
  <c r="HU39" i="4"/>
  <c r="HV39" i="4"/>
  <c r="HW39" i="4"/>
  <c r="HX39" i="4"/>
  <c r="HY39" i="4"/>
  <c r="HZ39" i="4"/>
  <c r="IA39" i="4"/>
  <c r="IB39" i="4"/>
  <c r="IC39" i="4"/>
  <c r="ID39" i="4"/>
  <c r="IE39" i="4"/>
  <c r="IF39" i="4"/>
  <c r="IG39" i="4"/>
  <c r="IH39" i="4"/>
  <c r="II39" i="4"/>
  <c r="IJ39" i="4"/>
  <c r="IK39" i="4"/>
  <c r="IL39" i="4"/>
  <c r="IM39" i="4"/>
  <c r="IN39" i="4"/>
  <c r="IO39" i="4"/>
  <c r="IP39" i="4"/>
  <c r="IQ39" i="4"/>
  <c r="IR39" i="4"/>
  <c r="IS39" i="4"/>
  <c r="IT39" i="4"/>
  <c r="IU39" i="4"/>
  <c r="IV39" i="4"/>
  <c r="A38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IU38" i="4"/>
  <c r="IV38" i="4"/>
  <c r="A37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FC37" i="4"/>
  <c r="FD37" i="4"/>
  <c r="FE37" i="4"/>
  <c r="FF37" i="4"/>
  <c r="FG37" i="4"/>
  <c r="FH37" i="4"/>
  <c r="FI37" i="4"/>
  <c r="FJ37" i="4"/>
  <c r="FK37" i="4"/>
  <c r="FL37" i="4"/>
  <c r="FM37" i="4"/>
  <c r="FN37" i="4"/>
  <c r="FO37" i="4"/>
  <c r="FP37" i="4"/>
  <c r="FQ37" i="4"/>
  <c r="FR37" i="4"/>
  <c r="FS37" i="4"/>
  <c r="FT37" i="4"/>
  <c r="FU37" i="4"/>
  <c r="FV37" i="4"/>
  <c r="FW37" i="4"/>
  <c r="FX37" i="4"/>
  <c r="FY37" i="4"/>
  <c r="FZ37" i="4"/>
  <c r="GA37" i="4"/>
  <c r="GB37" i="4"/>
  <c r="GC37" i="4"/>
  <c r="GD37" i="4"/>
  <c r="GE37" i="4"/>
  <c r="GF37" i="4"/>
  <c r="GG37" i="4"/>
  <c r="GH37" i="4"/>
  <c r="GI37" i="4"/>
  <c r="GJ37" i="4"/>
  <c r="GK37" i="4"/>
  <c r="GL37" i="4"/>
  <c r="GM37" i="4"/>
  <c r="GN37" i="4"/>
  <c r="GO37" i="4"/>
  <c r="GP37" i="4"/>
  <c r="GQ37" i="4"/>
  <c r="GR37" i="4"/>
  <c r="GS37" i="4"/>
  <c r="GT37" i="4"/>
  <c r="GU37" i="4"/>
  <c r="GV37" i="4"/>
  <c r="GW37" i="4"/>
  <c r="GX37" i="4"/>
  <c r="GY37" i="4"/>
  <c r="GZ37" i="4"/>
  <c r="HA37" i="4"/>
  <c r="HB37" i="4"/>
  <c r="HC37" i="4"/>
  <c r="HD37" i="4"/>
  <c r="HE37" i="4"/>
  <c r="HF37" i="4"/>
  <c r="HG37" i="4"/>
  <c r="HH37" i="4"/>
  <c r="HI37" i="4"/>
  <c r="HJ37" i="4"/>
  <c r="HK37" i="4"/>
  <c r="HL37" i="4"/>
  <c r="HM37" i="4"/>
  <c r="HN37" i="4"/>
  <c r="HO37" i="4"/>
  <c r="HP37" i="4"/>
  <c r="HQ37" i="4"/>
  <c r="HR37" i="4"/>
  <c r="HS37" i="4"/>
  <c r="HT37" i="4"/>
  <c r="HU37" i="4"/>
  <c r="HV37" i="4"/>
  <c r="HW37" i="4"/>
  <c r="HX37" i="4"/>
  <c r="HY37" i="4"/>
  <c r="HZ37" i="4"/>
  <c r="IA37" i="4"/>
  <c r="IB37" i="4"/>
  <c r="IC37" i="4"/>
  <c r="ID37" i="4"/>
  <c r="IE37" i="4"/>
  <c r="IF37" i="4"/>
  <c r="IG37" i="4"/>
  <c r="IH37" i="4"/>
  <c r="II37" i="4"/>
  <c r="IJ37" i="4"/>
  <c r="IK37" i="4"/>
  <c r="IL37" i="4"/>
  <c r="IM37" i="4"/>
  <c r="IN37" i="4"/>
  <c r="IO37" i="4"/>
  <c r="IP37" i="4"/>
  <c r="IQ37" i="4"/>
  <c r="IR37" i="4"/>
  <c r="IS37" i="4"/>
  <c r="IT37" i="4"/>
  <c r="IU37" i="4"/>
  <c r="IV37" i="4"/>
  <c r="A36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IU36" i="4"/>
  <c r="IV36" i="4"/>
  <c r="A35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FC35" i="4"/>
  <c r="FD35" i="4"/>
  <c r="FE35" i="4"/>
  <c r="FF35" i="4"/>
  <c r="FG35" i="4"/>
  <c r="FH35" i="4"/>
  <c r="FI35" i="4"/>
  <c r="FJ35" i="4"/>
  <c r="FK35" i="4"/>
  <c r="FL35" i="4"/>
  <c r="FM35" i="4"/>
  <c r="FN35" i="4"/>
  <c r="FO35" i="4"/>
  <c r="FP35" i="4"/>
  <c r="FQ35" i="4"/>
  <c r="FR35" i="4"/>
  <c r="FS35" i="4"/>
  <c r="FT35" i="4"/>
  <c r="FU35" i="4"/>
  <c r="FV35" i="4"/>
  <c r="FW35" i="4"/>
  <c r="FX35" i="4"/>
  <c r="FY35" i="4"/>
  <c r="FZ35" i="4"/>
  <c r="GA35" i="4"/>
  <c r="GB35" i="4"/>
  <c r="GC35" i="4"/>
  <c r="GD35" i="4"/>
  <c r="GE35" i="4"/>
  <c r="GF35" i="4"/>
  <c r="GG35" i="4"/>
  <c r="GH35" i="4"/>
  <c r="GI35" i="4"/>
  <c r="GJ35" i="4"/>
  <c r="GK35" i="4"/>
  <c r="GL35" i="4"/>
  <c r="GM35" i="4"/>
  <c r="GN35" i="4"/>
  <c r="GO35" i="4"/>
  <c r="GP35" i="4"/>
  <c r="GQ35" i="4"/>
  <c r="GR35" i="4"/>
  <c r="GS35" i="4"/>
  <c r="GT35" i="4"/>
  <c r="GU35" i="4"/>
  <c r="GV35" i="4"/>
  <c r="GW35" i="4"/>
  <c r="GX35" i="4"/>
  <c r="GY35" i="4"/>
  <c r="GZ35" i="4"/>
  <c r="HA35" i="4"/>
  <c r="HB35" i="4"/>
  <c r="HC35" i="4"/>
  <c r="HD35" i="4"/>
  <c r="HE35" i="4"/>
  <c r="HF35" i="4"/>
  <c r="HG35" i="4"/>
  <c r="HH35" i="4"/>
  <c r="HI35" i="4"/>
  <c r="HJ35" i="4"/>
  <c r="HK35" i="4"/>
  <c r="HL35" i="4"/>
  <c r="HM35" i="4"/>
  <c r="HN35" i="4"/>
  <c r="HO35" i="4"/>
  <c r="HP35" i="4"/>
  <c r="HQ35" i="4"/>
  <c r="HR35" i="4"/>
  <c r="HS35" i="4"/>
  <c r="HT35" i="4"/>
  <c r="HU35" i="4"/>
  <c r="HV35" i="4"/>
  <c r="HW35" i="4"/>
  <c r="HX35" i="4"/>
  <c r="HY35" i="4"/>
  <c r="HZ35" i="4"/>
  <c r="IA35" i="4"/>
  <c r="IB35" i="4"/>
  <c r="IC35" i="4"/>
  <c r="ID35" i="4"/>
  <c r="IE35" i="4"/>
  <c r="IF35" i="4"/>
  <c r="IG35" i="4"/>
  <c r="IH35" i="4"/>
  <c r="II35" i="4"/>
  <c r="IJ35" i="4"/>
  <c r="IK35" i="4"/>
  <c r="IL35" i="4"/>
  <c r="IM35" i="4"/>
  <c r="IN35" i="4"/>
  <c r="IO35" i="4"/>
  <c r="IP35" i="4"/>
  <c r="IQ35" i="4"/>
  <c r="IR35" i="4"/>
  <c r="IS35" i="4"/>
  <c r="IT35" i="4"/>
  <c r="IU35" i="4"/>
  <c r="IV35" i="4"/>
  <c r="A34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IU34" i="4"/>
  <c r="IV34" i="4"/>
  <c r="A33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IU33" i="4"/>
  <c r="IV33" i="4"/>
  <c r="A32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IU32" i="4"/>
  <c r="IV32" i="4"/>
  <c r="A31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IU31" i="4"/>
  <c r="IV31" i="4"/>
  <c r="A30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N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GB30" i="4"/>
  <c r="GC30" i="4"/>
  <c r="GD30" i="4"/>
  <c r="GE30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T30" i="4"/>
  <c r="HU30" i="4"/>
  <c r="HV30" i="4"/>
  <c r="HW30" i="4"/>
  <c r="HX30" i="4"/>
  <c r="HY30" i="4"/>
  <c r="HZ30" i="4"/>
  <c r="IA30" i="4"/>
  <c r="IB30" i="4"/>
  <c r="IC30" i="4"/>
  <c r="ID30" i="4"/>
  <c r="IE30" i="4"/>
  <c r="IF30" i="4"/>
  <c r="IG30" i="4"/>
  <c r="IH30" i="4"/>
  <c r="II30" i="4"/>
  <c r="IJ30" i="4"/>
  <c r="IK30" i="4"/>
  <c r="IL30" i="4"/>
  <c r="IM30" i="4"/>
  <c r="IN30" i="4"/>
  <c r="IO30" i="4"/>
  <c r="IP30" i="4"/>
  <c r="IQ30" i="4"/>
  <c r="IR30" i="4"/>
  <c r="IS30" i="4"/>
  <c r="IT30" i="4"/>
  <c r="IU30" i="4"/>
  <c r="IV30" i="4"/>
  <c r="A29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IU29" i="4"/>
  <c r="IV29" i="4"/>
  <c r="A28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FC28" i="4"/>
  <c r="FD28" i="4"/>
  <c r="FE28" i="4"/>
  <c r="FF28" i="4"/>
  <c r="FG28" i="4"/>
  <c r="FH28" i="4"/>
  <c r="FI28" i="4"/>
  <c r="FJ28" i="4"/>
  <c r="FK28" i="4"/>
  <c r="FL28" i="4"/>
  <c r="FM28" i="4"/>
  <c r="FN28" i="4"/>
  <c r="FO28" i="4"/>
  <c r="FP28" i="4"/>
  <c r="FQ28" i="4"/>
  <c r="FR28" i="4"/>
  <c r="FS28" i="4"/>
  <c r="FT28" i="4"/>
  <c r="FU28" i="4"/>
  <c r="FV28" i="4"/>
  <c r="FW28" i="4"/>
  <c r="FX28" i="4"/>
  <c r="FY28" i="4"/>
  <c r="FZ28" i="4"/>
  <c r="GA28" i="4"/>
  <c r="GB28" i="4"/>
  <c r="GC28" i="4"/>
  <c r="GD28" i="4"/>
  <c r="GE28" i="4"/>
  <c r="GF28" i="4"/>
  <c r="GG28" i="4"/>
  <c r="GH28" i="4"/>
  <c r="GI28" i="4"/>
  <c r="GJ28" i="4"/>
  <c r="GK28" i="4"/>
  <c r="GL28" i="4"/>
  <c r="GM28" i="4"/>
  <c r="GN28" i="4"/>
  <c r="GO28" i="4"/>
  <c r="GP28" i="4"/>
  <c r="GQ28" i="4"/>
  <c r="GR28" i="4"/>
  <c r="GS28" i="4"/>
  <c r="GT28" i="4"/>
  <c r="GU28" i="4"/>
  <c r="GV28" i="4"/>
  <c r="GW28" i="4"/>
  <c r="GX28" i="4"/>
  <c r="GY28" i="4"/>
  <c r="GZ28" i="4"/>
  <c r="HA28" i="4"/>
  <c r="HB28" i="4"/>
  <c r="HC28" i="4"/>
  <c r="HD28" i="4"/>
  <c r="HE28" i="4"/>
  <c r="HF28" i="4"/>
  <c r="HG28" i="4"/>
  <c r="HH28" i="4"/>
  <c r="HI28" i="4"/>
  <c r="HJ28" i="4"/>
  <c r="HK28" i="4"/>
  <c r="HL28" i="4"/>
  <c r="HM28" i="4"/>
  <c r="HN28" i="4"/>
  <c r="HO28" i="4"/>
  <c r="HP28" i="4"/>
  <c r="HQ28" i="4"/>
  <c r="HR28" i="4"/>
  <c r="HS28" i="4"/>
  <c r="HT28" i="4"/>
  <c r="HU28" i="4"/>
  <c r="HV28" i="4"/>
  <c r="HW28" i="4"/>
  <c r="HX28" i="4"/>
  <c r="HY28" i="4"/>
  <c r="HZ28" i="4"/>
  <c r="IA28" i="4"/>
  <c r="IB28" i="4"/>
  <c r="IC28" i="4"/>
  <c r="ID28" i="4"/>
  <c r="IE28" i="4"/>
  <c r="IF28" i="4"/>
  <c r="IG28" i="4"/>
  <c r="IH28" i="4"/>
  <c r="II28" i="4"/>
  <c r="IJ28" i="4"/>
  <c r="IK28" i="4"/>
  <c r="IL28" i="4"/>
  <c r="IM28" i="4"/>
  <c r="IN28" i="4"/>
  <c r="IO28" i="4"/>
  <c r="IP28" i="4"/>
  <c r="IQ28" i="4"/>
  <c r="IR28" i="4"/>
  <c r="IS28" i="4"/>
  <c r="IT28" i="4"/>
  <c r="IU28" i="4"/>
  <c r="IV28" i="4"/>
  <c r="A27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IU27" i="4"/>
  <c r="IV27" i="4"/>
  <c r="A26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IU26" i="4"/>
  <c r="IV26" i="4"/>
  <c r="A25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IU25" i="4"/>
  <c r="IV25" i="4"/>
  <c r="A24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IU24" i="4"/>
  <c r="IV24" i="4"/>
  <c r="A23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FC23" i="4"/>
  <c r="FD23" i="4"/>
  <c r="FE23" i="4"/>
  <c r="FF23" i="4"/>
  <c r="FG23" i="4"/>
  <c r="FH23" i="4"/>
  <c r="FI23" i="4"/>
  <c r="FJ23" i="4"/>
  <c r="FK23" i="4"/>
  <c r="FL23" i="4"/>
  <c r="FM23" i="4"/>
  <c r="FN23" i="4"/>
  <c r="FO23" i="4"/>
  <c r="FP23" i="4"/>
  <c r="FQ23" i="4"/>
  <c r="FR23" i="4"/>
  <c r="FS23" i="4"/>
  <c r="FT23" i="4"/>
  <c r="FU23" i="4"/>
  <c r="FV23" i="4"/>
  <c r="FW23" i="4"/>
  <c r="FX23" i="4"/>
  <c r="FY23" i="4"/>
  <c r="FZ23" i="4"/>
  <c r="GA23" i="4"/>
  <c r="GB23" i="4"/>
  <c r="GC23" i="4"/>
  <c r="GD23" i="4"/>
  <c r="GE23" i="4"/>
  <c r="GF23" i="4"/>
  <c r="GG23" i="4"/>
  <c r="GH23" i="4"/>
  <c r="GI23" i="4"/>
  <c r="GJ23" i="4"/>
  <c r="GK23" i="4"/>
  <c r="GL23" i="4"/>
  <c r="GM23" i="4"/>
  <c r="GN23" i="4"/>
  <c r="GO23" i="4"/>
  <c r="GP23" i="4"/>
  <c r="GQ23" i="4"/>
  <c r="GR23" i="4"/>
  <c r="GS23" i="4"/>
  <c r="GT23" i="4"/>
  <c r="GU23" i="4"/>
  <c r="GV23" i="4"/>
  <c r="GW23" i="4"/>
  <c r="GX23" i="4"/>
  <c r="GY23" i="4"/>
  <c r="GZ23" i="4"/>
  <c r="HA23" i="4"/>
  <c r="HB23" i="4"/>
  <c r="HC23" i="4"/>
  <c r="HD23" i="4"/>
  <c r="HE23" i="4"/>
  <c r="HF23" i="4"/>
  <c r="HG23" i="4"/>
  <c r="HH23" i="4"/>
  <c r="HI23" i="4"/>
  <c r="HJ23" i="4"/>
  <c r="HK23" i="4"/>
  <c r="HL23" i="4"/>
  <c r="HM23" i="4"/>
  <c r="HN23" i="4"/>
  <c r="HO23" i="4"/>
  <c r="HP23" i="4"/>
  <c r="HQ23" i="4"/>
  <c r="HR23" i="4"/>
  <c r="HS23" i="4"/>
  <c r="HT23" i="4"/>
  <c r="HU23" i="4"/>
  <c r="HV23" i="4"/>
  <c r="HW23" i="4"/>
  <c r="HX23" i="4"/>
  <c r="HY23" i="4"/>
  <c r="HZ23" i="4"/>
  <c r="IA23" i="4"/>
  <c r="IB23" i="4"/>
  <c r="IC23" i="4"/>
  <c r="ID23" i="4"/>
  <c r="IE23" i="4"/>
  <c r="IF23" i="4"/>
  <c r="IG23" i="4"/>
  <c r="IH23" i="4"/>
  <c r="II23" i="4"/>
  <c r="IJ23" i="4"/>
  <c r="IK23" i="4"/>
  <c r="IL23" i="4"/>
  <c r="IM23" i="4"/>
  <c r="IN23" i="4"/>
  <c r="IO23" i="4"/>
  <c r="IP23" i="4"/>
  <c r="IQ23" i="4"/>
  <c r="IR23" i="4"/>
  <c r="IS23" i="4"/>
  <c r="IT23" i="4"/>
  <c r="IU23" i="4"/>
  <c r="IV23" i="4"/>
  <c r="A22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IU22" i="4"/>
  <c r="IV22" i="4"/>
  <c r="A21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IU21" i="4"/>
  <c r="IV21" i="4"/>
  <c r="A20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FN20" i="4"/>
  <c r="FO20" i="4"/>
  <c r="FP20" i="4"/>
  <c r="FQ20" i="4"/>
  <c r="FR20" i="4"/>
  <c r="FS20" i="4"/>
  <c r="FT20" i="4"/>
  <c r="FU20" i="4"/>
  <c r="FV20" i="4"/>
  <c r="FW20" i="4"/>
  <c r="FX20" i="4"/>
  <c r="FY20" i="4"/>
  <c r="FZ20" i="4"/>
  <c r="GA20" i="4"/>
  <c r="GB20" i="4"/>
  <c r="GC20" i="4"/>
  <c r="GD20" i="4"/>
  <c r="GE20" i="4"/>
  <c r="GF20" i="4"/>
  <c r="GG20" i="4"/>
  <c r="GH20" i="4"/>
  <c r="GI20" i="4"/>
  <c r="GJ20" i="4"/>
  <c r="GK20" i="4"/>
  <c r="GL20" i="4"/>
  <c r="GM20" i="4"/>
  <c r="GN20" i="4"/>
  <c r="GO20" i="4"/>
  <c r="GP20" i="4"/>
  <c r="GQ20" i="4"/>
  <c r="GR20" i="4"/>
  <c r="GS20" i="4"/>
  <c r="GT20" i="4"/>
  <c r="GU20" i="4"/>
  <c r="GV20" i="4"/>
  <c r="GW20" i="4"/>
  <c r="GX20" i="4"/>
  <c r="GY20" i="4"/>
  <c r="GZ20" i="4"/>
  <c r="HA20" i="4"/>
  <c r="HB20" i="4"/>
  <c r="HC20" i="4"/>
  <c r="HD20" i="4"/>
  <c r="HE20" i="4"/>
  <c r="HF20" i="4"/>
  <c r="HG20" i="4"/>
  <c r="HH20" i="4"/>
  <c r="HI20" i="4"/>
  <c r="HJ20" i="4"/>
  <c r="HK20" i="4"/>
  <c r="HL20" i="4"/>
  <c r="HM20" i="4"/>
  <c r="HN20" i="4"/>
  <c r="HO20" i="4"/>
  <c r="HP20" i="4"/>
  <c r="HQ20" i="4"/>
  <c r="HR20" i="4"/>
  <c r="HS20" i="4"/>
  <c r="HT20" i="4"/>
  <c r="HU20" i="4"/>
  <c r="HV20" i="4"/>
  <c r="HW20" i="4"/>
  <c r="HX20" i="4"/>
  <c r="HY20" i="4"/>
  <c r="HZ20" i="4"/>
  <c r="IA20" i="4"/>
  <c r="IB20" i="4"/>
  <c r="IC20" i="4"/>
  <c r="ID20" i="4"/>
  <c r="IE20" i="4"/>
  <c r="IF20" i="4"/>
  <c r="IG20" i="4"/>
  <c r="IH20" i="4"/>
  <c r="II20" i="4"/>
  <c r="IJ20" i="4"/>
  <c r="IK20" i="4"/>
  <c r="IL20" i="4"/>
  <c r="IM20" i="4"/>
  <c r="IN20" i="4"/>
  <c r="IO20" i="4"/>
  <c r="IP20" i="4"/>
  <c r="IQ20" i="4"/>
  <c r="IR20" i="4"/>
  <c r="IS20" i="4"/>
  <c r="IT20" i="4"/>
  <c r="IU20" i="4"/>
  <c r="IV20" i="4"/>
  <c r="A19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IU19" i="4"/>
  <c r="IV19" i="4"/>
  <c r="A18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IU18" i="4"/>
  <c r="IV18" i="4"/>
  <c r="A17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IU17" i="4"/>
  <c r="IV17" i="4"/>
  <c r="A16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IU16" i="4"/>
  <c r="IV16" i="4"/>
  <c r="A15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FY15" i="4"/>
  <c r="FZ15" i="4"/>
  <c r="GA15" i="4"/>
  <c r="GB15" i="4"/>
  <c r="GC15" i="4"/>
  <c r="GD15" i="4"/>
  <c r="GE15" i="4"/>
  <c r="GF15" i="4"/>
  <c r="GG15" i="4"/>
  <c r="GH15" i="4"/>
  <c r="GI15" i="4"/>
  <c r="GJ15" i="4"/>
  <c r="GK15" i="4"/>
  <c r="GL15" i="4"/>
  <c r="GM15" i="4"/>
  <c r="GN15" i="4"/>
  <c r="GO15" i="4"/>
  <c r="GP15" i="4"/>
  <c r="GQ15" i="4"/>
  <c r="GR15" i="4"/>
  <c r="GS15" i="4"/>
  <c r="GT15" i="4"/>
  <c r="GU15" i="4"/>
  <c r="GV15" i="4"/>
  <c r="GW15" i="4"/>
  <c r="GX15" i="4"/>
  <c r="GY15" i="4"/>
  <c r="GZ15" i="4"/>
  <c r="HA15" i="4"/>
  <c r="HB15" i="4"/>
  <c r="HC15" i="4"/>
  <c r="HD15" i="4"/>
  <c r="HE15" i="4"/>
  <c r="HF15" i="4"/>
  <c r="HG15" i="4"/>
  <c r="HH15" i="4"/>
  <c r="HI15" i="4"/>
  <c r="HJ15" i="4"/>
  <c r="HK15" i="4"/>
  <c r="HL15" i="4"/>
  <c r="HM15" i="4"/>
  <c r="HN15" i="4"/>
  <c r="HO15" i="4"/>
  <c r="HP15" i="4"/>
  <c r="HQ15" i="4"/>
  <c r="HR15" i="4"/>
  <c r="HS15" i="4"/>
  <c r="HT15" i="4"/>
  <c r="HU15" i="4"/>
  <c r="HV15" i="4"/>
  <c r="HW15" i="4"/>
  <c r="HX15" i="4"/>
  <c r="HY15" i="4"/>
  <c r="HZ15" i="4"/>
  <c r="IA15" i="4"/>
  <c r="IB15" i="4"/>
  <c r="IC15" i="4"/>
  <c r="ID15" i="4"/>
  <c r="IE15" i="4"/>
  <c r="IF15" i="4"/>
  <c r="IG15" i="4"/>
  <c r="IH15" i="4"/>
  <c r="II15" i="4"/>
  <c r="IJ15" i="4"/>
  <c r="IK15" i="4"/>
  <c r="IL15" i="4"/>
  <c r="IM15" i="4"/>
  <c r="IN15" i="4"/>
  <c r="IO15" i="4"/>
  <c r="IP15" i="4"/>
  <c r="IQ15" i="4"/>
  <c r="IR15" i="4"/>
  <c r="IS15" i="4"/>
  <c r="IT15" i="4"/>
  <c r="IU15" i="4"/>
  <c r="IV15" i="4"/>
  <c r="A14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IU14" i="4"/>
  <c r="IV14" i="4"/>
  <c r="A13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FJ13" i="4"/>
  <c r="FK13" i="4"/>
  <c r="FL13" i="4"/>
  <c r="FM13" i="4"/>
  <c r="FN13" i="4"/>
  <c r="FO13" i="4"/>
  <c r="FP13" i="4"/>
  <c r="FQ13" i="4"/>
  <c r="FR13" i="4"/>
  <c r="FS13" i="4"/>
  <c r="FT13" i="4"/>
  <c r="FU13" i="4"/>
  <c r="FV13" i="4"/>
  <c r="FW13" i="4"/>
  <c r="FX13" i="4"/>
  <c r="FY13" i="4"/>
  <c r="FZ13" i="4"/>
  <c r="GA13" i="4"/>
  <c r="GB13" i="4"/>
  <c r="GC13" i="4"/>
  <c r="GD13" i="4"/>
  <c r="GE13" i="4"/>
  <c r="GF13" i="4"/>
  <c r="GG13" i="4"/>
  <c r="GH13" i="4"/>
  <c r="GI13" i="4"/>
  <c r="GJ13" i="4"/>
  <c r="GK13" i="4"/>
  <c r="GL13" i="4"/>
  <c r="GM13" i="4"/>
  <c r="GN13" i="4"/>
  <c r="GO13" i="4"/>
  <c r="GP13" i="4"/>
  <c r="GQ13" i="4"/>
  <c r="GR13" i="4"/>
  <c r="GS13" i="4"/>
  <c r="GT13" i="4"/>
  <c r="GU13" i="4"/>
  <c r="GV13" i="4"/>
  <c r="GW13" i="4"/>
  <c r="GX13" i="4"/>
  <c r="GY13" i="4"/>
  <c r="GZ13" i="4"/>
  <c r="HA13" i="4"/>
  <c r="HB13" i="4"/>
  <c r="HC13" i="4"/>
  <c r="HD13" i="4"/>
  <c r="HE13" i="4"/>
  <c r="HF13" i="4"/>
  <c r="HG13" i="4"/>
  <c r="HH13" i="4"/>
  <c r="HI13" i="4"/>
  <c r="HJ13" i="4"/>
  <c r="HK13" i="4"/>
  <c r="HL13" i="4"/>
  <c r="HM13" i="4"/>
  <c r="HN13" i="4"/>
  <c r="HO13" i="4"/>
  <c r="HP13" i="4"/>
  <c r="HQ13" i="4"/>
  <c r="HR13" i="4"/>
  <c r="HS13" i="4"/>
  <c r="HT13" i="4"/>
  <c r="HU13" i="4"/>
  <c r="HV13" i="4"/>
  <c r="HW13" i="4"/>
  <c r="HX13" i="4"/>
  <c r="HY13" i="4"/>
  <c r="HZ13" i="4"/>
  <c r="IA13" i="4"/>
  <c r="IB13" i="4"/>
  <c r="IC13" i="4"/>
  <c r="ID13" i="4"/>
  <c r="IE13" i="4"/>
  <c r="IF13" i="4"/>
  <c r="IG13" i="4"/>
  <c r="IH13" i="4"/>
  <c r="II13" i="4"/>
  <c r="IJ13" i="4"/>
  <c r="IK13" i="4"/>
  <c r="IL13" i="4"/>
  <c r="IM13" i="4"/>
  <c r="IN13" i="4"/>
  <c r="IO13" i="4"/>
  <c r="IP13" i="4"/>
  <c r="IQ13" i="4"/>
  <c r="IR13" i="4"/>
  <c r="IS13" i="4"/>
  <c r="IT13" i="4"/>
  <c r="IU13" i="4"/>
  <c r="IV13" i="4"/>
  <c r="A12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IU12" i="4"/>
  <c r="IV12" i="4"/>
  <c r="A11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IU11" i="4"/>
  <c r="IV11" i="4"/>
  <c r="A10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IU10" i="4"/>
  <c r="IV10" i="4"/>
  <c r="A9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IU9" i="4"/>
  <c r="IV9" i="4"/>
  <c r="A8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FJ8" i="4"/>
  <c r="FK8" i="4"/>
  <c r="FL8" i="4"/>
  <c r="FM8" i="4"/>
  <c r="FN8" i="4"/>
  <c r="FO8" i="4"/>
  <c r="FP8" i="4"/>
  <c r="FQ8" i="4"/>
  <c r="FR8" i="4"/>
  <c r="FS8" i="4"/>
  <c r="FT8" i="4"/>
  <c r="FU8" i="4"/>
  <c r="FV8" i="4"/>
  <c r="FW8" i="4"/>
  <c r="FX8" i="4"/>
  <c r="FY8" i="4"/>
  <c r="FZ8" i="4"/>
  <c r="GA8" i="4"/>
  <c r="GB8" i="4"/>
  <c r="GC8" i="4"/>
  <c r="GD8" i="4"/>
  <c r="GE8" i="4"/>
  <c r="GF8" i="4"/>
  <c r="GG8" i="4"/>
  <c r="GH8" i="4"/>
  <c r="GI8" i="4"/>
  <c r="GJ8" i="4"/>
  <c r="GK8" i="4"/>
  <c r="GL8" i="4"/>
  <c r="GM8" i="4"/>
  <c r="GN8" i="4"/>
  <c r="GO8" i="4"/>
  <c r="GP8" i="4"/>
  <c r="GQ8" i="4"/>
  <c r="GR8" i="4"/>
  <c r="GS8" i="4"/>
  <c r="GT8" i="4"/>
  <c r="GU8" i="4"/>
  <c r="GV8" i="4"/>
  <c r="GW8" i="4"/>
  <c r="GX8" i="4"/>
  <c r="GY8" i="4"/>
  <c r="GZ8" i="4"/>
  <c r="HA8" i="4"/>
  <c r="HB8" i="4"/>
  <c r="HC8" i="4"/>
  <c r="HD8" i="4"/>
  <c r="HE8" i="4"/>
  <c r="HF8" i="4"/>
  <c r="HG8" i="4"/>
  <c r="HH8" i="4"/>
  <c r="HI8" i="4"/>
  <c r="HJ8" i="4"/>
  <c r="HK8" i="4"/>
  <c r="HL8" i="4"/>
  <c r="HM8" i="4"/>
  <c r="HN8" i="4"/>
  <c r="HO8" i="4"/>
  <c r="HP8" i="4"/>
  <c r="HQ8" i="4"/>
  <c r="HR8" i="4"/>
  <c r="HS8" i="4"/>
  <c r="HT8" i="4"/>
  <c r="HU8" i="4"/>
  <c r="HV8" i="4"/>
  <c r="HW8" i="4"/>
  <c r="HX8" i="4"/>
  <c r="HY8" i="4"/>
  <c r="HZ8" i="4"/>
  <c r="IA8" i="4"/>
  <c r="IB8" i="4"/>
  <c r="IC8" i="4"/>
  <c r="ID8" i="4"/>
  <c r="IE8" i="4"/>
  <c r="IF8" i="4"/>
  <c r="IG8" i="4"/>
  <c r="IH8" i="4"/>
  <c r="II8" i="4"/>
  <c r="IJ8" i="4"/>
  <c r="IK8" i="4"/>
  <c r="IL8" i="4"/>
  <c r="IM8" i="4"/>
  <c r="IN8" i="4"/>
  <c r="IO8" i="4"/>
  <c r="IP8" i="4"/>
  <c r="IQ8" i="4"/>
  <c r="IR8" i="4"/>
  <c r="IS8" i="4"/>
  <c r="IT8" i="4"/>
  <c r="IU8" i="4"/>
  <c r="IV8" i="4"/>
  <c r="A7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IU7" i="4"/>
  <c r="IV7" i="4"/>
  <c r="A6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IU6" i="4"/>
  <c r="IV6" i="4"/>
  <c r="A5" i="4"/>
  <c r="B5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FJ5" i="4"/>
  <c r="FK5" i="4"/>
  <c r="FL5" i="4"/>
  <c r="FM5" i="4"/>
  <c r="FN5" i="4"/>
  <c r="FO5" i="4"/>
  <c r="FP5" i="4"/>
  <c r="FQ5" i="4"/>
  <c r="FR5" i="4"/>
  <c r="FS5" i="4"/>
  <c r="FT5" i="4"/>
  <c r="FU5" i="4"/>
  <c r="FV5" i="4"/>
  <c r="FW5" i="4"/>
  <c r="FX5" i="4"/>
  <c r="FY5" i="4"/>
  <c r="FZ5" i="4"/>
  <c r="GA5" i="4"/>
  <c r="GB5" i="4"/>
  <c r="GC5" i="4"/>
  <c r="GD5" i="4"/>
  <c r="GE5" i="4"/>
  <c r="GF5" i="4"/>
  <c r="GG5" i="4"/>
  <c r="GH5" i="4"/>
  <c r="GI5" i="4"/>
  <c r="GJ5" i="4"/>
  <c r="GK5" i="4"/>
  <c r="GL5" i="4"/>
  <c r="GM5" i="4"/>
  <c r="GN5" i="4"/>
  <c r="GO5" i="4"/>
  <c r="GP5" i="4"/>
  <c r="GQ5" i="4"/>
  <c r="GR5" i="4"/>
  <c r="GS5" i="4"/>
  <c r="GT5" i="4"/>
  <c r="GU5" i="4"/>
  <c r="GV5" i="4"/>
  <c r="GW5" i="4"/>
  <c r="GX5" i="4"/>
  <c r="GY5" i="4"/>
  <c r="GZ5" i="4"/>
  <c r="HA5" i="4"/>
  <c r="HB5" i="4"/>
  <c r="HC5" i="4"/>
  <c r="HD5" i="4"/>
  <c r="HE5" i="4"/>
  <c r="HF5" i="4"/>
  <c r="HG5" i="4"/>
  <c r="HH5" i="4"/>
  <c r="HI5" i="4"/>
  <c r="HJ5" i="4"/>
  <c r="HK5" i="4"/>
  <c r="HL5" i="4"/>
  <c r="HM5" i="4"/>
  <c r="HN5" i="4"/>
  <c r="HO5" i="4"/>
  <c r="HP5" i="4"/>
  <c r="HQ5" i="4"/>
  <c r="HR5" i="4"/>
  <c r="HS5" i="4"/>
  <c r="HT5" i="4"/>
  <c r="HU5" i="4"/>
  <c r="HV5" i="4"/>
  <c r="HW5" i="4"/>
  <c r="HX5" i="4"/>
  <c r="HY5" i="4"/>
  <c r="HZ5" i="4"/>
  <c r="IA5" i="4"/>
  <c r="IB5" i="4"/>
  <c r="IC5" i="4"/>
  <c r="ID5" i="4"/>
  <c r="IE5" i="4"/>
  <c r="IF5" i="4"/>
  <c r="IG5" i="4"/>
  <c r="IH5" i="4"/>
  <c r="II5" i="4"/>
  <c r="IJ5" i="4"/>
  <c r="IK5" i="4"/>
  <c r="IL5" i="4"/>
  <c r="IM5" i="4"/>
  <c r="IN5" i="4"/>
  <c r="IO5" i="4"/>
  <c r="IP5" i="4"/>
  <c r="IQ5" i="4"/>
  <c r="IR5" i="4"/>
  <c r="IS5" i="4"/>
  <c r="IT5" i="4"/>
  <c r="IU5" i="4"/>
  <c r="IV5" i="4"/>
  <c r="A4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IU4" i="4"/>
  <c r="IV4" i="4"/>
  <c r="A3" i="4"/>
  <c r="B3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ED3" i="4"/>
  <c r="EE3" i="4"/>
  <c r="EF3" i="4"/>
  <c r="EG3" i="4"/>
  <c r="EH3" i="4"/>
  <c r="EI3" i="4"/>
  <c r="EJ3" i="4"/>
  <c r="EK3" i="4"/>
  <c r="EL3" i="4"/>
  <c r="EM3" i="4"/>
  <c r="EN3" i="4"/>
  <c r="EO3" i="4"/>
  <c r="EP3" i="4"/>
  <c r="EQ3" i="4"/>
  <c r="ER3" i="4"/>
  <c r="ES3" i="4"/>
  <c r="ET3" i="4"/>
  <c r="EU3" i="4"/>
  <c r="EV3" i="4"/>
  <c r="EW3" i="4"/>
  <c r="EX3" i="4"/>
  <c r="EY3" i="4"/>
  <c r="EZ3" i="4"/>
  <c r="FA3" i="4"/>
  <c r="FB3" i="4"/>
  <c r="FC3" i="4"/>
  <c r="FD3" i="4"/>
  <c r="FE3" i="4"/>
  <c r="FF3" i="4"/>
  <c r="FG3" i="4"/>
  <c r="FH3" i="4"/>
  <c r="FI3" i="4"/>
  <c r="FJ3" i="4"/>
  <c r="FK3" i="4"/>
  <c r="FL3" i="4"/>
  <c r="FM3" i="4"/>
  <c r="FN3" i="4"/>
  <c r="FO3" i="4"/>
  <c r="FP3" i="4"/>
  <c r="FQ3" i="4"/>
  <c r="FR3" i="4"/>
  <c r="FS3" i="4"/>
  <c r="FT3" i="4"/>
  <c r="FU3" i="4"/>
  <c r="FV3" i="4"/>
  <c r="FW3" i="4"/>
  <c r="FX3" i="4"/>
  <c r="FY3" i="4"/>
  <c r="FZ3" i="4"/>
  <c r="GA3" i="4"/>
  <c r="GB3" i="4"/>
  <c r="GC3" i="4"/>
  <c r="GD3" i="4"/>
  <c r="GE3" i="4"/>
  <c r="GF3" i="4"/>
  <c r="GG3" i="4"/>
  <c r="GH3" i="4"/>
  <c r="GI3" i="4"/>
  <c r="GJ3" i="4"/>
  <c r="GK3" i="4"/>
  <c r="GL3" i="4"/>
  <c r="GM3" i="4"/>
  <c r="GN3" i="4"/>
  <c r="GO3" i="4"/>
  <c r="GP3" i="4"/>
  <c r="GQ3" i="4"/>
  <c r="GR3" i="4"/>
  <c r="GS3" i="4"/>
  <c r="GT3" i="4"/>
  <c r="GU3" i="4"/>
  <c r="GV3" i="4"/>
  <c r="GW3" i="4"/>
  <c r="GX3" i="4"/>
  <c r="GY3" i="4"/>
  <c r="GZ3" i="4"/>
  <c r="HA3" i="4"/>
  <c r="HB3" i="4"/>
  <c r="HC3" i="4"/>
  <c r="HD3" i="4"/>
  <c r="HE3" i="4"/>
  <c r="HF3" i="4"/>
  <c r="HG3" i="4"/>
  <c r="HH3" i="4"/>
  <c r="HI3" i="4"/>
  <c r="HJ3" i="4"/>
  <c r="HK3" i="4"/>
  <c r="HL3" i="4"/>
  <c r="HM3" i="4"/>
  <c r="HN3" i="4"/>
  <c r="HO3" i="4"/>
  <c r="HP3" i="4"/>
  <c r="HQ3" i="4"/>
  <c r="HR3" i="4"/>
  <c r="HS3" i="4"/>
  <c r="HT3" i="4"/>
  <c r="HU3" i="4"/>
  <c r="HV3" i="4"/>
  <c r="HW3" i="4"/>
  <c r="HX3" i="4"/>
  <c r="HY3" i="4"/>
  <c r="HZ3" i="4"/>
  <c r="IA3" i="4"/>
  <c r="IB3" i="4"/>
  <c r="IC3" i="4"/>
  <c r="ID3" i="4"/>
  <c r="IE3" i="4"/>
  <c r="IF3" i="4"/>
  <c r="IG3" i="4"/>
  <c r="IH3" i="4"/>
  <c r="II3" i="4"/>
  <c r="IJ3" i="4"/>
  <c r="IK3" i="4"/>
  <c r="IL3" i="4"/>
  <c r="IM3" i="4"/>
  <c r="IN3" i="4"/>
  <c r="IO3" i="4"/>
  <c r="IP3" i="4"/>
  <c r="IQ3" i="4"/>
  <c r="IR3" i="4"/>
  <c r="IS3" i="4"/>
  <c r="IT3" i="4"/>
  <c r="IU3" i="4"/>
  <c r="IV3" i="4"/>
  <c r="A2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IU2" i="4"/>
  <c r="IV2" i="4"/>
  <c r="A1" i="4"/>
  <c r="B1" i="4"/>
  <c r="C1" i="4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CL1" i="4"/>
  <c r="CM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IU1" i="4"/>
  <c r="IV1" i="4"/>
</calcChain>
</file>

<file path=xl/sharedStrings.xml><?xml version="1.0" encoding="utf-8"?>
<sst xmlns="http://schemas.openxmlformats.org/spreadsheetml/2006/main" count="30104" uniqueCount="8867">
  <si>
    <t>7 Norton St</t>
  </si>
  <si>
    <t>May 7, 1880</t>
  </si>
  <si>
    <t xml:space="preserve">149 Green </t>
  </si>
  <si>
    <t>May 30, 1880</t>
  </si>
  <si>
    <t>97 Clinton Ave</t>
  </si>
  <si>
    <t>June 4, 1880</t>
  </si>
  <si>
    <t>July 10, 1880</t>
  </si>
  <si>
    <t>14th St Troy NY</t>
  </si>
  <si>
    <t>Cholera infantum</t>
  </si>
  <si>
    <t>Keelian</t>
  </si>
  <si>
    <t>July 24, 1880</t>
  </si>
  <si>
    <t>185 Third St</t>
  </si>
  <si>
    <t>August 28, 1880</t>
  </si>
  <si>
    <t>98 Swan St</t>
  </si>
  <si>
    <t>Keefe</t>
  </si>
  <si>
    <t>1 Genesee</t>
  </si>
  <si>
    <t>Kimmey</t>
  </si>
  <si>
    <t>November 5, 1880</t>
  </si>
  <si>
    <t>174 Lark St</t>
  </si>
  <si>
    <t>November 7, 1880</t>
  </si>
  <si>
    <t>70 Canal St</t>
  </si>
  <si>
    <t>December 14, 1880</t>
  </si>
  <si>
    <t>203 Clinton Ave</t>
  </si>
  <si>
    <t>December 15, 1880</t>
  </si>
  <si>
    <t>65 Herkimer</t>
  </si>
  <si>
    <t>December 24, 1880</t>
  </si>
  <si>
    <t xml:space="preserve">36 Rensselaer </t>
  </si>
  <si>
    <t>November 18, 1872</t>
  </si>
  <si>
    <t>Bassett &amp; Church</t>
  </si>
  <si>
    <t>Kilfoyle</t>
  </si>
  <si>
    <t>November 26, 1872</t>
  </si>
  <si>
    <t>395 S. Pearl</t>
  </si>
  <si>
    <t>March 23, 1881</t>
  </si>
  <si>
    <t>83 Bleeker</t>
  </si>
  <si>
    <t>March 25, 1881</t>
  </si>
  <si>
    <t>Cruise</t>
  </si>
  <si>
    <t>March 27, 1881</t>
  </si>
  <si>
    <t>69 Rensselaer</t>
  </si>
  <si>
    <t>March 29, 1881</t>
  </si>
  <si>
    <t>Main St.</t>
  </si>
  <si>
    <t>Coullahan</t>
  </si>
  <si>
    <t>50 Bassett</t>
  </si>
  <si>
    <t>Corr</t>
  </si>
  <si>
    <t>April 14, 1881</t>
  </si>
  <si>
    <t>Third &amp; Thorton</t>
  </si>
  <si>
    <t>April 15, 1881</t>
  </si>
  <si>
    <t>April 19, 1881</t>
  </si>
  <si>
    <t>357 State St.</t>
  </si>
  <si>
    <t>Lost one leg</t>
  </si>
  <si>
    <t>April 21, 1881</t>
  </si>
  <si>
    <t>Corcoran</t>
  </si>
  <si>
    <t>39 Plum</t>
  </si>
  <si>
    <t>Shortness of breath</t>
  </si>
  <si>
    <t>June 25, 1881</t>
  </si>
  <si>
    <t>107 First St.</t>
  </si>
  <si>
    <t>June 28, 1881</t>
  </si>
  <si>
    <t>Costello</t>
  </si>
  <si>
    <t>June 29, 1881</t>
  </si>
  <si>
    <t>Quay &amp; Hodge</t>
  </si>
  <si>
    <t>July 1, 1881</t>
  </si>
  <si>
    <t>July 8, 1881</t>
  </si>
  <si>
    <t>66 N. Lansing</t>
  </si>
  <si>
    <t>Whooping cough</t>
  </si>
  <si>
    <t>July 11, 1881</t>
  </si>
  <si>
    <t>215 Colonie</t>
  </si>
  <si>
    <t>July 12, 1881</t>
  </si>
  <si>
    <t>July 10, 1881</t>
  </si>
  <si>
    <t>62 Fourth Ave.</t>
  </si>
  <si>
    <t>239 Central Ave.</t>
  </si>
  <si>
    <t>272 Orange St.</t>
  </si>
  <si>
    <t>July 17, 1881</t>
  </si>
  <si>
    <t xml:space="preserve">148 First St. </t>
  </si>
  <si>
    <t>August 10, 1881</t>
  </si>
  <si>
    <t>Mamie</t>
  </si>
  <si>
    <t>August 16, 1881</t>
  </si>
  <si>
    <t>285 South Pearl</t>
  </si>
  <si>
    <t>38 1/2 Chapel</t>
  </si>
  <si>
    <t xml:space="preserve">Drowned </t>
  </si>
  <si>
    <t>Mulfreliss</t>
  </si>
  <si>
    <t>Quay &amp; State</t>
  </si>
  <si>
    <t>Carbuncles</t>
  </si>
  <si>
    <t>175 Orange</t>
  </si>
  <si>
    <t>Catherine J.</t>
  </si>
  <si>
    <t>19 Swan</t>
  </si>
  <si>
    <t>Removed 9/24/1887 to James McManus Feb 1888 Sec 9</t>
  </si>
  <si>
    <t>Mountain</t>
  </si>
  <si>
    <t>Little Falls</t>
  </si>
  <si>
    <t>13 Beaver</t>
  </si>
  <si>
    <t>Loretta</t>
  </si>
  <si>
    <t>115 Hamilton</t>
  </si>
  <si>
    <t>November 14, 1881</t>
  </si>
  <si>
    <t>McCartan</t>
  </si>
  <si>
    <t>35 Ten Broeck Place</t>
  </si>
  <si>
    <t>Nervousness</t>
  </si>
  <si>
    <t>McGrane</t>
  </si>
  <si>
    <t>36 North Lark</t>
  </si>
  <si>
    <t>September 1, 1880</t>
  </si>
  <si>
    <t>54 Morton St</t>
  </si>
  <si>
    <t xml:space="preserve"> Dora I.</t>
  </si>
  <si>
    <t>165 Eagle</t>
  </si>
  <si>
    <t>September 6, 1880</t>
  </si>
  <si>
    <t>McCormie</t>
  </si>
  <si>
    <t>September 17, 1880</t>
  </si>
  <si>
    <t>26 Ann St</t>
  </si>
  <si>
    <t>September 21, 1880</t>
  </si>
  <si>
    <t>September 25, 1880</t>
  </si>
  <si>
    <t>6 DeWitt</t>
  </si>
  <si>
    <t>September 29, 1880</t>
  </si>
  <si>
    <t>58 Schuyler</t>
  </si>
  <si>
    <t>December 22, 1882</t>
  </si>
  <si>
    <t>139 N. Pearl</t>
  </si>
  <si>
    <t>Vault 12/24/1882</t>
  </si>
  <si>
    <t>Vault December 23, 1882</t>
  </si>
  <si>
    <t>Vault 12/23/1882</t>
  </si>
  <si>
    <t>L-01</t>
  </si>
  <si>
    <t>Langan</t>
  </si>
  <si>
    <t>July 23, 1868</t>
  </si>
  <si>
    <t>Lanigan</t>
  </si>
  <si>
    <t>Cholera Inft</t>
  </si>
  <si>
    <t>August 31, 1868</t>
  </si>
  <si>
    <t>Sprue</t>
  </si>
  <si>
    <t>September 11, 1869</t>
  </si>
  <si>
    <t>Lambert</t>
  </si>
  <si>
    <t>Union Village</t>
  </si>
  <si>
    <t>February 1865</t>
  </si>
  <si>
    <t>Lawless</t>
  </si>
  <si>
    <t>May 10, 1869</t>
  </si>
  <si>
    <t>December 6, 1869</t>
  </si>
  <si>
    <t>Lyons</t>
  </si>
  <si>
    <t>April 24, 1870</t>
  </si>
  <si>
    <t>Kate P.</t>
  </si>
  <si>
    <t>January 27, 1870</t>
  </si>
  <si>
    <t>January 30, 1870</t>
  </si>
  <si>
    <t>Judy</t>
  </si>
  <si>
    <t>August 16, 1857</t>
  </si>
  <si>
    <t>Lynch</t>
  </si>
  <si>
    <t xml:space="preserve">December 1868 </t>
  </si>
  <si>
    <t>January 20, 1868</t>
  </si>
  <si>
    <t>March 15, 1868</t>
  </si>
  <si>
    <t xml:space="preserve">August 1855 </t>
  </si>
  <si>
    <t>Francis B.</t>
  </si>
  <si>
    <t>52 Schuyler Alley</t>
  </si>
  <si>
    <t>Bleeding of the Lungs</t>
  </si>
  <si>
    <t>Juliana</t>
  </si>
  <si>
    <t>November 12, 1869</t>
  </si>
  <si>
    <t>March 18, 1871</t>
  </si>
  <si>
    <t>John, Jr.</t>
  </si>
  <si>
    <t>March 11, 1867</t>
  </si>
  <si>
    <t xml:space="preserve">Schenectady </t>
  </si>
  <si>
    <t>August 6, 1871</t>
  </si>
  <si>
    <t>Chol Inft</t>
  </si>
  <si>
    <t>August 7, 1871</t>
  </si>
  <si>
    <t>Leary</t>
  </si>
  <si>
    <t>39 Harris St</t>
  </si>
  <si>
    <t>March 8, 1872</t>
  </si>
  <si>
    <t>164 N. Pearl St.</t>
  </si>
  <si>
    <t>Lanagan</t>
  </si>
  <si>
    <t>January 28, 1872</t>
  </si>
  <si>
    <t>123 Mas Ave</t>
  </si>
  <si>
    <t>Langnik</t>
  </si>
  <si>
    <t>203 S Pearl St.</t>
  </si>
  <si>
    <t>November 26, 1862</t>
  </si>
  <si>
    <t>Canal St.</t>
  </si>
  <si>
    <t>October 8, 1866</t>
  </si>
  <si>
    <t>15 Clinton St.</t>
  </si>
  <si>
    <t>February 9, 1866</t>
  </si>
  <si>
    <t>S Pearl St.</t>
  </si>
  <si>
    <t>Mary Ann Caroline</t>
  </si>
  <si>
    <t>December 20, 1853</t>
  </si>
  <si>
    <t>Lughnan</t>
  </si>
  <si>
    <t>June 22, 1869</t>
  </si>
  <si>
    <t>377 State St.</t>
  </si>
  <si>
    <t>Bile</t>
  </si>
  <si>
    <t>May 13, 1873</t>
  </si>
  <si>
    <t>Le Roy</t>
  </si>
  <si>
    <t>John P.</t>
  </si>
  <si>
    <t>293 Broadway</t>
  </si>
  <si>
    <t>Leroy</t>
  </si>
  <si>
    <t>November 15, 1855</t>
  </si>
  <si>
    <t>February 20, 1873</t>
  </si>
  <si>
    <t>Leonard</t>
  </si>
  <si>
    <t>Water St.</t>
  </si>
  <si>
    <t>19 S. Ferry St.</t>
  </si>
  <si>
    <t>September 8, 1871</t>
  </si>
  <si>
    <t>123 Madison Ave</t>
  </si>
  <si>
    <t>September 10, 1872</t>
  </si>
  <si>
    <t>July 29, 1865</t>
  </si>
  <si>
    <t>106 Morton Ave</t>
  </si>
  <si>
    <t>January 22, 1872</t>
  </si>
  <si>
    <t>Lant</t>
  </si>
  <si>
    <t>July 2, 1873</t>
  </si>
  <si>
    <t>38 George St.</t>
  </si>
  <si>
    <t>Loughln</t>
  </si>
  <si>
    <t>June 23, 1872</t>
  </si>
  <si>
    <t>78 Lancaster St.</t>
  </si>
  <si>
    <t>June 24, 1872</t>
  </si>
  <si>
    <t>L-02</t>
  </si>
  <si>
    <t>Ellen S.</t>
  </si>
  <si>
    <t>131 Sumter</t>
  </si>
  <si>
    <t>September 13, 1873</t>
  </si>
  <si>
    <t>Lamb</t>
  </si>
  <si>
    <t>Green &amp; Bassett</t>
  </si>
  <si>
    <t>September 23, 1856</t>
  </si>
  <si>
    <t>27 Bassett St</t>
  </si>
  <si>
    <t>January 1, 1856</t>
  </si>
  <si>
    <t>21 Bassett St</t>
  </si>
  <si>
    <t>May 20, 1874</t>
  </si>
  <si>
    <t>Frank</t>
  </si>
  <si>
    <t>April 30, 1870</t>
  </si>
  <si>
    <t>March 18, 1874</t>
  </si>
  <si>
    <t>268 Pearl St</t>
  </si>
  <si>
    <t>April 16, 1874</t>
  </si>
  <si>
    <t>29 Bassett St</t>
  </si>
  <si>
    <t>Market St &amp; George</t>
  </si>
  <si>
    <t>September 1, 1874</t>
  </si>
  <si>
    <t>160 Grand St</t>
  </si>
  <si>
    <t>18 Jefferson St</t>
  </si>
  <si>
    <t>October 5, 1874</t>
  </si>
  <si>
    <t>47 Canal St</t>
  </si>
  <si>
    <t>April 25 1875</t>
  </si>
  <si>
    <t>151 Jefferson St</t>
  </si>
  <si>
    <t>April 27, 1875</t>
  </si>
  <si>
    <t>Lyman</t>
  </si>
  <si>
    <t>June 22, 1865</t>
  </si>
  <si>
    <t>63 Colonie St</t>
  </si>
  <si>
    <t>August 19, 1868</t>
  </si>
  <si>
    <t>March 22, 1861</t>
  </si>
  <si>
    <t>January 7, 1875</t>
  </si>
  <si>
    <t>65 Colonie St</t>
  </si>
  <si>
    <t>January 11, 1875</t>
  </si>
  <si>
    <t>July 28, 1875</t>
  </si>
  <si>
    <t>George Street</t>
  </si>
  <si>
    <t>Infantile Disease</t>
  </si>
  <si>
    <t>Lane</t>
  </si>
  <si>
    <t>43 Division St</t>
  </si>
  <si>
    <t>October 4, 1875</t>
  </si>
  <si>
    <t>Lovett</t>
  </si>
  <si>
    <t>M. Ellen</t>
  </si>
  <si>
    <t>December 2, 1856</t>
  </si>
  <si>
    <t>29 Van Woert St</t>
  </si>
  <si>
    <t>Frank B.</t>
  </si>
  <si>
    <t>December 10, 1875</t>
  </si>
  <si>
    <t>87 Jefferson</t>
  </si>
  <si>
    <t>Lawles</t>
  </si>
  <si>
    <t>December 17, 1875</t>
  </si>
  <si>
    <t>78 Franklin St</t>
  </si>
  <si>
    <t>76 Rensselaer St.</t>
  </si>
  <si>
    <t>December 27, 1875</t>
  </si>
  <si>
    <t>January 8, 1874</t>
  </si>
  <si>
    <t>South Lansing</t>
  </si>
  <si>
    <t>January 10, 1875</t>
  </si>
  <si>
    <t>Julia M.F.</t>
  </si>
  <si>
    <t>9 Dallius St</t>
  </si>
  <si>
    <t>February 28, 1875</t>
  </si>
  <si>
    <t>Lee</t>
  </si>
  <si>
    <t>Troy, Mich</t>
  </si>
  <si>
    <t>March 31, 1876</t>
  </si>
  <si>
    <t>April 1, 1876</t>
  </si>
  <si>
    <t>May 10, 1876</t>
  </si>
  <si>
    <t>133 Clare Ave</t>
  </si>
  <si>
    <t>Inflammation</t>
  </si>
  <si>
    <t>May 11, 1876</t>
  </si>
  <si>
    <t>May 19, 1876</t>
  </si>
  <si>
    <t>331 S. Pearl St</t>
  </si>
  <si>
    <t>May 20, 1876</t>
  </si>
  <si>
    <t>Charlotte</t>
  </si>
  <si>
    <t>212 Green St</t>
  </si>
  <si>
    <t>June 2, 1876</t>
  </si>
  <si>
    <t>Little</t>
  </si>
  <si>
    <t>August 11, 1876</t>
  </si>
  <si>
    <t>52 Union St</t>
  </si>
  <si>
    <t>August 14, 1876</t>
  </si>
  <si>
    <t>Lapham</t>
  </si>
  <si>
    <t>November 28, 1876</t>
  </si>
  <si>
    <t>December 21, 1876</t>
  </si>
  <si>
    <t>Lavin</t>
  </si>
  <si>
    <t>December 19, 1876</t>
  </si>
  <si>
    <t>106 Green St</t>
  </si>
  <si>
    <t>December 22, 1876</t>
  </si>
  <si>
    <t>Larkin</t>
  </si>
  <si>
    <t>January 19, 1877</t>
  </si>
  <si>
    <t>St. Peters Hospital</t>
  </si>
  <si>
    <t>January 21, 1877</t>
  </si>
  <si>
    <t>March 3, 1877</t>
  </si>
  <si>
    <t>Softening of Brain</t>
  </si>
  <si>
    <t>June 1, 1857</t>
  </si>
  <si>
    <t>Laphau</t>
  </si>
  <si>
    <t>Arline</t>
  </si>
  <si>
    <t>43 Catharine St</t>
  </si>
  <si>
    <t>July 15, 1877</t>
  </si>
  <si>
    <t>129 Canal St</t>
  </si>
  <si>
    <t>Liver Disease</t>
  </si>
  <si>
    <t>L-03</t>
  </si>
  <si>
    <t>September 20, 1876</t>
  </si>
  <si>
    <t>15 Monroe St.</t>
  </si>
  <si>
    <t>September 22, 1876</t>
  </si>
  <si>
    <t>329 3d Ave.</t>
  </si>
  <si>
    <t>Congestion of  Lungs</t>
  </si>
  <si>
    <t>September 29, 1876</t>
  </si>
  <si>
    <t>Lepp</t>
  </si>
  <si>
    <t>November 9, 1877</t>
  </si>
  <si>
    <t>Genesee St. N Alby</t>
  </si>
  <si>
    <t>Lysatt</t>
  </si>
  <si>
    <t>September 5, 1877</t>
  </si>
  <si>
    <t>September 7, 1877</t>
  </si>
  <si>
    <t>Lansing</t>
  </si>
  <si>
    <t>Park Ave &amp; Swan</t>
  </si>
  <si>
    <t>January 25, 1878</t>
  </si>
  <si>
    <t>107 George St.</t>
  </si>
  <si>
    <t>Luby</t>
  </si>
  <si>
    <t>February 23, 1878</t>
  </si>
  <si>
    <t>51 Morton St</t>
  </si>
  <si>
    <t>February 25, 1878</t>
  </si>
  <si>
    <t>78 Franklin St.</t>
  </si>
  <si>
    <t>Lycett</t>
  </si>
  <si>
    <t>April 17, 1871</t>
  </si>
  <si>
    <t>Leonard St</t>
  </si>
  <si>
    <t>Moved from St. Marys Cemetery</t>
  </si>
  <si>
    <t>April 13, 1878</t>
  </si>
  <si>
    <t>Lanahan</t>
  </si>
  <si>
    <t>Ellie</t>
  </si>
  <si>
    <t>April 17, 1878</t>
  </si>
  <si>
    <t>39 DeWitt St.</t>
  </si>
  <si>
    <t>May 16, 1879</t>
  </si>
  <si>
    <t>No. 7 Hawk St.</t>
  </si>
  <si>
    <t>Bright's disease</t>
  </si>
  <si>
    <t>May 19, 1879</t>
  </si>
  <si>
    <t>Ellie J.</t>
  </si>
  <si>
    <t>July 22, 1879</t>
  </si>
  <si>
    <t>331 S. Pearl St.</t>
  </si>
  <si>
    <t>July 24, 1879</t>
  </si>
  <si>
    <t>Anastatia, A.</t>
  </si>
  <si>
    <t>42 Hawk St.</t>
  </si>
  <si>
    <t>Lawler</t>
  </si>
  <si>
    <t>Rose Ann</t>
  </si>
  <si>
    <t>September 15, 1879</t>
  </si>
  <si>
    <t>164 Jefferson St.</t>
  </si>
  <si>
    <t>September 17, 1879</t>
  </si>
  <si>
    <t>LeRey</t>
  </si>
  <si>
    <t>Henry S.</t>
  </si>
  <si>
    <t>May 12, 1878</t>
  </si>
  <si>
    <t>(Moore family)</t>
  </si>
  <si>
    <t>May 17, 1878</t>
  </si>
  <si>
    <t>June 18, 1878</t>
  </si>
  <si>
    <t>31 Jefferson St.</t>
  </si>
  <si>
    <t>June 21, 1878</t>
  </si>
  <si>
    <t>79 Green St.</t>
  </si>
  <si>
    <t>Long</t>
  </si>
  <si>
    <t>Thomas I.</t>
  </si>
  <si>
    <t>Iowa</t>
  </si>
  <si>
    <t>120 Brodway Albany</t>
  </si>
  <si>
    <t>January 29, 1879</t>
  </si>
  <si>
    <t>Maria M.</t>
  </si>
  <si>
    <t>July 28, 1879</t>
  </si>
  <si>
    <t>McKenna</t>
  </si>
  <si>
    <t>May 8, 1848</t>
  </si>
  <si>
    <t>108 Swan St.</t>
  </si>
  <si>
    <t>November 24, 1872</t>
  </si>
  <si>
    <t>December 23, 1845</t>
  </si>
  <si>
    <t>100 Swan St.</t>
  </si>
  <si>
    <t>March 1, 1872</t>
  </si>
  <si>
    <t>Cor Hawk &amp; Myrtle</t>
  </si>
  <si>
    <t>March 23, 1872</t>
  </si>
  <si>
    <t>35 DeWitt</t>
  </si>
  <si>
    <t>March 29, 1872</t>
  </si>
  <si>
    <t>27 Loughlin St.</t>
  </si>
  <si>
    <t>Mollon</t>
  </si>
  <si>
    <t>April 16, 1872</t>
  </si>
  <si>
    <t>24 Thatcher St.</t>
  </si>
  <si>
    <t>April 1872</t>
  </si>
  <si>
    <t>April 27, 1872</t>
  </si>
  <si>
    <t>819 Ninth Ave.</t>
  </si>
  <si>
    <t>April 30, 1872</t>
  </si>
  <si>
    <t>Mahon</t>
  </si>
  <si>
    <t>January 21, 1872</t>
  </si>
  <si>
    <t>Albany St., N. Albany NY</t>
  </si>
  <si>
    <t>May 2, 1872</t>
  </si>
  <si>
    <t>February 24, 1872</t>
  </si>
  <si>
    <t>48 N. Lansing St.</t>
  </si>
  <si>
    <t>McKernan</t>
  </si>
  <si>
    <t>July 4, 1871</t>
  </si>
  <si>
    <t>November 22, 1866</t>
  </si>
  <si>
    <t>Month and day of death obtained from alternate source.</t>
  </si>
  <si>
    <t>January 8, 1864</t>
  </si>
  <si>
    <t>104 Broadway, W.7.</t>
  </si>
  <si>
    <t>Jan 28, 1875</t>
  </si>
  <si>
    <t>96 Franklin St</t>
  </si>
  <si>
    <t>Mar 13, 1878</t>
  </si>
  <si>
    <t>727 Broadway</t>
  </si>
  <si>
    <t>June 20, 1878</t>
  </si>
  <si>
    <t>Jan 12, 1879</t>
  </si>
  <si>
    <t>Cors &amp; Jefferson</t>
  </si>
  <si>
    <t>Aug 2, 1881</t>
  </si>
  <si>
    <t>251 Orange</t>
  </si>
  <si>
    <t>Sept 13, 1881</t>
  </si>
  <si>
    <t>32 Clinton St</t>
  </si>
  <si>
    <t>Jan 11, 1882</t>
  </si>
  <si>
    <t>90 Westerlo</t>
  </si>
  <si>
    <t>Jan 10, 1882</t>
  </si>
  <si>
    <t>Quadt</t>
  </si>
  <si>
    <t>Croton Berlin</t>
  </si>
  <si>
    <t>Vault Dec 18, 1882</t>
  </si>
  <si>
    <t>R-01</t>
  </si>
  <si>
    <t>Rodgers</t>
  </si>
  <si>
    <t>Catherine E.</t>
  </si>
  <si>
    <t>June 29, 1880</t>
  </si>
  <si>
    <t>90 Franklin St.</t>
  </si>
  <si>
    <t>8/4/1880</t>
  </si>
  <si>
    <t>September 3, 1880</t>
  </si>
  <si>
    <t>29 Van Woert</t>
  </si>
  <si>
    <t>9/10/1880</t>
  </si>
  <si>
    <t>Levey</t>
  </si>
  <si>
    <t>Flora May</t>
  </si>
  <si>
    <t>Broadway, West Troy</t>
  </si>
  <si>
    <t>11/5/1880</t>
  </si>
  <si>
    <t>L-04</t>
  </si>
  <si>
    <t>99 Philip St</t>
  </si>
  <si>
    <t>15 Monroe St</t>
  </si>
  <si>
    <t>September 6, 1876</t>
  </si>
  <si>
    <t>329 3rd Ave</t>
  </si>
  <si>
    <t>October 5, ????</t>
  </si>
  <si>
    <t>267 S. Pearl</t>
  </si>
  <si>
    <t>December 3, 1872</t>
  </si>
  <si>
    <t>1200 Broadway</t>
  </si>
  <si>
    <t>160 Canal</t>
  </si>
  <si>
    <t>February 18, 1881</t>
  </si>
  <si>
    <t>March 5, 1881</t>
  </si>
  <si>
    <t>80 Livingston</t>
  </si>
  <si>
    <t>Levy</t>
  </si>
  <si>
    <t>December 26, 1881</t>
  </si>
  <si>
    <t>Union &amp; Water</t>
  </si>
  <si>
    <t>December 28, 1881</t>
  </si>
  <si>
    <t>Irene</t>
  </si>
  <si>
    <t>April 17, 1881</t>
  </si>
  <si>
    <t>122 Broadway</t>
  </si>
  <si>
    <t>April 26, 1881</t>
  </si>
  <si>
    <t>April 29, 1881</t>
  </si>
  <si>
    <t>Leddy</t>
  </si>
  <si>
    <t>April 28, 1881</t>
  </si>
  <si>
    <t>12 N. Lansing</t>
  </si>
  <si>
    <t>May 1, 1881</t>
  </si>
  <si>
    <t>Leonnard</t>
  </si>
  <si>
    <t>May 9, 1881</t>
  </si>
  <si>
    <t>13 Grand</t>
  </si>
  <si>
    <t>May 11, 1881</t>
  </si>
  <si>
    <t>May 21, 1881</t>
  </si>
  <si>
    <t>206 Broadway</t>
  </si>
  <si>
    <t>May 23, 1881</t>
  </si>
  <si>
    <t>Lindsay</t>
  </si>
  <si>
    <t>June 12, 1881</t>
  </si>
  <si>
    <t>June 15, 1881</t>
  </si>
  <si>
    <t>Lewis</t>
  </si>
  <si>
    <t>Louisa</t>
  </si>
  <si>
    <t>28 Howard</t>
  </si>
  <si>
    <t>LeRoy</t>
  </si>
  <si>
    <t>Giles</t>
  </si>
  <si>
    <t>November 12, 1881</t>
  </si>
  <si>
    <t>375 Broadway</t>
  </si>
  <si>
    <t>Lilly</t>
  </si>
  <si>
    <t>November 23,1881</t>
  </si>
  <si>
    <t>270 First St</t>
  </si>
  <si>
    <t>November 25, 1881</t>
  </si>
  <si>
    <t>81 Livingston</t>
  </si>
  <si>
    <t>January 17, 1882</t>
  </si>
  <si>
    <t>Lawlor</t>
  </si>
  <si>
    <t>Hellenor</t>
  </si>
  <si>
    <t>11 Washington</t>
  </si>
  <si>
    <t>January 18, 1882</t>
  </si>
  <si>
    <t>Margaret J.</t>
  </si>
  <si>
    <t>John J. A.</t>
  </si>
  <si>
    <t>178 Hudson</t>
  </si>
  <si>
    <t>Mary F.</t>
  </si>
  <si>
    <t>Schaghticoke</t>
  </si>
  <si>
    <t>March 18, 1882</t>
  </si>
  <si>
    <t>Rensselaer &amp; Green</t>
  </si>
  <si>
    <t>290 Orange</t>
  </si>
  <si>
    <t>Erysipilis</t>
  </si>
  <si>
    <t>May 1, 1882</t>
  </si>
  <si>
    <t>Lynom</t>
  </si>
  <si>
    <t>June 15, 1882</t>
  </si>
  <si>
    <t>18 N. Lansing</t>
  </si>
  <si>
    <t>99 Elm</t>
  </si>
  <si>
    <t>Typhoid Pneu</t>
  </si>
  <si>
    <t>William M.</t>
  </si>
  <si>
    <t>195 Green</t>
  </si>
  <si>
    <t>October 13, 1882</t>
  </si>
  <si>
    <t>Lafountaine</t>
  </si>
  <si>
    <t xml:space="preserve">Florence </t>
  </si>
  <si>
    <t>November 24, 1882</t>
  </si>
  <si>
    <t>19 South</t>
  </si>
  <si>
    <t>November 26, 1882</t>
  </si>
  <si>
    <t>M-01</t>
  </si>
  <si>
    <t>February 11, 1877</t>
  </si>
  <si>
    <t>Tivoli Hollow</t>
  </si>
  <si>
    <t>February 13, 1877</t>
  </si>
  <si>
    <t>McCaffey</t>
  </si>
  <si>
    <t>Terence</t>
  </si>
  <si>
    <t>31 Morton St</t>
  </si>
  <si>
    <t>October 5, 1875</t>
  </si>
  <si>
    <t>70 Arch St</t>
  </si>
  <si>
    <t>October 7, 1875</t>
  </si>
  <si>
    <t>John F.</t>
  </si>
  <si>
    <t>October 11, 1875</t>
  </si>
  <si>
    <t>Cor Broadway &amp; Van Woert</t>
  </si>
  <si>
    <t>October 12, 1875</t>
  </si>
  <si>
    <t>Cor Spring &amp; Albany St</t>
  </si>
  <si>
    <t>October 18, 1875</t>
  </si>
  <si>
    <t>November 21, 1875</t>
  </si>
  <si>
    <t>Morrow</t>
  </si>
  <si>
    <t>December 1, 1875</t>
  </si>
  <si>
    <t>171 Jefferson St</t>
  </si>
  <si>
    <t>December 5, 1875</t>
  </si>
  <si>
    <t>Arsenal</t>
  </si>
  <si>
    <t>January 9, 1876</t>
  </si>
  <si>
    <t>Lark Street</t>
  </si>
  <si>
    <t>January 11, 1876</t>
  </si>
  <si>
    <t>January 15, 1876</t>
  </si>
  <si>
    <t>63 Madison Ave</t>
  </si>
  <si>
    <t>January 27, 1876</t>
  </si>
  <si>
    <t>McGinnis</t>
  </si>
  <si>
    <t>Mary A</t>
  </si>
  <si>
    <t>39 Myrtle Ave</t>
  </si>
  <si>
    <t>January 30, 1876</t>
  </si>
  <si>
    <t>January 31, 1876</t>
  </si>
  <si>
    <t>Broadway &amp; Main N Albany</t>
  </si>
  <si>
    <t>February 1, 1876</t>
  </si>
  <si>
    <t>69 Jefferson St</t>
  </si>
  <si>
    <t>February 3, 1876</t>
  </si>
  <si>
    <t>February 5, 1876</t>
  </si>
  <si>
    <t>Milroy</t>
  </si>
  <si>
    <t>February 18, 1876</t>
  </si>
  <si>
    <t>2 Hamilton St</t>
  </si>
  <si>
    <t>February 20, 1876</t>
  </si>
  <si>
    <t>Monahan</t>
  </si>
  <si>
    <t>14 William St</t>
  </si>
  <si>
    <t>March 12, 1876</t>
  </si>
  <si>
    <t>216 N Pearl St</t>
  </si>
  <si>
    <t>March 20, 1876</t>
  </si>
  <si>
    <t>John Wallace</t>
  </si>
  <si>
    <t>Dunkirk NY</t>
  </si>
  <si>
    <t>March 30, 1876</t>
  </si>
  <si>
    <t>DeWitt St Albany</t>
  </si>
  <si>
    <t>Liver disease</t>
  </si>
  <si>
    <t>Fergus</t>
  </si>
  <si>
    <t>April 28, 1876</t>
  </si>
  <si>
    <t>36 Cherry St</t>
  </si>
  <si>
    <t>April 30, 1876</t>
  </si>
  <si>
    <t>May 4, 1876</t>
  </si>
  <si>
    <t>Phthisis Pulmonalis</t>
  </si>
  <si>
    <t>May 6, 1876</t>
  </si>
  <si>
    <t>Manifold</t>
  </si>
  <si>
    <t>May 3, 1876</t>
  </si>
  <si>
    <t>120 Clinton Ave</t>
  </si>
  <si>
    <t>September 4, 1850</t>
  </si>
  <si>
    <t>McGaughan</t>
  </si>
  <si>
    <t>May 28, 1876</t>
  </si>
  <si>
    <t>94 3rd St</t>
  </si>
  <si>
    <t>Bad Cold</t>
  </si>
  <si>
    <t>May 29, 1876</t>
  </si>
  <si>
    <t>Miner</t>
  </si>
  <si>
    <t>May 18, 1876</t>
  </si>
  <si>
    <t>34 Swan St</t>
  </si>
  <si>
    <t>44 Philip</t>
  </si>
  <si>
    <t>May 1866</t>
  </si>
  <si>
    <t>Herkimer St</t>
  </si>
  <si>
    <t>148 Second</t>
  </si>
  <si>
    <t>July 10, 1876</t>
  </si>
  <si>
    <t>August 15, 1876</t>
  </si>
  <si>
    <t>75 Green St</t>
  </si>
  <si>
    <t>Liver &amp; Kidney</t>
  </si>
  <si>
    <t>August 18, 1876</t>
  </si>
  <si>
    <t>McGann</t>
  </si>
  <si>
    <t>August 20, 1876</t>
  </si>
  <si>
    <t>154 Lumber St</t>
  </si>
  <si>
    <t>August 22, 1876</t>
  </si>
  <si>
    <t>Magillon</t>
  </si>
  <si>
    <t>February 1875</t>
  </si>
  <si>
    <t>148 Clinton Ave</t>
  </si>
  <si>
    <t>Inflame Bowels</t>
  </si>
  <si>
    <t>August 25, 1876</t>
  </si>
  <si>
    <t>Thomas J</t>
  </si>
  <si>
    <t>63 Eagle St</t>
  </si>
  <si>
    <t>September 12, 1876</t>
  </si>
  <si>
    <t>January 5, 1877</t>
  </si>
  <si>
    <t>57 Morton St</t>
  </si>
  <si>
    <t>McGillicuddy</t>
  </si>
  <si>
    <t>Abington, Mass</t>
  </si>
  <si>
    <t>72 Arch St</t>
  </si>
  <si>
    <t>29 Beaver St</t>
  </si>
  <si>
    <t>January 16, 1877</t>
  </si>
  <si>
    <t>37 DeWitt St</t>
  </si>
  <si>
    <t>27 Loughlin St N Albany</t>
  </si>
  <si>
    <t>Moran</t>
  </si>
  <si>
    <t>Year 1865</t>
  </si>
  <si>
    <t>Arch &amp; Broadway</t>
  </si>
  <si>
    <t>M-09</t>
  </si>
  <si>
    <t>45 N. Lancing</t>
  </si>
  <si>
    <t>March 24, 1877</t>
  </si>
  <si>
    <t>March 25, 1877</t>
  </si>
  <si>
    <t>March 28, 1877</t>
  </si>
  <si>
    <t>Alexander M.</t>
  </si>
  <si>
    <t>Franklin Co. NY</t>
  </si>
  <si>
    <t>March 27, 1877</t>
  </si>
  <si>
    <t>82 N. 2nd St. Troy</t>
  </si>
  <si>
    <t>Rheumatism of Heart</t>
  </si>
  <si>
    <t>3/30/1877</t>
  </si>
  <si>
    <t>88 Bradford St.</t>
  </si>
  <si>
    <t>April 23, 1877</t>
  </si>
  <si>
    <t>Mullins</t>
  </si>
  <si>
    <t>April 26, 1877</t>
  </si>
  <si>
    <t>Mastersen</t>
  </si>
  <si>
    <t>5 Chestnut St.</t>
  </si>
  <si>
    <t>McCormic</t>
  </si>
  <si>
    <t>N Troy</t>
  </si>
  <si>
    <t xml:space="preserve">5 Troy St. </t>
  </si>
  <si>
    <t>May 7, 1877</t>
  </si>
  <si>
    <t>McElroy</t>
  </si>
  <si>
    <t>160 Canal St.</t>
  </si>
  <si>
    <t>Hettie G.</t>
  </si>
  <si>
    <t>May 16, 1877</t>
  </si>
  <si>
    <t>Magin</t>
  </si>
  <si>
    <t>Valentine, Jr.</t>
  </si>
  <si>
    <t>62 Myrtle</t>
  </si>
  <si>
    <t>Muldeary</t>
  </si>
  <si>
    <t>June 21, 1877</t>
  </si>
  <si>
    <t>120 First Ave.</t>
  </si>
  <si>
    <t>June 22, 1877</t>
  </si>
  <si>
    <t>Mulcahy</t>
  </si>
  <si>
    <t>Maggie F.</t>
  </si>
  <si>
    <t>July 6, 1877</t>
  </si>
  <si>
    <t>Broadway &amp; Erie</t>
  </si>
  <si>
    <t>July 9, 1877</t>
  </si>
  <si>
    <t>Julia Pendergast</t>
  </si>
  <si>
    <t>July 7, 1877</t>
  </si>
  <si>
    <t xml:space="preserve">28 Bleecker </t>
  </si>
  <si>
    <t>July 10, 1877</t>
  </si>
  <si>
    <t>Massachusetts</t>
  </si>
  <si>
    <t>July 13, 1877</t>
  </si>
  <si>
    <t>100 First St.</t>
  </si>
  <si>
    <t>McDermot</t>
  </si>
  <si>
    <t>47 DeWitt S. Albany</t>
  </si>
  <si>
    <t>Patrick J.</t>
  </si>
  <si>
    <t>Osborne &amp; Elizabeth</t>
  </si>
  <si>
    <t>July 27, 1877</t>
  </si>
  <si>
    <t>165 Colonie St.</t>
  </si>
  <si>
    <t>Mee</t>
  </si>
  <si>
    <t>August 1, 1877</t>
  </si>
  <si>
    <t>91 Cherry St.</t>
  </si>
  <si>
    <t>McDermott</t>
  </si>
  <si>
    <t>August 16, 1877</t>
  </si>
  <si>
    <t>60 Arch St.</t>
  </si>
  <si>
    <t>Cholera Mortus</t>
  </si>
  <si>
    <t>August 11, 1877</t>
  </si>
  <si>
    <t>September 14, 1877</t>
  </si>
  <si>
    <t>155 Canal St.</t>
  </si>
  <si>
    <t>Manuel</t>
  </si>
  <si>
    <t>236 Myrtle Ave.</t>
  </si>
  <si>
    <t>McLeese</t>
  </si>
  <si>
    <t>N. Troy</t>
  </si>
  <si>
    <t>Lower Side Cut</t>
  </si>
  <si>
    <t>September 9, 1877</t>
  </si>
  <si>
    <t>Miley</t>
  </si>
  <si>
    <t>September 21, 1877</t>
  </si>
  <si>
    <t>57 Third St.</t>
  </si>
  <si>
    <t>September 23, 1877</t>
  </si>
  <si>
    <t>McWilliams</t>
  </si>
  <si>
    <t>Cormac</t>
  </si>
  <si>
    <t>170 Eagle St.</t>
  </si>
  <si>
    <t>Masterson</t>
  </si>
  <si>
    <t>McElveney</t>
  </si>
  <si>
    <t xml:space="preserve">Alexandria, Virginia </t>
  </si>
  <si>
    <t>September 7, 1864</t>
  </si>
  <si>
    <t>92 Jefferson St.</t>
  </si>
  <si>
    <t>Wound in the Army</t>
  </si>
  <si>
    <t>October 16, 1877</t>
  </si>
  <si>
    <t>262 Elm St. Albany</t>
  </si>
  <si>
    <t xml:space="preserve">Sarah </t>
  </si>
  <si>
    <t>August 6, 1864</t>
  </si>
  <si>
    <t>154 S. Pearl St.</t>
  </si>
  <si>
    <t>January 9, 1875</t>
  </si>
  <si>
    <t>81 Lawrence</t>
  </si>
  <si>
    <t>September 11, 1865</t>
  </si>
  <si>
    <t>March 17, 1864</t>
  </si>
  <si>
    <t>Richard W.</t>
  </si>
  <si>
    <t>Month and day of death and first name obtained from alternate source.</t>
  </si>
  <si>
    <t>Philip J.</t>
  </si>
  <si>
    <t>Bridget K.</t>
  </si>
  <si>
    <t>Hattie M.</t>
  </si>
  <si>
    <t>Maria G.</t>
  </si>
  <si>
    <t>Walter G.</t>
  </si>
  <si>
    <t>William W.</t>
  </si>
  <si>
    <t>Mary Alma</t>
  </si>
  <si>
    <t>Rev. J.</t>
  </si>
  <si>
    <t>Charles S.</t>
  </si>
  <si>
    <t xml:space="preserve">J. H. </t>
  </si>
  <si>
    <t>Joshua</t>
  </si>
  <si>
    <t>Margaret A.</t>
  </si>
  <si>
    <t>Stephen A.</t>
  </si>
  <si>
    <t>Matt</t>
  </si>
  <si>
    <t>Simen</t>
  </si>
  <si>
    <t>Andrew J.</t>
  </si>
  <si>
    <t>James P.J.</t>
  </si>
  <si>
    <t>George T.</t>
  </si>
  <si>
    <t>Martha H.</t>
  </si>
  <si>
    <t xml:space="preserve">Charles V. </t>
  </si>
  <si>
    <t xml:space="preserve">Thomas A. </t>
  </si>
  <si>
    <t xml:space="preserve">Thomas I. </t>
  </si>
  <si>
    <t xml:space="preserve"> Mrs.</t>
  </si>
  <si>
    <t>44 Rensselear</t>
  </si>
  <si>
    <t>June 24, 1880</t>
  </si>
  <si>
    <t xml:space="preserve"> June 28, 1880</t>
  </si>
  <si>
    <t>800 Broadway</t>
  </si>
  <si>
    <t>June 30, 1880</t>
  </si>
  <si>
    <t xml:space="preserve"> September 16, 1880</t>
  </si>
  <si>
    <t>130 Orange St.</t>
  </si>
  <si>
    <t xml:space="preserve"> October 1, 1880</t>
  </si>
  <si>
    <t>264 Orange St.</t>
  </si>
  <si>
    <t>April 7, 1881</t>
  </si>
  <si>
    <t>Bowe</t>
  </si>
  <si>
    <t>May 7, 1881</t>
  </si>
  <si>
    <t>39 Rensselaer</t>
  </si>
  <si>
    <t>May 10, 1881</t>
  </si>
  <si>
    <t>June 3, 1881</t>
  </si>
  <si>
    <t>Albany 11/6/1876</t>
  </si>
  <si>
    <t>Division St</t>
  </si>
  <si>
    <t>November 8, 1876</t>
  </si>
  <si>
    <t>M-10</t>
  </si>
  <si>
    <t>Rose</t>
  </si>
  <si>
    <t>October 21, 1876</t>
  </si>
  <si>
    <t>Disease of the Bowel</t>
  </si>
  <si>
    <t>Watervliet 12/08/1876</t>
  </si>
  <si>
    <t>December 10, 1876</t>
  </si>
  <si>
    <t>Elisha Kill</t>
  </si>
  <si>
    <t>December 31, 1876</t>
  </si>
  <si>
    <t>McLaughlin</t>
  </si>
  <si>
    <t xml:space="preserve">Albany      </t>
  </si>
  <si>
    <t>November 29, 1876</t>
  </si>
  <si>
    <t>221 Orange St</t>
  </si>
  <si>
    <t>December 1, 1876</t>
  </si>
  <si>
    <t>December 5, 1876</t>
  </si>
  <si>
    <t>McCall</t>
  </si>
  <si>
    <t>December 24, 1862</t>
  </si>
  <si>
    <t>Philip St</t>
  </si>
  <si>
    <t>November 29, 1877</t>
  </si>
  <si>
    <t>Croton St</t>
  </si>
  <si>
    <t>November 30, 1887</t>
  </si>
  <si>
    <t>40 Westerlo St.</t>
  </si>
  <si>
    <t>Sarah J.</t>
  </si>
  <si>
    <t>396 Eighth St.</t>
  </si>
  <si>
    <t>December 1877</t>
  </si>
  <si>
    <t>January 2, 1878</t>
  </si>
  <si>
    <t>4 Renselaer St.</t>
  </si>
  <si>
    <t>January 5, 1878</t>
  </si>
  <si>
    <t>Elizabeth St.</t>
  </si>
  <si>
    <t>January 4, 1878</t>
  </si>
  <si>
    <t>Mackey</t>
  </si>
  <si>
    <t>February 17, 1878</t>
  </si>
  <si>
    <t>South St.,  Albany</t>
  </si>
  <si>
    <t>February 27, 1878</t>
  </si>
  <si>
    <t>73 Schuyler St.</t>
  </si>
  <si>
    <t>April 3, 1878</t>
  </si>
  <si>
    <t>298 Clinton Ave.</t>
  </si>
  <si>
    <t>April 6, 1878</t>
  </si>
  <si>
    <t>147 Grand St.</t>
  </si>
  <si>
    <t>Sarah T.</t>
  </si>
  <si>
    <t>Eighth St.</t>
  </si>
  <si>
    <t>75 Chestnut</t>
  </si>
  <si>
    <t>McAuley</t>
  </si>
  <si>
    <t>83 Orange St.</t>
  </si>
  <si>
    <t>April 14, 1878</t>
  </si>
  <si>
    <t>Metzger</t>
  </si>
  <si>
    <t>Clarence</t>
  </si>
  <si>
    <t>April 15, 1878</t>
  </si>
  <si>
    <t>7 Lark St.</t>
  </si>
  <si>
    <t>McCorry</t>
  </si>
  <si>
    <t>April 20, 1878</t>
  </si>
  <si>
    <t>45 Arch St.</t>
  </si>
  <si>
    <t>50 Dove St.</t>
  </si>
  <si>
    <t>Barney</t>
  </si>
  <si>
    <t>April 30, 1878</t>
  </si>
  <si>
    <t>May 2, 1878</t>
  </si>
  <si>
    <t>May 3, 1878</t>
  </si>
  <si>
    <t>McEnery</t>
  </si>
  <si>
    <t>92 Lancaster St.</t>
  </si>
  <si>
    <t>May 5, 1878</t>
  </si>
  <si>
    <t>29 Dean St.</t>
  </si>
  <si>
    <t>May 7, 1878</t>
  </si>
  <si>
    <t>49 Mulberry St.</t>
  </si>
  <si>
    <t>April 18, 1879</t>
  </si>
  <si>
    <t>McNulty</t>
  </si>
  <si>
    <t>71 Cherry St.</t>
  </si>
  <si>
    <t>May 13, 1879</t>
  </si>
  <si>
    <t>70 Arch St.</t>
  </si>
  <si>
    <t>May 14, 1879</t>
  </si>
  <si>
    <t>47 Van Woert</t>
  </si>
  <si>
    <t>M-11</t>
  </si>
  <si>
    <t xml:space="preserve"> Nicolas</t>
  </si>
  <si>
    <t>Bath on the Hudson</t>
  </si>
  <si>
    <t>Bath Third &amp; Thorton</t>
  </si>
  <si>
    <t>May 22, 1879</t>
  </si>
  <si>
    <t>July 18, 1879</t>
  </si>
  <si>
    <t>Removed from St. Marys Cemetery</t>
  </si>
  <si>
    <t>McGinty</t>
  </si>
  <si>
    <t>June 1, 1879</t>
  </si>
  <si>
    <t>122 Van Woert St.</t>
  </si>
  <si>
    <t>McSweeney</t>
  </si>
  <si>
    <t>June 22, 1879</t>
  </si>
  <si>
    <t>June 27, 1879</t>
  </si>
  <si>
    <t>171 First St.</t>
  </si>
  <si>
    <t>87 Van Woert St.</t>
  </si>
  <si>
    <t xml:space="preserve"> Emma L.</t>
  </si>
  <si>
    <t>187 Madison Ave</t>
  </si>
  <si>
    <t>Gastritis</t>
  </si>
  <si>
    <t>July 13, 1879</t>
  </si>
  <si>
    <t>46 N. Lansing St.</t>
  </si>
  <si>
    <t xml:space="preserve"> John J. Jr.</t>
  </si>
  <si>
    <t>August 4</t>
  </si>
  <si>
    <t>67 N. Ferry</t>
  </si>
  <si>
    <t>Injuries rec in bathing</t>
  </si>
  <si>
    <t>September 2, 1879</t>
  </si>
  <si>
    <t>5 Strong Place</t>
  </si>
  <si>
    <t>August 15, 1879</t>
  </si>
  <si>
    <t>58 1/2 Chapel</t>
  </si>
  <si>
    <t>August 13, 1879</t>
  </si>
  <si>
    <t>53 N. Lansing</t>
  </si>
  <si>
    <t>September 23, 1879</t>
  </si>
  <si>
    <t>45 N. Lansing</t>
  </si>
  <si>
    <t>December 26, 1878</t>
  </si>
  <si>
    <t>McGoman</t>
  </si>
  <si>
    <t>January 25, 1879</t>
  </si>
  <si>
    <t>57 Van Woert St.</t>
  </si>
  <si>
    <t>January 28, 1879</t>
  </si>
  <si>
    <t>McKiernan</t>
  </si>
  <si>
    <t>30 Second Dr.</t>
  </si>
  <si>
    <t>15 Van Woert St.</t>
  </si>
  <si>
    <t>Mullon</t>
  </si>
  <si>
    <t xml:space="preserve"> February 13, 1879</t>
  </si>
  <si>
    <t>24 Thacher St.</t>
  </si>
  <si>
    <t xml:space="preserve"> February 15, 1879</t>
  </si>
  <si>
    <t xml:space="preserve"> February 14, 1879</t>
  </si>
  <si>
    <t>Colonie near Knox</t>
  </si>
  <si>
    <t xml:space="preserve"> February 16, 1879</t>
  </si>
  <si>
    <t>March 18, 1879</t>
  </si>
  <si>
    <t xml:space="preserve">15 Van Woert </t>
  </si>
  <si>
    <t>March 25, 1879</t>
  </si>
  <si>
    <t>21 DeWitt St.</t>
  </si>
  <si>
    <t>March 26, 1879</t>
  </si>
  <si>
    <t>Mulhern</t>
  </si>
  <si>
    <t xml:space="preserve"> Joseph F.</t>
  </si>
  <si>
    <t>164 Orange St.</t>
  </si>
  <si>
    <t>March 28, 1879</t>
  </si>
  <si>
    <t>April 21, 1879</t>
  </si>
  <si>
    <t>82 Lumber St.</t>
  </si>
  <si>
    <t>April 2, 1879</t>
  </si>
  <si>
    <t>April 3, 1879</t>
  </si>
  <si>
    <t>68 Myrtle Ave.</t>
  </si>
  <si>
    <t>Lock jaw</t>
  </si>
  <si>
    <t xml:space="preserve"> Bridget E. </t>
  </si>
  <si>
    <t>April 8, 1879</t>
  </si>
  <si>
    <t>McGloan</t>
  </si>
  <si>
    <t>82 Colonie St.</t>
  </si>
  <si>
    <t>May 1, 1879</t>
  </si>
  <si>
    <t>McGillick</t>
  </si>
  <si>
    <t>289 Lumber St.</t>
  </si>
  <si>
    <t>May 9, 1879</t>
  </si>
  <si>
    <t>McGraw</t>
  </si>
  <si>
    <t>May 23, 1879</t>
  </si>
  <si>
    <t>Mayr</t>
  </si>
  <si>
    <t>July 21, 1879</t>
  </si>
  <si>
    <t>106 Elm St S.V.O.A.</t>
  </si>
  <si>
    <t>April 1878</t>
  </si>
  <si>
    <t>McGoldnick</t>
  </si>
  <si>
    <t>May 13, 1878</t>
  </si>
  <si>
    <t>155 First St.</t>
  </si>
  <si>
    <t>Broadway N. Albany NY</t>
  </si>
  <si>
    <t>May 25, 1878</t>
  </si>
  <si>
    <t>Removed from St.John's Cemetery June 1, 1878</t>
  </si>
  <si>
    <t>Removed from St.John's Cemetery  June 1, 1878</t>
  </si>
  <si>
    <t>M-12</t>
  </si>
  <si>
    <t xml:space="preserve"> February 16, 1880</t>
  </si>
  <si>
    <t>151 Second St</t>
  </si>
  <si>
    <t>March 15, 1880</t>
  </si>
  <si>
    <t>March 19, 1880</t>
  </si>
  <si>
    <t>McFurry</t>
  </si>
  <si>
    <t>March 25, 1880</t>
  </si>
  <si>
    <t>Schenctady Turnpike</t>
  </si>
  <si>
    <t>March 28, 1880</t>
  </si>
  <si>
    <t>April 7, 1880</t>
  </si>
  <si>
    <t>156 Clinton Ave</t>
  </si>
  <si>
    <t>Manning</t>
  </si>
  <si>
    <t>April 25, 1880</t>
  </si>
  <si>
    <t>Martineau</t>
  </si>
  <si>
    <t>November 26, 1880</t>
  </si>
  <si>
    <t>50 Chapel</t>
  </si>
  <si>
    <t>November 30, 1880</t>
  </si>
  <si>
    <t>82 Van Woert</t>
  </si>
  <si>
    <t>Mullin</t>
  </si>
  <si>
    <t>108 Philip</t>
  </si>
  <si>
    <t>131 Franklin</t>
  </si>
  <si>
    <t>December 19, 1880</t>
  </si>
  <si>
    <t>December 28, 1880</t>
  </si>
  <si>
    <t>226 Livingston</t>
  </si>
  <si>
    <t>December 29, 1880</t>
  </si>
  <si>
    <t>January 9, 1880</t>
  </si>
  <si>
    <t>January 12, 1880</t>
  </si>
  <si>
    <t xml:space="preserve"> February 26, 1880</t>
  </si>
  <si>
    <t>289 Orange St</t>
  </si>
  <si>
    <t xml:space="preserve"> February 28, 1880</t>
  </si>
  <si>
    <t>Murdock</t>
  </si>
  <si>
    <t xml:space="preserve"> February 25, 1880</t>
  </si>
  <si>
    <t>94 Third St</t>
  </si>
  <si>
    <t xml:space="preserve"> February 27, 1880</t>
  </si>
  <si>
    <t>Marange</t>
  </si>
  <si>
    <t>April 4, 1880</t>
  </si>
  <si>
    <t>Old age &amp; Gangrene</t>
  </si>
  <si>
    <t>McManus</t>
  </si>
  <si>
    <t xml:space="preserve"> Reo B.</t>
  </si>
  <si>
    <t>April 20, 1880</t>
  </si>
  <si>
    <t>McCauley</t>
  </si>
  <si>
    <t>May 13, 1880</t>
  </si>
  <si>
    <t>May 19, 1880</t>
  </si>
  <si>
    <t>157 B'way</t>
  </si>
  <si>
    <t>Cohoes NY</t>
  </si>
  <si>
    <t xml:space="preserve">May 22, 1880 </t>
  </si>
  <si>
    <t>163 Eagle</t>
  </si>
  <si>
    <t>May 29, 1880</t>
  </si>
  <si>
    <t>Pearl St Hotel</t>
  </si>
  <si>
    <t>Hart</t>
  </si>
  <si>
    <t xml:space="preserve"> September 7, 1871</t>
  </si>
  <si>
    <t>10 Hawk St.</t>
  </si>
  <si>
    <t xml:space="preserve"> September 9, 1871</t>
  </si>
  <si>
    <t xml:space="preserve"> September 11, 1871</t>
  </si>
  <si>
    <t>798 Broadway</t>
  </si>
  <si>
    <t xml:space="preserve"> September 12, 1871</t>
  </si>
  <si>
    <t>692 Broadway</t>
  </si>
  <si>
    <t xml:space="preserve"> September 13, 1871</t>
  </si>
  <si>
    <t>November 28, 1871</t>
  </si>
  <si>
    <t>3rd St, W. Albany</t>
  </si>
  <si>
    <t>November 30, 1871</t>
  </si>
  <si>
    <t>Hanlon</t>
  </si>
  <si>
    <t>James, Jr.</t>
  </si>
  <si>
    <t>July 13, 1852</t>
  </si>
  <si>
    <t>232 State</t>
  </si>
  <si>
    <t>November 11, 1871</t>
  </si>
  <si>
    <t>Louise 1</t>
  </si>
  <si>
    <t>Plain St.</t>
  </si>
  <si>
    <t>Louise 2</t>
  </si>
  <si>
    <t>H-02</t>
  </si>
  <si>
    <t>Charles B.</t>
  </si>
  <si>
    <t>November 1860</t>
  </si>
  <si>
    <t>Plain Street</t>
  </si>
  <si>
    <t>January 28, 1865</t>
  </si>
  <si>
    <t>Sth Pearl St</t>
  </si>
  <si>
    <t>Ellen Jane</t>
  </si>
  <si>
    <t>52 Chestnut St</t>
  </si>
  <si>
    <t>Hayes</t>
  </si>
  <si>
    <t>N Albany</t>
  </si>
  <si>
    <t>August 21, 1871</t>
  </si>
  <si>
    <t>Cora J.</t>
  </si>
  <si>
    <t>July 1870</t>
  </si>
  <si>
    <t>179 Second St</t>
  </si>
  <si>
    <t>Hooping Cough</t>
  </si>
  <si>
    <t>March 10, 1872</t>
  </si>
  <si>
    <t>858 Broadway</t>
  </si>
  <si>
    <t>Brights Disease of kidney ?</t>
  </si>
  <si>
    <t>April 1859</t>
  </si>
  <si>
    <t>Julia A.</t>
  </si>
  <si>
    <t>April 9, 1870</t>
  </si>
  <si>
    <t>17 Van Woert St</t>
  </si>
  <si>
    <t>Constipation of bowel</t>
  </si>
  <si>
    <t>William J</t>
  </si>
  <si>
    <t>September 3, 1864</t>
  </si>
  <si>
    <t>833 Broadway</t>
  </si>
  <si>
    <t>Hannigan</t>
  </si>
  <si>
    <t>67 Colonie St</t>
  </si>
  <si>
    <t>Hartnett</t>
  </si>
  <si>
    <t>P. J.</t>
  </si>
  <si>
    <t>April 12, 1872</t>
  </si>
  <si>
    <t>Epis Res Alley</t>
  </si>
  <si>
    <t>Disease of the brain</t>
  </si>
  <si>
    <t>April 15, 1872</t>
  </si>
  <si>
    <t>November 8, 1880</t>
  </si>
  <si>
    <t>930 B'way</t>
  </si>
  <si>
    <t>November 18, 1880</t>
  </si>
  <si>
    <t>44 Perry</t>
  </si>
  <si>
    <t>November 22, 1880</t>
  </si>
  <si>
    <t>M-13</t>
  </si>
  <si>
    <t>79 Federal Troy NY</t>
  </si>
  <si>
    <t>30 Athol West Troy NY</t>
  </si>
  <si>
    <t>Troy NY Road</t>
  </si>
  <si>
    <t>Troy NY Road near Menands</t>
  </si>
  <si>
    <t>Lansing St Cohoes</t>
  </si>
  <si>
    <t>Lansingburgh NY</t>
  </si>
  <si>
    <t xml:space="preserve"> October 6, 1881</t>
  </si>
  <si>
    <t>17 Emmet</t>
  </si>
  <si>
    <t>October 8, 1881</t>
  </si>
  <si>
    <t xml:space="preserve"> October 15, 1881</t>
  </si>
  <si>
    <t>87 First St</t>
  </si>
  <si>
    <t>Malaria fever</t>
  </si>
  <si>
    <t>October 17, 1881</t>
  </si>
  <si>
    <t>Germain</t>
  </si>
  <si>
    <t xml:space="preserve"> November 26, 1881</t>
  </si>
  <si>
    <t>51 St NY</t>
  </si>
  <si>
    <t>Malaria &amp; Typhoid</t>
  </si>
  <si>
    <t>Gallie</t>
  </si>
  <si>
    <t xml:space="preserve"> November 29, 1881</t>
  </si>
  <si>
    <t>636 Broadway</t>
  </si>
  <si>
    <t>December 1, 1881</t>
  </si>
  <si>
    <t>Grey</t>
  </si>
  <si>
    <t xml:space="preserve"> December 27, 1881</t>
  </si>
  <si>
    <t>105 Philip</t>
  </si>
  <si>
    <t>December 29, 1881</t>
  </si>
  <si>
    <t xml:space="preserve"> January 31, 1882</t>
  </si>
  <si>
    <t>129 Franklin</t>
  </si>
  <si>
    <t>February 23, 1882</t>
  </si>
  <si>
    <t xml:space="preserve"> April 5, 1882</t>
  </si>
  <si>
    <t>43 Rensselaer</t>
  </si>
  <si>
    <t>April 7, 1882</t>
  </si>
  <si>
    <t>Lillie</t>
  </si>
  <si>
    <t xml:space="preserve"> February 14, 1882</t>
  </si>
  <si>
    <t>Broadway West Troy</t>
  </si>
  <si>
    <t xml:space="preserve"> May 14, 1882</t>
  </si>
  <si>
    <t>Sisters School N Pearl St</t>
  </si>
  <si>
    <t>November 5, 1882</t>
  </si>
  <si>
    <t xml:space="preserve"> April 22, 1882</t>
  </si>
  <si>
    <t xml:space="preserve"> April 23, 1882</t>
  </si>
  <si>
    <t>226 Jefferson</t>
  </si>
  <si>
    <t xml:space="preserve"> May 15, 1882</t>
  </si>
  <si>
    <t>101 Myrtle</t>
  </si>
  <si>
    <t>May 16, 1882</t>
  </si>
  <si>
    <t xml:space="preserve"> May 29, 1882</t>
  </si>
  <si>
    <t>139 Montgomery</t>
  </si>
  <si>
    <t xml:space="preserve"> July 3, 1882</t>
  </si>
  <si>
    <t>272 Third</t>
  </si>
  <si>
    <t>Grant</t>
  </si>
  <si>
    <t xml:space="preserve"> July 11, 1882</t>
  </si>
  <si>
    <t>240 S Pearl</t>
  </si>
  <si>
    <t>July 14, 1882</t>
  </si>
  <si>
    <t xml:space="preserve"> July 22, 1882</t>
  </si>
  <si>
    <t>Lumber &amp; Swan</t>
  </si>
  <si>
    <t>Gilmore</t>
  </si>
  <si>
    <t>Hanora</t>
  </si>
  <si>
    <t xml:space="preserve"> August 2, 1882</t>
  </si>
  <si>
    <t>295 Second</t>
  </si>
  <si>
    <t>August 4, 1882</t>
  </si>
  <si>
    <t xml:space="preserve"> August 12, 1882</t>
  </si>
  <si>
    <t>21 Emmet</t>
  </si>
  <si>
    <t>Minnie E.</t>
  </si>
  <si>
    <t xml:space="preserve"> August 14, 1882</t>
  </si>
  <si>
    <t>Gratton</t>
  </si>
  <si>
    <t xml:space="preserve"> August 21, 1882</t>
  </si>
  <si>
    <t>101 Eagle</t>
  </si>
  <si>
    <t>Watertown</t>
  </si>
  <si>
    <t xml:space="preserve"> September 4, 1882</t>
  </si>
  <si>
    <t>Union St West Troy</t>
  </si>
  <si>
    <t>Willie C.</t>
  </si>
  <si>
    <t>May 16, 1875</t>
  </si>
  <si>
    <t>198 N Pearl</t>
  </si>
  <si>
    <t>Jan 12, 1875</t>
  </si>
  <si>
    <t>Jan 13, 1875</t>
  </si>
  <si>
    <t>McGee</t>
  </si>
  <si>
    <t>Scrofula ?</t>
  </si>
  <si>
    <t>May 9, 1875</t>
  </si>
  <si>
    <t>455 Clinton Ave</t>
  </si>
  <si>
    <t>December 1874</t>
  </si>
  <si>
    <t>N Lansing St</t>
  </si>
  <si>
    <t>Mohan</t>
  </si>
  <si>
    <t>March 26, 1874</t>
  </si>
  <si>
    <t>159 Franklin St</t>
  </si>
  <si>
    <t>Rensselaer Co.</t>
  </si>
  <si>
    <t>May 22, 1875</t>
  </si>
  <si>
    <t>McNamary</t>
  </si>
  <si>
    <t>47 Clinton</t>
  </si>
  <si>
    <t>Joseph M.</t>
  </si>
  <si>
    <t>May 19,1875</t>
  </si>
  <si>
    <t>83 Lawrence St</t>
  </si>
  <si>
    <t>May 23, 1875</t>
  </si>
  <si>
    <t>McIntee</t>
  </si>
  <si>
    <t>12 Orchard St</t>
  </si>
  <si>
    <t>Year 1844</t>
  </si>
  <si>
    <t>January 25, 1848</t>
  </si>
  <si>
    <t>January 15, 1848</t>
  </si>
  <si>
    <t>September 24, 1869</t>
  </si>
  <si>
    <t xml:space="preserve">99 Schuyler </t>
  </si>
  <si>
    <t>June 8, 1875</t>
  </si>
  <si>
    <t>46 Broad</t>
  </si>
  <si>
    <t>Millerick</t>
  </si>
  <si>
    <t>Gansevoort St</t>
  </si>
  <si>
    <t>Abscess</t>
  </si>
  <si>
    <t>Myers</t>
  </si>
  <si>
    <t>June 12, 1875</t>
  </si>
  <si>
    <t>402 8th St</t>
  </si>
  <si>
    <t xml:space="preserve">Daniel </t>
  </si>
  <si>
    <t>March 15, 1851</t>
  </si>
  <si>
    <t>26 Colonie St</t>
  </si>
  <si>
    <t>Scotland</t>
  </si>
  <si>
    <t>July 4, 1875</t>
  </si>
  <si>
    <t>106 Arch</t>
  </si>
  <si>
    <t>July 6, 1875</t>
  </si>
  <si>
    <t>July 7, 1875</t>
  </si>
  <si>
    <t>155 Grand St</t>
  </si>
  <si>
    <t>July 8, 1875</t>
  </si>
  <si>
    <t>McEntee</t>
  </si>
  <si>
    <t>397 Broadway</t>
  </si>
  <si>
    <t>July 10, 1875</t>
  </si>
  <si>
    <t>Miller</t>
  </si>
  <si>
    <t>Green &amp; Westerlo St</t>
  </si>
  <si>
    <t>July 12, 1875</t>
  </si>
  <si>
    <t>Mulvey</t>
  </si>
  <si>
    <t>143 Third St</t>
  </si>
  <si>
    <t>Mulvill</t>
  </si>
  <si>
    <t>Snipe cor Third</t>
  </si>
  <si>
    <t>148 Second St</t>
  </si>
  <si>
    <t>August 19, 1875</t>
  </si>
  <si>
    <t>401 N Pearl St</t>
  </si>
  <si>
    <t>August 21, 1875</t>
  </si>
  <si>
    <t>Year 1854</t>
  </si>
  <si>
    <t>McKeogh</t>
  </si>
  <si>
    <t>September 6, 1875</t>
  </si>
  <si>
    <t>4 Road St</t>
  </si>
  <si>
    <t>September 8, 1875</t>
  </si>
  <si>
    <t>Marcus</t>
  </si>
  <si>
    <t>Monica</t>
  </si>
  <si>
    <t>September 2, 1875</t>
  </si>
  <si>
    <t>Cor Broadway &amp; Colonie</t>
  </si>
  <si>
    <t>September  1875</t>
  </si>
  <si>
    <t>September 19, 1875</t>
  </si>
  <si>
    <t>335 N Pearl</t>
  </si>
  <si>
    <t>September 21, 1875</t>
  </si>
  <si>
    <t>M-08</t>
  </si>
  <si>
    <t>87 Cherry</t>
  </si>
  <si>
    <t>143 Elk</t>
  </si>
  <si>
    <t>1185 Broadway</t>
  </si>
  <si>
    <t>5 South St., N. Albany</t>
  </si>
  <si>
    <t>48 N. Lark</t>
  </si>
  <si>
    <t>169 Colonie</t>
  </si>
  <si>
    <t>Hodgsett</t>
  </si>
  <si>
    <t>30 Canal</t>
  </si>
  <si>
    <t>Cancerous Debility</t>
  </si>
  <si>
    <t>September 9, 1882</t>
  </si>
  <si>
    <t>109 Second St.</t>
  </si>
  <si>
    <t>September 19, 1882</t>
  </si>
  <si>
    <t>Hanratty</t>
  </si>
  <si>
    <t>September 21, 1882</t>
  </si>
  <si>
    <t>Boston St. W. Troy NY</t>
  </si>
  <si>
    <t>September 28, 1882</t>
  </si>
  <si>
    <t>Hays</t>
  </si>
  <si>
    <t>October 1, 1882</t>
  </si>
  <si>
    <t>32 Rensselaer</t>
  </si>
  <si>
    <t>October 3, 1882</t>
  </si>
  <si>
    <t>23 Central</t>
  </si>
  <si>
    <t>October 19, 1882</t>
  </si>
  <si>
    <t>19 Quackenbush</t>
  </si>
  <si>
    <t>November 7, 1882</t>
  </si>
  <si>
    <t>November 11, 1882</t>
  </si>
  <si>
    <t>November 12, 1882</t>
  </si>
  <si>
    <t>November 20, 1882</t>
  </si>
  <si>
    <t>Park Place</t>
  </si>
  <si>
    <t>December 20, 1882</t>
  </si>
  <si>
    <t>140 Franklin</t>
  </si>
  <si>
    <t>Cong. Of Liver</t>
  </si>
  <si>
    <t>Vault December 21, 1882</t>
  </si>
  <si>
    <t>21 Emmett</t>
  </si>
  <si>
    <t>Vault December 24, 1882</t>
  </si>
  <si>
    <t>Igo</t>
  </si>
  <si>
    <t>13 Erie St.</t>
  </si>
  <si>
    <t>I-01</t>
  </si>
  <si>
    <t>J-01</t>
  </si>
  <si>
    <t xml:space="preserve"> February 1, 1874</t>
  </si>
  <si>
    <t>136 Third Street</t>
  </si>
  <si>
    <t xml:space="preserve"> July 17, 1874</t>
  </si>
  <si>
    <t>11 Myrtle Avenue</t>
  </si>
  <si>
    <t>Water on the brain</t>
  </si>
  <si>
    <t>Guinane</t>
  </si>
  <si>
    <t>Edmund</t>
  </si>
  <si>
    <t xml:space="preserve"> July 20, 1874</t>
  </si>
  <si>
    <t>63 Lawrence Street</t>
  </si>
  <si>
    <t>Jennie</t>
  </si>
  <si>
    <t xml:space="preserve">North Albany   </t>
  </si>
  <si>
    <t xml:space="preserve"> August 23, 1874</t>
  </si>
  <si>
    <t>North Street North Albany</t>
  </si>
  <si>
    <t>Consumption of the Bowels</t>
  </si>
  <si>
    <t>Gallalahen</t>
  </si>
  <si>
    <t xml:space="preserve"> December 24, 1874</t>
  </si>
  <si>
    <t>131 Third Street</t>
  </si>
  <si>
    <t>December 26, 1874</t>
  </si>
  <si>
    <t>Galvin</t>
  </si>
  <si>
    <t xml:space="preserve"> January 16, 1875</t>
  </si>
  <si>
    <t>147 Lumber Street</t>
  </si>
  <si>
    <t>James McQ</t>
  </si>
  <si>
    <t xml:space="preserve"> January 25, 1875</t>
  </si>
  <si>
    <t>Greeley</t>
  </si>
  <si>
    <t>March 6, 1875</t>
  </si>
  <si>
    <t>96 Madison Avenue</t>
  </si>
  <si>
    <t xml:space="preserve"> April 7, 1875</t>
  </si>
  <si>
    <t>56 Lawrence Street</t>
  </si>
  <si>
    <t>Killed by Accident</t>
  </si>
  <si>
    <t xml:space="preserve"> February 7, 1875</t>
  </si>
  <si>
    <t>February 8, 1875</t>
  </si>
  <si>
    <t>January 29, 1854</t>
  </si>
  <si>
    <t>August 29, 1854</t>
  </si>
  <si>
    <t>Reilly</t>
  </si>
  <si>
    <t>September 21, 1845</t>
  </si>
  <si>
    <t>Roark</t>
  </si>
  <si>
    <t>January 10, 1859</t>
  </si>
  <si>
    <t>July 7, 1869</t>
  </si>
  <si>
    <t>March 25, 1867</t>
  </si>
  <si>
    <t>Rogers</t>
  </si>
  <si>
    <t>June 29, 1861</t>
  </si>
  <si>
    <t>Rehill</t>
  </si>
  <si>
    <t>Redmond</t>
  </si>
  <si>
    <t>November 13, 1870</t>
  </si>
  <si>
    <t>November 14, 1870</t>
  </si>
  <si>
    <t>July 6, 1863</t>
  </si>
  <si>
    <t>January 12, 1867</t>
  </si>
  <si>
    <t>April 2, 1870</t>
  </si>
  <si>
    <t>January 29, 1865</t>
  </si>
  <si>
    <t>Reardon</t>
  </si>
  <si>
    <t>September 3, 1865</t>
  </si>
  <si>
    <t>January 20, 1870</t>
  </si>
  <si>
    <t>Riley</t>
  </si>
  <si>
    <t>January 11, 1871</t>
  </si>
  <si>
    <t xml:space="preserve"> February 22, 1871</t>
  </si>
  <si>
    <t>May 9, 1871</t>
  </si>
  <si>
    <t>Reilley</t>
  </si>
  <si>
    <t>January 24, 1871</t>
  </si>
  <si>
    <t>Rice</t>
  </si>
  <si>
    <t>November 15, 1861</t>
  </si>
  <si>
    <t>January 10, 1869</t>
  </si>
  <si>
    <t>Inf. Of Marrow of Bone</t>
  </si>
  <si>
    <t>129 First St. </t>
  </si>
  <si>
    <t>Roarke</t>
  </si>
  <si>
    <t>June 12, 1842</t>
  </si>
  <si>
    <t>Hudson St.</t>
  </si>
  <si>
    <t>June 19, 1842</t>
  </si>
  <si>
    <t>June 18, 1854</t>
  </si>
  <si>
    <t>54 Second St.</t>
  </si>
  <si>
    <t>Ralph</t>
  </si>
  <si>
    <t>Menands Station</t>
  </si>
  <si>
    <t>October 20, 1871</t>
  </si>
  <si>
    <t>October 22, 1871</t>
  </si>
  <si>
    <t>January 30, 1868</t>
  </si>
  <si>
    <t>155 Broadway</t>
  </si>
  <si>
    <t>Hip disease</t>
  </si>
  <si>
    <t>November 8, 1871</t>
  </si>
  <si>
    <t>May 8, 1865</t>
  </si>
  <si>
    <t>5 Hamilton St</t>
  </si>
  <si>
    <t>June 23, 1871</t>
  </si>
  <si>
    <t>23 Delitt St.</t>
  </si>
  <si>
    <t>June 27, 1871</t>
  </si>
  <si>
    <t>January 5, 1872</t>
  </si>
  <si>
    <t>35 Delitt St. </t>
  </si>
  <si>
    <t>55 Lawrence St</t>
  </si>
  <si>
    <t>R-02</t>
  </si>
  <si>
    <t>Scarlet Fever</t>
  </si>
  <si>
    <t>Inflamation of Lungs</t>
  </si>
  <si>
    <t>Typhus Fever</t>
  </si>
  <si>
    <t>Cholera</t>
  </si>
  <si>
    <t>Croup</t>
  </si>
  <si>
    <t>Dropsy</t>
  </si>
  <si>
    <t>Lesion of Brain</t>
  </si>
  <si>
    <t>Unknown</t>
  </si>
  <si>
    <t>Bronchitis</t>
  </si>
  <si>
    <t>Natural Causes</t>
  </si>
  <si>
    <t>Consumption</t>
  </si>
  <si>
    <t>Asthma</t>
  </si>
  <si>
    <t>Rheumatism</t>
  </si>
  <si>
    <t>Paralysis</t>
  </si>
  <si>
    <t>Quick Consumption</t>
  </si>
  <si>
    <t>Heavy Cold</t>
  </si>
  <si>
    <t>Pneumonia</t>
  </si>
  <si>
    <t>Old Age</t>
  </si>
  <si>
    <t>Heart Disease</t>
  </si>
  <si>
    <t>Peritonitis</t>
  </si>
  <si>
    <t>Fits</t>
  </si>
  <si>
    <t>Effusion of Brain</t>
  </si>
  <si>
    <t>Congestion</t>
  </si>
  <si>
    <t>Debility</t>
  </si>
  <si>
    <t>Injuries from Fall</t>
  </si>
  <si>
    <t>July 21,1868</t>
  </si>
  <si>
    <t>November 26, 1869</t>
  </si>
  <si>
    <t>October 22, 1870</t>
  </si>
  <si>
    <t>May 3, 1871</t>
  </si>
  <si>
    <t>May 24, 1872</t>
  </si>
  <si>
    <t>May 27, 1873</t>
  </si>
  <si>
    <t>April 20, 1873</t>
  </si>
  <si>
    <t>September 20, 1873</t>
  </si>
  <si>
    <t>May 17, 1874</t>
  </si>
  <si>
    <t>March 27, 1874</t>
  </si>
  <si>
    <t>September 21, 1874</t>
  </si>
  <si>
    <t>March 22, 1875</t>
  </si>
  <si>
    <t>February 24, 1875</t>
  </si>
  <si>
    <t>June 4, 1875</t>
  </si>
  <si>
    <t>November 20, 1875</t>
  </si>
  <si>
    <t>June 4, 1876</t>
  </si>
  <si>
    <t>June 14, 1876</t>
  </si>
  <si>
    <t>January 15, 1877</t>
  </si>
  <si>
    <t>January 17, 1877</t>
  </si>
  <si>
    <t>February 21, 1877</t>
  </si>
  <si>
    <t>March 8, 1877</t>
  </si>
  <si>
    <t>April 29, 1877</t>
  </si>
  <si>
    <t>May 15, 1879</t>
  </si>
  <si>
    <t>March 27, 1879</t>
  </si>
  <si>
    <t>January 4, 1880</t>
  </si>
  <si>
    <t>April 1, 1882</t>
  </si>
  <si>
    <t>May 22, 1882</t>
  </si>
  <si>
    <t>July 31, 1881</t>
  </si>
  <si>
    <t>December 21, 1881</t>
  </si>
  <si>
    <t>May 30, 1882</t>
  </si>
  <si>
    <t>July 24, 1882</t>
  </si>
  <si>
    <t>August 16, 1882</t>
  </si>
  <si>
    <t>October ?, 1860</t>
  </si>
  <si>
    <t>October 6, 1867</t>
  </si>
  <si>
    <t>January 25, 1845</t>
  </si>
  <si>
    <t>?</t>
  </si>
  <si>
    <t>October 26, 1869</t>
  </si>
  <si>
    <t>October 20, 1870</t>
  </si>
  <si>
    <t>February 3, 1870</t>
  </si>
  <si>
    <t>March 17, 1872</t>
  </si>
  <si>
    <t>October ?, 1859</t>
  </si>
  <si>
    <t>February ?, 1873</t>
  </si>
  <si>
    <t>May ?, 1852</t>
  </si>
  <si>
    <t>? 1852</t>
  </si>
  <si>
    <t>January 7,1874</t>
  </si>
  <si>
    <t>March 23, 1874</t>
  </si>
  <si>
    <t>November 28, 1827</t>
  </si>
  <si>
    <t>July 28, 1832</t>
  </si>
  <si>
    <t>February 11, 1816</t>
  </si>
  <si>
    <t>March 20, 1875</t>
  </si>
  <si>
    <t>February 22, 1875</t>
  </si>
  <si>
    <t>March 27, 1875</t>
  </si>
  <si>
    <t>January 24, 1864</t>
  </si>
  <si>
    <t>June 1, 1876</t>
  </si>
  <si>
    <t>June 12, 1876</t>
  </si>
  <si>
    <t>June 13, 1877</t>
  </si>
  <si>
    <t>February 18, 1877</t>
  </si>
  <si>
    <t>March 6, 1877</t>
  </si>
  <si>
    <t>April 26, 1874</t>
  </si>
  <si>
    <t>May 11, 1879</t>
  </si>
  <si>
    <t>March 24, 1879</t>
  </si>
  <si>
    <t>January 2, 1880</t>
  </si>
  <si>
    <t>March 29, 1882</t>
  </si>
  <si>
    <t xml:space="preserve"> May 18, 1882</t>
  </si>
  <si>
    <t>July 30, 1881</t>
  </si>
  <si>
    <t>December 19, 1881</t>
  </si>
  <si>
    <t>May 19, 1882</t>
  </si>
  <si>
    <t>July 22, 1882</t>
  </si>
  <si>
    <t>August 14, 1882</t>
  </si>
  <si>
    <t xml:space="preserve">       NAME - LAST</t>
  </si>
  <si>
    <t>Bartley</t>
  </si>
  <si>
    <t>Brigger</t>
  </si>
  <si>
    <t>Bly</t>
  </si>
  <si>
    <t>Burke</t>
  </si>
  <si>
    <t>Burton</t>
  </si>
  <si>
    <t>Brennan</t>
  </si>
  <si>
    <t>Boyd</t>
  </si>
  <si>
    <t>Boyle</t>
  </si>
  <si>
    <t>Becket</t>
  </si>
  <si>
    <t>Bowden</t>
  </si>
  <si>
    <t>Burk</t>
  </si>
  <si>
    <t>Brown</t>
  </si>
  <si>
    <t>Brady</t>
  </si>
  <si>
    <t>Brenan</t>
  </si>
  <si>
    <t>June 17, 1868</t>
  </si>
  <si>
    <t>April 3, 1872</t>
  </si>
  <si>
    <t>December 31, 1844</t>
  </si>
  <si>
    <t>August 16, 1865</t>
  </si>
  <si>
    <t>February 11, 1872</t>
  </si>
  <si>
    <t>November 25, 1871</t>
  </si>
  <si>
    <t>March 3, 1872</t>
  </si>
  <si>
    <t>August 4, 1854</t>
  </si>
  <si>
    <t>July 10, 1868</t>
  </si>
  <si>
    <t>December 1, 1871</t>
  </si>
  <si>
    <t>September 19, 1871</t>
  </si>
  <si>
    <t>November 12, 1861</t>
  </si>
  <si>
    <t>August 8, 1871</t>
  </si>
  <si>
    <t>June 20, 1871</t>
  </si>
  <si>
    <t>March 23, 1871</t>
  </si>
  <si>
    <t>November 29, 1870</t>
  </si>
  <si>
    <t>September 23, 1858</t>
  </si>
  <si>
    <t>January 27, 1844</t>
  </si>
  <si>
    <t>December, 1870</t>
  </si>
  <si>
    <t>March 12, 1871</t>
  </si>
  <si>
    <t>October 11, 1870</t>
  </si>
  <si>
    <t xml:space="preserve"> April 19, 1870</t>
  </si>
  <si>
    <t>June 2, 1848</t>
  </si>
  <si>
    <t>October 22, 1869</t>
  </si>
  <si>
    <t>July 9, 1869</t>
  </si>
  <si>
    <t>May 26, 1869</t>
  </si>
  <si>
    <t>February, 1839</t>
  </si>
  <si>
    <t>September 30, 1868</t>
  </si>
  <si>
    <t>September 3, 1868</t>
  </si>
  <si>
    <t>A-01</t>
  </si>
  <si>
    <t>B-01</t>
  </si>
  <si>
    <t>B-02</t>
  </si>
  <si>
    <t>105 Orange St</t>
  </si>
  <si>
    <t xml:space="preserve">Brady  </t>
  </si>
  <si>
    <t>August 17, 1865</t>
  </si>
  <si>
    <t>Bowery</t>
  </si>
  <si>
    <t>Cancer of Mouth</t>
  </si>
  <si>
    <t>June 5, 1872</t>
  </si>
  <si>
    <t>Burns</t>
  </si>
  <si>
    <t>May 25, 1872</t>
  </si>
  <si>
    <t>153 Church St</t>
  </si>
  <si>
    <t>Infl of Kidneys</t>
  </si>
  <si>
    <t>June 9, 1872</t>
  </si>
  <si>
    <t>April 1, 1872</t>
  </si>
  <si>
    <t>186 Lancaster St</t>
  </si>
  <si>
    <t>June 17, 1872</t>
  </si>
  <si>
    <t>Grace</t>
  </si>
  <si>
    <t>July 7, 1872</t>
  </si>
  <si>
    <t>53 Jefferson St</t>
  </si>
  <si>
    <t>Convulsions</t>
  </si>
  <si>
    <t>Edward J.</t>
  </si>
  <si>
    <t>July 14, 1872</t>
  </si>
  <si>
    <t>14 Railroad Ave</t>
  </si>
  <si>
    <t>Chol. Infantum</t>
  </si>
  <si>
    <t>July 16, 1872</t>
  </si>
  <si>
    <t>Bouden</t>
  </si>
  <si>
    <t>July 19, 1872</t>
  </si>
  <si>
    <t>264 2nd St</t>
  </si>
  <si>
    <t>July 31, 1872</t>
  </si>
  <si>
    <t>Maria</t>
  </si>
  <si>
    <t>April 18, 1872</t>
  </si>
  <si>
    <t>44 Swan St</t>
  </si>
  <si>
    <t>April 19, 1873</t>
  </si>
  <si>
    <t>33 Van Vetchen St</t>
  </si>
  <si>
    <t>April 21, 1873</t>
  </si>
  <si>
    <t>Johanna</t>
  </si>
  <si>
    <t>May 20, 1873</t>
  </si>
  <si>
    <t>151 Orange St</t>
  </si>
  <si>
    <t>May 22, 1873</t>
  </si>
  <si>
    <t>Catharine</t>
  </si>
  <si>
    <t>March 30, 1873</t>
  </si>
  <si>
    <t>Van Zandt St</t>
  </si>
  <si>
    <t>May 30, 1873</t>
  </si>
  <si>
    <t>March 13, 1872</t>
  </si>
  <si>
    <t>Maryann</t>
  </si>
  <si>
    <t>35 Van Zandt St</t>
  </si>
  <si>
    <t>Decline</t>
  </si>
  <si>
    <t>June 1, 1873</t>
  </si>
  <si>
    <t>Barry</t>
  </si>
  <si>
    <t>February 2, 1873</t>
  </si>
  <si>
    <t>24 Daniel St</t>
  </si>
  <si>
    <t>June 2, 1873</t>
  </si>
  <si>
    <t>William</t>
  </si>
  <si>
    <t>July 15, 1873</t>
  </si>
  <si>
    <t>N. Alby Lock 2 Erie Canal</t>
  </si>
  <si>
    <t>July 16, 1873</t>
  </si>
  <si>
    <t>NAME - FIRST</t>
  </si>
  <si>
    <t>June 5, 1881</t>
  </si>
  <si>
    <t>Bresnan</t>
  </si>
  <si>
    <t>July 9, 1881</t>
  </si>
  <si>
    <t>July 11,1881</t>
  </si>
  <si>
    <t>Bransfield</t>
  </si>
  <si>
    <t>July 29, 1881</t>
  </si>
  <si>
    <t>5 Lancaster</t>
  </si>
  <si>
    <t>Birmingham</t>
  </si>
  <si>
    <t>August 28,1881</t>
  </si>
  <si>
    <t>354 N. Pearl</t>
  </si>
  <si>
    <t>Chocked</t>
  </si>
  <si>
    <t>August 30, 1881</t>
  </si>
  <si>
    <t>September 17, 1881</t>
  </si>
  <si>
    <t>53 Third Ave</t>
  </si>
  <si>
    <t xml:space="preserve"> </t>
  </si>
  <si>
    <t>September 19, 1881</t>
  </si>
  <si>
    <t>Nellie E.</t>
  </si>
  <si>
    <t>September 24, 1881</t>
  </si>
  <si>
    <t>67 Watervliet Ave.</t>
  </si>
  <si>
    <t>September 26, 1881</t>
  </si>
  <si>
    <t>Bassett</t>
  </si>
  <si>
    <t>49 Jefferson</t>
  </si>
  <si>
    <t>Spinal Disease</t>
  </si>
  <si>
    <t>September 29, 1881</t>
  </si>
  <si>
    <t>October 30, 1881</t>
  </si>
  <si>
    <t>90 Madison</t>
  </si>
  <si>
    <t>November 1, 1881</t>
  </si>
  <si>
    <t>Hanorah</t>
  </si>
  <si>
    <t>November 5, 1881</t>
  </si>
  <si>
    <t>20 Genessee</t>
  </si>
  <si>
    <t>November 7, 1881</t>
  </si>
  <si>
    <t>41 Bassett</t>
  </si>
  <si>
    <t>November 8, 1881</t>
  </si>
  <si>
    <t>December 5, 1881</t>
  </si>
  <si>
    <t>56 Hawk</t>
  </si>
  <si>
    <t>December 7, 1881</t>
  </si>
  <si>
    <t>December 20, 1881</t>
  </si>
  <si>
    <t>December 22, 1881</t>
  </si>
  <si>
    <t>November 9, 1881</t>
  </si>
  <si>
    <t>Orphan Asylum</t>
  </si>
  <si>
    <t>November 10, 1881</t>
  </si>
  <si>
    <t>May 9, 1882</t>
  </si>
  <si>
    <t xml:space="preserve">69 N. Lansing </t>
  </si>
  <si>
    <t>May 11,1882</t>
  </si>
  <si>
    <t>Brice</t>
  </si>
  <si>
    <t>Seneca Falls</t>
  </si>
  <si>
    <t>May 10, 1882</t>
  </si>
  <si>
    <t>33 Dallius</t>
  </si>
  <si>
    <t>Paralyzed</t>
  </si>
  <si>
    <t>May 13, 1882</t>
  </si>
  <si>
    <t>Bacon</t>
  </si>
  <si>
    <t>May 27, 1882</t>
  </si>
  <si>
    <t>132 Dove St.</t>
  </si>
  <si>
    <t>June 14, 1882</t>
  </si>
  <si>
    <t>Inflammation of Bowels</t>
  </si>
  <si>
    <t>June 17, 1882</t>
  </si>
  <si>
    <t>July 20, 1882</t>
  </si>
  <si>
    <t>Typhoid Pneumonia</t>
  </si>
  <si>
    <t>July 23, 1882</t>
  </si>
  <si>
    <t>America</t>
  </si>
  <si>
    <t>74 Park Ave.</t>
  </si>
  <si>
    <t>Benedict</t>
  </si>
  <si>
    <t>August 25, 1882</t>
  </si>
  <si>
    <t>32 Jefferson</t>
  </si>
  <si>
    <t>August 27, 1882</t>
  </si>
  <si>
    <t>September 29, 1882</t>
  </si>
  <si>
    <t>140 First St.</t>
  </si>
  <si>
    <t>October 2, 1882</t>
  </si>
  <si>
    <t>Michael W.</t>
  </si>
  <si>
    <t>October 25, 1882</t>
  </si>
  <si>
    <t>172 Hudson</t>
  </si>
  <si>
    <t>Exhaustion</t>
  </si>
  <si>
    <t>October 27, 1882</t>
  </si>
  <si>
    <t>Buchanan</t>
  </si>
  <si>
    <t>Mary L.</t>
  </si>
  <si>
    <t>October 26, 1882</t>
  </si>
  <si>
    <t>41 Schuyler</t>
  </si>
  <si>
    <t>October 28, 1882</t>
  </si>
  <si>
    <t>Felix</t>
  </si>
  <si>
    <t>21 1/2 Centre St.</t>
  </si>
  <si>
    <t>October 30, 1882</t>
  </si>
  <si>
    <t>Butler</t>
  </si>
  <si>
    <t>December 5, 1882</t>
  </si>
  <si>
    <t>68 Second St.</t>
  </si>
  <si>
    <t>December 7, 1882</t>
  </si>
  <si>
    <t>Hattie</t>
  </si>
  <si>
    <t>December 25, 1882</t>
  </si>
  <si>
    <t>355 N. Pearl</t>
  </si>
  <si>
    <t>Cagger</t>
  </si>
  <si>
    <t>N.Y.</t>
  </si>
  <si>
    <t xml:space="preserve"> July 1868</t>
  </si>
  <si>
    <t>Albany NY</t>
  </si>
  <si>
    <t>Crowley</t>
  </si>
  <si>
    <t>Philip</t>
  </si>
  <si>
    <t>June 7, 1868</t>
  </si>
  <si>
    <t>Conick</t>
  </si>
  <si>
    <t xml:space="preserve">June 20, 1868 </t>
  </si>
  <si>
    <t>March 16, 1867</t>
  </si>
  <si>
    <t>Colloten</t>
  </si>
  <si>
    <t>Libby</t>
  </si>
  <si>
    <t>June 21, 1869</t>
  </si>
  <si>
    <t>Carmody</t>
  </si>
  <si>
    <t>John Jr.</t>
  </si>
  <si>
    <t>September 1867</t>
  </si>
  <si>
    <t>Brights</t>
  </si>
  <si>
    <t>July 22, 1868</t>
  </si>
  <si>
    <t>Margaret I.</t>
  </si>
  <si>
    <t>Kenwood</t>
  </si>
  <si>
    <t xml:space="preserve">Carmody </t>
  </si>
  <si>
    <t>Richard B.</t>
  </si>
  <si>
    <t>Mary B.</t>
  </si>
  <si>
    <t>Clifford</t>
  </si>
  <si>
    <t>Nellie S.</t>
  </si>
  <si>
    <t>Troy Road</t>
  </si>
  <si>
    <t>November 6, 1867</t>
  </si>
  <si>
    <t>November 6, 1868</t>
  </si>
  <si>
    <t>December 1868</t>
  </si>
  <si>
    <t>December 2, 1868</t>
  </si>
  <si>
    <t>Cassin</t>
  </si>
  <si>
    <t>Honora</t>
  </si>
  <si>
    <t>Greenbush, NY</t>
  </si>
  <si>
    <t>March 24, 1869</t>
  </si>
  <si>
    <t>Heart</t>
  </si>
  <si>
    <t>May 18, 1869</t>
  </si>
  <si>
    <t>Carmodry</t>
  </si>
  <si>
    <t>Patrick E.</t>
  </si>
  <si>
    <t>March 12, 1869</t>
  </si>
  <si>
    <t>May 23, 1869</t>
  </si>
  <si>
    <t>Craver</t>
  </si>
  <si>
    <t>Charles E., Rev.</t>
  </si>
  <si>
    <t xml:space="preserve">Troy NY </t>
  </si>
  <si>
    <t>October 8, 1868</t>
  </si>
  <si>
    <t>June 4, 1869</t>
  </si>
  <si>
    <t>April 4, 1869</t>
  </si>
  <si>
    <t>June 13, 1869</t>
  </si>
  <si>
    <t>Casey</t>
  </si>
  <si>
    <t>Troy, NY</t>
  </si>
  <si>
    <t>June 24, 1869</t>
  </si>
  <si>
    <t>June 27, 1869</t>
  </si>
  <si>
    <t>Cary</t>
  </si>
  <si>
    <t>Joseph I.</t>
  </si>
  <si>
    <t>August 12, 1869</t>
  </si>
  <si>
    <t>August 13, 1869</t>
  </si>
  <si>
    <t>Carey</t>
  </si>
  <si>
    <t>June 30, 1869</t>
  </si>
  <si>
    <t>C. Infection</t>
  </si>
  <si>
    <t>September 8, 1869</t>
  </si>
  <si>
    <t>Cahill</t>
  </si>
  <si>
    <t>June 19, 1870</t>
  </si>
  <si>
    <t>West Troy NY</t>
  </si>
  <si>
    <t>June 21, 1870</t>
  </si>
  <si>
    <t>Carr</t>
  </si>
  <si>
    <t>Thomas, Jr.</t>
  </si>
  <si>
    <t>Hoffman Ferry, NY</t>
  </si>
  <si>
    <t>Port Schuyler</t>
  </si>
  <si>
    <t>January 16, 1870</t>
  </si>
  <si>
    <t>May 8, 1870</t>
  </si>
  <si>
    <t>Cannon</t>
  </si>
  <si>
    <t>May 12, 1870</t>
  </si>
  <si>
    <t>Costigan</t>
  </si>
  <si>
    <t>Marian</t>
  </si>
  <si>
    <t>June 1854</t>
  </si>
  <si>
    <t>August 1854</t>
  </si>
  <si>
    <t>William G.</t>
  </si>
  <si>
    <t>Sarasota Springs</t>
  </si>
  <si>
    <t>April 1857</t>
  </si>
  <si>
    <t>Sarah Ann</t>
  </si>
  <si>
    <t xml:space="preserve">June 1857 </t>
  </si>
  <si>
    <t>Agnes R.</t>
  </si>
  <si>
    <t>July 1866</t>
  </si>
  <si>
    <t>Charles E.</t>
  </si>
  <si>
    <t>N.Y. City</t>
  </si>
  <si>
    <t>April 1844</t>
  </si>
  <si>
    <t>Cuddy</t>
  </si>
  <si>
    <t>May 15, 1870</t>
  </si>
  <si>
    <t>June 24, 1853</t>
  </si>
  <si>
    <t>October 20, 1859</t>
  </si>
  <si>
    <t>Caylar</t>
  </si>
  <si>
    <t>July 31, 1870</t>
  </si>
  <si>
    <t>810 Broadway, Albany NY</t>
  </si>
  <si>
    <t>August 3, 1870</t>
  </si>
  <si>
    <t>Cassidy</t>
  </si>
  <si>
    <t>Fannie Louisa</t>
  </si>
  <si>
    <t>July 8, 1870</t>
  </si>
  <si>
    <t>5 Clinton Square Albany NY</t>
  </si>
  <si>
    <t>July 11, 1870</t>
  </si>
  <si>
    <t>September 18, 1870</t>
  </si>
  <si>
    <t>September 21, 1870</t>
  </si>
  <si>
    <t>Curran</t>
  </si>
  <si>
    <t>May 4, 1860</t>
  </si>
  <si>
    <t>Jackson St., Albany NY</t>
  </si>
  <si>
    <t>Accidental Death</t>
  </si>
  <si>
    <t>October 7, 1870</t>
  </si>
  <si>
    <t xml:space="preserve">July 4, 1860 </t>
  </si>
  <si>
    <t>17 Colonie St., Albany NY</t>
  </si>
  <si>
    <t>Cronley</t>
  </si>
  <si>
    <t>October 12, 1870</t>
  </si>
  <si>
    <t>October 14, 1870</t>
  </si>
  <si>
    <t xml:space="preserve">John </t>
  </si>
  <si>
    <t>November 16, 1866</t>
  </si>
  <si>
    <t>75 Neucella L., Albany NY</t>
  </si>
  <si>
    <t>October 18, 1870</t>
  </si>
  <si>
    <t>W. Troy NY</t>
  </si>
  <si>
    <t>November 1, 1870</t>
  </si>
  <si>
    <t>November 3, 1870</t>
  </si>
  <si>
    <t>Campbell</t>
  </si>
  <si>
    <t>May 5, 1871</t>
  </si>
  <si>
    <t>36 Monroe</t>
  </si>
  <si>
    <t>Hemorrhage of Lungs</t>
  </si>
  <si>
    <t>June 21, 1882</t>
  </si>
  <si>
    <t>July 19, 1882</t>
  </si>
  <si>
    <t>25 Van Woert</t>
  </si>
  <si>
    <t>July 21, 1882</t>
  </si>
  <si>
    <t>8 Albany</t>
  </si>
  <si>
    <t>July 25, 1882</t>
  </si>
  <si>
    <t>July 26, 1882</t>
  </si>
  <si>
    <t>71 Central</t>
  </si>
  <si>
    <t>Fennelly</t>
  </si>
  <si>
    <t>110 Dallius</t>
  </si>
  <si>
    <t>Cholera morbus</t>
  </si>
  <si>
    <t>August 8, 1882</t>
  </si>
  <si>
    <t>September 15, 1882</t>
  </si>
  <si>
    <t>58 Westerlo</t>
  </si>
  <si>
    <t>September 18, 1882</t>
  </si>
  <si>
    <t>Fanning</t>
  </si>
  <si>
    <t>November 4, 1882</t>
  </si>
  <si>
    <t>25 N. Swan</t>
  </si>
  <si>
    <t>November 6, 1882</t>
  </si>
  <si>
    <t xml:space="preserve">Farre </t>
  </si>
  <si>
    <t>Theresa</t>
  </si>
  <si>
    <t>Hospital Troy</t>
  </si>
  <si>
    <t>November 30, 1882</t>
  </si>
  <si>
    <t>12 Cross</t>
  </si>
  <si>
    <t>Acute Meningitis</t>
  </si>
  <si>
    <t>December 3, 1882</t>
  </si>
  <si>
    <t>John W.</t>
  </si>
  <si>
    <t>137 Clinton Ave.</t>
  </si>
  <si>
    <t>Orphan Asy.</t>
  </si>
  <si>
    <t>F-06</t>
  </si>
  <si>
    <t>December 28, 1882</t>
  </si>
  <si>
    <t>G-01</t>
  </si>
  <si>
    <t>Gilligan</t>
  </si>
  <si>
    <t>Oct. 2</t>
  </si>
  <si>
    <t>Marasmus</t>
  </si>
  <si>
    <t>July 28, 1868</t>
  </si>
  <si>
    <t>February 5, 1868</t>
  </si>
  <si>
    <t>James D.</t>
  </si>
  <si>
    <t>Scarletina</t>
  </si>
  <si>
    <t>August 17, 1869</t>
  </si>
  <si>
    <t>Margaret E.</t>
  </si>
  <si>
    <t>March 25, 1862</t>
  </si>
  <si>
    <t>Gleason</t>
  </si>
  <si>
    <t>August 26, 1869</t>
  </si>
  <si>
    <t>October 14, 1859</t>
  </si>
  <si>
    <t>?? Avenue</t>
  </si>
  <si>
    <t>Saratoga Co. NY</t>
  </si>
  <si>
    <t>January 23, 1870</t>
  </si>
  <si>
    <t>Gueeston</t>
  </si>
  <si>
    <t xml:space="preserve"> June 26, 1870</t>
  </si>
  <si>
    <t>June 28, 1870</t>
  </si>
  <si>
    <t>Griffith</t>
  </si>
  <si>
    <t>Matilda</t>
  </si>
  <si>
    <t>Gallager</t>
  </si>
  <si>
    <t xml:space="preserve"> March 22, 1866</t>
  </si>
  <si>
    <t>Griffin</t>
  </si>
  <si>
    <t xml:space="preserve"> July 6, 1870</t>
  </si>
  <si>
    <t>Gethins</t>
  </si>
  <si>
    <t>January 11, 1870</t>
  </si>
  <si>
    <t>May 14, 1871</t>
  </si>
  <si>
    <t>Grogan</t>
  </si>
  <si>
    <t>Michael S.</t>
  </si>
  <si>
    <t>72 Division St.</t>
  </si>
  <si>
    <t>Consumption of Bowels</t>
  </si>
  <si>
    <t>August 13, 1871</t>
  </si>
  <si>
    <t>Garrity</t>
  </si>
  <si>
    <t>May 5, 1862</t>
  </si>
  <si>
    <t>Cor VanWoert &amp; N. Pearl</t>
  </si>
  <si>
    <t>October 27, 1856</t>
  </si>
  <si>
    <t>21 Westerlo (?) St.</t>
  </si>
  <si>
    <t>122 Hamilton Street, Albany</t>
  </si>
  <si>
    <t>91 Cherry St. ?</t>
  </si>
  <si>
    <t>218 Clinton St.?</t>
  </si>
  <si>
    <t>Joseph G.</t>
  </si>
  <si>
    <t>Shaker Road</t>
  </si>
  <si>
    <t>P-01</t>
  </si>
  <si>
    <t>P-02</t>
  </si>
  <si>
    <t xml:space="preserve">Pfordt    </t>
  </si>
  <si>
    <t>August 6, 1880</t>
  </si>
  <si>
    <t>Peck</t>
  </si>
  <si>
    <t>Joseph N.</t>
  </si>
  <si>
    <t>S Chapel</t>
  </si>
  <si>
    <t>October 12, 1880</t>
  </si>
  <si>
    <t xml:space="preserve">Paterson </t>
  </si>
  <si>
    <t>May 23, 1865</t>
  </si>
  <si>
    <t>155 Canal</t>
  </si>
  <si>
    <t>October 23, 1872</t>
  </si>
  <si>
    <t>November 24, 1860</t>
  </si>
  <si>
    <t>Patterson</t>
  </si>
  <si>
    <t>Margaret T.</t>
  </si>
  <si>
    <t>October 11, 1872</t>
  </si>
  <si>
    <t>61 Van Woert St</t>
  </si>
  <si>
    <t xml:space="preserve">October 19, 1875 </t>
  </si>
  <si>
    <t>April 8, 1862</t>
  </si>
  <si>
    <t>July 2, 1854</t>
  </si>
  <si>
    <t>Brain difficulty</t>
  </si>
  <si>
    <t>138 3rd St</t>
  </si>
  <si>
    <t>December 19, 1875</t>
  </si>
  <si>
    <t>Maya</t>
  </si>
  <si>
    <t>171 Elm St</t>
  </si>
  <si>
    <t>March 2, 1876</t>
  </si>
  <si>
    <t>April 6, 1867</t>
  </si>
  <si>
    <t>138 Third St</t>
  </si>
  <si>
    <t>April 8, 1876</t>
  </si>
  <si>
    <t>Hourigan</t>
  </si>
  <si>
    <t>59 Rensselaer St</t>
  </si>
  <si>
    <t>May 30, 1876</t>
  </si>
  <si>
    <t>22 Canal St</t>
  </si>
  <si>
    <t>May 31, 1876</t>
  </si>
  <si>
    <t>88 Franklin St</t>
  </si>
  <si>
    <t>Infl of the Brain</t>
  </si>
  <si>
    <t>March 16, 1874</t>
  </si>
  <si>
    <t>March 14, 1874</t>
  </si>
  <si>
    <t>98 1/2 Franklin</t>
  </si>
  <si>
    <t>March 17, 1874</t>
  </si>
  <si>
    <t>Clements</t>
  </si>
  <si>
    <t xml:space="preserve">James   </t>
  </si>
  <si>
    <t>March 29, 1874</t>
  </si>
  <si>
    <t>62 Lafayette St.</t>
  </si>
  <si>
    <t>March 30, 1874</t>
  </si>
  <si>
    <t>Cleary</t>
  </si>
  <si>
    <t>Orange St.</t>
  </si>
  <si>
    <t>August 1866</t>
  </si>
  <si>
    <t>Bowels</t>
  </si>
  <si>
    <t>May 30, 1874</t>
  </si>
  <si>
    <t xml:space="preserve">Conway  </t>
  </si>
  <si>
    <t>Rochester</t>
  </si>
  <si>
    <t>August 13, 1862</t>
  </si>
  <si>
    <t>Rochester, NY</t>
  </si>
  <si>
    <t>Killed</t>
  </si>
  <si>
    <t>October 27, 1881</t>
  </si>
  <si>
    <t>830 Broadway</t>
  </si>
  <si>
    <t>December 6, 1881</t>
  </si>
  <si>
    <t>Ryder</t>
  </si>
  <si>
    <t>Mary O'Brien</t>
  </si>
  <si>
    <t xml:space="preserve"> November 9, 1878</t>
  </si>
  <si>
    <t>78 Park Ave.</t>
  </si>
  <si>
    <t>122 Bradford St.</t>
  </si>
  <si>
    <t>November 19, 1878</t>
  </si>
  <si>
    <t>October 5, 1878</t>
  </si>
  <si>
    <t>Killed by the Cars</t>
  </si>
  <si>
    <t>October 8, 1878</t>
  </si>
  <si>
    <t xml:space="preserve"> Ellen</t>
  </si>
  <si>
    <t>January 9, 1879</t>
  </si>
  <si>
    <t>February 24, 1879</t>
  </si>
  <si>
    <t>177 Broadway</t>
  </si>
  <si>
    <t>July 24, 1871</t>
  </si>
  <si>
    <t>Disease of Digestive Organs</t>
  </si>
  <si>
    <t>July 27, 1871</t>
  </si>
  <si>
    <t>Cummings</t>
  </si>
  <si>
    <t>Edward</t>
  </si>
  <si>
    <t>July 29, 1871</t>
  </si>
  <si>
    <t>4 N. Ferry St. Albany</t>
  </si>
  <si>
    <t>Chd Morbus</t>
  </si>
  <si>
    <t>July 31, 1871</t>
  </si>
  <si>
    <t>Conroy</t>
  </si>
  <si>
    <t>August 14, 1871</t>
  </si>
  <si>
    <t>181 Green St. Albany</t>
  </si>
  <si>
    <t>August 16, 1871</t>
  </si>
  <si>
    <t>Conners</t>
  </si>
  <si>
    <t>John Joseph</t>
  </si>
  <si>
    <t>August 20, 1871</t>
  </si>
  <si>
    <t>24  ??  St. Albany</t>
  </si>
  <si>
    <t>August 23, 1871</t>
  </si>
  <si>
    <t xml:space="preserve">Clowry   </t>
  </si>
  <si>
    <t>August 30, 1871</t>
  </si>
  <si>
    <t>389 S. Pearl St.</t>
  </si>
  <si>
    <t>September 30, 1871</t>
  </si>
  <si>
    <t>July 4, 1852</t>
  </si>
  <si>
    <t>3 S. Pearl St.</t>
  </si>
  <si>
    <t>September 16, 1871</t>
  </si>
  <si>
    <t>Coalman</t>
  </si>
  <si>
    <t>June 5, 1848</t>
  </si>
  <si>
    <t>128 Orange St.</t>
  </si>
  <si>
    <t>October 17, 1871</t>
  </si>
  <si>
    <t>37 Swan St.</t>
  </si>
  <si>
    <t>Summer Conept</t>
  </si>
  <si>
    <t>October 18, 1871</t>
  </si>
  <si>
    <t>Cornelius</t>
  </si>
  <si>
    <t>October 21, 1871</t>
  </si>
  <si>
    <t>Carroll</t>
  </si>
  <si>
    <t>May 4, 1869</t>
  </si>
  <si>
    <t>15 Lansing St.</t>
  </si>
  <si>
    <t>Epileptic Fits</t>
  </si>
  <si>
    <t>Connerty</t>
  </si>
  <si>
    <t>March 11, 1868</t>
  </si>
  <si>
    <t>211 Lumber St.</t>
  </si>
  <si>
    <t>September 28, 1871</t>
  </si>
  <si>
    <t>Conley</t>
  </si>
  <si>
    <t>81 Gansevoort St.</t>
  </si>
  <si>
    <t>Lung Disease</t>
  </si>
  <si>
    <t>April 29, 1872</t>
  </si>
  <si>
    <t>Charles T.</t>
  </si>
  <si>
    <t>April 26, 1872</t>
  </si>
  <si>
    <t>266 S. Pearl St.</t>
  </si>
  <si>
    <t>Spotted Fever</t>
  </si>
  <si>
    <t>March 18, 1872</t>
  </si>
  <si>
    <t>119 Elm St.</t>
  </si>
  <si>
    <t>May 10, 1872</t>
  </si>
  <si>
    <t>February 1872</t>
  </si>
  <si>
    <t>Arch St.</t>
  </si>
  <si>
    <t>May 14, 1872</t>
  </si>
  <si>
    <t>Constantine</t>
  </si>
  <si>
    <t>April 17, 1872</t>
  </si>
  <si>
    <t>May 18, 1872</t>
  </si>
  <si>
    <t>March 7, 1872</t>
  </si>
  <si>
    <t>August 1870</t>
  </si>
  <si>
    <t>Courtney</t>
  </si>
  <si>
    <t>20 Park St.</t>
  </si>
  <si>
    <t>JUNE 1851</t>
  </si>
  <si>
    <t xml:space="preserve">Eagle St. </t>
  </si>
  <si>
    <t>May 21, 1872</t>
  </si>
  <si>
    <t>William F.</t>
  </si>
  <si>
    <t>Vermont</t>
  </si>
  <si>
    <t>54 Laurence St.</t>
  </si>
  <si>
    <t>By a Bullet</t>
  </si>
  <si>
    <t>Chateau</t>
  </si>
  <si>
    <t>March 21, 1872</t>
  </si>
  <si>
    <t>113 Philip St.</t>
  </si>
  <si>
    <t>May 30, 1872</t>
  </si>
  <si>
    <t>Henry</t>
  </si>
  <si>
    <t>May 31,1872</t>
  </si>
  <si>
    <t>78 Remsen St.</t>
  </si>
  <si>
    <t>June 2, 1872</t>
  </si>
  <si>
    <t>George B.</t>
  </si>
  <si>
    <t>84 So. Ferry St.</t>
  </si>
  <si>
    <t>Cooney</t>
  </si>
  <si>
    <t>Jane</t>
  </si>
  <si>
    <t>January 10, 1872</t>
  </si>
  <si>
    <t>33 VanWoert St.</t>
  </si>
  <si>
    <t>June 13, 1872</t>
  </si>
  <si>
    <t>Edward T.</t>
  </si>
  <si>
    <t>July 1, 1872</t>
  </si>
  <si>
    <t>Summer Complt</t>
  </si>
  <si>
    <t>July, 3, 1872</t>
  </si>
  <si>
    <t>July 10, 1872</t>
  </si>
  <si>
    <t>181 Green St.</t>
  </si>
  <si>
    <t>July 12, 1872</t>
  </si>
  <si>
    <t>Greene Co. NY</t>
  </si>
  <si>
    <t>August 3, 1872</t>
  </si>
  <si>
    <t>91 Dove St.</t>
  </si>
  <si>
    <t>August 6, 1872</t>
  </si>
  <si>
    <t>Cross</t>
  </si>
  <si>
    <t>157 Jay St.</t>
  </si>
  <si>
    <t>August 8, 1872</t>
  </si>
  <si>
    <t>August 13, 1872</t>
  </si>
  <si>
    <t>823 Broadway</t>
  </si>
  <si>
    <t>August 18, 1872</t>
  </si>
  <si>
    <t>E. Troy</t>
  </si>
  <si>
    <t>August 12, 1872</t>
  </si>
  <si>
    <t>58 Ferry St. Troy</t>
  </si>
  <si>
    <t xml:space="preserve">Accident </t>
  </si>
  <si>
    <t>Callaghan</t>
  </si>
  <si>
    <t>July 2, 1864</t>
  </si>
  <si>
    <t>135 Orange St.</t>
  </si>
  <si>
    <t>August 10, 1872</t>
  </si>
  <si>
    <t>3 Rensselaer St.</t>
  </si>
  <si>
    <t>August 24, 1872</t>
  </si>
  <si>
    <t>June 5, 1866</t>
  </si>
  <si>
    <t>121 Orange St.</t>
  </si>
  <si>
    <t xml:space="preserve"> April 1862</t>
  </si>
  <si>
    <t>cor. Arch &amp; Green</t>
  </si>
  <si>
    <t>May 2, 1870</t>
  </si>
  <si>
    <t>Kate</t>
  </si>
  <si>
    <t>March 10, 1871</t>
  </si>
  <si>
    <t>July 6, 1860</t>
  </si>
  <si>
    <t>46 Schuyler St.</t>
  </si>
  <si>
    <t>August 27, 1872</t>
  </si>
  <si>
    <t>81 VanWoert St.</t>
  </si>
  <si>
    <t>Cancer</t>
  </si>
  <si>
    <t>August 28, 1872</t>
  </si>
  <si>
    <t>Coleman</t>
  </si>
  <si>
    <t xml:space="preserve"> May 1857</t>
  </si>
  <si>
    <t>25 Spruce St.</t>
  </si>
  <si>
    <t>September 6, 1872</t>
  </si>
  <si>
    <t xml:space="preserve"> Jun 1861</t>
  </si>
  <si>
    <t>James J.</t>
  </si>
  <si>
    <t>91 VanWoert St.</t>
  </si>
  <si>
    <t>September 29, 1872</t>
  </si>
  <si>
    <t>December 28, 1863</t>
  </si>
  <si>
    <t>September 29 1872</t>
  </si>
  <si>
    <t>Cassley</t>
  </si>
  <si>
    <t>April 18, 1873</t>
  </si>
  <si>
    <t>Cronnelly</t>
  </si>
  <si>
    <t xml:space="preserve">Troy </t>
  </si>
  <si>
    <t>April 25, 1873</t>
  </si>
  <si>
    <t>93 William St.</t>
  </si>
  <si>
    <t>Infl Lungs</t>
  </si>
  <si>
    <t>April 26, 1873</t>
  </si>
  <si>
    <t>Coughlin</t>
  </si>
  <si>
    <t>May 7, 1873</t>
  </si>
  <si>
    <t>115 Church St.</t>
  </si>
  <si>
    <t>May 8, 1873</t>
  </si>
  <si>
    <t>Clark</t>
  </si>
  <si>
    <t>Guilderland, Alby Co</t>
  </si>
  <si>
    <t>May 12, 1873</t>
  </si>
  <si>
    <t>Farrell</t>
  </si>
  <si>
    <t>May 15, 1873</t>
  </si>
  <si>
    <t>Connelly</t>
  </si>
  <si>
    <t>Sore Throat</t>
  </si>
  <si>
    <t>VanZandt St.</t>
  </si>
  <si>
    <t>W. Troy</t>
  </si>
  <si>
    <t>James M.</t>
  </si>
  <si>
    <t>August 24, 1869</t>
  </si>
  <si>
    <t>April 6, 1874</t>
  </si>
  <si>
    <t>27 Green St.</t>
  </si>
  <si>
    <t>Jennie A.</t>
  </si>
  <si>
    <t>July 9, 1878</t>
  </si>
  <si>
    <t>12 Van Woert St.</t>
  </si>
  <si>
    <t>Jenkins</t>
  </si>
  <si>
    <t>John S.</t>
  </si>
  <si>
    <t>August 21, 1878</t>
  </si>
  <si>
    <t>92 Lark St.</t>
  </si>
  <si>
    <t>K-01</t>
  </si>
  <si>
    <t>Kelley</t>
  </si>
  <si>
    <t>No. Albany</t>
  </si>
  <si>
    <t>August 31, ????</t>
  </si>
  <si>
    <t>Gravel</t>
  </si>
  <si>
    <t>August 2, 1868</t>
  </si>
  <si>
    <t>Keane</t>
  </si>
  <si>
    <t>September 2, 1868</t>
  </si>
  <si>
    <t>Kearney</t>
  </si>
  <si>
    <t>September 22, 1868</t>
  </si>
  <si>
    <t>Kranz</t>
  </si>
  <si>
    <t>Johan</t>
  </si>
  <si>
    <t>November 12, 1868</t>
  </si>
  <si>
    <t>Congestion Brain</t>
  </si>
  <si>
    <t>November 15, 1868</t>
  </si>
  <si>
    <t>July 29, 1868</t>
  </si>
  <si>
    <t>Johan T.</t>
  </si>
  <si>
    <t>August 11, 1848</t>
  </si>
  <si>
    <t>Caroline</t>
  </si>
  <si>
    <t>October 26, 1852</t>
  </si>
  <si>
    <t>Johan, Jr.</t>
  </si>
  <si>
    <t>January 7, 1858</t>
  </si>
  <si>
    <t>Inflammation of Brain</t>
  </si>
  <si>
    <t>October 2, 1852</t>
  </si>
  <si>
    <t>May 11, 1869</t>
  </si>
  <si>
    <t>March 31, 1851</t>
  </si>
  <si>
    <t>Cholera Infantum.</t>
  </si>
  <si>
    <t>July 15, 1850</t>
  </si>
  <si>
    <t>May 29, 1858</t>
  </si>
  <si>
    <t>May 5, 1853</t>
  </si>
  <si>
    <t>May 3, 1863</t>
  </si>
  <si>
    <t>Martin V.</t>
  </si>
  <si>
    <t xml:space="preserve">Jersey City </t>
  </si>
  <si>
    <t>December 1, 1858</t>
  </si>
  <si>
    <t>June 17, 1852</t>
  </si>
  <si>
    <t>Kenny</t>
  </si>
  <si>
    <t>January 17, 1869</t>
  </si>
  <si>
    <t>June 3, 1869</t>
  </si>
  <si>
    <t>January 20, 1869</t>
  </si>
  <si>
    <t>Kelly</t>
  </si>
  <si>
    <t>February 24, ????</t>
  </si>
  <si>
    <t>May 16, 1869</t>
  </si>
  <si>
    <t>Bridget E.</t>
  </si>
  <si>
    <t>April 2, 1869</t>
  </si>
  <si>
    <t>Tumor</t>
  </si>
  <si>
    <t>Keenan</t>
  </si>
  <si>
    <t>December 14, 1868</t>
  </si>
  <si>
    <t>May 19, 1869</t>
  </si>
  <si>
    <t>January 24, 1869</t>
  </si>
  <si>
    <t>Kenn</t>
  </si>
  <si>
    <t>Prattonville, NY</t>
  </si>
  <si>
    <t>Louisville</t>
  </si>
  <si>
    <t>August 19, 1869</t>
  </si>
  <si>
    <t>South Tr</t>
  </si>
  <si>
    <t>November 21, 1869</t>
  </si>
  <si>
    <t>October 24, 1869</t>
  </si>
  <si>
    <t>Hip Disease</t>
  </si>
  <si>
    <t>Thomas H.</t>
  </si>
  <si>
    <t>Green Co</t>
  </si>
  <si>
    <t>September 25, 1869</t>
  </si>
  <si>
    <t>Schnectady</t>
  </si>
  <si>
    <t>Congestion lungs</t>
  </si>
  <si>
    <t>September 26, 1869</t>
  </si>
  <si>
    <t>Kemar</t>
  </si>
  <si>
    <t>Nelly</t>
  </si>
  <si>
    <t>February 7, 1870</t>
  </si>
  <si>
    <t>June 2, 1870</t>
  </si>
  <si>
    <t>Rosy</t>
  </si>
  <si>
    <t>January 15, 1866</t>
  </si>
  <si>
    <t>September 6, 1870</t>
  </si>
  <si>
    <t>Kenley</t>
  </si>
  <si>
    <t>March 29, 1862</t>
  </si>
  <si>
    <t>July 10, 1865</t>
  </si>
  <si>
    <t>Swamp Fever</t>
  </si>
  <si>
    <t>September 23, 1870</t>
  </si>
  <si>
    <t>September 25, 1870</t>
  </si>
  <si>
    <t>July 30, 1870</t>
  </si>
  <si>
    <t>August 5, 1870</t>
  </si>
  <si>
    <t>Kane</t>
  </si>
  <si>
    <t>April 3, 1871</t>
  </si>
  <si>
    <t>14 Prospect Ave</t>
  </si>
  <si>
    <t>July 1, 1871</t>
  </si>
  <si>
    <t>May 29, 1877</t>
  </si>
  <si>
    <t>Nellie</t>
  </si>
  <si>
    <t>June 5, 1877</t>
  </si>
  <si>
    <t>65 Lumber cor Brdwy</t>
  </si>
  <si>
    <t>June 8, 1877</t>
  </si>
  <si>
    <t xml:space="preserve">Collins  </t>
  </si>
  <si>
    <t>May 6, 1862</t>
  </si>
  <si>
    <t>155 Eagle St.</t>
  </si>
  <si>
    <t>July 3, 1877</t>
  </si>
  <si>
    <t>August 17, 1877</t>
  </si>
  <si>
    <t>208 Clinton Ave.</t>
  </si>
  <si>
    <t>August 19, 1877</t>
  </si>
  <si>
    <t>Carlin</t>
  </si>
  <si>
    <t>September 16, 1877</t>
  </si>
  <si>
    <t>67 N. Lansing St.</t>
  </si>
  <si>
    <t>September 18, 1877</t>
  </si>
  <si>
    <t xml:space="preserve">Curran   </t>
  </si>
  <si>
    <t>Lizzie</t>
  </si>
  <si>
    <t>East Albany</t>
  </si>
  <si>
    <t>September 17, 1877</t>
  </si>
  <si>
    <t>198 East St.</t>
  </si>
  <si>
    <t>Schuyler &amp; Green</t>
  </si>
  <si>
    <t>October 17, 1877</t>
  </si>
  <si>
    <t>Eddie</t>
  </si>
  <si>
    <t>149 Grand</t>
  </si>
  <si>
    <t>Inflam Lungs</t>
  </si>
  <si>
    <t>Green &amp; Schuyler</t>
  </si>
  <si>
    <t xml:space="preserve">Casey   </t>
  </si>
  <si>
    <t>November 16, 1877</t>
  </si>
  <si>
    <t>30 Rensselaer St.</t>
  </si>
  <si>
    <t>November 18, 1877</t>
  </si>
  <si>
    <t>83 Laurence St.</t>
  </si>
  <si>
    <t>Colbert</t>
  </si>
  <si>
    <t>James N.</t>
  </si>
  <si>
    <t>32 Union St.</t>
  </si>
  <si>
    <t>April 1868</t>
  </si>
  <si>
    <t>July 17, 1877</t>
  </si>
  <si>
    <t>59 3rd Ave.</t>
  </si>
  <si>
    <t>Cong Brain</t>
  </si>
  <si>
    <t>Corbert</t>
  </si>
  <si>
    <t>Martin</t>
  </si>
  <si>
    <t>March 26, 1877</t>
  </si>
  <si>
    <t>North Albany</t>
  </si>
  <si>
    <t>Cold</t>
  </si>
  <si>
    <t>November 21, 1877</t>
  </si>
  <si>
    <t>Cockburn</t>
  </si>
  <si>
    <t>Jersey City</t>
  </si>
  <si>
    <t>November 25, 1877</t>
  </si>
  <si>
    <t>91 Washington Ave. Albany</t>
  </si>
  <si>
    <t>November 28, 1877</t>
  </si>
  <si>
    <t>Clinton</t>
  </si>
  <si>
    <t>December 5, 1877</t>
  </si>
  <si>
    <t>July 12,1881</t>
  </si>
  <si>
    <t>August 9, 1881</t>
  </si>
  <si>
    <t>Old age</t>
  </si>
  <si>
    <t>August 11, 1881</t>
  </si>
  <si>
    <t>August 20, 1881</t>
  </si>
  <si>
    <t>August 22, 1881</t>
  </si>
  <si>
    <t>August 23, 1881</t>
  </si>
  <si>
    <t>23 Perry St.</t>
  </si>
  <si>
    <t>Heart broken</t>
  </si>
  <si>
    <t>August 25, 1881</t>
  </si>
  <si>
    <t>Crawford</t>
  </si>
  <si>
    <t>August 29, 1881</t>
  </si>
  <si>
    <t>95 Myrtle Ave.</t>
  </si>
  <si>
    <t>August 31, 1881</t>
  </si>
  <si>
    <t>September 14, 1881</t>
  </si>
  <si>
    <t>120 Philip</t>
  </si>
  <si>
    <t>Inflamation of bowels</t>
  </si>
  <si>
    <t>September 16, 1881</t>
  </si>
  <si>
    <t>October 14, 1881</t>
  </si>
  <si>
    <t>596 Clinton Ave.</t>
  </si>
  <si>
    <t>October 15, 1881</t>
  </si>
  <si>
    <t xml:space="preserve"> Kate</t>
  </si>
  <si>
    <t>October 19, 1881</t>
  </si>
  <si>
    <t>Kosoil</t>
  </si>
  <si>
    <t>August 1868</t>
  </si>
  <si>
    <t>355 Sherman St</t>
  </si>
  <si>
    <t>Congested Lungs</t>
  </si>
  <si>
    <t>June 5, 1876</t>
  </si>
  <si>
    <t>November 24, 1858</t>
  </si>
  <si>
    <t>70 Rensselaer St</t>
  </si>
  <si>
    <t>Putrid Sore Throat</t>
  </si>
  <si>
    <t>July 3, 1876</t>
  </si>
  <si>
    <t>Hennessy</t>
  </si>
  <si>
    <t>Hannora</t>
  </si>
  <si>
    <t>71 1/2 Lumber St</t>
  </si>
  <si>
    <t>February 25, 1876</t>
  </si>
  <si>
    <t>207 S Albany St</t>
  </si>
  <si>
    <t>January 13, 1877</t>
  </si>
  <si>
    <t>39 Elizabeth St</t>
  </si>
  <si>
    <t>112 Franklin St</t>
  </si>
  <si>
    <t>Holligan</t>
  </si>
  <si>
    <t>March 11, 1877</t>
  </si>
  <si>
    <t>Erie &amp; Champlain,  N Albany</t>
  </si>
  <si>
    <t>March 18, 1877</t>
  </si>
  <si>
    <t>Hawk &amp; Jefferson</t>
  </si>
  <si>
    <t>March 20, 1877</t>
  </si>
  <si>
    <t>Broad St</t>
  </si>
  <si>
    <t>Laura</t>
  </si>
  <si>
    <t>H-04</t>
  </si>
  <si>
    <t>May 1, 1877</t>
  </si>
  <si>
    <t>April 30, 1877</t>
  </si>
  <si>
    <t>243 Elm St.</t>
  </si>
  <si>
    <t>May 2, 1877</t>
  </si>
  <si>
    <t>Arthur</t>
  </si>
  <si>
    <t>92 Eagle</t>
  </si>
  <si>
    <t>Water on the Brain</t>
  </si>
  <si>
    <t>May 19, 1877</t>
  </si>
  <si>
    <t>Hodgens</t>
  </si>
  <si>
    <t>June 25, 1877</t>
  </si>
  <si>
    <t>24 Daniel St.</t>
  </si>
  <si>
    <t>June 30, 1877</t>
  </si>
  <si>
    <t>August 12, 1877</t>
  </si>
  <si>
    <t>25 Ontario St.</t>
  </si>
  <si>
    <t>Inflam Bonch</t>
  </si>
  <si>
    <t>August 14, 1877</t>
  </si>
  <si>
    <t>Hubban</t>
  </si>
  <si>
    <t>September 13, 1877</t>
  </si>
  <si>
    <t>97 No. Second St.</t>
  </si>
  <si>
    <t>September 27, 1877</t>
  </si>
  <si>
    <t>72 Third St.</t>
  </si>
  <si>
    <t>September 30, 1877</t>
  </si>
  <si>
    <t>September 19, 1877</t>
  </si>
  <si>
    <t>Jefferson St. Albany</t>
  </si>
  <si>
    <t>January 6, 1876</t>
  </si>
  <si>
    <t>June 4, 1867</t>
  </si>
  <si>
    <t>April 8, 1867</t>
  </si>
  <si>
    <t>Hoffman</t>
  </si>
  <si>
    <t>Marie</t>
  </si>
  <si>
    <t>December 31, 1877</t>
  </si>
  <si>
    <t>61 N. Pearl St</t>
  </si>
  <si>
    <t>Hannay</t>
  </si>
  <si>
    <t>235 Third St</t>
  </si>
  <si>
    <t>January 17, 1878</t>
  </si>
  <si>
    <t>Hubbard</t>
  </si>
  <si>
    <t>January 26, 1878</t>
  </si>
  <si>
    <t>68 Arch St</t>
  </si>
  <si>
    <t>January 27, 1878</t>
  </si>
  <si>
    <t>February 5, 1878</t>
  </si>
  <si>
    <t>Dove and Hamilton</t>
  </si>
  <si>
    <t>17 Laughlin St N Albany</t>
  </si>
  <si>
    <t>March 2, 1878</t>
  </si>
  <si>
    <t>March 8, 1878</t>
  </si>
  <si>
    <t>5 North St N Albany</t>
  </si>
  <si>
    <t>Phthisis</t>
  </si>
  <si>
    <t>James Owen</t>
  </si>
  <si>
    <t>279 S. Pearl St</t>
  </si>
  <si>
    <t>April 5, 1878</t>
  </si>
  <si>
    <t>419 Salem St</t>
  </si>
  <si>
    <t>April 27, 1878</t>
  </si>
  <si>
    <t>April 28, 1878</t>
  </si>
  <si>
    <t>76 Van Woert St</t>
  </si>
  <si>
    <t>Hugan</t>
  </si>
  <si>
    <t>April 20, 1879</t>
  </si>
  <si>
    <t>April 22, 1879</t>
  </si>
  <si>
    <t>Healey</t>
  </si>
  <si>
    <t>George H.</t>
  </si>
  <si>
    <t>January 24, 1879</t>
  </si>
  <si>
    <t>16 John St</t>
  </si>
  <si>
    <t>Disease of Kidney &amp; Rheumatism</t>
  </si>
  <si>
    <t>July 27, 1879</t>
  </si>
  <si>
    <t>Hamil</t>
  </si>
  <si>
    <t>August 2, 1879</t>
  </si>
  <si>
    <t>Federal St W. Troy</t>
  </si>
  <si>
    <t>164 Orange St</t>
  </si>
  <si>
    <t>August 17, 1879</t>
  </si>
  <si>
    <t>August 23, 1879</t>
  </si>
  <si>
    <t>272 Orange St</t>
  </si>
  <si>
    <t>Inflamation of Bowls</t>
  </si>
  <si>
    <t>September 25, 1879</t>
  </si>
  <si>
    <t>Harkins</t>
  </si>
  <si>
    <t>Sister Augistine</t>
  </si>
  <si>
    <t>Boston</t>
  </si>
  <si>
    <t>September 28, 1879</t>
  </si>
  <si>
    <t>7 Pine St</t>
  </si>
  <si>
    <t>September 30, 1879</t>
  </si>
  <si>
    <t>Hayd</t>
  </si>
  <si>
    <t>January 5, 1879</t>
  </si>
  <si>
    <t>Troy Rd. near Menands</t>
  </si>
  <si>
    <t>January 7, 1879</t>
  </si>
  <si>
    <t>February 2, 1879</t>
  </si>
  <si>
    <t>Heffren</t>
  </si>
  <si>
    <t>February 1, 1879</t>
  </si>
  <si>
    <t>Albany St N Albany</t>
  </si>
  <si>
    <t>Joseph F.</t>
  </si>
  <si>
    <t>March 19, 1879</t>
  </si>
  <si>
    <t>Hook</t>
  </si>
  <si>
    <t>April 10, 1879</t>
  </si>
  <si>
    <t>20 Central Ave</t>
  </si>
  <si>
    <t>April 12, 1879</t>
  </si>
  <si>
    <t>April 25, 1879</t>
  </si>
  <si>
    <t>104 Philip St</t>
  </si>
  <si>
    <t>Killed at Capitol</t>
  </si>
  <si>
    <t>April 27, 1879</t>
  </si>
  <si>
    <t>June 4, 1878</t>
  </si>
  <si>
    <t>10 Eagle St</t>
  </si>
  <si>
    <t>June 6, 1878</t>
  </si>
  <si>
    <t>Huber</t>
  </si>
  <si>
    <t>Emma M.</t>
  </si>
  <si>
    <t>54 Bassett St</t>
  </si>
  <si>
    <t>June 9, 1878</t>
  </si>
  <si>
    <t>253 Hamilton St</t>
  </si>
  <si>
    <t>September 12, 1878</t>
  </si>
  <si>
    <t>Hurley</t>
  </si>
  <si>
    <t>September 14, ????</t>
  </si>
  <si>
    <t xml:space="preserve">157 Broadway </t>
  </si>
  <si>
    <t>10 S. Ferry St</t>
  </si>
  <si>
    <t>October 13, 1878</t>
  </si>
  <si>
    <t>Hourrigan</t>
  </si>
  <si>
    <t>October 19, 1878</t>
  </si>
  <si>
    <t>142 Franklin St</t>
  </si>
  <si>
    <t>November 9, 1878</t>
  </si>
  <si>
    <t>113 Orange St</t>
  </si>
  <si>
    <t>Hagadorn</t>
  </si>
  <si>
    <t>November 16, 1878</t>
  </si>
  <si>
    <t>6 Wendall St</t>
  </si>
  <si>
    <t>Spine!</t>
  </si>
  <si>
    <t>H-05</t>
  </si>
  <si>
    <t>Hagan</t>
  </si>
  <si>
    <t>13 VanWoert St.</t>
  </si>
  <si>
    <t>September 8, 1876</t>
  </si>
  <si>
    <t>Crall</t>
  </si>
  <si>
    <t xml:space="preserve"> John</t>
  </si>
  <si>
    <t>August 25, 1864</t>
  </si>
  <si>
    <t>3 Mansion St.</t>
  </si>
  <si>
    <t>December 8, 1876</t>
  </si>
  <si>
    <t xml:space="preserve"> Nellie</t>
  </si>
  <si>
    <t>October 23, 1876</t>
  </si>
  <si>
    <t>7 DeWitt St.</t>
  </si>
  <si>
    <t>October 24, 1876</t>
  </si>
  <si>
    <t>Removed June 6, 1917 to Anna Cassidy Lot 6 Sec 40</t>
  </si>
  <si>
    <t xml:space="preserve"> Charles</t>
  </si>
  <si>
    <t>November 18, 1876</t>
  </si>
  <si>
    <t>85 Quay St.</t>
  </si>
  <si>
    <t>November 20, 1876</t>
  </si>
  <si>
    <t>Caton</t>
  </si>
  <si>
    <t xml:space="preserve"> Catharine</t>
  </si>
  <si>
    <t>October 31, 1877</t>
  </si>
  <si>
    <t>Broadway</t>
  </si>
  <si>
    <t>November 2, 1876</t>
  </si>
  <si>
    <t xml:space="preserve"> Mary</t>
  </si>
  <si>
    <t>East Albany NY</t>
  </si>
  <si>
    <t>193 East St.</t>
  </si>
  <si>
    <t>December 13, 1876</t>
  </si>
  <si>
    <t>North Albany NY</t>
  </si>
  <si>
    <t>January 27, 1877</t>
  </si>
  <si>
    <t>Burned</t>
  </si>
  <si>
    <t>January 31, 1877</t>
  </si>
  <si>
    <t>Cosegrove</t>
  </si>
  <si>
    <t xml:space="preserve"> Hannah</t>
  </si>
  <si>
    <t>N. Pearl &amp; Laughlin</t>
  </si>
  <si>
    <t>February 8, 1877</t>
  </si>
  <si>
    <t>Cronin</t>
  </si>
  <si>
    <t>58 Canal St.</t>
  </si>
  <si>
    <t>February 23, 1877</t>
  </si>
  <si>
    <t>34 Third St.</t>
  </si>
  <si>
    <t>Consumption of Liver</t>
  </si>
  <si>
    <t>February 25, 1877</t>
  </si>
  <si>
    <t>March 9, 1877</t>
  </si>
  <si>
    <t>49 Spencer</t>
  </si>
  <si>
    <t>Erysipela</t>
  </si>
  <si>
    <t>March 12, 1877</t>
  </si>
  <si>
    <t xml:space="preserve"> Joseph</t>
  </si>
  <si>
    <t>March 19, 1877</t>
  </si>
  <si>
    <t>147 Church St.</t>
  </si>
  <si>
    <t>March 21, 1877</t>
  </si>
  <si>
    <t>140 Grand</t>
  </si>
  <si>
    <t>March 22, 1877</t>
  </si>
  <si>
    <t>April 8, 1877</t>
  </si>
  <si>
    <t xml:space="preserve">Inflamed Lungs </t>
  </si>
  <si>
    <t>April 9, 1877</t>
  </si>
  <si>
    <t>1862</t>
  </si>
  <si>
    <t>Broad St.</t>
  </si>
  <si>
    <t>April 27, 1877</t>
  </si>
  <si>
    <t>July 17, 1875</t>
  </si>
  <si>
    <t>180 Colonie St.</t>
  </si>
  <si>
    <t>May 3, 1877</t>
  </si>
  <si>
    <t>April 19, 1872</t>
  </si>
  <si>
    <t>Inflamation of Bowels</t>
  </si>
  <si>
    <t>180 Colonie</t>
  </si>
  <si>
    <t>Child Birth</t>
  </si>
  <si>
    <t>Connor</t>
  </si>
  <si>
    <t xml:space="preserve"> William</t>
  </si>
  <si>
    <t>January 2, 1877</t>
  </si>
  <si>
    <t>127 Lumber</t>
  </si>
  <si>
    <t>May 5, 1877</t>
  </si>
  <si>
    <t>C-06</t>
  </si>
  <si>
    <t xml:space="preserve">Conboy  </t>
  </si>
  <si>
    <t>Anastasia</t>
  </si>
  <si>
    <t>Mulberry St.</t>
  </si>
  <si>
    <t>May 11, 1877</t>
  </si>
  <si>
    <t>May 13, 1877</t>
  </si>
  <si>
    <t>95 VanWoert St.</t>
  </si>
  <si>
    <t>May 15, 1877</t>
  </si>
  <si>
    <t>Convay</t>
  </si>
  <si>
    <t>51 N. Lansing St.</t>
  </si>
  <si>
    <t>Infirmity</t>
  </si>
  <si>
    <t>May 27, 1877</t>
  </si>
  <si>
    <t>38 Grand</t>
  </si>
  <si>
    <t>March 26, 1881</t>
  </si>
  <si>
    <t>Enright</t>
  </si>
  <si>
    <t>November 18, 1881</t>
  </si>
  <si>
    <t>November 19, 1881</t>
  </si>
  <si>
    <t>Enz</t>
  </si>
  <si>
    <t>M-14</t>
  </si>
  <si>
    <t>June 13, 1878</t>
  </si>
  <si>
    <t>52 Hand St.</t>
  </si>
  <si>
    <t xml:space="preserve">N. Y. </t>
  </si>
  <si>
    <t>June 28, 1878</t>
  </si>
  <si>
    <t>July 1, 1878</t>
  </si>
  <si>
    <t>June 30, 1878</t>
  </si>
  <si>
    <t>Wasting Away</t>
  </si>
  <si>
    <t>Mulligan</t>
  </si>
  <si>
    <t>72 Franklin St.</t>
  </si>
  <si>
    <t>Removed</t>
  </si>
  <si>
    <t>November 1854</t>
  </si>
  <si>
    <t xml:space="preserve"> Ellen Louisa</t>
  </si>
  <si>
    <t>110 VanWoert St.</t>
  </si>
  <si>
    <t>222 Lumber St.</t>
  </si>
  <si>
    <t>91 Dallius St.</t>
  </si>
  <si>
    <t>July 16, 1878</t>
  </si>
  <si>
    <t>74 H. Swan St.</t>
  </si>
  <si>
    <t>July 21, 1878</t>
  </si>
  <si>
    <t>McGolorieck</t>
  </si>
  <si>
    <t xml:space="preserve"> Peter J.</t>
  </si>
  <si>
    <t>July 24, 1878</t>
  </si>
  <si>
    <t>12 Marshall St.</t>
  </si>
  <si>
    <t>9 wks</t>
  </si>
  <si>
    <t>61 Grand St.</t>
  </si>
  <si>
    <t>Enlargement of Liver</t>
  </si>
  <si>
    <t>July 31, 1878</t>
  </si>
  <si>
    <t>Morrissey</t>
  </si>
  <si>
    <t>85 Third Ave.</t>
  </si>
  <si>
    <t>August 4, 1878</t>
  </si>
  <si>
    <t>August 7, 1878</t>
  </si>
  <si>
    <t>19 S. Lansing St.</t>
  </si>
  <si>
    <t>August 9, 1878</t>
  </si>
  <si>
    <t>McGorn</t>
  </si>
  <si>
    <t>42 Plum St.</t>
  </si>
  <si>
    <t>Bleecker &amp; Broadway</t>
  </si>
  <si>
    <t>17 Gansevoort</t>
  </si>
  <si>
    <t>73 First St. Albany</t>
  </si>
  <si>
    <t>Green &amp; Gansevoort</t>
  </si>
  <si>
    <t>Arch corner Green</t>
  </si>
  <si>
    <t>Madison &amp; Dove</t>
  </si>
  <si>
    <t>69 Van Woert</t>
  </si>
  <si>
    <t>73 Rensselaer</t>
  </si>
  <si>
    <t>257 Broadway West Troy</t>
  </si>
  <si>
    <t>345 B'roadway</t>
  </si>
  <si>
    <t>155 Grand? St.</t>
  </si>
  <si>
    <t>Cor Fourth(?) &amp; Church</t>
  </si>
  <si>
    <t>270 Clinton Ave</t>
  </si>
  <si>
    <t>December 16, 1861</t>
  </si>
  <si>
    <t>January 7,1882</t>
  </si>
  <si>
    <t>January 8, 1882</t>
  </si>
  <si>
    <t>December 8, 881</t>
  </si>
  <si>
    <t>December 8, 1881</t>
  </si>
  <si>
    <t>November 20, 1878</t>
  </si>
  <si>
    <t>November 19, 1876</t>
  </si>
  <si>
    <t>November 17, 1878</t>
  </si>
  <si>
    <t>Nov ember 15, 1877</t>
  </si>
  <si>
    <t>September 30, 1881</t>
  </si>
  <si>
    <t>August 26, 1876</t>
  </si>
  <si>
    <t>August 18, 1881</t>
  </si>
  <si>
    <t>August 15, 1881</t>
  </si>
  <si>
    <t>July 27, 1880</t>
  </si>
  <si>
    <t>July 15, 1768</t>
  </si>
  <si>
    <t>July 14,1881</t>
  </si>
  <si>
    <t>July 7, 1881</t>
  </si>
  <si>
    <t>June 24, 1877</t>
  </si>
  <si>
    <t>January 21,1882</t>
  </si>
  <si>
    <t>January 25, 1876</t>
  </si>
  <si>
    <t>87 Second St.</t>
  </si>
  <si>
    <t>O'Donnell</t>
  </si>
  <si>
    <t>Franklin &amp; Reagle St.</t>
  </si>
  <si>
    <t>Chol Infarc</t>
  </si>
  <si>
    <t>87 2nd St.</t>
  </si>
  <si>
    <t>June 11, 1876</t>
  </si>
  <si>
    <t>O'Brian</t>
  </si>
  <si>
    <t>January 20, 1877</t>
  </si>
  <si>
    <t>Died in infancy</t>
  </si>
  <si>
    <t>January 22, 1877</t>
  </si>
  <si>
    <t>January 24, 1877</t>
  </si>
  <si>
    <t>376 N. Pearl St.</t>
  </si>
  <si>
    <t>January 26, 1877</t>
  </si>
  <si>
    <t>July 16, 1877</t>
  </si>
  <si>
    <t>2339 First Ave.</t>
  </si>
  <si>
    <t>O'Hara</t>
  </si>
  <si>
    <t>October 23, 1877</t>
  </si>
  <si>
    <t>October 24, 1877</t>
  </si>
  <si>
    <t>Mille</t>
  </si>
  <si>
    <t>May 1874</t>
  </si>
  <si>
    <t>November 22, 1877</t>
  </si>
  <si>
    <t>45 Maiden Lane</t>
  </si>
  <si>
    <t>November 24, 1877</t>
  </si>
  <si>
    <t>258 Third St.</t>
  </si>
  <si>
    <t>Congestion of brain</t>
  </si>
  <si>
    <t>December 6, 1877</t>
  </si>
  <si>
    <t>Millie</t>
  </si>
  <si>
    <t>5 Chapel St.</t>
  </si>
  <si>
    <t>January 6, 1878</t>
  </si>
  <si>
    <t xml:space="preserve">Troy Road </t>
  </si>
  <si>
    <t>Infam Bronch</t>
  </si>
  <si>
    <t>Ogle</t>
  </si>
  <si>
    <t xml:space="preserve">Utica </t>
  </si>
  <si>
    <t>Insanity</t>
  </si>
  <si>
    <t>95 Eliz St.</t>
  </si>
  <si>
    <t>41 Arch St.</t>
  </si>
  <si>
    <t>47 Hamilton St.</t>
  </si>
  <si>
    <t>53 Schuyler St.</t>
  </si>
  <si>
    <t>O'Connor</t>
  </si>
  <si>
    <t>November 1, 1878</t>
  </si>
  <si>
    <t>42 Lancaster St.</t>
  </si>
  <si>
    <t>November 4, 1878</t>
  </si>
  <si>
    <t>Josie</t>
  </si>
  <si>
    <t>44 Schuyler St.</t>
  </si>
  <si>
    <t>October 3, 1878</t>
  </si>
  <si>
    <t>78 Arch St. Alby</t>
  </si>
  <si>
    <t>Infam of Bronch</t>
  </si>
  <si>
    <t>O'Meara</t>
  </si>
  <si>
    <t>November 23, 1878</t>
  </si>
  <si>
    <t>7 Arch St Alby</t>
  </si>
  <si>
    <t>November 25, 1878</t>
  </si>
  <si>
    <t>June 2, 1878</t>
  </si>
  <si>
    <t>O'Donnel</t>
  </si>
  <si>
    <t>January 15, 1879</t>
  </si>
  <si>
    <t>43 No. Lansing St.</t>
  </si>
  <si>
    <t>January 17, 1879</t>
  </si>
  <si>
    <t>Norah</t>
  </si>
  <si>
    <t>123 Colonie St.</t>
  </si>
  <si>
    <t>February 15, 1879</t>
  </si>
  <si>
    <t>194 Lumber St.</t>
  </si>
  <si>
    <t>O'Leary</t>
  </si>
  <si>
    <t>52 Mulberry St.</t>
  </si>
  <si>
    <t xml:space="preserve">Congestion  </t>
  </si>
  <si>
    <t xml:space="preserve">40 Mulberry </t>
  </si>
  <si>
    <t>March 20, 1855</t>
  </si>
  <si>
    <t>September 20, 1867</t>
  </si>
  <si>
    <t>Jefferson St</t>
  </si>
  <si>
    <t>240 Central Ave</t>
  </si>
  <si>
    <t>June 9, 1877</t>
  </si>
  <si>
    <t xml:space="preserve"> Peter</t>
  </si>
  <si>
    <t>June 26, 1877</t>
  </si>
  <si>
    <t>155 Eagle St</t>
  </si>
  <si>
    <t>June 28, 1877</t>
  </si>
  <si>
    <t>July 31, 1877</t>
  </si>
  <si>
    <t>D-04</t>
  </si>
  <si>
    <t>July 23, 1877</t>
  </si>
  <si>
    <t>151 Broadway</t>
  </si>
  <si>
    <t>July 25, 1877</t>
  </si>
  <si>
    <t>Diekman</t>
  </si>
  <si>
    <t>October 4, 1877</t>
  </si>
  <si>
    <t>372 S. Pearl</t>
  </si>
  <si>
    <t>October 6, 1877</t>
  </si>
  <si>
    <t>October 10, 1877</t>
  </si>
  <si>
    <t>281 Hamilton St</t>
  </si>
  <si>
    <t>October 11, 1877</t>
  </si>
  <si>
    <t>February 16, 1875</t>
  </si>
  <si>
    <t>122 Broad St</t>
  </si>
  <si>
    <t>November 8, 1877</t>
  </si>
  <si>
    <t>August 10, 1874</t>
  </si>
  <si>
    <t>370 S Pearl St</t>
  </si>
  <si>
    <t>December 6, 1880</t>
  </si>
  <si>
    <t>Houlaghan</t>
  </si>
  <si>
    <t>Maiden Lane</t>
  </si>
  <si>
    <t>Houston</t>
  </si>
  <si>
    <t>212 Swan</t>
  </si>
  <si>
    <t>Huges</t>
  </si>
  <si>
    <t>July 18, 1866</t>
  </si>
  <si>
    <t>November 23, 1872</t>
  </si>
  <si>
    <t>January 10, 1881</t>
  </si>
  <si>
    <t>164 Orange</t>
  </si>
  <si>
    <t>937 Broadway</t>
  </si>
  <si>
    <t>January 28, 1881</t>
  </si>
  <si>
    <t>383 Broadway</t>
  </si>
  <si>
    <t>Hertz</t>
  </si>
  <si>
    <t>France</t>
  </si>
  <si>
    <t>January 1, 1881</t>
  </si>
  <si>
    <t>67 Church</t>
  </si>
  <si>
    <t>March 6, 1881</t>
  </si>
  <si>
    <t>56 Rensselaer</t>
  </si>
  <si>
    <t>March 8, 1881</t>
  </si>
  <si>
    <t>March 7, 1881</t>
  </si>
  <si>
    <t>33 Beaver</t>
  </si>
  <si>
    <t>March 9, 1881</t>
  </si>
  <si>
    <t>March 21, 1881</t>
  </si>
  <si>
    <t>74 Park Ave</t>
  </si>
  <si>
    <t>Hearley</t>
  </si>
  <si>
    <t>230 Green</t>
  </si>
  <si>
    <t>April 9, 1881</t>
  </si>
  <si>
    <t>Hoolihan</t>
  </si>
  <si>
    <t>May 1881</t>
  </si>
  <si>
    <t>North St</t>
  </si>
  <si>
    <t>May 5, 1881</t>
  </si>
  <si>
    <t>July 2, 1881</t>
  </si>
  <si>
    <t>July 4, 1881</t>
  </si>
  <si>
    <t>333 N Pearl</t>
  </si>
  <si>
    <t>324 Madison Ave</t>
  </si>
  <si>
    <t>August 8, 1881</t>
  </si>
  <si>
    <t>Hutchinson</t>
  </si>
  <si>
    <t>September 21, 1881</t>
  </si>
  <si>
    <t>154 Clinton Ave</t>
  </si>
  <si>
    <t>Hewitt</t>
  </si>
  <si>
    <t>September 27, 1881</t>
  </si>
  <si>
    <t>1110 Broadway</t>
  </si>
  <si>
    <t>H-06</t>
  </si>
  <si>
    <t>54 VanWoert</t>
  </si>
  <si>
    <t>October 28, 1881</t>
  </si>
  <si>
    <t>Hagarty</t>
  </si>
  <si>
    <t>171 Colonie</t>
  </si>
  <si>
    <t>Norwich NY</t>
  </si>
  <si>
    <t>December 15, 1881</t>
  </si>
  <si>
    <t>December 17, 1881</t>
  </si>
  <si>
    <t>808 Broadway</t>
  </si>
  <si>
    <t>Hillenbrant</t>
  </si>
  <si>
    <t xml:space="preserve"> Barbara</t>
  </si>
  <si>
    <t>Bavaria, Germany</t>
  </si>
  <si>
    <t>65 Fayette</t>
  </si>
  <si>
    <t>January 19, 1882</t>
  </si>
  <si>
    <t>January 20, 1882</t>
  </si>
  <si>
    <t>291 Hamilton</t>
  </si>
  <si>
    <t>Nervous Prostation</t>
  </si>
  <si>
    <t>January 21, 1882</t>
  </si>
  <si>
    <t xml:space="preserve"> Willie</t>
  </si>
  <si>
    <t>January 25, 1882</t>
  </si>
  <si>
    <t>62 VanWoert</t>
  </si>
  <si>
    <t>January 27, 1882</t>
  </si>
  <si>
    <t>February 25, 1882</t>
  </si>
  <si>
    <t>February 26, 1882</t>
  </si>
  <si>
    <t>March 14, 1882</t>
  </si>
  <si>
    <t>South St., N. Albany</t>
  </si>
  <si>
    <t>10 Division St</t>
  </si>
  <si>
    <t>62 Clinton Ave</t>
  </si>
  <si>
    <t>78 Arch St.</t>
  </si>
  <si>
    <t>April 5, 1882</t>
  </si>
  <si>
    <t>43 N. Lansing</t>
  </si>
  <si>
    <t>Hartwell</t>
  </si>
  <si>
    <t>May 6, 1882</t>
  </si>
  <si>
    <t>211 Colonie</t>
  </si>
  <si>
    <t>143 Third St.</t>
  </si>
  <si>
    <t>Cholera Infant.</t>
  </si>
  <si>
    <t>July 27, 1882</t>
  </si>
  <si>
    <t>59 South St</t>
  </si>
  <si>
    <t>August 1, 1882</t>
  </si>
  <si>
    <t xml:space="preserve">66 Arch St. </t>
  </si>
  <si>
    <t>August 2, 1882</t>
  </si>
  <si>
    <t>35 TenBroeck</t>
  </si>
  <si>
    <t>August 18, 1882</t>
  </si>
  <si>
    <t>Holton</t>
  </si>
  <si>
    <t>15 Morton</t>
  </si>
  <si>
    <t>January 15, 1878</t>
  </si>
  <si>
    <t>1 Broadway, NY</t>
  </si>
  <si>
    <t>January 16, 1878</t>
  </si>
  <si>
    <t>Robert</t>
  </si>
  <si>
    <t>February 21, 1878</t>
  </si>
  <si>
    <t>Mansion St. W. Troy</t>
  </si>
  <si>
    <t>February 24, 1878</t>
  </si>
  <si>
    <t>March 3, 1878</t>
  </si>
  <si>
    <t>March 4, 1878</t>
  </si>
  <si>
    <t>March 14, 1878</t>
  </si>
  <si>
    <t>448 Broadway East Albany</t>
  </si>
  <si>
    <t>March 19, 1878</t>
  </si>
  <si>
    <t>Ann M.</t>
  </si>
  <si>
    <t>March 11, 1878</t>
  </si>
  <si>
    <t>D-01</t>
  </si>
  <si>
    <t>Davy</t>
  </si>
  <si>
    <t>June 9, 1868</t>
  </si>
  <si>
    <t>Denan</t>
  </si>
  <si>
    <t>December 25</t>
  </si>
  <si>
    <t>Brain</t>
  </si>
  <si>
    <t>June 10, 1868</t>
  </si>
  <si>
    <t>Dillon</t>
  </si>
  <si>
    <t>June 21, 1868</t>
  </si>
  <si>
    <t>Duffy</t>
  </si>
  <si>
    <t xml:space="preserve"> Mary Ann</t>
  </si>
  <si>
    <t>July 18, 1868</t>
  </si>
  <si>
    <t>Dunn</t>
  </si>
  <si>
    <t>August 26</t>
  </si>
  <si>
    <t>September 6, 1868</t>
  </si>
  <si>
    <t>Dempsey</t>
  </si>
  <si>
    <t>September 1</t>
  </si>
  <si>
    <t>Cholera Infanture/Cholera Infantum</t>
  </si>
  <si>
    <t>September 12, 1868</t>
  </si>
  <si>
    <t>Deering</t>
  </si>
  <si>
    <t>September 28, 1868</t>
  </si>
  <si>
    <t>Dormoley</t>
  </si>
  <si>
    <t>March 26, 1869</t>
  </si>
  <si>
    <t>April 25, 1869</t>
  </si>
  <si>
    <t>Donlon</t>
  </si>
  <si>
    <t xml:space="preserve"> Julia</t>
  </si>
  <si>
    <t>June 18, 1869</t>
  </si>
  <si>
    <t>Doran</t>
  </si>
  <si>
    <t>August 6, 1869</t>
  </si>
  <si>
    <t>August 9, 1869</t>
  </si>
  <si>
    <t>Devlin</t>
  </si>
  <si>
    <t>August 11, 1869</t>
  </si>
  <si>
    <t>August 15, 1869</t>
  </si>
  <si>
    <t>Donovan</t>
  </si>
  <si>
    <t>August 22, 1869</t>
  </si>
  <si>
    <t>Donnelly</t>
  </si>
  <si>
    <t>Howard St.</t>
  </si>
  <si>
    <t>Inft. Burds</t>
  </si>
  <si>
    <t>O'Reily</t>
  </si>
  <si>
    <t xml:space="preserve">115 Church St. </t>
  </si>
  <si>
    <t>161 First</t>
  </si>
  <si>
    <t>September 26, 1873</t>
  </si>
  <si>
    <t>87 Church St.</t>
  </si>
  <si>
    <t>57 N Ferry</t>
  </si>
  <si>
    <t>January 27, 1874</t>
  </si>
  <si>
    <t>July 3, 1872</t>
  </si>
  <si>
    <t>September 17, 1873</t>
  </si>
  <si>
    <t>188 Canal St.</t>
  </si>
  <si>
    <t>September 18, 1873</t>
  </si>
  <si>
    <t>Dinnin</t>
  </si>
  <si>
    <t>July 27, 1872</t>
  </si>
  <si>
    <t>111 Orange St.</t>
  </si>
  <si>
    <t>October 23, 1873</t>
  </si>
  <si>
    <t>Damp</t>
  </si>
  <si>
    <t>Coeymans</t>
  </si>
  <si>
    <t>Schenectdy Trnpk</t>
  </si>
  <si>
    <t>October 27, 1873</t>
  </si>
  <si>
    <t xml:space="preserve"> Mary Ellen</t>
  </si>
  <si>
    <t>July 31, 1873</t>
  </si>
  <si>
    <t>1 Park Ave.</t>
  </si>
  <si>
    <t>Water in brain</t>
  </si>
  <si>
    <t>Doolan</t>
  </si>
  <si>
    <t>October 29, 1873</t>
  </si>
  <si>
    <t>246 Madison Ave.</t>
  </si>
  <si>
    <t>November 10, 1873</t>
  </si>
  <si>
    <t>209 Clinton Av.</t>
  </si>
  <si>
    <t>Donley</t>
  </si>
  <si>
    <t xml:space="preserve"> Stephen</t>
  </si>
  <si>
    <t>April 19, 1874</t>
  </si>
  <si>
    <t>Westerlo Cor B'way</t>
  </si>
  <si>
    <t>Sore throat</t>
  </si>
  <si>
    <t>April 30, 1874</t>
  </si>
  <si>
    <t>Dufore</t>
  </si>
  <si>
    <t>May 22, 1874</t>
  </si>
  <si>
    <t>789 B'way</t>
  </si>
  <si>
    <t>Denn</t>
  </si>
  <si>
    <t>December 1, 1873</t>
  </si>
  <si>
    <t>85 Canal St.</t>
  </si>
  <si>
    <t>June 22, 1874</t>
  </si>
  <si>
    <t>260 Orange St.</t>
  </si>
  <si>
    <t>July 7, 1874</t>
  </si>
  <si>
    <t>164 B'way</t>
  </si>
  <si>
    <t>July 10, 1874</t>
  </si>
  <si>
    <t>West Stockbridge, Mass</t>
  </si>
  <si>
    <t>October 10, 1858</t>
  </si>
  <si>
    <t>31 Lumber St.</t>
  </si>
  <si>
    <t>May 9, 1872</t>
  </si>
  <si>
    <t>February 13, 1853</t>
  </si>
  <si>
    <t>109 Beaver St.</t>
  </si>
  <si>
    <t xml:space="preserve"> Morris</t>
  </si>
  <si>
    <t>August 3, 1854</t>
  </si>
  <si>
    <t>January 12, 1845</t>
  </si>
  <si>
    <t>12 Canal St.</t>
  </si>
  <si>
    <t>July 8, 1865</t>
  </si>
  <si>
    <t>31 S. Pearl St.</t>
  </si>
  <si>
    <t>February 23, 1872</t>
  </si>
  <si>
    <t>Abscess in the Hip</t>
  </si>
  <si>
    <t>November 24, 1861</t>
  </si>
  <si>
    <t>M-04</t>
  </si>
  <si>
    <t>McTague</t>
  </si>
  <si>
    <t>89 Lawrence</t>
  </si>
  <si>
    <t>7 Erie Street</t>
  </si>
  <si>
    <t>230 Jefferson</t>
  </si>
  <si>
    <t>McAdam</t>
  </si>
  <si>
    <t>47 Dallius</t>
  </si>
  <si>
    <t>January 11, 1882</t>
  </si>
  <si>
    <t>48 Ontario</t>
  </si>
  <si>
    <t>49 DeWitt</t>
  </si>
  <si>
    <t>640 Broadway</t>
  </si>
  <si>
    <t>January 22, 1882</t>
  </si>
  <si>
    <t>January 23, 1882</t>
  </si>
  <si>
    <t>200 Clinton Ave</t>
  </si>
  <si>
    <t>January 30, 1882</t>
  </si>
  <si>
    <t>Lila</t>
  </si>
  <si>
    <t>February 2, 1882</t>
  </si>
  <si>
    <t>McHugh</t>
  </si>
  <si>
    <t>263 Hamiton</t>
  </si>
  <si>
    <t>Pulmonalis</t>
  </si>
  <si>
    <t>February 4, 1882</t>
  </si>
  <si>
    <t>Malay</t>
  </si>
  <si>
    <t xml:space="preserve">John, </t>
  </si>
  <si>
    <t>57 Maiden Lane</t>
  </si>
  <si>
    <t>Julia E.</t>
  </si>
  <si>
    <t>18 South Ferry</t>
  </si>
  <si>
    <t>February 14, 1882</t>
  </si>
  <si>
    <t>56 Colonie</t>
  </si>
  <si>
    <t>4 South Knox</t>
  </si>
  <si>
    <t>237 North Pearl</t>
  </si>
  <si>
    <t>45 Schuyler</t>
  </si>
  <si>
    <t>Congestion of the Lungs</t>
  </si>
  <si>
    <t>McNay</t>
  </si>
  <si>
    <t xml:space="preserve">230 Jefferson </t>
  </si>
  <si>
    <t>Marsh</t>
  </si>
  <si>
    <t>54 Park Ave</t>
  </si>
  <si>
    <t>March 3, 1882</t>
  </si>
  <si>
    <t>122 Myrtle</t>
  </si>
  <si>
    <t>M-16</t>
  </si>
  <si>
    <t>Rita</t>
  </si>
  <si>
    <t>March 9, 1882</t>
  </si>
  <si>
    <t>263 Hamilton</t>
  </si>
  <si>
    <t>March 11,1882</t>
  </si>
  <si>
    <t>New Haven</t>
  </si>
  <si>
    <t>March 13, 1882</t>
  </si>
  <si>
    <t>209 Lumber</t>
  </si>
  <si>
    <t>March 25, 1882</t>
  </si>
  <si>
    <t>157 Grand</t>
  </si>
  <si>
    <t>Munney</t>
  </si>
  <si>
    <t>April 3, 1882</t>
  </si>
  <si>
    <t>63 Colonie</t>
  </si>
  <si>
    <t>Matt M.</t>
  </si>
  <si>
    <t>April 11, 1882</t>
  </si>
  <si>
    <t>177 Canal</t>
  </si>
  <si>
    <t>April 13, 1882</t>
  </si>
  <si>
    <t>April 15, 1882</t>
  </si>
  <si>
    <t>44 Snipe</t>
  </si>
  <si>
    <t>April 18, 1882</t>
  </si>
  <si>
    <t>Rose A. R.</t>
  </si>
  <si>
    <t>64 Hudson</t>
  </si>
  <si>
    <t>April 24, 1882</t>
  </si>
  <si>
    <t>Mullens</t>
  </si>
  <si>
    <t>265 Green</t>
  </si>
  <si>
    <t>May 2, 1882</t>
  </si>
  <si>
    <t>May 14, 1882</t>
  </si>
  <si>
    <t>St. Vincent Roy</t>
  </si>
  <si>
    <t>May 29, 1882</t>
  </si>
  <si>
    <t>159 Second St</t>
  </si>
  <si>
    <t>240 Elm St</t>
  </si>
  <si>
    <t>June 1, 1882</t>
  </si>
  <si>
    <t>Francis A.</t>
  </si>
  <si>
    <t>June 4, 1882</t>
  </si>
  <si>
    <t>Murden</t>
  </si>
  <si>
    <t>June 8, 1882</t>
  </si>
  <si>
    <t>198 3rd St</t>
  </si>
  <si>
    <t>June 10, 1882</t>
  </si>
  <si>
    <t>Rorke</t>
  </si>
  <si>
    <t>45 Grand St</t>
  </si>
  <si>
    <t>From a Cold</t>
  </si>
  <si>
    <t>Rafferty</t>
  </si>
  <si>
    <t>May 18, 1858</t>
  </si>
  <si>
    <t>Van Woert St.</t>
  </si>
  <si>
    <t xml:space="preserve"> February 29, 1872</t>
  </si>
  <si>
    <t>Reddy</t>
  </si>
  <si>
    <t>August 31, 1872</t>
  </si>
  <si>
    <t>Regan</t>
  </si>
  <si>
    <t>N. Lansing St.</t>
  </si>
  <si>
    <t xml:space="preserve"> February 2, 1870</t>
  </si>
  <si>
    <t>23 Laurence St</t>
  </si>
  <si>
    <t>March 17, 1863</t>
  </si>
  <si>
    <t>75 Montgomery</t>
  </si>
  <si>
    <t>July 23, 1870</t>
  </si>
  <si>
    <t>January 9, 1872</t>
  </si>
  <si>
    <t>159 Eagle St.</t>
  </si>
  <si>
    <t>33 Van Zandt</t>
  </si>
  <si>
    <t>April 2, 1866</t>
  </si>
  <si>
    <t>21 Centre St.</t>
  </si>
  <si>
    <t>December 27, 1870</t>
  </si>
  <si>
    <t>Swan St.</t>
  </si>
  <si>
    <t>33 N. Lansing</t>
  </si>
  <si>
    <t>January 19, 1873</t>
  </si>
  <si>
    <t xml:space="preserve"> February 1850</t>
  </si>
  <si>
    <t>April 14, 1873</t>
  </si>
  <si>
    <t>May 28,. 1873</t>
  </si>
  <si>
    <t>80 Lumber St.</t>
  </si>
  <si>
    <t>December 28, 1872</t>
  </si>
  <si>
    <t>116 First St.</t>
  </si>
  <si>
    <t>July 23, 1872</t>
  </si>
  <si>
    <t>Quail and 2nd Sts.</t>
  </si>
  <si>
    <t>January 14, 1873</t>
  </si>
  <si>
    <t>50 Orange St</t>
  </si>
  <si>
    <t>January 18, 1872</t>
  </si>
  <si>
    <t>3 Gansevoort St</t>
  </si>
  <si>
    <t>18 Gansevoort St.</t>
  </si>
  <si>
    <t>April 27, 1873</t>
  </si>
  <si>
    <t>50 Monroe St.</t>
  </si>
  <si>
    <t>April 29, 1873</t>
  </si>
  <si>
    <t>87 Broadway</t>
  </si>
  <si>
    <t>July 5, 1872</t>
  </si>
  <si>
    <t>114 Broadway</t>
  </si>
  <si>
    <t>Bleeding Lungs</t>
  </si>
  <si>
    <t>Rowe</t>
  </si>
  <si>
    <t>August 25, 1861</t>
  </si>
  <si>
    <t>18 Lumber St.</t>
  </si>
  <si>
    <t>August 1, 1861</t>
  </si>
  <si>
    <t>Ray</t>
  </si>
  <si>
    <t>Paralytic Stroke</t>
  </si>
  <si>
    <t>May 28, 1878</t>
  </si>
  <si>
    <t>Dieckmann</t>
  </si>
  <si>
    <t xml:space="preserve"> Henry</t>
  </si>
  <si>
    <t>May 27, 1878</t>
  </si>
  <si>
    <t>July 3, 1878</t>
  </si>
  <si>
    <t>July 5, 1878</t>
  </si>
  <si>
    <t>July 4, 1878</t>
  </si>
  <si>
    <t>217 Broadway</t>
  </si>
  <si>
    <t>July 6, 1878</t>
  </si>
  <si>
    <t>DeWitt St</t>
  </si>
  <si>
    <t>6 DeWitt St</t>
  </si>
  <si>
    <t>August 1, 1878</t>
  </si>
  <si>
    <t>160 Canal St</t>
  </si>
  <si>
    <t>August 2, 1878</t>
  </si>
  <si>
    <t>Delehanty</t>
  </si>
  <si>
    <t>San Francisco, CA</t>
  </si>
  <si>
    <t>Highlands  Falls</t>
  </si>
  <si>
    <t>August 14, 1878</t>
  </si>
  <si>
    <t>107 Grand St. Ally</t>
  </si>
  <si>
    <t>August 15, 1878</t>
  </si>
  <si>
    <t xml:space="preserve"> Jeremiah</t>
  </si>
  <si>
    <t>September 2, 1878</t>
  </si>
  <si>
    <t>30 Loughlin St</t>
  </si>
  <si>
    <t>Lock Jaw</t>
  </si>
  <si>
    <t>September 4, 1879</t>
  </si>
  <si>
    <t>D-05</t>
  </si>
  <si>
    <t>Bath</t>
  </si>
  <si>
    <t xml:space="preserve"> Katie</t>
  </si>
  <si>
    <t>Blooming Grove</t>
  </si>
  <si>
    <t>December 6, 1878</t>
  </si>
  <si>
    <t>December 8, 1878</t>
  </si>
  <si>
    <t>Dawson</t>
  </si>
  <si>
    <t>December 17, 1878</t>
  </si>
  <si>
    <t>24 Broad St</t>
  </si>
  <si>
    <t>April 13, 1879</t>
  </si>
  <si>
    <t>April 16, 1879</t>
  </si>
  <si>
    <t xml:space="preserve"> William H.</t>
  </si>
  <si>
    <t>January 5, 1880</t>
  </si>
  <si>
    <t>87 Swan St</t>
  </si>
  <si>
    <t>January 6, 1880</t>
  </si>
  <si>
    <t>February 9, 1880</t>
  </si>
  <si>
    <t>468 Salem St</t>
  </si>
  <si>
    <t>February 11, 1880</t>
  </si>
  <si>
    <t>Dunphy</t>
  </si>
  <si>
    <t>11 Rail Road Ave</t>
  </si>
  <si>
    <t>February 21, 1880</t>
  </si>
  <si>
    <t>229 Canal St</t>
  </si>
  <si>
    <t>February 24, 1880</t>
  </si>
  <si>
    <t>March 16, 1880</t>
  </si>
  <si>
    <t>Little Sisters of the Poor</t>
  </si>
  <si>
    <t>General Debility</t>
  </si>
  <si>
    <t>March 17, 1880</t>
  </si>
  <si>
    <t>April 21, 1880</t>
  </si>
  <si>
    <t>Schenectady NY</t>
  </si>
  <si>
    <t>April 23, 1880</t>
  </si>
  <si>
    <t>May 8, 1880</t>
  </si>
  <si>
    <t>2 DeWitt St</t>
  </si>
  <si>
    <t>June 17, 1880</t>
  </si>
  <si>
    <t>422 Second St</t>
  </si>
  <si>
    <t>June 20, 1880</t>
  </si>
  <si>
    <t>Dunney</t>
  </si>
  <si>
    <t>July 9, 1880</t>
  </si>
  <si>
    <t>256 Lumber St</t>
  </si>
  <si>
    <t>July 11, 1880</t>
  </si>
  <si>
    <t>August 7, 1880</t>
  </si>
  <si>
    <t>284 Lumber St</t>
  </si>
  <si>
    <t>August 9, 1880</t>
  </si>
  <si>
    <t>August 16, 1880</t>
  </si>
  <si>
    <t>179 Franklin</t>
  </si>
  <si>
    <t>August 18, 1880</t>
  </si>
  <si>
    <t>26 Morris St</t>
  </si>
  <si>
    <t>August 30, 1880</t>
  </si>
  <si>
    <t>August 27, 1880</t>
  </si>
  <si>
    <t>January 8, 1877</t>
  </si>
  <si>
    <t>Dower</t>
  </si>
  <si>
    <t>Church &amp; Cherry</t>
  </si>
  <si>
    <t>November 15/1877</t>
  </si>
  <si>
    <t>April 24, 1879</t>
  </si>
  <si>
    <t>1202 Brdway</t>
  </si>
  <si>
    <t xml:space="preserve"> February 16, 1875</t>
  </si>
  <si>
    <t>116 Philip Street</t>
  </si>
  <si>
    <t xml:space="preserve"> August 12, 1875</t>
  </si>
  <si>
    <t xml:space="preserve"> January 20, 1876</t>
  </si>
  <si>
    <t>January 22, 1876</t>
  </si>
  <si>
    <t>Gorman</t>
  </si>
  <si>
    <t xml:space="preserve">  </t>
  </si>
  <si>
    <t>January 23, 1876</t>
  </si>
  <si>
    <t>92 Alexander Street</t>
  </si>
  <si>
    <t>January 26, 1876</t>
  </si>
  <si>
    <t>May 2, 1876</t>
  </si>
  <si>
    <t>132 Grand Street</t>
  </si>
  <si>
    <t xml:space="preserve"> April 12, 1876</t>
  </si>
  <si>
    <t>55 Bleecker Street</t>
  </si>
  <si>
    <t>April 14, 1876</t>
  </si>
  <si>
    <t>Grattan</t>
  </si>
  <si>
    <t xml:space="preserve"> August 2, 1876</t>
  </si>
  <si>
    <t>341 Elm Street</t>
  </si>
  <si>
    <t>August 4, 1876</t>
  </si>
  <si>
    <t>Gravelin</t>
  </si>
  <si>
    <t>Edgar</t>
  </si>
  <si>
    <t xml:space="preserve"> August 15, 1876</t>
  </si>
  <si>
    <t>August 17, 1876</t>
  </si>
  <si>
    <t xml:space="preserve"> September 2, 1876</t>
  </si>
  <si>
    <t>6 Foundry Place</t>
  </si>
  <si>
    <t>Cholera Morbus</t>
  </si>
  <si>
    <t>September 4, 1876</t>
  </si>
  <si>
    <t>Greed</t>
  </si>
  <si>
    <t xml:space="preserve"> January 9, 1877</t>
  </si>
  <si>
    <t>71 Dallius</t>
  </si>
  <si>
    <t xml:space="preserve"> May 30, 1852</t>
  </si>
  <si>
    <t>Howard Street</t>
  </si>
  <si>
    <t xml:space="preserve"> November 4, 1841</t>
  </si>
  <si>
    <t>Confinement</t>
  </si>
  <si>
    <t>Gilliee</t>
  </si>
  <si>
    <t>August 9, 1877</t>
  </si>
  <si>
    <t xml:space="preserve"> September 14, 1877</t>
  </si>
  <si>
    <t>9 Loughlin Street</t>
  </si>
  <si>
    <t>Edwin</t>
  </si>
  <si>
    <t xml:space="preserve"> September 28, 1877</t>
  </si>
  <si>
    <t>74 Myrtle Avenue</t>
  </si>
  <si>
    <t>September 29, 1877</t>
  </si>
  <si>
    <t>Geoghan</t>
  </si>
  <si>
    <t>55 Grand Street</t>
  </si>
  <si>
    <t>October 9, 1877</t>
  </si>
  <si>
    <t xml:space="preserve">Golden </t>
  </si>
  <si>
    <t>James H.</t>
  </si>
  <si>
    <t xml:space="preserve">Grimes </t>
  </si>
  <si>
    <t>G-03</t>
  </si>
  <si>
    <t>47 Arch St</t>
  </si>
  <si>
    <t>February 6, 1879</t>
  </si>
  <si>
    <t>N. 39 Myrtle Ave</t>
  </si>
  <si>
    <t>February 14, 1879</t>
  </si>
  <si>
    <t>Daley</t>
  </si>
  <si>
    <t>193 Canal St</t>
  </si>
  <si>
    <t>Congestion of Lung</t>
  </si>
  <si>
    <t xml:space="preserve"> Michael J.</t>
  </si>
  <si>
    <t>May 26, 1879</t>
  </si>
  <si>
    <t>139 Jefferson St</t>
  </si>
  <si>
    <t>May 27, 1879</t>
  </si>
  <si>
    <t>Donohue</t>
  </si>
  <si>
    <t>Drowned in the Hudson River</t>
  </si>
  <si>
    <t>October 12, 1869</t>
  </si>
  <si>
    <t>June 11, 1870</t>
  </si>
  <si>
    <t>June 23, 1870</t>
  </si>
  <si>
    <t>November 27, 1869</t>
  </si>
  <si>
    <t>Pleurisy</t>
  </si>
  <si>
    <t>February 1870</t>
  </si>
  <si>
    <t>Tivoli</t>
  </si>
  <si>
    <t>May 17, 1870</t>
  </si>
  <si>
    <t>May 30, 1870</t>
  </si>
  <si>
    <t>South Troy</t>
  </si>
  <si>
    <t>June 1, 1870</t>
  </si>
  <si>
    <t>Devine</t>
  </si>
  <si>
    <t>May 20, 1870</t>
  </si>
  <si>
    <t>Madison Ave, Albany NY</t>
  </si>
  <si>
    <t>November 12, 1870</t>
  </si>
  <si>
    <t>March 15, 1866</t>
  </si>
  <si>
    <t>March 8, 1871</t>
  </si>
  <si>
    <t>June 8, 1871</t>
  </si>
  <si>
    <t>E. Albany</t>
  </si>
  <si>
    <t>E. Albany NY</t>
  </si>
  <si>
    <t>March 9, 1871</t>
  </si>
  <si>
    <t>Dunnery</t>
  </si>
  <si>
    <t>May 30, 1871</t>
  </si>
  <si>
    <t>39 S. Pearl St.</t>
  </si>
  <si>
    <t>Congestion of Heart</t>
  </si>
  <si>
    <t>June 14, 1871</t>
  </si>
  <si>
    <t>May 1856</t>
  </si>
  <si>
    <t>28 Howard St.</t>
  </si>
  <si>
    <t>149 Church St.</t>
  </si>
  <si>
    <t>July 22, 1871</t>
  </si>
  <si>
    <t>Daly</t>
  </si>
  <si>
    <t>38 Jefferson St.</t>
  </si>
  <si>
    <t>August 15, 1871</t>
  </si>
  <si>
    <t>136 Ten Broeck</t>
  </si>
  <si>
    <t>September 29, 1871</t>
  </si>
  <si>
    <t>August 27, 1860</t>
  </si>
  <si>
    <t>Albany 12/29/1844</t>
  </si>
  <si>
    <t>May 14, 1856</t>
  </si>
  <si>
    <t>Inflamed Rheumatism</t>
  </si>
  <si>
    <t>November 12, 1871</t>
  </si>
  <si>
    <t>Albany 10/1/1842</t>
  </si>
  <si>
    <t>September 23, 1846</t>
  </si>
  <si>
    <t xml:space="preserve"> Catherine</t>
  </si>
  <si>
    <t>Albany 4/4/1836</t>
  </si>
  <si>
    <t>October 14, 1862</t>
  </si>
  <si>
    <t>Albany 11/18/1847</t>
  </si>
  <si>
    <t>April 3, 1864</t>
  </si>
  <si>
    <t>Ireland 7/4/1806</t>
  </si>
  <si>
    <t>September 14, 1866</t>
  </si>
  <si>
    <t>Ten Broeck</t>
  </si>
  <si>
    <t>Doyle</t>
  </si>
  <si>
    <t>March 28, 1872</t>
  </si>
  <si>
    <t>57 S. Lansing St.</t>
  </si>
  <si>
    <t>May 12, 1872</t>
  </si>
  <si>
    <t>Demsey</t>
  </si>
  <si>
    <t>March 9, 1863</t>
  </si>
  <si>
    <t>Albany NY St.</t>
  </si>
  <si>
    <t>December 1859</t>
  </si>
  <si>
    <t>Cor. Spring &amp; McAdam</t>
  </si>
  <si>
    <t>April 8, 1872</t>
  </si>
  <si>
    <t>Dwyer</t>
  </si>
  <si>
    <t>March 5, 1872</t>
  </si>
  <si>
    <t>24 Albany NY St.</t>
  </si>
  <si>
    <t>May 15, 1872</t>
  </si>
  <si>
    <t>13 Bleeker St</t>
  </si>
  <si>
    <t>July 21, 1869</t>
  </si>
  <si>
    <t>D-02</t>
  </si>
  <si>
    <t>13 Bleeker St.</t>
  </si>
  <si>
    <t>Dennin</t>
  </si>
  <si>
    <t>January 27, 1872</t>
  </si>
  <si>
    <t>17 Van Woert St.</t>
  </si>
  <si>
    <t>Dugan</t>
  </si>
  <si>
    <t>March 2, 1872</t>
  </si>
  <si>
    <t>81 Orange St.</t>
  </si>
  <si>
    <t>Brain fever</t>
  </si>
  <si>
    <t>May 26, 1872</t>
  </si>
  <si>
    <t>Donlan</t>
  </si>
  <si>
    <t>Ireland, Kings Co.</t>
  </si>
  <si>
    <t>Saulsbury Slip</t>
  </si>
  <si>
    <t>45 Mohawk St.</t>
  </si>
  <si>
    <t>Accident drowning</t>
  </si>
  <si>
    <t>July 9, 1872</t>
  </si>
  <si>
    <t>Drugan</t>
  </si>
  <si>
    <t>106 Morton St.</t>
  </si>
  <si>
    <t>Doherty</t>
  </si>
  <si>
    <t xml:space="preserve"> Maggie</t>
  </si>
  <si>
    <t>June 30, 1872</t>
  </si>
  <si>
    <t>617 Broadway</t>
  </si>
  <si>
    <t>July 2, 1872</t>
  </si>
  <si>
    <t>Duany</t>
  </si>
  <si>
    <t>Santiago de Cuba</t>
  </si>
  <si>
    <t>Rockland</t>
  </si>
  <si>
    <t>July 26, 1872</t>
  </si>
  <si>
    <t>Rockland Lake</t>
  </si>
  <si>
    <t>August 9, 1872</t>
  </si>
  <si>
    <t>20 Laughlin St.</t>
  </si>
  <si>
    <t>August 11, 1872</t>
  </si>
  <si>
    <t>April 11, 1873</t>
  </si>
  <si>
    <t>47 Colonie St.</t>
  </si>
  <si>
    <t>Water St., West Troy</t>
  </si>
  <si>
    <t>July 24, 1874</t>
  </si>
  <si>
    <t>June 1860</t>
  </si>
  <si>
    <t>September 28, 1874</t>
  </si>
  <si>
    <t>96 Broadway</t>
  </si>
  <si>
    <t>September 29, 1874</t>
  </si>
  <si>
    <t>November 19, 1863</t>
  </si>
  <si>
    <t>19 Laurence St.</t>
  </si>
  <si>
    <t>October 15, 1874</t>
  </si>
  <si>
    <t>December 19, 1871</t>
  </si>
  <si>
    <t>52 Laurence St.</t>
  </si>
  <si>
    <t>November 2, 1874</t>
  </si>
  <si>
    <t>521 Clinton Ave.</t>
  </si>
  <si>
    <t>November 4, 1874</t>
  </si>
  <si>
    <t>Crossman</t>
  </si>
  <si>
    <t>February 20, 1874</t>
  </si>
  <si>
    <t>25 Franklin St.</t>
  </si>
  <si>
    <t>February 22, 1874</t>
  </si>
  <si>
    <t>67 VanWoert St.</t>
  </si>
  <si>
    <t>Earley</t>
  </si>
  <si>
    <t xml:space="preserve"> February 10, 1859</t>
  </si>
  <si>
    <t>107 Orange St.</t>
  </si>
  <si>
    <t>Evers</t>
  </si>
  <si>
    <t xml:space="preserve"> February 20, 1873</t>
  </si>
  <si>
    <t>173 Canal St.</t>
  </si>
  <si>
    <t>May 23, 1873</t>
  </si>
  <si>
    <t>Edwards</t>
  </si>
  <si>
    <t>December 7, 1872</t>
  </si>
  <si>
    <t>62 Lumber St</t>
  </si>
  <si>
    <t>January 20, 1873</t>
  </si>
  <si>
    <t>25 Jefferson St</t>
  </si>
  <si>
    <t>June 3, 1873</t>
  </si>
  <si>
    <t>Kooner</t>
  </si>
  <si>
    <t>Sherman St</t>
  </si>
  <si>
    <t>July 1, 1873</t>
  </si>
  <si>
    <t>Kearny</t>
  </si>
  <si>
    <t>July 30, 1873</t>
  </si>
  <si>
    <t>87 Swan</t>
  </si>
  <si>
    <t>December 3, 1873</t>
  </si>
  <si>
    <t>33 Lansing St</t>
  </si>
  <si>
    <t>December 5, 1873</t>
  </si>
  <si>
    <t>May 21, 1874</t>
  </si>
  <si>
    <t>136 Madison Ave</t>
  </si>
  <si>
    <t>Cantwell</t>
  </si>
  <si>
    <t xml:space="preserve"> Michael</t>
  </si>
  <si>
    <t xml:space="preserve"> December 10, 1879</t>
  </si>
  <si>
    <t>60 VanWoert</t>
  </si>
  <si>
    <t>December 13, 1879</t>
  </si>
  <si>
    <t xml:space="preserve"> August 3, 1879</t>
  </si>
  <si>
    <t>C-08</t>
  </si>
  <si>
    <t xml:space="preserve"> June 30, 1880</t>
  </si>
  <si>
    <t>36 Hoosick St. Troy</t>
  </si>
  <si>
    <t>February 1, 1880</t>
  </si>
  <si>
    <t>February 7, 1880</t>
  </si>
  <si>
    <t>223 Broadway</t>
  </si>
  <si>
    <t>February 8, 1880</t>
  </si>
  <si>
    <t xml:space="preserve">Menands </t>
  </si>
  <si>
    <t>676  Green St</t>
  </si>
  <si>
    <t>May 7, 1876</t>
  </si>
  <si>
    <t>DeLacy</t>
  </si>
  <si>
    <t>Antietam</t>
  </si>
  <si>
    <t>December 17, 1862</t>
  </si>
  <si>
    <t>8 Canal St</t>
  </si>
  <si>
    <t>Wound in War</t>
  </si>
  <si>
    <t>June 7, 1876</t>
  </si>
  <si>
    <t>July 5, 1876</t>
  </si>
  <si>
    <t>261 Pearl St</t>
  </si>
  <si>
    <t>July 7, 1876</t>
  </si>
  <si>
    <t>April 7, 1876</t>
  </si>
  <si>
    <t>99 Canal St</t>
  </si>
  <si>
    <t>April 20, 1876</t>
  </si>
  <si>
    <t>September 26, 1876</t>
  </si>
  <si>
    <t>Manning &amp; Central</t>
  </si>
  <si>
    <t>September 28, 1876</t>
  </si>
  <si>
    <t>Dahoney</t>
  </si>
  <si>
    <t>October 1, 1867</t>
  </si>
  <si>
    <t>23 Catharine St</t>
  </si>
  <si>
    <t>October 3, 1876</t>
  </si>
  <si>
    <t>74 Trinity Place</t>
  </si>
  <si>
    <t>November 17, 1876</t>
  </si>
  <si>
    <t>December 26, 1876</t>
  </si>
  <si>
    <t>December 28, 1876</t>
  </si>
  <si>
    <t>Doriss</t>
  </si>
  <si>
    <t>February 3, 1877</t>
  </si>
  <si>
    <t>38 Broad St</t>
  </si>
  <si>
    <t>February 5, 1877</t>
  </si>
  <si>
    <t>Mahar</t>
  </si>
  <si>
    <t>August 1, 1867</t>
  </si>
  <si>
    <t>Spine</t>
  </si>
  <si>
    <t>McCrink</t>
  </si>
  <si>
    <t>March 21</t>
  </si>
  <si>
    <t>March 2, 1877</t>
  </si>
  <si>
    <t>Mansion &amp; Broadway</t>
  </si>
  <si>
    <t>March 4, 1877</t>
  </si>
  <si>
    <t>261 4th St Troy</t>
  </si>
  <si>
    <t>Doris</t>
  </si>
  <si>
    <t>April 19, 1877</t>
  </si>
  <si>
    <t>Driscoll</t>
  </si>
  <si>
    <t>March 8, 1858</t>
  </si>
  <si>
    <t>84 Montgomery</t>
  </si>
  <si>
    <t>April 25, 1877</t>
  </si>
  <si>
    <t>Halifax</t>
  </si>
  <si>
    <t xml:space="preserve"> Cornelius</t>
  </si>
  <si>
    <t>June 10, 1875</t>
  </si>
  <si>
    <t>375 State St</t>
  </si>
  <si>
    <t>Quinsy</t>
  </si>
  <si>
    <t>June 11, 1875</t>
  </si>
  <si>
    <t>Water on brain</t>
  </si>
  <si>
    <t>June 13, 1875</t>
  </si>
  <si>
    <t>21 Chapel St</t>
  </si>
  <si>
    <t>July 21, 1875</t>
  </si>
  <si>
    <t>July 20, 1875</t>
  </si>
  <si>
    <t>August 1, 1875</t>
  </si>
  <si>
    <t>August 26, 1875</t>
  </si>
  <si>
    <t>52 Elizabeth St</t>
  </si>
  <si>
    <t>August 27, 1875</t>
  </si>
  <si>
    <t>October 19, 1873</t>
  </si>
  <si>
    <t>N. Albany NY</t>
  </si>
  <si>
    <t>October 8, 1873</t>
  </si>
  <si>
    <t>K-03</t>
  </si>
  <si>
    <t>old age</t>
  </si>
  <si>
    <t>Kinsella</t>
  </si>
  <si>
    <t>consumption</t>
  </si>
  <si>
    <t>March 24, 1876</t>
  </si>
  <si>
    <t>Kiernan</t>
  </si>
  <si>
    <t>April 9, 1876</t>
  </si>
  <si>
    <t>cholera infantum</t>
  </si>
  <si>
    <t>August 29, 1876</t>
  </si>
  <si>
    <t>Kimball</t>
  </si>
  <si>
    <t>McCarty Ave., Albany</t>
  </si>
  <si>
    <t>September 15, 1876</t>
  </si>
  <si>
    <t>City Hospital</t>
  </si>
  <si>
    <t>October 20, 1876</t>
  </si>
  <si>
    <t>93 Church St.</t>
  </si>
  <si>
    <t>December 24, 1876</t>
  </si>
  <si>
    <t>Kehoe</t>
  </si>
  <si>
    <t>178 Franklin St.</t>
  </si>
  <si>
    <t>February 12, 1877</t>
  </si>
  <si>
    <t>138 Lawler St.</t>
  </si>
  <si>
    <t>February 14, 1877</t>
  </si>
  <si>
    <t>28 Morton St.</t>
  </si>
  <si>
    <t>tumor</t>
  </si>
  <si>
    <t>February 28, 1877</t>
  </si>
  <si>
    <t>295 Range St.</t>
  </si>
  <si>
    <t>March 1, 1877</t>
  </si>
  <si>
    <t>St.Peter's Hospital</t>
  </si>
  <si>
    <t>150 Wash. Ave.</t>
  </si>
  <si>
    <t>typhoid fever</t>
  </si>
  <si>
    <t>May 17, 1877</t>
  </si>
  <si>
    <t>Keegan</t>
  </si>
  <si>
    <t>128 Jefferson St.</t>
  </si>
  <si>
    <t>measles</t>
  </si>
  <si>
    <t>Kilboy</t>
  </si>
  <si>
    <t xml:space="preserve"> Rosanna</t>
  </si>
  <si>
    <t>50 Montgomery St.</t>
  </si>
  <si>
    <t>June 27, 1877</t>
  </si>
  <si>
    <t>Utica</t>
  </si>
  <si>
    <t>17 Martin St.</t>
  </si>
  <si>
    <t>July 12, 1877</t>
  </si>
  <si>
    <t xml:space="preserve"> Ellen C.</t>
  </si>
  <si>
    <t>88 Jefferson St.</t>
  </si>
  <si>
    <t>cholera</t>
  </si>
  <si>
    <t>August 3, 1877</t>
  </si>
  <si>
    <t>153 Canal St.</t>
  </si>
  <si>
    <t xml:space="preserve"> Augustus</t>
  </si>
  <si>
    <t>Philip St.</t>
  </si>
  <si>
    <t>21 Chapel Street</t>
  </si>
  <si>
    <t>January 19, 1878</t>
  </si>
  <si>
    <t>Keans</t>
  </si>
  <si>
    <t>Church &amp; Rapett</t>
  </si>
  <si>
    <t>heart disease</t>
  </si>
  <si>
    <t>January 23, 1878</t>
  </si>
  <si>
    <t>pneumonia</t>
  </si>
  <si>
    <t>165 Franklin St.</t>
  </si>
  <si>
    <t>paralysis</t>
  </si>
  <si>
    <t>May 19, 1878</t>
  </si>
  <si>
    <t>24 Clinton Ave.</t>
  </si>
  <si>
    <t>dropsy</t>
  </si>
  <si>
    <t>Kiley</t>
  </si>
  <si>
    <t>52 Walter St., Rectory N. Albany</t>
  </si>
  <si>
    <t>hemorrhage</t>
  </si>
  <si>
    <t>June 3, 1879</t>
  </si>
  <si>
    <t>87 Cherry St.</t>
  </si>
  <si>
    <t>June 20, 1879</t>
  </si>
  <si>
    <t>Cor 4th Ave &amp; Franklin</t>
  </si>
  <si>
    <t>Oakwood  Ave., Troy</t>
  </si>
  <si>
    <t>48 Lansing St.</t>
  </si>
  <si>
    <t>January 6, 1879</t>
  </si>
  <si>
    <t>Kelso</t>
  </si>
  <si>
    <t>St.Vincent Asylum</t>
  </si>
  <si>
    <t>Albany St. N. Ally</t>
  </si>
  <si>
    <t>41 Madison Ave.</t>
  </si>
  <si>
    <t>debility</t>
  </si>
  <si>
    <t>July 1878</t>
  </si>
  <si>
    <t>removed from St. Mary's Cemetery</t>
  </si>
  <si>
    <t>River St., Troy</t>
  </si>
  <si>
    <t>fever</t>
  </si>
  <si>
    <t>73 Canal St.</t>
  </si>
  <si>
    <t>October 18, 1878</t>
  </si>
  <si>
    <t>Keough</t>
  </si>
  <si>
    <t>Cor Lark &amp; Jefferson</t>
  </si>
  <si>
    <t>Keller</t>
  </si>
  <si>
    <t>281 Hamilton</t>
  </si>
  <si>
    <t>croup</t>
  </si>
  <si>
    <t>October 21, 1878</t>
  </si>
  <si>
    <t>K-04</t>
  </si>
  <si>
    <t>Keeler</t>
  </si>
  <si>
    <t>287 Hamilton St.</t>
  </si>
  <si>
    <t>November 3, 1878</t>
  </si>
  <si>
    <t>December 2, 1873</t>
  </si>
  <si>
    <t>36 Second St.</t>
  </si>
  <si>
    <t>compression of brain</t>
  </si>
  <si>
    <t>December 31, 1878</t>
  </si>
  <si>
    <t>141 W. 10th St. NY</t>
  </si>
  <si>
    <t>58 N. Lansing St</t>
  </si>
  <si>
    <t>March 7, 1880</t>
  </si>
  <si>
    <t>April 30, 1880</t>
  </si>
  <si>
    <t>263 Clinton Ave</t>
  </si>
  <si>
    <t>May 4, 1880</t>
  </si>
  <si>
    <t>February 13, 1880</t>
  </si>
  <si>
    <t>114 Franklin St.</t>
  </si>
  <si>
    <t>February 15, 1880</t>
  </si>
  <si>
    <t>Connell</t>
  </si>
  <si>
    <t>Home of Aged Men</t>
  </si>
  <si>
    <t>Old Age &amp; Debility</t>
  </si>
  <si>
    <t>February 16, 1880</t>
  </si>
  <si>
    <t>February 26, 1880</t>
  </si>
  <si>
    <t>49 Church St.</t>
  </si>
  <si>
    <t>February 29, 1880</t>
  </si>
  <si>
    <t>Clancy</t>
  </si>
  <si>
    <t>John E.</t>
  </si>
  <si>
    <t>Loudonville</t>
  </si>
  <si>
    <t>April 27, 1880</t>
  </si>
  <si>
    <t>Loudonville, NY</t>
  </si>
  <si>
    <t>April 29, 1880</t>
  </si>
  <si>
    <t>Cotton</t>
  </si>
  <si>
    <t>17 VanWoert St.</t>
  </si>
  <si>
    <t>May 2, 1880</t>
  </si>
  <si>
    <t>Eliza C.</t>
  </si>
  <si>
    <t>Schenectady</t>
  </si>
  <si>
    <t>May 3, 1880</t>
  </si>
  <si>
    <t>247 Green St.</t>
  </si>
  <si>
    <t>May 5, 1880</t>
  </si>
  <si>
    <t>May 12, 1880</t>
  </si>
  <si>
    <t xml:space="preserve">29 Rensselaer </t>
  </si>
  <si>
    <t>May 15, 1880</t>
  </si>
  <si>
    <t>Curthbert</t>
  </si>
  <si>
    <t>June 1, 1880</t>
  </si>
  <si>
    <t>323 Albany Rd.</t>
  </si>
  <si>
    <t>June 3, 1880</t>
  </si>
  <si>
    <t>June 10, 1880</t>
  </si>
  <si>
    <t>252 Green St.</t>
  </si>
  <si>
    <t xml:space="preserve">Old Age    </t>
  </si>
  <si>
    <t>June 12, 1880</t>
  </si>
  <si>
    <t>James P.</t>
  </si>
  <si>
    <t>July 6, 1880</t>
  </si>
  <si>
    <t>269 Lumber St.</t>
  </si>
  <si>
    <t>July 8, 1880</t>
  </si>
  <si>
    <t>C-10</t>
  </si>
  <si>
    <t xml:space="preserve">Troy, NY </t>
  </si>
  <si>
    <t>August 19, 1882</t>
  </si>
  <si>
    <t>August 21, 1882</t>
  </si>
  <si>
    <t>Albany  NY</t>
  </si>
  <si>
    <t>September 6, 1882</t>
  </si>
  <si>
    <t>132 Jefferson</t>
  </si>
  <si>
    <t>September 8, 1882</t>
  </si>
  <si>
    <t>St. Vincents Asylum</t>
  </si>
  <si>
    <t>October 10, 1882</t>
  </si>
  <si>
    <t>11Plain</t>
  </si>
  <si>
    <t>October 12, 1882</t>
  </si>
  <si>
    <t>October 11, 1882</t>
  </si>
  <si>
    <t>Pulmonasis</t>
  </si>
  <si>
    <t>October 15, 1882</t>
  </si>
  <si>
    <t>103 Myrtle Ave</t>
  </si>
  <si>
    <t>Cullin</t>
  </si>
  <si>
    <t>October 17, 1882</t>
  </si>
  <si>
    <t>October 24, 1882</t>
  </si>
  <si>
    <t>78 Bassett</t>
  </si>
  <si>
    <t>Coroners Investigation</t>
  </si>
  <si>
    <t>94 Madison Ave</t>
  </si>
  <si>
    <t>October 29, 1882</t>
  </si>
  <si>
    <t>November 10, 1882</t>
  </si>
  <si>
    <t>68 Morton</t>
  </si>
  <si>
    <t>November 13, 1882</t>
  </si>
  <si>
    <t>Cowieson</t>
  </si>
  <si>
    <t xml:space="preserve"> Charlotte</t>
  </si>
  <si>
    <t>November 16, 1882</t>
  </si>
  <si>
    <t>November 17, 1882</t>
  </si>
  <si>
    <t xml:space="preserve"> Eliza</t>
  </si>
  <si>
    <t>West Troy, NY</t>
  </si>
  <si>
    <t>November 25, 1882</t>
  </si>
  <si>
    <t>November 27, 1882</t>
  </si>
  <si>
    <t>Crystall</t>
  </si>
  <si>
    <t>1 North St</t>
  </si>
  <si>
    <t>March 7, 1882</t>
  </si>
  <si>
    <t>Corbett</t>
  </si>
  <si>
    <t>December 6, 1882</t>
  </si>
  <si>
    <t>Main St</t>
  </si>
  <si>
    <t>December 8, 1882</t>
  </si>
  <si>
    <t>December 15, 1882</t>
  </si>
  <si>
    <t>831 Broadway</t>
  </si>
  <si>
    <t>Effects of Birth</t>
  </si>
  <si>
    <t>December 16, 1882</t>
  </si>
  <si>
    <t>December 23, 1882</t>
  </si>
  <si>
    <t>1 Gansevoort</t>
  </si>
  <si>
    <t>December 30, 1882</t>
  </si>
  <si>
    <t>104 Arch</t>
  </si>
  <si>
    <t>January 2, 1883</t>
  </si>
  <si>
    <t>Cavanaugh</t>
  </si>
  <si>
    <t>July 12, 1880</t>
  </si>
  <si>
    <t>6 Hawk St.</t>
  </si>
  <si>
    <t>Erysipelas</t>
  </si>
  <si>
    <t>July 15, 1880</t>
  </si>
  <si>
    <t>July 14, 1880</t>
  </si>
  <si>
    <t>50 Colonie St.</t>
  </si>
  <si>
    <t>July 16, 1880</t>
  </si>
  <si>
    <t xml:space="preserve">Newburg </t>
  </si>
  <si>
    <t>July 29, 1880</t>
  </si>
  <si>
    <t>55 Morton St.</t>
  </si>
  <si>
    <t>August 3, 1880</t>
  </si>
  <si>
    <t>July 31, 1880</t>
  </si>
  <si>
    <t>282 S. Pearl St.</t>
  </si>
  <si>
    <t>Kidneys</t>
  </si>
  <si>
    <t>August 4, 1880</t>
  </si>
  <si>
    <t>94 Myrtle Ave.</t>
  </si>
  <si>
    <t>August 8, 1880</t>
  </si>
  <si>
    <t>August 31, 1880</t>
  </si>
  <si>
    <t>September 2, 1880</t>
  </si>
  <si>
    <t>Conlin</t>
  </si>
  <si>
    <t>September 5, 1880</t>
  </si>
  <si>
    <t>183 Green St.</t>
  </si>
  <si>
    <t>September 7, 1880</t>
  </si>
  <si>
    <t>Coffey</t>
  </si>
  <si>
    <t>Gracie</t>
  </si>
  <si>
    <t>September 16, 1880</t>
  </si>
  <si>
    <t>209 Colonie St.</t>
  </si>
  <si>
    <t>September 18, 1880</t>
  </si>
  <si>
    <t>October 18, 1880</t>
  </si>
  <si>
    <t>23 Albany St.</t>
  </si>
  <si>
    <t>October 20, 1880</t>
  </si>
  <si>
    <t>Cornelia</t>
  </si>
  <si>
    <t xml:space="preserve">NY </t>
  </si>
  <si>
    <t>November 3, 1880</t>
  </si>
  <si>
    <t>688 Eight Ave.</t>
  </si>
  <si>
    <t>December 16, 1880</t>
  </si>
  <si>
    <t>8 Green St.</t>
  </si>
  <si>
    <t>December 18, 1880</t>
  </si>
  <si>
    <t>52 Second St.</t>
  </si>
  <si>
    <t>December 20, 1880</t>
  </si>
  <si>
    <t>Lucie</t>
  </si>
  <si>
    <t>December 26, 1880</t>
  </si>
  <si>
    <t>8 Hawk St.</t>
  </si>
  <si>
    <t>December 27, 1880</t>
  </si>
  <si>
    <t>December 31, 1879</t>
  </si>
  <si>
    <t>1 Clinton</t>
  </si>
  <si>
    <t>Collins</t>
  </si>
  <si>
    <t>November 19, 1871</t>
  </si>
  <si>
    <t>33 VanWoert</t>
  </si>
  <si>
    <t>October 13, 1872</t>
  </si>
  <si>
    <t>January 31, 1866</t>
  </si>
  <si>
    <t>38 8 St. E. Troy</t>
  </si>
  <si>
    <t>October 25, 1872</t>
  </si>
  <si>
    <t>May 5, 1872</t>
  </si>
  <si>
    <t>March 20, 1864</t>
  </si>
  <si>
    <t>July 27, 1861</t>
  </si>
  <si>
    <t xml:space="preserve">Third St. </t>
  </si>
  <si>
    <t>November 12, 1872</t>
  </si>
  <si>
    <t>December 14, 1872</t>
  </si>
  <si>
    <t>Bethlehem</t>
  </si>
  <si>
    <t>Kidney</t>
  </si>
  <si>
    <t>December 16, 1872</t>
  </si>
  <si>
    <t xml:space="preserve"> February  27</t>
  </si>
  <si>
    <t>188 Broadway</t>
  </si>
  <si>
    <t>June 3, 1876</t>
  </si>
  <si>
    <t>December 30, 1880</t>
  </si>
  <si>
    <t>1166 Broadway</t>
  </si>
  <si>
    <t>January 2, 1881</t>
  </si>
  <si>
    <t>Cogans</t>
  </si>
  <si>
    <t>January 3, 1881</t>
  </si>
  <si>
    <t>NY City</t>
  </si>
  <si>
    <t>January 6, 1881</t>
  </si>
  <si>
    <t>Conly</t>
  </si>
  <si>
    <t>January 14, 1881</t>
  </si>
  <si>
    <t>32 Canal St.</t>
  </si>
  <si>
    <t>January 16, 1881</t>
  </si>
  <si>
    <t>Cullen</t>
  </si>
  <si>
    <t>108 Hamilton</t>
  </si>
  <si>
    <t>February 2, 1881</t>
  </si>
  <si>
    <t>February 14, 1881</t>
  </si>
  <si>
    <t>30 Morton St.</t>
  </si>
  <si>
    <t>Insane</t>
  </si>
  <si>
    <t>February 16, 1881</t>
  </si>
  <si>
    <t>C-09</t>
  </si>
  <si>
    <t>Coons</t>
  </si>
  <si>
    <t>February 17, 1881</t>
  </si>
  <si>
    <t>178 Clinton Ave</t>
  </si>
  <si>
    <t>February 19, 1881</t>
  </si>
  <si>
    <t xml:space="preserve"> Maria</t>
  </si>
  <si>
    <t>February 21, 1881</t>
  </si>
  <si>
    <t>38 Alexander</t>
  </si>
  <si>
    <t>February 24,1881</t>
  </si>
  <si>
    <t>Conkling</t>
  </si>
  <si>
    <t>March 10, 1881</t>
  </si>
  <si>
    <t>Crampton</t>
  </si>
  <si>
    <t>Swan &amp; Canal</t>
  </si>
  <si>
    <t>February 19, 1882</t>
  </si>
  <si>
    <t>28 Charles</t>
  </si>
  <si>
    <t>262 S. Pearl</t>
  </si>
  <si>
    <t>Emily</t>
  </si>
  <si>
    <t>20 Delaware Ave.</t>
  </si>
  <si>
    <t>673 Broadway</t>
  </si>
  <si>
    <t>Revels</t>
  </si>
  <si>
    <t>May 24, 1882</t>
  </si>
  <si>
    <t>May 26, 1882</t>
  </si>
  <si>
    <t>98 Third St</t>
  </si>
  <si>
    <t>3 Wendell</t>
  </si>
  <si>
    <t>Redden</t>
  </si>
  <si>
    <t>Bella C.</t>
  </si>
  <si>
    <t>151 Clinton Ave</t>
  </si>
  <si>
    <t>August 24, 1882</t>
  </si>
  <si>
    <t>Lot 423 Sec 7</t>
  </si>
  <si>
    <t>September 14, 1882</t>
  </si>
  <si>
    <t>97 Green</t>
  </si>
  <si>
    <t>Reedy</t>
  </si>
  <si>
    <t xml:space="preserve">88 N. Lark </t>
  </si>
  <si>
    <t>Oct 19, 1882</t>
  </si>
  <si>
    <t>St. Vincent's Asylum</t>
  </si>
  <si>
    <t>105 Beaver</t>
  </si>
  <si>
    <t>December 27, 1882</t>
  </si>
  <si>
    <t>371 N. Pearl</t>
  </si>
  <si>
    <t>December 24, 1882</t>
  </si>
  <si>
    <t>Sisters of Poor</t>
  </si>
  <si>
    <t>S-01</t>
  </si>
  <si>
    <t>Smith</t>
  </si>
  <si>
    <t>July 15, 1867</t>
  </si>
  <si>
    <t>Sager</t>
  </si>
  <si>
    <t>Alex</t>
  </si>
  <si>
    <t>November 22, 1868</t>
  </si>
  <si>
    <t>November 23, 1868</t>
  </si>
  <si>
    <t>Shallow</t>
  </si>
  <si>
    <t>Julia Ann</t>
  </si>
  <si>
    <t>June 18, 1870</t>
  </si>
  <si>
    <t>Sizer</t>
  </si>
  <si>
    <t>Reinhart Joseph</t>
  </si>
  <si>
    <t>Port Schuyler, Albany Co.</t>
  </si>
  <si>
    <t>West Troy, P. Schuyler</t>
  </si>
  <si>
    <t>May 1, 1870</t>
  </si>
  <si>
    <t>Shea</t>
  </si>
  <si>
    <t>August 8, 1861</t>
  </si>
  <si>
    <t>Spelman</t>
  </si>
  <si>
    <t>August 31, 1870</t>
  </si>
  <si>
    <t>September 2, 1870</t>
  </si>
  <si>
    <t>Sculley</t>
  </si>
  <si>
    <t>April 21, 1871</t>
  </si>
  <si>
    <t>April 22, 1871</t>
  </si>
  <si>
    <t>Stewart</t>
  </si>
  <si>
    <t>May 25 1871</t>
  </si>
  <si>
    <t>May 27 1871</t>
  </si>
  <si>
    <t>Stuart</t>
  </si>
  <si>
    <t>February 6, 1871</t>
  </si>
  <si>
    <t>Smyth</t>
  </si>
  <si>
    <t>Ganet B.</t>
  </si>
  <si>
    <t>Sullivan</t>
  </si>
  <si>
    <t>October 2, 1870</t>
  </si>
  <si>
    <t>May 13, 1871</t>
  </si>
  <si>
    <t>May 28, 1863</t>
  </si>
  <si>
    <t>86 Green St,Albany</t>
  </si>
  <si>
    <t>November 1864</t>
  </si>
  <si>
    <t>86 Green Albany</t>
  </si>
  <si>
    <t>June 8, 1868</t>
  </si>
  <si>
    <t>146 Jefferson St</t>
  </si>
  <si>
    <t>Sheedy</t>
  </si>
  <si>
    <t>Year 1871</t>
  </si>
  <si>
    <t>December 1869</t>
  </si>
  <si>
    <t>Seery</t>
  </si>
  <si>
    <t>35 N Lansing St</t>
  </si>
  <si>
    <t>May 27, 1872</t>
  </si>
  <si>
    <t>Scully</t>
  </si>
  <si>
    <t>Rotterdam NY</t>
  </si>
  <si>
    <t>Richard John</t>
  </si>
  <si>
    <t>Year 1869</t>
  </si>
  <si>
    <t>Salters</t>
  </si>
  <si>
    <t>102 First St</t>
  </si>
  <si>
    <t>Scanlon</t>
  </si>
  <si>
    <t>July 22, 1872</t>
  </si>
  <si>
    <t>27 Dean St</t>
  </si>
  <si>
    <t>August 20, 1872</t>
  </si>
  <si>
    <t>49 Colonie St</t>
  </si>
  <si>
    <t>August 21, 1872</t>
  </si>
  <si>
    <t>Sweeney</t>
  </si>
  <si>
    <t>Miles</t>
  </si>
  <si>
    <t>June 25, 1854</t>
  </si>
  <si>
    <t>March 21, 1856</t>
  </si>
  <si>
    <t>January 9, 1873</t>
  </si>
  <si>
    <t>77 3rd St</t>
  </si>
  <si>
    <t>Kidney ?</t>
  </si>
  <si>
    <t>Sheehy</t>
  </si>
  <si>
    <t>Year 1863</t>
  </si>
  <si>
    <t>50 Lawrence St</t>
  </si>
  <si>
    <t>October 4, 1872</t>
  </si>
  <si>
    <t>Shaw</t>
  </si>
  <si>
    <t>October 1, 1880</t>
  </si>
  <si>
    <t>McElveny</t>
  </si>
  <si>
    <t>97 S Pearl St</t>
  </si>
  <si>
    <t>October 25, 1880</t>
  </si>
  <si>
    <t xml:space="preserve"> Arthur</t>
  </si>
  <si>
    <t>November 11, 1880</t>
  </si>
  <si>
    <t>Mansion &amp; Albany Sts.</t>
  </si>
  <si>
    <t>Going</t>
  </si>
  <si>
    <t xml:space="preserve"> November 13, 1879</t>
  </si>
  <si>
    <t>73 Jefferson</t>
  </si>
  <si>
    <t>November 16, 1879</t>
  </si>
  <si>
    <t xml:space="preserve"> March 7, 1880</t>
  </si>
  <si>
    <t>31 Bassett St.</t>
  </si>
  <si>
    <t>March 9, 1880</t>
  </si>
  <si>
    <t xml:space="preserve"> March 27, 1880</t>
  </si>
  <si>
    <t>75 Swan St.</t>
  </si>
  <si>
    <t>March 29, 1880</t>
  </si>
  <si>
    <t>Giblin</t>
  </si>
  <si>
    <t xml:space="preserve"> January 7, 1880</t>
  </si>
  <si>
    <t>41 Van Woert St.</t>
  </si>
  <si>
    <t>Gibbons</t>
  </si>
  <si>
    <t xml:space="preserve"> May 22, 1880</t>
  </si>
  <si>
    <t>292 Third St.</t>
  </si>
  <si>
    <t>May 25, 1880</t>
  </si>
  <si>
    <t>Grayles</t>
  </si>
  <si>
    <t xml:space="preserve"> May 28, 1880</t>
  </si>
  <si>
    <t>67 4th Ave.</t>
  </si>
  <si>
    <t>May 31, 1880</t>
  </si>
  <si>
    <t xml:space="preserve"> June 21, 1880</t>
  </si>
  <si>
    <t>5/14/1880</t>
  </si>
  <si>
    <t>93 First St.</t>
  </si>
  <si>
    <t>Old Age Debility</t>
  </si>
  <si>
    <t>10/14/1876</t>
  </si>
  <si>
    <t>10 Road St.</t>
  </si>
  <si>
    <t>2/3/1881</t>
  </si>
  <si>
    <t>4/3/1881</t>
  </si>
  <si>
    <t>4/17/1881</t>
  </si>
  <si>
    <t>Welsh</t>
  </si>
  <si>
    <t>4/27/1881</t>
  </si>
  <si>
    <t>301 Madison Ave</t>
  </si>
  <si>
    <t>11/10/1881</t>
  </si>
  <si>
    <t>213 Park Ave</t>
  </si>
  <si>
    <t>1/20/1882</t>
  </si>
  <si>
    <t>522 Madison Ave</t>
  </si>
  <si>
    <t>2/1/1882</t>
  </si>
  <si>
    <t xml:space="preserve"> February 20, 1882</t>
  </si>
  <si>
    <t>58 Church St</t>
  </si>
  <si>
    <t>2/22/1882</t>
  </si>
  <si>
    <t xml:space="preserve"> February 28, 1882</t>
  </si>
  <si>
    <t>33 Wendell, E. Albany NY</t>
  </si>
  <si>
    <t>3/2/1882</t>
  </si>
  <si>
    <t>193 Spruce</t>
  </si>
  <si>
    <t>11/4/1882</t>
  </si>
  <si>
    <t>April 20, 1882</t>
  </si>
  <si>
    <t>55 Mulberry</t>
  </si>
  <si>
    <t>4/22/1882</t>
  </si>
  <si>
    <t>Tribes Hill</t>
  </si>
  <si>
    <t>August 12, 1882</t>
  </si>
  <si>
    <t>22 Van Woert</t>
  </si>
  <si>
    <t>8/16/1882</t>
  </si>
  <si>
    <t>Wren</t>
  </si>
  <si>
    <t>October 5, 1882</t>
  </si>
  <si>
    <t>43 Canal St.</t>
  </si>
  <si>
    <t>10/8/1882</t>
  </si>
  <si>
    <t>Williams</t>
  </si>
  <si>
    <t>November 18, 1882</t>
  </si>
  <si>
    <t>26 DeWitt</t>
  </si>
  <si>
    <t>11/20/1882</t>
  </si>
  <si>
    <t>Removed 6/3/1911 to Katie A. Payne Lot 261 Sec 7</t>
  </si>
  <si>
    <t>12/6/1882</t>
  </si>
  <si>
    <t>December 9, 1882</t>
  </si>
  <si>
    <t>12/9/1882</t>
  </si>
  <si>
    <t>Weldon</t>
  </si>
  <si>
    <t>125 Orange</t>
  </si>
  <si>
    <t>Vault 12/17/1882</t>
  </si>
  <si>
    <t>Zwick</t>
  </si>
  <si>
    <t>14 Central Ave.</t>
  </si>
  <si>
    <t>Z-01</t>
  </si>
  <si>
    <t>February 16, 1882</t>
  </si>
  <si>
    <t>66 Clinton St.</t>
  </si>
  <si>
    <t>February 17, 1882</t>
  </si>
  <si>
    <t>March 1, 1882</t>
  </si>
  <si>
    <t>188 Colonie</t>
  </si>
  <si>
    <t>March 4, 1882</t>
  </si>
  <si>
    <t>Childs</t>
  </si>
  <si>
    <t>March 16, 1882</t>
  </si>
  <si>
    <t>338 N. Pearl</t>
  </si>
  <si>
    <t>March 19, 1881</t>
  </si>
  <si>
    <t>March 28, 1882</t>
  </si>
  <si>
    <t>32 N. Knox</t>
  </si>
  <si>
    <t>March 31, 1882</t>
  </si>
  <si>
    <t>March 30, 1882</t>
  </si>
  <si>
    <t>4 Main St.</t>
  </si>
  <si>
    <t>St. Peters Hosp.</t>
  </si>
  <si>
    <t>Pulmonis</t>
  </si>
  <si>
    <t>May 15, 1882</t>
  </si>
  <si>
    <t>June 26, 1882</t>
  </si>
  <si>
    <t>216 Orange</t>
  </si>
  <si>
    <t>Liver complaint</t>
  </si>
  <si>
    <t>June 28, 1882</t>
  </si>
  <si>
    <t>July 1, 1882</t>
  </si>
  <si>
    <t>177 Franklin</t>
  </si>
  <si>
    <t>July 3, 1882</t>
  </si>
  <si>
    <t>Erie St.</t>
  </si>
  <si>
    <t>July 5, 1882</t>
  </si>
  <si>
    <t>August 3, 1882</t>
  </si>
  <si>
    <t>36 Jefferson</t>
  </si>
  <si>
    <t>Cholera Infantaminum</t>
  </si>
  <si>
    <t>August 5, 1882</t>
  </si>
  <si>
    <t>AGE - MOS</t>
  </si>
  <si>
    <t>AGE -YRS</t>
  </si>
  <si>
    <t>AGE - DYS</t>
  </si>
  <si>
    <t xml:space="preserve">    WHERE BORN</t>
  </si>
  <si>
    <t xml:space="preserve">    DIED WHEN</t>
  </si>
  <si>
    <t xml:space="preserve">             RESIDENCE</t>
  </si>
  <si>
    <t xml:space="preserve">       DISEASE</t>
  </si>
  <si>
    <t xml:space="preserve">  DATE OF INTERMENT</t>
  </si>
  <si>
    <t xml:space="preserve">         NOTATION</t>
  </si>
  <si>
    <t>Austin</t>
  </si>
  <si>
    <t>Allen</t>
  </si>
  <si>
    <t>Anglam</t>
  </si>
  <si>
    <t>Abos</t>
  </si>
  <si>
    <t>Alvaney</t>
  </si>
  <si>
    <t>Ashton</t>
  </si>
  <si>
    <t>Ahern</t>
  </si>
  <si>
    <t>Anglem</t>
  </si>
  <si>
    <t>Allanson</t>
  </si>
  <si>
    <t>Adair</t>
  </si>
  <si>
    <t>Anamire</t>
  </si>
  <si>
    <t>Aylman</t>
  </si>
  <si>
    <t>Alvany</t>
  </si>
  <si>
    <t>Alleu</t>
  </si>
  <si>
    <t>Appleby</t>
  </si>
  <si>
    <t>Anglum</t>
  </si>
  <si>
    <t>Ambrose</t>
  </si>
  <si>
    <t>Aberton</t>
  </si>
  <si>
    <t>Aylward</t>
  </si>
  <si>
    <t>Andrews</t>
  </si>
  <si>
    <t>Mary</t>
  </si>
  <si>
    <t>Charles</t>
  </si>
  <si>
    <t>Edward E.</t>
  </si>
  <si>
    <t>Winifred</t>
  </si>
  <si>
    <t>Daniel</t>
  </si>
  <si>
    <t>Ellen</t>
  </si>
  <si>
    <t>Susan</t>
  </si>
  <si>
    <t>Eugene R.</t>
  </si>
  <si>
    <t>May</t>
  </si>
  <si>
    <t>Margaret</t>
  </si>
  <si>
    <t>Thomas</t>
  </si>
  <si>
    <t>Bridget</t>
  </si>
  <si>
    <t>Richard</t>
  </si>
  <si>
    <t>Christina</t>
  </si>
  <si>
    <t>Richard, Jr.</t>
  </si>
  <si>
    <t>Peter</t>
  </si>
  <si>
    <t>Hannah</t>
  </si>
  <si>
    <t>John</t>
  </si>
  <si>
    <t>Timothy</t>
  </si>
  <si>
    <t>Maryanne</t>
  </si>
  <si>
    <t xml:space="preserve">Catherine </t>
  </si>
  <si>
    <t>Annie</t>
  </si>
  <si>
    <t>Frederick</t>
  </si>
  <si>
    <t>Michael</t>
  </si>
  <si>
    <t>Rosanna</t>
  </si>
  <si>
    <t>Ann</t>
  </si>
  <si>
    <t>Joseph P.</t>
  </si>
  <si>
    <t>Mary Ann</t>
  </si>
  <si>
    <t>Willie</t>
  </si>
  <si>
    <t>Catherine</t>
  </si>
  <si>
    <t>Jeremiah</t>
  </si>
  <si>
    <t>Albany</t>
  </si>
  <si>
    <t>Montreal</t>
  </si>
  <si>
    <t>Burlington, VT</t>
  </si>
  <si>
    <t>Ireland</t>
  </si>
  <si>
    <t>England</t>
  </si>
  <si>
    <t>Cohoes</t>
  </si>
  <si>
    <t xml:space="preserve">    DIED WHERE</t>
  </si>
  <si>
    <t xml:space="preserve">Albany </t>
  </si>
  <si>
    <t xml:space="preserve">New York </t>
  </si>
  <si>
    <t xml:space="preserve">?? </t>
  </si>
  <si>
    <t xml:space="preserve">Cohoes </t>
  </si>
  <si>
    <t xml:space="preserve">West Troy </t>
  </si>
  <si>
    <t>??/??/????</t>
  </si>
  <si>
    <t>West Troy</t>
  </si>
  <si>
    <t>New York</t>
  </si>
  <si>
    <t>??</t>
  </si>
  <si>
    <t>28 Lodge St Albany</t>
  </si>
  <si>
    <t>19 Orange St</t>
  </si>
  <si>
    <t>107 Orange St</t>
  </si>
  <si>
    <t>331 Van Woert</t>
  </si>
  <si>
    <t>70 Orange St</t>
  </si>
  <si>
    <t>Van Tromp St.</t>
  </si>
  <si>
    <t>N. Pearl St.</t>
  </si>
  <si>
    <t>Cor. Steuben &amp; Chapel Sts.</t>
  </si>
  <si>
    <t xml:space="preserve">331 N. Pearl St. </t>
  </si>
  <si>
    <t>42 Rensselaer St.</t>
  </si>
  <si>
    <t xml:space="preserve">119 Orange St. </t>
  </si>
  <si>
    <t>21 Broad St.</t>
  </si>
  <si>
    <t>47 Arch St.</t>
  </si>
  <si>
    <t>Broadway N. Albany</t>
  </si>
  <si>
    <t>Broadway rear Loughlin St N. Ally</t>
  </si>
  <si>
    <t>Calvert St.</t>
  </si>
  <si>
    <t>Broadway Cor South</t>
  </si>
  <si>
    <t>April 29, 1879</t>
  </si>
  <si>
    <t>Dinon</t>
  </si>
  <si>
    <t xml:space="preserve"> Mary Jane</t>
  </si>
  <si>
    <t>December 2, 1877</t>
  </si>
  <si>
    <t>86 Alexander St</t>
  </si>
  <si>
    <t>December 4, 1877</t>
  </si>
  <si>
    <t>December 11, 1877</t>
  </si>
  <si>
    <t>December 14, 1877</t>
  </si>
  <si>
    <t>February 10, 1878</t>
  </si>
  <si>
    <t>North Street</t>
  </si>
  <si>
    <t>February 12, 1878</t>
  </si>
  <si>
    <t>Delany</t>
  </si>
  <si>
    <t>18 Beaver</t>
  </si>
  <si>
    <t>February 14, 1878</t>
  </si>
  <si>
    <t>March 28, 1878</t>
  </si>
  <si>
    <t>85 Canal St</t>
  </si>
  <si>
    <t>March 30, 1878</t>
  </si>
  <si>
    <t>April 22, 1878</t>
  </si>
  <si>
    <t>65 Jefferson St</t>
  </si>
  <si>
    <t>April 24, 1878</t>
  </si>
  <si>
    <t>Doolin</t>
  </si>
  <si>
    <t>64 Park Ave</t>
  </si>
  <si>
    <t>Duffey</t>
  </si>
  <si>
    <t>Swan &amp; Jefferson</t>
  </si>
  <si>
    <t>Dorsey</t>
  </si>
  <si>
    <t>May 29, 1879</t>
  </si>
  <si>
    <t>839 Broadway</t>
  </si>
  <si>
    <t>May 31, 1879</t>
  </si>
  <si>
    <t>July 1, 1879</t>
  </si>
  <si>
    <t>20 Second St</t>
  </si>
  <si>
    <t>July 3, 1879</t>
  </si>
  <si>
    <t>121 Orange St</t>
  </si>
  <si>
    <t>July 17, 1879</t>
  </si>
  <si>
    <t>Dunlap</t>
  </si>
  <si>
    <t>August 3, 1879</t>
  </si>
  <si>
    <t>Corning &amp; West Ally</t>
  </si>
  <si>
    <t>August 5, 1879</t>
  </si>
  <si>
    <t>Holland</t>
  </si>
  <si>
    <t>August 11, 1879</t>
  </si>
  <si>
    <t>August 16, 1879</t>
  </si>
  <si>
    <t>15 S Lansing St</t>
  </si>
  <si>
    <t>August 19, 1879</t>
  </si>
  <si>
    <t>March 21, 1879</t>
  </si>
  <si>
    <t>August 21, 1879</t>
  </si>
  <si>
    <t>Donahoe</t>
  </si>
  <si>
    <t>December 27, 1878</t>
  </si>
  <si>
    <t>35th St. New York</t>
  </si>
  <si>
    <t>October 27, 1877</t>
  </si>
  <si>
    <t>157 Morton St.</t>
  </si>
  <si>
    <t>October 29, 1877</t>
  </si>
  <si>
    <t xml:space="preserve"> August 3, 1852</t>
  </si>
  <si>
    <t>November 13, 1877</t>
  </si>
  <si>
    <t>Garon</t>
  </si>
  <si>
    <t xml:space="preserve"> September 15, 1852</t>
  </si>
  <si>
    <t>61 Broadway Albany</t>
  </si>
  <si>
    <t>Cholera ?</t>
  </si>
  <si>
    <t>December 15, 1876</t>
  </si>
  <si>
    <t>Albany St.</t>
  </si>
  <si>
    <t>Disease of Kidneys</t>
  </si>
  <si>
    <t>December 17, 1876</t>
  </si>
  <si>
    <t xml:space="preserve"> February 6, 1878</t>
  </si>
  <si>
    <t>February 7, 1878</t>
  </si>
  <si>
    <t xml:space="preserve"> February 17, 1878</t>
  </si>
  <si>
    <t>28 Loughlin St.</t>
  </si>
  <si>
    <t>February 19, 1878</t>
  </si>
  <si>
    <t>Gillen</t>
  </si>
  <si>
    <t>William St.</t>
  </si>
  <si>
    <t>{Moved</t>
  </si>
  <si>
    <t>Moved from St Mary's Cemetery</t>
  </si>
  <si>
    <t>DeWitt St.</t>
  </si>
  <si>
    <t>From</t>
  </si>
  <si>
    <t>102 VanWoert St.</t>
  </si>
  <si>
    <t>St. Mary's</t>
  </si>
  <si>
    <t>Cemetery}</t>
  </si>
  <si>
    <t xml:space="preserve"> July 23, 1879</t>
  </si>
  <si>
    <t>July 25, 1879</t>
  </si>
  <si>
    <t>Goffie</t>
  </si>
  <si>
    <t xml:space="preserve"> December 14, 1878</t>
  </si>
  <si>
    <t>Warren St. Martinville</t>
  </si>
  <si>
    <t>December 16, 1878</t>
  </si>
  <si>
    <t>Grady</t>
  </si>
  <si>
    <t xml:space="preserve"> December 21, 1878</t>
  </si>
  <si>
    <t>25 Steuben St.</t>
  </si>
  <si>
    <t>December 23, 1878</t>
  </si>
  <si>
    <t xml:space="preserve"> February 5, 1879</t>
  </si>
  <si>
    <t>Corning St. W. Albany</t>
  </si>
  <si>
    <t>February 8, 1879</t>
  </si>
  <si>
    <t>Gillice</t>
  </si>
  <si>
    <t>Celia</t>
  </si>
  <si>
    <t>Exchange St. W. Albany</t>
  </si>
  <si>
    <t>March 5, 1879</t>
  </si>
  <si>
    <t xml:space="preserve"> March 5, 1879</t>
  </si>
  <si>
    <t>19 Mulberry St.</t>
  </si>
  <si>
    <t xml:space="preserve">Inflamation of Bowels </t>
  </si>
  <si>
    <t>March 7, 1879</t>
  </si>
  <si>
    <t>Hugh F.</t>
  </si>
  <si>
    <t xml:space="preserve">86 Cherry </t>
  </si>
  <si>
    <t>Kirwin</t>
  </si>
  <si>
    <t>153 Colonie</t>
  </si>
  <si>
    <t>January 18, 1881</t>
  </si>
  <si>
    <t>Shortness of Breath</t>
  </si>
  <si>
    <t>Kavanaugh</t>
  </si>
  <si>
    <t>6 Hawk</t>
  </si>
  <si>
    <t>March 20, 1881</t>
  </si>
  <si>
    <t>213 Broadway</t>
  </si>
  <si>
    <t>March 22, 1881</t>
  </si>
  <si>
    <t>Ketrick</t>
  </si>
  <si>
    <t>March 31, 1881</t>
  </si>
  <si>
    <t xml:space="preserve">Groton St </t>
  </si>
  <si>
    <t>April 24, 1881</t>
  </si>
  <si>
    <t>14 Rose St</t>
  </si>
  <si>
    <t>April 27, 1881</t>
  </si>
  <si>
    <t>April 30, 1881</t>
  </si>
  <si>
    <t>53 Lawrence</t>
  </si>
  <si>
    <t xml:space="preserve">accident </t>
  </si>
  <si>
    <t>May 3, 1881</t>
  </si>
  <si>
    <t>May 25, 1881</t>
  </si>
  <si>
    <t>80 First St</t>
  </si>
  <si>
    <t>May 27, 1881</t>
  </si>
  <si>
    <t>Kieley</t>
  </si>
  <si>
    <t>July 16, 1881</t>
  </si>
  <si>
    <t>Mohawk St</t>
  </si>
  <si>
    <t>Debility or Malaria</t>
  </si>
  <si>
    <t>July 19, 1881</t>
  </si>
  <si>
    <t>October 5, 1881</t>
  </si>
  <si>
    <t>October 9, 1881</t>
  </si>
  <si>
    <t>45 Dewitt</t>
  </si>
  <si>
    <t>18 Railroad Ave</t>
  </si>
  <si>
    <t>118 Ten Broeck</t>
  </si>
  <si>
    <t>March 6, 1882</t>
  </si>
  <si>
    <t>Boston Island</t>
  </si>
  <si>
    <t>March 8, 1882</t>
  </si>
  <si>
    <t>April 14, 1882</t>
  </si>
  <si>
    <t>Dallius &amp; Cherry</t>
  </si>
  <si>
    <t>April 16, 1882</t>
  </si>
  <si>
    <t>May 4, 1882</t>
  </si>
  <si>
    <t>298 Second</t>
  </si>
  <si>
    <t>May 7, 1882</t>
  </si>
  <si>
    <t>Arch &amp; Broad</t>
  </si>
  <si>
    <t>Kann</t>
  </si>
  <si>
    <t>May 23, 1882</t>
  </si>
  <si>
    <t>60 Alexander</t>
  </si>
  <si>
    <t>May 25, 1882</t>
  </si>
  <si>
    <t>Keilty</t>
  </si>
  <si>
    <t>June 13, 1882</t>
  </si>
  <si>
    <t>108 Arch St</t>
  </si>
  <si>
    <t>June 18, 1882</t>
  </si>
  <si>
    <t xml:space="preserve">10 Daniel </t>
  </si>
  <si>
    <t>368 S. Pearl</t>
  </si>
  <si>
    <t>Summer Complaint</t>
  </si>
  <si>
    <t>K-05</t>
  </si>
  <si>
    <t>Kitrick</t>
  </si>
  <si>
    <t>498 Groton St.</t>
  </si>
  <si>
    <t>8/2/1882</t>
  </si>
  <si>
    <t>Kierman</t>
  </si>
  <si>
    <t>September 12, 1882</t>
  </si>
  <si>
    <t>47 Ten Broeck</t>
  </si>
  <si>
    <t>September 13, 1882</t>
  </si>
  <si>
    <t>9/13/1882</t>
  </si>
  <si>
    <t>September 26, 1882</t>
  </si>
  <si>
    <t>157 Broadway</t>
  </si>
  <si>
    <t>9/28/1882</t>
  </si>
  <si>
    <t>October 4, 1882</t>
  </si>
  <si>
    <t>10/4/1882</t>
  </si>
  <si>
    <t>January 27, 1863</t>
  </si>
  <si>
    <t>11/10/1882</t>
  </si>
  <si>
    <t>April 1854</t>
  </si>
  <si>
    <t>Kidney Complaint?</t>
  </si>
  <si>
    <t>11/14/1882</t>
  </si>
  <si>
    <t>53 S. Pearl</t>
  </si>
  <si>
    <t>Thyroid Fever</t>
  </si>
  <si>
    <t>Vault December 10, 1882</t>
  </si>
  <si>
    <t>Vault 12/10/1882</t>
  </si>
  <si>
    <t>148 Montgomery St Albany</t>
  </si>
  <si>
    <t>202 Green</t>
  </si>
  <si>
    <t>1181 Broadway</t>
  </si>
  <si>
    <t xml:space="preserve">137 Broadway West Troy NY, </t>
  </si>
  <si>
    <t>Killed on railroad</t>
  </si>
  <si>
    <t>O'Halloran</t>
  </si>
  <si>
    <t>January 25, 1880</t>
  </si>
  <si>
    <t>20 Gardner Cohoes</t>
  </si>
  <si>
    <t>accident</t>
  </si>
  <si>
    <t>January 28, 1880</t>
  </si>
  <si>
    <t>January 30, 1880</t>
  </si>
  <si>
    <t>348 Orange</t>
  </si>
  <si>
    <t>accidental</t>
  </si>
  <si>
    <t>O-03</t>
  </si>
  <si>
    <t xml:space="preserve">O'Byrne  </t>
  </si>
  <si>
    <t>February 5, 18801</t>
  </si>
  <si>
    <t>5 VanTromp</t>
  </si>
  <si>
    <t>25 Morris</t>
  </si>
  <si>
    <t>19 Monroe St</t>
  </si>
  <si>
    <t>Liver Comph</t>
  </si>
  <si>
    <t>May 13, 1872</t>
  </si>
  <si>
    <t>January 2, 1872</t>
  </si>
  <si>
    <t>September 1864</t>
  </si>
  <si>
    <t>20 Colonie St</t>
  </si>
  <si>
    <t>Harrison</t>
  </si>
  <si>
    <t>John B</t>
  </si>
  <si>
    <t>December 23, 1871</t>
  </si>
  <si>
    <t>June 1, 1872</t>
  </si>
  <si>
    <t>February 12, 1872</t>
  </si>
  <si>
    <t>Anne E.</t>
  </si>
  <si>
    <t>December 21, 1872</t>
  </si>
  <si>
    <t>September 7, 1882</t>
  </si>
  <si>
    <t>Gloster</t>
  </si>
  <si>
    <t xml:space="preserve"> November 3, 1882</t>
  </si>
  <si>
    <t>371 State</t>
  </si>
  <si>
    <t>Clarance</t>
  </si>
  <si>
    <t xml:space="preserve"> November 2, 1882</t>
  </si>
  <si>
    <t>Monroe &amp; Chapel</t>
  </si>
  <si>
    <t>Gilmour</t>
  </si>
  <si>
    <t xml:space="preserve"> November 23, 1882</t>
  </si>
  <si>
    <t>Childs Nursery</t>
  </si>
  <si>
    <t>Garvey</t>
  </si>
  <si>
    <t xml:space="preserve"> November 26, 1882</t>
  </si>
  <si>
    <t>149 Lumber</t>
  </si>
  <si>
    <t>Minnie</t>
  </si>
  <si>
    <t xml:space="preserve"> November 30, 1882</t>
  </si>
  <si>
    <t>Gray</t>
  </si>
  <si>
    <t xml:space="preserve"> December 13, 1882</t>
  </si>
  <si>
    <t>165 Montgomery</t>
  </si>
  <si>
    <t>H-01</t>
  </si>
  <si>
    <t>Haggerty</t>
  </si>
  <si>
    <t>Catherine N.</t>
  </si>
  <si>
    <t>Pittsfield, Mass</t>
  </si>
  <si>
    <t>June 2, 1868</t>
  </si>
  <si>
    <t>Hughes</t>
  </si>
  <si>
    <t>July 20, 1868</t>
  </si>
  <si>
    <t>Heffernan</t>
  </si>
  <si>
    <t>Higgins</t>
  </si>
  <si>
    <t>November 1834</t>
  </si>
  <si>
    <t>October 1, 1868</t>
  </si>
  <si>
    <t>Kildare, Ireland</t>
  </si>
  <si>
    <t>Eleanor</t>
  </si>
  <si>
    <t>Heenan</t>
  </si>
  <si>
    <t>November 20, 1868</t>
  </si>
  <si>
    <t>November 18, 1868</t>
  </si>
  <si>
    <t xml:space="preserve"> November 4, 1868</t>
  </si>
  <si>
    <t>April 26, 1869</t>
  </si>
  <si>
    <t>July 18, 1862</t>
  </si>
  <si>
    <t xml:space="preserve"> 2/1858</t>
  </si>
  <si>
    <t>Hoy</t>
  </si>
  <si>
    <t>May 8, 1869</t>
  </si>
  <si>
    <t>Harty</t>
  </si>
  <si>
    <t>Patrick R.</t>
  </si>
  <si>
    <t>February 24, 1868</t>
  </si>
  <si>
    <t>July 27, 1869</t>
  </si>
  <si>
    <t xml:space="preserve"> August 20, 1869</t>
  </si>
  <si>
    <t xml:space="preserve"> August 21, 1869</t>
  </si>
  <si>
    <t>Haley</t>
  </si>
  <si>
    <t>December 5, 1869</t>
  </si>
  <si>
    <t>Herrick</t>
  </si>
  <si>
    <t>Henry R.</t>
  </si>
  <si>
    <t>April 4, 1870</t>
  </si>
  <si>
    <t>June 24, 1870</t>
  </si>
  <si>
    <t>June 26, 1870</t>
  </si>
  <si>
    <t>Hanigan</t>
  </si>
  <si>
    <t>Nora</t>
  </si>
  <si>
    <t>December 28, 1869</t>
  </si>
  <si>
    <t>May 11, 1870</t>
  </si>
  <si>
    <t>March 26, 1866</t>
  </si>
  <si>
    <t>Hughs</t>
  </si>
  <si>
    <t>May Catherine</t>
  </si>
  <si>
    <t>Bath Rensselear Co.</t>
  </si>
  <si>
    <t>Infantum</t>
  </si>
  <si>
    <t>Halpin</t>
  </si>
  <si>
    <t>Hayner</t>
  </si>
  <si>
    <t>April 27, 1859</t>
  </si>
  <si>
    <t>November 16, 1870</t>
  </si>
  <si>
    <t>February 16, 1853</t>
  </si>
  <si>
    <t xml:space="preserve">Harrigan </t>
  </si>
  <si>
    <t>November 17, 1863</t>
  </si>
  <si>
    <t>November 9, 1870</t>
  </si>
  <si>
    <t>July 21, 1870</t>
  </si>
  <si>
    <t>Hammond</t>
  </si>
  <si>
    <t>October 21, 1843</t>
  </si>
  <si>
    <t>September 22, 1870</t>
  </si>
  <si>
    <t>May 18, 1841</t>
  </si>
  <si>
    <t>Howard</t>
  </si>
  <si>
    <t>September 16, 1870</t>
  </si>
  <si>
    <t>April 27, 1871</t>
  </si>
  <si>
    <t>Honan</t>
  </si>
  <si>
    <t>Green Island</t>
  </si>
  <si>
    <t>May 2, 1871</t>
  </si>
  <si>
    <t>Hawe</t>
  </si>
  <si>
    <t>Edmond O'C.</t>
  </si>
  <si>
    <t>September 24, 1870</t>
  </si>
  <si>
    <t>Lung</t>
  </si>
  <si>
    <t>Hanley</t>
  </si>
  <si>
    <t>November 8, 1866</t>
  </si>
  <si>
    <t>Herbert</t>
  </si>
  <si>
    <t>December 25, 1870</t>
  </si>
  <si>
    <t>December 28, 1870</t>
  </si>
  <si>
    <t>January 31, 1871</t>
  </si>
  <si>
    <t>146 Second St.</t>
  </si>
  <si>
    <t>Chol Infant.</t>
  </si>
  <si>
    <t>July 25, 1871</t>
  </si>
  <si>
    <t xml:space="preserve"> Mary Rosalina</t>
  </si>
  <si>
    <t>August 2, 1871</t>
  </si>
  <si>
    <t>62 LaFayette S.</t>
  </si>
  <si>
    <t>August 4, 1871</t>
  </si>
  <si>
    <t>August 5, 1871</t>
  </si>
  <si>
    <t xml:space="preserve"> Winford</t>
  </si>
  <si>
    <t>August 18, 1871</t>
  </si>
  <si>
    <t>78 Union St.</t>
  </si>
  <si>
    <t>January 2, 1865</t>
  </si>
  <si>
    <t>July 25, 1864</t>
  </si>
  <si>
    <t>McCarty</t>
  </si>
  <si>
    <t>April 18, 1870</t>
  </si>
  <si>
    <t>145 Grand St.</t>
  </si>
  <si>
    <t>September 26, 1871</t>
  </si>
  <si>
    <t>Morris</t>
  </si>
  <si>
    <t>October 20, 1864</t>
  </si>
  <si>
    <t>70 N. Lansing St.</t>
  </si>
  <si>
    <t>October 12, 1871</t>
  </si>
  <si>
    <t>McGovern</t>
  </si>
  <si>
    <t>October 29, 1871</t>
  </si>
  <si>
    <t>157 Grand St.</t>
  </si>
  <si>
    <t>Kidney Complaint</t>
  </si>
  <si>
    <t>October 31, 1871</t>
  </si>
  <si>
    <t>M-03</t>
  </si>
  <si>
    <t>Maher</t>
  </si>
  <si>
    <t>September 12, 1863</t>
  </si>
  <si>
    <t>Chills &amp; Fever</t>
  </si>
  <si>
    <t>October 11, 1871</t>
  </si>
  <si>
    <t>July 8, 1864</t>
  </si>
  <si>
    <t>November 5, 1862</t>
  </si>
  <si>
    <t>March 25, 1868</t>
  </si>
  <si>
    <t>November 1, 1871</t>
  </si>
  <si>
    <t>105 Green St.</t>
  </si>
  <si>
    <t>November 3, 1871</t>
  </si>
  <si>
    <t>Maguire</t>
  </si>
  <si>
    <t>January 26, 1856</t>
  </si>
  <si>
    <t>45 Chestnut St.</t>
  </si>
  <si>
    <t>Monteny</t>
  </si>
  <si>
    <t xml:space="preserve"> Dyke</t>
  </si>
  <si>
    <t>November 10, 1871</t>
  </si>
  <si>
    <t>62 Park Ave.</t>
  </si>
  <si>
    <t>November 13, 1871</t>
  </si>
  <si>
    <t>Morgan</t>
  </si>
  <si>
    <t>November 26, 1871</t>
  </si>
  <si>
    <t>December 18, 1860</t>
  </si>
  <si>
    <t>Mangan</t>
  </si>
  <si>
    <t>August 15, 1845</t>
  </si>
  <si>
    <t>16 Jefferson St.</t>
  </si>
  <si>
    <t>April 10, 1849</t>
  </si>
  <si>
    <t>95 Elm St.</t>
  </si>
  <si>
    <t xml:space="preserve"> Bernard</t>
  </si>
  <si>
    <t>August 28, 1855</t>
  </si>
  <si>
    <t>March 23, 1849</t>
  </si>
  <si>
    <t>December 6, 1871</t>
  </si>
  <si>
    <t>346 Broadway</t>
  </si>
  <si>
    <t>June 25, 1872</t>
  </si>
  <si>
    <t>September 8, 1866</t>
  </si>
  <si>
    <t>Mansion St.</t>
  </si>
  <si>
    <t>June 19, 1872</t>
  </si>
  <si>
    <t>June 22, 1872</t>
  </si>
  <si>
    <t>June 10, 1872</t>
  </si>
  <si>
    <t>77 Van Woert St.</t>
  </si>
  <si>
    <t>Mulpeters</t>
  </si>
  <si>
    <t>March 16, 1872</t>
  </si>
  <si>
    <t>Cor State &amp; Quay</t>
  </si>
  <si>
    <t>June 12, 1872</t>
  </si>
  <si>
    <t>Watervliet Arsenal</t>
  </si>
  <si>
    <t>June 8, 1872</t>
  </si>
  <si>
    <t xml:space="preserve"> Helen Maria</t>
  </si>
  <si>
    <t>September 23, 1869</t>
  </si>
  <si>
    <t>June 9, 1871</t>
  </si>
  <si>
    <t>Malone</t>
  </si>
  <si>
    <t>383 State St.</t>
  </si>
  <si>
    <t>June 6, 1872</t>
  </si>
  <si>
    <t>March 12, 1879</t>
  </si>
  <si>
    <t>Sigmun</t>
  </si>
  <si>
    <t>Switzerland</t>
  </si>
  <si>
    <t>January 23, 1880</t>
  </si>
  <si>
    <t>32 Hamilton</t>
  </si>
  <si>
    <t>Inflam. of bowels</t>
  </si>
  <si>
    <t>125 Philip</t>
  </si>
  <si>
    <t>March 26, 1880</t>
  </si>
  <si>
    <t>Sittell</t>
  </si>
  <si>
    <t>193 Canal</t>
  </si>
  <si>
    <t>178 Madison Avenue</t>
  </si>
  <si>
    <t>April 13, 1880</t>
  </si>
  <si>
    <t>April 12, 1880</t>
  </si>
  <si>
    <t>40 Laurence</t>
  </si>
  <si>
    <t>April 14, 1880</t>
  </si>
  <si>
    <t>Scally</t>
  </si>
  <si>
    <t>299 Livingston</t>
  </si>
  <si>
    <t>Scannell</t>
  </si>
  <si>
    <t>405 State Street</t>
  </si>
  <si>
    <t>June 19, 1880</t>
  </si>
  <si>
    <t>Spellacy</t>
  </si>
  <si>
    <t>Maria J.</t>
  </si>
  <si>
    <t>June 18, 1880</t>
  </si>
  <si>
    <t>236 Orange</t>
  </si>
  <si>
    <t>Stapleton</t>
  </si>
  <si>
    <t>44 Rensselaer</t>
  </si>
  <si>
    <t>Overheated</t>
  </si>
  <si>
    <t>Scranford</t>
  </si>
  <si>
    <t>Polly</t>
  </si>
  <si>
    <t>32 Hudson Avenue</t>
  </si>
  <si>
    <t>Fit</t>
  </si>
  <si>
    <t>John  H.</t>
  </si>
  <si>
    <t>Shields</t>
  </si>
  <si>
    <t>July 28, 1880</t>
  </si>
  <si>
    <t>5 North Lansing</t>
  </si>
  <si>
    <t>176 Clinton Avenue</t>
  </si>
  <si>
    <t>September 19, 1880</t>
  </si>
  <si>
    <t>235 Madison Avenue</t>
  </si>
  <si>
    <t>Degeneration of heart</t>
  </si>
  <si>
    <t>September 20, 1880</t>
  </si>
  <si>
    <t>Third &amp; Knox</t>
  </si>
  <si>
    <t>September 24, 1880</t>
  </si>
  <si>
    <t>Sennett</t>
  </si>
  <si>
    <t xml:space="preserve">William DeLacey </t>
  </si>
  <si>
    <t>October 11, 1880</t>
  </si>
  <si>
    <t>6 Canal</t>
  </si>
  <si>
    <t>Memberous Croup</t>
  </si>
  <si>
    <t>October 13, 1880</t>
  </si>
  <si>
    <t>Freddie T.</t>
  </si>
  <si>
    <t>69 Eagle</t>
  </si>
  <si>
    <t>October 1855</t>
  </si>
  <si>
    <t>32 Howard Street</t>
  </si>
  <si>
    <t>Schark</t>
  </si>
  <si>
    <t>Genofa</t>
  </si>
  <si>
    <t>155 Jefferson St.</t>
  </si>
  <si>
    <t>7 Ganesvoort St</t>
  </si>
  <si>
    <t>Rensselaer County</t>
  </si>
  <si>
    <t>109 Dallius</t>
  </si>
  <si>
    <t>Cor Dove &amp; Washington</t>
  </si>
  <si>
    <t>48 Dallius</t>
  </si>
  <si>
    <t>July 24, 1867</t>
  </si>
  <si>
    <t>Ronan</t>
  </si>
  <si>
    <t>July 13, 1868</t>
  </si>
  <si>
    <t>Reiley</t>
  </si>
  <si>
    <t>Congestion Brian</t>
  </si>
  <si>
    <t>Ryan</t>
  </si>
  <si>
    <t>August 30, 1868</t>
  </si>
  <si>
    <t>Reily</t>
  </si>
  <si>
    <t>166 Orange st.</t>
  </si>
  <si>
    <t>July 8, 1879 ?</t>
  </si>
  <si>
    <t>August 12, 1878</t>
  </si>
  <si>
    <t>139 Green St.</t>
  </si>
  <si>
    <t>Frank X.</t>
  </si>
  <si>
    <t>October 28, 1878</t>
  </si>
  <si>
    <t>Brooklyn, N. Y.</t>
  </si>
  <si>
    <t>October 31, 1878</t>
  </si>
  <si>
    <t>113 Beaver St.</t>
  </si>
  <si>
    <t>January 8, 1879</t>
  </si>
  <si>
    <t>Puleyo</t>
  </si>
  <si>
    <t>Grazia M.</t>
  </si>
  <si>
    <t>Italy</t>
  </si>
  <si>
    <t>January 13, 1879</t>
  </si>
  <si>
    <t>52 Columbia St.</t>
  </si>
  <si>
    <t>January 16, 1879</t>
  </si>
  <si>
    <t>Convulsion</t>
  </si>
  <si>
    <t>May 3, 1873</t>
  </si>
  <si>
    <t>109 First St</t>
  </si>
  <si>
    <t>June 9, 1873</t>
  </si>
  <si>
    <t>5 Union St</t>
  </si>
  <si>
    <t>Hyland</t>
  </si>
  <si>
    <t>Brooklyn NY</t>
  </si>
  <si>
    <t>100 Bergen St</t>
  </si>
  <si>
    <t>May 17, 1873</t>
  </si>
  <si>
    <t>January 5, 1873</t>
  </si>
  <si>
    <t>87 Lancaster St</t>
  </si>
  <si>
    <t>Afft. Kidneys</t>
  </si>
  <si>
    <t>Hogan</t>
  </si>
  <si>
    <t>William A.</t>
  </si>
  <si>
    <t>May 5, 1873</t>
  </si>
  <si>
    <t>29 Jefferson St</t>
  </si>
  <si>
    <t>Dypheria</t>
  </si>
  <si>
    <t xml:space="preserve"> NY City</t>
  </si>
  <si>
    <t>Green River Wyg Ter, N.Y. City</t>
  </si>
  <si>
    <t>Hufman</t>
  </si>
  <si>
    <t>January 21, 1871</t>
  </si>
  <si>
    <t>38 Steuben St</t>
  </si>
  <si>
    <t>November 1, 1873</t>
  </si>
  <si>
    <t>125 Canal St</t>
  </si>
  <si>
    <t>Holmes</t>
  </si>
  <si>
    <t>November 11, 1873</t>
  </si>
  <si>
    <t>327 N Ferry</t>
  </si>
  <si>
    <t>November 12, 1873</t>
  </si>
  <si>
    <t>Hopkins</t>
  </si>
  <si>
    <t>December 6, 1873</t>
  </si>
  <si>
    <t>79 Van Woert St</t>
  </si>
  <si>
    <t>December 8, 1873</t>
  </si>
  <si>
    <t>Hennesey</t>
  </si>
  <si>
    <t>December 23, 1873</t>
  </si>
  <si>
    <t>46 Spencer St</t>
  </si>
  <si>
    <t>April 5, 1874</t>
  </si>
  <si>
    <t>Liberty St</t>
  </si>
  <si>
    <t>April 7, 1874</t>
  </si>
  <si>
    <t>Hines</t>
  </si>
  <si>
    <t>First St</t>
  </si>
  <si>
    <t>June 3, 1874</t>
  </si>
  <si>
    <t>Harrigan</t>
  </si>
  <si>
    <t>429 Central Ave</t>
  </si>
  <si>
    <t>H-03</t>
  </si>
  <si>
    <t>Heinly</t>
  </si>
  <si>
    <t>Menands Road</t>
  </si>
  <si>
    <t>Hodgins</t>
  </si>
  <si>
    <t>July 16, 1874</t>
  </si>
  <si>
    <t>243 Elm St</t>
  </si>
  <si>
    <t>Annie E.</t>
  </si>
  <si>
    <t>November 18, 1873</t>
  </si>
  <si>
    <t>313 Washington Ave</t>
  </si>
  <si>
    <t>August 12, 1874</t>
  </si>
  <si>
    <t>September 2, 1874</t>
  </si>
  <si>
    <t>37 Van Woert St</t>
  </si>
  <si>
    <t>September 5, 1874</t>
  </si>
  <si>
    <t>43 Liberty St</t>
  </si>
  <si>
    <t>Pain in Bowels</t>
  </si>
  <si>
    <t>September 15, 1874</t>
  </si>
  <si>
    <t>Syracuse</t>
  </si>
  <si>
    <t>Sisters Industrial School</t>
  </si>
  <si>
    <t>November 24, 1874</t>
  </si>
  <si>
    <t>Haurigan</t>
  </si>
  <si>
    <t>Jane Ann</t>
  </si>
  <si>
    <t>59 Colonie St</t>
  </si>
  <si>
    <t>Houll</t>
  </si>
  <si>
    <t>Oliver</t>
  </si>
  <si>
    <t>February 2, 1875</t>
  </si>
  <si>
    <t>May 28, 1872</t>
  </si>
  <si>
    <t>Chronic</t>
  </si>
  <si>
    <t>June 7, 1872</t>
  </si>
  <si>
    <t>McCarthy</t>
  </si>
  <si>
    <t>August 1, 1872</t>
  </si>
  <si>
    <t>Phillip St.</t>
  </si>
  <si>
    <t>August 2, 1872</t>
  </si>
  <si>
    <t>204 Second St.</t>
  </si>
  <si>
    <t>August 5, 1872</t>
  </si>
  <si>
    <t>August 15, 1872</t>
  </si>
  <si>
    <t>Cor Dallius &amp; Bleecker</t>
  </si>
  <si>
    <t>Muller</t>
  </si>
  <si>
    <t>Boston Mass</t>
  </si>
  <si>
    <t>Boston, Mass.</t>
  </si>
  <si>
    <t>August 29, 1872</t>
  </si>
  <si>
    <t>112 W. Springfield St.</t>
  </si>
  <si>
    <t>August 30, 1872</t>
  </si>
  <si>
    <t>August 16, 1872</t>
  </si>
  <si>
    <t>29 Beaver St.</t>
  </si>
  <si>
    <t>McKinley</t>
  </si>
  <si>
    <t xml:space="preserve"> Julia Ann</t>
  </si>
  <si>
    <t>137 S. Pearl St.</t>
  </si>
  <si>
    <t>McEniny</t>
  </si>
  <si>
    <t>66 Lawrence St.</t>
  </si>
  <si>
    <t>McCormack</t>
  </si>
  <si>
    <t>September 7, 1872</t>
  </si>
  <si>
    <t>Esura</t>
  </si>
  <si>
    <t>Mahoney</t>
  </si>
  <si>
    <t>70 Colonie St.</t>
  </si>
  <si>
    <t>204 2nd St.</t>
  </si>
  <si>
    <t>September 9, 1872</t>
  </si>
  <si>
    <t>Kingston, Canada</t>
  </si>
  <si>
    <t>Cor Wellington &amp; Queen Sts.</t>
  </si>
  <si>
    <t>September 12, 1872</t>
  </si>
  <si>
    <t>31 Basset St.</t>
  </si>
  <si>
    <t>September 15, 1872</t>
  </si>
  <si>
    <t>145 Lumber</t>
  </si>
  <si>
    <t xml:space="preserve"> Laurence</t>
  </si>
  <si>
    <t>92 Schuyler</t>
  </si>
  <si>
    <t>November 28, 1873</t>
  </si>
  <si>
    <t>McClosky</t>
  </si>
  <si>
    <t>December 11, 1872</t>
  </si>
  <si>
    <t>67 Schuyler</t>
  </si>
  <si>
    <t>5 Erie St.</t>
  </si>
  <si>
    <t>November 15, 1874</t>
  </si>
  <si>
    <t>November 26, 1874</t>
  </si>
  <si>
    <t>27 So. Ferry St.</t>
  </si>
  <si>
    <t>November 30, 1874</t>
  </si>
  <si>
    <t>December 15, 1874</t>
  </si>
  <si>
    <t>67 So. Ferry St.</t>
  </si>
  <si>
    <t>December 17, 1874</t>
  </si>
  <si>
    <t>M-06</t>
  </si>
  <si>
    <t>M-07</t>
  </si>
  <si>
    <t>Mary Jane</t>
  </si>
  <si>
    <t xml:space="preserve">Mechanics St </t>
  </si>
  <si>
    <t>December 2, 1874</t>
  </si>
  <si>
    <t>January 12, 1875</t>
  </si>
  <si>
    <t>Stafford St</t>
  </si>
  <si>
    <t>Catharine A.</t>
  </si>
  <si>
    <t>65 DeWitt St</t>
  </si>
  <si>
    <t>74 Swan St</t>
  </si>
  <si>
    <t>March 1, 1875</t>
  </si>
  <si>
    <t>March 3, 1875</t>
  </si>
  <si>
    <t>March 4, 1875</t>
  </si>
  <si>
    <t>377 State St</t>
  </si>
  <si>
    <t>March 7, 1875</t>
  </si>
  <si>
    <t>64 Schuyler St</t>
  </si>
  <si>
    <t>March 10, 1875</t>
  </si>
  <si>
    <t>Daniel D.</t>
  </si>
  <si>
    <t>March 30, 1875</t>
  </si>
  <si>
    <t>Mattimore</t>
  </si>
  <si>
    <t>27 Daniel St</t>
  </si>
  <si>
    <t>April 12, 1875</t>
  </si>
  <si>
    <t>260 Orange St</t>
  </si>
  <si>
    <t>April 14, 1875</t>
  </si>
  <si>
    <t>November 9, 1873</t>
  </si>
  <si>
    <t>Meney</t>
  </si>
  <si>
    <t>Watervliet NY</t>
  </si>
  <si>
    <t>October 14, 1873</t>
  </si>
  <si>
    <t>Maney</t>
  </si>
  <si>
    <t>October 30, 1873</t>
  </si>
  <si>
    <t>Moroney</t>
  </si>
  <si>
    <t xml:space="preserve"> Lucy</t>
  </si>
  <si>
    <t>Mulcahey</t>
  </si>
  <si>
    <t xml:space="preserve">  ? Stomach</t>
  </si>
  <si>
    <t>McNeaghton</t>
  </si>
  <si>
    <t>September 28, 1873</t>
  </si>
  <si>
    <t>87 Church</t>
  </si>
  <si>
    <t>September 30, 1873</t>
  </si>
  <si>
    <t xml:space="preserve">Millenian </t>
  </si>
  <si>
    <t>Bridget A.</t>
  </si>
  <si>
    <t>September 19, 1873</t>
  </si>
  <si>
    <t>24 Daniel</t>
  </si>
  <si>
    <t>September 22, 1873</t>
  </si>
  <si>
    <t>Millenian</t>
  </si>
  <si>
    <t xml:space="preserve"> Rose </t>
  </si>
  <si>
    <t>McFadden</t>
  </si>
  <si>
    <t>August 15, 1873</t>
  </si>
  <si>
    <t>Hawk &amp; Clinton Ave.</t>
  </si>
  <si>
    <t>August 17, 1873</t>
  </si>
  <si>
    <t>McGlaghlin</t>
  </si>
  <si>
    <t>Saratoga NY</t>
  </si>
  <si>
    <t>May 7, 1866</t>
  </si>
  <si>
    <t>90 Broadway</t>
  </si>
  <si>
    <t>McCluskey</t>
  </si>
  <si>
    <t>August 19, 1854</t>
  </si>
  <si>
    <t>151 Grand</t>
  </si>
  <si>
    <t>August 22, 1854</t>
  </si>
  <si>
    <t>57 N. Ferry</t>
  </si>
  <si>
    <t>August 23, 1854</t>
  </si>
  <si>
    <t>August 12, 1854</t>
  </si>
  <si>
    <t>December 27, 1873</t>
  </si>
  <si>
    <t>67 North Ferry</t>
  </si>
  <si>
    <t>December 29, 1873</t>
  </si>
  <si>
    <t>Centre</t>
  </si>
  <si>
    <t>January 18, 1874</t>
  </si>
  <si>
    <t>Jaundice</t>
  </si>
  <si>
    <t>January 19, 1874</t>
  </si>
  <si>
    <t>January 26, 1874</t>
  </si>
  <si>
    <t>152 Hudson St.</t>
  </si>
  <si>
    <t>McCue</t>
  </si>
  <si>
    <t xml:space="preserve"> Ann J.</t>
  </si>
  <si>
    <t>February 27, 1874</t>
  </si>
  <si>
    <t>4 Road St.</t>
  </si>
  <si>
    <t>March 1, 1874</t>
  </si>
  <si>
    <t>Murray</t>
  </si>
  <si>
    <t>McCaffrey</t>
  </si>
  <si>
    <t>Alleghany, PA</t>
  </si>
  <si>
    <t>Alleghany</t>
  </si>
  <si>
    <t>April 24, 1874</t>
  </si>
  <si>
    <t xml:space="preserve">51 Mulberry St. </t>
  </si>
  <si>
    <t>April 27, 1874</t>
  </si>
  <si>
    <t>Marshall</t>
  </si>
  <si>
    <t>71 Park Ave.</t>
  </si>
  <si>
    <t>Age</t>
  </si>
  <si>
    <t>May 5, 1874</t>
  </si>
  <si>
    <t>May 7, 1874</t>
  </si>
  <si>
    <t>Mason</t>
  </si>
  <si>
    <t>February 4, 1874</t>
  </si>
  <si>
    <t>Morange</t>
  </si>
  <si>
    <t xml:space="preserve"> Jane C.</t>
  </si>
  <si>
    <t>April 9, 1874</t>
  </si>
  <si>
    <t>187 Madison Ave.</t>
  </si>
  <si>
    <t>Markey</t>
  </si>
  <si>
    <t>October 1874</t>
  </si>
  <si>
    <t>132 Second St.</t>
  </si>
  <si>
    <t>San Francisco CA</t>
  </si>
  <si>
    <t>May 26, 1874</t>
  </si>
  <si>
    <t>50 Lawrence St.</t>
  </si>
  <si>
    <t>December 26, 1864</t>
  </si>
  <si>
    <t>106 Schuyler St.</t>
  </si>
  <si>
    <t>Hernia</t>
  </si>
  <si>
    <t xml:space="preserve"> Felix, Rev.</t>
  </si>
  <si>
    <t>Of St Patrick Church</t>
  </si>
  <si>
    <t>Congestive Chills</t>
  </si>
  <si>
    <t>141 Broad St.</t>
  </si>
  <si>
    <t>March 4, 1840</t>
  </si>
  <si>
    <t>Clinton cor. Schuyler</t>
  </si>
  <si>
    <t>December 16, 1832</t>
  </si>
  <si>
    <t>July 22, 1835</t>
  </si>
  <si>
    <t xml:space="preserve"> Emily</t>
  </si>
  <si>
    <t>November 18, 1864</t>
  </si>
  <si>
    <t>June 7, 1874</t>
  </si>
  <si>
    <t>787 Broadway</t>
  </si>
  <si>
    <t>Moore</t>
  </si>
  <si>
    <t>July 8, 1874</t>
  </si>
  <si>
    <t>55 Jackson St.</t>
  </si>
  <si>
    <t>July 20, 1874</t>
  </si>
  <si>
    <t>July 21, 1874</t>
  </si>
  <si>
    <t>August 2, 1866</t>
  </si>
  <si>
    <t>Millincan</t>
  </si>
  <si>
    <t xml:space="preserve"> William </t>
  </si>
  <si>
    <t>August 6, 1866</t>
  </si>
  <si>
    <t>August 8, 1874</t>
  </si>
  <si>
    <t>August 9, 1866</t>
  </si>
  <si>
    <t>214 Orange St.</t>
  </si>
  <si>
    <t>August 11, 1874</t>
  </si>
  <si>
    <t>McConvell</t>
  </si>
  <si>
    <t>August 11, 1866</t>
  </si>
  <si>
    <t xml:space="preserve"> Francis K.</t>
  </si>
  <si>
    <t>August 24, 1866</t>
  </si>
  <si>
    <t>5 DeWitt St.</t>
  </si>
  <si>
    <t>Enlargement of the Brain</t>
  </si>
  <si>
    <t>August 26, 1874</t>
  </si>
  <si>
    <t>East Greenbush</t>
  </si>
  <si>
    <t>Inflam. Bowels</t>
  </si>
  <si>
    <t>McKeever</t>
  </si>
  <si>
    <t>47 Grand St.</t>
  </si>
  <si>
    <t>September 16, 1874</t>
  </si>
  <si>
    <t>177 So. Pearl St.</t>
  </si>
  <si>
    <t>Rupture of Blood Vessel</t>
  </si>
  <si>
    <t>McKeeven</t>
  </si>
  <si>
    <t>September 14, 1874</t>
  </si>
  <si>
    <t>Delaware cor. Elizabeth</t>
  </si>
  <si>
    <t>August 22, 1851</t>
  </si>
  <si>
    <t>147 Hamilton St.</t>
  </si>
  <si>
    <t>McKeough</t>
  </si>
  <si>
    <t>November 1, 1857</t>
  </si>
  <si>
    <t>117 Canal St.</t>
  </si>
  <si>
    <t>McAleer</t>
  </si>
  <si>
    <t>377 No. Pearl St.</t>
  </si>
  <si>
    <t>Inflam. Lungs</t>
  </si>
  <si>
    <t>October 7, 1874</t>
  </si>
  <si>
    <t xml:space="preserve"> Jas. J.</t>
  </si>
  <si>
    <t>October 11, 1874</t>
  </si>
  <si>
    <t>12 hrs</t>
  </si>
  <si>
    <t>October 12, 1874</t>
  </si>
  <si>
    <t>McLear</t>
  </si>
  <si>
    <t>October 13, 1874</t>
  </si>
  <si>
    <t>48 No. Lansing St.</t>
  </si>
  <si>
    <t>October 16, 1874</t>
  </si>
  <si>
    <t>September 22, 1874</t>
  </si>
  <si>
    <t>McIntyre</t>
  </si>
  <si>
    <t>18 1/2 So. Lansing St.</t>
  </si>
  <si>
    <t>November 1, 1874</t>
  </si>
  <si>
    <t>108 Philip St.</t>
  </si>
  <si>
    <t>November 3, 1874</t>
  </si>
  <si>
    <t>54 Arch St.</t>
  </si>
  <si>
    <t>Spinal Complaint</t>
  </si>
  <si>
    <t>207 Green St</t>
  </si>
  <si>
    <t>May 1, 1874</t>
  </si>
  <si>
    <t>202 N. Pearl St</t>
  </si>
  <si>
    <t xml:space="preserve"> February 21, 1875</t>
  </si>
  <si>
    <t>267 Green St</t>
  </si>
  <si>
    <t>Lacey</t>
  </si>
  <si>
    <t>60 Lawrence</t>
  </si>
  <si>
    <t>James &amp; Andrew</t>
  </si>
  <si>
    <t>April 26, 1879</t>
  </si>
  <si>
    <t>Lansing &amp; Montgomery</t>
  </si>
  <si>
    <t>Removed from St. Mary</t>
  </si>
  <si>
    <t>November 15, 1879</t>
  </si>
  <si>
    <t>Fracture of Skull</t>
  </si>
  <si>
    <t>November 18, 1879</t>
  </si>
  <si>
    <t>Loughlin</t>
  </si>
  <si>
    <t>March 11, 1880</t>
  </si>
  <si>
    <t>197 Lumber</t>
  </si>
  <si>
    <t>Elizabeth A.</t>
  </si>
  <si>
    <t>March 22, 1880</t>
  </si>
  <si>
    <t>55 Schuyler</t>
  </si>
  <si>
    <t>March 24, 1880</t>
  </si>
  <si>
    <t>April 8, 1880</t>
  </si>
  <si>
    <t>Lannahen</t>
  </si>
  <si>
    <t>59 Fourth Ave.</t>
  </si>
  <si>
    <t>Lennehan</t>
  </si>
  <si>
    <t>59 4th Ave.</t>
  </si>
  <si>
    <t>Lawrence</t>
  </si>
  <si>
    <t>May 22, 1880</t>
  </si>
  <si>
    <t>May 28, 1880</t>
  </si>
  <si>
    <t>29 N. Lansing</t>
  </si>
  <si>
    <t>42 Philip</t>
  </si>
  <si>
    <t>June 23, 1880</t>
  </si>
  <si>
    <t>Green &amp; Cherry</t>
  </si>
  <si>
    <t>June 25, 1880</t>
  </si>
  <si>
    <t>59 Renselaer</t>
  </si>
  <si>
    <t>June 28, 1880</t>
  </si>
  <si>
    <t>69-4 Place, New York</t>
  </si>
  <si>
    <t>Hydrophobia</t>
  </si>
  <si>
    <t>November 21, 1874</t>
  </si>
  <si>
    <t xml:space="preserve">Behan  </t>
  </si>
  <si>
    <t>December 19, 1874</t>
  </si>
  <si>
    <t>48 Clinton Av</t>
  </si>
  <si>
    <t>December 22, 1874</t>
  </si>
  <si>
    <t>December 20, 1874</t>
  </si>
  <si>
    <t xml:space="preserve">Edward  </t>
  </si>
  <si>
    <t>157 Fourth Av</t>
  </si>
  <si>
    <t>1875 AD</t>
  </si>
  <si>
    <t>January 26, 1875</t>
  </si>
  <si>
    <t>189 Broadway</t>
  </si>
  <si>
    <t>Water on Brain</t>
  </si>
  <si>
    <t>January 28, 1875</t>
  </si>
  <si>
    <t>Julia</t>
  </si>
  <si>
    <t>May 15, 1875</t>
  </si>
  <si>
    <t xml:space="preserve">Byrne  </t>
  </si>
  <si>
    <t>South Broadway</t>
  </si>
  <si>
    <t>May 21, 1875</t>
  </si>
  <si>
    <t>B-03</t>
  </si>
  <si>
    <t xml:space="preserve">Byrne </t>
  </si>
  <si>
    <t>Gaynn</t>
  </si>
  <si>
    <t xml:space="preserve"> July 29, 1875</t>
  </si>
  <si>
    <t>12 Monroe Street</t>
  </si>
  <si>
    <t>July 30, 1875</t>
  </si>
  <si>
    <t xml:space="preserve"> August 13, 1875</t>
  </si>
  <si>
    <t>143 Third Street</t>
  </si>
  <si>
    <t>September 14, 1878</t>
  </si>
  <si>
    <t>52 Union St.</t>
  </si>
  <si>
    <t xml:space="preserve"> Sarah M.</t>
  </si>
  <si>
    <t>August 13, 1878</t>
  </si>
  <si>
    <t>22 Jay St.</t>
  </si>
  <si>
    <t>Bleeding of Langs</t>
  </si>
  <si>
    <t>August 18, 1878</t>
  </si>
  <si>
    <t>104 Jefferson St.</t>
  </si>
  <si>
    <t>August 19, 1878</t>
  </si>
  <si>
    <t>Malloney</t>
  </si>
  <si>
    <t>September 4, 1878</t>
  </si>
  <si>
    <t>September 19, 1878</t>
  </si>
  <si>
    <t>Elizabeth &amp; Osborne</t>
  </si>
  <si>
    <t>September 20, 1878</t>
  </si>
  <si>
    <t xml:space="preserve"> Dennis D.</t>
  </si>
  <si>
    <t>7 Park Ave</t>
  </si>
  <si>
    <t>August 2, 1881</t>
  </si>
  <si>
    <t>131 Orange</t>
  </si>
  <si>
    <t>December 10, 1881</t>
  </si>
  <si>
    <t>11 Morton</t>
  </si>
  <si>
    <t>December 14, 1881</t>
  </si>
  <si>
    <t xml:space="preserve">Pennefether   </t>
  </si>
  <si>
    <t>Kate A.</t>
  </si>
  <si>
    <t>118 Hamilton</t>
  </si>
  <si>
    <t>Schuyler Green</t>
  </si>
  <si>
    <t>Typhoid pneumonia</t>
  </si>
  <si>
    <t>February 21, 1882</t>
  </si>
  <si>
    <t>February 24, 1882</t>
  </si>
  <si>
    <t>February 23,1882</t>
  </si>
  <si>
    <t>North Street, West Troy</t>
  </si>
  <si>
    <t>Inflam of lungs</t>
  </si>
  <si>
    <t>Pender</t>
  </si>
  <si>
    <t>Cherry</t>
  </si>
  <si>
    <t>80 Myrtle</t>
  </si>
  <si>
    <t>April 8, 1882 ?</t>
  </si>
  <si>
    <t xml:space="preserve">Parker </t>
  </si>
  <si>
    <t>136 Madison</t>
  </si>
  <si>
    <t>May 17, 1882</t>
  </si>
  <si>
    <t xml:space="preserve">Phelan </t>
  </si>
  <si>
    <t>May 18, 1882</t>
  </si>
  <si>
    <t>93 VanWoert</t>
  </si>
  <si>
    <t>May 21, 1882</t>
  </si>
  <si>
    <t>Pierce</t>
  </si>
  <si>
    <t>111 Philip</t>
  </si>
  <si>
    <t>Typ pneumonia</t>
  </si>
  <si>
    <t>Phillips</t>
  </si>
  <si>
    <t>Saratoga Co</t>
  </si>
  <si>
    <t>42 TenBroeck</t>
  </si>
  <si>
    <t>Pulmroic</t>
  </si>
  <si>
    <t>Ella</t>
  </si>
  <si>
    <t>9 VanWoert</t>
  </si>
  <si>
    <t>Menands Troy Rd</t>
  </si>
  <si>
    <t>November 8, 1882</t>
  </si>
  <si>
    <t>276 Madison Ave</t>
  </si>
  <si>
    <t>November 21, 1882</t>
  </si>
  <si>
    <t>Picketts</t>
  </si>
  <si>
    <t>Pfeffer</t>
  </si>
  <si>
    <t>23 Chapel</t>
  </si>
  <si>
    <t>Q-01</t>
  </si>
  <si>
    <t>Quinn</t>
  </si>
  <si>
    <t>28 N. Ferry St</t>
  </si>
  <si>
    <t>Nov 26, 1869</t>
  </si>
  <si>
    <t>49 Third St</t>
  </si>
  <si>
    <t>Nov 28, 1869</t>
  </si>
  <si>
    <t>December 9, 1869</t>
  </si>
  <si>
    <t>May 6, 1870</t>
  </si>
  <si>
    <t>December 25, 1869</t>
  </si>
  <si>
    <t>October 22, 1848</t>
  </si>
  <si>
    <t>Broadway &amp; Westerlo</t>
  </si>
  <si>
    <t>Quirk</t>
  </si>
  <si>
    <t xml:space="preserve"> February 1, 1872</t>
  </si>
  <si>
    <t>October 24, 1870</t>
  </si>
  <si>
    <t>March 22, 1873</t>
  </si>
  <si>
    <t>44 Broad St</t>
  </si>
  <si>
    <t>Mar 25, 1873</t>
  </si>
  <si>
    <t>Quinan</t>
  </si>
  <si>
    <t>Jan 7, 1874</t>
  </si>
  <si>
    <t>Baker</t>
  </si>
  <si>
    <t>Beresford</t>
  </si>
  <si>
    <t>Bryan</t>
  </si>
  <si>
    <t>Boylan</t>
  </si>
  <si>
    <t>Berrigan</t>
  </si>
  <si>
    <t>Baldwin</t>
  </si>
  <si>
    <t>Bulger</t>
  </si>
  <si>
    <t>Beck</t>
  </si>
  <si>
    <t>Browne</t>
  </si>
  <si>
    <t>Bohen</t>
  </si>
  <si>
    <t>John D.</t>
  </si>
  <si>
    <t>Adain</t>
  </si>
  <si>
    <t>Emma</t>
  </si>
  <si>
    <t>Dennis</t>
  </si>
  <si>
    <t>James</t>
  </si>
  <si>
    <t>Mary H.</t>
  </si>
  <si>
    <t>Katie</t>
  </si>
  <si>
    <t>Andrew</t>
  </si>
  <si>
    <t>Anthony M.</t>
  </si>
  <si>
    <t>Anna</t>
  </si>
  <si>
    <t>Jacob</t>
  </si>
  <si>
    <t>R. J.</t>
  </si>
  <si>
    <t>Mary, Mrs.</t>
  </si>
  <si>
    <t>Joseph A.</t>
  </si>
  <si>
    <t>Martha</t>
  </si>
  <si>
    <t>David</t>
  </si>
  <si>
    <t>David, Jr.</t>
  </si>
  <si>
    <t>Edward R.</t>
  </si>
  <si>
    <t>Paul</t>
  </si>
  <si>
    <t>Charles A.</t>
  </si>
  <si>
    <t>Patrick</t>
  </si>
  <si>
    <t>Francis</t>
  </si>
  <si>
    <t>Bernard</t>
  </si>
  <si>
    <t>Maggie Ellen</t>
  </si>
  <si>
    <t xml:space="preserve">Bernard E. </t>
  </si>
  <si>
    <t>Isabella</t>
  </si>
  <si>
    <t>David, Rev.</t>
  </si>
  <si>
    <t>Germany</t>
  </si>
  <si>
    <t>Bennington, Vt.</t>
  </si>
  <si>
    <t>Malden Bridge</t>
  </si>
  <si>
    <t>Wales, G.B.</t>
  </si>
  <si>
    <t>Canada</t>
  </si>
  <si>
    <t xml:space="preserve">East Troy </t>
  </si>
  <si>
    <t xml:space="preserve">Springfield, MA </t>
  </si>
  <si>
    <t xml:space="preserve">Utica, NY </t>
  </si>
  <si>
    <t xml:space="preserve">W. Troy </t>
  </si>
  <si>
    <t xml:space="preserve">Brooklyn </t>
  </si>
  <si>
    <t xml:space="preserve">Hillsdale </t>
  </si>
  <si>
    <t>March 14, 1870</t>
  </si>
  <si>
    <t>126 State St Albany</t>
  </si>
  <si>
    <t>Brooklyn</t>
  </si>
  <si>
    <t>Insane Asylum</t>
  </si>
  <si>
    <t>191 Swan St Albany</t>
  </si>
  <si>
    <t>Cor. Van Woert &amp; Pearl, Albany</t>
  </si>
  <si>
    <t>105 Orange St Albany</t>
  </si>
  <si>
    <t>168 Clinton Av</t>
  </si>
  <si>
    <t>174 Hudson St</t>
  </si>
  <si>
    <t>Lumber St</t>
  </si>
  <si>
    <t>32 Myrtle Av</t>
  </si>
  <si>
    <t>36 Van Schaick St</t>
  </si>
  <si>
    <t>Episcopal Residence</t>
  </si>
  <si>
    <t>Hemorrhage</t>
  </si>
  <si>
    <t>Nervous Fever</t>
  </si>
  <si>
    <t>Dysentery</t>
  </si>
  <si>
    <t>Bilious Fever</t>
  </si>
  <si>
    <t>Tumor on Bowels</t>
  </si>
  <si>
    <t>Accident</t>
  </si>
  <si>
    <t>Congestion of Lungs</t>
  </si>
  <si>
    <t>Fever</t>
  </si>
  <si>
    <t>Cancer of Stomach</t>
  </si>
  <si>
    <t>Inflam of Bowels</t>
  </si>
  <si>
    <t>Inflam of Lungs</t>
  </si>
  <si>
    <t>Hemge of Lungs</t>
  </si>
  <si>
    <t>Paralysis &amp; ??</t>
  </si>
  <si>
    <t>Brain Fever</t>
  </si>
  <si>
    <t>Liver Complaint</t>
  </si>
  <si>
    <t>Inflammation of Lungs</t>
  </si>
  <si>
    <t>Spasms</t>
  </si>
  <si>
    <t>Inflam Rheu</t>
  </si>
  <si>
    <t>Measles</t>
  </si>
  <si>
    <t>Accidental</t>
  </si>
  <si>
    <t>June 4, 1872</t>
  </si>
  <si>
    <t>May 23, 1872</t>
  </si>
  <si>
    <t>May 22, 1872</t>
  </si>
  <si>
    <t>May 20, 1872</t>
  </si>
  <si>
    <t>May 19, 1872</t>
  </si>
  <si>
    <t>May 9,1872</t>
  </si>
  <si>
    <t>July 12, 1869</t>
  </si>
  <si>
    <t>September 12, 1871</t>
  </si>
  <si>
    <t>December 3, 1871</t>
  </si>
  <si>
    <t>September 21, 1871</t>
  </si>
  <si>
    <t>August 10, 1871</t>
  </si>
  <si>
    <t>June 22, 1871</t>
  </si>
  <si>
    <t>March 25, 1871</t>
  </si>
  <si>
    <t>December 18, 1870</t>
  </si>
  <si>
    <t>December 1, 1870</t>
  </si>
  <si>
    <t>June 1, 1871</t>
  </si>
  <si>
    <t>April 30, 1871</t>
  </si>
  <si>
    <t>October 13, 1870</t>
  </si>
  <si>
    <t>June 4, 1870</t>
  </si>
  <si>
    <t>April 21, 1870</t>
  </si>
  <si>
    <t>May 31, 1870</t>
  </si>
  <si>
    <t>May 29, 1870</t>
  </si>
  <si>
    <t>May 13, 1870</t>
  </si>
  <si>
    <t>October 8, 1869</t>
  </si>
  <si>
    <t>Fortune</t>
  </si>
  <si>
    <t>June 20, 1868</t>
  </si>
  <si>
    <t>Farren</t>
  </si>
  <si>
    <t xml:space="preserve"> May 1855</t>
  </si>
  <si>
    <t>Fitzgerald</t>
  </si>
  <si>
    <t>Rich B.</t>
  </si>
  <si>
    <t>Farley</t>
  </si>
  <si>
    <t>May 5, 1869</t>
  </si>
  <si>
    <t>May 15, 1869</t>
  </si>
  <si>
    <t>May 27, 1869</t>
  </si>
  <si>
    <t>Flemming</t>
  </si>
  <si>
    <t>November 20, 1869</t>
  </si>
  <si>
    <t>August 3, 1873</t>
  </si>
  <si>
    <t>Delaware St</t>
  </si>
  <si>
    <t>Teething</t>
  </si>
  <si>
    <t>September 1, 1873</t>
  </si>
  <si>
    <t>August 9, 1873</t>
  </si>
  <si>
    <t>VanWoert St</t>
  </si>
  <si>
    <t>August 11, 1873</t>
  </si>
  <si>
    <t xml:space="preserve">Mary </t>
  </si>
  <si>
    <t>Littlefield, NY</t>
  </si>
  <si>
    <t>16 Union St</t>
  </si>
  <si>
    <t>August 13, 1873</t>
  </si>
  <si>
    <t>John C.</t>
  </si>
  <si>
    <t>September 2, 1873</t>
  </si>
  <si>
    <t>10 William St</t>
  </si>
  <si>
    <t>September 4, 1873</t>
  </si>
  <si>
    <t>113 Beaver St</t>
  </si>
  <si>
    <t>October 20, 1873</t>
  </si>
  <si>
    <t>December 25, 1873</t>
  </si>
  <si>
    <t>December 26, 1873</t>
  </si>
  <si>
    <t>February 25, 1874</t>
  </si>
  <si>
    <t>117 Philip St</t>
  </si>
  <si>
    <t>Kidney Disease</t>
  </si>
  <si>
    <t>February 28, 1874</t>
  </si>
  <si>
    <t>February 1874</t>
  </si>
  <si>
    <t>14 Union St</t>
  </si>
  <si>
    <t>1 hr</t>
  </si>
  <si>
    <t>Bremen</t>
  </si>
  <si>
    <t>Quay cor. Herkimer</t>
  </si>
  <si>
    <t>April 8, 1874</t>
  </si>
  <si>
    <t>Michael A.</t>
  </si>
  <si>
    <t>April 25, 1874</t>
  </si>
  <si>
    <t>274 Broadway</t>
  </si>
  <si>
    <t>Infl. Bowels</t>
  </si>
  <si>
    <t>April 28, 1874</t>
  </si>
  <si>
    <t xml:space="preserve">Byrne   </t>
  </si>
  <si>
    <t>June 2, 1874</t>
  </si>
  <si>
    <t>107 Beaver St</t>
  </si>
  <si>
    <t>June 4, 1874</t>
  </si>
  <si>
    <t>Barlley</t>
  </si>
  <si>
    <t>July 1, 1874</t>
  </si>
  <si>
    <t>112 Philip St</t>
  </si>
  <si>
    <t>Cholera Infantum</t>
  </si>
  <si>
    <t>July 2, 1874</t>
  </si>
  <si>
    <t>July 30, 1874</t>
  </si>
  <si>
    <t>1 Bleecker Place</t>
  </si>
  <si>
    <t>Mulberry &amp; Franklin</t>
  </si>
  <si>
    <t>November 23, 1882</t>
  </si>
  <si>
    <t>U-01</t>
  </si>
  <si>
    <t>Unmire</t>
  </si>
  <si>
    <t>Newtonville</t>
  </si>
  <si>
    <t>November 19, 1869</t>
  </si>
  <si>
    <t>300 Clinton Ave</t>
  </si>
  <si>
    <t>96 Dallius St.</t>
  </si>
  <si>
    <t>364 Madison Ave</t>
  </si>
  <si>
    <t>111 Dallius</t>
  </si>
  <si>
    <t>126 Washington Ave</t>
  </si>
  <si>
    <t>Result of Accident</t>
  </si>
  <si>
    <t>August 17, 1875</t>
  </si>
  <si>
    <t>Sarah M.</t>
  </si>
  <si>
    <t xml:space="preserve"> August 22, 1875</t>
  </si>
  <si>
    <t>7 DeWitt Street</t>
  </si>
  <si>
    <t>August 24, 1875</t>
  </si>
  <si>
    <t>October 25, 1869</t>
  </si>
  <si>
    <t>July 13, 1869</t>
  </si>
  <si>
    <t>May 28, 1869</t>
  </si>
  <si>
    <t>October 15, 1868</t>
  </si>
  <si>
    <t>November 7, 1868</t>
  </si>
  <si>
    <t>October 28, 1868</t>
  </si>
  <si>
    <t>October 2, 1868</t>
  </si>
  <si>
    <t>September 29, 1868</t>
  </si>
  <si>
    <t>September 5, 1868</t>
  </si>
  <si>
    <t>August 26, 1868</t>
  </si>
  <si>
    <t xml:space="preserve">Woods </t>
  </si>
  <si>
    <t>Melissa</t>
  </si>
  <si>
    <t>Harriet E. A.</t>
  </si>
  <si>
    <t xml:space="preserve">Bridget </t>
  </si>
  <si>
    <t xml:space="preserve">Robert </t>
  </si>
  <si>
    <t>Libbie</t>
  </si>
  <si>
    <t xml:space="preserve">William   </t>
  </si>
  <si>
    <t>Matilda J.</t>
  </si>
  <si>
    <t>James B.</t>
  </si>
  <si>
    <t>Jady</t>
  </si>
  <si>
    <t>Napoleon</t>
  </si>
  <si>
    <t>Matthew H .B.</t>
  </si>
  <si>
    <t>Jane Frances</t>
  </si>
  <si>
    <t>William T.</t>
  </si>
  <si>
    <t>Moved from St John's Cem. Lot 423 Sec 7. Child of John H. F.</t>
  </si>
  <si>
    <t>Timothy, Jr.</t>
  </si>
  <si>
    <t>Timothy, Sr.</t>
  </si>
  <si>
    <t>Michael, Sr.</t>
  </si>
  <si>
    <t>Michael, Jr.</t>
  </si>
  <si>
    <t>Margaret A. C.</t>
  </si>
  <si>
    <t>James I.</t>
  </si>
  <si>
    <t>James,  Jr.</t>
  </si>
  <si>
    <t>Fred W. H.</t>
  </si>
  <si>
    <t>Fanny O. B.</t>
  </si>
  <si>
    <t>Binghamton</t>
  </si>
  <si>
    <t>Bordeaux France</t>
  </si>
  <si>
    <t>Herkimer Co.</t>
  </si>
  <si>
    <t xml:space="preserve">East Greenbush </t>
  </si>
  <si>
    <t xml:space="preserve">East Albany </t>
  </si>
  <si>
    <t>Nor ?</t>
  </si>
  <si>
    <t>June 6, 1876</t>
  </si>
  <si>
    <t>174 Colonie St.</t>
  </si>
  <si>
    <t>June 8, 1876</t>
  </si>
  <si>
    <t>Poughkeepsie</t>
  </si>
  <si>
    <t>July 13, 1876</t>
  </si>
  <si>
    <t>Battle</t>
  </si>
  <si>
    <t>July 21, 1876</t>
  </si>
  <si>
    <t>151 Montgomery</t>
  </si>
  <si>
    <t>July 23, 1876</t>
  </si>
  <si>
    <t>Barden</t>
  </si>
  <si>
    <t>Nicholas</t>
  </si>
  <si>
    <t>August 5, 1876</t>
  </si>
  <si>
    <t>43 Arch St.</t>
  </si>
  <si>
    <t>August 7, 1876</t>
  </si>
  <si>
    <t>January 14, 18XX</t>
  </si>
  <si>
    <t>427 Second St.</t>
  </si>
  <si>
    <t>April 5, 1870</t>
  </si>
  <si>
    <t>113 Canal St.</t>
  </si>
  <si>
    <t>Elizabeth</t>
  </si>
  <si>
    <t>40 Canal St.</t>
  </si>
  <si>
    <t>George J.</t>
  </si>
  <si>
    <t>December 14, 1876</t>
  </si>
  <si>
    <t>144 Jefferson St.</t>
  </si>
  <si>
    <t>December 18, 1876</t>
  </si>
  <si>
    <t>Edward A.</t>
  </si>
  <si>
    <t>January 30, 1877</t>
  </si>
  <si>
    <t>10 Centre St.</t>
  </si>
  <si>
    <t>February 2, 1877</t>
  </si>
  <si>
    <t>Bohan</t>
  </si>
  <si>
    <t>March 13, 1877</t>
  </si>
  <si>
    <t>105 Orange St.</t>
  </si>
  <si>
    <t>March 14, 1877</t>
  </si>
  <si>
    <t>Brody</t>
  </si>
  <si>
    <t>May 14, 1877</t>
  </si>
  <si>
    <t>May 23, 1877</t>
  </si>
  <si>
    <t>River St.</t>
  </si>
  <si>
    <t>May 25, 1877</t>
  </si>
  <si>
    <t xml:space="preserve">Burns    </t>
  </si>
  <si>
    <t>March 17, 1877</t>
  </si>
  <si>
    <t>155 Third St.</t>
  </si>
  <si>
    <t>55 yrs</t>
  </si>
  <si>
    <t>Watervliet</t>
  </si>
  <si>
    <t>July 20, 1877</t>
  </si>
  <si>
    <t>36 yrs</t>
  </si>
  <si>
    <t>July 22, 1877</t>
  </si>
  <si>
    <t>John A.</t>
  </si>
  <si>
    <t>Plattsburgh</t>
  </si>
  <si>
    <t>July 26, 1877</t>
  </si>
  <si>
    <t>53 Jefferson</t>
  </si>
  <si>
    <t>Chol. Morbus</t>
  </si>
  <si>
    <t>July 29, 1877</t>
  </si>
  <si>
    <t xml:space="preserve">Blake </t>
  </si>
  <si>
    <t>William P.</t>
  </si>
  <si>
    <t>N. Albany</t>
  </si>
  <si>
    <t>N. Albany 65 Laughlin St.</t>
  </si>
  <si>
    <t>November 27, 1877</t>
  </si>
  <si>
    <t>July 14, 1875</t>
  </si>
  <si>
    <t>65 Laughlin St.</t>
  </si>
  <si>
    <t>Brennen</t>
  </si>
  <si>
    <t>December 20, 1877</t>
  </si>
  <si>
    <t>63 3rd Ave.</t>
  </si>
  <si>
    <t>December 22, 1877</t>
  </si>
  <si>
    <t>Berry</t>
  </si>
  <si>
    <t xml:space="preserve">William  </t>
  </si>
  <si>
    <t>108 9th Ave.</t>
  </si>
  <si>
    <t>January 14, 1878</t>
  </si>
  <si>
    <t>January 31, 1878</t>
  </si>
  <si>
    <t>Hudson Ave.</t>
  </si>
  <si>
    <t>February 4, 1878</t>
  </si>
  <si>
    <t>March 21, 1878</t>
  </si>
  <si>
    <t>43 Albany St. N. Albany</t>
  </si>
  <si>
    <t xml:space="preserve">Burns   </t>
  </si>
  <si>
    <t>April 28, 1879</t>
  </si>
  <si>
    <t>51 Morton St.</t>
  </si>
  <si>
    <t>April 30, 1879</t>
  </si>
  <si>
    <t>B-04</t>
  </si>
  <si>
    <t>May 4, 1879</t>
  </si>
  <si>
    <t>39 VanWoert</t>
  </si>
  <si>
    <t>May 6, 1879</t>
  </si>
  <si>
    <t>May 7, 1879</t>
  </si>
  <si>
    <t>Sisters of the Poor</t>
  </si>
  <si>
    <t>May 8, 1879</t>
  </si>
  <si>
    <t>Boland</t>
  </si>
  <si>
    <t>February 11, 1879</t>
  </si>
  <si>
    <t>7 Gansevoort St.</t>
  </si>
  <si>
    <t>February 13, 1879</t>
  </si>
  <si>
    <t>Broderick</t>
  </si>
  <si>
    <t>Rose Riley</t>
  </si>
  <si>
    <t>March 11, 1879</t>
  </si>
  <si>
    <t>167 Sherman St.</t>
  </si>
  <si>
    <t>March 14, 1879</t>
  </si>
  <si>
    <t>Blake</t>
  </si>
  <si>
    <t>Maggie</t>
  </si>
  <si>
    <t>December 29, 1878</t>
  </si>
  <si>
    <t>55 Lumber St.</t>
  </si>
  <si>
    <t>January 1, 1879</t>
  </si>
  <si>
    <t>April 5, 1879</t>
  </si>
  <si>
    <t>April 7, 1879</t>
  </si>
  <si>
    <t xml:space="preserve">Bohan    </t>
  </si>
  <si>
    <t>June 11, 1878</t>
  </si>
  <si>
    <t>June 12, 1878</t>
  </si>
  <si>
    <t>Byrne</t>
  </si>
  <si>
    <t>Maurice</t>
  </si>
  <si>
    <t>July 10, 1878</t>
  </si>
  <si>
    <t>214 Broadway</t>
  </si>
  <si>
    <t>Springfield, MA</t>
  </si>
  <si>
    <t>Alms House</t>
  </si>
  <si>
    <t>July 26, 1878</t>
  </si>
  <si>
    <t>July 27, 1878</t>
  </si>
  <si>
    <t>July 28, 1878</t>
  </si>
  <si>
    <t>July 30, 1878</t>
  </si>
  <si>
    <t>Francis J.</t>
  </si>
  <si>
    <t>September 29,1878</t>
  </si>
  <si>
    <t>300 Sherman St.</t>
  </si>
  <si>
    <t>September 30, 1878</t>
  </si>
  <si>
    <t>Maurice A.</t>
  </si>
  <si>
    <t>November 15, 1878</t>
  </si>
  <si>
    <t>107 Beaver St.</t>
  </si>
  <si>
    <t>December 25, 1876</t>
  </si>
  <si>
    <t>419 Salem St.</t>
  </si>
  <si>
    <t>Typhoid Fever</t>
  </si>
  <si>
    <t>December 28, 1878</t>
  </si>
  <si>
    <t>Battel</t>
  </si>
  <si>
    <t>February 3, 1879</t>
  </si>
  <si>
    <t>122 3rd St.</t>
  </si>
  <si>
    <t>Biggins</t>
  </si>
  <si>
    <t xml:space="preserve">Rosanna     </t>
  </si>
  <si>
    <t>February 9, 1879</t>
  </si>
  <si>
    <t>149 Green St.</t>
  </si>
  <si>
    <t>Vault</t>
  </si>
  <si>
    <t>Anthony</t>
  </si>
  <si>
    <t>March 29, 1879</t>
  </si>
  <si>
    <t>72 Loughlin St.</t>
  </si>
  <si>
    <t>March 31, 1879</t>
  </si>
  <si>
    <t>Bamus</t>
  </si>
  <si>
    <t>Mrs.</t>
  </si>
  <si>
    <t>July 12, 1879</t>
  </si>
  <si>
    <t>July 14, 1879</t>
  </si>
  <si>
    <t xml:space="preserve">Burns  </t>
  </si>
  <si>
    <t>John H.</t>
  </si>
  <si>
    <t>December 5, 1879</t>
  </si>
  <si>
    <t>294 Broadway</t>
  </si>
  <si>
    <t>December 8, 1879</t>
  </si>
  <si>
    <t>May 16, 1880</t>
  </si>
  <si>
    <t>May 17, 1880</t>
  </si>
  <si>
    <t xml:space="preserve">Boyle   </t>
  </si>
  <si>
    <t>November 12, 1880</t>
  </si>
  <si>
    <t>November 2, 1880</t>
  </si>
  <si>
    <t>46 Colonie St.</t>
  </si>
  <si>
    <t>November 4, 1880</t>
  </si>
  <si>
    <t>Bardon</t>
  </si>
  <si>
    <t>June 14, 1880</t>
  </si>
  <si>
    <t>42 S. Ferry St.</t>
  </si>
  <si>
    <t>June 16, 1880</t>
  </si>
  <si>
    <t>Alice</t>
  </si>
  <si>
    <t>March 14, 1880</t>
  </si>
  <si>
    <t>10 Centre Ct.</t>
  </si>
  <si>
    <t xml:space="preserve">Boyle    </t>
  </si>
  <si>
    <t>March 8, 1880</t>
  </si>
  <si>
    <t>670 Broadway</t>
  </si>
  <si>
    <t>March 10, 1880</t>
  </si>
  <si>
    <t>Bunting</t>
  </si>
  <si>
    <t>Rebecca</t>
  </si>
  <si>
    <t>January 29, 1869</t>
  </si>
  <si>
    <t>23 Wilson St.</t>
  </si>
  <si>
    <t>January 1, 1872</t>
  </si>
  <si>
    <t>Blackman</t>
  </si>
  <si>
    <t>Mary A.</t>
  </si>
  <si>
    <t>October 21, 1872</t>
  </si>
  <si>
    <t>212 S. Pearl St.</t>
  </si>
  <si>
    <t>October 24, 1872</t>
  </si>
  <si>
    <t xml:space="preserve">Bulger   </t>
  </si>
  <si>
    <t>July 1841</t>
  </si>
  <si>
    <t>41 Water St.</t>
  </si>
  <si>
    <t>November 28, 1872</t>
  </si>
  <si>
    <t>August 1865</t>
  </si>
  <si>
    <t>110 Jefferson St.</t>
  </si>
  <si>
    <t xml:space="preserve">John   </t>
  </si>
  <si>
    <t>September 4, 1869</t>
  </si>
  <si>
    <t>11 Daniel St.</t>
  </si>
  <si>
    <t>March 27, 1852</t>
  </si>
  <si>
    <t>Quay &amp; Steuben</t>
  </si>
  <si>
    <t>Inflammation of the Lungs</t>
  </si>
  <si>
    <t>John J.</t>
  </si>
  <si>
    <t>December 29, 1864</t>
  </si>
  <si>
    <t>338 Madison</t>
  </si>
  <si>
    <t>Congestion of Brain</t>
  </si>
  <si>
    <t>John Thomas</t>
  </si>
  <si>
    <t>July 29, 1842</t>
  </si>
  <si>
    <t>Margaret Ann</t>
  </si>
  <si>
    <t>May 18, 1849</t>
  </si>
  <si>
    <t>25 Quay</t>
  </si>
  <si>
    <t>Whooping Cough</t>
  </si>
  <si>
    <t>February 1845</t>
  </si>
  <si>
    <t>Nicholas J.</t>
  </si>
  <si>
    <t>Patrick H.</t>
  </si>
  <si>
    <t xml:space="preserve">Ellen </t>
  </si>
  <si>
    <t>Michael H.</t>
  </si>
  <si>
    <t>Honora Elizabeth</t>
  </si>
  <si>
    <t>Ellen M.</t>
  </si>
  <si>
    <t>Lilby</t>
  </si>
  <si>
    <t>Johannah</t>
  </si>
  <si>
    <t>Hugh John</t>
  </si>
  <si>
    <t>Lydia</t>
  </si>
  <si>
    <t>Theophilus</t>
  </si>
  <si>
    <t>Eliza S.</t>
  </si>
  <si>
    <t>Catharine Ann</t>
  </si>
  <si>
    <t>Ann E.</t>
  </si>
  <si>
    <t>Clemens</t>
  </si>
  <si>
    <t>Herman</t>
  </si>
  <si>
    <t>Bella</t>
  </si>
  <si>
    <t>Sarah Jane</t>
  </si>
  <si>
    <t>Martha E.</t>
  </si>
  <si>
    <t>Lucy Agnes</t>
  </si>
  <si>
    <t>Millie M.</t>
  </si>
  <si>
    <t>Nancy</t>
  </si>
  <si>
    <t>Sarah E.</t>
  </si>
  <si>
    <t>Francis Jr.</t>
  </si>
  <si>
    <t>Mary Catharine</t>
  </si>
  <si>
    <t xml:space="preserve">Stephen </t>
  </si>
  <si>
    <t>George N.</t>
  </si>
  <si>
    <t>Mary Josephine</t>
  </si>
  <si>
    <t>May 8, 1871</t>
  </si>
  <si>
    <t>Crummy</t>
  </si>
  <si>
    <t>Schenectady St., West Troy</t>
  </si>
  <si>
    <t>May 25, 1871</t>
  </si>
  <si>
    <t>Campion</t>
  </si>
  <si>
    <t>February 22, 1871</t>
  </si>
  <si>
    <t>Inflam of Brain</t>
  </si>
  <si>
    <t>May 28, 1871</t>
  </si>
  <si>
    <t>Catharine J.</t>
  </si>
  <si>
    <t>March 17, 1871</t>
  </si>
  <si>
    <t xml:space="preserve">Coleman  </t>
  </si>
  <si>
    <t>Josephine E.</t>
  </si>
  <si>
    <t>February 18, 1871</t>
  </si>
  <si>
    <t>June 3, 1871</t>
  </si>
  <si>
    <t>Coyle</t>
  </si>
  <si>
    <t>June 4, 1871</t>
  </si>
  <si>
    <t>June 6, 1871</t>
  </si>
  <si>
    <t>Cosgrove</t>
  </si>
  <si>
    <t>November 22, 1870</t>
  </si>
  <si>
    <t>December 8, 1870</t>
  </si>
  <si>
    <t>Infl of Lungs</t>
  </si>
  <si>
    <t>Ann Marie</t>
  </si>
  <si>
    <t>June 2, 1854</t>
  </si>
  <si>
    <t>Agnes</t>
  </si>
  <si>
    <t>Put. Sore Throat</t>
  </si>
  <si>
    <t>Cashman</t>
  </si>
  <si>
    <t>Cong of Lungs</t>
  </si>
  <si>
    <t>December 20, 1870</t>
  </si>
  <si>
    <t>Chapman</t>
  </si>
  <si>
    <t>June 19, 1871</t>
  </si>
  <si>
    <t>15 VanWoert St.</t>
  </si>
  <si>
    <t xml:space="preserve">Cleary </t>
  </si>
  <si>
    <t>45 Union St.</t>
  </si>
  <si>
    <t>May 11, 1873</t>
  </si>
  <si>
    <t>Colonie St.</t>
  </si>
  <si>
    <t>May 21, 1873</t>
  </si>
  <si>
    <t>Grand &amp; Park Ave.</t>
  </si>
  <si>
    <t>Infant</t>
  </si>
  <si>
    <t>December 10, 1872</t>
  </si>
  <si>
    <t>160 Broadway</t>
  </si>
  <si>
    <t>Heart disease</t>
  </si>
  <si>
    <t>Doling</t>
  </si>
  <si>
    <t>August 14, 1872</t>
  </si>
  <si>
    <t>Scar. Fever</t>
  </si>
  <si>
    <t>53 TenBroeck St.</t>
  </si>
  <si>
    <t>9 Van Tromp St.</t>
  </si>
  <si>
    <t>25 Erie St.</t>
  </si>
  <si>
    <t xml:space="preserve">16 Van Zandt St. </t>
  </si>
  <si>
    <t>VanWoert</t>
  </si>
  <si>
    <t xml:space="preserve"> Walter Street</t>
  </si>
  <si>
    <t>347 Loughlin St. N. Albany</t>
  </si>
  <si>
    <t>294 Washington. Ave</t>
  </si>
  <si>
    <t>Franklin &amp; Mulberry</t>
  </si>
  <si>
    <t>14 Dallius</t>
  </si>
  <si>
    <t xml:space="preserve"> November 1880</t>
  </si>
  <si>
    <t>125 Grand St.</t>
  </si>
  <si>
    <t>November 1880</t>
  </si>
  <si>
    <t xml:space="preserve"> December 28, 1880</t>
  </si>
  <si>
    <t>37 N. Swan St.</t>
  </si>
  <si>
    <t>Graham</t>
  </si>
  <si>
    <t xml:space="preserve"> January 1, 1881</t>
  </si>
  <si>
    <t>40 Delaware St.</t>
  </si>
  <si>
    <t xml:space="preserve"> February 15, 1881</t>
  </si>
  <si>
    <t>1 North St.</t>
  </si>
  <si>
    <t>Injuries on R.R.</t>
  </si>
  <si>
    <t>G-04</t>
  </si>
  <si>
    <t>Gammon</t>
  </si>
  <si>
    <t xml:space="preserve"> March 14, 1881</t>
  </si>
  <si>
    <t>144 Colonie</t>
  </si>
  <si>
    <t>March 16, 1881</t>
  </si>
  <si>
    <t>Burlington, Vermont</t>
  </si>
  <si>
    <t xml:space="preserve"> February 1, 1881</t>
  </si>
  <si>
    <t>193 S. Albany St</t>
  </si>
  <si>
    <t>Small Pox</t>
  </si>
  <si>
    <t>40 Madison Ave.</t>
  </si>
  <si>
    <t>1225 Broadway</t>
  </si>
  <si>
    <t>February 15, 1881</t>
  </si>
  <si>
    <t>56 Emmett St.</t>
  </si>
  <si>
    <t>Membranous Croup</t>
  </si>
  <si>
    <t>February 17,1881</t>
  </si>
  <si>
    <t>March 1, 1881</t>
  </si>
  <si>
    <t>March 3, 1881</t>
  </si>
  <si>
    <t>B-05</t>
  </si>
  <si>
    <t>C-01</t>
  </si>
  <si>
    <t>C-02</t>
  </si>
  <si>
    <t>C-03</t>
  </si>
  <si>
    <t>Bailey</t>
  </si>
  <si>
    <t>Albany, NY</t>
  </si>
  <si>
    <t>April 3, 1881</t>
  </si>
  <si>
    <t>165 Hudson</t>
  </si>
  <si>
    <t>April 5, 1881</t>
  </si>
  <si>
    <t>Breene</t>
  </si>
  <si>
    <t>April 6, 1881</t>
  </si>
  <si>
    <t>104 Madison</t>
  </si>
  <si>
    <t>59 Plum</t>
  </si>
  <si>
    <t>8 Plum St</t>
  </si>
  <si>
    <t>57 Plum St.</t>
  </si>
  <si>
    <t>64 Plum St.</t>
  </si>
  <si>
    <t>29 Plum St.</t>
  </si>
  <si>
    <t>126 Madison Ave</t>
  </si>
  <si>
    <t>Laughlin St N. Albany</t>
  </si>
  <si>
    <t>Broadway North Albany</t>
  </si>
  <si>
    <t>277 Washington Ave.</t>
  </si>
  <si>
    <t>May 1873</t>
  </si>
  <si>
    <t>Elm St</t>
  </si>
  <si>
    <t>May 7, 1872</t>
  </si>
  <si>
    <t>Ginnane</t>
  </si>
  <si>
    <t>Illinois</t>
  </si>
  <si>
    <t>March 31, 1872</t>
  </si>
  <si>
    <t>May 8, 1872</t>
  </si>
  <si>
    <t>Golden</t>
  </si>
  <si>
    <t>Wisconsin</t>
  </si>
  <si>
    <t>March 26, 1872</t>
  </si>
  <si>
    <t>Grimes</t>
  </si>
  <si>
    <t>Mary S.</t>
  </si>
  <si>
    <t>December 15, 1872</t>
  </si>
  <si>
    <t>221 Orange St.</t>
  </si>
  <si>
    <t>Inf lungs</t>
  </si>
  <si>
    <t>December 12, 1872</t>
  </si>
  <si>
    <t>Co. Spring &amp; Orange St.</t>
  </si>
  <si>
    <t>July 10, 1873</t>
  </si>
  <si>
    <t>172 Clinton Ave</t>
  </si>
  <si>
    <t>Chol Infantum</t>
  </si>
  <si>
    <t>July 11, 1873</t>
  </si>
  <si>
    <t>Delaney</t>
  </si>
  <si>
    <t>July 28, 1873</t>
  </si>
  <si>
    <t>74 Canal St.</t>
  </si>
  <si>
    <t>July 20, 1873</t>
  </si>
  <si>
    <t>Durnan</t>
  </si>
  <si>
    <t>February 1873</t>
  </si>
  <si>
    <t>June 13, 1873</t>
  </si>
  <si>
    <t>June 17, 1881</t>
  </si>
  <si>
    <t xml:space="preserve">41 Canal </t>
  </si>
  <si>
    <t>June 1881</t>
  </si>
  <si>
    <t>273 Western Ave</t>
  </si>
  <si>
    <t>Dunham</t>
  </si>
  <si>
    <t>July 24, 1881</t>
  </si>
  <si>
    <t>59 First St</t>
  </si>
  <si>
    <t>Cholera Infection</t>
  </si>
  <si>
    <t>July 25, 1881</t>
  </si>
  <si>
    <t>81 Orange St</t>
  </si>
  <si>
    <t>August 19, 1881</t>
  </si>
  <si>
    <t>D-06</t>
  </si>
  <si>
    <t>October 2, 1881</t>
  </si>
  <si>
    <t>February 7, 1872</t>
  </si>
  <si>
    <t>February 16, 1877</t>
  </si>
  <si>
    <t>February 27, 1877</t>
  </si>
  <si>
    <t>February 27, 1882</t>
  </si>
  <si>
    <t>March 2, 1882</t>
  </si>
  <si>
    <t>May 18, 1879</t>
  </si>
  <si>
    <t>June 19, 1879</t>
  </si>
  <si>
    <t>October 2, 1877</t>
  </si>
  <si>
    <t>February 25, 1887</t>
  </si>
  <si>
    <t>July  1878</t>
  </si>
  <si>
    <t>Removed July 20, 1906 from Lot 17 Sec 31 to Lot 66 Sec 10</t>
  </si>
  <si>
    <t xml:space="preserve">81 No. Ferry </t>
  </si>
  <si>
    <t>Manchester, NH</t>
  </si>
  <si>
    <t>Penssylvania</t>
  </si>
  <si>
    <t>W. Rutland, Vermont</t>
  </si>
  <si>
    <t>Warren County, NY</t>
  </si>
  <si>
    <t>West Stockbridge, Mass.</t>
  </si>
  <si>
    <t xml:space="preserve">Membranous Croup </t>
  </si>
  <si>
    <t>Bowel Complication</t>
  </si>
  <si>
    <t>Enlargement of Brain</t>
  </si>
  <si>
    <t>Decline ?</t>
  </si>
  <si>
    <t>Cebero Spinal Meningitis</t>
  </si>
  <si>
    <t>Dropsy of Brain</t>
  </si>
  <si>
    <t>Hemorrhage of lungs</t>
  </si>
  <si>
    <t>Membranous croup</t>
  </si>
  <si>
    <t>Congest Lungs</t>
  </si>
  <si>
    <t>meningitis</t>
  </si>
  <si>
    <t>Abscess - Brain</t>
  </si>
  <si>
    <t>Inflammatory Rheumatism</t>
  </si>
  <si>
    <t>Abscess in Brain</t>
  </si>
  <si>
    <t>Palpitations of Heart</t>
  </si>
  <si>
    <t>Bilious Colic</t>
  </si>
  <si>
    <t>diphtheria</t>
  </si>
  <si>
    <t>July 15,1868</t>
  </si>
  <si>
    <t>December 25, 1878</t>
  </si>
  <si>
    <t>Cincinnati</t>
  </si>
  <si>
    <t>New York City.</t>
  </si>
  <si>
    <t>242 Broadway, West Troy</t>
  </si>
  <si>
    <t>25 Erie St West Troy</t>
  </si>
  <si>
    <t>137 Clinton Ave</t>
  </si>
  <si>
    <t>Fogarty</t>
  </si>
  <si>
    <t>June 26, 1879</t>
  </si>
  <si>
    <t>58 Mohawk St</t>
  </si>
  <si>
    <t>June 29, 1879</t>
  </si>
  <si>
    <t>Franklin</t>
  </si>
  <si>
    <t>December 9, 1878</t>
  </si>
  <si>
    <t>Katie E.</t>
  </si>
  <si>
    <t>4 Wendell St</t>
  </si>
  <si>
    <t>Fellows</t>
  </si>
  <si>
    <t>Lucy</t>
  </si>
  <si>
    <t>July 15, 1879</t>
  </si>
  <si>
    <t>225 Green St</t>
  </si>
  <si>
    <t>Chol Infantism</t>
  </si>
  <si>
    <t>August 4, 1879</t>
  </si>
  <si>
    <t>8 Grand St</t>
  </si>
  <si>
    <t>August 6, 1879</t>
  </si>
  <si>
    <t>August 10, 1879</t>
  </si>
  <si>
    <t>116 Philip St</t>
  </si>
  <si>
    <t>August 12, 1879</t>
  </si>
  <si>
    <t>August 30, 1879</t>
  </si>
  <si>
    <t>September 3, 1879</t>
  </si>
  <si>
    <t>May 3, 1879</t>
  </si>
  <si>
    <t>279 3rd St Albany</t>
  </si>
  <si>
    <t>May 5, 1879</t>
  </si>
  <si>
    <t>January 21, 1879</t>
  </si>
  <si>
    <t>January 22, 1879</t>
  </si>
  <si>
    <t>January 23, 1879</t>
  </si>
  <si>
    <t>48 N Lansing St</t>
  </si>
  <si>
    <t>January 26, 1879</t>
  </si>
  <si>
    <t>Frazer</t>
  </si>
  <si>
    <t>11 Genessee St</t>
  </si>
  <si>
    <t>July 10, 1879</t>
  </si>
  <si>
    <t>May 14, 1878</t>
  </si>
  <si>
    <t>3 John St</t>
  </si>
  <si>
    <t>May 15, 1878</t>
  </si>
  <si>
    <t>Fisher</t>
  </si>
  <si>
    <t>Barbara M.</t>
  </si>
  <si>
    <t>November 7, 1878</t>
  </si>
  <si>
    <t>53 Central Ave</t>
  </si>
  <si>
    <t>November 11, 1878</t>
  </si>
  <si>
    <t>Foran</t>
  </si>
  <si>
    <t>July 18, 1878</t>
  </si>
  <si>
    <t>204 Broadway</t>
  </si>
  <si>
    <t>July 20, 1878</t>
  </si>
  <si>
    <t>Fallon</t>
  </si>
  <si>
    <t>Worcester, Mass.</t>
  </si>
  <si>
    <t>December 2, 1878</t>
  </si>
  <si>
    <t>81 Cherry St</t>
  </si>
  <si>
    <t>December 4, 1878</t>
  </si>
  <si>
    <t>Vinie</t>
  </si>
  <si>
    <t>October 24, 1878</t>
  </si>
  <si>
    <t xml:space="preserve">25 Columbia St. </t>
  </si>
  <si>
    <t>October 26, 1878</t>
  </si>
  <si>
    <t>Lot 22, Sec 12</t>
  </si>
  <si>
    <t>1 Swan St</t>
  </si>
  <si>
    <t>Louis</t>
  </si>
  <si>
    <t>January 30, 1879</t>
  </si>
  <si>
    <t>Albany 50 Broad</t>
  </si>
  <si>
    <t>Daniel F.</t>
  </si>
  <si>
    <t>144 Clinton Ave</t>
  </si>
  <si>
    <t>February 12, 1880</t>
  </si>
  <si>
    <t>41 Catharine</t>
  </si>
  <si>
    <t>Thomas C.</t>
  </si>
  <si>
    <t>February 18, 1880</t>
  </si>
  <si>
    <t>19 Central Ave</t>
  </si>
  <si>
    <t>French</t>
  </si>
  <si>
    <t>Garett</t>
  </si>
  <si>
    <t>March 1, 1880</t>
  </si>
  <si>
    <t>St Peters Hospital</t>
  </si>
  <si>
    <t>March 2, 1880</t>
  </si>
  <si>
    <t>March 4, 1880</t>
  </si>
  <si>
    <t>276 Lumber St</t>
  </si>
  <si>
    <t>March 6, 1880</t>
  </si>
  <si>
    <t>24 Odell St</t>
  </si>
  <si>
    <t>March 12, 1880</t>
  </si>
  <si>
    <t>Finley</t>
  </si>
  <si>
    <t>March 13, 1880</t>
  </si>
  <si>
    <t>14 S Ferry</t>
  </si>
  <si>
    <t>April 9, 1880</t>
  </si>
  <si>
    <t>43 Third St</t>
  </si>
  <si>
    <t>April 11, 1880</t>
  </si>
  <si>
    <t>May 6, 1880</t>
  </si>
  <si>
    <t>12 DeWitt St</t>
  </si>
  <si>
    <t>May 9, 1880</t>
  </si>
  <si>
    <t>Finnelly</t>
  </si>
  <si>
    <t>May 11, 1880</t>
  </si>
  <si>
    <t>194 Spruce</t>
  </si>
  <si>
    <t>Disease of Brain</t>
  </si>
  <si>
    <t>May 18, 1880</t>
  </si>
  <si>
    <t>279 Third St</t>
  </si>
  <si>
    <t>Joseph Francis</t>
  </si>
  <si>
    <t>June 26, 1880</t>
  </si>
  <si>
    <t>186 Colonie St</t>
  </si>
  <si>
    <t>June 27, 1880</t>
  </si>
  <si>
    <t>F-05</t>
  </si>
  <si>
    <t>Teeth</t>
  </si>
  <si>
    <t>October 3, 1880</t>
  </si>
  <si>
    <t>West Troy-Boston St.</t>
  </si>
  <si>
    <t>October 5, 1880</t>
  </si>
  <si>
    <t>November 14, 1880</t>
  </si>
  <si>
    <t>November 16, 1880</t>
  </si>
  <si>
    <t>Menands</t>
  </si>
  <si>
    <t>December 2, 1880</t>
  </si>
  <si>
    <t>December 4, 1880</t>
  </si>
  <si>
    <t>Maggie A.</t>
  </si>
  <si>
    <t>December 10, 1880</t>
  </si>
  <si>
    <t>1Van Woert St.</t>
  </si>
  <si>
    <t>December 12, 1880</t>
  </si>
  <si>
    <t>Lung disease</t>
  </si>
  <si>
    <t>Quebec</t>
  </si>
  <si>
    <t>October 15, 1872</t>
  </si>
  <si>
    <t>November 4, 1872</t>
  </si>
  <si>
    <t>13 Gansvort St.</t>
  </si>
  <si>
    <t>November 6, 1872</t>
  </si>
  <si>
    <t>Flaherty</t>
  </si>
  <si>
    <t>Mary Francis</t>
  </si>
  <si>
    <t>6 Van Woert</t>
  </si>
  <si>
    <t>November 25, 1872</t>
  </si>
  <si>
    <t>35 Canal St.</t>
  </si>
  <si>
    <t xml:space="preserve">Cholera  </t>
  </si>
  <si>
    <t>January 4, 1881</t>
  </si>
  <si>
    <t>192 Clinton Ave.</t>
  </si>
  <si>
    <t xml:space="preserve">172 Canal </t>
  </si>
  <si>
    <t>February 26, 1881</t>
  </si>
  <si>
    <t>Broadway W. Troy</t>
  </si>
  <si>
    <t>March 2, 1881</t>
  </si>
  <si>
    <t>127 Livingston</t>
  </si>
  <si>
    <t>March 4, 1881</t>
  </si>
  <si>
    <t>March 30, 1881</t>
  </si>
  <si>
    <t>241 Green</t>
  </si>
  <si>
    <t>52 Cherry St.</t>
  </si>
  <si>
    <t>April 1, 1881</t>
  </si>
  <si>
    <t>February 8, 1881</t>
  </si>
  <si>
    <t>May 24, 1881</t>
  </si>
  <si>
    <t>Farrel</t>
  </si>
  <si>
    <t>48 N. Lansing</t>
  </si>
  <si>
    <t>July 13, 1881</t>
  </si>
  <si>
    <t>1 Van Woert</t>
  </si>
  <si>
    <t>Fortier</t>
  </si>
  <si>
    <t>George</t>
  </si>
  <si>
    <t>July 22, 1881</t>
  </si>
  <si>
    <t>70 Herkimer</t>
  </si>
  <si>
    <t xml:space="preserve">Flood </t>
  </si>
  <si>
    <t>August 5, 1881</t>
  </si>
  <si>
    <t>3 Clinton St</t>
  </si>
  <si>
    <t>August 7, 1881</t>
  </si>
  <si>
    <t>Flattery</t>
  </si>
  <si>
    <t>Central Bridge</t>
  </si>
  <si>
    <t>September 22, 1881</t>
  </si>
  <si>
    <t>Central Bridge, Schoharie</t>
  </si>
  <si>
    <t>14 Jefferson</t>
  </si>
  <si>
    <t>September 28, 1881</t>
  </si>
  <si>
    <t>January 15, 1882</t>
  </si>
  <si>
    <t>87 Canal</t>
  </si>
  <si>
    <t>January 17 1882</t>
  </si>
  <si>
    <t>January 29, 1882</t>
  </si>
  <si>
    <t>31 Bassett</t>
  </si>
  <si>
    <t>January 31, 1882</t>
  </si>
  <si>
    <t>Fidigan</t>
  </si>
  <si>
    <t>27 Schuyler</t>
  </si>
  <si>
    <t>February 1, 1882</t>
  </si>
  <si>
    <t>149 Orange</t>
  </si>
  <si>
    <t>February 3, 1882</t>
  </si>
  <si>
    <t>February 8, 1882</t>
  </si>
  <si>
    <t>25 Ten Broeck</t>
  </si>
  <si>
    <t>Typhoid fever</t>
  </si>
  <si>
    <t>April 26, 1882</t>
  </si>
  <si>
    <t>25 Emmett</t>
  </si>
  <si>
    <t>April 28, 1882</t>
  </si>
  <si>
    <t>fitzpatrick</t>
  </si>
  <si>
    <t>June 19, 1882</t>
  </si>
  <si>
    <t xml:space="preserve"> Michael, Sr.</t>
  </si>
  <si>
    <t xml:space="preserve">Agnes </t>
  </si>
  <si>
    <t>Alfred, Jr.</t>
  </si>
  <si>
    <t>Andrew, Jr.</t>
  </si>
  <si>
    <t>B. C.</t>
  </si>
  <si>
    <t>J., Mrs.</t>
  </si>
  <si>
    <t>William J. A.</t>
  </si>
  <si>
    <t>Chelsea, Mass.</t>
  </si>
  <si>
    <t>Chelsea</t>
  </si>
  <si>
    <t>January 1861</t>
  </si>
  <si>
    <t>15 Orange St.</t>
  </si>
  <si>
    <t>William Francis</t>
  </si>
  <si>
    <t>December 7, 1873</t>
  </si>
  <si>
    <t>December 10, 1873</t>
  </si>
  <si>
    <t>December 22, 1873</t>
  </si>
  <si>
    <t>58 Third St.</t>
  </si>
  <si>
    <t>Spinal</t>
  </si>
  <si>
    <t>December 24, 1873</t>
  </si>
  <si>
    <t xml:space="preserve">Cain </t>
  </si>
  <si>
    <t>Mary Ellen</t>
  </si>
  <si>
    <t>January 28, 1874</t>
  </si>
  <si>
    <t>January 13, 1872</t>
  </si>
  <si>
    <t>Garry</t>
  </si>
  <si>
    <t>December 18, 1871</t>
  </si>
  <si>
    <t>53 1/2 Colonie St.</t>
  </si>
  <si>
    <t>Gagheu</t>
  </si>
  <si>
    <t>September 20, 1872</t>
  </si>
  <si>
    <t>270 Broadway</t>
  </si>
  <si>
    <t>September 22, 1872</t>
  </si>
  <si>
    <t>Galigar</t>
  </si>
  <si>
    <t>August 7, 1872</t>
  </si>
  <si>
    <t>49 Broad</t>
  </si>
  <si>
    <t>12 White Hall St.</t>
  </si>
  <si>
    <t>July 28, 1872</t>
  </si>
  <si>
    <t>Grainer</t>
  </si>
  <si>
    <t>January 28, 1873</t>
  </si>
  <si>
    <t>45 Third St.</t>
  </si>
  <si>
    <t>Spinal Meningitis</t>
  </si>
  <si>
    <t>Guinan</t>
  </si>
  <si>
    <t>Samuel</t>
  </si>
  <si>
    <t xml:space="preserve">North Albany </t>
  </si>
  <si>
    <t>Cor Pearl &amp; Genessee Sts.</t>
  </si>
  <si>
    <t>Gaffney</t>
  </si>
  <si>
    <t>Dennis B.</t>
  </si>
  <si>
    <t>December 22, 1872</t>
  </si>
  <si>
    <t>319 Hudson St.</t>
  </si>
  <si>
    <t>May 31, 1873</t>
  </si>
  <si>
    <t>Sept. 1860</t>
  </si>
  <si>
    <t>Green St.</t>
  </si>
  <si>
    <t>June 11, 1873</t>
  </si>
  <si>
    <t>John T.</t>
  </si>
  <si>
    <t>March 1859</t>
  </si>
  <si>
    <t>3d St No 64</t>
  </si>
  <si>
    <t>February 11, 1873</t>
  </si>
  <si>
    <t>58 Myrtle Ave</t>
  </si>
  <si>
    <t>Gannon</t>
  </si>
  <si>
    <t>John G.</t>
  </si>
  <si>
    <t>September 20, 1857</t>
  </si>
  <si>
    <t xml:space="preserve">74 Beaver </t>
  </si>
  <si>
    <t>October 17, 1873</t>
  </si>
  <si>
    <t>March 1, 1860</t>
  </si>
  <si>
    <t>August 30, 1873</t>
  </si>
  <si>
    <t>August 31, 1873</t>
  </si>
  <si>
    <t>Gallgher</t>
  </si>
  <si>
    <t>August 19, 1873</t>
  </si>
  <si>
    <t>106 3rd</t>
  </si>
  <si>
    <t>August 20, 1873</t>
  </si>
  <si>
    <t>G-02</t>
  </si>
  <si>
    <t>Jule S.</t>
  </si>
  <si>
    <t xml:space="preserve">Albany  </t>
  </si>
  <si>
    <t xml:space="preserve"> May 13,1873</t>
  </si>
  <si>
    <t>10 William Street</t>
  </si>
  <si>
    <t>Gallagher</t>
  </si>
  <si>
    <t>87 First Street</t>
  </si>
  <si>
    <t>January 22, 1874</t>
  </si>
  <si>
    <t>Thomas J.</t>
  </si>
  <si>
    <t>February 22,1874</t>
  </si>
  <si>
    <t>72 Division Street</t>
  </si>
  <si>
    <t>February 24, 1874</t>
  </si>
  <si>
    <t>Graveline</t>
  </si>
  <si>
    <t>Sophia</t>
  </si>
  <si>
    <t xml:space="preserve">Albany   </t>
  </si>
  <si>
    <t xml:space="preserve"> February 6, 1874</t>
  </si>
  <si>
    <t>6 Myrtle Avenue</t>
  </si>
  <si>
    <t>Infl. Stomach</t>
  </si>
  <si>
    <t>May 24, 1874</t>
  </si>
  <si>
    <t>Gearon</t>
  </si>
  <si>
    <t xml:space="preserve"> December 10, 1873</t>
  </si>
  <si>
    <t>52 1/2 South Pearl</t>
  </si>
  <si>
    <t>Gastric Fever</t>
  </si>
  <si>
    <t>May 28, 1874</t>
  </si>
  <si>
    <t xml:space="preserve">Albany    </t>
  </si>
  <si>
    <t xml:space="preserve">  May 9, 1874</t>
  </si>
  <si>
    <t>135 Elm Street</t>
  </si>
  <si>
    <t>Dropsy Brain</t>
  </si>
  <si>
    <t>Miles, Jr.</t>
  </si>
  <si>
    <t xml:space="preserve"> March 21, 1874</t>
  </si>
  <si>
    <t>95 Jefferson Street</t>
  </si>
  <si>
    <t>Infl. Brain</t>
  </si>
  <si>
    <t xml:space="preserve"> March 1870</t>
  </si>
  <si>
    <t>129 Broad Street</t>
  </si>
  <si>
    <t xml:space="preserve"> October 28, 1862</t>
  </si>
  <si>
    <t>56 Broad Street</t>
  </si>
  <si>
    <t>Ceceila</t>
  </si>
  <si>
    <t xml:space="preserve"> February 4, 1873</t>
  </si>
  <si>
    <t>106 Schuyler</t>
  </si>
  <si>
    <t xml:space="preserve"> September 18, 1862</t>
  </si>
  <si>
    <t>Garghty</t>
  </si>
  <si>
    <t>Stella</t>
  </si>
  <si>
    <t>Jones</t>
  </si>
  <si>
    <t>September 29, 1861</t>
  </si>
  <si>
    <t>123 Orange St.</t>
  </si>
  <si>
    <t>Johnson</t>
  </si>
  <si>
    <t>W. Albany</t>
  </si>
  <si>
    <t>October 1863</t>
  </si>
  <si>
    <t>Jordan</t>
  </si>
  <si>
    <t>40 Chapel</t>
  </si>
  <si>
    <t>Judge</t>
  </si>
  <si>
    <t>Lark cor Clinton Ave.</t>
  </si>
  <si>
    <t>April 29, 1876</t>
  </si>
  <si>
    <t>Joy</t>
  </si>
  <si>
    <t>35 Manning</t>
  </si>
  <si>
    <t>June 16, 1877</t>
  </si>
  <si>
    <t>14 VanWoert St.</t>
  </si>
  <si>
    <t>April 17, 1879</t>
  </si>
  <si>
    <t>361 S. Pearl St.</t>
  </si>
  <si>
    <t xml:space="preserve"> James B.</t>
  </si>
  <si>
    <t>143 Orange St.</t>
  </si>
  <si>
    <t xml:space="preserve"> John A.</t>
  </si>
  <si>
    <t>May 14, 1880</t>
  </si>
  <si>
    <t>May 21, 1880</t>
  </si>
  <si>
    <t>32 Chapel</t>
  </si>
  <si>
    <t>October 22, 1880</t>
  </si>
  <si>
    <t>291 Orange St.</t>
  </si>
  <si>
    <t>March 12, 1881</t>
  </si>
  <si>
    <t>72 N. Lansing</t>
  </si>
  <si>
    <t>Joyce</t>
  </si>
  <si>
    <t>April 8, 1881</t>
  </si>
  <si>
    <t>Church &amp; Lansing</t>
  </si>
  <si>
    <t>June 2, 1881</t>
  </si>
  <si>
    <t>June 21, 1881</t>
  </si>
  <si>
    <t>11 Albany St.</t>
  </si>
  <si>
    <t>Jourdan</t>
  </si>
  <si>
    <t>June 13, 1881</t>
  </si>
  <si>
    <t>45 Emmett</t>
  </si>
  <si>
    <t>Jodoin</t>
  </si>
  <si>
    <t>June 6, 1882</t>
  </si>
  <si>
    <t>13 South St.</t>
  </si>
  <si>
    <t>Jennings</t>
  </si>
  <si>
    <t>17 Daniel</t>
  </si>
  <si>
    <t>Disability</t>
  </si>
  <si>
    <t>Killed by recoil of gun</t>
  </si>
  <si>
    <t>August 8, 1873</t>
  </si>
  <si>
    <t>August 18, 1874</t>
  </si>
  <si>
    <t>October 30, 1877</t>
  </si>
  <si>
    <t>July 18, 1877</t>
  </si>
  <si>
    <t>April 19, 1879</t>
  </si>
  <si>
    <t>October 24, 1880</t>
  </si>
  <si>
    <t>March 14, 1881</t>
  </si>
  <si>
    <t>April 11, 1881</t>
  </si>
  <si>
    <t>June 4, 1881</t>
  </si>
  <si>
    <t>June 23, 1881</t>
  </si>
  <si>
    <t>July 14, 1881</t>
  </si>
  <si>
    <t>June 12, 1882</t>
  </si>
  <si>
    <t>Bleeding of Lungs</t>
  </si>
  <si>
    <t>J-02</t>
  </si>
  <si>
    <t>Book</t>
  </si>
  <si>
    <t xml:space="preserve">  Page</t>
  </si>
  <si>
    <t>90 Washington St.</t>
  </si>
  <si>
    <t>Weakness</t>
  </si>
  <si>
    <t>January 22, 1873</t>
  </si>
  <si>
    <t>Hawk St.</t>
  </si>
  <si>
    <t>Inf. Bowels</t>
  </si>
  <si>
    <t>May 16, 1873</t>
  </si>
  <si>
    <t>January 23, 1872</t>
  </si>
  <si>
    <t>81 Green St.</t>
  </si>
  <si>
    <t>May 18, 1873</t>
  </si>
  <si>
    <t>58 M.A.</t>
  </si>
  <si>
    <t>May 19, 1873</t>
  </si>
  <si>
    <t>Cox</t>
  </si>
  <si>
    <t>Michael J.</t>
  </si>
  <si>
    <t>April 8, 1873</t>
  </si>
  <si>
    <t>218 Broadway</t>
  </si>
  <si>
    <t>May 26, 1873</t>
  </si>
  <si>
    <t>January 21, 1873</t>
  </si>
  <si>
    <t>73 First St.</t>
  </si>
  <si>
    <t>May 29, 1873</t>
  </si>
  <si>
    <t>November 10, 1872</t>
  </si>
  <si>
    <t>46 Monroe St.</t>
  </si>
  <si>
    <t>June 4, 1873</t>
  </si>
  <si>
    <t>C-04</t>
  </si>
  <si>
    <t xml:space="preserve">Clinton    </t>
  </si>
  <si>
    <t>James F.</t>
  </si>
  <si>
    <t>February 21, 1858</t>
  </si>
  <si>
    <t>VanWoert St.</t>
  </si>
  <si>
    <t>June 7, 1873</t>
  </si>
  <si>
    <t>Mary J.</t>
  </si>
  <si>
    <t>May 14, 1866</t>
  </si>
  <si>
    <t>Laurence St.</t>
  </si>
  <si>
    <t>Cook</t>
  </si>
  <si>
    <t>383 Macon St.</t>
  </si>
  <si>
    <t>June 19, 1873</t>
  </si>
  <si>
    <t>Callen</t>
  </si>
  <si>
    <t xml:space="preserve">Mary   </t>
  </si>
  <si>
    <t>June 20, 1873</t>
  </si>
  <si>
    <t>66 N. Lansing St.</t>
  </si>
  <si>
    <t>June 22, 1873</t>
  </si>
  <si>
    <t>Cartin</t>
  </si>
  <si>
    <t>West Albany</t>
  </si>
  <si>
    <t>June 30, 1873</t>
  </si>
  <si>
    <t xml:space="preserve">Cox </t>
  </si>
  <si>
    <t>July 23, 1873</t>
  </si>
  <si>
    <t>131 Green St.</t>
  </si>
  <si>
    <t>Curry</t>
  </si>
  <si>
    <t>September 25, 1873</t>
  </si>
  <si>
    <t>Morton St.</t>
  </si>
  <si>
    <t>Infl. Lungs</t>
  </si>
  <si>
    <t>September 27, 1873</t>
  </si>
  <si>
    <t>July 10, 1866</t>
  </si>
  <si>
    <t>3 Hawk St.</t>
  </si>
  <si>
    <t>October 25, 1873</t>
  </si>
  <si>
    <t>August 29, 1873</t>
  </si>
  <si>
    <t>Cain</t>
  </si>
  <si>
    <t>August 21, 1873</t>
  </si>
  <si>
    <t>140 Grand St.</t>
  </si>
  <si>
    <t>August 24, 1873</t>
  </si>
  <si>
    <t>Conlon</t>
  </si>
  <si>
    <t>Alice E.</t>
  </si>
  <si>
    <t>East Troy</t>
  </si>
  <si>
    <t>112 Green St.</t>
  </si>
  <si>
    <t>August 23, 1873</t>
  </si>
  <si>
    <t xml:space="preserve">Cassin  </t>
  </si>
  <si>
    <t>Greenbush</t>
  </si>
  <si>
    <t>62 Walker St.</t>
  </si>
  <si>
    <t>July 27, 1873</t>
  </si>
  <si>
    <t>October 2, 1873</t>
  </si>
  <si>
    <t>November 2, 1873</t>
  </si>
  <si>
    <t xml:space="preserve">Cannon    </t>
  </si>
  <si>
    <t>John J., Rev.</t>
  </si>
  <si>
    <t>Hunter, NY</t>
  </si>
  <si>
    <t>August 1, 1873</t>
  </si>
  <si>
    <t>Abscess in Heart</t>
  </si>
  <si>
    <t>August 5, 1873</t>
  </si>
  <si>
    <t>June 1867</t>
  </si>
  <si>
    <t>70 Orange St.</t>
  </si>
  <si>
    <t>Joseph</t>
  </si>
  <si>
    <t>September 13, 1871</t>
  </si>
  <si>
    <t>25 Chapel St</t>
  </si>
  <si>
    <t>September 15, 1871</t>
  </si>
  <si>
    <t>September 25, 1871</t>
  </si>
  <si>
    <t>242 N Pearl St</t>
  </si>
  <si>
    <t>September 27, 1871</t>
  </si>
  <si>
    <t>November 22, 1871</t>
  </si>
  <si>
    <t>416 ? Ave</t>
  </si>
  <si>
    <t>November 24, 1871</t>
  </si>
  <si>
    <t>Kirby</t>
  </si>
  <si>
    <t>December 27, 1871</t>
  </si>
  <si>
    <t>May 6, 1872</t>
  </si>
  <si>
    <t>Keongh</t>
  </si>
  <si>
    <t>Thomas Vincent</t>
  </si>
  <si>
    <t>December 25, 1871</t>
  </si>
  <si>
    <t>211 Cheese St</t>
  </si>
  <si>
    <t>James V.</t>
  </si>
  <si>
    <t>149 Orange St</t>
  </si>
  <si>
    <t>Inflammation of lungs</t>
  </si>
  <si>
    <t>Kennedy</t>
  </si>
  <si>
    <t>March 1853</t>
  </si>
  <si>
    <t>K-02</t>
  </si>
  <si>
    <t>June 7, 1863</t>
  </si>
  <si>
    <t>46 Swan St</t>
  </si>
  <si>
    <t>Typhoon Fever</t>
  </si>
  <si>
    <t>February 17, 1872</t>
  </si>
  <si>
    <t>Kernan</t>
  </si>
  <si>
    <t>July 8, 1872</t>
  </si>
  <si>
    <t>92 Columbia St</t>
  </si>
  <si>
    <t>Kilroy</t>
  </si>
  <si>
    <t>52 2nd St</t>
  </si>
  <si>
    <t>July 11, 1872</t>
  </si>
  <si>
    <t>Kennar</t>
  </si>
  <si>
    <t>W. Albany NY</t>
  </si>
  <si>
    <t>April 7, 1872</t>
  </si>
  <si>
    <t>Corning St</t>
  </si>
  <si>
    <t>June 16, 1872</t>
  </si>
  <si>
    <t>Kinney</t>
  </si>
  <si>
    <t>April 9, 1873</t>
  </si>
  <si>
    <t>37 Rensselaer St</t>
  </si>
  <si>
    <t>April 13, 1873</t>
  </si>
  <si>
    <t xml:space="preserve"> Michael James</t>
  </si>
  <si>
    <t>136 Mar Ave</t>
  </si>
  <si>
    <t>Kalffleisch</t>
  </si>
  <si>
    <t>256 2nd St Albany</t>
  </si>
  <si>
    <t>February 26, 1875</t>
  </si>
  <si>
    <t>Hatty</t>
  </si>
  <si>
    <t>April 4, 1875</t>
  </si>
  <si>
    <t>131 Canal St</t>
  </si>
  <si>
    <t>Heslin</t>
  </si>
  <si>
    <t>Cazenovia, NY</t>
  </si>
  <si>
    <t>April 29, 1875</t>
  </si>
  <si>
    <t>5 Grand St</t>
  </si>
  <si>
    <t>Harden</t>
  </si>
  <si>
    <t>Harmon</t>
  </si>
  <si>
    <t>July 9, 1875</t>
  </si>
  <si>
    <t>210 Jay St</t>
  </si>
  <si>
    <t>July 11, 1875</t>
  </si>
  <si>
    <t>62 1/2 Green St</t>
  </si>
  <si>
    <t>Hickey</t>
  </si>
  <si>
    <t>Schuyler St</t>
  </si>
  <si>
    <t>August 12, 1875</t>
  </si>
  <si>
    <t>Harragan</t>
  </si>
  <si>
    <t>Fulton St</t>
  </si>
  <si>
    <t>Hale</t>
  </si>
  <si>
    <t>Sarah, Mrs.</t>
  </si>
  <si>
    <t>October 2, 1875</t>
  </si>
  <si>
    <t xml:space="preserve">October 4, 1875 </t>
  </si>
  <si>
    <t>128 Chestnut</t>
  </si>
  <si>
    <t>County Limerick, Ireland</t>
  </si>
  <si>
    <t>October 9, 1875</t>
  </si>
  <si>
    <t>421 Washington Ave</t>
  </si>
  <si>
    <t xml:space="preserve">October 13, 1875 </t>
  </si>
  <si>
    <t>Horan</t>
  </si>
  <si>
    <t>Sara Irene</t>
  </si>
  <si>
    <t>Hastings</t>
  </si>
  <si>
    <t>53 Eagle St</t>
  </si>
  <si>
    <t>June 12, 1873</t>
  </si>
  <si>
    <t>Hill</t>
  </si>
  <si>
    <t>Salem St</t>
  </si>
  <si>
    <t>141 Lumber (?) St</t>
  </si>
  <si>
    <t>23 Myrtle Ave</t>
  </si>
  <si>
    <t>58 N Swan St.</t>
  </si>
  <si>
    <t>Church &amp; Fourth(?)</t>
  </si>
  <si>
    <t>3 Learned St.</t>
  </si>
  <si>
    <t>151 Orange St.</t>
  </si>
  <si>
    <t>Hawk South of Elm</t>
  </si>
  <si>
    <t>57 Dussia  (?) St.</t>
  </si>
  <si>
    <t>61 Beaver</t>
  </si>
  <si>
    <t>Murnane</t>
  </si>
  <si>
    <t>119 First St.(?)</t>
  </si>
  <si>
    <t>49 Renss. St   (?)</t>
  </si>
  <si>
    <t>September 13, 1878</t>
  </si>
  <si>
    <t>Morissey</t>
  </si>
  <si>
    <t>October 1, 1878</t>
  </si>
  <si>
    <t>Murry</t>
  </si>
  <si>
    <t>October 15, 1878</t>
  </si>
  <si>
    <t>October 16, 1878</t>
  </si>
  <si>
    <t>Schuyler St.</t>
  </si>
  <si>
    <t>McCormac</t>
  </si>
  <si>
    <t>November 14, 1878</t>
  </si>
  <si>
    <t>102 Myrtle Ave.</t>
  </si>
  <si>
    <t>November 30, 1878</t>
  </si>
  <si>
    <t>6 DeWittt St.</t>
  </si>
  <si>
    <t>November 27, 1878</t>
  </si>
  <si>
    <t>Swan &amp; Irving</t>
  </si>
  <si>
    <t>November 29, 1878</t>
  </si>
  <si>
    <t>101 Hudson Ave.</t>
  </si>
  <si>
    <t>December 11, 1878</t>
  </si>
  <si>
    <t>484 Madison Ave.</t>
  </si>
  <si>
    <t>December 29, 1879</t>
  </si>
  <si>
    <t>27 Bassett St.</t>
  </si>
  <si>
    <t>Water on Brian</t>
  </si>
  <si>
    <t>17 Hamilton St.</t>
  </si>
  <si>
    <t>December 27, 1879</t>
  </si>
  <si>
    <t>47 Mulberry</t>
  </si>
  <si>
    <t>December 30, 1879</t>
  </si>
  <si>
    <t xml:space="preserve"> Thomas A.</t>
  </si>
  <si>
    <t xml:space="preserve"> February 9, 1880</t>
  </si>
  <si>
    <t>187 Third St.</t>
  </si>
  <si>
    <t xml:space="preserve"> February 10, 1880</t>
  </si>
  <si>
    <t>January 11, 1880</t>
  </si>
  <si>
    <t xml:space="preserve">66 S. Lansing </t>
  </si>
  <si>
    <t>McBride</t>
  </si>
  <si>
    <t>50 Hudson Ave.</t>
  </si>
  <si>
    <t>January 7, 1880</t>
  </si>
  <si>
    <t>170 Hudson</t>
  </si>
  <si>
    <t xml:space="preserve"> Marie</t>
  </si>
  <si>
    <t>January 8, 1880</t>
  </si>
  <si>
    <t>43 Mulberry</t>
  </si>
  <si>
    <t>January 10, 1880</t>
  </si>
  <si>
    <t>83 Schuyler</t>
  </si>
  <si>
    <t>Typhus fever</t>
  </si>
  <si>
    <t>Maynes</t>
  </si>
  <si>
    <t>December 23, 1880</t>
  </si>
  <si>
    <t>May 2, 1850</t>
  </si>
  <si>
    <t>Ferry St.</t>
  </si>
  <si>
    <t>Robert J.</t>
  </si>
  <si>
    <t>28 Bleeker</t>
  </si>
  <si>
    <t>October 2, 1866</t>
  </si>
  <si>
    <t>October 10, 1872</t>
  </si>
  <si>
    <t>66 Van Woert</t>
  </si>
  <si>
    <t>February 23, 1866</t>
  </si>
  <si>
    <t>August 6, 1857</t>
  </si>
  <si>
    <t>August 6, 1848</t>
  </si>
  <si>
    <t>59 Van Woert</t>
  </si>
  <si>
    <t>September 1868</t>
  </si>
  <si>
    <t>Worms</t>
  </si>
  <si>
    <t>Kelcher</t>
  </si>
  <si>
    <t>June 1, 1874</t>
  </si>
  <si>
    <t>111 Church St</t>
  </si>
  <si>
    <t>Kearns</t>
  </si>
  <si>
    <t>Church &amp; Broad</t>
  </si>
  <si>
    <t>June 8, 1874</t>
  </si>
  <si>
    <t>June 9, 1874</t>
  </si>
  <si>
    <t>112 Frankling St</t>
  </si>
  <si>
    <t>June 11, 1874</t>
  </si>
  <si>
    <t>July 23, 1874</t>
  </si>
  <si>
    <t>July 26, 1874</t>
  </si>
  <si>
    <t>August 29, 1874</t>
  </si>
  <si>
    <t>109 Colonie St</t>
  </si>
  <si>
    <t>August 30, 1874</t>
  </si>
  <si>
    <t>September 10, 1874</t>
  </si>
  <si>
    <t>113 Hawk St</t>
  </si>
  <si>
    <t>Kibrick</t>
  </si>
  <si>
    <t>Groton St., W. Troy</t>
  </si>
  <si>
    <t>Cold &amp; Asthma</t>
  </si>
  <si>
    <t>December 23, 1874</t>
  </si>
  <si>
    <t>5 Foundry Place</t>
  </si>
  <si>
    <t>January 15, 1875</t>
  </si>
  <si>
    <t>33 Rensselaer St</t>
  </si>
  <si>
    <t>January 18, 1875</t>
  </si>
  <si>
    <t>3 Park Ave</t>
  </si>
  <si>
    <t>March 29, 1875</t>
  </si>
  <si>
    <t>Kannar</t>
  </si>
  <si>
    <t>April 22, 1875</t>
  </si>
  <si>
    <t>May 19, 1858</t>
  </si>
  <si>
    <t>December 31, 1874</t>
  </si>
  <si>
    <t xml:space="preserve"> James A.</t>
  </si>
  <si>
    <t>Denver City, California</t>
  </si>
  <si>
    <t>Denver City</t>
  </si>
  <si>
    <t>Kennealy</t>
  </si>
  <si>
    <t>State St, Albany NY</t>
  </si>
  <si>
    <t xml:space="preserve"> March, 6, 1882</t>
  </si>
  <si>
    <t>43 Philip</t>
  </si>
  <si>
    <t>March 9, 1882;</t>
  </si>
  <si>
    <t>to Our Lady H of C May 15, 1922</t>
  </si>
  <si>
    <t xml:space="preserve"> March, 27, 1882</t>
  </si>
  <si>
    <t>52 Colonie</t>
  </si>
  <si>
    <t>April 19, 1882</t>
  </si>
  <si>
    <t>Cancer in Throat</t>
  </si>
  <si>
    <t>Mary E.</t>
  </si>
  <si>
    <t xml:space="preserve"> November 28, 1882</t>
  </si>
  <si>
    <t>367 N. Pearl</t>
  </si>
  <si>
    <t>November 28, 1882</t>
  </si>
  <si>
    <t xml:space="preserve"> December 19, 1882</t>
  </si>
  <si>
    <t>46 Morton</t>
  </si>
  <si>
    <t xml:space="preserve">Cancer   </t>
  </si>
  <si>
    <t>December 2, 1882</t>
  </si>
  <si>
    <t>F-01</t>
  </si>
  <si>
    <t>February 25, 1875</t>
  </si>
  <si>
    <t>Colville</t>
  </si>
  <si>
    <t>Two children of John E.</t>
  </si>
  <si>
    <t>Staten Island</t>
  </si>
  <si>
    <t>March 1875</t>
  </si>
  <si>
    <t>April 1, 1875</t>
  </si>
  <si>
    <t>One lived a few hours and one was stillborn.</t>
  </si>
  <si>
    <t>Mary C.</t>
  </si>
  <si>
    <t>33 N. Lansing St.</t>
  </si>
  <si>
    <t>April 10, 1875</t>
  </si>
  <si>
    <t>Cogburn</t>
  </si>
  <si>
    <t>Anna S.</t>
  </si>
  <si>
    <t>Wellsville, Alleghany Co. NY</t>
  </si>
  <si>
    <t>April 22, 1852</t>
  </si>
  <si>
    <t>224 Swan St. Albany</t>
  </si>
  <si>
    <t>April 26, 1875</t>
  </si>
  <si>
    <t>Peter V.</t>
  </si>
  <si>
    <t>May 6, 1875</t>
  </si>
  <si>
    <t>82 Bleecker St.</t>
  </si>
  <si>
    <t>May 8, 1875</t>
  </si>
  <si>
    <t>Connors</t>
  </si>
  <si>
    <t>73 VanWoert St.</t>
  </si>
  <si>
    <t>May 14, 1875</t>
  </si>
  <si>
    <t>Maggy</t>
  </si>
  <si>
    <t>May 1872</t>
  </si>
  <si>
    <t>June 5, 1875</t>
  </si>
  <si>
    <t>Crary</t>
  </si>
  <si>
    <t>January 13, 1875</t>
  </si>
  <si>
    <t>St Peter's Hospital</t>
  </si>
  <si>
    <t>January 14, 1875</t>
  </si>
  <si>
    <t xml:space="preserve">Carr </t>
  </si>
  <si>
    <t>June 14, 1875</t>
  </si>
  <si>
    <t>Drowned</t>
  </si>
  <si>
    <t>June 17, 1875</t>
  </si>
  <si>
    <t>January 1, 1857</t>
  </si>
  <si>
    <t>73 Alex St.</t>
  </si>
  <si>
    <t>July 2, 1875</t>
  </si>
  <si>
    <t>C-05</t>
  </si>
  <si>
    <t xml:space="preserve"> Thomas</t>
  </si>
  <si>
    <t>Guilderland</t>
  </si>
  <si>
    <t>July 29, 1875</t>
  </si>
  <si>
    <t>126 Third St. Albany NY</t>
  </si>
  <si>
    <t>Rupture</t>
  </si>
  <si>
    <t>August 5, 1875</t>
  </si>
  <si>
    <t>State House</t>
  </si>
  <si>
    <t>August 10, 1875</t>
  </si>
  <si>
    <t>September 14, 1875</t>
  </si>
  <si>
    <t>188 Park Ave.</t>
  </si>
  <si>
    <t>September 15, 1875</t>
  </si>
  <si>
    <t xml:space="preserve"> Dennis</t>
  </si>
  <si>
    <t>West Albany NY</t>
  </si>
  <si>
    <t>October 1, 1875</t>
  </si>
  <si>
    <t>12 Laughlin St.</t>
  </si>
  <si>
    <t>October 3, 1875</t>
  </si>
  <si>
    <t xml:space="preserve"> Bridget</t>
  </si>
  <si>
    <t>Typhoid</t>
  </si>
  <si>
    <t>November 5, 1875</t>
  </si>
  <si>
    <t>June 26, 1873</t>
  </si>
  <si>
    <t>41 Morton St.</t>
  </si>
  <si>
    <t>November 11, 1875</t>
  </si>
  <si>
    <t>Clarke</t>
  </si>
  <si>
    <t>55 Schuyler St.</t>
  </si>
  <si>
    <t>November 12, 1875</t>
  </si>
  <si>
    <t>Crummey</t>
  </si>
  <si>
    <t xml:space="preserve"> George</t>
  </si>
  <si>
    <t>November 29, 1875</t>
  </si>
  <si>
    <t>90 Washington St. West Troy</t>
  </si>
  <si>
    <t>December 3, 1876</t>
  </si>
  <si>
    <t>Curtin</t>
  </si>
  <si>
    <t>January 2, 1876</t>
  </si>
  <si>
    <t>195 Eliss St</t>
  </si>
  <si>
    <t>January 5, 1876</t>
  </si>
  <si>
    <t>January 18, 1876</t>
  </si>
  <si>
    <t>9 Wendell St.</t>
  </si>
  <si>
    <t>January 21, 1875</t>
  </si>
  <si>
    <t>Conway</t>
  </si>
  <si>
    <t>January 3, 1876</t>
  </si>
  <si>
    <t>Tivoli St.</t>
  </si>
  <si>
    <t>February 2, 1876</t>
  </si>
  <si>
    <t>Conklin</t>
  </si>
  <si>
    <t xml:space="preserve"> James</t>
  </si>
  <si>
    <t>February 12, 1876</t>
  </si>
  <si>
    <t>186 Broadway</t>
  </si>
  <si>
    <t>February 15, 1876</t>
  </si>
  <si>
    <t>March 6, 1876</t>
  </si>
  <si>
    <t>149 S. Pearl St.</t>
  </si>
  <si>
    <t>Scrofula</t>
  </si>
  <si>
    <t>March 9, 1876</t>
  </si>
  <si>
    <t>March 16, 1876</t>
  </si>
  <si>
    <t>70 VanWoert St</t>
  </si>
  <si>
    <t>March 18, 1876</t>
  </si>
  <si>
    <t>Cronly</t>
  </si>
  <si>
    <t xml:space="preserve"> Edward</t>
  </si>
  <si>
    <t>March 26, 1876</t>
  </si>
  <si>
    <t>March 27, 1876</t>
  </si>
  <si>
    <t>Caughlin</t>
  </si>
  <si>
    <t xml:space="preserve"> John J.</t>
  </si>
  <si>
    <t>Brain Disease</t>
  </si>
  <si>
    <t>March 28, 1876</t>
  </si>
  <si>
    <t xml:space="preserve"> James J.</t>
  </si>
  <si>
    <t>April 3, 1876</t>
  </si>
  <si>
    <t>67 Jefferson St.</t>
  </si>
  <si>
    <t>April 6, 1876</t>
  </si>
  <si>
    <t xml:space="preserve"> ??</t>
  </si>
  <si>
    <t>June 16, 1876</t>
  </si>
  <si>
    <t>211 Broadway</t>
  </si>
  <si>
    <t>June 18, 1876</t>
  </si>
  <si>
    <t>Collopy</t>
  </si>
  <si>
    <t xml:space="preserve"> Margaret</t>
  </si>
  <si>
    <t>July 9, 1876</t>
  </si>
  <si>
    <t>July 12, 1876</t>
  </si>
  <si>
    <t>July 15, 1876</t>
  </si>
  <si>
    <t>11 Knox St</t>
  </si>
  <si>
    <t>July 17, 1876</t>
  </si>
  <si>
    <t>July 22, 1876</t>
  </si>
  <si>
    <t>158 Sherman St.</t>
  </si>
  <si>
    <t>July 25, 1876</t>
  </si>
  <si>
    <t>July 29, 1876</t>
  </si>
  <si>
    <t>North St.</t>
  </si>
  <si>
    <t>July 31, 1876</t>
  </si>
  <si>
    <t>September 9, 1874</t>
  </si>
  <si>
    <t>162 Jefferson St.</t>
  </si>
  <si>
    <t>September 12, 1874</t>
  </si>
  <si>
    <t>Ettlin</t>
  </si>
  <si>
    <t>Edward Thomas</t>
  </si>
  <si>
    <t xml:space="preserve"> October 6, 1874</t>
  </si>
  <si>
    <t>61 Union St.</t>
  </si>
  <si>
    <t>Colic</t>
  </si>
  <si>
    <t>October 8, 1874</t>
  </si>
  <si>
    <t xml:space="preserve">Ennis </t>
  </si>
  <si>
    <t xml:space="preserve"> January 17, 1875</t>
  </si>
  <si>
    <t>109 Canal St.</t>
  </si>
  <si>
    <t>January 19, 1875</t>
  </si>
  <si>
    <t>Eagan</t>
  </si>
  <si>
    <t>99 Canal St.</t>
  </si>
  <si>
    <t>James E.</t>
  </si>
  <si>
    <t xml:space="preserve"> July 1870</t>
  </si>
  <si>
    <t>Chol. Infan.</t>
  </si>
  <si>
    <t>Ellis</t>
  </si>
  <si>
    <t>Westerlo St.</t>
  </si>
  <si>
    <t>Alfred</t>
  </si>
  <si>
    <t xml:space="preserve">NYC </t>
  </si>
  <si>
    <t xml:space="preserve"> February 16, 1878</t>
  </si>
  <si>
    <t>Nephritis</t>
  </si>
  <si>
    <t>Anna J.</t>
  </si>
  <si>
    <t xml:space="preserve"> April 25, 1879</t>
  </si>
  <si>
    <t>First St.</t>
  </si>
  <si>
    <t>May 30, 1879</t>
  </si>
  <si>
    <t>Killed off a Wagon</t>
  </si>
  <si>
    <t>June 4, 1879</t>
  </si>
  <si>
    <t>English</t>
  </si>
  <si>
    <t>June 15, 1879</t>
  </si>
  <si>
    <t xml:space="preserve"> Broadway</t>
  </si>
  <si>
    <t>June 24, 1879</t>
  </si>
  <si>
    <t>Endres</t>
  </si>
  <si>
    <t>July 7, 1879</t>
  </si>
  <si>
    <t>19 Central Ave.</t>
  </si>
  <si>
    <t>July 8, 1879</t>
  </si>
  <si>
    <t>July 16, 1879</t>
  </si>
  <si>
    <t>July 19, 1879</t>
  </si>
  <si>
    <t xml:space="preserve">DeWitt St. </t>
  </si>
  <si>
    <t xml:space="preserve"> January 21, 1873</t>
  </si>
  <si>
    <t>N. Lansing St. Albany</t>
  </si>
  <si>
    <t>Egan</t>
  </si>
  <si>
    <t>Rosa</t>
  </si>
  <si>
    <t xml:space="preserve"> April 26, 1880</t>
  </si>
  <si>
    <t>Third &amp; Dove Troy</t>
  </si>
  <si>
    <t>Hugh</t>
  </si>
  <si>
    <t>July 3, 1880</t>
  </si>
  <si>
    <t>Hawk &amp; Canal</t>
  </si>
  <si>
    <t>January 20, 1863</t>
  </si>
  <si>
    <t>Early</t>
  </si>
  <si>
    <t>Mary Celia</t>
  </si>
  <si>
    <t xml:space="preserve"> November 15, 1872</t>
  </si>
  <si>
    <t>178 Clinton Ave.</t>
  </si>
  <si>
    <t>November 17, 1872</t>
  </si>
  <si>
    <t>Estabrook</t>
  </si>
  <si>
    <t>Rose A.</t>
  </si>
  <si>
    <t xml:space="preserve"> March, 23, 1881</t>
  </si>
  <si>
    <t>September 2, 1871</t>
  </si>
  <si>
    <t>June 1853</t>
  </si>
  <si>
    <t>141 Lumber</t>
  </si>
  <si>
    <t>Anna Maria</t>
  </si>
  <si>
    <t>April 25, 1872</t>
  </si>
  <si>
    <t>74 Franklin</t>
  </si>
  <si>
    <t>299 N. Pearl</t>
  </si>
  <si>
    <t>April 28, 1872</t>
  </si>
  <si>
    <t>June 20, 1872</t>
  </si>
  <si>
    <t>134 State St.</t>
  </si>
  <si>
    <t>Sunstroke</t>
  </si>
  <si>
    <t>March 1867</t>
  </si>
  <si>
    <t>Margaret K.</t>
  </si>
  <si>
    <t>1 North Lansing</t>
  </si>
  <si>
    <t>Magenniss</t>
  </si>
  <si>
    <t>May 6, 1881</t>
  </si>
  <si>
    <t>62 Division</t>
  </si>
  <si>
    <t>McShane</t>
  </si>
  <si>
    <t>Marlborough</t>
  </si>
  <si>
    <t>May 15, 1881</t>
  </si>
  <si>
    <t>May 8, 1881</t>
  </si>
  <si>
    <t>125 Jefferson</t>
  </si>
  <si>
    <t>June 6, 1881</t>
  </si>
  <si>
    <t>57 North Lansing</t>
  </si>
  <si>
    <t>June 8, 1881</t>
  </si>
  <si>
    <t>June 7, 1881</t>
  </si>
  <si>
    <t>172 Colonie</t>
  </si>
  <si>
    <t>June 9, 1881</t>
  </si>
  <si>
    <t>McCotten</t>
  </si>
  <si>
    <t>June 24, 1881</t>
  </si>
  <si>
    <t>205 Colonie</t>
  </si>
  <si>
    <t>June 26, 1881</t>
  </si>
  <si>
    <t>M-15</t>
  </si>
  <si>
    <t>Frankie A.</t>
  </si>
  <si>
    <t>96 Dallius</t>
  </si>
  <si>
    <t>Shot</t>
  </si>
  <si>
    <t>July 8 1881</t>
  </si>
  <si>
    <t>McNally</t>
  </si>
  <si>
    <t>123 Arch St.</t>
  </si>
  <si>
    <t>McEleny</t>
  </si>
  <si>
    <t>6 Mohawk</t>
  </si>
  <si>
    <t>McEnemy</t>
  </si>
  <si>
    <t>Lillie Loretta</t>
  </si>
  <si>
    <t>August 20, 1880</t>
  </si>
  <si>
    <t>67 Van Woert</t>
  </si>
  <si>
    <t>August 22, 1880</t>
  </si>
  <si>
    <t xml:space="preserve"> James McIntyre</t>
  </si>
  <si>
    <t>392 N Pearl St</t>
  </si>
  <si>
    <t>Thomas E.</t>
  </si>
  <si>
    <t>June 20, 1882</t>
  </si>
  <si>
    <t>10 Wendell</t>
  </si>
  <si>
    <t>McMannis</t>
  </si>
  <si>
    <t>170 Canal</t>
  </si>
  <si>
    <t>79 North Lansing</t>
  </si>
  <si>
    <t>July 4, 1882</t>
  </si>
  <si>
    <t>22 Second</t>
  </si>
  <si>
    <t>July 7, 1882</t>
  </si>
  <si>
    <t>First &amp; Van Buren Troy</t>
  </si>
  <si>
    <t>Killed by Pistol</t>
  </si>
  <si>
    <t>July 6, 1882</t>
  </si>
  <si>
    <t>July 12, 1882</t>
  </si>
  <si>
    <t>72 Herkimer</t>
  </si>
  <si>
    <t>July 13, 1882</t>
  </si>
  <si>
    <t>Susan A.</t>
  </si>
  <si>
    <t>July 18, 1882</t>
  </si>
  <si>
    <t>137 Second</t>
  </si>
  <si>
    <t>Drowning</t>
  </si>
  <si>
    <t>119 Adams Troy</t>
  </si>
  <si>
    <t>Edward P.</t>
  </si>
  <si>
    <t>Cholera Inflantum</t>
  </si>
  <si>
    <t>July 30, 1882</t>
  </si>
  <si>
    <t>97 Church</t>
  </si>
  <si>
    <t>Heart Disease &amp; Dropsy</t>
  </si>
  <si>
    <t>25 North Swan</t>
  </si>
  <si>
    <t>August 6, 1882</t>
  </si>
  <si>
    <t>Magnes</t>
  </si>
  <si>
    <t>McGillendy</t>
  </si>
  <si>
    <t>40 Madison</t>
  </si>
  <si>
    <t>August 11, 1882</t>
  </si>
  <si>
    <t>112 Van Woert</t>
  </si>
  <si>
    <t>24 Van Woert</t>
  </si>
  <si>
    <t>868 Broadway</t>
  </si>
  <si>
    <t>August 17, 1882</t>
  </si>
  <si>
    <t>141 Colonie</t>
  </si>
  <si>
    <t>August 20, 1882</t>
  </si>
  <si>
    <t>August 26, 1882</t>
  </si>
  <si>
    <t>Reservoir St Cohoes</t>
  </si>
  <si>
    <t>52 1/2 Colonie St</t>
  </si>
  <si>
    <t>Anna T.</t>
  </si>
  <si>
    <t>5 Albany</t>
  </si>
  <si>
    <t>302 Second St</t>
  </si>
  <si>
    <t>Mitchell</t>
  </si>
  <si>
    <t>September 25, 1882</t>
  </si>
  <si>
    <t>160 North Pearl</t>
  </si>
  <si>
    <t>September 27, 1882</t>
  </si>
  <si>
    <t>M-17</t>
  </si>
  <si>
    <t>Meegan</t>
  </si>
  <si>
    <t>Wilkes Barre, Penn</t>
  </si>
  <si>
    <t>September 22, 1882</t>
  </si>
  <si>
    <t>September 24, 1882</t>
  </si>
  <si>
    <t xml:space="preserve">James H. </t>
  </si>
  <si>
    <t>Gloversville</t>
  </si>
  <si>
    <t>B. Pneumonia</t>
  </si>
  <si>
    <t>58 Schuyler St</t>
  </si>
  <si>
    <t>86 Hamilton St</t>
  </si>
  <si>
    <t>January 14, 1879</t>
  </si>
  <si>
    <t>6 John St</t>
  </si>
  <si>
    <t>January 12, 1879</t>
  </si>
  <si>
    <t>29 Lark St</t>
  </si>
  <si>
    <t>January 14, 1880</t>
  </si>
  <si>
    <t>171 Elliot St NY</t>
  </si>
  <si>
    <t>January 16, 1880</t>
  </si>
  <si>
    <t>Elmira</t>
  </si>
  <si>
    <t>January 31, 1880</t>
  </si>
  <si>
    <t>February 3, 1880</t>
  </si>
  <si>
    <t>Healy</t>
  </si>
  <si>
    <t>February 19, 1880</t>
  </si>
  <si>
    <t>31 Plum St</t>
  </si>
  <si>
    <t>February 22, 1880</t>
  </si>
  <si>
    <t>62 Van Woert St</t>
  </si>
  <si>
    <t>April 6, 1880</t>
  </si>
  <si>
    <t>26 Morton St</t>
  </si>
  <si>
    <t>April 9,1880</t>
  </si>
  <si>
    <t>N Albany NY</t>
  </si>
  <si>
    <t>April 17, 1880</t>
  </si>
  <si>
    <t>Main St N Albany NY</t>
  </si>
  <si>
    <t>April 19, 1880</t>
  </si>
  <si>
    <t>Hawes</t>
  </si>
  <si>
    <t xml:space="preserve"> Matthew</t>
  </si>
  <si>
    <t>April 24, 1880</t>
  </si>
  <si>
    <t>251 Hamilton</t>
  </si>
  <si>
    <t>May 27, 1880</t>
  </si>
  <si>
    <t>May 20, 1880</t>
  </si>
  <si>
    <t xml:space="preserve">87 Lancaster </t>
  </si>
  <si>
    <t>May 23, 1880</t>
  </si>
  <si>
    <t>Troy NY</t>
  </si>
  <si>
    <t>June 5, 1880</t>
  </si>
  <si>
    <t>60 Van Woert St</t>
  </si>
  <si>
    <t>June 7, 1880</t>
  </si>
  <si>
    <t>June 9, 1880</t>
  </si>
  <si>
    <t>June 11, 1880</t>
  </si>
  <si>
    <t>Newark NJ</t>
  </si>
  <si>
    <t>July 26, 1880</t>
  </si>
  <si>
    <t>95 Quay St</t>
  </si>
  <si>
    <t>July 30, 1880</t>
  </si>
  <si>
    <t>Hefferman</t>
  </si>
  <si>
    <t>21 Emmet St</t>
  </si>
  <si>
    <t>August 1, 1880</t>
  </si>
  <si>
    <t>August 11, 1880</t>
  </si>
  <si>
    <t>13 Van Woert</t>
  </si>
  <si>
    <t>Killed by runaway</t>
  </si>
  <si>
    <t>August 14, 1880</t>
  </si>
  <si>
    <t>Hassett</t>
  </si>
  <si>
    <t>Greenbush NY</t>
  </si>
  <si>
    <t>E Albany NY</t>
  </si>
  <si>
    <t>Inflamation</t>
  </si>
  <si>
    <t>August 17, 1880</t>
  </si>
  <si>
    <t>Hennessey</t>
  </si>
  <si>
    <t>August 12, 1880</t>
  </si>
  <si>
    <t>August 23, 1880</t>
  </si>
  <si>
    <t>18 Van Zandt</t>
  </si>
  <si>
    <t>August 25, 1880</t>
  </si>
  <si>
    <t>November 1, 1880</t>
  </si>
  <si>
    <t>Hedley</t>
  </si>
  <si>
    <t>57 Division St</t>
  </si>
  <si>
    <t>Schuyler &amp; South Pearl</t>
  </si>
  <si>
    <t>Francis E.</t>
  </si>
  <si>
    <t>276 North Pearl</t>
  </si>
  <si>
    <t>109 Schuyler</t>
  </si>
  <si>
    <t>January 9, 1881</t>
  </si>
  <si>
    <t>97 South Pearl</t>
  </si>
  <si>
    <t>Charles Francis</t>
  </si>
  <si>
    <t>70 McCarty Ave.</t>
  </si>
  <si>
    <t>289 Lumber</t>
  </si>
  <si>
    <t>McEnerry</t>
  </si>
  <si>
    <t>30 North Lark</t>
  </si>
  <si>
    <t>261 Orange</t>
  </si>
  <si>
    <t>February 23, 1881</t>
  </si>
  <si>
    <t>20 South</t>
  </si>
  <si>
    <t>McGowan</t>
  </si>
  <si>
    <t>53 Van Woert</t>
  </si>
  <si>
    <t>February 27, 1881</t>
  </si>
  <si>
    <t>Thomas F.</t>
  </si>
  <si>
    <t>Chapel &amp; Orange</t>
  </si>
  <si>
    <t>removed 6/19/1911 to Catharine McCall  Lot 161 Sec 17</t>
  </si>
  <si>
    <t>182 Swan St.</t>
  </si>
  <si>
    <t>Delia</t>
  </si>
  <si>
    <t>120  Colonie</t>
  </si>
  <si>
    <t>116 Hamilton</t>
  </si>
  <si>
    <t>McNaughton</t>
  </si>
  <si>
    <t>April 4, 1881</t>
  </si>
  <si>
    <t>10 Rhode St.</t>
  </si>
  <si>
    <t>McAdams</t>
  </si>
  <si>
    <t>December 24, 1881</t>
  </si>
  <si>
    <t>54 Rensselaer</t>
  </si>
  <si>
    <t>Mason, John</t>
  </si>
  <si>
    <t>59 Dallius</t>
  </si>
  <si>
    <t>6 Dallius</t>
  </si>
  <si>
    <t>19 Catherine</t>
  </si>
  <si>
    <t>October 14, 1882</t>
  </si>
  <si>
    <t>21 Philip</t>
  </si>
  <si>
    <t>Fever &amp; Debility</t>
  </si>
  <si>
    <t>October 20, 1882</t>
  </si>
  <si>
    <t>Meade</t>
  </si>
  <si>
    <t>41 Washington</t>
  </si>
  <si>
    <t>R.R. Accident</t>
  </si>
  <si>
    <t>October 21, 1882</t>
  </si>
  <si>
    <t>October 23, 1882</t>
  </si>
  <si>
    <t>St. Vincent's Hospital New York</t>
  </si>
  <si>
    <t>November 15, 1882</t>
  </si>
  <si>
    <t>124 Philip</t>
  </si>
  <si>
    <t>302 Second</t>
  </si>
  <si>
    <t>December 12, 1882</t>
  </si>
  <si>
    <t>17 Colonie</t>
  </si>
  <si>
    <t>63 Myrtle Ave.</t>
  </si>
  <si>
    <t>McAlier</t>
  </si>
  <si>
    <t>Helena</t>
  </si>
  <si>
    <t>377 North Pearl</t>
  </si>
  <si>
    <t>Harriet</t>
  </si>
  <si>
    <t>United States</t>
  </si>
  <si>
    <t>Albany 12/9/1882</t>
  </si>
  <si>
    <t>922 Broadway</t>
  </si>
  <si>
    <t>December 11, 1882</t>
  </si>
  <si>
    <t>McConnon</t>
  </si>
  <si>
    <t>Maria C.</t>
  </si>
  <si>
    <t>53 Charles</t>
  </si>
  <si>
    <t>December 17, 1882</t>
  </si>
  <si>
    <t>19 Rensselaer</t>
  </si>
  <si>
    <t>December 18, 1882</t>
  </si>
  <si>
    <t>N-01</t>
  </si>
  <si>
    <t>Nolan</t>
  </si>
  <si>
    <t>December 29, 1867</t>
  </si>
  <si>
    <t>July 30, 1868</t>
  </si>
  <si>
    <t>August 1834</t>
  </si>
  <si>
    <t>White Swelling</t>
  </si>
  <si>
    <t>Neelan</t>
  </si>
  <si>
    <t>Norris</t>
  </si>
  <si>
    <t>July 8, 1869</t>
  </si>
  <si>
    <t>July 10, 1869</t>
  </si>
  <si>
    <t>Neeson</t>
  </si>
  <si>
    <t>September 1870</t>
  </si>
  <si>
    <t>Neville</t>
  </si>
  <si>
    <t>Maud A.</t>
  </si>
  <si>
    <t>April 29, 1871</t>
  </si>
  <si>
    <t>Noonan</t>
  </si>
  <si>
    <t>December 13, 1870</t>
  </si>
  <si>
    <t>January 22, 1852</t>
  </si>
  <si>
    <t>Isaac</t>
  </si>
  <si>
    <t>March 7, 1860</t>
  </si>
  <si>
    <t>August 15, 1841</t>
  </si>
  <si>
    <t>September 16, 1846</t>
  </si>
  <si>
    <t>June 30, 1871</t>
  </si>
  <si>
    <t>Newman</t>
  </si>
  <si>
    <t>July 17, 1872</t>
  </si>
  <si>
    <t>146 Canal</t>
  </si>
  <si>
    <t>July 25, 1872</t>
  </si>
  <si>
    <t>Newlan</t>
  </si>
  <si>
    <t>August 12, 1852</t>
  </si>
  <si>
    <t>122 Hamilton</t>
  </si>
  <si>
    <t>June 18, 1872</t>
  </si>
  <si>
    <t>May 26, 1843</t>
  </si>
  <si>
    <t>February 21, 1872</t>
  </si>
  <si>
    <t>Nash</t>
  </si>
  <si>
    <t>37 Van ?</t>
  </si>
  <si>
    <t>June 5, 1873</t>
  </si>
  <si>
    <t>Nalley</t>
  </si>
  <si>
    <t>August 18, 1873</t>
  </si>
  <si>
    <t>18 -2nd</t>
  </si>
  <si>
    <t>180 Clinton Ave</t>
  </si>
  <si>
    <t>August 27, 1873</t>
  </si>
  <si>
    <t>Nora A.</t>
  </si>
  <si>
    <t>October 5, 1873</t>
  </si>
  <si>
    <t>38 Steuben</t>
  </si>
  <si>
    <t>July 16, 1868</t>
  </si>
  <si>
    <t>January 1, 1850</t>
  </si>
  <si>
    <t>Nervous Debility</t>
  </si>
  <si>
    <t>April 20, 1855</t>
  </si>
  <si>
    <t>Infant lungs</t>
  </si>
  <si>
    <t>James K.</t>
  </si>
  <si>
    <t>July 1, 1850</t>
  </si>
  <si>
    <t>October 7, 1854</t>
  </si>
  <si>
    <t>2 hrs</t>
  </si>
  <si>
    <t>Netigan</t>
  </si>
  <si>
    <t>Theobald M.</t>
  </si>
  <si>
    <t>May 13, 1874</t>
  </si>
  <si>
    <t>37 S. Ferry</t>
  </si>
  <si>
    <t>Chronic Diarrhea</t>
  </si>
  <si>
    <t>51 Colonie St.</t>
  </si>
  <si>
    <t>November 25, 1874</t>
  </si>
  <si>
    <t>James C.</t>
  </si>
  <si>
    <t>August 2, 1874</t>
  </si>
  <si>
    <t>82 First St.</t>
  </si>
  <si>
    <t>Inflamed Bowels</t>
  </si>
  <si>
    <t>August 5, 1874</t>
  </si>
  <si>
    <t>February 23, 1875</t>
  </si>
  <si>
    <t>February 4, 1875</t>
  </si>
  <si>
    <t>Norton</t>
  </si>
  <si>
    <t>Susie</t>
  </si>
  <si>
    <t>April 1873</t>
  </si>
  <si>
    <t>_</t>
  </si>
  <si>
    <t>November 1873</t>
  </si>
  <si>
    <t>July 22, 1875</t>
  </si>
  <si>
    <t>Abscess on Breast</t>
  </si>
  <si>
    <t>Nugent</t>
  </si>
  <si>
    <t>Ioly 25?</t>
  </si>
  <si>
    <t>August 22, 1870</t>
  </si>
  <si>
    <t>52 Park Ave.</t>
  </si>
  <si>
    <t>Cecilia T.</t>
  </si>
  <si>
    <t>55 Lawrence St.</t>
  </si>
  <si>
    <t>N-02</t>
  </si>
  <si>
    <t>175 Eagle St.</t>
  </si>
  <si>
    <t>May 6, 1877</t>
  </si>
  <si>
    <t>May 8, 1877</t>
  </si>
  <si>
    <t>F. Angelo</t>
  </si>
  <si>
    <t>Centre St. Albany</t>
  </si>
  <si>
    <t>November 15, 1877</t>
  </si>
  <si>
    <t>January 12, 1878</t>
  </si>
  <si>
    <t>591 Greenwich St. NY</t>
  </si>
  <si>
    <t xml:space="preserve">50 Mohawk St.  </t>
  </si>
  <si>
    <t>46 Rensselaer St.</t>
  </si>
  <si>
    <t>St. Peter's Hospital</t>
  </si>
  <si>
    <t>222 Second St.</t>
  </si>
  <si>
    <t>June 25, 1879</t>
  </si>
  <si>
    <t>Removed October 29, 1910 to McLaughlin &amp; Nugent  Lot 397 Sec 7</t>
  </si>
  <si>
    <t xml:space="preserve">West Albany </t>
  </si>
  <si>
    <t>50 Mohawk St. W.Albany</t>
  </si>
  <si>
    <t>September 6, 1879</t>
  </si>
  <si>
    <t>Nelligar</t>
  </si>
  <si>
    <t>34 Grand St.</t>
  </si>
  <si>
    <t>Debility &amp; Old Age</t>
  </si>
  <si>
    <t>October 8, 1880</t>
  </si>
  <si>
    <t>October 10, 1880</t>
  </si>
  <si>
    <t>Neligar</t>
  </si>
  <si>
    <t>February 22, 1881</t>
  </si>
  <si>
    <t>34 Grand</t>
  </si>
  <si>
    <t>May 2, 1881</t>
  </si>
  <si>
    <t>28 Eagle</t>
  </si>
  <si>
    <t>May 4, 1881</t>
  </si>
  <si>
    <t>102 VanWoert</t>
  </si>
  <si>
    <t>Rutland, VT</t>
  </si>
  <si>
    <t>78 King</t>
  </si>
  <si>
    <t>April 12, 1882</t>
  </si>
  <si>
    <t>26 N. Swan</t>
  </si>
  <si>
    <t>Kittie</t>
  </si>
  <si>
    <t>55 ½ Colonie</t>
  </si>
  <si>
    <t>New</t>
  </si>
  <si>
    <t>NY State</t>
  </si>
  <si>
    <t>236 E. 61 St.</t>
  </si>
  <si>
    <t>O-01</t>
  </si>
  <si>
    <t>O'Connell</t>
  </si>
  <si>
    <t>October 4, 1868</t>
  </si>
  <si>
    <t xml:space="preserve">Ellen Jane </t>
  </si>
  <si>
    <t>O'Haire</t>
  </si>
  <si>
    <t>Dyspepsia</t>
  </si>
  <si>
    <t>May 30, 1869</t>
  </si>
  <si>
    <t>O'Neil</t>
  </si>
  <si>
    <t>Harry</t>
  </si>
  <si>
    <t>December 8, 1868</t>
  </si>
  <si>
    <t>June 19, 1869</t>
  </si>
  <si>
    <t>September 22, 1869</t>
  </si>
  <si>
    <t>Owens</t>
  </si>
  <si>
    <t>Maggie E.</t>
  </si>
  <si>
    <t xml:space="preserve">Green Point </t>
  </si>
  <si>
    <t>Green Point</t>
  </si>
  <si>
    <t>O'Brien</t>
  </si>
  <si>
    <t>O'Reilly</t>
  </si>
  <si>
    <t>O'Bryan</t>
  </si>
  <si>
    <t>O'Sullivan</t>
  </si>
  <si>
    <t>October 26, 1866</t>
  </si>
  <si>
    <t>232 Green St. Albany</t>
  </si>
  <si>
    <t>October 28, 1870</t>
  </si>
  <si>
    <t>March 7, 1864</t>
  </si>
  <si>
    <t>O'Shea</t>
  </si>
  <si>
    <t>November 10, 1870</t>
  </si>
  <si>
    <t>September 13, 1870</t>
  </si>
  <si>
    <t>O'Reiley</t>
  </si>
  <si>
    <t>May 21, 1871</t>
  </si>
  <si>
    <t>O'Byrne</t>
  </si>
  <si>
    <t>Hugh J.</t>
  </si>
  <si>
    <t>38 Orange St.</t>
  </si>
  <si>
    <t>Chol. Inf.</t>
  </si>
  <si>
    <t>July 9, 1871</t>
  </si>
  <si>
    <t>George F.</t>
  </si>
  <si>
    <t>June 15, 1866</t>
  </si>
  <si>
    <t>254 Green St.</t>
  </si>
  <si>
    <t>March 25, 1874</t>
  </si>
  <si>
    <t>139 Canal St.</t>
  </si>
  <si>
    <t>O'Keefe</t>
  </si>
  <si>
    <t>57 N Lansing St.</t>
  </si>
  <si>
    <t>May 12, 1874</t>
  </si>
  <si>
    <t>79 Cherry St.</t>
  </si>
  <si>
    <t>May 16, 1874</t>
  </si>
  <si>
    <t>O'Hagan</t>
  </si>
  <si>
    <t>March 21, 1874</t>
  </si>
  <si>
    <t>162 Second St</t>
  </si>
  <si>
    <t>O-02</t>
  </si>
  <si>
    <t>Daniel G.</t>
  </si>
  <si>
    <t>Augustine</t>
  </si>
  <si>
    <t>May 2, 1875</t>
  </si>
  <si>
    <t>Middle St.</t>
  </si>
  <si>
    <t>May 3, 1875</t>
  </si>
  <si>
    <t>June 16, 1875</t>
  </si>
  <si>
    <t>30 Myrtle Ave.</t>
  </si>
  <si>
    <t>June 18, 1875</t>
  </si>
  <si>
    <t>Gereome Peter</t>
  </si>
  <si>
    <t>July 19, 1875</t>
  </si>
  <si>
    <t>Chol Infarcture</t>
  </si>
  <si>
    <t>Monroe St.</t>
  </si>
  <si>
    <t>Broadway Cor Bleecker</t>
  </si>
  <si>
    <t>October 21, 1875</t>
  </si>
  <si>
    <t>246 Orange St.</t>
  </si>
  <si>
    <t>Erusipelas</t>
  </si>
  <si>
    <t>Capidy (Cassidy?)</t>
  </si>
  <si>
    <t>40 S. Lansing, Albany NY</t>
  </si>
  <si>
    <t>Canaughton</t>
  </si>
  <si>
    <t>Connaugten</t>
  </si>
  <si>
    <t>June 21, 1871</t>
  </si>
  <si>
    <t>Port Schuyler Albany Co.</t>
  </si>
  <si>
    <t>July 10, 1871</t>
  </si>
  <si>
    <t>July 11, 1871</t>
  </si>
  <si>
    <t xml:space="preserve">Catharine  </t>
  </si>
  <si>
    <t>April 12, 1861</t>
  </si>
  <si>
    <t>49 3rd St. Albany</t>
  </si>
  <si>
    <t>Disease of Heart</t>
  </si>
  <si>
    <t>July 12, 1871</t>
  </si>
  <si>
    <t>Conlan</t>
  </si>
  <si>
    <t>43 Morton St.</t>
  </si>
  <si>
    <t>July 21, 1871</t>
  </si>
  <si>
    <t>Cunningham</t>
  </si>
  <si>
    <t>Anni E.</t>
  </si>
  <si>
    <t>Killed by cars</t>
  </si>
  <si>
    <t>October 4, 1881</t>
  </si>
  <si>
    <t>Troy, N.Y.</t>
  </si>
  <si>
    <t>13 S. Swan</t>
  </si>
  <si>
    <t>October  28, 1881</t>
  </si>
  <si>
    <t>Douglas</t>
  </si>
  <si>
    <t>20 Madison Ave.</t>
  </si>
  <si>
    <t>November 3, 1881</t>
  </si>
  <si>
    <t>November 14, 1882</t>
  </si>
  <si>
    <t>November 16, 1881</t>
  </si>
  <si>
    <t>November 27, 1883</t>
  </si>
  <si>
    <t>26 Perry</t>
  </si>
  <si>
    <t>November 29, 1881</t>
  </si>
  <si>
    <t>December 9, 1881</t>
  </si>
  <si>
    <t>66 Park Ave.</t>
  </si>
  <si>
    <t>Malaria</t>
  </si>
  <si>
    <t>December 11, 1881</t>
  </si>
  <si>
    <t>December 25, 1881</t>
  </si>
  <si>
    <t>55 Colonie St.</t>
  </si>
  <si>
    <t>December 27, 1881</t>
  </si>
  <si>
    <t>January 14, 1882</t>
  </si>
  <si>
    <t>January 16, 1882</t>
  </si>
  <si>
    <t>Donworth</t>
  </si>
  <si>
    <t>70 Schuyler</t>
  </si>
  <si>
    <t>February 6, 1882</t>
  </si>
  <si>
    <t>February 9, 1882</t>
  </si>
  <si>
    <t>328 Albany NY Road</t>
  </si>
  <si>
    <t>February 12, 1882</t>
  </si>
  <si>
    <t>Dooner</t>
  </si>
  <si>
    <t xml:space="preserve">N.Y. </t>
  </si>
  <si>
    <t>February 11, 1882</t>
  </si>
  <si>
    <t>March 11, 1882</t>
  </si>
  <si>
    <t>174 Green</t>
  </si>
  <si>
    <t>March 12, 1882</t>
  </si>
  <si>
    <t>March 15, 1882</t>
  </si>
  <si>
    <t>154 Church</t>
  </si>
  <si>
    <t>March 17, 1882</t>
  </si>
  <si>
    <t>118 Church</t>
  </si>
  <si>
    <t>Droogan</t>
  </si>
  <si>
    <t>March 19, 1882</t>
  </si>
  <si>
    <t>58 Myrtle Ave.</t>
  </si>
  <si>
    <t>March 20, 1882</t>
  </si>
  <si>
    <t>Duggan</t>
  </si>
  <si>
    <t>March 24, 1882</t>
  </si>
  <si>
    <t>245 S. Pearl</t>
  </si>
  <si>
    <t>March 26, 1882</t>
  </si>
  <si>
    <t>April 23, 1882</t>
  </si>
  <si>
    <t>159 Canal</t>
  </si>
  <si>
    <t>April 25, 1882</t>
  </si>
  <si>
    <t>April 22, 1882</t>
  </si>
  <si>
    <t>116 Ten Broeck</t>
  </si>
  <si>
    <t>Apoplexy</t>
  </si>
  <si>
    <t xml:space="preserve"> Daniel</t>
  </si>
  <si>
    <t>April 27, 1882</t>
  </si>
  <si>
    <t>16 S. Ferry St.</t>
  </si>
  <si>
    <t>88 Myrtle Ave.</t>
  </si>
  <si>
    <t>143 Chestnut</t>
  </si>
  <si>
    <t>8 hrs.</t>
  </si>
  <si>
    <t>October 31, 1873</t>
  </si>
  <si>
    <t>33 Liberty</t>
  </si>
  <si>
    <t>November 30, 1873</t>
  </si>
  <si>
    <t>821 Broadway</t>
  </si>
  <si>
    <t>September 7, 1873</t>
  </si>
  <si>
    <t>October 28, 1873</t>
  </si>
  <si>
    <t>Albany NY Ave.</t>
  </si>
  <si>
    <t>Ritchner</t>
  </si>
  <si>
    <t>November 29, 1873</t>
  </si>
  <si>
    <t>255 S. Pearl</t>
  </si>
  <si>
    <t>December 01, 1873</t>
  </si>
  <si>
    <t>Rooney</t>
  </si>
  <si>
    <t>March 1868</t>
  </si>
  <si>
    <t>Colonie</t>
  </si>
  <si>
    <t>October 05, 1873</t>
  </si>
  <si>
    <t>Rull</t>
  </si>
  <si>
    <t>Sarah A.</t>
  </si>
  <si>
    <t>July 24, 1873</t>
  </si>
  <si>
    <t>14 Delaware Ave</t>
  </si>
  <si>
    <t>July 26, 1873</t>
  </si>
  <si>
    <t>42 N. Lansing St.</t>
  </si>
  <si>
    <t>February 15, 1874</t>
  </si>
  <si>
    <t>14 Dallius St</t>
  </si>
  <si>
    <t>June 09, 1874</t>
  </si>
  <si>
    <t>June 27, 1874</t>
  </si>
  <si>
    <t>December 07, 1874</t>
  </si>
  <si>
    <t>December 09, 1874</t>
  </si>
  <si>
    <t>Richardson</t>
  </si>
  <si>
    <t>November 10, 1874</t>
  </si>
  <si>
    <t>255 S. Pearl St.</t>
  </si>
  <si>
    <t>November 12, 1874</t>
  </si>
  <si>
    <t>Reynolds</t>
  </si>
  <si>
    <t>October 15, 1866</t>
  </si>
  <si>
    <t>Stephen R.</t>
  </si>
  <si>
    <t>August 12, 1861</t>
  </si>
  <si>
    <t>Hudson St</t>
  </si>
  <si>
    <t>Cholera Infant</t>
  </si>
  <si>
    <t>Rhatigan</t>
  </si>
  <si>
    <t>August 13, 1861</t>
  </si>
  <si>
    <t>401 Pearl St</t>
  </si>
  <si>
    <t>August 16, 1874</t>
  </si>
  <si>
    <t>Sylvester</t>
  </si>
  <si>
    <t>August 31, 1874</t>
  </si>
  <si>
    <t>Madison cor Willet</t>
  </si>
  <si>
    <t>August 02, 1874</t>
  </si>
  <si>
    <t>543 Central Ave.</t>
  </si>
  <si>
    <t>6 Dewitt St.</t>
  </si>
  <si>
    <t>Roe</t>
  </si>
  <si>
    <t>December 04, 1874</t>
  </si>
  <si>
    <t>December 06, 1874</t>
  </si>
  <si>
    <t>67 Lansing St</t>
  </si>
  <si>
    <t>April 23, 1875</t>
  </si>
  <si>
    <t>Reed</t>
  </si>
  <si>
    <t>Amy</t>
  </si>
  <si>
    <t>February 13, 1875</t>
  </si>
  <si>
    <t>64 Montgomery St</t>
  </si>
  <si>
    <t>May 19, 1875</t>
  </si>
  <si>
    <t>Richford</t>
  </si>
  <si>
    <t>Infantile</t>
  </si>
  <si>
    <t>142 Green St.</t>
  </si>
  <si>
    <t>March 11, 1875</t>
  </si>
  <si>
    <t>49 Broad St.</t>
  </si>
  <si>
    <t>March 14, 1875</t>
  </si>
  <si>
    <t>437 S. Pearl St.</t>
  </si>
  <si>
    <t>Albany Ave.</t>
  </si>
  <si>
    <t>Melancholia</t>
  </si>
  <si>
    <t>Nov 1861</t>
  </si>
  <si>
    <t>Rennselaer St</t>
  </si>
  <si>
    <t>Ship Fever</t>
  </si>
  <si>
    <t>80 Park Ave</t>
  </si>
  <si>
    <t>404 S. Pearl St</t>
  </si>
  <si>
    <t>August 29, 1880</t>
  </si>
  <si>
    <t>Dowling</t>
  </si>
  <si>
    <t>September 4, 1880</t>
  </si>
  <si>
    <t>273 Orange St</t>
  </si>
  <si>
    <t>Inflamation of bowel</t>
  </si>
  <si>
    <t>October 6, 1880</t>
  </si>
  <si>
    <t>99 Orange St</t>
  </si>
  <si>
    <t>October 9, 1880</t>
  </si>
  <si>
    <t>Bath NY</t>
  </si>
  <si>
    <t>Bath on Hudson</t>
  </si>
  <si>
    <t>November 6, 1880</t>
  </si>
  <si>
    <t>Dolan</t>
  </si>
  <si>
    <t>December 11, 1880</t>
  </si>
  <si>
    <t>29 Plum</t>
  </si>
  <si>
    <t>December 13, 1880</t>
  </si>
  <si>
    <t>December 25, 1880</t>
  </si>
  <si>
    <t>September 26</t>
  </si>
  <si>
    <t>Lawrence St</t>
  </si>
  <si>
    <t>Liver</t>
  </si>
  <si>
    <t>October 1, 1876</t>
  </si>
  <si>
    <t>Little Falls, Hu Co.</t>
  </si>
  <si>
    <t>West Troy 129 Boston St</t>
  </si>
  <si>
    <t>November 2, 1872</t>
  </si>
  <si>
    <t>197 Clinton Ave</t>
  </si>
  <si>
    <t>November 20, 1872</t>
  </si>
  <si>
    <t>November 27, 1872</t>
  </si>
  <si>
    <t>May 10, 1859</t>
  </si>
  <si>
    <t>June 10, 1861</t>
  </si>
  <si>
    <t>January 5, 1881</t>
  </si>
  <si>
    <t>14 S Ferry St</t>
  </si>
  <si>
    <t>January 8, 1881</t>
  </si>
  <si>
    <t>January 11, 1881</t>
  </si>
  <si>
    <t>155 Albany NY St</t>
  </si>
  <si>
    <t>January 12, 1881</t>
  </si>
  <si>
    <t>S. Albany NY St</t>
  </si>
  <si>
    <t>January 15, 1881</t>
  </si>
  <si>
    <t>37 Lark St</t>
  </si>
  <si>
    <t>January 31, 1881</t>
  </si>
  <si>
    <t>February 1, 1881</t>
  </si>
  <si>
    <t xml:space="preserve">19 Broad </t>
  </si>
  <si>
    <t>February 3, 1881</t>
  </si>
  <si>
    <t>6 Maiden Lane</t>
  </si>
  <si>
    <t>6 Chestnut</t>
  </si>
  <si>
    <t>February 25, 1881</t>
  </si>
  <si>
    <t>February 28, 1881</t>
  </si>
  <si>
    <t>65 Colonie</t>
  </si>
  <si>
    <t>Bennington VT</t>
  </si>
  <si>
    <t>Albany NY 151 Broadway</t>
  </si>
  <si>
    <t>Injuries from War</t>
  </si>
  <si>
    <t>Date of death obtained from alternate source.</t>
  </si>
  <si>
    <t>October 15, 1862</t>
  </si>
  <si>
    <t>In the war.  Date of death and place of death obtained from alternate source.</t>
  </si>
  <si>
    <t xml:space="preserve"> May 15, 1873</t>
  </si>
  <si>
    <t>Year of death obtained from alternate source.</t>
  </si>
  <si>
    <t>62 Clinton Avenue</t>
  </si>
  <si>
    <t>December 23, 1863</t>
  </si>
  <si>
    <t>Co. Madison Ave &amp; Fulton Albany NY</t>
  </si>
  <si>
    <t>70 Lawrence St.</t>
  </si>
  <si>
    <t>December 25, 1866</t>
  </si>
  <si>
    <t>John Carmel</t>
  </si>
  <si>
    <t>September 10, 1861</t>
  </si>
  <si>
    <t>Day of death obtained from alternate source</t>
  </si>
  <si>
    <t>September 23, 1838</t>
  </si>
  <si>
    <t>James Monroe</t>
  </si>
  <si>
    <t>Jacques</t>
  </si>
  <si>
    <t>Beaver Corner Green</t>
  </si>
  <si>
    <t>Corner Albany &amp; Broadway</t>
  </si>
  <si>
    <t>August 25, 1869</t>
  </si>
  <si>
    <t>July 13, 1832</t>
  </si>
  <si>
    <t>July 17, 1874</t>
  </si>
  <si>
    <t>17 Albany NY Str, North Albany NY</t>
  </si>
  <si>
    <t>July 19, 1874</t>
  </si>
  <si>
    <t>Half Way House, Troy Road</t>
  </si>
  <si>
    <t>February 18, 1875</t>
  </si>
  <si>
    <t>February 21, 1875</t>
  </si>
  <si>
    <t>D-03</t>
  </si>
  <si>
    <t>October 1851</t>
  </si>
  <si>
    <t>Water Street</t>
  </si>
  <si>
    <t>After Confinement</t>
  </si>
  <si>
    <t>May 20, 1875</t>
  </si>
  <si>
    <t>April 16, 1875</t>
  </si>
  <si>
    <t>April 18, 1875</t>
  </si>
  <si>
    <t>Dargin</t>
  </si>
  <si>
    <t>September 25, 1875</t>
  </si>
  <si>
    <t>N Pearl St.</t>
  </si>
  <si>
    <t>Decent</t>
  </si>
  <si>
    <t>April 30, 1882</t>
  </si>
  <si>
    <t>May 31, 1882</t>
  </si>
  <si>
    <t>19 Mulberry</t>
  </si>
  <si>
    <t>June 2, 1882</t>
  </si>
  <si>
    <t>Dougherty</t>
  </si>
  <si>
    <t>June 22, 1882</t>
  </si>
  <si>
    <t>91 Cherry</t>
  </si>
  <si>
    <t>June 25, 1882</t>
  </si>
  <si>
    <t>July 28, 1882</t>
  </si>
  <si>
    <t>107 Livingston</t>
  </si>
  <si>
    <t>152 Clinton Ave.</t>
  </si>
  <si>
    <t>July 31, 1882</t>
  </si>
  <si>
    <t>August 7, 1882</t>
  </si>
  <si>
    <t>53 Bassett</t>
  </si>
  <si>
    <t>August 9, 1882</t>
  </si>
  <si>
    <t>August 23, 1882</t>
  </si>
  <si>
    <t>85 Lawrence</t>
  </si>
  <si>
    <t>38 Cherry</t>
  </si>
  <si>
    <t>August 28, 1882</t>
  </si>
  <si>
    <t>Desmond</t>
  </si>
  <si>
    <t>September 2, 1882</t>
  </si>
  <si>
    <t>63 Lawrence</t>
  </si>
  <si>
    <t>September 3, 1882</t>
  </si>
  <si>
    <t>Dinneen</t>
  </si>
  <si>
    <t>September 5, 1882</t>
  </si>
  <si>
    <t>177 S. Swan</t>
  </si>
  <si>
    <t>September 16, 1882</t>
  </si>
  <si>
    <t>October 31, 1882</t>
  </si>
  <si>
    <t>404 S. Pearl</t>
  </si>
  <si>
    <t>November 3, 1882</t>
  </si>
  <si>
    <t>Danaher</t>
  </si>
  <si>
    <t>November 19, 1882</t>
  </si>
  <si>
    <t>49 Spring</t>
  </si>
  <si>
    <t>November 22, 1882</t>
  </si>
  <si>
    <t>December 4, 1882</t>
  </si>
  <si>
    <t>159 First St.</t>
  </si>
  <si>
    <t>Derrigan</t>
  </si>
  <si>
    <t>December 14, 1882</t>
  </si>
  <si>
    <t>1090 Broadway</t>
  </si>
  <si>
    <t>December 21, 1882</t>
  </si>
  <si>
    <t>3 Elizabeth</t>
  </si>
  <si>
    <t>E-01</t>
  </si>
  <si>
    <t>Walter St. North Albany</t>
  </si>
  <si>
    <t>Callahan</t>
  </si>
  <si>
    <t>March 13, 1878</t>
  </si>
  <si>
    <t>1 Rensselaer St</t>
  </si>
  <si>
    <t>March 17, 1878</t>
  </si>
  <si>
    <t>March 1, 1878</t>
  </si>
  <si>
    <t>Anne</t>
  </si>
  <si>
    <t>April 7, 1878</t>
  </si>
  <si>
    <t>187 Remsen St.</t>
  </si>
  <si>
    <t>Gen. Debility</t>
  </si>
  <si>
    <t>April 9, 1878</t>
  </si>
  <si>
    <t>Cutler</t>
  </si>
  <si>
    <t>May 4, 1878</t>
  </si>
  <si>
    <t>23 Chapel St.</t>
  </si>
  <si>
    <t>May 6, 1878</t>
  </si>
  <si>
    <t>Curley</t>
  </si>
  <si>
    <t>17 Mulberry St.</t>
  </si>
  <si>
    <t>Chickering</t>
  </si>
  <si>
    <t>May 17, 1879</t>
  </si>
  <si>
    <t>14 Catherine St.</t>
  </si>
  <si>
    <t>May 20, 1879</t>
  </si>
  <si>
    <t>Henrietta</t>
  </si>
  <si>
    <t>June 12, 1879</t>
  </si>
  <si>
    <t>68 Dove St.</t>
  </si>
  <si>
    <t>June 16, 1879</t>
  </si>
  <si>
    <t>June 30, 1879</t>
  </si>
  <si>
    <t>131 Canal St.</t>
  </si>
  <si>
    <t>July 2, 1879</t>
  </si>
  <si>
    <t>Cavanagh</t>
  </si>
  <si>
    <t>July 7, 1878</t>
  </si>
  <si>
    <t>5 Hawk</t>
  </si>
  <si>
    <t>July 9, 1879</t>
  </si>
  <si>
    <t>Catskill</t>
  </si>
  <si>
    <t>July 5, 1879</t>
  </si>
  <si>
    <t>C-07</t>
  </si>
  <si>
    <t xml:space="preserve"> July 28, 1879</t>
  </si>
  <si>
    <t>120 Dallius St.</t>
  </si>
  <si>
    <t>July 30, 1879</t>
  </si>
  <si>
    <t>Curdy</t>
  </si>
  <si>
    <t xml:space="preserve"> August 5, 1879</t>
  </si>
  <si>
    <t xml:space="preserve">56 Benjamin St. </t>
  </si>
  <si>
    <t>August 7, 1879</t>
  </si>
  <si>
    <t xml:space="preserve"> August 17, 1879</t>
  </si>
  <si>
    <t>15 Rose St.</t>
  </si>
  <si>
    <t>August 14, 1879</t>
  </si>
  <si>
    <t xml:space="preserve">Chicago, IL </t>
  </si>
  <si>
    <t xml:space="preserve"> ??, ??, ????</t>
  </si>
  <si>
    <t>Chicago</t>
  </si>
  <si>
    <t>January 18, 1879</t>
  </si>
  <si>
    <t xml:space="preserve"> December 31, 1878</t>
  </si>
  <si>
    <t>206 Orange St.</t>
  </si>
  <si>
    <t>January 2, 1879</t>
  </si>
  <si>
    <t xml:space="preserve">  January 29, 1879</t>
  </si>
  <si>
    <t>20 Bleecker St.</t>
  </si>
  <si>
    <t xml:space="preserve">N. Albany </t>
  </si>
  <si>
    <t xml:space="preserve"> February 2, 1879</t>
  </si>
  <si>
    <t>14 Water St., North Albany</t>
  </si>
  <si>
    <t>February 4, 1879</t>
  </si>
  <si>
    <t>February 10, 1879</t>
  </si>
  <si>
    <t>103 Hudson Ave.</t>
  </si>
  <si>
    <t>February 12, 1879</t>
  </si>
  <si>
    <t>Ten Broeck St.</t>
  </si>
  <si>
    <t>February 26, 1879</t>
  </si>
  <si>
    <t xml:space="preserve">Green Island </t>
  </si>
  <si>
    <t>March 2, 1879</t>
  </si>
  <si>
    <t>27 Hudson Ave.</t>
  </si>
  <si>
    <t>March 4, 1879</t>
  </si>
  <si>
    <t>Krauk</t>
  </si>
  <si>
    <t>March 16, 1879</t>
  </si>
  <si>
    <t>Craig</t>
  </si>
  <si>
    <t>March 30, 1879</t>
  </si>
  <si>
    <t>149 Lumber St.</t>
  </si>
  <si>
    <t>March 23, 1879</t>
  </si>
  <si>
    <t>April 14, 1879</t>
  </si>
  <si>
    <t>8 Madison Ave.</t>
  </si>
  <si>
    <t>April 15, 1879</t>
  </si>
  <si>
    <t>Crone</t>
  </si>
  <si>
    <t>Removed from St. John's Cemetery</t>
  </si>
  <si>
    <t>22 Westerlo St.</t>
  </si>
  <si>
    <t>May 26, 1878</t>
  </si>
  <si>
    <t>Belfast, Ireland</t>
  </si>
  <si>
    <t>May 31, 1878</t>
  </si>
  <si>
    <t>44 Broad St.</t>
  </si>
  <si>
    <t xml:space="preserve"> ??, ??, 1876</t>
  </si>
  <si>
    <t>Removed from St John's</t>
  </si>
  <si>
    <t>Cemetery</t>
  </si>
  <si>
    <t>June 15, 1878</t>
  </si>
  <si>
    <t xml:space="preserve"> Sarah</t>
  </si>
  <si>
    <t>??, ??, ????</t>
  </si>
  <si>
    <t>Carroll Children</t>
  </si>
  <si>
    <t>89 First St.</t>
  </si>
  <si>
    <t>July 8, 1878</t>
  </si>
  <si>
    <t xml:space="preserve"> July 11, 1878</t>
  </si>
  <si>
    <t>42 Franklin St.</t>
  </si>
  <si>
    <t>Sun Stroke</t>
  </si>
  <si>
    <t>July 11, 1878</t>
  </si>
  <si>
    <t xml:space="preserve"> July 13, 1878</t>
  </si>
  <si>
    <t>67 1/2 Ohio St. WestTroy</t>
  </si>
  <si>
    <t>July 14, 1878</t>
  </si>
  <si>
    <t xml:space="preserve"> Patrick</t>
  </si>
  <si>
    <t xml:space="preserve"> July 12, 1878</t>
  </si>
  <si>
    <t>139 Grand St.</t>
  </si>
  <si>
    <t>July 13, 1878</t>
  </si>
  <si>
    <t>Coffee</t>
  </si>
  <si>
    <t xml:space="preserve"> Ann</t>
  </si>
  <si>
    <t>83 North Lark St.</t>
  </si>
  <si>
    <t>July 15, 1878</t>
  </si>
  <si>
    <t>July 25, 1878</t>
  </si>
  <si>
    <t>Spring &amp; High</t>
  </si>
  <si>
    <t>July 2July 1878</t>
  </si>
  <si>
    <t xml:space="preserve"> ??, ??, 1874</t>
  </si>
  <si>
    <t>Lumber St. Albany</t>
  </si>
  <si>
    <t>Carton</t>
  </si>
  <si>
    <t xml:space="preserve">City Hospital </t>
  </si>
  <si>
    <t>Pulmonary</t>
  </si>
  <si>
    <t>July 29, 1878</t>
  </si>
  <si>
    <t xml:space="preserve"> August 21, 1878</t>
  </si>
  <si>
    <t>31 Albany St., Albany</t>
  </si>
  <si>
    <t>August 23, 1878</t>
  </si>
  <si>
    <t xml:space="preserve"> September 9, 1878</t>
  </si>
  <si>
    <t>September 11, 1878</t>
  </si>
  <si>
    <t>Callon</t>
  </si>
  <si>
    <t xml:space="preserve"> September 13, 1878</t>
  </si>
  <si>
    <t>67 North Lansing St.</t>
  </si>
  <si>
    <t>September 15, 1878</t>
  </si>
  <si>
    <t xml:space="preserve"> September27, 1878</t>
  </si>
  <si>
    <t>Salem St. West Troy</t>
  </si>
  <si>
    <t>September 29, 1878</t>
  </si>
  <si>
    <t>October 2, 1878</t>
  </si>
  <si>
    <t>71 Grand St.</t>
  </si>
  <si>
    <t xml:space="preserve"> November 10, 1878</t>
  </si>
  <si>
    <t>319 State St.</t>
  </si>
  <si>
    <t>November 12, 1878</t>
  </si>
  <si>
    <t xml:space="preserve"> November 17, 1878</t>
  </si>
  <si>
    <t>193 Hudson Ave.</t>
  </si>
  <si>
    <t>November 18, 1878</t>
  </si>
  <si>
    <t>Carrley</t>
  </si>
  <si>
    <t xml:space="preserve"> November 12, 1878</t>
  </si>
  <si>
    <t>35 Broad St.</t>
  </si>
  <si>
    <t>Commerford</t>
  </si>
  <si>
    <t>Albany 11/11/1878</t>
  </si>
  <si>
    <t>February 20, 1875</t>
  </si>
  <si>
    <t>95 Hamilton St.</t>
  </si>
  <si>
    <t>Kidney disease</t>
  </si>
  <si>
    <t>May 26, 1875</t>
  </si>
  <si>
    <t>Greenfield Center</t>
  </si>
  <si>
    <t>June 1, 1875</t>
  </si>
  <si>
    <t>94 State St. Albany</t>
  </si>
  <si>
    <t>Scarlet fever</t>
  </si>
  <si>
    <t>June 3, 1875</t>
  </si>
  <si>
    <t>July 1, 1875</t>
  </si>
  <si>
    <t>126 Ten Broeck</t>
  </si>
  <si>
    <t>Summer Compl?</t>
  </si>
  <si>
    <t>Duff</t>
  </si>
  <si>
    <t>October 8, 1867</t>
  </si>
  <si>
    <t>47 Canal St. Albany</t>
  </si>
  <si>
    <t>August 20, 1875</t>
  </si>
  <si>
    <t>August 30, 1875</t>
  </si>
  <si>
    <t>209 Clinton Ave</t>
  </si>
  <si>
    <t>Diarrhea</t>
  </si>
  <si>
    <t>August 31, 1875</t>
  </si>
  <si>
    <t xml:space="preserve"> Anna</t>
  </si>
  <si>
    <t>September 10, 1875</t>
  </si>
  <si>
    <t>285 Pearl St</t>
  </si>
  <si>
    <t>September 13, 1875</t>
  </si>
  <si>
    <t>New York City</t>
  </si>
  <si>
    <t>October 14, 1875</t>
  </si>
  <si>
    <t>October 16, 1875</t>
  </si>
  <si>
    <t>Rockland Lake, NY</t>
  </si>
  <si>
    <t>November 3, 1875</t>
  </si>
  <si>
    <t>November 6, 1875</t>
  </si>
  <si>
    <t>May 30, 1863</t>
  </si>
  <si>
    <t>274 Elm St</t>
  </si>
  <si>
    <t>October 27, 1875</t>
  </si>
  <si>
    <t>November 16, 1875</t>
  </si>
  <si>
    <t>1st Street North Albany</t>
  </si>
  <si>
    <t>November 19, 1875</t>
  </si>
  <si>
    <t>December 7, 1875</t>
  </si>
  <si>
    <t>271 Hamilton St</t>
  </si>
  <si>
    <t>Paralysis of Heart</t>
  </si>
  <si>
    <t>December 12, 1875</t>
  </si>
  <si>
    <t>Downey</t>
  </si>
  <si>
    <t>December 26, 1875</t>
  </si>
  <si>
    <t>Cor Central Ave &amp; Perry</t>
  </si>
  <si>
    <t>December 28, 1875</t>
  </si>
  <si>
    <t>December 24, 1875</t>
  </si>
  <si>
    <t>269 Green St Albany</t>
  </si>
  <si>
    <t>December 25, 1875</t>
  </si>
  <si>
    <t>March 16, 1875</t>
  </si>
  <si>
    <t>March 19, 1876</t>
  </si>
  <si>
    <t>119 Elm St</t>
  </si>
  <si>
    <t>March 22, 1876</t>
  </si>
  <si>
    <t>198 Canal St</t>
  </si>
  <si>
    <t>None</t>
  </si>
  <si>
    <t>March 29, 1876</t>
  </si>
  <si>
    <t>George S.</t>
  </si>
  <si>
    <t>First name obtained from alternate source.</t>
  </si>
  <si>
    <t xml:space="preserve">Michael C. </t>
  </si>
  <si>
    <t>Anna Mary</t>
  </si>
  <si>
    <t xml:space="preserve"> Anthony G.</t>
  </si>
  <si>
    <t>47 DeWitt St.</t>
  </si>
  <si>
    <t>January 12, 1882</t>
  </si>
  <si>
    <t>February 5, 1882</t>
  </si>
  <si>
    <t>41 Arch</t>
  </si>
  <si>
    <t>February 7, 1882</t>
  </si>
  <si>
    <t>February 13, 1882</t>
  </si>
  <si>
    <t>February 15, 1882</t>
  </si>
  <si>
    <t>Colfer</t>
  </si>
  <si>
    <t>Maginnis</t>
  </si>
  <si>
    <t>April 8, 1851</t>
  </si>
  <si>
    <t>Division St.</t>
  </si>
  <si>
    <t>November 10, 1877</t>
  </si>
  <si>
    <t>28 Bleecker St.</t>
  </si>
  <si>
    <t>April 15, 1866</t>
  </si>
  <si>
    <t>159 Grand St.</t>
  </si>
  <si>
    <t>November 20, 1877</t>
  </si>
  <si>
    <t>Jerry</t>
  </si>
  <si>
    <t>Mahanney</t>
  </si>
  <si>
    <t>July 1867</t>
  </si>
  <si>
    <t>Sister Reigeinus</t>
  </si>
  <si>
    <t>Bassett &amp; Dallius</t>
  </si>
  <si>
    <t>Date of death obtained from alternate source</t>
  </si>
  <si>
    <t>Fulton St., West Troy</t>
  </si>
  <si>
    <t>November 10, 1875</t>
  </si>
  <si>
    <t>Menands Troy Rd.</t>
  </si>
  <si>
    <t>February 10, 1880</t>
  </si>
  <si>
    <t>Carew</t>
  </si>
  <si>
    <t>Bartholomew</t>
  </si>
  <si>
    <t>September 08, 1875</t>
  </si>
  <si>
    <t>Michael D.</t>
  </si>
  <si>
    <t>September 30, 1875</t>
  </si>
  <si>
    <t>October 03, 1875</t>
  </si>
  <si>
    <t>139 Lumber St</t>
  </si>
  <si>
    <t>not known</t>
  </si>
  <si>
    <t>Katie A.</t>
  </si>
  <si>
    <t>59 Lawrence St.</t>
  </si>
  <si>
    <t>February 22, 1876</t>
  </si>
  <si>
    <t>Reardon.</t>
  </si>
  <si>
    <t>Eugene</t>
  </si>
  <si>
    <t>Dove St</t>
  </si>
  <si>
    <t>May 25, 1876</t>
  </si>
  <si>
    <t>Ronau</t>
  </si>
  <si>
    <t>152 Third St</t>
  </si>
  <si>
    <t>4th Ave. &amp; Green St.</t>
  </si>
  <si>
    <t>April 02, 1876</t>
  </si>
  <si>
    <t>R-03</t>
  </si>
  <si>
    <t>R-04</t>
  </si>
  <si>
    <t>250 Green St.</t>
  </si>
  <si>
    <t>August 16, 1876</t>
  </si>
  <si>
    <t>?? 25, 1876</t>
  </si>
  <si>
    <t>Mrs</t>
  </si>
  <si>
    <t>November 4, 1876</t>
  </si>
  <si>
    <t>14 Martin St.</t>
  </si>
  <si>
    <t>November 17, 1877</t>
  </si>
  <si>
    <t>139 N. Pearl St.</t>
  </si>
  <si>
    <t>Greenwich</t>
  </si>
  <si>
    <t>March 5, 1877</t>
  </si>
  <si>
    <t>N. Pearl &amp; Clinton Ave.</t>
  </si>
  <si>
    <t>Park Row &amp; Dove</t>
  </si>
  <si>
    <t>June 12, 1877</t>
  </si>
  <si>
    <t>Rourke</t>
  </si>
  <si>
    <t>June 19, 1877</t>
  </si>
  <si>
    <t>5 Plain St.</t>
  </si>
  <si>
    <t>Inflamation of the Lungs</t>
  </si>
  <si>
    <t>203 Third St.</t>
  </si>
  <si>
    <t>July 14, 1877</t>
  </si>
  <si>
    <t>Thomas P.</t>
  </si>
  <si>
    <t>183 Third St.</t>
  </si>
  <si>
    <t>August 15, 1877</t>
  </si>
  <si>
    <t>807 Broadway</t>
  </si>
  <si>
    <t>8 Broad St.</t>
  </si>
  <si>
    <t>September 10, 1877</t>
  </si>
  <si>
    <t>43 Laughlin St.</t>
  </si>
  <si>
    <t>Intermittent fever</t>
  </si>
  <si>
    <t>30 VanZandt St.</t>
  </si>
  <si>
    <t>Niagara Falls</t>
  </si>
  <si>
    <t>October 26, 1877</t>
  </si>
  <si>
    <t>5 Jackson St.</t>
  </si>
  <si>
    <t>March 24, 1864</t>
  </si>
  <si>
    <t>July 1, 1861</t>
  </si>
  <si>
    <t>101 Green St.</t>
  </si>
  <si>
    <t>January 28, 1878</t>
  </si>
  <si>
    <t>9 Morton St.</t>
  </si>
  <si>
    <t>March 22, 1878</t>
  </si>
  <si>
    <t>April 6, 1879</t>
  </si>
  <si>
    <t>Cor Broadway &amp; So.?</t>
  </si>
  <si>
    <t>Roach</t>
  </si>
  <si>
    <t>Plank St?</t>
  </si>
  <si>
    <t>April 21, 1878</t>
  </si>
  <si>
    <t>Rielly</t>
  </si>
  <si>
    <t>April 25, 1878</t>
  </si>
  <si>
    <t>340 Madison Ave.</t>
  </si>
  <si>
    <t>September 27, 1879</t>
  </si>
  <si>
    <t>March 31, 1878</t>
  </si>
  <si>
    <t>92 Columbia St.</t>
  </si>
  <si>
    <t>April 2, 1878</t>
  </si>
  <si>
    <t>59 Laurence St.</t>
  </si>
  <si>
    <t>69 VanWoert St.</t>
  </si>
  <si>
    <t>July 2July 1879</t>
  </si>
  <si>
    <t>35 Mulberry St.</t>
  </si>
  <si>
    <t>274 Elm St.</t>
  </si>
  <si>
    <t>9 Fulton St.</t>
  </si>
  <si>
    <t>June 27, 1878</t>
  </si>
  <si>
    <t>Cohoes Watervliet Ave.</t>
  </si>
  <si>
    <t>Frankie</t>
  </si>
  <si>
    <t>July 22, 1878</t>
  </si>
  <si>
    <t>789 Broadway, Albany</t>
  </si>
  <si>
    <t>Ritchford</t>
  </si>
  <si>
    <t>28 Quackenbush St.</t>
  </si>
  <si>
    <t>August 6, 1878</t>
  </si>
  <si>
    <t>300 Dove St.</t>
  </si>
  <si>
    <t>November 6, 1878</t>
  </si>
  <si>
    <t>Edward Clement</t>
  </si>
  <si>
    <t>Cor. Pearl &amp; Clinton Ave.</t>
  </si>
  <si>
    <t>26 Monsor St.</t>
  </si>
  <si>
    <t>R-05</t>
  </si>
  <si>
    <t>Bridget B.</t>
  </si>
  <si>
    <t>105 Philips</t>
  </si>
  <si>
    <t>57 Myrtle Ave.</t>
  </si>
  <si>
    <t>January 31, 1879</t>
  </si>
  <si>
    <t>January 4, 1879</t>
  </si>
  <si>
    <t>105 Beaver St.</t>
  </si>
  <si>
    <t>Bright's D.</t>
  </si>
  <si>
    <t>Henry A.</t>
  </si>
  <si>
    <t>February 2, 1880</t>
  </si>
  <si>
    <t>129 First St.</t>
  </si>
  <si>
    <t>February 5, 1880</t>
  </si>
  <si>
    <t>215 Jefferson</t>
  </si>
  <si>
    <t>Adam</t>
  </si>
  <si>
    <t>July 22, 1880</t>
  </si>
  <si>
    <t>47 Orange</t>
  </si>
  <si>
    <t>24 Morton</t>
  </si>
  <si>
    <t>106 Madison Ave.</t>
  </si>
  <si>
    <t>A. Bleecker Banks</t>
  </si>
  <si>
    <t>18 Wilbur</t>
  </si>
  <si>
    <t>August 10, 1880</t>
  </si>
  <si>
    <t>Albany removed from Greenbush</t>
  </si>
  <si>
    <t>152 Third St.</t>
  </si>
  <si>
    <t>December 22, 1880</t>
  </si>
  <si>
    <t>138 Jefferson</t>
  </si>
  <si>
    <t>July 4, 1880</t>
  </si>
  <si>
    <t>Anna C.</t>
  </si>
  <si>
    <t>115 Church</t>
  </si>
  <si>
    <t>3 Leonard</t>
  </si>
  <si>
    <t>February 15, 1856</t>
  </si>
  <si>
    <t>January 30, 1864</t>
  </si>
  <si>
    <t>November 1869</t>
  </si>
  <si>
    <t>123 Colonie</t>
  </si>
  <si>
    <t>October 20, 1872</t>
  </si>
  <si>
    <t>Year 1862</t>
  </si>
  <si>
    <t>Infancy</t>
  </si>
  <si>
    <t>870 Broadway</t>
  </si>
  <si>
    <t>Year 1866</t>
  </si>
  <si>
    <t>Year 1857</t>
  </si>
  <si>
    <t>Joseph H.</t>
  </si>
  <si>
    <t>October 25, 1863</t>
  </si>
  <si>
    <t>January 1860</t>
  </si>
  <si>
    <t>June 1861</t>
  </si>
  <si>
    <t>345 N. Pearl</t>
  </si>
  <si>
    <t>116 Arch</t>
  </si>
  <si>
    <t>February 10, 1881</t>
  </si>
  <si>
    <t>53 Mulberry</t>
  </si>
  <si>
    <t>42 Plumb</t>
  </si>
  <si>
    <t>Daniel S.</t>
  </si>
  <si>
    <t>71 Colonie</t>
  </si>
  <si>
    <t>Kansas City, MO</t>
  </si>
  <si>
    <t>February 30, 1881</t>
  </si>
  <si>
    <t>Rosbrook</t>
  </si>
  <si>
    <t>187 Park Ave.</t>
  </si>
  <si>
    <t>April 13, 1881</t>
  </si>
  <si>
    <t>R-06</t>
  </si>
  <si>
    <t>Madison</t>
  </si>
  <si>
    <t xml:space="preserve">200 Dove </t>
  </si>
  <si>
    <t>Boston, Mass</t>
  </si>
  <si>
    <t>59 Lawrence</t>
  </si>
  <si>
    <t>55 Charles</t>
  </si>
  <si>
    <t>Russell</t>
  </si>
  <si>
    <t>78 Myrtle St</t>
  </si>
  <si>
    <t>September 3, 1881</t>
  </si>
  <si>
    <t>Edward F.</t>
  </si>
  <si>
    <t>October 24, 1881</t>
  </si>
  <si>
    <t>15 Catharine</t>
  </si>
  <si>
    <t>Mattewan, NY</t>
  </si>
  <si>
    <t xml:space="preserve">Mattewan </t>
  </si>
  <si>
    <t>Mattewan NY</t>
  </si>
  <si>
    <t>18 N. Lansing St.</t>
  </si>
  <si>
    <t>December 7, 1877</t>
  </si>
  <si>
    <t>December 16, 1877</t>
  </si>
  <si>
    <t>December 18, 1877</t>
  </si>
  <si>
    <t>Mary Stella</t>
  </si>
  <si>
    <t>December 19, 1877</t>
  </si>
  <si>
    <t>Broadway, North Albany</t>
  </si>
  <si>
    <t>December 21, 1877</t>
  </si>
  <si>
    <t>January 3, 1878</t>
  </si>
  <si>
    <t>93 Elizabeth St.</t>
  </si>
  <si>
    <t>January 7, 1878</t>
  </si>
  <si>
    <t>NY</t>
  </si>
  <si>
    <t>859 Broadway</t>
  </si>
  <si>
    <t>October 23, 1881</t>
  </si>
  <si>
    <t>Knox &amp; First</t>
  </si>
  <si>
    <t>October 25, 1881</t>
  </si>
  <si>
    <t xml:space="preserve"> Annie</t>
  </si>
  <si>
    <t>November 15, 1881</t>
  </si>
  <si>
    <t>Meningitis</t>
  </si>
  <si>
    <t>December 1881</t>
  </si>
  <si>
    <t>97 Clinton Ave.</t>
  </si>
  <si>
    <t>December 4, 1881</t>
  </si>
  <si>
    <t>December 16, 1881</t>
  </si>
  <si>
    <t>62 Cherry St.</t>
  </si>
  <si>
    <t>December 18, 1881</t>
  </si>
  <si>
    <t>January 4, 1882</t>
  </si>
  <si>
    <t>January 7, 1882</t>
  </si>
  <si>
    <t>Conery</t>
  </si>
  <si>
    <t>January 9, 1882</t>
  </si>
  <si>
    <t>Vine &amp; Franklin</t>
  </si>
  <si>
    <t>149 N Pearl</t>
  </si>
  <si>
    <t>405 State St</t>
  </si>
  <si>
    <t>3 Corning St</t>
  </si>
  <si>
    <t>St Cyr</t>
  </si>
  <si>
    <t>112 Hudson St</t>
  </si>
  <si>
    <t>June 22, 1870</t>
  </si>
  <si>
    <t>104 3rd St</t>
  </si>
  <si>
    <t>Sharin</t>
  </si>
  <si>
    <t>120 Ten Broeck</t>
  </si>
  <si>
    <t>316 Lumber</t>
  </si>
  <si>
    <t>S-02</t>
  </si>
  <si>
    <t>Shettuck</t>
  </si>
  <si>
    <t>Edward S.</t>
  </si>
  <si>
    <t>145 3rd</t>
  </si>
  <si>
    <t>Cholera Inf</t>
  </si>
  <si>
    <t>August 4, 1873</t>
  </si>
  <si>
    <t>James  V.</t>
  </si>
  <si>
    <t>Lumber St.</t>
  </si>
  <si>
    <t>Willliam</t>
  </si>
  <si>
    <t>September 21, 1873</t>
  </si>
  <si>
    <t>405 State</t>
  </si>
  <si>
    <t>September 23, 1873</t>
  </si>
  <si>
    <t>October 16, 1873</t>
  </si>
  <si>
    <t>Shepard</t>
  </si>
  <si>
    <t>Harlem</t>
  </si>
  <si>
    <t>November 3, 1873</t>
  </si>
  <si>
    <t>23 3rd Ave.</t>
  </si>
  <si>
    <t>Cincinnatti</t>
  </si>
  <si>
    <t>April 1870</t>
  </si>
  <si>
    <t>Year 1855</t>
  </si>
  <si>
    <t>Year 1838</t>
  </si>
  <si>
    <t>Year 1831</t>
  </si>
  <si>
    <t xml:space="preserve">Shehan </t>
  </si>
  <si>
    <t xml:space="preserve">Mary Jane </t>
  </si>
  <si>
    <t>168 Second St.</t>
  </si>
  <si>
    <t>June 5, 1874</t>
  </si>
  <si>
    <t>Shehan</t>
  </si>
  <si>
    <t>100 Morton St.</t>
  </si>
  <si>
    <t>117 Franklin St.</t>
  </si>
  <si>
    <t>80 Willett St.</t>
  </si>
  <si>
    <t>Elizabeth B.</t>
  </si>
  <si>
    <t>Cong brain</t>
  </si>
  <si>
    <t>June 6, 1874</t>
  </si>
  <si>
    <t>Stafford</t>
  </si>
  <si>
    <t>160 Madison Ave.</t>
  </si>
  <si>
    <t>June 25, 1874</t>
  </si>
  <si>
    <t>316 Lumber St.</t>
  </si>
  <si>
    <t>July 28, 1874</t>
  </si>
  <si>
    <t>Sanderson</t>
  </si>
  <si>
    <t>St. Louis</t>
  </si>
  <si>
    <t>Washington Ave.</t>
  </si>
  <si>
    <t>34 Clinton St.</t>
  </si>
  <si>
    <t>February 27, 1875</t>
  </si>
  <si>
    <t>Sheridan</t>
  </si>
  <si>
    <t>Charles M.</t>
  </si>
  <si>
    <t>69 Lumber St.</t>
  </si>
  <si>
    <t>Ellen A.</t>
  </si>
  <si>
    <t>82 Myrtle Ave.</t>
  </si>
  <si>
    <t>Shandley</t>
  </si>
  <si>
    <t>June 29, 1875</t>
  </si>
  <si>
    <t>61 Park Ave.</t>
  </si>
  <si>
    <t>Loretto</t>
  </si>
  <si>
    <t>Saratoga</t>
  </si>
  <si>
    <t>Smullen</t>
  </si>
  <si>
    <t>34 Laughlin Ave.</t>
  </si>
  <si>
    <t>March 26, 1875</t>
  </si>
  <si>
    <t>324 State St.</t>
  </si>
  <si>
    <t>July 26, 1875</t>
  </si>
  <si>
    <t>Schofield</t>
  </si>
  <si>
    <t>65 Second St.</t>
  </si>
  <si>
    <t>July 16, 1871</t>
  </si>
  <si>
    <t>187 3rd Street</t>
  </si>
  <si>
    <t>October 13, 1875</t>
  </si>
  <si>
    <t>July 22, 1874</t>
  </si>
  <si>
    <t>Chor Infantum</t>
  </si>
  <si>
    <t>September 8, 1874</t>
  </si>
  <si>
    <t>Effects of instruments, at birth</t>
  </si>
  <si>
    <t>56 Bradford St.</t>
  </si>
  <si>
    <t>Congestion of lungs</t>
  </si>
  <si>
    <t>Strain</t>
  </si>
  <si>
    <t>January 8, 1876</t>
  </si>
  <si>
    <t>109 Lumber</t>
  </si>
  <si>
    <t>January 10, 1876</t>
  </si>
  <si>
    <t>March 11 1876</t>
  </si>
  <si>
    <t>195 3rd St.</t>
  </si>
  <si>
    <t>March 13, 1876</t>
  </si>
  <si>
    <t>Removed 10/20/1911 to Arthur J. Smith Lot 450 Sec 7</t>
  </si>
  <si>
    <t>March 24 1876</t>
  </si>
  <si>
    <t>25 Beaver St.</t>
  </si>
  <si>
    <t>March 21 1876</t>
  </si>
  <si>
    <t>TenBroeck St.</t>
  </si>
  <si>
    <t>Oneida Co.</t>
  </si>
  <si>
    <t>64 Jefferson</t>
  </si>
  <si>
    <t>Spinal disease</t>
  </si>
  <si>
    <t>April 12, 1876</t>
  </si>
  <si>
    <t>May 13, 1876</t>
  </si>
  <si>
    <t>Sammon</t>
  </si>
  <si>
    <t>Canal &amp; Hawk</t>
  </si>
  <si>
    <t>June 10, 1876</t>
  </si>
  <si>
    <t>S-03</t>
  </si>
  <si>
    <t>February 22, 1870</t>
  </si>
  <si>
    <t>Trinity Place &amp; Lodge St.</t>
  </si>
  <si>
    <t>August 9, 1875</t>
  </si>
  <si>
    <t>Basset &amp; Broadway</t>
  </si>
  <si>
    <t xml:space="preserve">May 7, 1875 </t>
  </si>
  <si>
    <t>Neucella St.</t>
  </si>
  <si>
    <t>February. 9. 1876</t>
  </si>
  <si>
    <t>57 S. Broadway</t>
  </si>
  <si>
    <t>Shattuck</t>
  </si>
  <si>
    <t>James A.</t>
  </si>
  <si>
    <t>June 30, 1876</t>
  </si>
  <si>
    <t>145 Third St.</t>
  </si>
  <si>
    <t>July 2, 1876</t>
  </si>
  <si>
    <t>Theresa V.</t>
  </si>
  <si>
    <t>August 19, 1876</t>
  </si>
  <si>
    <t>August 23, 1876</t>
  </si>
  <si>
    <t>Sayles</t>
  </si>
  <si>
    <t>Cecilia</t>
  </si>
  <si>
    <t>25 Jay St.</t>
  </si>
  <si>
    <t>Katie S.</t>
  </si>
  <si>
    <t>September 25, 1876</t>
  </si>
  <si>
    <t>73 Dallius St.</t>
  </si>
  <si>
    <t>September 27, 1876</t>
  </si>
  <si>
    <t>November 14, 1876</t>
  </si>
  <si>
    <t>Albany Road</t>
  </si>
  <si>
    <t>Diphtheria</t>
  </si>
  <si>
    <t>November 16, 1876</t>
  </si>
  <si>
    <t>Louisa A.</t>
  </si>
  <si>
    <t>Oneida Co NY</t>
  </si>
  <si>
    <t>December 15, 1873</t>
  </si>
  <si>
    <t>Waterville Oneida</t>
  </si>
  <si>
    <t>Spinal meningitis</t>
  </si>
  <si>
    <t>October 17, 1876</t>
  </si>
  <si>
    <t/>
  </si>
  <si>
    <t>94 Jefferson St.</t>
  </si>
  <si>
    <t>October 1868</t>
  </si>
  <si>
    <t>January 27, 1859</t>
  </si>
  <si>
    <t>Clare</t>
  </si>
  <si>
    <t>2 Lenard St.</t>
  </si>
  <si>
    <t>Palpitation of Heart</t>
  </si>
  <si>
    <t>October 22, 1876</t>
  </si>
  <si>
    <t>Coxackie</t>
  </si>
  <si>
    <t>July 5, 1877</t>
  </si>
  <si>
    <t>July 7,  1877</t>
  </si>
  <si>
    <t>Shelly</t>
  </si>
  <si>
    <t>September 24, 1877</t>
  </si>
  <si>
    <t>72 Myrtle Ave</t>
  </si>
  <si>
    <t>November 1872</t>
  </si>
  <si>
    <t>96 Myrtle Ave</t>
  </si>
  <si>
    <t>Water of Brain</t>
  </si>
  <si>
    <t>94 1/2 Dallius</t>
  </si>
  <si>
    <t>Stack</t>
  </si>
  <si>
    <t>Fennie</t>
  </si>
  <si>
    <t>July 30, 1877</t>
  </si>
  <si>
    <t>211 Orange S Alby</t>
  </si>
  <si>
    <t>March 15</t>
  </si>
  <si>
    <t>8 Swan St</t>
  </si>
  <si>
    <t>75 Lark St.</t>
  </si>
  <si>
    <t>Snyder</t>
  </si>
  <si>
    <t>January 18, 1877</t>
  </si>
  <si>
    <t>370 S. Pearl St.</t>
  </si>
  <si>
    <t>Louise</t>
  </si>
  <si>
    <t>July 24, 1869</t>
  </si>
  <si>
    <t>Child Infection</t>
  </si>
  <si>
    <t>Stephenson</t>
  </si>
  <si>
    <t>65 Jefferson St.</t>
  </si>
  <si>
    <t>February 9, 1877</t>
  </si>
  <si>
    <t>77 Schuyler</t>
  </si>
  <si>
    <t>February 1, 1877</t>
  </si>
  <si>
    <t>Smullin</t>
  </si>
  <si>
    <t>January  13, 1878</t>
  </si>
  <si>
    <t>27 Dean St.</t>
  </si>
  <si>
    <t>January 21, 1878</t>
  </si>
  <si>
    <t>385</t>
  </si>
  <si>
    <t>Shanley</t>
  </si>
  <si>
    <t>February 9, 1878</t>
  </si>
  <si>
    <t>61 Park Ave</t>
  </si>
  <si>
    <t>February 11, 1878</t>
  </si>
  <si>
    <t>144 Colonie St.</t>
  </si>
  <si>
    <t>Keron</t>
  </si>
  <si>
    <t>Inflam. of Bowels</t>
  </si>
  <si>
    <t>64 Jeff St</t>
  </si>
  <si>
    <t xml:space="preserve">42 3rd St </t>
  </si>
  <si>
    <t>March 5, 1878</t>
  </si>
  <si>
    <t>S-04</t>
  </si>
  <si>
    <t>5 Plain Street</t>
  </si>
  <si>
    <t>275 Clinton Avenue</t>
  </si>
  <si>
    <t>April 4, 1878</t>
  </si>
  <si>
    <t>Scott</t>
  </si>
  <si>
    <t>May 11, 1878</t>
  </si>
  <si>
    <t>245 Orange   Street</t>
  </si>
  <si>
    <t>120 Ten Broeck Street</t>
  </si>
  <si>
    <t xml:space="preserve">Sammon </t>
  </si>
  <si>
    <t>Georgianna</t>
  </si>
  <si>
    <t>August 18, 1879</t>
  </si>
  <si>
    <t>144 Colonie Street</t>
  </si>
  <si>
    <t>Slavin</t>
  </si>
  <si>
    <t>August 1, 1879</t>
  </si>
  <si>
    <t>Water &amp; North 2nd North Albany</t>
  </si>
  <si>
    <t>Corner Green &amp; Rensselaer</t>
  </si>
  <si>
    <t>September 7, 1879</t>
  </si>
  <si>
    <t>August 24, 1878</t>
  </si>
  <si>
    <t>65 Second Street</t>
  </si>
  <si>
    <t>Smilk</t>
  </si>
  <si>
    <t>September 25, 1878</t>
  </si>
  <si>
    <t>Corner Schuyler &amp; Dallius</t>
  </si>
  <si>
    <t>Mary Anna</t>
  </si>
  <si>
    <t>56 Bradford Street</t>
  </si>
  <si>
    <t>Spellman</t>
  </si>
  <si>
    <t>October 17, 1878</t>
  </si>
  <si>
    <t>7 Westerlo Street</t>
  </si>
  <si>
    <t>October 20, 1878</t>
  </si>
  <si>
    <t>Skeals</t>
  </si>
  <si>
    <t>57 Mulberry Street</t>
  </si>
  <si>
    <t>Sahler</t>
  </si>
  <si>
    <t>May A.</t>
  </si>
  <si>
    <t>January 14, 1877</t>
  </si>
  <si>
    <t>Schmitt</t>
  </si>
  <si>
    <t>Otto F.</t>
  </si>
  <si>
    <t>January 1879</t>
  </si>
  <si>
    <t>257 South Pearl Street</t>
  </si>
  <si>
    <t>Sinclore</t>
  </si>
  <si>
    <t>48 4th Avenue</t>
  </si>
  <si>
    <t>353 North Pearl Street</t>
  </si>
  <si>
    <t>March 10, 1879</t>
  </si>
  <si>
    <t>243 Central Avenue</t>
  </si>
  <si>
    <t xml:space="preserve"> March 15, 1879</t>
  </si>
  <si>
    <t>March 17, 1879</t>
  </si>
  <si>
    <t>Gordon</t>
  </si>
  <si>
    <t xml:space="preserve"> September 1878</t>
  </si>
  <si>
    <t>September 10, 1878</t>
  </si>
  <si>
    <t xml:space="preserve"> November 27, 1878</t>
  </si>
  <si>
    <t>67 1/2 Ohio St. W. Troy</t>
  </si>
  <si>
    <t>November 24, 1878</t>
  </si>
  <si>
    <t>Gremmler</t>
  </si>
  <si>
    <t>October 4, 1878</t>
  </si>
  <si>
    <t>66 Hudson St.</t>
  </si>
  <si>
    <t>Bright's Disease</t>
  </si>
  <si>
    <t>October 7, 1878</t>
  </si>
  <si>
    <t xml:space="preserve"> September 25, 1878</t>
  </si>
  <si>
    <t>September 27, 1878</t>
  </si>
  <si>
    <t>William, Jr.</t>
  </si>
  <si>
    <t xml:space="preserve"> June 3, 1878</t>
  </si>
  <si>
    <t>McCarthy Ave</t>
  </si>
  <si>
    <t>June 7, 1878</t>
  </si>
  <si>
    <t xml:space="preserve"> July 9, 1878</t>
  </si>
  <si>
    <t>72 Lark St.</t>
  </si>
  <si>
    <t xml:space="preserve"> August 16, 1878</t>
  </si>
  <si>
    <t>66 Arch St.</t>
  </si>
  <si>
    <t xml:space="preserve"> August 28, 1878</t>
  </si>
  <si>
    <t>132 Grand St.</t>
  </si>
  <si>
    <t>August 31, 1878</t>
  </si>
  <si>
    <t>June 22, 1880</t>
  </si>
  <si>
    <t>2 Swan St</t>
  </si>
  <si>
    <t>155 Livingston</t>
  </si>
  <si>
    <t>Accidental drowning</t>
  </si>
  <si>
    <t>July 1, 1880</t>
  </si>
  <si>
    <t>June 15, 1880</t>
  </si>
  <si>
    <t>92 Schuyler St</t>
  </si>
  <si>
    <t>July 2, 1880</t>
  </si>
  <si>
    <t>Cholera infantium</t>
  </si>
  <si>
    <t>238 Orange St</t>
  </si>
  <si>
    <t>July 17, 1880</t>
  </si>
  <si>
    <t>McGregor</t>
  </si>
  <si>
    <t>71 N Lansing</t>
  </si>
  <si>
    <t>Maddock</t>
  </si>
  <si>
    <t>193 Hudson Ave</t>
  </si>
  <si>
    <t>18 Road St.</t>
  </si>
  <si>
    <t>Hanola (?) Beaver</t>
  </si>
  <si>
    <t>West Stockbridge</t>
  </si>
  <si>
    <t>July 14, 1874</t>
  </si>
  <si>
    <t xml:space="preserve"> John Jr.</t>
  </si>
  <si>
    <t xml:space="preserve"> Elizabeth</t>
  </si>
  <si>
    <t>October 19, 1874</t>
  </si>
  <si>
    <t>McClorkey</t>
  </si>
  <si>
    <t>January 29, 1872</t>
  </si>
  <si>
    <t xml:space="preserve">75 Nucella St. </t>
  </si>
  <si>
    <t>58 Central Ave.</t>
  </si>
  <si>
    <t>Cong. Of Lungs</t>
  </si>
  <si>
    <t>May 11, 1872</t>
  </si>
  <si>
    <t>McFarland</t>
  </si>
  <si>
    <t>December 22</t>
  </si>
  <si>
    <t>75 Green St.</t>
  </si>
  <si>
    <t>835 Broadway</t>
  </si>
  <si>
    <t>129 Eagle St.</t>
  </si>
  <si>
    <t>McGuire</t>
  </si>
  <si>
    <t>December 20, 1872</t>
  </si>
  <si>
    <t>McEvoy</t>
  </si>
  <si>
    <t>Central Avenue</t>
  </si>
  <si>
    <t>October 7, 1862</t>
  </si>
  <si>
    <t>Third Street</t>
  </si>
  <si>
    <t xml:space="preserve">Strain </t>
  </si>
  <si>
    <t>Mary O.</t>
  </si>
  <si>
    <t>Lumber Street</t>
  </si>
  <si>
    <t>175 Franklin</t>
  </si>
  <si>
    <t>January 24, 1881</t>
  </si>
  <si>
    <t>S-05</t>
  </si>
  <si>
    <t>Seahy</t>
  </si>
  <si>
    <t xml:space="preserve"> February 7 1881</t>
  </si>
  <si>
    <t>218 Green</t>
  </si>
  <si>
    <t>cancer</t>
  </si>
  <si>
    <t>February 9, 1881</t>
  </si>
  <si>
    <t>See</t>
  </si>
  <si>
    <t>72 Franklin</t>
  </si>
  <si>
    <t>42 Myrtle Av.</t>
  </si>
  <si>
    <t>rupture</t>
  </si>
  <si>
    <t>211 Jefferson</t>
  </si>
  <si>
    <t>July 3, 1881</t>
  </si>
  <si>
    <t>Shevlin</t>
  </si>
  <si>
    <t>July 20, 1881</t>
  </si>
  <si>
    <t>81 Madison Av.</t>
  </si>
  <si>
    <t>July 21, 1881</t>
  </si>
  <si>
    <t>Shea's</t>
  </si>
  <si>
    <t>20 Warren</t>
  </si>
  <si>
    <t>July 27, 1881</t>
  </si>
  <si>
    <t>Sheehan</t>
  </si>
  <si>
    <t>Robin &amp; West</t>
  </si>
  <si>
    <t>May 16, 1863</t>
  </si>
  <si>
    <t>St. Joseph's Church</t>
  </si>
  <si>
    <t>November 2, 1881</t>
  </si>
  <si>
    <t>Sweeny</t>
  </si>
  <si>
    <t>November 6, 1881</t>
  </si>
  <si>
    <t>29 Morton</t>
  </si>
  <si>
    <t>Scollen</t>
  </si>
  <si>
    <t>Myrtle &amp; Hawk</t>
  </si>
  <si>
    <t>Sutton</t>
  </si>
  <si>
    <t>104 Ontario</t>
  </si>
  <si>
    <t>January 24, 1882</t>
  </si>
  <si>
    <t>27 Grand</t>
  </si>
  <si>
    <t>frozen to death</t>
  </si>
  <si>
    <t>January 26, 1882</t>
  </si>
  <si>
    <t>54 Arch</t>
  </si>
  <si>
    <t>March 22, 1882</t>
  </si>
  <si>
    <t>Perry &amp; Clinton Av.</t>
  </si>
  <si>
    <t>Sanford</t>
  </si>
  <si>
    <t>53 Lancaster</t>
  </si>
  <si>
    <t>child birth</t>
  </si>
  <si>
    <t>removed 8/28/1906 to Anna E. Sanford  Lot 203 Sec10</t>
  </si>
  <si>
    <t>Skelly</t>
  </si>
  <si>
    <t>May 28, 1882</t>
  </si>
  <si>
    <t>113 Orange</t>
  </si>
  <si>
    <t>tumors</t>
  </si>
  <si>
    <t>July 16, 1882</t>
  </si>
  <si>
    <t>Small</t>
  </si>
  <si>
    <t>14 John</t>
  </si>
  <si>
    <t>4 Genessee</t>
  </si>
  <si>
    <t>cholera morbus</t>
  </si>
  <si>
    <t>196 Spruce</t>
  </si>
  <si>
    <t>252 Orange</t>
  </si>
  <si>
    <t>killed</t>
  </si>
  <si>
    <t>225 Broadway</t>
  </si>
  <si>
    <t>143 Colonie</t>
  </si>
  <si>
    <t>December 1, 1882</t>
  </si>
  <si>
    <t>vault</t>
  </si>
  <si>
    <t>Schutz</t>
  </si>
  <si>
    <t>64 Union</t>
  </si>
  <si>
    <t>January 2, 1888</t>
  </si>
  <si>
    <t>Tobin</t>
  </si>
  <si>
    <t>May 5, 1866</t>
  </si>
  <si>
    <t>September 7, 1863</t>
  </si>
  <si>
    <t>Taffe</t>
  </si>
  <si>
    <t>July 26, 1868</t>
  </si>
  <si>
    <t>October 19, 1867</t>
  </si>
  <si>
    <t>September 24, 1868</t>
  </si>
  <si>
    <t>September 11, 1862</t>
  </si>
  <si>
    <t>November 20, 1858</t>
  </si>
  <si>
    <t>Toohey</t>
  </si>
  <si>
    <t>May 1861</t>
  </si>
  <si>
    <t>January 3, 1869</t>
  </si>
  <si>
    <t>Tierney</t>
  </si>
  <si>
    <t>September 13, 1869</t>
  </si>
  <si>
    <t>Palpitation of the heart</t>
  </si>
  <si>
    <t>September 28, 1869</t>
  </si>
  <si>
    <t>April 25, 1859</t>
  </si>
  <si>
    <t>October 9, 1869</t>
  </si>
  <si>
    <t>April 23, 1852</t>
  </si>
  <si>
    <t>Thompson</t>
  </si>
  <si>
    <t>October 26, 1870</t>
  </si>
  <si>
    <t>October 25, 1870</t>
  </si>
  <si>
    <t>Thornton</t>
  </si>
  <si>
    <t>November 9, 1860</t>
  </si>
  <si>
    <t>Accidental death</t>
  </si>
  <si>
    <t>August 24, 1849</t>
  </si>
  <si>
    <t>Travers</t>
  </si>
  <si>
    <t>35 Myrtle Avenue</t>
  </si>
  <si>
    <t>September 1862</t>
  </si>
  <si>
    <t>4 Hawk Street</t>
  </si>
  <si>
    <t xml:space="preserve"> February 22, 1852</t>
  </si>
  <si>
    <t>Inflammation of bowels</t>
  </si>
  <si>
    <t xml:space="preserve"> February 6, 1861</t>
  </si>
  <si>
    <t>General debility</t>
  </si>
  <si>
    <t>January 3, 1862</t>
  </si>
  <si>
    <t>January 3, 1863</t>
  </si>
  <si>
    <t>Taffee</t>
  </si>
  <si>
    <t>July 4, 1872</t>
  </si>
  <si>
    <t>141 Orange Street</t>
  </si>
  <si>
    <t>January 25, 1858</t>
  </si>
  <si>
    <t>104 Arch Street</t>
  </si>
  <si>
    <t>September 2, 1872</t>
  </si>
  <si>
    <t>April 6, 1873</t>
  </si>
  <si>
    <t>49 Canal Street</t>
  </si>
  <si>
    <t>Tyman</t>
  </si>
  <si>
    <t>Valantie</t>
  </si>
  <si>
    <t>140 Colonie Street</t>
  </si>
  <si>
    <t>July 22, 1873</t>
  </si>
  <si>
    <t>Taafe</t>
  </si>
  <si>
    <t>November 14, 1873</t>
  </si>
  <si>
    <t>Hudson</t>
  </si>
  <si>
    <t>January 29, 1874</t>
  </si>
  <si>
    <t>17 Chapel Street</t>
  </si>
  <si>
    <t>23 Canal Street</t>
  </si>
  <si>
    <t>October 28, 1874</t>
  </si>
  <si>
    <t>Terry</t>
  </si>
  <si>
    <t>417 South Pearl Street</t>
  </si>
  <si>
    <t>January 29, 1875</t>
  </si>
  <si>
    <t>April 5, 1875</t>
  </si>
  <si>
    <t>North Franklin</t>
  </si>
  <si>
    <t>April 6, 187</t>
  </si>
  <si>
    <t>Trainor</t>
  </si>
  <si>
    <t>April 25, 1875</t>
  </si>
  <si>
    <t>30 North Swan Street</t>
  </si>
  <si>
    <t>May 25, 1875</t>
  </si>
  <si>
    <t>43 Canal Street</t>
  </si>
  <si>
    <t>May 28, 1875</t>
  </si>
  <si>
    <t>Tunney</t>
  </si>
  <si>
    <t>677 Broadway</t>
  </si>
  <si>
    <t>Tracey</t>
  </si>
  <si>
    <t>Frankford, Ireland</t>
  </si>
  <si>
    <t>Taaffe</t>
  </si>
  <si>
    <t xml:space="preserve"> February 16, 1876</t>
  </si>
  <si>
    <t>45 Mulberry</t>
  </si>
  <si>
    <t xml:space="preserve"> February 19, 1876</t>
  </si>
  <si>
    <t>T-01</t>
  </si>
  <si>
    <t>T-02</t>
  </si>
  <si>
    <t xml:space="preserve"> February 28, 1876</t>
  </si>
  <si>
    <t>S Pearl &amp; Rensl</t>
  </si>
  <si>
    <t>March 1, 1876</t>
  </si>
  <si>
    <t>March 8, 1876</t>
  </si>
  <si>
    <t>16 Hawk St</t>
  </si>
  <si>
    <t>March 11, 1876</t>
  </si>
  <si>
    <t>January 4, 1876</t>
  </si>
  <si>
    <t>Spring &amp; Albany NY</t>
  </si>
  <si>
    <t>Ballston NY</t>
  </si>
  <si>
    <t>96 N Pearl</t>
  </si>
  <si>
    <t>Tiernan</t>
  </si>
  <si>
    <t>September 11, 1860</t>
  </si>
  <si>
    <t>170 Lumber St</t>
  </si>
  <si>
    <t>October 15, 1877</t>
  </si>
  <si>
    <t xml:space="preserve"> February 24, 1877</t>
  </si>
  <si>
    <t>23 Canal St</t>
  </si>
  <si>
    <t xml:space="preserve"> February 27, 1877</t>
  </si>
  <si>
    <t>34 VanWoert St</t>
  </si>
  <si>
    <t>Tracy</t>
  </si>
  <si>
    <t>225 4th St E Troy NY</t>
  </si>
  <si>
    <t>August 23, 1877</t>
  </si>
  <si>
    <t>311 South St Troy NY</t>
  </si>
  <si>
    <t>P Schuyler</t>
  </si>
  <si>
    <t>April 28, 1873</t>
  </si>
  <si>
    <t>July 26, 1862</t>
  </si>
  <si>
    <t>Waterford Alby Co</t>
  </si>
  <si>
    <t>May 1, 1873</t>
  </si>
  <si>
    <t>26 Swan St</t>
  </si>
  <si>
    <t>August 26, 1877</t>
  </si>
  <si>
    <t>January 18, 1878</t>
  </si>
  <si>
    <t>December 5 1877</t>
  </si>
  <si>
    <t>48 Herkimer St</t>
  </si>
  <si>
    <t>6 Laurence St</t>
  </si>
  <si>
    <t>Tallon</t>
  </si>
  <si>
    <t>73 Third St Alby</t>
  </si>
  <si>
    <t>17 Chapel St</t>
  </si>
  <si>
    <t>Rights disease</t>
  </si>
  <si>
    <t>July 26, 1870</t>
  </si>
  <si>
    <t>Taylor</t>
  </si>
  <si>
    <t>September 1, 1879</t>
  </si>
  <si>
    <t>S Vincent O. Asylum</t>
  </si>
  <si>
    <t>May 10, 1878</t>
  </si>
  <si>
    <t>Myrtle Ave &amp; Philip</t>
  </si>
  <si>
    <t>Tighe</t>
  </si>
  <si>
    <t>269 Saratoga St</t>
  </si>
  <si>
    <t>Cancer of Womb</t>
  </si>
  <si>
    <t>August 20, 1878</t>
  </si>
  <si>
    <t>November 28, 1878</t>
  </si>
  <si>
    <t>343 N Pearl St</t>
  </si>
  <si>
    <t>266 Second St</t>
  </si>
  <si>
    <t>110 N Pearl St</t>
  </si>
  <si>
    <t>Toomey</t>
  </si>
  <si>
    <t>November 13, 1879</t>
  </si>
  <si>
    <t>Tandy</t>
  </si>
  <si>
    <t xml:space="preserve"> February 3, 1879</t>
  </si>
  <si>
    <t>45 Dallius St</t>
  </si>
  <si>
    <t>343 N Pearl</t>
  </si>
  <si>
    <t>Isle of Wright</t>
  </si>
  <si>
    <t>Schuyler Mansion</t>
  </si>
  <si>
    <t>Townson</t>
  </si>
  <si>
    <t xml:space="preserve"> February 11, 1880</t>
  </si>
  <si>
    <t>86 Spring</t>
  </si>
  <si>
    <t xml:space="preserve"> February 14, 1880</t>
  </si>
  <si>
    <t>Trimble</t>
  </si>
  <si>
    <t>54 Church St</t>
  </si>
  <si>
    <t>Removed January 25, 1911 to Catharine L. Lennon's Lot 235 Sec 7</t>
  </si>
  <si>
    <t>August 13, 1880</t>
  </si>
  <si>
    <t>4 Leonard</t>
  </si>
  <si>
    <t>November 9, 1880</t>
  </si>
  <si>
    <t>Taaff</t>
  </si>
  <si>
    <t>July 29, 1857</t>
  </si>
  <si>
    <t>131 First St</t>
  </si>
  <si>
    <t>October 17, 1872</t>
  </si>
  <si>
    <t>March 18, 1849</t>
  </si>
  <si>
    <t>Tiley</t>
  </si>
  <si>
    <t>33 N Lansing</t>
  </si>
  <si>
    <t>T-03</t>
  </si>
  <si>
    <t>Trevers</t>
  </si>
  <si>
    <t>104 Arch St</t>
  </si>
  <si>
    <t>November 19, 1872</t>
  </si>
  <si>
    <t>54 Howard</t>
  </si>
  <si>
    <t>N Fourth Troy NY</t>
  </si>
  <si>
    <t>January 23, 1881</t>
  </si>
  <si>
    <t>121 1/2 S Pearl</t>
  </si>
  <si>
    <t>June 156, 1881</t>
  </si>
  <si>
    <t>August 27, 1881</t>
  </si>
  <si>
    <t>40 Cherry</t>
  </si>
  <si>
    <t>September 5, 1881</t>
  </si>
  <si>
    <t>Killed by RR</t>
  </si>
  <si>
    <t>September 6, 1881</t>
  </si>
  <si>
    <t>141 Orange</t>
  </si>
  <si>
    <t>November 11, 1881</t>
  </si>
  <si>
    <t>97 Mulberry</t>
  </si>
  <si>
    <t>January 1, 1882</t>
  </si>
  <si>
    <t>29 Mohawk</t>
  </si>
  <si>
    <t>January 3, 1882</t>
  </si>
  <si>
    <t>12 North</t>
  </si>
  <si>
    <t>May 12, 1882</t>
  </si>
  <si>
    <t>Feb 23, 1875</t>
  </si>
  <si>
    <t>Quade</t>
  </si>
  <si>
    <t>N Troy NY</t>
  </si>
  <si>
    <t xml:space="preserve"> February 25, 1874</t>
  </si>
  <si>
    <t>Hudson NY</t>
  </si>
  <si>
    <t>September 30, 1874</t>
  </si>
  <si>
    <t xml:space="preserve">100 Allen Str., Hudson, NY </t>
  </si>
  <si>
    <t>October 2, 1874</t>
  </si>
  <si>
    <t>246 Madison Ave</t>
  </si>
  <si>
    <t>Rouses Point, NY</t>
  </si>
  <si>
    <t>St. Louis, MO</t>
  </si>
  <si>
    <t>Ellen J.</t>
  </si>
  <si>
    <t>Frank J.</t>
  </si>
  <si>
    <t>Clarence J.</t>
  </si>
  <si>
    <t>Bridget W.</t>
  </si>
  <si>
    <t>Mary R.</t>
  </si>
  <si>
    <t>James Talbot</t>
  </si>
  <si>
    <t>Ellen E.</t>
  </si>
  <si>
    <t>Martin W.</t>
  </si>
  <si>
    <t>Edwin Bertram</t>
  </si>
  <si>
    <t>Clara</t>
  </si>
  <si>
    <t>Anastacia</t>
  </si>
  <si>
    <t>Martin R.</t>
  </si>
  <si>
    <t>Henry J.</t>
  </si>
  <si>
    <t>Alice M.</t>
  </si>
  <si>
    <t>Lawrence J.</t>
  </si>
  <si>
    <t>Katie Maloy</t>
  </si>
  <si>
    <t>Helen</t>
  </si>
  <si>
    <t>Bernard James</t>
  </si>
  <si>
    <t>Patrick Francis</t>
  </si>
  <si>
    <t>Fannie</t>
  </si>
  <si>
    <t>Anna Marie</t>
  </si>
  <si>
    <t>Jerrmiah</t>
  </si>
  <si>
    <t>Johnnie</t>
  </si>
  <si>
    <t>James Henry</t>
  </si>
  <si>
    <t>Cassie M.</t>
  </si>
  <si>
    <t>Luke</t>
  </si>
  <si>
    <t>Josephine</t>
  </si>
  <si>
    <t>Zoe</t>
  </si>
  <si>
    <t>Moses J.</t>
  </si>
  <si>
    <t>Lucie R.</t>
  </si>
  <si>
    <t>Pablo</t>
  </si>
  <si>
    <t>Pierre M.</t>
  </si>
  <si>
    <t>Bradley B.</t>
  </si>
  <si>
    <t>Joseph Archibald</t>
  </si>
  <si>
    <t>Denis</t>
  </si>
  <si>
    <t>Harry K.</t>
  </si>
  <si>
    <t>Henry F.</t>
  </si>
  <si>
    <t>Henry M.</t>
  </si>
  <si>
    <t>Paul P.</t>
  </si>
  <si>
    <t>Robert A.</t>
  </si>
  <si>
    <t>Mathew</t>
  </si>
  <si>
    <t>Stephen J.</t>
  </si>
  <si>
    <t>Timothy J.</t>
  </si>
  <si>
    <t>Bernard J.</t>
  </si>
  <si>
    <t>AnnaBelle</t>
  </si>
  <si>
    <t>W. J.</t>
  </si>
  <si>
    <t>Margaret C.</t>
  </si>
  <si>
    <t>Agnes E.</t>
  </si>
  <si>
    <t>Sarah F.</t>
  </si>
  <si>
    <t>Thomas Joseph</t>
  </si>
  <si>
    <t>Mary Lillian</t>
  </si>
  <si>
    <t>Ellie H.</t>
  </si>
  <si>
    <t xml:space="preserve">Edward </t>
  </si>
  <si>
    <t>Michael James</t>
  </si>
  <si>
    <t>Jeremiah J.</t>
  </si>
  <si>
    <t>Martha G.</t>
  </si>
  <si>
    <t>Mary Rosetta</t>
  </si>
  <si>
    <t>Mattie Gale</t>
  </si>
  <si>
    <t xml:space="preserve">Patrick </t>
  </si>
  <si>
    <t>Edward B.</t>
  </si>
  <si>
    <t>Albert</t>
  </si>
  <si>
    <t>Ellen C.</t>
  </si>
  <si>
    <t xml:space="preserve">Michael </t>
  </si>
  <si>
    <t>Rosie</t>
  </si>
  <si>
    <t>Ellen P.</t>
  </si>
  <si>
    <t>Ada</t>
  </si>
  <si>
    <t>Bridgie M. J.</t>
  </si>
  <si>
    <t>Jessie</t>
  </si>
  <si>
    <t>Jeremiah, Sr.</t>
  </si>
  <si>
    <t>John M.</t>
  </si>
  <si>
    <t>Doroteer</t>
  </si>
  <si>
    <t>Ignevy</t>
  </si>
  <si>
    <t xml:space="preserve">Leonard  </t>
  </si>
  <si>
    <t>Peter Qt.</t>
  </si>
  <si>
    <t>William I. J.</t>
  </si>
  <si>
    <t>Hannah L.</t>
  </si>
  <si>
    <t>Thomas Francis, 2nd</t>
  </si>
  <si>
    <t>William. J.</t>
  </si>
  <si>
    <t>Clara W.</t>
  </si>
  <si>
    <t>Peter M.</t>
  </si>
  <si>
    <t>Mary Rose</t>
  </si>
  <si>
    <t>Sydney S.</t>
  </si>
  <si>
    <t>Daniel V.</t>
  </si>
  <si>
    <t>E. J.</t>
  </si>
  <si>
    <t>Catherine Kirk</t>
  </si>
  <si>
    <t>Francis I.</t>
  </si>
  <si>
    <t>Agnes C.</t>
  </si>
  <si>
    <t>Arthur Henry</t>
  </si>
  <si>
    <t>James Phillip</t>
  </si>
  <si>
    <t>Alexander</t>
  </si>
  <si>
    <t>Bernard V.</t>
  </si>
  <si>
    <t>Francis P.</t>
  </si>
  <si>
    <t>Margret</t>
  </si>
  <si>
    <t>Anna F</t>
  </si>
  <si>
    <t>Maggie D.</t>
  </si>
  <si>
    <t>Maria Teresa</t>
  </si>
  <si>
    <t>Terence J.</t>
  </si>
  <si>
    <t>Tessie</t>
  </si>
  <si>
    <t>Julie E.</t>
  </si>
  <si>
    <t xml:space="preserve"> homas</t>
  </si>
  <si>
    <t>Winnifred A.</t>
  </si>
  <si>
    <t>Annia</t>
  </si>
  <si>
    <t>Katie Ellen</t>
  </si>
  <si>
    <t>Sue</t>
  </si>
  <si>
    <t>Rose M.</t>
  </si>
  <si>
    <t>Cleo B.</t>
  </si>
  <si>
    <t>Hugh Isaac</t>
  </si>
  <si>
    <t>Julie</t>
  </si>
  <si>
    <t>Ambrose H.</t>
  </si>
  <si>
    <t xml:space="preserve">Andew J. </t>
  </si>
  <si>
    <t>Julia J.</t>
  </si>
  <si>
    <t>Bernard Francis</t>
  </si>
  <si>
    <t>James Patrick</t>
  </si>
  <si>
    <t>John K.</t>
  </si>
  <si>
    <t>Otilda M.</t>
  </si>
  <si>
    <t>Maurice B.</t>
  </si>
  <si>
    <t>Garret, Rev.</t>
  </si>
  <si>
    <t>September 18, 1876</t>
  </si>
  <si>
    <t>No. 7 Pine St.</t>
  </si>
  <si>
    <t>October 14, 1876</t>
  </si>
  <si>
    <t>Lawrence St.</t>
  </si>
  <si>
    <t>October 16, 1876</t>
  </si>
  <si>
    <t>Mullany</t>
  </si>
  <si>
    <t>November 1, 1876</t>
  </si>
  <si>
    <t>Montgomery St.</t>
  </si>
  <si>
    <t>Bridget L.</t>
  </si>
  <si>
    <t>Accidental Drowning</t>
  </si>
  <si>
    <t>August 3, 1874</t>
  </si>
  <si>
    <t>August 14, 1874</t>
  </si>
  <si>
    <t>August 17, 1874</t>
  </si>
  <si>
    <t>Barrett</t>
  </si>
  <si>
    <t>Canal St Albany</t>
  </si>
  <si>
    <t>October 21, 1874</t>
  </si>
  <si>
    <t>Joseph E.</t>
  </si>
  <si>
    <t>Jay St</t>
  </si>
  <si>
    <t>May 1869</t>
  </si>
  <si>
    <t>Beaver St</t>
  </si>
  <si>
    <t>Canal St</t>
  </si>
  <si>
    <t>October 31, 1874</t>
  </si>
  <si>
    <t>November 19, 1874</t>
  </si>
  <si>
    <t>November 22, 1869</t>
  </si>
  <si>
    <t>V-01</t>
  </si>
  <si>
    <t>Vanezer</t>
  </si>
  <si>
    <t>113 S. Pearl</t>
  </si>
  <si>
    <t>May 31, 1872</t>
  </si>
  <si>
    <t>Vassar</t>
  </si>
  <si>
    <t>34 Union</t>
  </si>
  <si>
    <t>Vary</t>
  </si>
  <si>
    <t>Springfield</t>
  </si>
  <si>
    <t>Asthmatics</t>
  </si>
  <si>
    <t>Van Alstyne</t>
  </si>
  <si>
    <t>December 14, 1875</t>
  </si>
  <si>
    <t xml:space="preserve">12 DeWitt St. </t>
  </si>
  <si>
    <t>Vicken</t>
  </si>
  <si>
    <t xml:space="preserve">64 N. Lansing St. </t>
  </si>
  <si>
    <t>Vrooman</t>
  </si>
  <si>
    <t>April 21, 1877</t>
  </si>
  <si>
    <t>3 Tr Albany NY ?</t>
  </si>
  <si>
    <t>Vickers</t>
  </si>
  <si>
    <t>June 21, 1879</t>
  </si>
  <si>
    <t>Viggers</t>
  </si>
  <si>
    <t>5 Genessee</t>
  </si>
  <si>
    <t>December 3, 1881</t>
  </si>
  <si>
    <t>Vandee</t>
  </si>
  <si>
    <t>Infant son of James</t>
  </si>
  <si>
    <t>South</t>
  </si>
  <si>
    <t>Vault-December 30, 1882</t>
  </si>
  <si>
    <t>W-01</t>
  </si>
  <si>
    <t>White</t>
  </si>
  <si>
    <t>May 6, 1869</t>
  </si>
  <si>
    <t>May 7, 1869</t>
  </si>
  <si>
    <t>Wickham</t>
  </si>
  <si>
    <t>April 29, 1865</t>
  </si>
  <si>
    <t>March 30, 1868</t>
  </si>
  <si>
    <t>Walsh</t>
  </si>
  <si>
    <t>August 3, 1869</t>
  </si>
  <si>
    <t>Summer disease</t>
  </si>
  <si>
    <t>Wisley</t>
  </si>
  <si>
    <t>August 28, 1869</t>
  </si>
  <si>
    <t>Eulg mt of Brain</t>
  </si>
  <si>
    <t>August 30, 1869</t>
  </si>
  <si>
    <t>October 1, 1869</t>
  </si>
  <si>
    <t>Cholera Infantiam</t>
  </si>
  <si>
    <t>June 14, 1870</t>
  </si>
  <si>
    <t xml:space="preserve"> February 1867</t>
  </si>
  <si>
    <t>July 12, 1870</t>
  </si>
  <si>
    <t>July 10, 1870</t>
  </si>
  <si>
    <t>May 20, 1862</t>
  </si>
  <si>
    <t>September 20, 1870</t>
  </si>
  <si>
    <t>November 20, 1847</t>
  </si>
  <si>
    <t>Wand</t>
  </si>
  <si>
    <t>Wilson</t>
  </si>
  <si>
    <t>May 23, 1871</t>
  </si>
  <si>
    <t>57 Ward Lane Albany NY</t>
  </si>
  <si>
    <t>Worden</t>
  </si>
  <si>
    <t>October 13, 1871</t>
  </si>
  <si>
    <t>34 DeWitt St</t>
  </si>
  <si>
    <t>October 15, 1871</t>
  </si>
  <si>
    <t>Whalen</t>
  </si>
  <si>
    <t>65 Division St</t>
  </si>
  <si>
    <t>Dove &amp; Jefferson</t>
  </si>
  <si>
    <t>49 Mulberry</t>
  </si>
  <si>
    <t xml:space="preserve"> February 14, 1872</t>
  </si>
  <si>
    <t>40 Central Ave</t>
  </si>
  <si>
    <t>Winelein</t>
  </si>
  <si>
    <t>June 15, 1871</t>
  </si>
  <si>
    <t>9 Johnson Alley</t>
  </si>
  <si>
    <t>57 Van Woert</t>
  </si>
  <si>
    <t>Wiley</t>
  </si>
  <si>
    <t>July 29, 1872</t>
  </si>
  <si>
    <t>62 Lark St</t>
  </si>
  <si>
    <t>July 30, 1872</t>
  </si>
  <si>
    <t>457 Clinton Ave</t>
  </si>
  <si>
    <t>Indigestion</t>
  </si>
  <si>
    <t>Wisely</t>
  </si>
  <si>
    <t>23 Clinton Ave</t>
  </si>
  <si>
    <t>Welch</t>
  </si>
  <si>
    <t>November 2, 1857</t>
  </si>
  <si>
    <t>845 Broadway</t>
  </si>
  <si>
    <t>November 27, 1871</t>
  </si>
  <si>
    <t>January 12, 1859</t>
  </si>
  <si>
    <t>848 Broadway</t>
  </si>
  <si>
    <t>Westerfield</t>
  </si>
  <si>
    <t xml:space="preserve"> February 2, 1872</t>
  </si>
  <si>
    <t>Perlin &amp; Salem St</t>
  </si>
  <si>
    <t>Woods</t>
  </si>
  <si>
    <t xml:space="preserve"> February 28, 1873</t>
  </si>
  <si>
    <t>November 29, 1867</t>
  </si>
  <si>
    <t>July 21, 1872</t>
  </si>
  <si>
    <t>Wallace</t>
  </si>
  <si>
    <t>March 4, 1873</t>
  </si>
  <si>
    <t>23 Martin St</t>
  </si>
  <si>
    <t>May 24, 1873</t>
  </si>
  <si>
    <t>May 29, 1872</t>
  </si>
  <si>
    <t>January 10, 1871</t>
  </si>
  <si>
    <t>101 Orange</t>
  </si>
  <si>
    <t>103 Orange</t>
  </si>
  <si>
    <t>W-02</t>
  </si>
  <si>
    <t>103 Orange St</t>
  </si>
  <si>
    <t>173 Orange St</t>
  </si>
  <si>
    <t>April 22, 1863</t>
  </si>
  <si>
    <t>101 Orange St</t>
  </si>
  <si>
    <t>Wier</t>
  </si>
  <si>
    <t>Bristol, NY</t>
  </si>
  <si>
    <t>January 6, 1865</t>
  </si>
  <si>
    <t>168 Lumber St</t>
  </si>
  <si>
    <t>Van Vechten St</t>
  </si>
  <si>
    <t>January 20, 1874</t>
  </si>
  <si>
    <t>23 Mulberry St</t>
  </si>
  <si>
    <t>241 Madison Ave</t>
  </si>
  <si>
    <t>July 6, 1874</t>
  </si>
  <si>
    <t>49 Mulberry St</t>
  </si>
  <si>
    <t>214 Clinton Ave</t>
  </si>
  <si>
    <t>July 31, 1874</t>
  </si>
  <si>
    <t>Ward</t>
  </si>
  <si>
    <t>March 1851</t>
  </si>
  <si>
    <t>52 Arch St</t>
  </si>
  <si>
    <t>November 13, 1874</t>
  </si>
  <si>
    <t>28 Dallius St</t>
  </si>
  <si>
    <t>Removed 12/15/1916 to J.J. &amp; Rev. R. A. Walsh Lot South 1/2 78 Sec. 38</t>
  </si>
  <si>
    <t>Wessels</t>
  </si>
  <si>
    <t>Bleeker Place</t>
  </si>
  <si>
    <t>Winne</t>
  </si>
  <si>
    <t>March 23, 1875</t>
  </si>
  <si>
    <t>Hunter Ave W. Alby.</t>
  </si>
  <si>
    <t>35 Swan St</t>
  </si>
  <si>
    <t>August 25, 1875</t>
  </si>
  <si>
    <t>August 22, 1875</t>
  </si>
  <si>
    <t>178 Madison Ave</t>
  </si>
  <si>
    <t>Williamson</t>
  </si>
  <si>
    <t>December 24, 1860</t>
  </si>
  <si>
    <t>51 Church St</t>
  </si>
  <si>
    <t>June 1848</t>
  </si>
  <si>
    <t>Arch St</t>
  </si>
  <si>
    <t>Wicke</t>
  </si>
  <si>
    <t>November 15, 1875</t>
  </si>
  <si>
    <t>November 30, 1875</t>
  </si>
  <si>
    <t>26 Dallius St</t>
  </si>
  <si>
    <t>1 wk</t>
  </si>
  <si>
    <t>June 19, 1876</t>
  </si>
  <si>
    <t>32 Canal</t>
  </si>
  <si>
    <t>January 1, 1876</t>
  </si>
  <si>
    <t xml:space="preserve"> February 7, 1876</t>
  </si>
  <si>
    <t>run over by cars</t>
  </si>
  <si>
    <t xml:space="preserve"> February 9, 1876</t>
  </si>
  <si>
    <t>18 Beaver St</t>
  </si>
  <si>
    <t>disease of the lungs</t>
  </si>
  <si>
    <t>December 23, 1876</t>
  </si>
  <si>
    <t>288 Madison Ave</t>
  </si>
  <si>
    <t>May 10, 1877</t>
  </si>
  <si>
    <t>683 Broadway</t>
  </si>
  <si>
    <t>October 18, 1877</t>
  </si>
  <si>
    <t>October 12, 1876</t>
  </si>
  <si>
    <t>93 First St</t>
  </si>
  <si>
    <t>Debility + Old Age</t>
  </si>
  <si>
    <t>October 14, 1877</t>
  </si>
  <si>
    <t>Weilly</t>
  </si>
  <si>
    <t>69 Beaver</t>
  </si>
  <si>
    <t>Cong. of the Brain</t>
  </si>
  <si>
    <t>May 2, 1879</t>
  </si>
  <si>
    <t>110 Philip St</t>
  </si>
  <si>
    <t>Wood</t>
  </si>
  <si>
    <t>September 12, 1879</t>
  </si>
  <si>
    <t>Cherry &amp; Green St</t>
  </si>
  <si>
    <t>January 10, 1878</t>
  </si>
  <si>
    <t>Sacred Heart Con</t>
  </si>
  <si>
    <t>January 1878</t>
  </si>
  <si>
    <t>Washington</t>
  </si>
  <si>
    <t>May 22, 1878</t>
  </si>
  <si>
    <t>May 23, 1878</t>
  </si>
  <si>
    <t>55 Mulberry St</t>
  </si>
  <si>
    <t>July 17, 1878</t>
  </si>
  <si>
    <t>338 Van Woert St</t>
  </si>
  <si>
    <t>W-03</t>
  </si>
  <si>
    <t>Weir</t>
  </si>
  <si>
    <t>November 12, 1877</t>
  </si>
  <si>
    <t>269 Orange St</t>
  </si>
  <si>
    <t>11/14/1877</t>
  </si>
  <si>
    <t>March 3</t>
  </si>
  <si>
    <t>428 Salem St.</t>
  </si>
  <si>
    <t>2/5/1879</t>
  </si>
  <si>
    <t>524 Madison Ave.</t>
  </si>
  <si>
    <t>2/7/1879</t>
  </si>
  <si>
    <t xml:space="preserve"> February 22, 1879</t>
  </si>
  <si>
    <t>Removed 12/15/1916 to J.J. &amp; Rev. C.A. Walsh Lot S 1/2  78 Sec 38</t>
  </si>
  <si>
    <t>March 20, 1879</t>
  </si>
  <si>
    <t>3/25/1879</t>
  </si>
  <si>
    <t>Wooster</t>
  </si>
  <si>
    <t>October 20, 1879</t>
  </si>
  <si>
    <t>32 Chapel St.</t>
  </si>
  <si>
    <t>10/22/1879</t>
  </si>
  <si>
    <t>544 Madison Ave.</t>
  </si>
  <si>
    <t>12/28/1878</t>
  </si>
  <si>
    <t>Walls</t>
  </si>
  <si>
    <t>174 Orange St.</t>
  </si>
  <si>
    <t>1/7/1880</t>
  </si>
  <si>
    <t>March 20, 1880</t>
  </si>
  <si>
    <t>119 Dalluis St.</t>
  </si>
  <si>
    <t>3/22/1880</t>
  </si>
  <si>
    <t>4/20/1880</t>
  </si>
  <si>
    <t>Wheeler</t>
  </si>
  <si>
    <t>Colonie below Knox</t>
  </si>
  <si>
    <t>4/26/1880</t>
  </si>
  <si>
    <t>June 6, 1869</t>
  </si>
  <si>
    <t>7/3/1878</t>
  </si>
  <si>
    <t>1/31/1876</t>
  </si>
  <si>
    <t>9/25/1877 ?</t>
  </si>
  <si>
    <t>Genl Debility</t>
  </si>
  <si>
    <t>May 4, 1872</t>
  </si>
  <si>
    <t>Margeret</t>
  </si>
  <si>
    <t>December 12, 1855</t>
  </si>
  <si>
    <t>March 13, 1865</t>
  </si>
  <si>
    <t>January 10, 1861</t>
  </si>
  <si>
    <t>Philadelphia</t>
  </si>
  <si>
    <t>June 4, 1868</t>
  </si>
  <si>
    <t>Hall</t>
  </si>
  <si>
    <t>Lillian Maria</t>
  </si>
  <si>
    <t>Cor Broadway &amp; N. Lansing</t>
  </si>
  <si>
    <t>Gaynor</t>
  </si>
  <si>
    <t>147 Lumber St.</t>
  </si>
  <si>
    <t>September 20, 1871</t>
  </si>
  <si>
    <t>Gillespie</t>
  </si>
  <si>
    <t xml:space="preserve">71 Dove St. </t>
  </si>
  <si>
    <t>71 Dove St.</t>
  </si>
  <si>
    <t>November 16, 1871</t>
  </si>
  <si>
    <t>November 28, 1869</t>
  </si>
  <si>
    <t>November 17, 1871</t>
  </si>
  <si>
    <t>November 14,1871</t>
  </si>
  <si>
    <t>Galliger</t>
  </si>
  <si>
    <t>15 Mongomery St.</t>
  </si>
  <si>
    <t>December 9, 1871</t>
  </si>
  <si>
    <t>87 First St.</t>
  </si>
  <si>
    <t xml:space="preserve"> May 10, 1881</t>
  </si>
  <si>
    <t>100 Quay St</t>
  </si>
  <si>
    <t>May 12, 1881</t>
  </si>
  <si>
    <t>Gallery</t>
  </si>
  <si>
    <t>Mary G.</t>
  </si>
  <si>
    <t xml:space="preserve"> June 16, 1881</t>
  </si>
  <si>
    <t>57 Lawrence</t>
  </si>
  <si>
    <t>June 19, 1881</t>
  </si>
  <si>
    <t xml:space="preserve"> July 10, 1881</t>
  </si>
  <si>
    <t>23 LaFayette</t>
  </si>
  <si>
    <t xml:space="preserve"> August 19, 1881</t>
  </si>
  <si>
    <t>157 Morton</t>
  </si>
  <si>
    <t>August 21, 1881</t>
  </si>
  <si>
    <t>June 6, 1868</t>
  </si>
  <si>
    <t>McDonough</t>
  </si>
  <si>
    <t>March 24, 1867</t>
  </si>
  <si>
    <t>Murphy</t>
  </si>
  <si>
    <t>December 1867</t>
  </si>
  <si>
    <t>June 12, 1868</t>
  </si>
  <si>
    <t>Mannix</t>
  </si>
  <si>
    <t>E. Greenbush NY</t>
  </si>
  <si>
    <t>February 27</t>
  </si>
  <si>
    <t>June 24, 1868</t>
  </si>
  <si>
    <t>Murtaugh</t>
  </si>
  <si>
    <t>August 16, 1868</t>
  </si>
  <si>
    <t>Mooney</t>
  </si>
  <si>
    <t>August 23, 1868</t>
  </si>
  <si>
    <t>August 25, 1868</t>
  </si>
  <si>
    <t>McCann</t>
  </si>
  <si>
    <t>September 10, 1868</t>
  </si>
  <si>
    <t>McCloskey</t>
  </si>
  <si>
    <t>McGrath</t>
  </si>
  <si>
    <t>February 6, 1865</t>
  </si>
  <si>
    <t>November 28, 1868</t>
  </si>
  <si>
    <t>October 22, 1865</t>
  </si>
  <si>
    <t>July 27, 1863</t>
  </si>
  <si>
    <t>McQuade</t>
  </si>
  <si>
    <t>October 17, 1861</t>
  </si>
  <si>
    <t xml:space="preserve"> R.</t>
  </si>
  <si>
    <t>April 2, 1846</t>
  </si>
  <si>
    <t>March 20, 1868</t>
  </si>
  <si>
    <t xml:space="preserve"> Paul</t>
  </si>
  <si>
    <t>April 20, 1863</t>
  </si>
  <si>
    <t xml:space="preserve"> Roseatta</t>
  </si>
  <si>
    <t>August 22, 1837</t>
  </si>
  <si>
    <t>June 20, 1862</t>
  </si>
  <si>
    <t>McCormick</t>
  </si>
  <si>
    <t xml:space="preserve"> Jane</t>
  </si>
  <si>
    <t>Neuralgia</t>
  </si>
  <si>
    <t>May 14, 1869</t>
  </si>
  <si>
    <t>McCoskey</t>
  </si>
  <si>
    <t>December 25, 1868</t>
  </si>
  <si>
    <t>McConville</t>
  </si>
  <si>
    <t>January 12, 1869</t>
  </si>
  <si>
    <t>McNab</t>
  </si>
  <si>
    <t xml:space="preserve"> Lavancia B.</t>
  </si>
  <si>
    <t>Bennington, Vermont</t>
  </si>
  <si>
    <t>May 3, 1869</t>
  </si>
  <si>
    <t>June 2, 1869</t>
  </si>
  <si>
    <t>Moloney</t>
  </si>
  <si>
    <t xml:space="preserve"> Anne M.</t>
  </si>
  <si>
    <t>Springfield, Mass</t>
  </si>
  <si>
    <t>December 17, 1868</t>
  </si>
  <si>
    <t>Springfield, Mass.</t>
  </si>
  <si>
    <t>June 8, 1869</t>
  </si>
  <si>
    <t>February 11</t>
  </si>
  <si>
    <t>June 11, 1869</t>
  </si>
  <si>
    <t>McAloine</t>
  </si>
  <si>
    <t>August 2, 1869</t>
  </si>
  <si>
    <t>August 4, 1869</t>
  </si>
  <si>
    <t>McCotter</t>
  </si>
  <si>
    <t>January 13, 1869</t>
  </si>
  <si>
    <t>Mahan</t>
  </si>
  <si>
    <t>January 11</t>
  </si>
  <si>
    <t>McArdle</t>
  </si>
  <si>
    <t>December 6, 1824</t>
  </si>
  <si>
    <t>August 26, 1851</t>
  </si>
  <si>
    <t>March 7, 1853</t>
  </si>
  <si>
    <t>McAllister</t>
  </si>
  <si>
    <t>McGan</t>
  </si>
  <si>
    <t>October 13, 1869</t>
  </si>
  <si>
    <t>October 15, 1869</t>
  </si>
  <si>
    <t>November 25, 1869</t>
  </si>
  <si>
    <t>January 4, 1870</t>
  </si>
  <si>
    <t>January 6, 1870</t>
  </si>
  <si>
    <t>January 10, 1870</t>
  </si>
  <si>
    <t>23 Quackenbush St.</t>
  </si>
  <si>
    <t>January 12, 1870</t>
  </si>
  <si>
    <t xml:space="preserve"> Rosetta</t>
  </si>
  <si>
    <t>December 15, 1869</t>
  </si>
  <si>
    <t>24 Quackenbush St.</t>
  </si>
  <si>
    <t>March 26, 1870</t>
  </si>
  <si>
    <t>25 Quackenbush St.</t>
  </si>
  <si>
    <t>May 22, 1870</t>
  </si>
  <si>
    <t>February 12, 1870</t>
  </si>
  <si>
    <t>26 Quackenbush St.</t>
  </si>
  <si>
    <t>May 28, 1870</t>
  </si>
  <si>
    <t>M-02</t>
  </si>
  <si>
    <t>McMahon</t>
  </si>
  <si>
    <t>June 3</t>
  </si>
  <si>
    <t>McCabe</t>
  </si>
  <si>
    <t>December 11, 1868</t>
  </si>
  <si>
    <t>Dropsy in Brain</t>
  </si>
  <si>
    <t>June 7, 1870</t>
  </si>
  <si>
    <t>June 5, 1869</t>
  </si>
  <si>
    <t>Mullen</t>
  </si>
  <si>
    <t>December 26, 1869</t>
  </si>
  <si>
    <t>May 19, 1870</t>
  </si>
  <si>
    <t xml:space="preserve"> George B.</t>
  </si>
  <si>
    <t>Ch Infantum</t>
  </si>
  <si>
    <t>W Troy NY</t>
  </si>
  <si>
    <t>October 21, 1870</t>
  </si>
  <si>
    <t>Moylan</t>
  </si>
  <si>
    <t>October 16, 1870</t>
  </si>
  <si>
    <t>Marrin</t>
  </si>
  <si>
    <t>May 29, 1848</t>
  </si>
  <si>
    <t>November 17, 1870</t>
  </si>
  <si>
    <t>McNamara</t>
  </si>
  <si>
    <t>November 5, 1870</t>
  </si>
  <si>
    <t>Maloy</t>
  </si>
  <si>
    <t>November 4, 1870</t>
  </si>
  <si>
    <t>Maloney</t>
  </si>
  <si>
    <t>October 19, 1870</t>
  </si>
  <si>
    <t>Matthews</t>
  </si>
  <si>
    <t>January 24, 1870</t>
  </si>
  <si>
    <t>May 22, 1871</t>
  </si>
  <si>
    <t>Madden</t>
  </si>
  <si>
    <t>April 28, 1871</t>
  </si>
  <si>
    <t>February 5, 1871</t>
  </si>
  <si>
    <t>June 2, 1871</t>
  </si>
  <si>
    <t>Albany NY Co.</t>
  </si>
  <si>
    <t>May 12, 1871</t>
  </si>
  <si>
    <t>Monaghan</t>
  </si>
  <si>
    <t>November 30, 1870</t>
  </si>
  <si>
    <t>March 26, 1871</t>
  </si>
  <si>
    <t>McDonald</t>
  </si>
  <si>
    <t>April 11, 1870</t>
  </si>
  <si>
    <t>April 13, 1871</t>
  </si>
  <si>
    <t>June 1865</t>
  </si>
  <si>
    <t>Infant ?</t>
  </si>
  <si>
    <t>McGuade</t>
  </si>
  <si>
    <t>June 21, 1821</t>
  </si>
  <si>
    <t>69 Clinton Ave.</t>
  </si>
  <si>
    <t xml:space="preserve"> Union St.</t>
  </si>
  <si>
    <t>July 5, 1871</t>
  </si>
  <si>
    <t>July 7, 1871</t>
  </si>
  <si>
    <t>101 Lark St.</t>
  </si>
  <si>
    <t>July 13, 1871</t>
  </si>
  <si>
    <t>July 14, 1871</t>
  </si>
  <si>
    <t>McCallister</t>
  </si>
  <si>
    <t>July 17, 1871</t>
  </si>
  <si>
    <t>Knox St.</t>
  </si>
  <si>
    <t>Chol. Infant.</t>
  </si>
  <si>
    <t>July 18, 1871</t>
  </si>
  <si>
    <t>July 19, 1871</t>
  </si>
  <si>
    <t>64 Water St.</t>
  </si>
  <si>
    <t>July 23, 1871</t>
  </si>
  <si>
    <t>Main St. Milford</t>
  </si>
  <si>
    <t>O'Donahoe</t>
  </si>
  <si>
    <t>Lucinda</t>
  </si>
  <si>
    <t>75 Livingston</t>
  </si>
  <si>
    <t>Maude</t>
  </si>
  <si>
    <t>November 30, 1881</t>
  </si>
  <si>
    <t>162 E. 123rd St</t>
  </si>
  <si>
    <t>December 2, 1881</t>
  </si>
  <si>
    <t>January 10, 1882</t>
  </si>
  <si>
    <t>O'Roarke</t>
  </si>
  <si>
    <t>Daniel J.</t>
  </si>
  <si>
    <t>4th &amp; Division</t>
  </si>
  <si>
    <t>298 Central</t>
  </si>
  <si>
    <t>14 Catharine</t>
  </si>
  <si>
    <t>66 Second</t>
  </si>
  <si>
    <t>O'Toole</t>
  </si>
  <si>
    <t>148 Jefferson</t>
  </si>
  <si>
    <t>May 3, 1882</t>
  </si>
  <si>
    <t>2 Kirk Alley</t>
  </si>
  <si>
    <t>July 17, 1882</t>
  </si>
  <si>
    <t>August 15, 1882</t>
  </si>
  <si>
    <t>August 30, 1882</t>
  </si>
  <si>
    <t>O'Donahue</t>
  </si>
  <si>
    <t xml:space="preserve">Daniel  </t>
  </si>
  <si>
    <t>September 4, 1882</t>
  </si>
  <si>
    <t xml:space="preserve">Thomas </t>
  </si>
  <si>
    <t>72 Second St</t>
  </si>
  <si>
    <t>Cong. Of the brain</t>
  </si>
  <si>
    <t>O'Keeffe</t>
  </si>
  <si>
    <t>81 Colonie</t>
  </si>
  <si>
    <t>Fracture of the skull</t>
  </si>
  <si>
    <t>Terence James</t>
  </si>
  <si>
    <t>109 Colonie</t>
  </si>
  <si>
    <t>Cornelius A.</t>
  </si>
  <si>
    <t>December 19, 1882</t>
  </si>
  <si>
    <t xml:space="preserve">Poe   </t>
  </si>
  <si>
    <t>William H.</t>
  </si>
  <si>
    <t>December 28, 1867</t>
  </si>
  <si>
    <t>November 11, 1867</t>
  </si>
  <si>
    <t>Preston</t>
  </si>
  <si>
    <t>December 15, 1867</t>
  </si>
  <si>
    <t>June 30, 1868</t>
  </si>
  <si>
    <t>Kate M.</t>
  </si>
  <si>
    <t>Connecticut</t>
  </si>
  <si>
    <t>Perter</t>
  </si>
  <si>
    <t>May 15, 1868</t>
  </si>
  <si>
    <t>Poe</t>
  </si>
  <si>
    <t>March 16, 1870</t>
  </si>
  <si>
    <t>May 18, 1870</t>
  </si>
  <si>
    <t>June 12, 1870</t>
  </si>
  <si>
    <t>June 15, 1870</t>
  </si>
  <si>
    <t>March 6, 1871</t>
  </si>
  <si>
    <t>May 26, 1871</t>
  </si>
  <si>
    <t>218 Hamilton St.</t>
  </si>
  <si>
    <t>Pelitt</t>
  </si>
  <si>
    <t>November 22, 1860</t>
  </si>
  <si>
    <t>14th Street</t>
  </si>
  <si>
    <t xml:space="preserve">Patterson  </t>
  </si>
  <si>
    <t>55 Cherry St.</t>
  </si>
  <si>
    <t>April 22, 1873</t>
  </si>
  <si>
    <t>Powers</t>
  </si>
  <si>
    <t>9 Gansevoort St.</t>
  </si>
  <si>
    <t>Inflamed Brain</t>
  </si>
  <si>
    <t>Pendergast</t>
  </si>
  <si>
    <t>August 10, 1842</t>
  </si>
  <si>
    <t>172 Eagle St.</t>
  </si>
  <si>
    <t>July 18, 1849</t>
  </si>
  <si>
    <t>16 Van Zandt</t>
  </si>
  <si>
    <t>Jane G.</t>
  </si>
  <si>
    <t>105 Hamilton</t>
  </si>
  <si>
    <t>Prevy</t>
  </si>
  <si>
    <t>2 Morton</t>
  </si>
  <si>
    <t>Picira</t>
  </si>
  <si>
    <t>Joseph J.</t>
  </si>
  <si>
    <t>October 6, 1873</t>
  </si>
  <si>
    <t>384 Broadway</t>
  </si>
  <si>
    <t>Paley</t>
  </si>
  <si>
    <t>April 2, 1875</t>
  </si>
  <si>
    <t>47 N. Lansing</t>
  </si>
  <si>
    <t>April 3, 1875</t>
  </si>
  <si>
    <t>Phelan</t>
  </si>
  <si>
    <t>June 19, 1875</t>
  </si>
  <si>
    <t>June 20, 1875</t>
  </si>
  <si>
    <t>Pue</t>
  </si>
  <si>
    <t>Cor. Main &amp; Howard Sts., Cohoes</t>
  </si>
  <si>
    <t>December 9, 1875</t>
  </si>
  <si>
    <t xml:space="preserve">Pfordt </t>
  </si>
  <si>
    <t>Catharine M.</t>
  </si>
  <si>
    <t>October 6, 1876</t>
  </si>
  <si>
    <t>897 Broadway</t>
  </si>
  <si>
    <t xml:space="preserve">Parks  </t>
  </si>
  <si>
    <t>262 Orange St.</t>
  </si>
  <si>
    <t>November 30, 1876</t>
  </si>
  <si>
    <t>Pickett</t>
  </si>
  <si>
    <t>June 22, 1862</t>
  </si>
  <si>
    <t>North St., West Troy</t>
  </si>
  <si>
    <t>Augustin</t>
  </si>
  <si>
    <t>December 10, 1865</t>
  </si>
  <si>
    <t>October 5, 1876</t>
  </si>
  <si>
    <t>Charles James</t>
  </si>
  <si>
    <t>February 22, 1861</t>
  </si>
  <si>
    <t>W. Troy, No. 3 Mansion St.</t>
  </si>
  <si>
    <t>Lung Hemmmorage</t>
  </si>
  <si>
    <t xml:space="preserve">Picket </t>
  </si>
  <si>
    <t>William John</t>
  </si>
  <si>
    <t>May 1, 1866</t>
  </si>
  <si>
    <t>W. Troy,  No. 3 Mansion St.</t>
  </si>
  <si>
    <t>November 23, 1877</t>
  </si>
  <si>
    <t>21 Canal St.</t>
  </si>
  <si>
    <t>Rensselaer St.</t>
  </si>
  <si>
    <t>May 18, 1877</t>
  </si>
  <si>
    <t>Purcell</t>
  </si>
  <si>
    <t>South St.</t>
  </si>
  <si>
    <t>Inflamation of Bowel</t>
  </si>
  <si>
    <t>Mary Genevieve</t>
  </si>
  <si>
    <t xml:space="preserve">Consumption  </t>
  </si>
  <si>
    <t>February 28, 1880</t>
  </si>
  <si>
    <t>A. Louise</t>
  </si>
  <si>
    <t>147 Clinton Av</t>
  </si>
  <si>
    <t>Disease of the Brain</t>
  </si>
  <si>
    <t>Timothy F.</t>
  </si>
  <si>
    <t>113 Jefferson</t>
  </si>
  <si>
    <t>90 Albany St.</t>
  </si>
  <si>
    <t>July 13, 1880</t>
  </si>
  <si>
    <t>October 15, 1880</t>
  </si>
  <si>
    <t>98 Jefferson</t>
  </si>
  <si>
    <t>October 18,1880</t>
  </si>
  <si>
    <t>22 Beaver</t>
  </si>
  <si>
    <t>9 Elizabeth</t>
  </si>
  <si>
    <t>December 8, 1880</t>
  </si>
  <si>
    <t>169 Orange</t>
  </si>
  <si>
    <t>October 14, 1872</t>
  </si>
  <si>
    <t xml:space="preserve">Owen     </t>
  </si>
  <si>
    <t>146 Clinton</t>
  </si>
  <si>
    <t>January 13, 1881</t>
  </si>
  <si>
    <t>William O.</t>
  </si>
  <si>
    <t>26 Howard</t>
  </si>
  <si>
    <t>22 Perry</t>
  </si>
  <si>
    <t>April 25, 1881</t>
  </si>
  <si>
    <t>13 TenBroeck</t>
  </si>
  <si>
    <t>O'Dea</t>
  </si>
  <si>
    <t>130 Eagle</t>
  </si>
  <si>
    <t>May 10, 1880</t>
  </si>
  <si>
    <t>56 Lawrence</t>
  </si>
  <si>
    <t>265 Clinton Ave</t>
  </si>
  <si>
    <t>July 6, 1881</t>
  </si>
  <si>
    <t xml:space="preserve">James    </t>
  </si>
  <si>
    <t>Prusham</t>
  </si>
  <si>
    <t>August 13, 1881</t>
  </si>
  <si>
    <t>Shushaver NY</t>
  </si>
  <si>
    <t>David S.</t>
  </si>
  <si>
    <t>14 Catherine</t>
  </si>
  <si>
    <t>October 11, 1881</t>
  </si>
  <si>
    <t>October 13, 1881</t>
  </si>
  <si>
    <t>October 21, 1881</t>
  </si>
  <si>
    <t>888 Broadway</t>
  </si>
  <si>
    <t>Milford, Mass</t>
  </si>
  <si>
    <t>December 13, 1873</t>
  </si>
  <si>
    <t>49 DeWitt St.</t>
  </si>
  <si>
    <t>McSweeny</t>
  </si>
  <si>
    <t xml:space="preserve"> Miles</t>
  </si>
  <si>
    <t>107 DeWitt St.</t>
  </si>
  <si>
    <t>December 16, 1873</t>
  </si>
  <si>
    <t>March 25, 1873</t>
  </si>
  <si>
    <t>261 N. Pearl St.</t>
  </si>
  <si>
    <t>March 27, 1873</t>
  </si>
  <si>
    <t>July 5, 1873</t>
  </si>
  <si>
    <t>McSeal</t>
  </si>
  <si>
    <t>July 9, 1873</t>
  </si>
  <si>
    <t>75 Church St.</t>
  </si>
  <si>
    <t>Mullaney</t>
  </si>
  <si>
    <t>February 7, 1873</t>
  </si>
  <si>
    <t>103 Montgomery St.</t>
  </si>
  <si>
    <t>Mulville</t>
  </si>
  <si>
    <t>August 25, 1865</t>
  </si>
  <si>
    <t>Mills</t>
  </si>
  <si>
    <t xml:space="preserve"> Daniel Qt.</t>
  </si>
  <si>
    <t>May 14, 1873</t>
  </si>
  <si>
    <t>16 Quackenbush St.</t>
  </si>
  <si>
    <t>Dallius &amp; Basset</t>
  </si>
  <si>
    <t>North Ferry</t>
  </si>
  <si>
    <t>Cherry St.</t>
  </si>
  <si>
    <t>McLauhgan</t>
  </si>
  <si>
    <t xml:space="preserve"> Fanny</t>
  </si>
  <si>
    <t>96 3rd St.</t>
  </si>
  <si>
    <t>M-05</t>
  </si>
  <si>
    <t>Dayton OH</t>
  </si>
  <si>
    <t xml:space="preserve"> Jacob</t>
  </si>
  <si>
    <t>February 13, 1873</t>
  </si>
  <si>
    <t>36 Water St.</t>
  </si>
  <si>
    <t>67 N. Ferry St.</t>
  </si>
  <si>
    <t>McKeron</t>
  </si>
  <si>
    <t xml:space="preserve"> Katy  </t>
  </si>
  <si>
    <t>March 26, 1873</t>
  </si>
  <si>
    <t>47 Clinton St.</t>
  </si>
  <si>
    <t xml:space="preserve"> John   </t>
  </si>
  <si>
    <t>March 23, 1873</t>
  </si>
  <si>
    <t>McGinn</t>
  </si>
  <si>
    <t xml:space="preserve"> Margaret </t>
  </si>
  <si>
    <t>July 19, 1873</t>
  </si>
  <si>
    <t>July 21, 1873</t>
  </si>
  <si>
    <t>April 15, 1873</t>
  </si>
  <si>
    <t>April 17, 1873</t>
  </si>
  <si>
    <t>May 1, 1872</t>
  </si>
  <si>
    <t>Lansing St.</t>
  </si>
  <si>
    <t>May 4, 1873</t>
  </si>
  <si>
    <t xml:space="preserve"> Nelly Jane</t>
  </si>
  <si>
    <t>30 Jefferson St.</t>
  </si>
  <si>
    <t>125 Canal</t>
  </si>
  <si>
    <t>November 4, 1873</t>
  </si>
  <si>
    <t>81 N. Lansing</t>
  </si>
  <si>
    <t>November 5, 1873</t>
  </si>
  <si>
    <t>September 6, 1873</t>
  </si>
  <si>
    <t>175 Clinton Ave.</t>
  </si>
  <si>
    <t>September 8, 1873</t>
  </si>
  <si>
    <t>November 7, 1873</t>
  </si>
  <si>
    <t>Cong. Lungs</t>
  </si>
  <si>
    <t>San Francisco Cal.</t>
  </si>
  <si>
    <t>June 30, 1870</t>
  </si>
  <si>
    <t>Fox</t>
  </si>
  <si>
    <t>March 17, 1870</t>
  </si>
  <si>
    <t>Lung Fever</t>
  </si>
  <si>
    <t>March 18, 1868</t>
  </si>
  <si>
    <t>Childbirth</t>
  </si>
  <si>
    <t>May 25, 1870</t>
  </si>
  <si>
    <t>Finegan</t>
  </si>
  <si>
    <t>37 Swan</t>
  </si>
  <si>
    <t>Jane Anne</t>
  </si>
  <si>
    <t>September 26, 1870</t>
  </si>
  <si>
    <t>Fourtun</t>
  </si>
  <si>
    <t>March 15, 1870</t>
  </si>
  <si>
    <t>July 5, 1870</t>
  </si>
  <si>
    <t>Fagan</t>
  </si>
  <si>
    <t>January 20, 1871</t>
  </si>
  <si>
    <t>Annie M.</t>
  </si>
  <si>
    <t>August 16, 1866</t>
  </si>
  <si>
    <t>April 25, 1871</t>
  </si>
  <si>
    <t>April 2, 1871</t>
  </si>
  <si>
    <t>March 15, 1871</t>
  </si>
  <si>
    <t>Rich H.</t>
  </si>
  <si>
    <t>January 28, 1871</t>
  </si>
  <si>
    <t>Kitty</t>
  </si>
  <si>
    <t>January 27, 1871</t>
  </si>
  <si>
    <t>Flannigan</t>
  </si>
  <si>
    <t>October 21, 1860</t>
  </si>
  <si>
    <t>Newark</t>
  </si>
  <si>
    <t>December 24, 1847</t>
  </si>
  <si>
    <t>April 18, 1871</t>
  </si>
  <si>
    <t>August 18, 1855</t>
  </si>
  <si>
    <t>January 7, 1871</t>
  </si>
  <si>
    <t>127 Lumber St.</t>
  </si>
  <si>
    <t>Inflam Bowels</t>
  </si>
  <si>
    <t>Charles H.</t>
  </si>
  <si>
    <t>April 1, 1871</t>
  </si>
  <si>
    <t>862 Broadway</t>
  </si>
  <si>
    <t>June 12, 1871</t>
  </si>
  <si>
    <t>Fort</t>
  </si>
  <si>
    <t>Fred T.</t>
  </si>
  <si>
    <t>May 31, 1871</t>
  </si>
  <si>
    <t>131 Eagle St.</t>
  </si>
  <si>
    <t>Obs of Bowels</t>
  </si>
  <si>
    <t>June 13, 1871</t>
  </si>
  <si>
    <t>August 17, 1871</t>
  </si>
  <si>
    <t>351 State St.</t>
  </si>
  <si>
    <t>August 19, 1871</t>
  </si>
  <si>
    <t>FitzGerald</t>
  </si>
  <si>
    <t xml:space="preserve">Mary  </t>
  </si>
  <si>
    <t>29 Canal St.</t>
  </si>
  <si>
    <t>September 17, 1871</t>
  </si>
  <si>
    <t>Fitzpatrick</t>
  </si>
  <si>
    <t>Christopher</t>
  </si>
  <si>
    <t>October 10, 1870</t>
  </si>
  <si>
    <t>42 Hamilton St.</t>
  </si>
  <si>
    <t>Ear Disease</t>
  </si>
  <si>
    <t>October 10, 1865</t>
  </si>
  <si>
    <t>142 Chestnut St.</t>
  </si>
  <si>
    <t>Irritation of Brain</t>
  </si>
  <si>
    <t>January 15, 1870</t>
  </si>
  <si>
    <t>55 Jefferson St.</t>
  </si>
  <si>
    <t>Christopher, Sr.</t>
  </si>
  <si>
    <t>June 28, 1871</t>
  </si>
  <si>
    <t>505 Broadway</t>
  </si>
  <si>
    <t>November 5, 1871</t>
  </si>
  <si>
    <t>Spruce St.</t>
  </si>
  <si>
    <t>November 7, 1871</t>
  </si>
  <si>
    <t>October 30, 1866</t>
  </si>
  <si>
    <t>23 Congress St.</t>
  </si>
  <si>
    <t>F-02</t>
  </si>
  <si>
    <t>Favreau</t>
  </si>
  <si>
    <t>Hattie Emma</t>
  </si>
  <si>
    <t xml:space="preserve"> September 18, 1872</t>
  </si>
  <si>
    <t>7 Wilbur St.</t>
  </si>
  <si>
    <t>Flanigan</t>
  </si>
  <si>
    <t xml:space="preserve"> June 19, 1872</t>
  </si>
  <si>
    <t>Cor Morton &amp; Grand</t>
  </si>
  <si>
    <t>June 21, 1872</t>
  </si>
  <si>
    <t>Frawley</t>
  </si>
  <si>
    <t xml:space="preserve"> March 28, 1872</t>
  </si>
  <si>
    <t xml:space="preserve">19 VanWoert St. </t>
  </si>
  <si>
    <t>Farnam</t>
  </si>
  <si>
    <t>Neil</t>
  </si>
  <si>
    <t>North Troy</t>
  </si>
  <si>
    <t xml:space="preserve">150  Albany St. </t>
  </si>
  <si>
    <t xml:space="preserve"> March 10, 1872</t>
  </si>
  <si>
    <t>195 Green St.</t>
  </si>
  <si>
    <t xml:space="preserve"> April 17, 1847</t>
  </si>
  <si>
    <t xml:space="preserve"> March 17, 1846</t>
  </si>
  <si>
    <t xml:space="preserve"> May 17, 1854</t>
  </si>
  <si>
    <t xml:space="preserve"> June 17, 1864</t>
  </si>
  <si>
    <t xml:space="preserve"> June 5, 1858</t>
  </si>
  <si>
    <t>Matthew</t>
  </si>
  <si>
    <t xml:space="preserve"> May 25 1872</t>
  </si>
  <si>
    <t>26 Howard St</t>
  </si>
  <si>
    <t>Hoboken N.J.</t>
  </si>
  <si>
    <t xml:space="preserve">Hoboken </t>
  </si>
  <si>
    <t>August 25, 1872</t>
  </si>
  <si>
    <t xml:space="preserve">11 Clinton St. </t>
  </si>
  <si>
    <t>August 26, 1872</t>
  </si>
  <si>
    <t xml:space="preserve">Point Schuyler </t>
  </si>
  <si>
    <t>February 9, 1876</t>
  </si>
  <si>
    <t>October 10, 1878</t>
  </si>
  <si>
    <t>August 22, 1866</t>
  </si>
  <si>
    <t>February 25, 1879</t>
  </si>
  <si>
    <t>February 27, 1872</t>
  </si>
  <si>
    <t>December 7, 1871</t>
  </si>
  <si>
    <t xml:space="preserve"> September  1873</t>
  </si>
  <si>
    <t>February 17, 1875</t>
  </si>
  <si>
    <t>February 29, 1872</t>
  </si>
  <si>
    <t>February 28, 1873</t>
  </si>
  <si>
    <t>February 13, 1870</t>
  </si>
  <si>
    <t>June 25, 1966 ?</t>
  </si>
  <si>
    <t>6/25/1976 ?</t>
  </si>
  <si>
    <t>52 High St.</t>
  </si>
  <si>
    <t>August 15, 1875</t>
  </si>
  <si>
    <t xml:space="preserve"> August 15, 1875</t>
  </si>
  <si>
    <t>August 16, 1848</t>
  </si>
  <si>
    <t>Union St.</t>
  </si>
  <si>
    <t>September 24, 1874</t>
  </si>
  <si>
    <t>35 Monroe St.</t>
  </si>
  <si>
    <t>May 18, 1875</t>
  </si>
  <si>
    <t xml:space="preserve">Boyle </t>
  </si>
  <si>
    <t>July 31, 1875</t>
  </si>
  <si>
    <t>108 3rd St.</t>
  </si>
  <si>
    <t>August 2, 1875</t>
  </si>
  <si>
    <t>August 4, 1875</t>
  </si>
  <si>
    <t>Erie St. N. Albany</t>
  </si>
  <si>
    <t>Sarah</t>
  </si>
  <si>
    <t>September 9, 1875</t>
  </si>
  <si>
    <t>37 DeWitt St.</t>
  </si>
  <si>
    <t>September 11, 1875</t>
  </si>
  <si>
    <t>Owen</t>
  </si>
  <si>
    <t>October 22, 1875</t>
  </si>
  <si>
    <t>236 Orange St.</t>
  </si>
  <si>
    <t>October 24, 1875</t>
  </si>
  <si>
    <t>Inflammation of the Bowels</t>
  </si>
  <si>
    <t>Troy</t>
  </si>
  <si>
    <t>Nov. 20, 1875</t>
  </si>
  <si>
    <t xml:space="preserve">585 Congress St. </t>
  </si>
  <si>
    <t>Brights Disease</t>
  </si>
  <si>
    <t>November 23, 1875</t>
  </si>
  <si>
    <t>Breen</t>
  </si>
  <si>
    <t>December 18, 1875</t>
  </si>
  <si>
    <t>100 Madison Ave.</t>
  </si>
  <si>
    <t>Not Known</t>
  </si>
  <si>
    <t>December 20, 1875</t>
  </si>
  <si>
    <t>January 14, 1876</t>
  </si>
  <si>
    <t>2nd St. near Ontario</t>
  </si>
  <si>
    <t>January 17, 1876</t>
  </si>
  <si>
    <t xml:space="preserve">Bassett </t>
  </si>
  <si>
    <t>Poughkeepsie, NY</t>
  </si>
  <si>
    <t>February 26, 1876</t>
  </si>
  <si>
    <t>February 29, 1876</t>
  </si>
  <si>
    <t>March 21, 1876</t>
  </si>
  <si>
    <t>227 Lancaster St.</t>
  </si>
  <si>
    <t>March 23, 1876</t>
  </si>
  <si>
    <t>Maria A.</t>
  </si>
  <si>
    <t>Newark, NJ</t>
  </si>
  <si>
    <t>March 25, 1876</t>
  </si>
  <si>
    <t xml:space="preserve">Brasil </t>
  </si>
  <si>
    <t>Joanna</t>
  </si>
  <si>
    <t xml:space="preserve"> August 27, 1872</t>
  </si>
  <si>
    <t>Flynn</t>
  </si>
  <si>
    <t>Walter</t>
  </si>
  <si>
    <t xml:space="preserve"> August 29, 1872</t>
  </si>
  <si>
    <t>49 Monroe St.</t>
  </si>
  <si>
    <t>September 1, 1872</t>
  </si>
  <si>
    <t>Foy</t>
  </si>
  <si>
    <t xml:space="preserve"> September 2, 1872</t>
  </si>
  <si>
    <t>Albany City Hall</t>
  </si>
  <si>
    <t>September 5, 1872</t>
  </si>
  <si>
    <t>Fassett</t>
  </si>
  <si>
    <t xml:space="preserve"> May 8, 1861</t>
  </si>
  <si>
    <t xml:space="preserve">25 Spruce St. </t>
  </si>
  <si>
    <t>Finnegan</t>
  </si>
  <si>
    <t>Eliza</t>
  </si>
  <si>
    <t xml:space="preserve"> January 15, 1873</t>
  </si>
  <si>
    <t>51 Ten Broeck</t>
  </si>
  <si>
    <t xml:space="preserve">5 Broad St. </t>
  </si>
  <si>
    <t>May 25, 1873</t>
  </si>
  <si>
    <t xml:space="preserve"> February 3</t>
  </si>
  <si>
    <t xml:space="preserve">195 Green St. </t>
  </si>
  <si>
    <t>Fitzsimmons</t>
  </si>
  <si>
    <t xml:space="preserve">342 Mad Ave. </t>
  </si>
  <si>
    <t xml:space="preserve"> September 23, 1867</t>
  </si>
  <si>
    <t xml:space="preserve">342 Mad. Ave. </t>
  </si>
  <si>
    <t>Ferns</t>
  </si>
  <si>
    <t xml:space="preserve"> April 14</t>
  </si>
  <si>
    <t xml:space="preserve">Orange St. </t>
  </si>
  <si>
    <t xml:space="preserve">Inflammation </t>
  </si>
  <si>
    <t>Anna M.</t>
  </si>
  <si>
    <t xml:space="preserve"> May 26, 1873</t>
  </si>
  <si>
    <t>May 28, 1873</t>
  </si>
  <si>
    <t>Mansion &amp; Albany</t>
  </si>
  <si>
    <t>Flanagan</t>
  </si>
  <si>
    <t xml:space="preserve">VanWoert St. </t>
  </si>
  <si>
    <t xml:space="preserve">Consumption </t>
  </si>
  <si>
    <t>June 6, 1873</t>
  </si>
  <si>
    <t>Broadway corner Van Woert</t>
  </si>
  <si>
    <t>Feeney</t>
  </si>
  <si>
    <t>Del Turnpike, Albany</t>
  </si>
  <si>
    <t xml:space="preserve">Old Age </t>
  </si>
  <si>
    <t>234 Elm St. Albany</t>
  </si>
  <si>
    <t>Elm Street</t>
  </si>
  <si>
    <t>Greenbush N.Y.</t>
  </si>
  <si>
    <t>Dove Street</t>
  </si>
  <si>
    <t xml:space="preserve"> June 27, 1873</t>
  </si>
  <si>
    <t>June 29, 1873</t>
  </si>
  <si>
    <t xml:space="preserve"> June 18, 1873</t>
  </si>
  <si>
    <t>Old age and Disease of Arteries leading to heart</t>
  </si>
  <si>
    <t>Flannagan</t>
  </si>
  <si>
    <t xml:space="preserve"> January 1873</t>
  </si>
  <si>
    <t>Laurence</t>
  </si>
  <si>
    <t xml:space="preserve">Dry Gangrene </t>
  </si>
  <si>
    <t xml:space="preserve"> August 27, 1873</t>
  </si>
  <si>
    <t>72 Park Ave.</t>
  </si>
  <si>
    <t>Foley</t>
  </si>
  <si>
    <t xml:space="preserve"> September 1, 1873</t>
  </si>
  <si>
    <t xml:space="preserve">143 Chesnut </t>
  </si>
  <si>
    <t>September 5, 1873</t>
  </si>
  <si>
    <t>Stephen</t>
  </si>
  <si>
    <t>September 16, 1873</t>
  </si>
  <si>
    <t>Ferren</t>
  </si>
  <si>
    <t xml:space="preserve">216 Swan St. </t>
  </si>
  <si>
    <t>September 10, 1873</t>
  </si>
  <si>
    <t>Flood</t>
  </si>
  <si>
    <t>W.</t>
  </si>
  <si>
    <t>October 10, 1873</t>
  </si>
  <si>
    <t>Scyncope</t>
  </si>
  <si>
    <t>F-03</t>
  </si>
  <si>
    <t>September 14, 1873</t>
  </si>
  <si>
    <t>S. Albany</t>
  </si>
  <si>
    <t>September 15, 1873</t>
  </si>
  <si>
    <t>August 28, 1873</t>
  </si>
  <si>
    <t>August 26, 1873</t>
  </si>
  <si>
    <t>Flinn</t>
  </si>
  <si>
    <t>Susan C.</t>
  </si>
  <si>
    <t>October 27, 1866</t>
  </si>
  <si>
    <t>16 Second St.</t>
  </si>
  <si>
    <t>May 18, 1874</t>
  </si>
  <si>
    <t>Edgar B.</t>
  </si>
  <si>
    <t>May 9, 1874</t>
  </si>
  <si>
    <t>860 Broadway</t>
  </si>
  <si>
    <t>216 Swan St.</t>
  </si>
  <si>
    <t>May 14, 1874</t>
  </si>
  <si>
    <t>March 5, 1874</t>
  </si>
  <si>
    <t>70 Myrtle Av.</t>
  </si>
  <si>
    <t xml:space="preserve">Erysipelas </t>
  </si>
  <si>
    <t>March 6, 1874</t>
  </si>
  <si>
    <t>January 4, 1874</t>
  </si>
  <si>
    <t>71 No. Lansing St.</t>
  </si>
  <si>
    <t>January 6, 1874</t>
  </si>
  <si>
    <t>August 24, 1874</t>
  </si>
  <si>
    <t>August 25, 1874</t>
  </si>
  <si>
    <t>Fleming</t>
  </si>
  <si>
    <t>September 11, 1874</t>
  </si>
  <si>
    <t>Albany No. Lansing St</t>
  </si>
  <si>
    <t>September 13, 1874</t>
  </si>
  <si>
    <t>Ford</t>
  </si>
  <si>
    <t>September 18, 1874</t>
  </si>
  <si>
    <t>Albany 272 Broadway</t>
  </si>
  <si>
    <t>September 20, 1874</t>
  </si>
  <si>
    <t>Finn</t>
  </si>
  <si>
    <t>Albany, 113 Dallius St.</t>
  </si>
  <si>
    <t>November 6, 1874</t>
  </si>
  <si>
    <t>July 27, 1875</t>
  </si>
  <si>
    <t>83 Third St.</t>
  </si>
  <si>
    <t>July 24, 1875</t>
  </si>
  <si>
    <t>Broadway, N. Albany</t>
  </si>
  <si>
    <t>July 25, 1875</t>
  </si>
  <si>
    <t>April 6, 1875</t>
  </si>
  <si>
    <t>232 Elm St</t>
  </si>
  <si>
    <t>April 8, 1875</t>
  </si>
  <si>
    <t>Louis Augustine</t>
  </si>
  <si>
    <t>April 19, 1875</t>
  </si>
  <si>
    <t>68 Jefferson St.</t>
  </si>
  <si>
    <t>April 21, 1875</t>
  </si>
  <si>
    <t>Robert Emmet</t>
  </si>
  <si>
    <t>39 Van Woert St.</t>
  </si>
  <si>
    <t>May 17, 1875</t>
  </si>
  <si>
    <t>May 24, 1875</t>
  </si>
  <si>
    <t>June 24, 1875</t>
  </si>
  <si>
    <t>29 Washington Ave</t>
  </si>
  <si>
    <t>Smothering</t>
  </si>
  <si>
    <t>June 27, 1875</t>
  </si>
  <si>
    <t>James S.</t>
  </si>
  <si>
    <t>July 15, 1875</t>
  </si>
  <si>
    <t>33 DeWitt St</t>
  </si>
  <si>
    <t>July 16, 1875</t>
  </si>
  <si>
    <t>Fitzhenry</t>
  </si>
  <si>
    <t>Cor. Fayette &amp; Hawk</t>
  </si>
  <si>
    <t>September 20, 1875</t>
  </si>
  <si>
    <t>October 6, 1875</t>
  </si>
  <si>
    <t>104 Canal St</t>
  </si>
  <si>
    <t>October 10, 1875</t>
  </si>
  <si>
    <t xml:space="preserve">Farrell </t>
  </si>
  <si>
    <t>48 N. Lansing St</t>
  </si>
  <si>
    <t>58 1/2 Chapel St.</t>
  </si>
  <si>
    <t>Nausea</t>
  </si>
  <si>
    <t>August 9, 1876</t>
  </si>
  <si>
    <t>July 3, 1860</t>
  </si>
  <si>
    <t>88 Church St.</t>
  </si>
  <si>
    <t>May 17, 1876</t>
  </si>
  <si>
    <t>226 Swan</t>
  </si>
  <si>
    <t>January 7, 1876</t>
  </si>
  <si>
    <t>Ferguson</t>
  </si>
  <si>
    <t>February 8, 1876</t>
  </si>
  <si>
    <t>67 Schuyler St,</t>
  </si>
  <si>
    <t>February 10, 1876</t>
  </si>
  <si>
    <t>March 22, 1857</t>
  </si>
  <si>
    <t>Inflamed Lungs</t>
  </si>
  <si>
    <t>June 29, 1869</t>
  </si>
  <si>
    <t>83 Church St.</t>
  </si>
  <si>
    <t>114 Philip St,</t>
  </si>
  <si>
    <t>Burned 7/4/1876</t>
  </si>
  <si>
    <t>July 4, 1876</t>
  </si>
  <si>
    <t>60 Alexander St</t>
  </si>
  <si>
    <t>Disease of Lungs</t>
  </si>
  <si>
    <t>July 6, 1876</t>
  </si>
  <si>
    <t>November 11, 1877</t>
  </si>
  <si>
    <t>Inflamation of Brain</t>
  </si>
  <si>
    <t>November 14, 1877</t>
  </si>
  <si>
    <t>January 11, 1877</t>
  </si>
  <si>
    <t>272 Broadway</t>
  </si>
  <si>
    <t>January 12, 1877</t>
  </si>
  <si>
    <t>353 Hamilton St.</t>
  </si>
  <si>
    <t>January 10, 1877</t>
  </si>
  <si>
    <t>Finnigan</t>
  </si>
  <si>
    <t>William J.</t>
  </si>
  <si>
    <t>415 East 75 St.</t>
  </si>
  <si>
    <t>February 15, 1877</t>
  </si>
  <si>
    <t>February 22, 1877</t>
  </si>
  <si>
    <t>77 Myrtle St.</t>
  </si>
  <si>
    <t>February 26, 1877</t>
  </si>
  <si>
    <t>Katy</t>
  </si>
  <si>
    <t>April 22, 1877</t>
  </si>
  <si>
    <t>Troy Road, Albany Co.</t>
  </si>
  <si>
    <t>April 24, 1877</t>
  </si>
  <si>
    <t>Furey</t>
  </si>
  <si>
    <t xml:space="preserve">65 S. Lansing </t>
  </si>
  <si>
    <t>July 4, 1877</t>
  </si>
  <si>
    <t>Liberty St.</t>
  </si>
  <si>
    <t>F-04</t>
  </si>
  <si>
    <t>September 22, 1877</t>
  </si>
  <si>
    <t>Epilepsy</t>
  </si>
  <si>
    <t>September 25, 1877</t>
  </si>
  <si>
    <t>211 Green St</t>
  </si>
  <si>
    <t>August 2, 1877</t>
  </si>
  <si>
    <t>February 28, 1878</t>
  </si>
  <si>
    <t>Child birth</t>
  </si>
  <si>
    <t>March 6, 1878</t>
  </si>
  <si>
    <t>Rheumatism of heart</t>
  </si>
  <si>
    <t>March 9, 1878</t>
  </si>
  <si>
    <t xml:space="preserve">Flinn </t>
  </si>
  <si>
    <t>March 27, 1878</t>
  </si>
  <si>
    <t>211 Lumber St</t>
  </si>
  <si>
    <t>March 29, 1878</t>
  </si>
  <si>
    <t>April 23, 1878</t>
  </si>
  <si>
    <t xml:space="preserve">Fleming </t>
  </si>
  <si>
    <t>Leo</t>
  </si>
  <si>
    <t>Arch &amp; Grand St</t>
  </si>
  <si>
    <t>April 8, 1878</t>
  </si>
  <si>
    <t>Anna H.</t>
  </si>
  <si>
    <t>August 18, 1864</t>
  </si>
  <si>
    <t>191 Elm St.</t>
  </si>
  <si>
    <t>June 29, 1872</t>
  </si>
  <si>
    <t>782 Broadway</t>
  </si>
  <si>
    <t xml:space="preserve">Boyd  </t>
  </si>
  <si>
    <t>January 22, 1881</t>
  </si>
  <si>
    <t>26 Myrtle</t>
  </si>
  <si>
    <t>January 21, 1881</t>
  </si>
  <si>
    <t xml:space="preserve">Brennan   </t>
  </si>
  <si>
    <t>January 25, 1881</t>
  </si>
  <si>
    <t>61 Third Ave.</t>
  </si>
  <si>
    <t>January 27, 1881</t>
  </si>
  <si>
    <t>January 26, 1881</t>
  </si>
  <si>
    <t>39 Federal St. W.Troy</t>
  </si>
  <si>
    <t>January 29, 1881</t>
  </si>
  <si>
    <t>Issac</t>
  </si>
  <si>
    <t>February 12, 1881</t>
  </si>
  <si>
    <t>AAAAAHs2PIY=</t>
  </si>
  <si>
    <t>AAAAAHs2PIc=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</si>
</sst>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[Red]0"/>
    <numFmt numFmtId="170" formatCode="mmmm\ dd"/>
    <numFmt numFmtId="172" formatCode="mm/dd/yy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12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/>
    <xf numFmtId="0" fontId="0" fillId="0" borderId="0" xfId="0" applyAlignment="1">
      <alignment horizontal="left" wrapText="1" readingOrder="1"/>
    </xf>
    <xf numFmtId="0" fontId="4" fillId="0" borderId="0" xfId="0" applyFont="1" applyAlignment="1" applyProtection="1">
      <alignment horizontal="left" vertical="top" wrapText="1" readingOrder="1"/>
      <protection locked="0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 readingOrder="1"/>
    </xf>
    <xf numFmtId="0" fontId="4" fillId="0" borderId="0" xfId="0" applyFont="1" applyAlignment="1">
      <alignment horizontal="center" wrapText="1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horizontal="left" vertical="top" wrapText="1"/>
      <protection locked="0"/>
    </xf>
    <xf numFmtId="0" fontId="4" fillId="0" borderId="1" xfId="0" applyFont="1" applyBorder="1" applyAlignment="1" applyProtection="1">
      <alignment horizontal="left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4" fillId="0" borderId="1" xfId="0" applyNumberFormat="1" applyFont="1" applyFill="1" applyBorder="1" applyAlignment="1" applyProtection="1">
      <alignment horizontal="left" vertical="top" wrapText="1"/>
      <protection locked="0"/>
    </xf>
    <xf numFmtId="0" fontId="4" fillId="0" borderId="1" xfId="0" applyNumberFormat="1" applyFont="1" applyFill="1" applyBorder="1" applyAlignment="1" applyProtection="1">
      <alignment horizontal="left" vertical="top" wrapText="1" readingOrder="1"/>
      <protection locked="0"/>
    </xf>
    <xf numFmtId="0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0" applyNumberFormat="1" applyFont="1" applyFill="1" applyAlignment="1" applyProtection="1">
      <alignment horizontal="left" vertical="top" wrapText="1" readingOrder="1"/>
      <protection locked="0"/>
    </xf>
    <xf numFmtId="0" fontId="4" fillId="0" borderId="0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NumberFormat="1" applyFont="1" applyFill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center" vertical="top" wrapText="1"/>
      <protection locked="0"/>
    </xf>
    <xf numFmtId="16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>
      <alignment horizontal="center" wrapText="1"/>
    </xf>
    <xf numFmtId="164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>
      <alignment horizontal="center" wrapText="1"/>
    </xf>
    <xf numFmtId="49" fontId="4" fillId="0" borderId="1" xfId="0" applyNumberFormat="1" applyFont="1" applyFill="1" applyBorder="1" applyAlignment="1" applyProtection="1">
      <alignment horizontal="center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14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1" xfId="0" applyFont="1" applyFill="1" applyBorder="1" applyAlignment="1" applyProtection="1">
      <alignment horizontal="left" vertical="top" wrapText="1"/>
      <protection locked="0"/>
    </xf>
    <xf numFmtId="0" fontId="4" fillId="0" borderId="1" xfId="0" applyFont="1" applyFill="1" applyBorder="1" applyAlignment="1" applyProtection="1">
      <alignment horizontal="left" vertical="top" wrapText="1" readingOrder="1"/>
      <protection locked="0"/>
    </xf>
    <xf numFmtId="0" fontId="4" fillId="0" borderId="1" xfId="0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Alignment="1">
      <alignment horizontal="center" wrapText="1"/>
    </xf>
    <xf numFmtId="0" fontId="4" fillId="0" borderId="1" xfId="0" applyFont="1" applyBorder="1" applyAlignment="1">
      <alignment horizontal="left" wrapText="1" readingOrder="1"/>
    </xf>
    <xf numFmtId="0" fontId="4" fillId="0" borderId="2" xfId="0" applyFont="1" applyBorder="1" applyAlignment="1" applyProtection="1">
      <alignment horizontal="left" vertical="top" wrapText="1"/>
      <protection locked="0"/>
    </xf>
    <xf numFmtId="0" fontId="4" fillId="0" borderId="2" xfId="0" applyFont="1" applyBorder="1" applyAlignment="1" applyProtection="1">
      <alignment horizontal="left" vertical="top" wrapText="1" readingOrder="1"/>
      <protection locked="0"/>
    </xf>
    <xf numFmtId="0" fontId="4" fillId="0" borderId="2" xfId="0" applyFont="1" applyBorder="1" applyAlignment="1" applyProtection="1">
      <alignment horizontal="center" vertical="top" wrapText="1"/>
      <protection locked="0"/>
    </xf>
    <xf numFmtId="0" fontId="4" fillId="0" borderId="2" xfId="0" applyNumberFormat="1" applyFont="1" applyFill="1" applyBorder="1" applyAlignment="1" applyProtection="1">
      <alignment horizontal="left" vertical="top" wrapText="1"/>
      <protection locked="0"/>
    </xf>
    <xf numFmtId="0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 wrapText="1" readingOrder="1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49" fontId="4" fillId="0" borderId="1" xfId="0" applyNumberFormat="1" applyFont="1" applyFill="1" applyBorder="1" applyAlignment="1" applyProtection="1">
      <alignment horizontal="left" vertical="top" wrapText="1" readingOrder="1"/>
      <protection locked="0"/>
    </xf>
    <xf numFmtId="49" fontId="4" fillId="0" borderId="0" xfId="0" applyNumberFormat="1" applyFont="1" applyFill="1" applyBorder="1" applyAlignment="1" applyProtection="1">
      <alignment horizontal="center" vertical="top" wrapText="1"/>
      <protection locked="0"/>
    </xf>
    <xf numFmtId="49" fontId="4" fillId="0" borderId="0" xfId="0" applyNumberFormat="1" applyFont="1" applyFill="1" applyAlignment="1" applyProtection="1">
      <alignment horizontal="center" vertical="top" wrapText="1"/>
      <protection locked="0"/>
    </xf>
    <xf numFmtId="49" fontId="4" fillId="0" borderId="0" xfId="0" applyNumberFormat="1" applyFont="1" applyFill="1" applyBorder="1" applyAlignment="1" applyProtection="1">
      <alignment horizontal="left" vertical="top" wrapText="1"/>
      <protection locked="0"/>
    </xf>
    <xf numFmtId="49" fontId="4" fillId="0" borderId="0" xfId="0" applyNumberFormat="1" applyFont="1" applyFill="1" applyAlignment="1" applyProtection="1">
      <alignment horizontal="left" vertical="top" wrapText="1" readingOrder="1"/>
      <protection locked="0"/>
    </xf>
    <xf numFmtId="49" fontId="4" fillId="0" borderId="0" xfId="0" applyNumberFormat="1" applyFont="1" applyFill="1" applyAlignment="1" applyProtection="1">
      <alignment horizontal="left" vertical="top" wrapText="1"/>
      <protection locked="0"/>
    </xf>
    <xf numFmtId="0" fontId="4" fillId="0" borderId="2" xfId="0" applyNumberFormat="1" applyFont="1" applyFill="1" applyBorder="1" applyAlignment="1" applyProtection="1">
      <alignment horizontal="left" vertical="top" wrapText="1" readingOrder="1"/>
      <protection locked="0"/>
    </xf>
    <xf numFmtId="49" fontId="4" fillId="0" borderId="2" xfId="0" applyNumberFormat="1" applyFont="1" applyFill="1" applyBorder="1" applyAlignment="1" applyProtection="1">
      <alignment horizontal="left" vertical="top" wrapText="1"/>
      <protection locked="0"/>
    </xf>
    <xf numFmtId="49" fontId="4" fillId="0" borderId="2" xfId="0" applyNumberFormat="1" applyFont="1" applyFill="1" applyBorder="1" applyAlignment="1" applyProtection="1">
      <alignment horizontal="left" vertical="top" wrapText="1" readingOrder="1"/>
      <protection locked="0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center" vertical="top" wrapText="1"/>
      <protection locked="0"/>
    </xf>
    <xf numFmtId="49" fontId="4" fillId="0" borderId="0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 readingOrder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0" xfId="0" applyNumberFormat="1" applyFont="1" applyAlignment="1" applyProtection="1">
      <alignment horizontal="left" vertical="top" wrapText="1"/>
      <protection locked="0"/>
    </xf>
    <xf numFmtId="49" fontId="4" fillId="0" borderId="0" xfId="0" applyNumberFormat="1" applyFont="1" applyAlignment="1" applyProtection="1">
      <alignment horizontal="left" vertical="top" wrapText="1" readingOrder="1"/>
      <protection locked="0"/>
    </xf>
    <xf numFmtId="49" fontId="4" fillId="0" borderId="0" xfId="0" applyNumberFormat="1" applyFont="1" applyAlignment="1" applyProtection="1">
      <alignment horizontal="center" vertical="top" wrapText="1"/>
      <protection locked="0"/>
    </xf>
    <xf numFmtId="49" fontId="5" fillId="0" borderId="0" xfId="0" applyNumberFormat="1" applyFont="1" applyAlignment="1" applyProtection="1">
      <alignment horizontal="left" vertical="top" wrapText="1"/>
      <protection locked="0"/>
    </xf>
    <xf numFmtId="49" fontId="4" fillId="0" borderId="0" xfId="0" applyNumberFormat="1" applyFont="1" applyBorder="1" applyAlignment="1" applyProtection="1">
      <alignment horizontal="left" vertical="top" wrapText="1"/>
      <protection locked="0"/>
    </xf>
    <xf numFmtId="0" fontId="4" fillId="0" borderId="0" xfId="0" applyNumberFormat="1" applyFont="1" applyFill="1" applyAlignment="1" applyProtection="1">
      <alignment horizontal="left" vertical="top" wrapText="1"/>
      <protection locked="0"/>
    </xf>
    <xf numFmtId="49" fontId="5" fillId="0" borderId="1" xfId="0" applyNumberFormat="1" applyFont="1" applyFill="1" applyBorder="1" applyAlignment="1" applyProtection="1">
      <alignment horizontal="left" vertical="top" wrapText="1"/>
      <protection locked="0"/>
    </xf>
    <xf numFmtId="49" fontId="5" fillId="0" borderId="0" xfId="0" applyNumberFormat="1" applyFont="1" applyFill="1" applyAlignment="1" applyProtection="1">
      <alignment horizontal="left" vertical="top" wrapText="1"/>
      <protection locked="0"/>
    </xf>
    <xf numFmtId="170" fontId="4" fillId="0" borderId="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0" xfId="0" applyNumberFormat="1" applyFont="1" applyAlignment="1">
      <alignment horizontal="center"/>
    </xf>
    <xf numFmtId="172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vertical="top" wrapText="1"/>
      <protection locked="0"/>
    </xf>
    <xf numFmtId="0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1" xfId="1" applyNumberFormat="1" applyFont="1" applyBorder="1" applyAlignment="1" applyProtection="1">
      <alignment horizontal="left" vertical="top" wrapText="1"/>
      <protection locked="0"/>
    </xf>
    <xf numFmtId="49" fontId="4" fillId="0" borderId="1" xfId="1" applyNumberFormat="1" applyFont="1" applyBorder="1" applyAlignment="1" applyProtection="1">
      <alignment horizontal="center" vertical="top" wrapText="1"/>
      <protection locked="0"/>
    </xf>
    <xf numFmtId="0" fontId="4" fillId="0" borderId="1" xfId="0" applyNumberFormat="1" applyFont="1" applyBorder="1" applyAlignment="1">
      <alignment horizontal="center" wrapText="1"/>
    </xf>
    <xf numFmtId="49" fontId="4" fillId="0" borderId="1" xfId="1" applyNumberFormat="1" applyFont="1" applyFill="1" applyBorder="1" applyAlignment="1" applyProtection="1">
      <alignment horizontal="center" vertical="top" wrapText="1"/>
      <protection locked="0"/>
    </xf>
    <xf numFmtId="49" fontId="4" fillId="0" borderId="0" xfId="1" applyNumberFormat="1" applyFont="1" applyBorder="1" applyAlignment="1" applyProtection="1">
      <alignment horizontal="left" vertical="top" wrapText="1"/>
      <protection locked="0"/>
    </xf>
    <xf numFmtId="49" fontId="4" fillId="0" borderId="0" xfId="1" applyNumberFormat="1" applyFont="1" applyBorder="1" applyAlignment="1" applyProtection="1">
      <alignment horizontal="center" vertical="top" wrapText="1"/>
      <protection locked="0"/>
    </xf>
    <xf numFmtId="0" fontId="4" fillId="0" borderId="0" xfId="0" applyNumberFormat="1" applyFont="1" applyAlignment="1">
      <alignment horizontal="center" wrapText="1"/>
    </xf>
    <xf numFmtId="49" fontId="4" fillId="0" borderId="0" xfId="1" applyNumberFormat="1" applyFont="1" applyFill="1" applyBorder="1" applyAlignment="1" applyProtection="1">
      <alignment horizontal="center" vertical="top" wrapText="1"/>
      <protection locked="0"/>
    </xf>
    <xf numFmtId="49" fontId="4" fillId="0" borderId="2" xfId="1" applyNumberFormat="1" applyFont="1" applyFill="1" applyBorder="1" applyAlignment="1" applyProtection="1">
      <alignment horizontal="center" vertical="top" wrapText="1"/>
      <protection locked="0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49" fontId="4" fillId="0" borderId="2" xfId="0" applyNumberFormat="1" applyFont="1" applyBorder="1" applyAlignment="1" applyProtection="1">
      <alignment horizontal="left" vertical="top" wrapText="1" readingOrder="1"/>
      <protection locked="0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49" fontId="4" fillId="0" borderId="2" xfId="1" applyNumberFormat="1" applyFont="1" applyBorder="1" applyAlignment="1" applyProtection="1">
      <alignment horizontal="left" vertical="top" wrapText="1"/>
      <protection locked="0"/>
    </xf>
    <xf numFmtId="49" fontId="4" fillId="0" borderId="2" xfId="1" applyNumberFormat="1" applyFont="1" applyBorder="1" applyAlignment="1" applyProtection="1">
      <alignment horizontal="center" vertical="top" wrapText="1"/>
      <protection locked="0"/>
    </xf>
    <xf numFmtId="49" fontId="4" fillId="0" borderId="2" xfId="1" applyNumberFormat="1" applyFont="1" applyBorder="1" applyAlignment="1" applyProtection="1">
      <alignment horizontal="center" vertical="center" wrapText="1"/>
      <protection locked="0"/>
    </xf>
    <xf numFmtId="49" fontId="5" fillId="0" borderId="2" xfId="0" applyNumberFormat="1" applyFont="1" applyBorder="1" applyAlignment="1" applyProtection="1">
      <alignment horizontal="left" vertical="top" wrapText="1"/>
      <protection locked="0"/>
    </xf>
    <xf numFmtId="49" fontId="5" fillId="0" borderId="2" xfId="0" applyNumberFormat="1" applyFont="1" applyFill="1" applyBorder="1" applyAlignment="1" applyProtection="1">
      <alignment horizontal="left" vertical="top" wrapText="1"/>
      <protection locked="0"/>
    </xf>
    <xf numFmtId="49" fontId="4" fillId="0" borderId="0" xfId="0" applyNumberFormat="1" applyFont="1" applyFill="1" applyAlignment="1" applyProtection="1">
      <alignment horizontal="left" vertical="center" wrapText="1"/>
      <protection locked="0"/>
    </xf>
    <xf numFmtId="0" fontId="4" fillId="0" borderId="0" xfId="0" applyNumberFormat="1" applyFont="1" applyFill="1" applyAlignment="1" applyProtection="1">
      <alignment horizontal="left" vertical="center" wrapText="1"/>
      <protection locked="0"/>
    </xf>
    <xf numFmtId="0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0" borderId="0" xfId="1"/>
    <xf numFmtId="49" fontId="4" fillId="0" borderId="0" xfId="0" applyNumberFormat="1" applyFont="1" applyAlignment="1">
      <alignment wrapText="1"/>
    </xf>
    <xf numFmtId="49" fontId="4" fillId="0" borderId="1" xfId="0" applyNumberFormat="1" applyFont="1" applyBorder="1" applyAlignment="1">
      <alignment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Fill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Border="1" applyAlignment="1">
      <alignment wrapText="1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0" xfId="0" applyNumberFormat="1" applyFont="1" applyFill="1" applyAlignment="1" applyProtection="1">
      <alignment horizontal="left" vertical="center" wrapText="1"/>
      <protection locked="0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4" fillId="0" borderId="2" xfId="0" applyNumberFormat="1" applyFont="1" applyBorder="1" applyAlignment="1" applyProtection="1">
      <alignment horizontal="center" vertical="center" wrapText="1"/>
      <protection locked="0"/>
    </xf>
    <xf numFmtId="49" fontId="0" fillId="0" borderId="0" xfId="0" applyNumberFormat="1" applyAlignment="1">
      <alignment wrapText="1"/>
    </xf>
    <xf numFmtId="49" fontId="0" fillId="0" borderId="0" xfId="0" applyNumberFormat="1" applyAlignment="1">
      <alignment horizontal="center"/>
    </xf>
    <xf numFmtId="49" fontId="4" fillId="0" borderId="0" xfId="0" applyNumberFormat="1" applyFont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49" fontId="4" fillId="0" borderId="0" xfId="0" applyNumberFormat="1" applyFont="1" applyBorder="1" applyAlignment="1">
      <alignment horizontal="center" wrapText="1"/>
    </xf>
    <xf numFmtId="49" fontId="4" fillId="0" borderId="0" xfId="0" applyNumberFormat="1" applyFont="1" applyBorder="1" applyAlignment="1" applyProtection="1">
      <alignment horizontal="center" vertical="center" wrapText="1"/>
      <protection locked="0"/>
    </xf>
    <xf numFmtId="49" fontId="4" fillId="0" borderId="0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 applyBorder="1" applyAlignment="1" applyProtection="1">
      <alignment horizontal="center" vertical="center" wrapText="1"/>
      <protection locked="0"/>
    </xf>
    <xf numFmtId="49" fontId="4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Alignment="1">
      <alignment horizontal="center" vertical="top"/>
    </xf>
    <xf numFmtId="49" fontId="4" fillId="0" borderId="2" xfId="0" applyNumberFormat="1" applyFont="1" applyBorder="1" applyAlignment="1">
      <alignment horizontal="center"/>
    </xf>
    <xf numFmtId="49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Border="1" applyAlignment="1">
      <alignment horizontal="center" vertical="top" wrapText="1"/>
    </xf>
    <xf numFmtId="49" fontId="0" fillId="0" borderId="0" xfId="0" applyNumberFormat="1" applyAlignment="1">
      <alignment horizontal="center" wrapText="1"/>
    </xf>
    <xf numFmtId="49" fontId="6" fillId="0" borderId="2" xfId="1" applyNumberFormat="1" applyFont="1" applyFill="1" applyBorder="1" applyAlignment="1" applyProtection="1">
      <alignment horizontal="center"/>
      <protection locked="0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center" vertical="top"/>
    </xf>
  </cellXfs>
  <cellStyles count="2">
    <cellStyle name="Normal" xfId="0" builtinId="0"/>
    <cellStyle name="Normal_Sheet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3427"/>
  <sheetViews>
    <sheetView tabSelected="1" workbookViewId="0">
      <selection activeCell="E1" sqref="E1:E1048576"/>
    </sheetView>
  </sheetViews>
  <sheetFormatPr defaultRowHeight="12.75" x14ac:dyDescent="0.2"/>
  <cols>
    <col min="1" max="1" width="22" style="1" customWidth="1"/>
    <col min="2" max="2" width="20" style="4" customWidth="1"/>
    <col min="3" max="3" width="20.42578125" style="2" customWidth="1"/>
    <col min="4" max="4" width="17.7109375" style="2" customWidth="1"/>
    <col min="5" max="5" width="24.42578125" style="107" customWidth="1"/>
    <col min="6" max="6" width="34.140625" style="2" customWidth="1"/>
    <col min="7" max="8" width="5.7109375" style="2" customWidth="1"/>
    <col min="9" max="9" width="5.85546875" style="2" customWidth="1"/>
    <col min="10" max="10" width="20.5703125" style="123" customWidth="1"/>
    <col min="11" max="11" width="25.5703125" style="123" customWidth="1"/>
    <col min="12" max="12" width="27.5703125" style="106" customWidth="1"/>
    <col min="13" max="13" width="5.85546875" style="107" customWidth="1"/>
    <col min="14" max="14" width="8.140625" style="107" customWidth="1"/>
  </cols>
  <sheetData>
    <row r="1" spans="1:14" ht="42.75" x14ac:dyDescent="0.2">
      <c r="A1" s="6" t="s">
        <v>1348</v>
      </c>
      <c r="B1" s="7" t="s">
        <v>1449</v>
      </c>
      <c r="C1" s="8" t="s">
        <v>3697</v>
      </c>
      <c r="D1" s="8" t="s">
        <v>3760</v>
      </c>
      <c r="E1" s="68" t="s">
        <v>3698</v>
      </c>
      <c r="F1" s="8" t="s">
        <v>3699</v>
      </c>
      <c r="G1" s="8" t="s">
        <v>3695</v>
      </c>
      <c r="H1" s="8" t="s">
        <v>3694</v>
      </c>
      <c r="I1" s="8" t="s">
        <v>3696</v>
      </c>
      <c r="J1" s="108" t="s">
        <v>3700</v>
      </c>
      <c r="K1" s="108" t="s">
        <v>3701</v>
      </c>
      <c r="L1" s="94" t="s">
        <v>3702</v>
      </c>
      <c r="M1" s="68" t="s">
        <v>5633</v>
      </c>
      <c r="N1" s="68" t="s">
        <v>5634</v>
      </c>
    </row>
    <row r="2" spans="1:14" ht="14.25" x14ac:dyDescent="0.2">
      <c r="A2" s="9" t="s">
        <v>3720</v>
      </c>
      <c r="B2" s="5" t="s">
        <v>3749</v>
      </c>
      <c r="C2" s="10" t="s">
        <v>3754</v>
      </c>
      <c r="D2" s="10" t="s">
        <v>3761</v>
      </c>
      <c r="E2" s="61" t="s">
        <v>1342</v>
      </c>
      <c r="F2" s="10" t="s">
        <v>1131</v>
      </c>
      <c r="G2" s="8">
        <v>18</v>
      </c>
      <c r="H2" s="8">
        <v>3</v>
      </c>
      <c r="I2" s="8"/>
      <c r="J2" s="55" t="s">
        <v>1277</v>
      </c>
      <c r="K2" s="55" t="s">
        <v>1305</v>
      </c>
      <c r="L2" s="61"/>
      <c r="M2" s="68">
        <v>1</v>
      </c>
      <c r="N2" s="68" t="s">
        <v>1392</v>
      </c>
    </row>
    <row r="3" spans="1:14" ht="14.25" x14ac:dyDescent="0.2">
      <c r="A3" s="11" t="s">
        <v>3706</v>
      </c>
      <c r="B3" s="12" t="s">
        <v>3730</v>
      </c>
      <c r="C3" s="13" t="s">
        <v>3754</v>
      </c>
      <c r="D3" s="13" t="s">
        <v>3761</v>
      </c>
      <c r="E3" s="29" t="s">
        <v>1319</v>
      </c>
      <c r="F3" s="13" t="s">
        <v>3772</v>
      </c>
      <c r="G3" s="8"/>
      <c r="H3" s="8">
        <v>6</v>
      </c>
      <c r="I3" s="8"/>
      <c r="J3" s="29" t="s">
        <v>1261</v>
      </c>
      <c r="K3" s="29" t="s">
        <v>1283</v>
      </c>
      <c r="L3" s="29"/>
      <c r="M3" s="68">
        <v>1</v>
      </c>
      <c r="N3" s="68" t="s">
        <v>1392</v>
      </c>
    </row>
    <row r="4" spans="1:14" ht="14.25" x14ac:dyDescent="0.2">
      <c r="A4" s="11" t="s">
        <v>3706</v>
      </c>
      <c r="B4" s="12" t="s">
        <v>3729</v>
      </c>
      <c r="C4" s="13" t="s">
        <v>3754</v>
      </c>
      <c r="D4" s="13" t="s">
        <v>3761</v>
      </c>
      <c r="E4" s="29" t="s">
        <v>1318</v>
      </c>
      <c r="F4" s="13" t="s">
        <v>3771</v>
      </c>
      <c r="G4" s="8">
        <v>37</v>
      </c>
      <c r="H4" s="8"/>
      <c r="I4" s="8"/>
      <c r="J4" s="29" t="s">
        <v>1260</v>
      </c>
      <c r="K4" s="29" t="s">
        <v>1283</v>
      </c>
      <c r="L4" s="29"/>
      <c r="M4" s="68">
        <v>1</v>
      </c>
      <c r="N4" s="68" t="s">
        <v>1392</v>
      </c>
    </row>
    <row r="5" spans="1:14" ht="14.25" x14ac:dyDescent="0.2">
      <c r="A5" s="11" t="s">
        <v>3712</v>
      </c>
      <c r="B5" s="12" t="s">
        <v>3732</v>
      </c>
      <c r="C5" s="13" t="s">
        <v>3757</v>
      </c>
      <c r="D5" s="13" t="s">
        <v>3761</v>
      </c>
      <c r="E5" s="29" t="s">
        <v>1333</v>
      </c>
      <c r="F5" s="13" t="s">
        <v>3783</v>
      </c>
      <c r="G5" s="8">
        <v>68</v>
      </c>
      <c r="H5" s="8"/>
      <c r="I5" s="8"/>
      <c r="J5" s="29" t="s">
        <v>1271</v>
      </c>
      <c r="K5" s="29" t="s">
        <v>1295</v>
      </c>
      <c r="L5" s="29"/>
      <c r="M5" s="68">
        <v>1</v>
      </c>
      <c r="N5" s="68" t="s">
        <v>1392</v>
      </c>
    </row>
    <row r="6" spans="1:14" ht="14.25" x14ac:dyDescent="0.2">
      <c r="A6" s="11" t="s">
        <v>3712</v>
      </c>
      <c r="B6" s="12" t="s">
        <v>3732</v>
      </c>
      <c r="C6" s="13" t="s">
        <v>3757</v>
      </c>
      <c r="D6" s="13" t="s">
        <v>3761</v>
      </c>
      <c r="E6" s="29" t="s">
        <v>1333</v>
      </c>
      <c r="F6" s="13" t="s">
        <v>3784</v>
      </c>
      <c r="G6" s="8">
        <v>68</v>
      </c>
      <c r="H6" s="8"/>
      <c r="I6" s="8"/>
      <c r="J6" s="29" t="s">
        <v>1272</v>
      </c>
      <c r="K6" s="29" t="s">
        <v>1295</v>
      </c>
      <c r="L6" s="29"/>
      <c r="M6" s="68">
        <v>1</v>
      </c>
      <c r="N6" s="68" t="s">
        <v>1392</v>
      </c>
    </row>
    <row r="7" spans="1:14" ht="14.25" x14ac:dyDescent="0.2">
      <c r="A7" s="11" t="s">
        <v>3709</v>
      </c>
      <c r="B7" s="12" t="s">
        <v>3739</v>
      </c>
      <c r="C7" s="13" t="s">
        <v>3757</v>
      </c>
      <c r="D7" s="13" t="s">
        <v>3761</v>
      </c>
      <c r="E7" s="29" t="s">
        <v>1329</v>
      </c>
      <c r="F7" s="13" t="s">
        <v>3779</v>
      </c>
      <c r="G7" s="8">
        <v>18</v>
      </c>
      <c r="H7" s="8">
        <v>9</v>
      </c>
      <c r="I7" s="8"/>
      <c r="J7" s="29" t="s">
        <v>1264</v>
      </c>
      <c r="K7" s="29" t="s">
        <v>1291</v>
      </c>
      <c r="L7" s="29"/>
      <c r="M7" s="68">
        <v>1</v>
      </c>
      <c r="N7" s="68" t="s">
        <v>1392</v>
      </c>
    </row>
    <row r="8" spans="1:14" ht="14.25" x14ac:dyDescent="0.2">
      <c r="A8" s="11" t="s">
        <v>3709</v>
      </c>
      <c r="B8" s="12" t="s">
        <v>3740</v>
      </c>
      <c r="C8" s="13" t="s">
        <v>3757</v>
      </c>
      <c r="D8" s="13" t="s">
        <v>3761</v>
      </c>
      <c r="E8" s="29" t="s">
        <v>1330</v>
      </c>
      <c r="F8" s="13" t="s">
        <v>3780</v>
      </c>
      <c r="G8" s="8">
        <v>53</v>
      </c>
      <c r="H8" s="8"/>
      <c r="I8" s="8"/>
      <c r="J8" s="29" t="s">
        <v>1266</v>
      </c>
      <c r="K8" s="29" t="s">
        <v>1292</v>
      </c>
      <c r="L8" s="29"/>
      <c r="M8" s="68">
        <v>1</v>
      </c>
      <c r="N8" s="68" t="s">
        <v>1392</v>
      </c>
    </row>
    <row r="9" spans="1:14" ht="14.25" x14ac:dyDescent="0.2">
      <c r="A9" s="11" t="s">
        <v>3709</v>
      </c>
      <c r="B9" s="12" t="s">
        <v>3746</v>
      </c>
      <c r="C9" s="13" t="s">
        <v>3757</v>
      </c>
      <c r="D9" s="13" t="s">
        <v>3761</v>
      </c>
      <c r="E9" s="29" t="s">
        <v>1337</v>
      </c>
      <c r="F9" s="13" t="s">
        <v>2586</v>
      </c>
      <c r="G9" s="8">
        <v>46</v>
      </c>
      <c r="H9" s="8"/>
      <c r="I9" s="8"/>
      <c r="J9" s="29" t="s">
        <v>1275</v>
      </c>
      <c r="K9" s="29" t="s">
        <v>1300</v>
      </c>
      <c r="L9" s="29"/>
      <c r="M9" s="68">
        <v>1</v>
      </c>
      <c r="N9" s="68" t="s">
        <v>1392</v>
      </c>
    </row>
    <row r="10" spans="1:14" ht="42.75" x14ac:dyDescent="0.2">
      <c r="A10" s="11" t="s">
        <v>3709</v>
      </c>
      <c r="B10" s="12" t="s">
        <v>3733</v>
      </c>
      <c r="C10" s="13" t="s">
        <v>3757</v>
      </c>
      <c r="D10" s="13" t="s">
        <v>3761</v>
      </c>
      <c r="E10" s="29" t="s">
        <v>1323</v>
      </c>
      <c r="F10" s="13" t="s">
        <v>5267</v>
      </c>
      <c r="G10" s="8">
        <v>36</v>
      </c>
      <c r="H10" s="8"/>
      <c r="I10" s="8"/>
      <c r="J10" s="29" t="s">
        <v>1264</v>
      </c>
      <c r="K10" s="29" t="s">
        <v>1287</v>
      </c>
      <c r="L10" s="29" t="s">
        <v>5266</v>
      </c>
      <c r="M10" s="68">
        <v>1</v>
      </c>
      <c r="N10" s="68" t="s">
        <v>1392</v>
      </c>
    </row>
    <row r="11" spans="1:14" ht="14.25" x14ac:dyDescent="0.2">
      <c r="A11" s="11" t="s">
        <v>3709</v>
      </c>
      <c r="B11" s="12" t="s">
        <v>3741</v>
      </c>
      <c r="C11" s="13" t="s">
        <v>3757</v>
      </c>
      <c r="D11" s="13" t="s">
        <v>3761</v>
      </c>
      <c r="E11" s="29" t="s">
        <v>1331</v>
      </c>
      <c r="F11" s="13" t="s">
        <v>3781</v>
      </c>
      <c r="G11" s="8">
        <v>49</v>
      </c>
      <c r="H11" s="8"/>
      <c r="I11" s="8"/>
      <c r="J11" s="29" t="s">
        <v>1269</v>
      </c>
      <c r="K11" s="29" t="s">
        <v>1293</v>
      </c>
      <c r="L11" s="29"/>
      <c r="M11" s="68">
        <v>1</v>
      </c>
      <c r="N11" s="68" t="s">
        <v>1392</v>
      </c>
    </row>
    <row r="12" spans="1:14" ht="14.25" x14ac:dyDescent="0.2">
      <c r="A12" s="11" t="s">
        <v>3711</v>
      </c>
      <c r="B12" s="12" t="s">
        <v>3736</v>
      </c>
      <c r="C12" s="13" t="s">
        <v>3757</v>
      </c>
      <c r="D12" s="13" t="s">
        <v>3761</v>
      </c>
      <c r="E12" s="29" t="s">
        <v>1326</v>
      </c>
      <c r="F12" s="13" t="s">
        <v>3776</v>
      </c>
      <c r="G12" s="8">
        <v>64</v>
      </c>
      <c r="H12" s="8"/>
      <c r="I12" s="8"/>
      <c r="J12" s="29" t="s">
        <v>1267</v>
      </c>
      <c r="K12" s="29" t="s">
        <v>1289</v>
      </c>
      <c r="L12" s="29"/>
      <c r="M12" s="68">
        <v>1</v>
      </c>
      <c r="N12" s="68" t="s">
        <v>1392</v>
      </c>
    </row>
    <row r="13" spans="1:14" ht="14.25" x14ac:dyDescent="0.2">
      <c r="A13" s="11" t="s">
        <v>3711</v>
      </c>
      <c r="B13" s="12" t="s">
        <v>3735</v>
      </c>
      <c r="C13" s="13" t="s">
        <v>3758</v>
      </c>
      <c r="D13" s="13" t="s">
        <v>3761</v>
      </c>
      <c r="E13" s="29" t="s">
        <v>1325</v>
      </c>
      <c r="F13" s="13" t="s">
        <v>3775</v>
      </c>
      <c r="G13" s="8">
        <v>58</v>
      </c>
      <c r="H13" s="8"/>
      <c r="I13" s="8"/>
      <c r="J13" s="29" t="s">
        <v>1266</v>
      </c>
      <c r="K13" s="29" t="s">
        <v>1289</v>
      </c>
      <c r="L13" s="29"/>
      <c r="M13" s="68">
        <v>1</v>
      </c>
      <c r="N13" s="68" t="s">
        <v>1392</v>
      </c>
    </row>
    <row r="14" spans="1:14" ht="14.25" x14ac:dyDescent="0.2">
      <c r="A14" s="11" t="s">
        <v>3711</v>
      </c>
      <c r="B14" s="12" t="s">
        <v>3737</v>
      </c>
      <c r="C14" s="13" t="s">
        <v>3757</v>
      </c>
      <c r="D14" s="13" t="s">
        <v>3761</v>
      </c>
      <c r="E14" s="29" t="s">
        <v>1327</v>
      </c>
      <c r="F14" s="13" t="s">
        <v>3777</v>
      </c>
      <c r="G14" s="8">
        <v>22</v>
      </c>
      <c r="H14" s="8"/>
      <c r="I14" s="8"/>
      <c r="J14" s="29" t="s">
        <v>1268</v>
      </c>
      <c r="K14" s="29" t="s">
        <v>1289</v>
      </c>
      <c r="L14" s="29"/>
      <c r="M14" s="68">
        <v>1</v>
      </c>
      <c r="N14" s="68" t="s">
        <v>1392</v>
      </c>
    </row>
    <row r="15" spans="1:14" ht="14.25" x14ac:dyDescent="0.2">
      <c r="A15" s="11" t="s">
        <v>3704</v>
      </c>
      <c r="B15" s="12" t="s">
        <v>3752</v>
      </c>
      <c r="C15" s="13" t="s">
        <v>3757</v>
      </c>
      <c r="D15" s="13" t="s">
        <v>3761</v>
      </c>
      <c r="E15" s="29" t="s">
        <v>1346</v>
      </c>
      <c r="F15" s="13" t="s">
        <v>1134</v>
      </c>
      <c r="G15" s="8">
        <v>70</v>
      </c>
      <c r="H15" s="8"/>
      <c r="I15" s="8"/>
      <c r="J15" s="29" t="s">
        <v>1264</v>
      </c>
      <c r="K15" s="29" t="s">
        <v>1309</v>
      </c>
      <c r="L15" s="29"/>
      <c r="M15" s="68">
        <v>1</v>
      </c>
      <c r="N15" s="68" t="s">
        <v>1392</v>
      </c>
    </row>
    <row r="16" spans="1:14" ht="14.25" x14ac:dyDescent="0.2">
      <c r="A16" s="11" t="s">
        <v>3704</v>
      </c>
      <c r="B16" s="12" t="s">
        <v>3724</v>
      </c>
      <c r="C16" s="13" t="s">
        <v>3754</v>
      </c>
      <c r="D16" s="13" t="s">
        <v>3761</v>
      </c>
      <c r="E16" s="29" t="s">
        <v>1315</v>
      </c>
      <c r="F16" s="13" t="s">
        <v>6705</v>
      </c>
      <c r="G16" s="8"/>
      <c r="H16" s="8"/>
      <c r="I16" s="8">
        <v>2</v>
      </c>
      <c r="J16" s="29" t="s">
        <v>3769</v>
      </c>
      <c r="K16" s="29" t="s">
        <v>1280</v>
      </c>
      <c r="L16" s="29"/>
      <c r="M16" s="68">
        <v>1</v>
      </c>
      <c r="N16" s="68" t="s">
        <v>1392</v>
      </c>
    </row>
    <row r="17" spans="1:14" ht="14.25" x14ac:dyDescent="0.2">
      <c r="A17" s="11" t="s">
        <v>3704</v>
      </c>
      <c r="B17" s="12" t="s">
        <v>3728</v>
      </c>
      <c r="C17" s="13" t="s">
        <v>3757</v>
      </c>
      <c r="D17" s="13" t="s">
        <v>3761</v>
      </c>
      <c r="E17" s="29" t="s">
        <v>1317</v>
      </c>
      <c r="F17" s="13" t="s">
        <v>3770</v>
      </c>
      <c r="G17" s="8">
        <v>75</v>
      </c>
      <c r="H17" s="8"/>
      <c r="I17" s="8"/>
      <c r="J17" s="29" t="s">
        <v>1259</v>
      </c>
      <c r="K17" s="29" t="s">
        <v>1282</v>
      </c>
      <c r="L17" s="29"/>
      <c r="M17" s="68">
        <v>1</v>
      </c>
      <c r="N17" s="68" t="s">
        <v>1392</v>
      </c>
    </row>
    <row r="18" spans="1:14" ht="14.25" x14ac:dyDescent="0.2">
      <c r="A18" s="11" t="s">
        <v>3704</v>
      </c>
      <c r="B18" s="12" t="s">
        <v>3753</v>
      </c>
      <c r="C18" s="13" t="s">
        <v>3757</v>
      </c>
      <c r="D18" s="13" t="s">
        <v>3761</v>
      </c>
      <c r="E18" s="29" t="s">
        <v>1347</v>
      </c>
      <c r="F18" s="13" t="s">
        <v>1135</v>
      </c>
      <c r="G18" s="8">
        <v>75</v>
      </c>
      <c r="H18" s="8"/>
      <c r="I18" s="8"/>
      <c r="J18" s="29" t="s">
        <v>1271</v>
      </c>
      <c r="K18" s="29" t="s">
        <v>1310</v>
      </c>
      <c r="L18" s="29"/>
      <c r="M18" s="68">
        <v>1</v>
      </c>
      <c r="N18" s="68" t="s">
        <v>1392</v>
      </c>
    </row>
    <row r="19" spans="1:14" ht="14.25" x14ac:dyDescent="0.2">
      <c r="A19" s="11" t="s">
        <v>3704</v>
      </c>
      <c r="B19" s="12" t="s">
        <v>3733</v>
      </c>
      <c r="C19" s="13" t="s">
        <v>3757</v>
      </c>
      <c r="D19" s="13" t="s">
        <v>3761</v>
      </c>
      <c r="E19" s="29" t="s">
        <v>1332</v>
      </c>
      <c r="F19" s="13" t="s">
        <v>3782</v>
      </c>
      <c r="G19" s="8">
        <v>64</v>
      </c>
      <c r="H19" s="8"/>
      <c r="I19" s="8"/>
      <c r="J19" s="29" t="s">
        <v>1270</v>
      </c>
      <c r="K19" s="29" t="s">
        <v>1294</v>
      </c>
      <c r="L19" s="29"/>
      <c r="M19" s="68">
        <v>1</v>
      </c>
      <c r="N19" s="68" t="s">
        <v>1392</v>
      </c>
    </row>
    <row r="20" spans="1:14" ht="14.25" x14ac:dyDescent="0.2">
      <c r="A20" s="11" t="s">
        <v>3704</v>
      </c>
      <c r="B20" s="12" t="s">
        <v>3726</v>
      </c>
      <c r="C20" s="13" t="s">
        <v>3757</v>
      </c>
      <c r="D20" s="13" t="s">
        <v>3761</v>
      </c>
      <c r="E20" s="29" t="s">
        <v>1314</v>
      </c>
      <c r="F20" s="13" t="s">
        <v>6705</v>
      </c>
      <c r="G20" s="8">
        <v>55</v>
      </c>
      <c r="H20" s="8"/>
      <c r="I20" s="8"/>
      <c r="J20" s="29" t="s">
        <v>1257</v>
      </c>
      <c r="K20" s="29" t="s">
        <v>1280</v>
      </c>
      <c r="L20" s="29"/>
      <c r="M20" s="68">
        <v>1</v>
      </c>
      <c r="N20" s="68" t="s">
        <v>1392</v>
      </c>
    </row>
    <row r="21" spans="1:14" ht="14.25" x14ac:dyDescent="0.2">
      <c r="A21" s="11" t="s">
        <v>3716</v>
      </c>
      <c r="B21" s="12" t="s">
        <v>3747</v>
      </c>
      <c r="C21" s="13" t="s">
        <v>3754</v>
      </c>
      <c r="D21" s="13" t="s">
        <v>3761</v>
      </c>
      <c r="E21" s="29" t="s">
        <v>1338</v>
      </c>
      <c r="F21" s="13" t="s">
        <v>2587</v>
      </c>
      <c r="G21" s="8">
        <v>50</v>
      </c>
      <c r="H21" s="8"/>
      <c r="I21" s="8"/>
      <c r="J21" s="29" t="s">
        <v>1267</v>
      </c>
      <c r="K21" s="29" t="s">
        <v>1301</v>
      </c>
      <c r="L21" s="29"/>
      <c r="M21" s="68">
        <v>1</v>
      </c>
      <c r="N21" s="68" t="s">
        <v>1392</v>
      </c>
    </row>
    <row r="22" spans="1:14" ht="14.25" x14ac:dyDescent="0.2">
      <c r="A22" s="11" t="s">
        <v>3707</v>
      </c>
      <c r="B22" s="12" t="s">
        <v>3731</v>
      </c>
      <c r="C22" s="13" t="s">
        <v>3757</v>
      </c>
      <c r="D22" s="13" t="s">
        <v>3761</v>
      </c>
      <c r="E22" s="29" t="s">
        <v>1320</v>
      </c>
      <c r="F22" s="13" t="s">
        <v>3773</v>
      </c>
      <c r="G22" s="8">
        <v>53</v>
      </c>
      <c r="H22" s="8"/>
      <c r="I22" s="8"/>
      <c r="J22" s="29" t="s">
        <v>1259</v>
      </c>
      <c r="K22" s="29" t="s">
        <v>1284</v>
      </c>
      <c r="L22" s="29"/>
      <c r="M22" s="68">
        <v>1</v>
      </c>
      <c r="N22" s="68" t="s">
        <v>1392</v>
      </c>
    </row>
    <row r="23" spans="1:14" ht="14.25" x14ac:dyDescent="0.2">
      <c r="A23" s="11" t="s">
        <v>3707</v>
      </c>
      <c r="B23" s="12" t="s">
        <v>3738</v>
      </c>
      <c r="C23" s="13" t="s">
        <v>3754</v>
      </c>
      <c r="D23" s="13" t="s">
        <v>3761</v>
      </c>
      <c r="E23" s="29" t="s">
        <v>1328</v>
      </c>
      <c r="F23" s="13" t="s">
        <v>3778</v>
      </c>
      <c r="G23" s="8">
        <v>15</v>
      </c>
      <c r="H23" s="8"/>
      <c r="I23" s="8"/>
      <c r="J23" s="29" t="s">
        <v>1264</v>
      </c>
      <c r="K23" s="29" t="s">
        <v>1290</v>
      </c>
      <c r="L23" s="29"/>
      <c r="M23" s="68">
        <v>1</v>
      </c>
      <c r="N23" s="68" t="s">
        <v>1392</v>
      </c>
    </row>
    <row r="24" spans="1:14" ht="14.25" x14ac:dyDescent="0.2">
      <c r="A24" s="11" t="s">
        <v>3715</v>
      </c>
      <c r="B24" s="12" t="s">
        <v>3744</v>
      </c>
      <c r="C24" s="13" t="s">
        <v>3757</v>
      </c>
      <c r="D24" s="13" t="s">
        <v>3761</v>
      </c>
      <c r="E24" s="29" t="s">
        <v>1335</v>
      </c>
      <c r="F24" s="13" t="s">
        <v>2585</v>
      </c>
      <c r="G24" s="8">
        <v>38</v>
      </c>
      <c r="H24" s="8"/>
      <c r="I24" s="8"/>
      <c r="J24" s="29" t="s">
        <v>1264</v>
      </c>
      <c r="K24" s="29" t="s">
        <v>1298</v>
      </c>
      <c r="L24" s="29"/>
      <c r="M24" s="68">
        <v>1</v>
      </c>
      <c r="N24" s="68" t="s">
        <v>1392</v>
      </c>
    </row>
    <row r="25" spans="1:14" ht="14.25" x14ac:dyDescent="0.2">
      <c r="A25" s="11" t="s">
        <v>3715</v>
      </c>
      <c r="B25" s="12" t="s">
        <v>3723</v>
      </c>
      <c r="C25" s="13" t="s">
        <v>3754</v>
      </c>
      <c r="D25" s="13" t="s">
        <v>3761</v>
      </c>
      <c r="E25" s="29" t="s">
        <v>1344</v>
      </c>
      <c r="F25" s="13" t="s">
        <v>3778</v>
      </c>
      <c r="G25" s="8">
        <v>14</v>
      </c>
      <c r="H25" s="8"/>
      <c r="I25" s="8"/>
      <c r="J25" s="29" t="s">
        <v>1264</v>
      </c>
      <c r="K25" s="29" t="s">
        <v>1307</v>
      </c>
      <c r="L25" s="29"/>
      <c r="M25" s="68">
        <v>1</v>
      </c>
      <c r="N25" s="68" t="s">
        <v>1392</v>
      </c>
    </row>
    <row r="26" spans="1:14" ht="14.25" x14ac:dyDescent="0.2">
      <c r="A26" s="11" t="s">
        <v>3719</v>
      </c>
      <c r="B26" s="12" t="s">
        <v>3740</v>
      </c>
      <c r="C26" s="13" t="s">
        <v>3757</v>
      </c>
      <c r="D26" s="13" t="s">
        <v>3761</v>
      </c>
      <c r="E26" s="29" t="s">
        <v>1341</v>
      </c>
      <c r="F26" s="13" t="s">
        <v>1130</v>
      </c>
      <c r="G26" s="8">
        <v>67</v>
      </c>
      <c r="H26" s="8"/>
      <c r="I26" s="8"/>
      <c r="J26" s="29" t="s">
        <v>1271</v>
      </c>
      <c r="K26" s="29" t="s">
        <v>1304</v>
      </c>
      <c r="L26" s="29"/>
      <c r="M26" s="68">
        <v>1</v>
      </c>
      <c r="N26" s="68" t="s">
        <v>1392</v>
      </c>
    </row>
    <row r="27" spans="1:14" ht="14.25" x14ac:dyDescent="0.2">
      <c r="A27" s="11" t="s">
        <v>3713</v>
      </c>
      <c r="B27" s="12" t="s">
        <v>3745</v>
      </c>
      <c r="C27" s="13" t="s">
        <v>3759</v>
      </c>
      <c r="D27" s="13" t="s">
        <v>3764</v>
      </c>
      <c r="E27" s="29" t="s">
        <v>1336</v>
      </c>
      <c r="F27" s="13" t="s">
        <v>3759</v>
      </c>
      <c r="G27" s="8"/>
      <c r="H27" s="8"/>
      <c r="I27" s="8">
        <v>17</v>
      </c>
      <c r="J27" s="29" t="s">
        <v>1274</v>
      </c>
      <c r="K27" s="29" t="s">
        <v>1299</v>
      </c>
      <c r="L27" s="29"/>
      <c r="M27" s="68">
        <v>1</v>
      </c>
      <c r="N27" s="68" t="s">
        <v>1392</v>
      </c>
    </row>
    <row r="28" spans="1:14" ht="14.25" x14ac:dyDescent="0.2">
      <c r="A28" s="11" t="s">
        <v>3713</v>
      </c>
      <c r="B28" s="12" t="s">
        <v>3742</v>
      </c>
      <c r="C28" s="13" t="s">
        <v>3759</v>
      </c>
      <c r="D28" s="13" t="s">
        <v>3764</v>
      </c>
      <c r="E28" s="29" t="s">
        <v>1334</v>
      </c>
      <c r="F28" s="13" t="s">
        <v>3785</v>
      </c>
      <c r="G28" s="8">
        <v>2</v>
      </c>
      <c r="H28" s="8">
        <v>10</v>
      </c>
      <c r="I28" s="8"/>
      <c r="J28" s="29" t="s">
        <v>1258</v>
      </c>
      <c r="K28" s="29" t="s">
        <v>1296</v>
      </c>
      <c r="L28" s="29"/>
      <c r="M28" s="68">
        <v>1</v>
      </c>
      <c r="N28" s="68" t="s">
        <v>1392</v>
      </c>
    </row>
    <row r="29" spans="1:14" ht="14.25" x14ac:dyDescent="0.2">
      <c r="A29" s="11" t="s">
        <v>3722</v>
      </c>
      <c r="B29" s="12" t="s">
        <v>3751</v>
      </c>
      <c r="C29" s="13" t="s">
        <v>3754</v>
      </c>
      <c r="D29" s="13" t="s">
        <v>3761</v>
      </c>
      <c r="E29" s="29" t="s">
        <v>1345</v>
      </c>
      <c r="F29" s="13" t="s">
        <v>1133</v>
      </c>
      <c r="G29" s="8">
        <v>2</v>
      </c>
      <c r="H29" s="8">
        <v>6</v>
      </c>
      <c r="I29" s="8"/>
      <c r="J29" s="29" t="s">
        <v>7319</v>
      </c>
      <c r="K29" s="29" t="s">
        <v>1308</v>
      </c>
      <c r="L29" s="29"/>
      <c r="M29" s="68">
        <v>1</v>
      </c>
      <c r="N29" s="68" t="s">
        <v>1392</v>
      </c>
    </row>
    <row r="30" spans="1:14" ht="14.25" x14ac:dyDescent="0.2">
      <c r="A30" s="11" t="s">
        <v>3705</v>
      </c>
      <c r="B30" s="12" t="s">
        <v>3727</v>
      </c>
      <c r="C30" s="13" t="s">
        <v>3767</v>
      </c>
      <c r="D30" s="13" t="s">
        <v>3767</v>
      </c>
      <c r="E30" s="29" t="s">
        <v>1316</v>
      </c>
      <c r="F30" s="13" t="s">
        <v>3767</v>
      </c>
      <c r="G30" s="8"/>
      <c r="H30" s="8">
        <v>22</v>
      </c>
      <c r="I30" s="8"/>
      <c r="J30" s="29" t="s">
        <v>1258</v>
      </c>
      <c r="K30" s="29" t="s">
        <v>1281</v>
      </c>
      <c r="L30" s="29"/>
      <c r="M30" s="68">
        <v>1</v>
      </c>
      <c r="N30" s="68" t="s">
        <v>1392</v>
      </c>
    </row>
    <row r="31" spans="1:14" ht="14.25" x14ac:dyDescent="0.2">
      <c r="A31" s="11" t="s">
        <v>3710</v>
      </c>
      <c r="B31" s="12" t="s">
        <v>3734</v>
      </c>
      <c r="C31" s="13" t="s">
        <v>3757</v>
      </c>
      <c r="D31" s="13" t="s">
        <v>3763</v>
      </c>
      <c r="E31" s="29" t="s">
        <v>1324</v>
      </c>
      <c r="F31" s="13" t="s">
        <v>3767</v>
      </c>
      <c r="G31" s="8">
        <v>75</v>
      </c>
      <c r="H31" s="8"/>
      <c r="I31" s="8"/>
      <c r="J31" s="29" t="s">
        <v>1265</v>
      </c>
      <c r="K31" s="29" t="s">
        <v>1288</v>
      </c>
      <c r="L31" s="29"/>
      <c r="M31" s="68">
        <v>1</v>
      </c>
      <c r="N31" s="68" t="s">
        <v>1392</v>
      </c>
    </row>
    <row r="32" spans="1:14" ht="14.25" x14ac:dyDescent="0.2">
      <c r="A32" s="11" t="s">
        <v>3718</v>
      </c>
      <c r="B32" s="12" t="s">
        <v>3727</v>
      </c>
      <c r="C32" s="13" t="s">
        <v>3757</v>
      </c>
      <c r="D32" s="13" t="s">
        <v>3765</v>
      </c>
      <c r="E32" s="29" t="s">
        <v>1340</v>
      </c>
      <c r="F32" s="13" t="s">
        <v>3084</v>
      </c>
      <c r="G32" s="8">
        <v>86</v>
      </c>
      <c r="H32" s="8"/>
      <c r="I32" s="8"/>
      <c r="J32" s="29" t="s">
        <v>1271</v>
      </c>
      <c r="K32" s="29" t="s">
        <v>1303</v>
      </c>
      <c r="L32" s="29"/>
      <c r="M32" s="68">
        <v>1</v>
      </c>
      <c r="N32" s="68" t="s">
        <v>1392</v>
      </c>
    </row>
    <row r="33" spans="1:14" ht="14.25" x14ac:dyDescent="0.2">
      <c r="A33" s="11" t="s">
        <v>3717</v>
      </c>
      <c r="B33" s="12" t="s">
        <v>3748</v>
      </c>
      <c r="C33" s="13" t="s">
        <v>3757</v>
      </c>
      <c r="D33" s="13" t="s">
        <v>3761</v>
      </c>
      <c r="E33" s="29" t="s">
        <v>1339</v>
      </c>
      <c r="F33" s="13" t="s">
        <v>2588</v>
      </c>
      <c r="G33" s="8">
        <v>49</v>
      </c>
      <c r="H33" s="8"/>
      <c r="I33" s="8"/>
      <c r="J33" s="29" t="s">
        <v>1276</v>
      </c>
      <c r="K33" s="29" t="s">
        <v>1302</v>
      </c>
      <c r="L33" s="29"/>
      <c r="M33" s="68">
        <v>1</v>
      </c>
      <c r="N33" s="68" t="s">
        <v>1392</v>
      </c>
    </row>
    <row r="34" spans="1:14" ht="14.25" x14ac:dyDescent="0.2">
      <c r="A34" s="11" t="s">
        <v>3708</v>
      </c>
      <c r="B34" s="12" t="s">
        <v>3732</v>
      </c>
      <c r="C34" s="13" t="s">
        <v>3754</v>
      </c>
      <c r="D34" s="13" t="s">
        <v>3761</v>
      </c>
      <c r="E34" s="29" t="s">
        <v>1321</v>
      </c>
      <c r="F34" s="13" t="s">
        <v>3774</v>
      </c>
      <c r="G34" s="8">
        <v>26</v>
      </c>
      <c r="H34" s="8"/>
      <c r="I34" s="8"/>
      <c r="J34" s="29" t="s">
        <v>1262</v>
      </c>
      <c r="K34" s="29" t="s">
        <v>1285</v>
      </c>
      <c r="L34" s="29"/>
      <c r="M34" s="68">
        <v>1</v>
      </c>
      <c r="N34" s="68" t="s">
        <v>1392</v>
      </c>
    </row>
    <row r="35" spans="1:14" ht="14.25" x14ac:dyDescent="0.2">
      <c r="A35" s="11" t="s">
        <v>3708</v>
      </c>
      <c r="B35" s="12" t="s">
        <v>3732</v>
      </c>
      <c r="C35" s="13" t="s">
        <v>3754</v>
      </c>
      <c r="D35" s="13" t="s">
        <v>3761</v>
      </c>
      <c r="E35" s="29" t="s">
        <v>1322</v>
      </c>
      <c r="F35" s="13" t="s">
        <v>3774</v>
      </c>
      <c r="G35" s="8"/>
      <c r="H35" s="8">
        <v>1</v>
      </c>
      <c r="I35" s="8">
        <v>14</v>
      </c>
      <c r="J35" s="29" t="s">
        <v>1263</v>
      </c>
      <c r="K35" s="29" t="s">
        <v>1286</v>
      </c>
      <c r="L35" s="29"/>
      <c r="M35" s="68">
        <v>1</v>
      </c>
      <c r="N35" s="68" t="s">
        <v>1392</v>
      </c>
    </row>
    <row r="36" spans="1:14" ht="14.25" x14ac:dyDescent="0.2">
      <c r="A36" s="11" t="s">
        <v>3703</v>
      </c>
      <c r="B36" s="12" t="s">
        <v>3724</v>
      </c>
      <c r="C36" s="13" t="s">
        <v>3754</v>
      </c>
      <c r="D36" s="13" t="s">
        <v>3761</v>
      </c>
      <c r="E36" s="29" t="s">
        <v>1313</v>
      </c>
      <c r="F36" s="13" t="s">
        <v>3769</v>
      </c>
      <c r="G36" s="8">
        <v>4</v>
      </c>
      <c r="H36" s="8"/>
      <c r="I36" s="8"/>
      <c r="J36" s="29" t="s">
        <v>1254</v>
      </c>
      <c r="K36" s="29" t="s">
        <v>1279</v>
      </c>
      <c r="L36" s="29"/>
      <c r="M36" s="68">
        <v>1</v>
      </c>
      <c r="N36" s="68" t="s">
        <v>1392</v>
      </c>
    </row>
    <row r="37" spans="1:14" ht="14.25" x14ac:dyDescent="0.2">
      <c r="A37" s="11" t="s">
        <v>3703</v>
      </c>
      <c r="B37" s="12" t="s">
        <v>3724</v>
      </c>
      <c r="C37" s="13" t="s">
        <v>3755</v>
      </c>
      <c r="D37" s="13" t="s">
        <v>3761</v>
      </c>
      <c r="E37" s="29" t="s">
        <v>1311</v>
      </c>
      <c r="F37" s="13" t="s">
        <v>3754</v>
      </c>
      <c r="G37" s="8"/>
      <c r="H37" s="8">
        <v>3</v>
      </c>
      <c r="I37" s="8"/>
      <c r="J37" s="29" t="s">
        <v>1255</v>
      </c>
      <c r="K37" s="29" t="s">
        <v>1279</v>
      </c>
      <c r="L37" s="29"/>
      <c r="M37" s="68">
        <v>1</v>
      </c>
      <c r="N37" s="68" t="s">
        <v>1392</v>
      </c>
    </row>
    <row r="38" spans="1:14" ht="14.25" x14ac:dyDescent="0.2">
      <c r="A38" s="11" t="s">
        <v>3703</v>
      </c>
      <c r="B38" s="12" t="s">
        <v>3725</v>
      </c>
      <c r="C38" s="13" t="s">
        <v>3756</v>
      </c>
      <c r="D38" s="13" t="s">
        <v>3762</v>
      </c>
      <c r="E38" s="29" t="s">
        <v>1312</v>
      </c>
      <c r="F38" s="13" t="s">
        <v>3768</v>
      </c>
      <c r="G38" s="8">
        <v>30</v>
      </c>
      <c r="H38" s="8"/>
      <c r="I38" s="8"/>
      <c r="J38" s="29" t="s">
        <v>1256</v>
      </c>
      <c r="K38" s="29" t="s">
        <v>1279</v>
      </c>
      <c r="L38" s="29"/>
      <c r="M38" s="68">
        <v>1</v>
      </c>
      <c r="N38" s="68" t="s">
        <v>1392</v>
      </c>
    </row>
    <row r="39" spans="1:14" ht="14.25" x14ac:dyDescent="0.2">
      <c r="A39" s="11" t="s">
        <v>3703</v>
      </c>
      <c r="B39" s="12" t="s">
        <v>3723</v>
      </c>
      <c r="C39" s="13" t="s">
        <v>3754</v>
      </c>
      <c r="D39" s="13" t="s">
        <v>3761</v>
      </c>
      <c r="E39" s="29" t="s">
        <v>3766</v>
      </c>
      <c r="F39" s="13" t="s">
        <v>3754</v>
      </c>
      <c r="G39" s="8">
        <v>3</v>
      </c>
      <c r="H39" s="8"/>
      <c r="I39" s="8"/>
      <c r="J39" s="29" t="s">
        <v>1254</v>
      </c>
      <c r="K39" s="29" t="s">
        <v>1279</v>
      </c>
      <c r="L39" s="29"/>
      <c r="M39" s="68">
        <v>1</v>
      </c>
      <c r="N39" s="68" t="s">
        <v>1392</v>
      </c>
    </row>
    <row r="40" spans="1:14" ht="14.25" x14ac:dyDescent="0.2">
      <c r="A40" s="11" t="s">
        <v>3714</v>
      </c>
      <c r="B40" s="12" t="s">
        <v>3743</v>
      </c>
      <c r="C40" s="13" t="s">
        <v>3757</v>
      </c>
      <c r="D40" s="13" t="s">
        <v>3761</v>
      </c>
      <c r="E40" s="29" t="s">
        <v>1296</v>
      </c>
      <c r="F40" s="13" t="s">
        <v>3786</v>
      </c>
      <c r="G40" s="8">
        <v>35</v>
      </c>
      <c r="H40" s="8"/>
      <c r="I40" s="8"/>
      <c r="J40" s="29" t="s">
        <v>1273</v>
      </c>
      <c r="K40" s="29" t="s">
        <v>1297</v>
      </c>
      <c r="L40" s="29"/>
      <c r="M40" s="68">
        <v>1</v>
      </c>
      <c r="N40" s="68" t="s">
        <v>1392</v>
      </c>
    </row>
    <row r="41" spans="1:14" ht="14.25" x14ac:dyDescent="0.2">
      <c r="A41" s="11" t="s">
        <v>3721</v>
      </c>
      <c r="B41" s="12" t="s">
        <v>3750</v>
      </c>
      <c r="C41" s="13" t="s">
        <v>3757</v>
      </c>
      <c r="D41" s="13" t="s">
        <v>3761</v>
      </c>
      <c r="E41" s="29" t="s">
        <v>1343</v>
      </c>
      <c r="F41" s="13" t="s">
        <v>1132</v>
      </c>
      <c r="G41" s="8">
        <v>38</v>
      </c>
      <c r="H41" s="8"/>
      <c r="I41" s="8"/>
      <c r="J41" s="29" t="s">
        <v>1278</v>
      </c>
      <c r="K41" s="29" t="s">
        <v>1306</v>
      </c>
      <c r="L41" s="29"/>
      <c r="M41" s="68">
        <v>1</v>
      </c>
      <c r="N41" s="68" t="s">
        <v>1392</v>
      </c>
    </row>
    <row r="42" spans="1:14" ht="14.25" x14ac:dyDescent="0.2">
      <c r="A42" s="14" t="s">
        <v>1500</v>
      </c>
      <c r="B42" s="15" t="s">
        <v>4701</v>
      </c>
      <c r="C42" s="16" t="s">
        <v>3757</v>
      </c>
      <c r="D42" s="13" t="s">
        <v>3754</v>
      </c>
      <c r="E42" s="27" t="s">
        <v>1501</v>
      </c>
      <c r="F42" s="16" t="s">
        <v>1502</v>
      </c>
      <c r="G42" s="8">
        <v>73</v>
      </c>
      <c r="H42" s="8"/>
      <c r="I42" s="8"/>
      <c r="J42" s="27" t="s">
        <v>1270</v>
      </c>
      <c r="K42" s="27" t="s">
        <v>1308</v>
      </c>
      <c r="L42" s="95"/>
      <c r="M42" s="68">
        <v>1</v>
      </c>
      <c r="N42" s="68" t="s">
        <v>5194</v>
      </c>
    </row>
    <row r="43" spans="1:14" ht="14.25" x14ac:dyDescent="0.2">
      <c r="A43" s="17" t="s">
        <v>5198</v>
      </c>
      <c r="B43" s="18" t="s">
        <v>5057</v>
      </c>
      <c r="C43" s="19" t="s">
        <v>3757</v>
      </c>
      <c r="D43" s="10" t="s">
        <v>3754</v>
      </c>
      <c r="E43" s="46" t="s">
        <v>5200</v>
      </c>
      <c r="F43" s="19" t="s">
        <v>5201</v>
      </c>
      <c r="G43" s="8">
        <v>37</v>
      </c>
      <c r="H43" s="8"/>
      <c r="I43" s="8"/>
      <c r="J43" s="45" t="s">
        <v>1264</v>
      </c>
      <c r="K43" s="45" t="s">
        <v>5202</v>
      </c>
      <c r="L43" s="94"/>
      <c r="M43" s="68">
        <v>1</v>
      </c>
      <c r="N43" s="68" t="s">
        <v>5194</v>
      </c>
    </row>
    <row r="44" spans="1:14" ht="14.25" x14ac:dyDescent="0.2">
      <c r="A44" s="9" t="s">
        <v>4671</v>
      </c>
      <c r="B44" s="5" t="s">
        <v>4691</v>
      </c>
      <c r="C44" s="21" t="s">
        <v>3754</v>
      </c>
      <c r="D44" s="21" t="s">
        <v>3761</v>
      </c>
      <c r="E44" s="61" t="s">
        <v>1384</v>
      </c>
      <c r="F44" s="10" t="s">
        <v>3754</v>
      </c>
      <c r="G44" s="8">
        <v>25</v>
      </c>
      <c r="H44" s="8"/>
      <c r="I44" s="8"/>
      <c r="J44" s="55" t="s">
        <v>1277</v>
      </c>
      <c r="K44" s="55" t="s">
        <v>4771</v>
      </c>
      <c r="L44" s="94"/>
      <c r="M44" s="68">
        <v>1</v>
      </c>
      <c r="N44" s="68" t="s">
        <v>1393</v>
      </c>
    </row>
    <row r="45" spans="1:14" ht="14.25" x14ac:dyDescent="0.2">
      <c r="A45" s="11" t="s">
        <v>4671</v>
      </c>
      <c r="B45" s="12" t="s">
        <v>4795</v>
      </c>
      <c r="C45" s="13" t="s">
        <v>4796</v>
      </c>
      <c r="D45" s="13" t="s">
        <v>3754</v>
      </c>
      <c r="E45" s="29" t="s">
        <v>4794</v>
      </c>
      <c r="F45" s="13" t="s">
        <v>4797</v>
      </c>
      <c r="G45" s="22">
        <v>26</v>
      </c>
      <c r="H45" s="22">
        <v>6</v>
      </c>
      <c r="I45" s="22"/>
      <c r="J45" s="29" t="s">
        <v>1264</v>
      </c>
      <c r="K45" s="29" t="s">
        <v>4798</v>
      </c>
      <c r="L45" s="94"/>
      <c r="M45" s="68">
        <v>1</v>
      </c>
      <c r="N45" s="68" t="s">
        <v>1394</v>
      </c>
    </row>
    <row r="46" spans="1:14" ht="14.25" x14ac:dyDescent="0.2">
      <c r="A46" s="11" t="s">
        <v>4676</v>
      </c>
      <c r="B46" s="12" t="s">
        <v>4700</v>
      </c>
      <c r="C46" s="13" t="s">
        <v>3754</v>
      </c>
      <c r="D46" s="13" t="s">
        <v>3761</v>
      </c>
      <c r="E46" s="29" t="s">
        <v>1375</v>
      </c>
      <c r="F46" s="13" t="s">
        <v>4723</v>
      </c>
      <c r="G46" s="8">
        <v>4</v>
      </c>
      <c r="H46" s="8">
        <v>6</v>
      </c>
      <c r="I46" s="8">
        <v>28</v>
      </c>
      <c r="J46" s="29" t="s">
        <v>1254</v>
      </c>
      <c r="K46" s="29" t="s">
        <v>4762</v>
      </c>
      <c r="L46" s="94"/>
      <c r="M46" s="68">
        <v>1</v>
      </c>
      <c r="N46" s="68" t="s">
        <v>1393</v>
      </c>
    </row>
    <row r="47" spans="1:14" ht="14.25" x14ac:dyDescent="0.2">
      <c r="A47" s="11" t="s">
        <v>5024</v>
      </c>
      <c r="B47" s="12" t="s">
        <v>5025</v>
      </c>
      <c r="C47" s="13" t="s">
        <v>3754</v>
      </c>
      <c r="D47" s="13"/>
      <c r="E47" s="29" t="s">
        <v>5026</v>
      </c>
      <c r="F47" s="13" t="s">
        <v>3768</v>
      </c>
      <c r="G47" s="22">
        <v>36</v>
      </c>
      <c r="H47" s="22"/>
      <c r="I47" s="22"/>
      <c r="J47" s="29" t="s">
        <v>1264</v>
      </c>
      <c r="K47" s="29" t="s">
        <v>5027</v>
      </c>
      <c r="L47" s="94"/>
      <c r="M47" s="68">
        <v>1</v>
      </c>
      <c r="N47" s="68" t="s">
        <v>4965</v>
      </c>
    </row>
    <row r="48" spans="1:14" ht="14.25" x14ac:dyDescent="0.2">
      <c r="A48" s="11" t="s">
        <v>4899</v>
      </c>
      <c r="B48" s="12" t="s">
        <v>3746</v>
      </c>
      <c r="C48" s="13" t="s">
        <v>3757</v>
      </c>
      <c r="D48" s="13" t="s">
        <v>3754</v>
      </c>
      <c r="E48" s="29" t="s">
        <v>4986</v>
      </c>
      <c r="F48" s="13" t="s">
        <v>4902</v>
      </c>
      <c r="G48" s="22">
        <v>60</v>
      </c>
      <c r="H48" s="22"/>
      <c r="I48" s="22"/>
      <c r="J48" s="29" t="s">
        <v>1264</v>
      </c>
      <c r="K48" s="29" t="s">
        <v>4987</v>
      </c>
      <c r="L48" s="94"/>
      <c r="M48" s="68">
        <v>1</v>
      </c>
      <c r="N48" s="68" t="s">
        <v>4965</v>
      </c>
    </row>
    <row r="49" spans="1:14" ht="14.25" x14ac:dyDescent="0.2">
      <c r="A49" s="11" t="s">
        <v>4899</v>
      </c>
      <c r="B49" s="12" t="s">
        <v>4900</v>
      </c>
      <c r="C49" s="13" t="s">
        <v>3757</v>
      </c>
      <c r="D49" s="13" t="s">
        <v>3754</v>
      </c>
      <c r="E49" s="29" t="s">
        <v>4901</v>
      </c>
      <c r="F49" s="13" t="s">
        <v>4902</v>
      </c>
      <c r="G49" s="22">
        <v>41</v>
      </c>
      <c r="H49" s="22"/>
      <c r="I49" s="22"/>
      <c r="J49" s="29" t="s">
        <v>1272</v>
      </c>
      <c r="K49" s="29" t="s">
        <v>4903</v>
      </c>
      <c r="L49" s="94"/>
      <c r="M49" s="68">
        <v>1</v>
      </c>
      <c r="N49" s="68" t="s">
        <v>4586</v>
      </c>
    </row>
    <row r="50" spans="1:14" ht="14.25" x14ac:dyDescent="0.2">
      <c r="A50" s="11" t="s">
        <v>5040</v>
      </c>
      <c r="B50" s="12" t="s">
        <v>3746</v>
      </c>
      <c r="C50" s="13" t="s">
        <v>3754</v>
      </c>
      <c r="D50" s="13" t="s">
        <v>3754</v>
      </c>
      <c r="E50" s="29" t="s">
        <v>5041</v>
      </c>
      <c r="F50" s="13" t="s">
        <v>5042</v>
      </c>
      <c r="G50" s="22">
        <v>27</v>
      </c>
      <c r="H50" s="22">
        <v>8</v>
      </c>
      <c r="I50" s="22"/>
      <c r="J50" s="29" t="s">
        <v>1264</v>
      </c>
      <c r="K50" s="29" t="s">
        <v>5043</v>
      </c>
      <c r="L50" s="94"/>
      <c r="M50" s="68">
        <v>1</v>
      </c>
      <c r="N50" s="68" t="s">
        <v>4965</v>
      </c>
    </row>
    <row r="51" spans="1:14" ht="14.25" x14ac:dyDescent="0.2">
      <c r="A51" s="11" t="s">
        <v>4826</v>
      </c>
      <c r="B51" s="12" t="s">
        <v>4702</v>
      </c>
      <c r="C51" s="13" t="s">
        <v>3754</v>
      </c>
      <c r="D51" s="13" t="s">
        <v>3754</v>
      </c>
      <c r="E51" s="29" t="s">
        <v>4827</v>
      </c>
      <c r="F51" s="13" t="s">
        <v>4828</v>
      </c>
      <c r="G51" s="22"/>
      <c r="H51" s="22">
        <v>1</v>
      </c>
      <c r="I51" s="22">
        <v>5</v>
      </c>
      <c r="J51" s="29" t="s">
        <v>4829</v>
      </c>
      <c r="K51" s="29" t="s">
        <v>4830</v>
      </c>
      <c r="L51" s="94"/>
      <c r="M51" s="68">
        <v>1</v>
      </c>
      <c r="N51" s="68" t="s">
        <v>1394</v>
      </c>
    </row>
    <row r="52" spans="1:14" ht="14.25" x14ac:dyDescent="0.2">
      <c r="A52" s="11" t="s">
        <v>7867</v>
      </c>
      <c r="B52" s="12" t="s">
        <v>3728</v>
      </c>
      <c r="C52" s="13" t="s">
        <v>3757</v>
      </c>
      <c r="D52" s="13" t="s">
        <v>3754</v>
      </c>
      <c r="E52" s="29">
        <v>1854</v>
      </c>
      <c r="F52" s="13" t="s">
        <v>7874</v>
      </c>
      <c r="G52" s="22">
        <v>31</v>
      </c>
      <c r="H52" s="22"/>
      <c r="I52" s="22"/>
      <c r="J52" s="29" t="s">
        <v>1264</v>
      </c>
      <c r="K52" s="29" t="s">
        <v>7875</v>
      </c>
      <c r="L52" s="94"/>
      <c r="M52" s="68">
        <v>1</v>
      </c>
      <c r="N52" s="68" t="s">
        <v>1394</v>
      </c>
    </row>
    <row r="53" spans="1:14" ht="14.25" x14ac:dyDescent="0.2">
      <c r="A53" s="14" t="s">
        <v>7867</v>
      </c>
      <c r="B53" s="15" t="s">
        <v>3728</v>
      </c>
      <c r="C53" s="16" t="s">
        <v>3757</v>
      </c>
      <c r="D53" s="13" t="s">
        <v>3754</v>
      </c>
      <c r="E53" s="27" t="s">
        <v>722</v>
      </c>
      <c r="F53" s="16" t="s">
        <v>5186</v>
      </c>
      <c r="G53" s="8">
        <v>77</v>
      </c>
      <c r="H53" s="8"/>
      <c r="I53" s="8"/>
      <c r="J53" s="27" t="s">
        <v>1271</v>
      </c>
      <c r="K53" s="27" t="s">
        <v>1450</v>
      </c>
      <c r="L53" s="94"/>
      <c r="M53" s="68">
        <v>1</v>
      </c>
      <c r="N53" s="68" t="s">
        <v>5194</v>
      </c>
    </row>
    <row r="54" spans="1:14" ht="14.25" x14ac:dyDescent="0.2">
      <c r="A54" s="11" t="s">
        <v>7867</v>
      </c>
      <c r="B54" s="12" t="s">
        <v>3740</v>
      </c>
      <c r="C54" s="13" t="s">
        <v>3757</v>
      </c>
      <c r="D54" s="13" t="s">
        <v>3754</v>
      </c>
      <c r="E54" s="29" t="s">
        <v>7872</v>
      </c>
      <c r="F54" s="13" t="s">
        <v>7873</v>
      </c>
      <c r="G54" s="22">
        <v>49</v>
      </c>
      <c r="H54" s="22"/>
      <c r="I54" s="22"/>
      <c r="J54" s="29" t="s">
        <v>1264</v>
      </c>
      <c r="K54" s="29" t="s">
        <v>7869</v>
      </c>
      <c r="L54" s="94"/>
      <c r="M54" s="68">
        <v>1</v>
      </c>
      <c r="N54" s="68" t="s">
        <v>1394</v>
      </c>
    </row>
    <row r="55" spans="1:14" ht="14.25" x14ac:dyDescent="0.2">
      <c r="A55" s="11" t="s">
        <v>7867</v>
      </c>
      <c r="B55" s="12" t="s">
        <v>7870</v>
      </c>
      <c r="C55" s="13" t="s">
        <v>3754</v>
      </c>
      <c r="D55" s="13" t="s">
        <v>3754</v>
      </c>
      <c r="E55" s="29">
        <v>1861</v>
      </c>
      <c r="F55" s="13" t="s">
        <v>7871</v>
      </c>
      <c r="G55" s="22">
        <v>22</v>
      </c>
      <c r="H55" s="22"/>
      <c r="I55" s="22"/>
      <c r="J55" s="29" t="s">
        <v>1264</v>
      </c>
      <c r="K55" s="29" t="s">
        <v>7869</v>
      </c>
      <c r="L55" s="94"/>
      <c r="M55" s="68">
        <v>1</v>
      </c>
      <c r="N55" s="68" t="s">
        <v>1394</v>
      </c>
    </row>
    <row r="56" spans="1:14" ht="14.25" x14ac:dyDescent="0.2">
      <c r="A56" s="11" t="s">
        <v>7867</v>
      </c>
      <c r="B56" s="12" t="s">
        <v>3723</v>
      </c>
      <c r="C56" s="13" t="s">
        <v>4712</v>
      </c>
      <c r="D56" s="13" t="s">
        <v>3754</v>
      </c>
      <c r="E56" s="29">
        <v>1852</v>
      </c>
      <c r="F56" s="13" t="s">
        <v>7874</v>
      </c>
      <c r="G56" s="22">
        <v>23</v>
      </c>
      <c r="H56" s="22"/>
      <c r="I56" s="22"/>
      <c r="J56" s="29" t="s">
        <v>1264</v>
      </c>
      <c r="K56" s="29" t="s">
        <v>7869</v>
      </c>
      <c r="L56" s="94"/>
      <c r="M56" s="68">
        <v>1</v>
      </c>
      <c r="N56" s="68" t="s">
        <v>1394</v>
      </c>
    </row>
    <row r="57" spans="1:14" ht="14.25" x14ac:dyDescent="0.2">
      <c r="A57" s="11" t="s">
        <v>7867</v>
      </c>
      <c r="B57" s="12" t="s">
        <v>3735</v>
      </c>
      <c r="C57" s="13" t="s">
        <v>3754</v>
      </c>
      <c r="D57" s="13" t="s">
        <v>3768</v>
      </c>
      <c r="E57" s="29">
        <v>1854</v>
      </c>
      <c r="F57" s="13" t="s">
        <v>7868</v>
      </c>
      <c r="G57" s="22">
        <v>13</v>
      </c>
      <c r="H57" s="22"/>
      <c r="I57" s="22"/>
      <c r="J57" s="29" t="s">
        <v>1257</v>
      </c>
      <c r="K57" s="29" t="s">
        <v>7869</v>
      </c>
      <c r="L57" s="94"/>
      <c r="M57" s="68">
        <v>1</v>
      </c>
      <c r="N57" s="68" t="s">
        <v>1394</v>
      </c>
    </row>
    <row r="58" spans="1:14" ht="14.25" x14ac:dyDescent="0.2">
      <c r="A58" s="11" t="s">
        <v>1441</v>
      </c>
      <c r="B58" s="12" t="s">
        <v>3740</v>
      </c>
      <c r="C58" s="13" t="s">
        <v>3754</v>
      </c>
      <c r="D58" s="13"/>
      <c r="E58" s="29" t="s">
        <v>4831</v>
      </c>
      <c r="F58" s="13" t="s">
        <v>1443</v>
      </c>
      <c r="G58" s="22">
        <v>5</v>
      </c>
      <c r="H58" s="22">
        <v>8</v>
      </c>
      <c r="I58" s="22"/>
      <c r="J58" s="29" t="s">
        <v>7863</v>
      </c>
      <c r="K58" s="29" t="s">
        <v>7864</v>
      </c>
      <c r="L58" s="94"/>
      <c r="M58" s="68">
        <v>1</v>
      </c>
      <c r="N58" s="68" t="s">
        <v>1394</v>
      </c>
    </row>
    <row r="59" spans="1:14" ht="14.25" x14ac:dyDescent="0.2">
      <c r="A59" s="11" t="s">
        <v>1441</v>
      </c>
      <c r="B59" s="12" t="s">
        <v>3723</v>
      </c>
      <c r="C59" s="13" t="s">
        <v>3754</v>
      </c>
      <c r="D59" s="13" t="s">
        <v>3754</v>
      </c>
      <c r="E59" s="29" t="s">
        <v>4805</v>
      </c>
      <c r="F59" s="13" t="s">
        <v>1443</v>
      </c>
      <c r="G59" s="22">
        <v>3</v>
      </c>
      <c r="H59" s="22">
        <v>9</v>
      </c>
      <c r="I59" s="22">
        <v>17</v>
      </c>
      <c r="J59" s="29" t="s">
        <v>1254</v>
      </c>
      <c r="K59" s="29" t="s">
        <v>4806</v>
      </c>
      <c r="L59" s="94"/>
      <c r="M59" s="68">
        <v>1</v>
      </c>
      <c r="N59" s="68" t="s">
        <v>1394</v>
      </c>
    </row>
    <row r="60" spans="1:14" ht="14.25" x14ac:dyDescent="0.2">
      <c r="A60" s="11" t="s">
        <v>1441</v>
      </c>
      <c r="B60" s="12" t="s">
        <v>3747</v>
      </c>
      <c r="C60" s="13" t="s">
        <v>3754</v>
      </c>
      <c r="D60" s="13" t="s">
        <v>3754</v>
      </c>
      <c r="E60" s="29" t="s">
        <v>1442</v>
      </c>
      <c r="F60" s="13" t="s">
        <v>1443</v>
      </c>
      <c r="G60" s="22">
        <v>36</v>
      </c>
      <c r="H60" s="22"/>
      <c r="I60" s="22"/>
      <c r="J60" s="29" t="s">
        <v>4745</v>
      </c>
      <c r="K60" s="29" t="s">
        <v>1444</v>
      </c>
      <c r="L60" s="94"/>
      <c r="M60" s="68">
        <v>1</v>
      </c>
      <c r="N60" s="68" t="s">
        <v>1394</v>
      </c>
    </row>
    <row r="61" spans="1:14" ht="14.25" x14ac:dyDescent="0.2">
      <c r="A61" s="11" t="s">
        <v>1349</v>
      </c>
      <c r="B61" s="12" t="s">
        <v>4681</v>
      </c>
      <c r="C61" s="13" t="s">
        <v>3754</v>
      </c>
      <c r="D61" s="13" t="s">
        <v>3754</v>
      </c>
      <c r="E61" s="29"/>
      <c r="F61" s="13" t="s">
        <v>3754</v>
      </c>
      <c r="G61" s="8">
        <v>35</v>
      </c>
      <c r="H61" s="8"/>
      <c r="I61" s="8"/>
      <c r="J61" s="29" t="s">
        <v>4732</v>
      </c>
      <c r="K61" s="29" t="s">
        <v>1363</v>
      </c>
      <c r="L61" s="94"/>
      <c r="M61" s="68">
        <v>1</v>
      </c>
      <c r="N61" s="68" t="s">
        <v>1393</v>
      </c>
    </row>
    <row r="62" spans="1:14" ht="14.25" x14ac:dyDescent="0.2">
      <c r="A62" s="14" t="s">
        <v>1470</v>
      </c>
      <c r="B62" s="15" t="s">
        <v>4685</v>
      </c>
      <c r="C62" s="16" t="s">
        <v>3754</v>
      </c>
      <c r="D62" s="13" t="s">
        <v>3754</v>
      </c>
      <c r="E62" s="27" t="s">
        <v>1469</v>
      </c>
      <c r="F62" s="16" t="s">
        <v>1471</v>
      </c>
      <c r="G62" s="8">
        <v>12</v>
      </c>
      <c r="H62" s="8">
        <v>10</v>
      </c>
      <c r="I62" s="8"/>
      <c r="J62" s="27" t="s">
        <v>1472</v>
      </c>
      <c r="K62" s="27" t="s">
        <v>1473</v>
      </c>
      <c r="L62" s="94"/>
      <c r="M62" s="68">
        <v>1</v>
      </c>
      <c r="N62" s="68" t="s">
        <v>5194</v>
      </c>
    </row>
    <row r="63" spans="1:14" ht="14.25" x14ac:dyDescent="0.2">
      <c r="A63" s="11" t="s">
        <v>8634</v>
      </c>
      <c r="B63" s="12" t="s">
        <v>3744</v>
      </c>
      <c r="C63" s="13" t="s">
        <v>8635</v>
      </c>
      <c r="D63" s="13" t="s">
        <v>4893</v>
      </c>
      <c r="E63" s="29">
        <v>39869</v>
      </c>
      <c r="F63" s="13" t="s">
        <v>4893</v>
      </c>
      <c r="G63" s="22">
        <v>2</v>
      </c>
      <c r="H63" s="22">
        <v>9</v>
      </c>
      <c r="I63" s="22"/>
      <c r="J63" s="29" t="s">
        <v>1270</v>
      </c>
      <c r="K63" s="29" t="s">
        <v>4894</v>
      </c>
      <c r="L63" s="94"/>
      <c r="M63" s="68">
        <v>1</v>
      </c>
      <c r="N63" s="68" t="s">
        <v>4586</v>
      </c>
    </row>
    <row r="64" spans="1:14" ht="14.25" x14ac:dyDescent="0.2">
      <c r="A64" s="11" t="s">
        <v>8634</v>
      </c>
      <c r="B64" s="12"/>
      <c r="C64" s="13" t="s">
        <v>8635</v>
      </c>
      <c r="D64" s="13"/>
      <c r="E64" s="29" t="s">
        <v>8636</v>
      </c>
      <c r="F64" s="13"/>
      <c r="G64" s="22">
        <v>3</v>
      </c>
      <c r="H64" s="22"/>
      <c r="I64" s="22"/>
      <c r="J64" s="29" t="s">
        <v>1258</v>
      </c>
      <c r="K64" s="29" t="s">
        <v>8637</v>
      </c>
      <c r="L64" s="94"/>
      <c r="M64" s="68">
        <v>1</v>
      </c>
      <c r="N64" s="68" t="s">
        <v>4586</v>
      </c>
    </row>
    <row r="65" spans="1:14" ht="14.25" x14ac:dyDescent="0.2">
      <c r="A65" s="11" t="s">
        <v>5012</v>
      </c>
      <c r="B65" s="12" t="s">
        <v>3746</v>
      </c>
      <c r="C65" s="13" t="s">
        <v>3754</v>
      </c>
      <c r="D65" s="13" t="s">
        <v>3754</v>
      </c>
      <c r="E65" s="29" t="s">
        <v>5013</v>
      </c>
      <c r="F65" s="13" t="s">
        <v>5014</v>
      </c>
      <c r="G65" s="22"/>
      <c r="H65" s="22"/>
      <c r="I65" s="22"/>
      <c r="J65" s="29"/>
      <c r="K65" s="29"/>
      <c r="L65" s="94"/>
      <c r="M65" s="68">
        <v>1</v>
      </c>
      <c r="N65" s="68" t="s">
        <v>4965</v>
      </c>
    </row>
    <row r="66" spans="1:14" ht="14.25" x14ac:dyDescent="0.2">
      <c r="A66" s="11" t="s">
        <v>4895</v>
      </c>
      <c r="B66" s="12" t="s">
        <v>3734</v>
      </c>
      <c r="C66" s="13" t="s">
        <v>3757</v>
      </c>
      <c r="D66" s="13" t="s">
        <v>3754</v>
      </c>
      <c r="E66" s="29" t="s">
        <v>4896</v>
      </c>
      <c r="F66" s="13" t="s">
        <v>4897</v>
      </c>
      <c r="G66" s="22">
        <v>32</v>
      </c>
      <c r="H66" s="22"/>
      <c r="I66" s="22"/>
      <c r="J66" s="29" t="s">
        <v>4748</v>
      </c>
      <c r="K66" s="29" t="s">
        <v>4898</v>
      </c>
      <c r="L66" s="94"/>
      <c r="M66" s="68">
        <v>1</v>
      </c>
      <c r="N66" s="68" t="s">
        <v>4586</v>
      </c>
    </row>
    <row r="67" spans="1:14" ht="14.25" x14ac:dyDescent="0.2">
      <c r="A67" s="11" t="s">
        <v>4678</v>
      </c>
      <c r="B67" s="12" t="s">
        <v>3732</v>
      </c>
      <c r="C67" s="13" t="s">
        <v>3754</v>
      </c>
      <c r="D67" s="13" t="s">
        <v>3754</v>
      </c>
      <c r="E67" s="29" t="s">
        <v>4956</v>
      </c>
      <c r="F67" s="13" t="s">
        <v>4957</v>
      </c>
      <c r="G67" s="22">
        <v>50</v>
      </c>
      <c r="H67" s="22"/>
      <c r="I67" s="22"/>
      <c r="J67" s="29" t="s">
        <v>1264</v>
      </c>
      <c r="K67" s="29" t="s">
        <v>4958</v>
      </c>
      <c r="L67" s="94"/>
      <c r="M67" s="68">
        <v>1</v>
      </c>
      <c r="N67" s="68" t="s">
        <v>4586</v>
      </c>
    </row>
    <row r="68" spans="1:14" ht="14.25" x14ac:dyDescent="0.2">
      <c r="A68" s="11" t="s">
        <v>4678</v>
      </c>
      <c r="B68" s="12" t="s">
        <v>3723</v>
      </c>
      <c r="C68" s="13" t="s">
        <v>3757</v>
      </c>
      <c r="D68" s="13" t="s">
        <v>3761</v>
      </c>
      <c r="E68" s="29" t="s">
        <v>1367</v>
      </c>
      <c r="F68" s="13" t="s">
        <v>4729</v>
      </c>
      <c r="G68" s="8">
        <v>72</v>
      </c>
      <c r="H68" s="8"/>
      <c r="I68" s="8"/>
      <c r="J68" s="29" t="s">
        <v>1272</v>
      </c>
      <c r="K68" s="29" t="s">
        <v>4756</v>
      </c>
      <c r="L68" s="94"/>
      <c r="M68" s="68">
        <v>1</v>
      </c>
      <c r="N68" s="68" t="s">
        <v>1393</v>
      </c>
    </row>
    <row r="69" spans="1:14" ht="14.25" x14ac:dyDescent="0.2">
      <c r="A69" s="11" t="s">
        <v>4678</v>
      </c>
      <c r="B69" s="12" t="s">
        <v>3735</v>
      </c>
      <c r="C69" s="13" t="s">
        <v>3757</v>
      </c>
      <c r="D69" s="13" t="s">
        <v>3754</v>
      </c>
      <c r="E69" s="29" t="s">
        <v>4807</v>
      </c>
      <c r="F69" s="13" t="s">
        <v>4808</v>
      </c>
      <c r="G69" s="22">
        <v>44</v>
      </c>
      <c r="H69" s="22"/>
      <c r="I69" s="22"/>
      <c r="J69" s="29" t="s">
        <v>4809</v>
      </c>
      <c r="K69" s="29" t="s">
        <v>4810</v>
      </c>
      <c r="L69" s="94"/>
      <c r="M69" s="68">
        <v>1</v>
      </c>
      <c r="N69" s="68" t="s">
        <v>1394</v>
      </c>
    </row>
    <row r="70" spans="1:14" ht="14.25" x14ac:dyDescent="0.2">
      <c r="A70" s="11" t="s">
        <v>1357</v>
      </c>
      <c r="B70" s="12" t="s">
        <v>4687</v>
      </c>
      <c r="C70" s="13" t="s">
        <v>3754</v>
      </c>
      <c r="D70" s="13" t="s">
        <v>3754</v>
      </c>
      <c r="E70" s="29"/>
      <c r="F70" s="13" t="s">
        <v>3754</v>
      </c>
      <c r="G70" s="8">
        <v>3</v>
      </c>
      <c r="H70" s="8">
        <v>7</v>
      </c>
      <c r="I70" s="8"/>
      <c r="J70" s="29" t="s">
        <v>4739</v>
      </c>
      <c r="K70" s="29" t="s">
        <v>8080</v>
      </c>
      <c r="L70" s="94"/>
      <c r="M70" s="68">
        <v>1</v>
      </c>
      <c r="N70" s="68" t="s">
        <v>1393</v>
      </c>
    </row>
    <row r="71" spans="1:14" ht="14.25" x14ac:dyDescent="0.2">
      <c r="A71" s="11" t="s">
        <v>4569</v>
      </c>
      <c r="B71" s="12" t="s">
        <v>4690</v>
      </c>
      <c r="C71" s="13" t="s">
        <v>3754</v>
      </c>
      <c r="D71" s="13" t="s">
        <v>3754</v>
      </c>
      <c r="E71" s="29" t="s">
        <v>4570</v>
      </c>
      <c r="F71" s="13" t="s">
        <v>4571</v>
      </c>
      <c r="G71" s="22">
        <v>4</v>
      </c>
      <c r="H71" s="22"/>
      <c r="I71" s="22"/>
      <c r="J71" s="29" t="s">
        <v>1254</v>
      </c>
      <c r="K71" s="29" t="s">
        <v>4572</v>
      </c>
      <c r="L71" s="94"/>
      <c r="M71" s="68">
        <v>1</v>
      </c>
      <c r="N71" s="68" t="s">
        <v>1394</v>
      </c>
    </row>
    <row r="72" spans="1:14" ht="14.25" x14ac:dyDescent="0.2">
      <c r="A72" s="11" t="s">
        <v>4569</v>
      </c>
      <c r="B72" s="12" t="s">
        <v>3744</v>
      </c>
      <c r="C72" s="13" t="s">
        <v>3754</v>
      </c>
      <c r="D72" s="13" t="s">
        <v>3754</v>
      </c>
      <c r="E72" s="29" t="s">
        <v>4573</v>
      </c>
      <c r="F72" s="13" t="s">
        <v>4571</v>
      </c>
      <c r="G72" s="22">
        <v>4</v>
      </c>
      <c r="H72" s="22">
        <v>7</v>
      </c>
      <c r="I72" s="22">
        <v>5</v>
      </c>
      <c r="J72" s="29" t="s">
        <v>1254</v>
      </c>
      <c r="K72" s="29" t="s">
        <v>4572</v>
      </c>
      <c r="L72" s="94"/>
      <c r="M72" s="68">
        <v>1</v>
      </c>
      <c r="N72" s="68" t="s">
        <v>1394</v>
      </c>
    </row>
    <row r="73" spans="1:14" ht="14.25" x14ac:dyDescent="0.2">
      <c r="A73" s="14" t="s">
        <v>1511</v>
      </c>
      <c r="B73" s="15" t="s">
        <v>3732</v>
      </c>
      <c r="C73" s="16" t="s">
        <v>3754</v>
      </c>
      <c r="D73" s="13" t="s">
        <v>3754</v>
      </c>
      <c r="E73" s="27" t="s">
        <v>1512</v>
      </c>
      <c r="F73" s="16" t="s">
        <v>1513</v>
      </c>
      <c r="G73" s="8">
        <v>27</v>
      </c>
      <c r="H73" s="8"/>
      <c r="I73" s="8"/>
      <c r="J73" s="27" t="s">
        <v>1264</v>
      </c>
      <c r="K73" s="27" t="s">
        <v>1514</v>
      </c>
      <c r="L73" s="94"/>
      <c r="M73" s="68">
        <v>1</v>
      </c>
      <c r="N73" s="68" t="s">
        <v>5194</v>
      </c>
    </row>
    <row r="74" spans="1:14" ht="14.25" x14ac:dyDescent="0.2">
      <c r="A74" s="14" t="s">
        <v>4672</v>
      </c>
      <c r="B74" s="15" t="s">
        <v>3746</v>
      </c>
      <c r="C74" s="16" t="s">
        <v>3754</v>
      </c>
      <c r="D74" s="13" t="s">
        <v>3754</v>
      </c>
      <c r="E74" s="27" t="s">
        <v>1483</v>
      </c>
      <c r="F74" s="16" t="s">
        <v>1484</v>
      </c>
      <c r="G74" s="8">
        <v>56</v>
      </c>
      <c r="H74" s="8"/>
      <c r="I74" s="8"/>
      <c r="J74" s="27" t="s">
        <v>1264</v>
      </c>
      <c r="K74" s="27" t="s">
        <v>1485</v>
      </c>
      <c r="L74" s="94"/>
      <c r="M74" s="68">
        <v>1</v>
      </c>
      <c r="N74" s="68" t="s">
        <v>5194</v>
      </c>
    </row>
    <row r="75" spans="1:14" ht="14.25" x14ac:dyDescent="0.2">
      <c r="A75" s="11" t="s">
        <v>4672</v>
      </c>
      <c r="B75" s="12" t="s">
        <v>4692</v>
      </c>
      <c r="C75" s="13" t="s">
        <v>3755</v>
      </c>
      <c r="D75" s="13" t="s">
        <v>3754</v>
      </c>
      <c r="E75" s="29" t="s">
        <v>1317</v>
      </c>
      <c r="F75" s="13" t="s">
        <v>3754</v>
      </c>
      <c r="G75" s="8">
        <v>21</v>
      </c>
      <c r="H75" s="8">
        <v>8</v>
      </c>
      <c r="I75" s="8"/>
      <c r="J75" s="29" t="s">
        <v>4743</v>
      </c>
      <c r="K75" s="29" t="s">
        <v>4770</v>
      </c>
      <c r="L75" s="94"/>
      <c r="M75" s="68">
        <v>1</v>
      </c>
      <c r="N75" s="68" t="s">
        <v>1393</v>
      </c>
    </row>
    <row r="76" spans="1:14" ht="14.25" x14ac:dyDescent="0.2">
      <c r="A76" s="11" t="s">
        <v>4675</v>
      </c>
      <c r="B76" s="12" t="s">
        <v>1432</v>
      </c>
      <c r="C76" s="13" t="s">
        <v>3754</v>
      </c>
      <c r="D76" s="13" t="s">
        <v>3754</v>
      </c>
      <c r="E76" s="29" t="s">
        <v>4959</v>
      </c>
      <c r="F76" s="13" t="s">
        <v>4960</v>
      </c>
      <c r="G76" s="22"/>
      <c r="H76" s="22">
        <v>2</v>
      </c>
      <c r="I76" s="22">
        <v>10</v>
      </c>
      <c r="J76" s="29" t="s">
        <v>1412</v>
      </c>
      <c r="K76" s="29" t="s">
        <v>4959</v>
      </c>
      <c r="L76" s="94"/>
      <c r="M76" s="68">
        <v>1</v>
      </c>
      <c r="N76" s="68" t="s">
        <v>4586</v>
      </c>
    </row>
    <row r="77" spans="1:14" ht="14.25" x14ac:dyDescent="0.2">
      <c r="A77" s="11" t="s">
        <v>4675</v>
      </c>
      <c r="B77" s="12" t="s">
        <v>4684</v>
      </c>
      <c r="C77" s="13" t="s">
        <v>3757</v>
      </c>
      <c r="D77" s="13" t="s">
        <v>3754</v>
      </c>
      <c r="E77" s="29" t="s">
        <v>4966</v>
      </c>
      <c r="F77" s="13" t="s">
        <v>4967</v>
      </c>
      <c r="G77" s="22">
        <v>68</v>
      </c>
      <c r="H77" s="22"/>
      <c r="I77" s="22"/>
      <c r="J77" s="29" t="s">
        <v>1271</v>
      </c>
      <c r="K77" s="29" t="s">
        <v>4968</v>
      </c>
      <c r="L77" s="94"/>
      <c r="M77" s="68">
        <v>1</v>
      </c>
      <c r="N77" s="68" t="s">
        <v>4965</v>
      </c>
    </row>
    <row r="78" spans="1:14" ht="14.25" x14ac:dyDescent="0.2">
      <c r="A78" s="14" t="s">
        <v>4675</v>
      </c>
      <c r="B78" s="15" t="s">
        <v>1477</v>
      </c>
      <c r="C78" s="16" t="s">
        <v>3757</v>
      </c>
      <c r="D78" s="13" t="s">
        <v>3754</v>
      </c>
      <c r="E78" s="27" t="s">
        <v>1478</v>
      </c>
      <c r="F78" s="16" t="s">
        <v>1479</v>
      </c>
      <c r="G78" s="8">
        <v>45</v>
      </c>
      <c r="H78" s="8"/>
      <c r="I78" s="8"/>
      <c r="J78" s="27" t="s">
        <v>1277</v>
      </c>
      <c r="K78" s="27" t="s">
        <v>1480</v>
      </c>
      <c r="L78" s="94"/>
      <c r="M78" s="68">
        <v>1</v>
      </c>
      <c r="N78" s="68" t="s">
        <v>5194</v>
      </c>
    </row>
    <row r="79" spans="1:14" ht="14.25" x14ac:dyDescent="0.2">
      <c r="A79" s="11" t="s">
        <v>4675</v>
      </c>
      <c r="B79" s="12" t="s">
        <v>4699</v>
      </c>
      <c r="C79" s="13" t="s">
        <v>3757</v>
      </c>
      <c r="D79" s="13" t="s">
        <v>3761</v>
      </c>
      <c r="E79" s="29" t="s">
        <v>1377</v>
      </c>
      <c r="F79" s="13" t="s">
        <v>3754</v>
      </c>
      <c r="G79" s="8">
        <v>50</v>
      </c>
      <c r="H79" s="8"/>
      <c r="I79" s="8"/>
      <c r="J79" s="29" t="s">
        <v>1264</v>
      </c>
      <c r="K79" s="29" t="s">
        <v>4764</v>
      </c>
      <c r="L79" s="94"/>
      <c r="M79" s="68">
        <v>1</v>
      </c>
      <c r="N79" s="68" t="s">
        <v>1393</v>
      </c>
    </row>
    <row r="80" spans="1:14" ht="14.25" x14ac:dyDescent="0.2">
      <c r="A80" s="11" t="s">
        <v>4952</v>
      </c>
      <c r="B80" s="12" t="s">
        <v>4953</v>
      </c>
      <c r="C80" s="13" t="s">
        <v>3757</v>
      </c>
      <c r="D80" s="13" t="s">
        <v>3768</v>
      </c>
      <c r="E80" s="29"/>
      <c r="F80" s="13" t="s">
        <v>4954</v>
      </c>
      <c r="G80" s="22">
        <v>45</v>
      </c>
      <c r="H80" s="22"/>
      <c r="I80" s="22"/>
      <c r="J80" s="29" t="s">
        <v>1272</v>
      </c>
      <c r="K80" s="29" t="s">
        <v>4955</v>
      </c>
      <c r="L80" s="94"/>
      <c r="M80" s="68">
        <v>1</v>
      </c>
      <c r="N80" s="68" t="s">
        <v>4586</v>
      </c>
    </row>
    <row r="81" spans="1:14" ht="14.25" x14ac:dyDescent="0.2">
      <c r="A81" s="11" t="s">
        <v>5015</v>
      </c>
      <c r="B81" s="12" t="s">
        <v>5016</v>
      </c>
      <c r="C81" s="13" t="s">
        <v>3757</v>
      </c>
      <c r="D81" s="13"/>
      <c r="E81" s="29" t="s">
        <v>5017</v>
      </c>
      <c r="F81" s="13" t="s">
        <v>5018</v>
      </c>
      <c r="G81" s="22">
        <v>72</v>
      </c>
      <c r="H81" s="22"/>
      <c r="I81" s="22"/>
      <c r="J81" s="29" t="s">
        <v>1271</v>
      </c>
      <c r="K81" s="29" t="s">
        <v>5019</v>
      </c>
      <c r="L81" s="94"/>
      <c r="M81" s="68">
        <v>1</v>
      </c>
      <c r="N81" s="68" t="s">
        <v>4965</v>
      </c>
    </row>
    <row r="82" spans="1:14" ht="14.25" x14ac:dyDescent="0.2">
      <c r="A82" s="14" t="s">
        <v>1457</v>
      </c>
      <c r="B82" s="15" t="s">
        <v>1445</v>
      </c>
      <c r="C82" s="16" t="s">
        <v>3757</v>
      </c>
      <c r="D82" s="13" t="s">
        <v>3754</v>
      </c>
      <c r="E82" s="27" t="s">
        <v>1458</v>
      </c>
      <c r="F82" s="16" t="s">
        <v>1459</v>
      </c>
      <c r="G82" s="8">
        <v>23</v>
      </c>
      <c r="H82" s="8"/>
      <c r="I82" s="8"/>
      <c r="J82" s="27" t="s">
        <v>1460</v>
      </c>
      <c r="K82" s="27" t="s">
        <v>1461</v>
      </c>
      <c r="L82" s="94"/>
      <c r="M82" s="68">
        <v>1</v>
      </c>
      <c r="N82" s="68" t="s">
        <v>5194</v>
      </c>
    </row>
    <row r="83" spans="1:14" ht="14.25" x14ac:dyDescent="0.2">
      <c r="A83" s="11" t="s">
        <v>5056</v>
      </c>
      <c r="B83" s="12" t="s">
        <v>5057</v>
      </c>
      <c r="C83" s="13" t="s">
        <v>3757</v>
      </c>
      <c r="D83" s="13" t="s">
        <v>3754</v>
      </c>
      <c r="E83" s="29" t="s">
        <v>5058</v>
      </c>
      <c r="F83" s="13" t="s">
        <v>5059</v>
      </c>
      <c r="G83" s="22">
        <v>61</v>
      </c>
      <c r="H83" s="22"/>
      <c r="I83" s="22"/>
      <c r="J83" s="29" t="s">
        <v>1259</v>
      </c>
      <c r="K83" s="29" t="s">
        <v>5060</v>
      </c>
      <c r="L83" s="94"/>
      <c r="M83" s="68">
        <v>1</v>
      </c>
      <c r="N83" s="68" t="s">
        <v>4965</v>
      </c>
    </row>
    <row r="84" spans="1:14" ht="14.25" x14ac:dyDescent="0.2">
      <c r="A84" s="11" t="s">
        <v>4981</v>
      </c>
      <c r="B84" s="12" t="s">
        <v>5020</v>
      </c>
      <c r="C84" s="13" t="s">
        <v>3754</v>
      </c>
      <c r="D84" s="13" t="s">
        <v>3754</v>
      </c>
      <c r="E84" s="29" t="s">
        <v>5021</v>
      </c>
      <c r="F84" s="13" t="s">
        <v>5022</v>
      </c>
      <c r="G84" s="22">
        <v>8</v>
      </c>
      <c r="H84" s="22"/>
      <c r="I84" s="22"/>
      <c r="J84" s="29" t="s">
        <v>1264</v>
      </c>
      <c r="K84" s="29" t="s">
        <v>5023</v>
      </c>
      <c r="L84" s="94"/>
      <c r="M84" s="68">
        <v>1</v>
      </c>
      <c r="N84" s="68" t="s">
        <v>4965</v>
      </c>
    </row>
    <row r="85" spans="1:14" ht="14.25" x14ac:dyDescent="0.2">
      <c r="A85" s="11" t="s">
        <v>4981</v>
      </c>
      <c r="B85" s="12" t="s">
        <v>4982</v>
      </c>
      <c r="C85" s="13" t="s">
        <v>3754</v>
      </c>
      <c r="D85" s="13" t="s">
        <v>3754</v>
      </c>
      <c r="E85" s="29" t="s">
        <v>4983</v>
      </c>
      <c r="F85" s="13" t="s">
        <v>4984</v>
      </c>
      <c r="G85" s="22">
        <v>20</v>
      </c>
      <c r="H85" s="22"/>
      <c r="I85" s="22"/>
      <c r="J85" s="29" t="s">
        <v>1264</v>
      </c>
      <c r="K85" s="29" t="s">
        <v>4985</v>
      </c>
      <c r="L85" s="94"/>
      <c r="M85" s="68">
        <v>1</v>
      </c>
      <c r="N85" s="68" t="s">
        <v>4965</v>
      </c>
    </row>
    <row r="86" spans="1:14" ht="14.25" x14ac:dyDescent="0.2">
      <c r="A86" s="9" t="s">
        <v>4981</v>
      </c>
      <c r="B86" s="5" t="s">
        <v>3723</v>
      </c>
      <c r="C86" s="10" t="s">
        <v>3754</v>
      </c>
      <c r="D86" s="24" t="s">
        <v>3754</v>
      </c>
      <c r="E86" s="55" t="s">
        <v>5188</v>
      </c>
      <c r="F86" s="10" t="s">
        <v>5189</v>
      </c>
      <c r="G86" s="22">
        <v>1</v>
      </c>
      <c r="H86" s="22">
        <v>4</v>
      </c>
      <c r="I86" s="22">
        <v>22</v>
      </c>
      <c r="J86" s="55" t="s">
        <v>5190</v>
      </c>
      <c r="K86" s="55" t="s">
        <v>5191</v>
      </c>
      <c r="L86" s="94"/>
      <c r="M86" s="68">
        <v>1</v>
      </c>
      <c r="N86" s="68" t="s">
        <v>4965</v>
      </c>
    </row>
    <row r="87" spans="1:14" ht="14.25" x14ac:dyDescent="0.2">
      <c r="A87" s="17" t="s">
        <v>4981</v>
      </c>
      <c r="B87" s="18" t="s">
        <v>3723</v>
      </c>
      <c r="C87" s="19" t="s">
        <v>3754</v>
      </c>
      <c r="D87" s="10" t="s">
        <v>3754</v>
      </c>
      <c r="E87" s="45" t="s">
        <v>1488</v>
      </c>
      <c r="F87" s="19" t="s">
        <v>1489</v>
      </c>
      <c r="G87" s="8">
        <v>4</v>
      </c>
      <c r="H87" s="8"/>
      <c r="I87" s="8"/>
      <c r="J87" s="45" t="s">
        <v>1264</v>
      </c>
      <c r="K87" s="45" t="s">
        <v>1490</v>
      </c>
      <c r="L87" s="94"/>
      <c r="M87" s="68">
        <v>1</v>
      </c>
      <c r="N87" s="68" t="s">
        <v>5194</v>
      </c>
    </row>
    <row r="88" spans="1:14" ht="14.25" x14ac:dyDescent="0.2">
      <c r="A88" s="11" t="s">
        <v>4941</v>
      </c>
      <c r="B88" s="12" t="s">
        <v>3734</v>
      </c>
      <c r="C88" s="13" t="s">
        <v>2096</v>
      </c>
      <c r="D88" s="13" t="s">
        <v>3754</v>
      </c>
      <c r="E88" s="29" t="s">
        <v>4946</v>
      </c>
      <c r="F88" s="13" t="s">
        <v>4947</v>
      </c>
      <c r="G88" s="25"/>
      <c r="H88" s="25"/>
      <c r="I88" s="25"/>
      <c r="J88" s="29"/>
      <c r="K88" s="29" t="s">
        <v>4945</v>
      </c>
      <c r="L88" s="94"/>
      <c r="M88" s="68">
        <v>1</v>
      </c>
      <c r="N88" s="68" t="s">
        <v>4586</v>
      </c>
    </row>
    <row r="89" spans="1:14" ht="14.25" x14ac:dyDescent="0.2">
      <c r="A89" s="11" t="s">
        <v>4941</v>
      </c>
      <c r="B89" s="12" t="s">
        <v>4942</v>
      </c>
      <c r="C89" s="13" t="s">
        <v>2096</v>
      </c>
      <c r="D89" s="13" t="s">
        <v>3754</v>
      </c>
      <c r="E89" s="29" t="s">
        <v>1289</v>
      </c>
      <c r="F89" s="13" t="s">
        <v>4944</v>
      </c>
      <c r="G89" s="25"/>
      <c r="H89" s="25">
        <v>4</v>
      </c>
      <c r="I89" s="25">
        <v>11</v>
      </c>
      <c r="J89" s="29"/>
      <c r="K89" s="29" t="s">
        <v>4945</v>
      </c>
      <c r="L89" s="94"/>
      <c r="M89" s="68">
        <v>1</v>
      </c>
      <c r="N89" s="68" t="s">
        <v>4586</v>
      </c>
    </row>
    <row r="90" spans="1:14" ht="14.25" x14ac:dyDescent="0.2">
      <c r="A90" s="11" t="s">
        <v>1351</v>
      </c>
      <c r="B90" s="12" t="s">
        <v>3744</v>
      </c>
      <c r="C90" s="13" t="s">
        <v>3757</v>
      </c>
      <c r="D90" s="13" t="s">
        <v>3761</v>
      </c>
      <c r="E90" s="29" t="s">
        <v>1391</v>
      </c>
      <c r="F90" s="13" t="s">
        <v>3754</v>
      </c>
      <c r="G90" s="26">
        <v>59</v>
      </c>
      <c r="H90" s="26"/>
      <c r="I90" s="26"/>
      <c r="J90" s="29" t="s">
        <v>1259</v>
      </c>
      <c r="K90" s="29" t="s">
        <v>4858</v>
      </c>
      <c r="L90" s="94"/>
      <c r="M90" s="68">
        <v>1</v>
      </c>
      <c r="N90" s="68" t="s">
        <v>1393</v>
      </c>
    </row>
    <row r="91" spans="1:14" ht="14.25" x14ac:dyDescent="0.2">
      <c r="A91" s="11" t="s">
        <v>4918</v>
      </c>
      <c r="B91" s="12" t="s">
        <v>4685</v>
      </c>
      <c r="C91" s="13" t="s">
        <v>3754</v>
      </c>
      <c r="D91" s="13" t="s">
        <v>3754</v>
      </c>
      <c r="E91" s="29" t="s">
        <v>4919</v>
      </c>
      <c r="F91" s="13" t="s">
        <v>4920</v>
      </c>
      <c r="G91" s="25"/>
      <c r="H91" s="25">
        <v>10</v>
      </c>
      <c r="I91" s="25"/>
      <c r="J91" s="29"/>
      <c r="K91" s="29" t="s">
        <v>4921</v>
      </c>
      <c r="L91" s="94"/>
      <c r="M91" s="68">
        <v>1</v>
      </c>
      <c r="N91" s="68" t="s">
        <v>4586</v>
      </c>
    </row>
    <row r="92" spans="1:14" ht="14.25" x14ac:dyDescent="0.2">
      <c r="A92" s="11" t="s">
        <v>4988</v>
      </c>
      <c r="B92" s="12" t="s">
        <v>3728</v>
      </c>
      <c r="C92" s="13" t="s">
        <v>3754</v>
      </c>
      <c r="D92" s="13" t="s">
        <v>3754</v>
      </c>
      <c r="E92" s="29" t="s">
        <v>4989</v>
      </c>
      <c r="F92" s="13" t="s">
        <v>4920</v>
      </c>
      <c r="G92" s="25"/>
      <c r="H92" s="25">
        <v>4</v>
      </c>
      <c r="I92" s="25">
        <v>11</v>
      </c>
      <c r="J92" s="29" t="s">
        <v>1277</v>
      </c>
      <c r="K92" s="29" t="s">
        <v>4990</v>
      </c>
      <c r="L92" s="94"/>
      <c r="M92" s="68">
        <v>1</v>
      </c>
      <c r="N92" s="68" t="s">
        <v>4965</v>
      </c>
    </row>
    <row r="93" spans="1:14" ht="14.25" x14ac:dyDescent="0.2">
      <c r="A93" s="11" t="s">
        <v>4988</v>
      </c>
      <c r="B93" s="12" t="s">
        <v>3733</v>
      </c>
      <c r="C93" s="13" t="s">
        <v>3757</v>
      </c>
      <c r="D93" s="13" t="s">
        <v>3754</v>
      </c>
      <c r="E93" s="29" t="s">
        <v>4999</v>
      </c>
      <c r="F93" s="13" t="s">
        <v>4920</v>
      </c>
      <c r="G93" s="25">
        <v>37</v>
      </c>
      <c r="H93" s="25"/>
      <c r="I93" s="25"/>
      <c r="J93" s="29" t="s">
        <v>1264</v>
      </c>
      <c r="K93" s="29" t="s">
        <v>5000</v>
      </c>
      <c r="L93" s="94"/>
      <c r="M93" s="68">
        <v>1</v>
      </c>
      <c r="N93" s="68" t="s">
        <v>4965</v>
      </c>
    </row>
    <row r="94" spans="1:14" ht="14.25" x14ac:dyDescent="0.2">
      <c r="A94" s="11" t="s">
        <v>4680</v>
      </c>
      <c r="B94" s="12" t="s">
        <v>3724</v>
      </c>
      <c r="C94" s="13" t="s">
        <v>3754</v>
      </c>
      <c r="D94" s="13" t="s">
        <v>3754</v>
      </c>
      <c r="E94" s="29" t="s">
        <v>1364</v>
      </c>
      <c r="F94" s="13" t="s">
        <v>1395</v>
      </c>
      <c r="G94" s="25">
        <v>1</v>
      </c>
      <c r="H94" s="25">
        <v>4</v>
      </c>
      <c r="I94" s="25"/>
      <c r="J94" s="29" t="s">
        <v>1254</v>
      </c>
      <c r="K94" s="29" t="s">
        <v>4752</v>
      </c>
      <c r="L94" s="94"/>
      <c r="M94" s="68">
        <v>1</v>
      </c>
      <c r="N94" s="68" t="s">
        <v>1394</v>
      </c>
    </row>
    <row r="95" spans="1:14" ht="14.25" x14ac:dyDescent="0.2">
      <c r="A95" s="11" t="s">
        <v>4680</v>
      </c>
      <c r="B95" s="12" t="s">
        <v>3724</v>
      </c>
      <c r="C95" s="13" t="s">
        <v>3754</v>
      </c>
      <c r="D95" s="13" t="s">
        <v>3761</v>
      </c>
      <c r="E95" s="29" t="s">
        <v>1364</v>
      </c>
      <c r="F95" s="13" t="s">
        <v>4725</v>
      </c>
      <c r="G95" s="26">
        <v>1</v>
      </c>
      <c r="H95" s="26">
        <v>4</v>
      </c>
      <c r="I95" s="26"/>
      <c r="J95" s="29" t="s">
        <v>1254</v>
      </c>
      <c r="K95" s="29" t="s">
        <v>4752</v>
      </c>
      <c r="L95" s="94"/>
      <c r="M95" s="68">
        <v>1</v>
      </c>
      <c r="N95" s="68" t="s">
        <v>1393</v>
      </c>
    </row>
    <row r="96" spans="1:14" ht="14.25" x14ac:dyDescent="0.2">
      <c r="A96" s="11" t="s">
        <v>4972</v>
      </c>
      <c r="B96" s="12" t="s">
        <v>3734</v>
      </c>
      <c r="C96" s="13" t="s">
        <v>3757</v>
      </c>
      <c r="D96" s="13" t="s">
        <v>3754</v>
      </c>
      <c r="E96" s="29" t="s">
        <v>4973</v>
      </c>
      <c r="F96" s="13" t="s">
        <v>4974</v>
      </c>
      <c r="G96" s="25">
        <v>94</v>
      </c>
      <c r="H96" s="25"/>
      <c r="I96" s="25"/>
      <c r="J96" s="29" t="s">
        <v>1271</v>
      </c>
      <c r="K96" s="29" t="s">
        <v>4975</v>
      </c>
      <c r="L96" s="94"/>
      <c r="M96" s="68">
        <v>1</v>
      </c>
      <c r="N96" s="68" t="s">
        <v>4965</v>
      </c>
    </row>
    <row r="97" spans="1:14" ht="14.25" x14ac:dyDescent="0.2">
      <c r="A97" s="11" t="s">
        <v>1418</v>
      </c>
      <c r="B97" s="12" t="s">
        <v>4688</v>
      </c>
      <c r="C97" s="13" t="s">
        <v>3754</v>
      </c>
      <c r="D97" s="13" t="s">
        <v>3754</v>
      </c>
      <c r="E97" s="29" t="s">
        <v>1419</v>
      </c>
      <c r="F97" s="13" t="s">
        <v>1420</v>
      </c>
      <c r="G97" s="25">
        <v>3</v>
      </c>
      <c r="H97" s="25">
        <v>1</v>
      </c>
      <c r="I97" s="25"/>
      <c r="J97" s="29" t="s">
        <v>1254</v>
      </c>
      <c r="K97" s="29" t="s">
        <v>1421</v>
      </c>
      <c r="L97" s="94"/>
      <c r="M97" s="68">
        <v>1</v>
      </c>
      <c r="N97" s="68" t="s">
        <v>1394</v>
      </c>
    </row>
    <row r="98" spans="1:14" ht="14.25" x14ac:dyDescent="0.2">
      <c r="A98" s="11" t="s">
        <v>1358</v>
      </c>
      <c r="B98" s="12" t="s">
        <v>4688</v>
      </c>
      <c r="C98" s="13" t="s">
        <v>3754</v>
      </c>
      <c r="D98" s="13" t="s">
        <v>4718</v>
      </c>
      <c r="E98" s="29" t="s">
        <v>1387</v>
      </c>
      <c r="F98" s="13" t="s">
        <v>3754</v>
      </c>
      <c r="G98" s="26">
        <v>29</v>
      </c>
      <c r="H98" s="26"/>
      <c r="I98" s="26"/>
      <c r="J98" s="29" t="s">
        <v>4737</v>
      </c>
      <c r="K98" s="29" t="s">
        <v>4851</v>
      </c>
      <c r="L98" s="94"/>
      <c r="M98" s="68">
        <v>1</v>
      </c>
      <c r="N98" s="68" t="s">
        <v>1393</v>
      </c>
    </row>
    <row r="99" spans="1:14" ht="14.25" x14ac:dyDescent="0.2">
      <c r="A99" s="11" t="s">
        <v>1358</v>
      </c>
      <c r="B99" s="12" t="s">
        <v>4685</v>
      </c>
      <c r="C99" s="13" t="s">
        <v>3754</v>
      </c>
      <c r="D99" s="13" t="s">
        <v>3761</v>
      </c>
      <c r="E99" s="29" t="s">
        <v>1371</v>
      </c>
      <c r="F99" s="13" t="s">
        <v>4726</v>
      </c>
      <c r="G99" s="26"/>
      <c r="H99" s="26"/>
      <c r="I99" s="26">
        <v>21</v>
      </c>
      <c r="J99" s="29" t="s">
        <v>4748</v>
      </c>
      <c r="K99" s="29" t="s">
        <v>4758</v>
      </c>
      <c r="L99" s="94"/>
      <c r="M99" s="68">
        <v>1</v>
      </c>
      <c r="N99" s="68" t="s">
        <v>1393</v>
      </c>
    </row>
    <row r="100" spans="1:14" ht="14.25" x14ac:dyDescent="0.2">
      <c r="A100" s="14" t="s">
        <v>718</v>
      </c>
      <c r="B100" s="15" t="s">
        <v>3723</v>
      </c>
      <c r="C100" s="16" t="s">
        <v>3754</v>
      </c>
      <c r="D100" s="13" t="s">
        <v>3754</v>
      </c>
      <c r="E100" s="27" t="s">
        <v>719</v>
      </c>
      <c r="F100" s="16" t="s">
        <v>720</v>
      </c>
      <c r="G100" s="26">
        <v>25</v>
      </c>
      <c r="H100" s="26"/>
      <c r="I100" s="26"/>
      <c r="J100" s="27" t="s">
        <v>1264</v>
      </c>
      <c r="K100" s="27" t="s">
        <v>721</v>
      </c>
      <c r="L100" s="94"/>
      <c r="M100" s="68">
        <v>1</v>
      </c>
      <c r="N100" s="68" t="s">
        <v>5194</v>
      </c>
    </row>
    <row r="101" spans="1:14" ht="14.25" x14ac:dyDescent="0.2">
      <c r="A101" s="11" t="s">
        <v>1355</v>
      </c>
      <c r="B101" s="12" t="s">
        <v>8641</v>
      </c>
      <c r="C101" s="13" t="s">
        <v>8642</v>
      </c>
      <c r="D101" s="13" t="s">
        <v>3754</v>
      </c>
      <c r="E101" s="29" t="s">
        <v>8640</v>
      </c>
      <c r="F101" s="13" t="s">
        <v>3754</v>
      </c>
      <c r="G101" s="25">
        <v>27</v>
      </c>
      <c r="H101" s="25">
        <v>4</v>
      </c>
      <c r="I101" s="25"/>
      <c r="J101" s="29" t="s">
        <v>1264</v>
      </c>
      <c r="K101" s="29" t="s">
        <v>8643</v>
      </c>
      <c r="L101" s="94"/>
      <c r="M101" s="68">
        <v>1</v>
      </c>
      <c r="N101" s="68" t="s">
        <v>4586</v>
      </c>
    </row>
    <row r="102" spans="1:14" ht="14.25" x14ac:dyDescent="0.2">
      <c r="A102" s="11" t="s">
        <v>1355</v>
      </c>
      <c r="B102" s="12" t="s">
        <v>3747</v>
      </c>
      <c r="C102" s="13" t="s">
        <v>3757</v>
      </c>
      <c r="D102" s="13" t="s">
        <v>3754</v>
      </c>
      <c r="E102" s="29"/>
      <c r="F102" s="13" t="s">
        <v>3754</v>
      </c>
      <c r="G102" s="26">
        <v>62</v>
      </c>
      <c r="H102" s="26"/>
      <c r="I102" s="26"/>
      <c r="J102" s="29" t="s">
        <v>4736</v>
      </c>
      <c r="K102" s="29" t="s">
        <v>4854</v>
      </c>
      <c r="L102" s="94"/>
      <c r="M102" s="68">
        <v>1</v>
      </c>
      <c r="N102" s="68" t="s">
        <v>1393</v>
      </c>
    </row>
    <row r="103" spans="1:14" ht="14.25" x14ac:dyDescent="0.2">
      <c r="A103" s="11" t="s">
        <v>8852</v>
      </c>
      <c r="B103" s="12" t="s">
        <v>4688</v>
      </c>
      <c r="C103" s="13" t="s">
        <v>3757</v>
      </c>
      <c r="D103" s="13" t="s">
        <v>3754</v>
      </c>
      <c r="E103" s="29" t="s">
        <v>8853</v>
      </c>
      <c r="F103" s="13" t="s">
        <v>8854</v>
      </c>
      <c r="G103" s="25">
        <v>57</v>
      </c>
      <c r="H103" s="25"/>
      <c r="I103" s="25"/>
      <c r="J103" s="29" t="s">
        <v>1264</v>
      </c>
      <c r="K103" s="29" t="s">
        <v>8855</v>
      </c>
      <c r="L103" s="94"/>
      <c r="M103" s="68">
        <v>1</v>
      </c>
      <c r="N103" s="68" t="s">
        <v>4965</v>
      </c>
    </row>
    <row r="104" spans="1:14" ht="14.25" x14ac:dyDescent="0.2">
      <c r="A104" s="11" t="s">
        <v>8852</v>
      </c>
      <c r="B104" s="12" t="s">
        <v>8863</v>
      </c>
      <c r="C104" s="13" t="s">
        <v>3757</v>
      </c>
      <c r="D104" s="13" t="s">
        <v>3754</v>
      </c>
      <c r="E104" s="29" t="s">
        <v>8864</v>
      </c>
      <c r="F104" s="13" t="s">
        <v>5187</v>
      </c>
      <c r="G104" s="25">
        <v>65</v>
      </c>
      <c r="H104" s="25"/>
      <c r="I104" s="25"/>
      <c r="J104" s="29" t="s">
        <v>1271</v>
      </c>
      <c r="K104" s="29" t="s">
        <v>5188</v>
      </c>
      <c r="L104" s="94"/>
      <c r="M104" s="68">
        <v>1</v>
      </c>
      <c r="N104" s="68" t="s">
        <v>4965</v>
      </c>
    </row>
    <row r="105" spans="1:14" ht="14.25" x14ac:dyDescent="0.2">
      <c r="A105" s="11" t="s">
        <v>4674</v>
      </c>
      <c r="B105" s="12" t="s">
        <v>4694</v>
      </c>
      <c r="C105" s="13" t="s">
        <v>3757</v>
      </c>
      <c r="D105" s="13" t="s">
        <v>4717</v>
      </c>
      <c r="E105" s="29" t="s">
        <v>1382</v>
      </c>
      <c r="F105" s="13" t="s">
        <v>4721</v>
      </c>
      <c r="G105" s="26">
        <v>13</v>
      </c>
      <c r="H105" s="26"/>
      <c r="I105" s="26"/>
      <c r="J105" s="29" t="s">
        <v>1270</v>
      </c>
      <c r="K105" s="29" t="s">
        <v>4768</v>
      </c>
      <c r="L105" s="94"/>
      <c r="M105" s="68">
        <v>1</v>
      </c>
      <c r="N105" s="68" t="s">
        <v>1393</v>
      </c>
    </row>
    <row r="106" spans="1:14" ht="14.25" x14ac:dyDescent="0.2">
      <c r="A106" s="11" t="s">
        <v>1356</v>
      </c>
      <c r="B106" s="12" t="s">
        <v>4705</v>
      </c>
      <c r="C106" s="13" t="s">
        <v>4712</v>
      </c>
      <c r="D106" s="13" t="s">
        <v>4714</v>
      </c>
      <c r="E106" s="29" t="s">
        <v>1366</v>
      </c>
      <c r="F106" s="13"/>
      <c r="G106" s="26">
        <v>21</v>
      </c>
      <c r="H106" s="26"/>
      <c r="I106" s="26"/>
      <c r="J106" s="29" t="s">
        <v>4751</v>
      </c>
      <c r="K106" s="29" t="s">
        <v>4755</v>
      </c>
      <c r="L106" s="94"/>
      <c r="M106" s="68">
        <v>1</v>
      </c>
      <c r="N106" s="68" t="s">
        <v>1393</v>
      </c>
    </row>
    <row r="107" spans="1:14" ht="14.25" x14ac:dyDescent="0.2">
      <c r="A107" s="11" t="s">
        <v>1356</v>
      </c>
      <c r="B107" s="12" t="s">
        <v>1413</v>
      </c>
      <c r="C107" s="13" t="s">
        <v>3754</v>
      </c>
      <c r="D107" s="13" t="s">
        <v>3754</v>
      </c>
      <c r="E107" s="29" t="s">
        <v>1414</v>
      </c>
      <c r="F107" s="13" t="s">
        <v>1415</v>
      </c>
      <c r="G107" s="25"/>
      <c r="H107" s="25">
        <v>9</v>
      </c>
      <c r="I107" s="25">
        <v>4</v>
      </c>
      <c r="J107" s="29" t="s">
        <v>1416</v>
      </c>
      <c r="K107" s="29" t="s">
        <v>1417</v>
      </c>
      <c r="L107" s="94"/>
      <c r="M107" s="68">
        <v>1</v>
      </c>
      <c r="N107" s="68" t="s">
        <v>1394</v>
      </c>
    </row>
    <row r="108" spans="1:14" ht="14.25" x14ac:dyDescent="0.2">
      <c r="A108" s="11" t="s">
        <v>1356</v>
      </c>
      <c r="B108" s="12" t="s">
        <v>4698</v>
      </c>
      <c r="C108" s="13" t="s">
        <v>3757</v>
      </c>
      <c r="D108" s="13" t="s">
        <v>4716</v>
      </c>
      <c r="E108" s="29" t="s">
        <v>1378</v>
      </c>
      <c r="F108" s="13" t="s">
        <v>3767</v>
      </c>
      <c r="G108" s="26">
        <v>57</v>
      </c>
      <c r="H108" s="26"/>
      <c r="I108" s="26"/>
      <c r="J108" s="29" t="s">
        <v>4746</v>
      </c>
      <c r="K108" s="29" t="s">
        <v>4765</v>
      </c>
      <c r="L108" s="94"/>
      <c r="M108" s="68">
        <v>1</v>
      </c>
      <c r="N108" s="68" t="s">
        <v>1393</v>
      </c>
    </row>
    <row r="109" spans="1:14" ht="14.25" x14ac:dyDescent="0.2">
      <c r="A109" s="11" t="s">
        <v>1356</v>
      </c>
      <c r="B109" s="12" t="s">
        <v>4702</v>
      </c>
      <c r="C109" s="13" t="s">
        <v>3754</v>
      </c>
      <c r="D109" s="13" t="s">
        <v>3761</v>
      </c>
      <c r="E109" s="29" t="s">
        <v>4770</v>
      </c>
      <c r="F109" s="13" t="s">
        <v>5212</v>
      </c>
      <c r="G109" s="26">
        <v>2</v>
      </c>
      <c r="H109" s="26"/>
      <c r="I109" s="26"/>
      <c r="J109" s="29" t="s">
        <v>1254</v>
      </c>
      <c r="K109" s="29" t="s">
        <v>4759</v>
      </c>
      <c r="L109" s="94"/>
      <c r="M109" s="68">
        <v>1</v>
      </c>
      <c r="N109" s="68" t="s">
        <v>1393</v>
      </c>
    </row>
    <row r="110" spans="1:14" ht="14.25" x14ac:dyDescent="0.2">
      <c r="A110" s="11" t="s">
        <v>1356</v>
      </c>
      <c r="B110" s="12" t="s">
        <v>4706</v>
      </c>
      <c r="C110" s="13" t="s">
        <v>3754</v>
      </c>
      <c r="D110" s="13" t="s">
        <v>3761</v>
      </c>
      <c r="E110" s="29" t="s">
        <v>1365</v>
      </c>
      <c r="F110" s="13" t="s">
        <v>4730</v>
      </c>
      <c r="G110" s="26">
        <v>10</v>
      </c>
      <c r="H110" s="26">
        <v>3</v>
      </c>
      <c r="I110" s="26">
        <v>23</v>
      </c>
      <c r="J110" s="29" t="s">
        <v>4749</v>
      </c>
      <c r="K110" s="29" t="s">
        <v>4754</v>
      </c>
      <c r="L110" s="94"/>
      <c r="M110" s="68">
        <v>1</v>
      </c>
      <c r="N110" s="68" t="s">
        <v>1393</v>
      </c>
    </row>
    <row r="111" spans="1:14" ht="14.25" x14ac:dyDescent="0.2">
      <c r="A111" s="11" t="s">
        <v>1356</v>
      </c>
      <c r="B111" s="12" t="s">
        <v>4685</v>
      </c>
      <c r="C111" s="13" t="s">
        <v>3757</v>
      </c>
      <c r="D111" s="13" t="s">
        <v>3754</v>
      </c>
      <c r="E111" s="29" t="s">
        <v>7865</v>
      </c>
      <c r="F111" s="13" t="s">
        <v>5213</v>
      </c>
      <c r="G111" s="25">
        <v>55</v>
      </c>
      <c r="H111" s="25"/>
      <c r="I111" s="25"/>
      <c r="J111" s="29" t="s">
        <v>4809</v>
      </c>
      <c r="K111" s="29" t="s">
        <v>7866</v>
      </c>
      <c r="L111" s="94"/>
      <c r="M111" s="68">
        <v>1</v>
      </c>
      <c r="N111" s="68" t="s">
        <v>1394</v>
      </c>
    </row>
    <row r="112" spans="1:14" ht="14.25" x14ac:dyDescent="0.2">
      <c r="A112" s="11" t="s">
        <v>1356</v>
      </c>
      <c r="B112" s="12" t="s">
        <v>4686</v>
      </c>
      <c r="C112" s="13" t="s">
        <v>3757</v>
      </c>
      <c r="D112" s="13" t="s">
        <v>4713</v>
      </c>
      <c r="E112" s="29" t="s">
        <v>1388</v>
      </c>
      <c r="F112" s="13" t="s">
        <v>3754</v>
      </c>
      <c r="G112" s="26">
        <v>28</v>
      </c>
      <c r="H112" s="26"/>
      <c r="I112" s="26"/>
      <c r="J112" s="29" t="s">
        <v>4738</v>
      </c>
      <c r="K112" s="29" t="s">
        <v>4852</v>
      </c>
      <c r="L112" s="94"/>
      <c r="M112" s="68">
        <v>1</v>
      </c>
      <c r="N112" s="68" t="s">
        <v>1393</v>
      </c>
    </row>
    <row r="113" spans="1:14" ht="14.25" x14ac:dyDescent="0.2">
      <c r="A113" s="11" t="s">
        <v>1356</v>
      </c>
      <c r="B113" s="12" t="s">
        <v>4701</v>
      </c>
      <c r="C113" s="13" t="s">
        <v>3757</v>
      </c>
      <c r="D113" s="13" t="s">
        <v>3761</v>
      </c>
      <c r="E113" s="29" t="s">
        <v>1374</v>
      </c>
      <c r="F113" s="13" t="s">
        <v>4724</v>
      </c>
      <c r="G113" s="26">
        <v>50</v>
      </c>
      <c r="H113" s="26"/>
      <c r="I113" s="26"/>
      <c r="J113" s="29" t="s">
        <v>1264</v>
      </c>
      <c r="K113" s="29" t="s">
        <v>4759</v>
      </c>
      <c r="L113" s="94"/>
      <c r="M113" s="68">
        <v>1</v>
      </c>
      <c r="N113" s="68" t="s">
        <v>1393</v>
      </c>
    </row>
    <row r="114" spans="1:14" ht="14.25" x14ac:dyDescent="0.2">
      <c r="A114" s="11" t="s">
        <v>1356</v>
      </c>
      <c r="B114" s="12" t="s">
        <v>1445</v>
      </c>
      <c r="C114" s="13" t="s">
        <v>3754</v>
      </c>
      <c r="D114" s="13" t="s">
        <v>3754</v>
      </c>
      <c r="E114" s="29" t="s">
        <v>1446</v>
      </c>
      <c r="F114" s="13" t="s">
        <v>1447</v>
      </c>
      <c r="G114" s="25"/>
      <c r="H114" s="25">
        <v>3</v>
      </c>
      <c r="I114" s="25">
        <v>10</v>
      </c>
      <c r="J114" s="29" t="s">
        <v>1416</v>
      </c>
      <c r="K114" s="29" t="s">
        <v>1448</v>
      </c>
      <c r="L114" s="94"/>
      <c r="M114" s="68">
        <v>1</v>
      </c>
      <c r="N114" s="68" t="s">
        <v>1394</v>
      </c>
    </row>
    <row r="115" spans="1:14" ht="14.25" x14ac:dyDescent="0.2">
      <c r="A115" s="11" t="s">
        <v>8606</v>
      </c>
      <c r="B115" s="12" t="s">
        <v>4702</v>
      </c>
      <c r="C115" s="13" t="s">
        <v>3757</v>
      </c>
      <c r="D115" s="13" t="s">
        <v>3754</v>
      </c>
      <c r="E115" s="29" t="s">
        <v>8607</v>
      </c>
      <c r="F115" s="13" t="s">
        <v>8608</v>
      </c>
      <c r="G115" s="25">
        <v>68</v>
      </c>
      <c r="H115" s="25"/>
      <c r="I115" s="25"/>
      <c r="J115" s="29" t="s">
        <v>1271</v>
      </c>
      <c r="K115" s="29" t="s">
        <v>8609</v>
      </c>
      <c r="L115" s="94"/>
      <c r="M115" s="68">
        <v>1</v>
      </c>
      <c r="N115" s="68" t="s">
        <v>4586</v>
      </c>
    </row>
    <row r="116" spans="1:14" ht="14.25" x14ac:dyDescent="0.2">
      <c r="A116" s="11" t="s">
        <v>8606</v>
      </c>
      <c r="B116" s="12" t="s">
        <v>8612</v>
      </c>
      <c r="C116" s="13" t="s">
        <v>3754</v>
      </c>
      <c r="D116" s="13" t="s">
        <v>3754</v>
      </c>
      <c r="E116" s="29" t="s">
        <v>8613</v>
      </c>
      <c r="F116" s="13" t="s">
        <v>8614</v>
      </c>
      <c r="G116" s="25">
        <v>1</v>
      </c>
      <c r="H116" s="25">
        <v>2</v>
      </c>
      <c r="I116" s="25"/>
      <c r="J116" s="29" t="s">
        <v>4829</v>
      </c>
      <c r="K116" s="29" t="s">
        <v>8615</v>
      </c>
      <c r="L116" s="94"/>
      <c r="M116" s="68">
        <v>1</v>
      </c>
      <c r="N116" s="68" t="s">
        <v>4586</v>
      </c>
    </row>
    <row r="117" spans="1:14" ht="14.25" x14ac:dyDescent="0.2">
      <c r="A117" s="11" t="s">
        <v>5035</v>
      </c>
      <c r="B117" s="12" t="s">
        <v>3733</v>
      </c>
      <c r="C117" s="13" t="s">
        <v>3754</v>
      </c>
      <c r="D117" s="13" t="s">
        <v>3768</v>
      </c>
      <c r="E117" s="29" t="s">
        <v>5036</v>
      </c>
      <c r="F117" s="13" t="s">
        <v>3768</v>
      </c>
      <c r="G117" s="25">
        <v>28</v>
      </c>
      <c r="H117" s="25"/>
      <c r="I117" s="25"/>
      <c r="J117" s="29" t="s">
        <v>1264</v>
      </c>
      <c r="K117" s="29"/>
      <c r="L117" s="94"/>
      <c r="M117" s="68">
        <v>1</v>
      </c>
      <c r="N117" s="68" t="s">
        <v>4965</v>
      </c>
    </row>
    <row r="118" spans="1:14" ht="14.25" x14ac:dyDescent="0.2">
      <c r="A118" s="11" t="s">
        <v>5047</v>
      </c>
      <c r="B118" s="12" t="s">
        <v>3732</v>
      </c>
      <c r="C118" s="13" t="s">
        <v>3757</v>
      </c>
      <c r="D118" s="13" t="s">
        <v>3754</v>
      </c>
      <c r="E118" s="29" t="s">
        <v>5048</v>
      </c>
      <c r="F118" s="13" t="s">
        <v>5049</v>
      </c>
      <c r="G118" s="25">
        <v>80</v>
      </c>
      <c r="H118" s="25"/>
      <c r="I118" s="25"/>
      <c r="J118" s="29" t="s">
        <v>1271</v>
      </c>
      <c r="K118" s="29" t="s">
        <v>5050</v>
      </c>
      <c r="L118" s="94"/>
      <c r="M118" s="68">
        <v>1</v>
      </c>
      <c r="N118" s="68" t="s">
        <v>4965</v>
      </c>
    </row>
    <row r="119" spans="1:14" ht="14.25" x14ac:dyDescent="0.2">
      <c r="A119" s="11" t="s">
        <v>1361</v>
      </c>
      <c r="B119" s="12" t="s">
        <v>3748</v>
      </c>
      <c r="C119" s="13" t="s">
        <v>3757</v>
      </c>
      <c r="D119" s="13" t="s">
        <v>3754</v>
      </c>
      <c r="E119" s="29" t="s">
        <v>8631</v>
      </c>
      <c r="F119" s="13" t="s">
        <v>8632</v>
      </c>
      <c r="G119" s="25">
        <v>65</v>
      </c>
      <c r="H119" s="25"/>
      <c r="I119" s="25"/>
      <c r="J119" s="29" t="s">
        <v>8629</v>
      </c>
      <c r="K119" s="29" t="s">
        <v>8633</v>
      </c>
      <c r="L119" s="94"/>
      <c r="M119" s="68">
        <v>1</v>
      </c>
      <c r="N119" s="68" t="s">
        <v>4586</v>
      </c>
    </row>
    <row r="120" spans="1:14" ht="14.25" x14ac:dyDescent="0.2">
      <c r="A120" s="11" t="s">
        <v>1361</v>
      </c>
      <c r="B120" s="12" t="s">
        <v>3748</v>
      </c>
      <c r="C120" s="13" t="s">
        <v>3757</v>
      </c>
      <c r="D120" s="13" t="s">
        <v>3754</v>
      </c>
      <c r="E120" s="29" t="s">
        <v>4904</v>
      </c>
      <c r="F120" s="13" t="s">
        <v>4905</v>
      </c>
      <c r="G120" s="25">
        <v>65</v>
      </c>
      <c r="H120" s="25"/>
      <c r="I120" s="25"/>
      <c r="J120" s="29" t="s">
        <v>1267</v>
      </c>
      <c r="K120" s="29" t="s">
        <v>4903</v>
      </c>
      <c r="L120" s="94"/>
      <c r="M120" s="68">
        <v>1</v>
      </c>
      <c r="N120" s="68" t="s">
        <v>4586</v>
      </c>
    </row>
    <row r="121" spans="1:14" ht="14.25" x14ac:dyDescent="0.2">
      <c r="A121" s="11" t="s">
        <v>1361</v>
      </c>
      <c r="B121" s="12" t="s">
        <v>4690</v>
      </c>
      <c r="C121" s="13" t="s">
        <v>3754</v>
      </c>
      <c r="D121" s="13" t="s">
        <v>3761</v>
      </c>
      <c r="E121" s="29" t="s">
        <v>4719</v>
      </c>
      <c r="F121" s="13" t="s">
        <v>3754</v>
      </c>
      <c r="G121" s="26"/>
      <c r="H121" s="26">
        <v>6</v>
      </c>
      <c r="I121" s="26"/>
      <c r="J121" s="29" t="s">
        <v>4742</v>
      </c>
      <c r="K121" s="29" t="s">
        <v>4773</v>
      </c>
      <c r="L121" s="94"/>
      <c r="M121" s="68">
        <v>1</v>
      </c>
      <c r="N121" s="68" t="s">
        <v>1393</v>
      </c>
    </row>
    <row r="122" spans="1:14" ht="14.25" x14ac:dyDescent="0.2">
      <c r="A122" s="11" t="s">
        <v>1361</v>
      </c>
      <c r="B122" s="12" t="s">
        <v>4689</v>
      </c>
      <c r="C122" s="13" t="s">
        <v>4709</v>
      </c>
      <c r="D122" s="13" t="s">
        <v>3754</v>
      </c>
      <c r="E122" s="29"/>
      <c r="F122" s="13" t="s">
        <v>3754</v>
      </c>
      <c r="G122" s="26"/>
      <c r="H122" s="26">
        <v>19</v>
      </c>
      <c r="I122" s="26"/>
      <c r="J122" s="29" t="s">
        <v>4742</v>
      </c>
      <c r="K122" s="29" t="s">
        <v>4774</v>
      </c>
      <c r="L122" s="94"/>
      <c r="M122" s="68">
        <v>1</v>
      </c>
      <c r="N122" s="68" t="s">
        <v>1393</v>
      </c>
    </row>
    <row r="123" spans="1:14" ht="14.25" x14ac:dyDescent="0.2">
      <c r="A123" s="11" t="s">
        <v>1361</v>
      </c>
      <c r="B123" s="12" t="s">
        <v>4703</v>
      </c>
      <c r="C123" s="13" t="s">
        <v>3757</v>
      </c>
      <c r="D123" s="13" t="s">
        <v>3761</v>
      </c>
      <c r="E123" s="29" t="s">
        <v>1370</v>
      </c>
      <c r="F123" s="13" t="s">
        <v>5214</v>
      </c>
      <c r="G123" s="26">
        <v>36</v>
      </c>
      <c r="H123" s="26"/>
      <c r="I123" s="26"/>
      <c r="J123" s="29" t="s">
        <v>1272</v>
      </c>
      <c r="K123" s="29" t="s">
        <v>4757</v>
      </c>
      <c r="L123" s="94"/>
      <c r="M123" s="68">
        <v>1</v>
      </c>
      <c r="N123" s="68" t="s">
        <v>1393</v>
      </c>
    </row>
    <row r="124" spans="1:14" ht="14.25" x14ac:dyDescent="0.2">
      <c r="A124" s="11" t="s">
        <v>1361</v>
      </c>
      <c r="B124" s="12" t="s">
        <v>3734</v>
      </c>
      <c r="C124" s="13" t="s">
        <v>3757</v>
      </c>
      <c r="D124" s="13" t="s">
        <v>4715</v>
      </c>
      <c r="E124" s="29" t="s">
        <v>1376</v>
      </c>
      <c r="F124" s="13" t="s">
        <v>4722</v>
      </c>
      <c r="G124" s="26">
        <v>75</v>
      </c>
      <c r="H124" s="26"/>
      <c r="I124" s="26"/>
      <c r="J124" s="29" t="s">
        <v>6573</v>
      </c>
      <c r="K124" s="29" t="s">
        <v>4763</v>
      </c>
      <c r="L124" s="94"/>
      <c r="M124" s="68">
        <v>1</v>
      </c>
      <c r="N124" s="68" t="s">
        <v>1393</v>
      </c>
    </row>
    <row r="125" spans="1:14" ht="14.25" x14ac:dyDescent="0.2">
      <c r="A125" s="11" t="s">
        <v>1361</v>
      </c>
      <c r="B125" s="12" t="s">
        <v>4908</v>
      </c>
      <c r="C125" s="13" t="s">
        <v>3754</v>
      </c>
      <c r="D125" s="13" t="s">
        <v>3754</v>
      </c>
      <c r="E125" s="29"/>
      <c r="F125" s="13" t="s">
        <v>4909</v>
      </c>
      <c r="G125" s="25">
        <v>5</v>
      </c>
      <c r="H125" s="25"/>
      <c r="I125" s="25"/>
      <c r="J125" s="29" t="s">
        <v>1254</v>
      </c>
      <c r="K125" s="29" t="s">
        <v>4903</v>
      </c>
      <c r="L125" s="94"/>
      <c r="M125" s="68">
        <v>1</v>
      </c>
      <c r="N125" s="68" t="s">
        <v>4586</v>
      </c>
    </row>
    <row r="126" spans="1:14" ht="14.25" x14ac:dyDescent="0.2">
      <c r="A126" s="11" t="s">
        <v>1361</v>
      </c>
      <c r="B126" s="12" t="s">
        <v>4685</v>
      </c>
      <c r="C126" s="13" t="s">
        <v>3754</v>
      </c>
      <c r="D126" s="13" t="s">
        <v>3754</v>
      </c>
      <c r="E126" s="29" t="s">
        <v>8638</v>
      </c>
      <c r="F126" s="13" t="s">
        <v>8639</v>
      </c>
      <c r="G126" s="25">
        <v>2</v>
      </c>
      <c r="H126" s="25">
        <v>6</v>
      </c>
      <c r="I126" s="25">
        <v>15</v>
      </c>
      <c r="J126" s="29" t="s">
        <v>1258</v>
      </c>
      <c r="K126" s="29" t="s">
        <v>8640</v>
      </c>
      <c r="L126" s="94"/>
      <c r="M126" s="68">
        <v>1</v>
      </c>
      <c r="N126" s="68" t="s">
        <v>4586</v>
      </c>
    </row>
    <row r="127" spans="1:14" ht="14.25" x14ac:dyDescent="0.2">
      <c r="A127" s="11" t="s">
        <v>1361</v>
      </c>
      <c r="B127" s="12" t="s">
        <v>4685</v>
      </c>
      <c r="C127" s="13" t="s">
        <v>3757</v>
      </c>
      <c r="D127" s="13" t="s">
        <v>8621</v>
      </c>
      <c r="E127" s="29" t="s">
        <v>8622</v>
      </c>
      <c r="F127" s="13" t="s">
        <v>8623</v>
      </c>
      <c r="G127" s="25">
        <v>65</v>
      </c>
      <c r="H127" s="25"/>
      <c r="I127" s="25"/>
      <c r="J127" s="29" t="s">
        <v>8624</v>
      </c>
      <c r="K127" s="29" t="s">
        <v>8625</v>
      </c>
      <c r="L127" s="94"/>
      <c r="M127" s="68">
        <v>1</v>
      </c>
      <c r="N127" s="68" t="s">
        <v>4586</v>
      </c>
    </row>
    <row r="128" spans="1:14" ht="14.25" x14ac:dyDescent="0.2">
      <c r="A128" s="11" t="s">
        <v>1361</v>
      </c>
      <c r="B128" s="12" t="s">
        <v>3740</v>
      </c>
      <c r="C128" s="13" t="s">
        <v>3754</v>
      </c>
      <c r="D128" s="13" t="s">
        <v>3754</v>
      </c>
      <c r="E128" s="29"/>
      <c r="F128" s="13" t="s">
        <v>4909</v>
      </c>
      <c r="G128" s="25">
        <v>4</v>
      </c>
      <c r="H128" s="25"/>
      <c r="I128" s="25"/>
      <c r="J128" s="29" t="s">
        <v>1254</v>
      </c>
      <c r="K128" s="29" t="s">
        <v>4903</v>
      </c>
      <c r="L128" s="94"/>
      <c r="M128" s="68">
        <v>1</v>
      </c>
      <c r="N128" s="68" t="s">
        <v>4586</v>
      </c>
    </row>
    <row r="129" spans="1:14" ht="14.25" x14ac:dyDescent="0.2">
      <c r="A129" s="17" t="s">
        <v>1361</v>
      </c>
      <c r="B129" s="18" t="s">
        <v>1466</v>
      </c>
      <c r="C129" s="19" t="s">
        <v>3754</v>
      </c>
      <c r="D129" s="10" t="s">
        <v>3754</v>
      </c>
      <c r="E129" s="46" t="s">
        <v>1467</v>
      </c>
      <c r="F129" s="19" t="s">
        <v>1468</v>
      </c>
      <c r="G129" s="8">
        <v>7</v>
      </c>
      <c r="H129" s="8">
        <v>10</v>
      </c>
      <c r="I129" s="8"/>
      <c r="J129" s="45" t="s">
        <v>1277</v>
      </c>
      <c r="K129" s="45" t="s">
        <v>1469</v>
      </c>
      <c r="L129" s="94"/>
      <c r="M129" s="68">
        <v>1</v>
      </c>
      <c r="N129" s="68" t="s">
        <v>5194</v>
      </c>
    </row>
    <row r="130" spans="1:14" ht="14.25" x14ac:dyDescent="0.2">
      <c r="A130" s="9" t="s">
        <v>1361</v>
      </c>
      <c r="B130" s="5" t="s">
        <v>8616</v>
      </c>
      <c r="C130" s="10" t="s">
        <v>3757</v>
      </c>
      <c r="D130" s="10" t="s">
        <v>3754</v>
      </c>
      <c r="E130" s="61" t="s">
        <v>8617</v>
      </c>
      <c r="F130" s="10" t="s">
        <v>8618</v>
      </c>
      <c r="G130" s="22">
        <v>65</v>
      </c>
      <c r="H130" s="22"/>
      <c r="I130" s="22"/>
      <c r="J130" s="55" t="s">
        <v>1272</v>
      </c>
      <c r="K130" s="55" t="s">
        <v>8619</v>
      </c>
      <c r="L130" s="94"/>
      <c r="M130" s="68">
        <v>1</v>
      </c>
      <c r="N130" s="68" t="s">
        <v>4586</v>
      </c>
    </row>
    <row r="131" spans="1:14" ht="28.5" x14ac:dyDescent="0.2">
      <c r="A131" s="11" t="s">
        <v>1361</v>
      </c>
      <c r="B131" s="12" t="s">
        <v>8616</v>
      </c>
      <c r="C131" s="13" t="s">
        <v>3757</v>
      </c>
      <c r="D131" s="13" t="s">
        <v>3754</v>
      </c>
      <c r="E131" s="29" t="s">
        <v>8617</v>
      </c>
      <c r="F131" s="13" t="s">
        <v>8618</v>
      </c>
      <c r="G131" s="25">
        <v>67</v>
      </c>
      <c r="H131" s="25"/>
      <c r="I131" s="25"/>
      <c r="J131" s="29" t="s">
        <v>8620</v>
      </c>
      <c r="K131" s="29" t="s">
        <v>8619</v>
      </c>
      <c r="L131" s="94"/>
      <c r="M131" s="68">
        <v>1</v>
      </c>
      <c r="N131" s="68" t="s">
        <v>4586</v>
      </c>
    </row>
    <row r="132" spans="1:14" ht="14.25" x14ac:dyDescent="0.2">
      <c r="A132" s="11" t="s">
        <v>1361</v>
      </c>
      <c r="B132" s="12" t="s">
        <v>3738</v>
      </c>
      <c r="C132" s="13" t="s">
        <v>3757</v>
      </c>
      <c r="D132" s="13" t="s">
        <v>3754</v>
      </c>
      <c r="E132" s="29" t="s">
        <v>4906</v>
      </c>
      <c r="F132" s="13" t="s">
        <v>4907</v>
      </c>
      <c r="G132" s="25">
        <v>24</v>
      </c>
      <c r="H132" s="25"/>
      <c r="I132" s="25"/>
      <c r="J132" s="29" t="s">
        <v>1264</v>
      </c>
      <c r="K132" s="29" t="s">
        <v>4903</v>
      </c>
      <c r="L132" s="94"/>
      <c r="M132" s="68">
        <v>1</v>
      </c>
      <c r="N132" s="68" t="s">
        <v>4586</v>
      </c>
    </row>
    <row r="133" spans="1:14" ht="14.25" x14ac:dyDescent="0.2">
      <c r="A133" s="11" t="s">
        <v>1396</v>
      </c>
      <c r="B133" s="12" t="s">
        <v>4702</v>
      </c>
      <c r="C133" s="13" t="s">
        <v>3754</v>
      </c>
      <c r="D133" s="13" t="s">
        <v>3754</v>
      </c>
      <c r="E133" s="29" t="s">
        <v>1397</v>
      </c>
      <c r="F133" s="13" t="s">
        <v>1398</v>
      </c>
      <c r="G133" s="25">
        <v>1</v>
      </c>
      <c r="H133" s="25">
        <v>3</v>
      </c>
      <c r="I133" s="25"/>
      <c r="J133" s="29" t="s">
        <v>1399</v>
      </c>
      <c r="K133" s="29" t="s">
        <v>1400</v>
      </c>
      <c r="L133" s="94"/>
      <c r="M133" s="68">
        <v>1</v>
      </c>
      <c r="N133" s="68" t="s">
        <v>1394</v>
      </c>
    </row>
    <row r="134" spans="1:14" ht="14.25" x14ac:dyDescent="0.2">
      <c r="A134" s="11" t="s">
        <v>1396</v>
      </c>
      <c r="B134" s="12" t="s">
        <v>1422</v>
      </c>
      <c r="C134" s="13" t="s">
        <v>3754</v>
      </c>
      <c r="D134" s="13" t="s">
        <v>3754</v>
      </c>
      <c r="E134" s="29" t="s">
        <v>1423</v>
      </c>
      <c r="F134" s="13" t="s">
        <v>1424</v>
      </c>
      <c r="G134" s="25">
        <v>34</v>
      </c>
      <c r="H134" s="25"/>
      <c r="I134" s="25"/>
      <c r="J134" s="29" t="s">
        <v>1272</v>
      </c>
      <c r="K134" s="29" t="s">
        <v>1400</v>
      </c>
      <c r="L134" s="94"/>
      <c r="M134" s="68">
        <v>1</v>
      </c>
      <c r="N134" s="68" t="s">
        <v>1394</v>
      </c>
    </row>
    <row r="135" spans="1:14" ht="14.25" x14ac:dyDescent="0.2">
      <c r="A135" s="14" t="s">
        <v>1454</v>
      </c>
      <c r="B135" s="15" t="s">
        <v>3740</v>
      </c>
      <c r="C135" s="16" t="s">
        <v>3757</v>
      </c>
      <c r="D135" s="13" t="s">
        <v>3754</v>
      </c>
      <c r="E135" s="27" t="s">
        <v>1455</v>
      </c>
      <c r="F135" s="16" t="s">
        <v>1456</v>
      </c>
      <c r="G135" s="26">
        <v>37</v>
      </c>
      <c r="H135" s="26"/>
      <c r="I135" s="26"/>
      <c r="J135" s="27" t="s">
        <v>1264</v>
      </c>
      <c r="K135" s="27" t="s">
        <v>1306</v>
      </c>
      <c r="L135" s="94"/>
      <c r="M135" s="68">
        <v>1</v>
      </c>
      <c r="N135" s="68" t="s">
        <v>5194</v>
      </c>
    </row>
    <row r="136" spans="1:14" ht="14.25" x14ac:dyDescent="0.2">
      <c r="A136" s="11" t="s">
        <v>8644</v>
      </c>
      <c r="B136" s="12" t="s">
        <v>8645</v>
      </c>
      <c r="C136" s="13" t="s">
        <v>3757</v>
      </c>
      <c r="D136" s="13" t="s">
        <v>3754</v>
      </c>
      <c r="E136" s="29" t="s">
        <v>4890</v>
      </c>
      <c r="F136" s="13" t="s">
        <v>4891</v>
      </c>
      <c r="G136" s="25">
        <v>65</v>
      </c>
      <c r="H136" s="25"/>
      <c r="I136" s="25"/>
      <c r="J136" s="29" t="s">
        <v>1272</v>
      </c>
      <c r="K136" s="29" t="s">
        <v>4892</v>
      </c>
      <c r="L136" s="94"/>
      <c r="M136" s="68">
        <v>1</v>
      </c>
      <c r="N136" s="68" t="s">
        <v>4586</v>
      </c>
    </row>
    <row r="137" spans="1:14" ht="14.25" x14ac:dyDescent="0.2">
      <c r="A137" s="11" t="s">
        <v>8644</v>
      </c>
      <c r="B137" s="12" t="s">
        <v>8645</v>
      </c>
      <c r="C137" s="13" t="s">
        <v>3757</v>
      </c>
      <c r="D137" s="13" t="s">
        <v>3754</v>
      </c>
      <c r="E137" s="29" t="s">
        <v>4890</v>
      </c>
      <c r="F137" s="13" t="s">
        <v>4891</v>
      </c>
      <c r="G137" s="25">
        <v>65</v>
      </c>
      <c r="H137" s="25"/>
      <c r="I137" s="25"/>
      <c r="J137" s="29" t="s">
        <v>1271</v>
      </c>
      <c r="K137" s="29" t="s">
        <v>4892</v>
      </c>
      <c r="L137" s="94"/>
      <c r="M137" s="68">
        <v>1</v>
      </c>
      <c r="N137" s="68" t="s">
        <v>4586</v>
      </c>
    </row>
    <row r="138" spans="1:14" ht="14.25" x14ac:dyDescent="0.2">
      <c r="A138" s="11" t="s">
        <v>8626</v>
      </c>
      <c r="B138" s="12" t="s">
        <v>3740</v>
      </c>
      <c r="C138" s="13" t="s">
        <v>3754</v>
      </c>
      <c r="D138" s="13" t="s">
        <v>3754</v>
      </c>
      <c r="E138" s="29" t="s">
        <v>8627</v>
      </c>
      <c r="F138" s="13" t="s">
        <v>8628</v>
      </c>
      <c r="G138" s="25"/>
      <c r="H138" s="25">
        <v>6</v>
      </c>
      <c r="I138" s="25"/>
      <c r="J138" s="29" t="s">
        <v>8629</v>
      </c>
      <c r="K138" s="29" t="s">
        <v>8630</v>
      </c>
      <c r="L138" s="94"/>
      <c r="M138" s="68">
        <v>1</v>
      </c>
      <c r="N138" s="68" t="s">
        <v>4586</v>
      </c>
    </row>
    <row r="139" spans="1:14" ht="14.25" x14ac:dyDescent="0.2">
      <c r="A139" s="14" t="s">
        <v>5203</v>
      </c>
      <c r="B139" s="15" t="s">
        <v>1432</v>
      </c>
      <c r="C139" s="16" t="s">
        <v>3754</v>
      </c>
      <c r="D139" s="13" t="s">
        <v>3754</v>
      </c>
      <c r="E139" s="27" t="s">
        <v>5204</v>
      </c>
      <c r="F139" s="16" t="s">
        <v>5205</v>
      </c>
      <c r="G139" s="26">
        <v>1</v>
      </c>
      <c r="H139" s="26">
        <v>1</v>
      </c>
      <c r="I139" s="26"/>
      <c r="J139" s="27" t="s">
        <v>1412</v>
      </c>
      <c r="K139" s="27" t="s">
        <v>717</v>
      </c>
      <c r="L139" s="94"/>
      <c r="M139" s="68">
        <v>1</v>
      </c>
      <c r="N139" s="68" t="s">
        <v>5194</v>
      </c>
    </row>
    <row r="140" spans="1:14" ht="14.25" x14ac:dyDescent="0.2">
      <c r="A140" s="11" t="s">
        <v>4814</v>
      </c>
      <c r="B140" s="12" t="s">
        <v>1432</v>
      </c>
      <c r="C140" s="13" t="s">
        <v>3754</v>
      </c>
      <c r="D140" s="13" t="s">
        <v>3754</v>
      </c>
      <c r="E140" s="29">
        <v>1874</v>
      </c>
      <c r="F140" s="13" t="s">
        <v>4815</v>
      </c>
      <c r="G140" s="25">
        <v>3</v>
      </c>
      <c r="H140" s="25">
        <v>7</v>
      </c>
      <c r="I140" s="25">
        <v>8</v>
      </c>
      <c r="J140" s="29" t="s">
        <v>1254</v>
      </c>
      <c r="K140" s="29" t="s">
        <v>4816</v>
      </c>
      <c r="L140" s="94"/>
      <c r="M140" s="68">
        <v>1</v>
      </c>
      <c r="N140" s="68" t="s">
        <v>1394</v>
      </c>
    </row>
    <row r="141" spans="1:14" ht="14.25" x14ac:dyDescent="0.2">
      <c r="A141" s="11" t="s">
        <v>1362</v>
      </c>
      <c r="B141" s="12" t="s">
        <v>3740</v>
      </c>
      <c r="C141" s="13" t="s">
        <v>3757</v>
      </c>
      <c r="D141" s="13" t="s">
        <v>3761</v>
      </c>
      <c r="E141" s="29" t="s">
        <v>4773</v>
      </c>
      <c r="F141" s="13" t="s">
        <v>3754</v>
      </c>
      <c r="G141" s="26">
        <v>37</v>
      </c>
      <c r="H141" s="26"/>
      <c r="I141" s="26"/>
      <c r="J141" s="29" t="s">
        <v>4738</v>
      </c>
      <c r="K141" s="29" t="s">
        <v>4772</v>
      </c>
      <c r="L141" s="94"/>
      <c r="M141" s="68">
        <v>1</v>
      </c>
      <c r="N141" s="68" t="s">
        <v>1393</v>
      </c>
    </row>
    <row r="142" spans="1:14" ht="14.25" x14ac:dyDescent="0.2">
      <c r="A142" s="11" t="s">
        <v>1354</v>
      </c>
      <c r="B142" s="12" t="s">
        <v>5044</v>
      </c>
      <c r="C142" s="13" t="s">
        <v>3757</v>
      </c>
      <c r="D142" s="13" t="s">
        <v>3754</v>
      </c>
      <c r="E142" s="29" t="s">
        <v>5045</v>
      </c>
      <c r="F142" s="13" t="s">
        <v>5046</v>
      </c>
      <c r="G142" s="25">
        <v>36</v>
      </c>
      <c r="H142" s="25"/>
      <c r="I142" s="25"/>
      <c r="J142" s="29" t="s">
        <v>1264</v>
      </c>
      <c r="K142" s="29" t="s">
        <v>5043</v>
      </c>
      <c r="L142" s="94"/>
      <c r="M142" s="68">
        <v>1</v>
      </c>
      <c r="N142" s="68" t="s">
        <v>4965</v>
      </c>
    </row>
    <row r="143" spans="1:14" ht="14.25" x14ac:dyDescent="0.2">
      <c r="A143" s="11" t="s">
        <v>1354</v>
      </c>
      <c r="B143" s="12" t="s">
        <v>3748</v>
      </c>
      <c r="C143" s="13" t="s">
        <v>3757</v>
      </c>
      <c r="D143" s="13" t="s">
        <v>3754</v>
      </c>
      <c r="E143" s="29" t="s">
        <v>1425</v>
      </c>
      <c r="F143" s="13" t="s">
        <v>1426</v>
      </c>
      <c r="G143" s="25">
        <v>44</v>
      </c>
      <c r="H143" s="25"/>
      <c r="I143" s="25"/>
      <c r="J143" s="29" t="s">
        <v>1266</v>
      </c>
      <c r="K143" s="29" t="s">
        <v>1427</v>
      </c>
      <c r="L143" s="94"/>
      <c r="M143" s="68">
        <v>1</v>
      </c>
      <c r="N143" s="68" t="s">
        <v>1394</v>
      </c>
    </row>
    <row r="144" spans="1:14" ht="14.25" x14ac:dyDescent="0.2">
      <c r="A144" s="11" t="s">
        <v>1354</v>
      </c>
      <c r="B144" s="12" t="s">
        <v>4690</v>
      </c>
      <c r="C144" s="13" t="s">
        <v>3754</v>
      </c>
      <c r="D144" s="13" t="s">
        <v>3761</v>
      </c>
      <c r="E144" s="29" t="s">
        <v>1372</v>
      </c>
      <c r="F144" s="13" t="s">
        <v>3960</v>
      </c>
      <c r="G144" s="26"/>
      <c r="H144" s="26">
        <v>13</v>
      </c>
      <c r="I144" s="26"/>
      <c r="J144" s="29" t="s">
        <v>1264</v>
      </c>
      <c r="K144" s="29" t="s">
        <v>4760</v>
      </c>
      <c r="L144" s="94"/>
      <c r="M144" s="68">
        <v>1</v>
      </c>
      <c r="N144" s="68" t="s">
        <v>1393</v>
      </c>
    </row>
    <row r="145" spans="1:14" ht="14.25" x14ac:dyDescent="0.2">
      <c r="A145" s="11" t="s">
        <v>1354</v>
      </c>
      <c r="B145" s="12" t="s">
        <v>3744</v>
      </c>
      <c r="C145" s="13" t="s">
        <v>3754</v>
      </c>
      <c r="D145" s="13" t="s">
        <v>3754</v>
      </c>
      <c r="E145" s="29" t="s">
        <v>4577</v>
      </c>
      <c r="F145" s="13" t="s">
        <v>4578</v>
      </c>
      <c r="G145" s="25">
        <v>7</v>
      </c>
      <c r="H145" s="25">
        <v>2</v>
      </c>
      <c r="I145" s="25">
        <v>2</v>
      </c>
      <c r="J145" s="29" t="s">
        <v>4579</v>
      </c>
      <c r="K145" s="29" t="s">
        <v>4580</v>
      </c>
      <c r="L145" s="94"/>
      <c r="M145" s="68">
        <v>1</v>
      </c>
      <c r="N145" s="68" t="s">
        <v>1394</v>
      </c>
    </row>
    <row r="146" spans="1:14" ht="14.25" x14ac:dyDescent="0.2">
      <c r="A146" s="14" t="s">
        <v>1354</v>
      </c>
      <c r="B146" s="15" t="s">
        <v>1432</v>
      </c>
      <c r="C146" s="16" t="s">
        <v>3757</v>
      </c>
      <c r="D146" s="13" t="s">
        <v>3754</v>
      </c>
      <c r="E146" s="27" t="s">
        <v>1486</v>
      </c>
      <c r="F146" s="16" t="s">
        <v>3761</v>
      </c>
      <c r="G146" s="26">
        <v>63</v>
      </c>
      <c r="H146" s="26"/>
      <c r="I146" s="26"/>
      <c r="J146" s="27" t="s">
        <v>1270</v>
      </c>
      <c r="K146" s="27" t="s">
        <v>1487</v>
      </c>
      <c r="L146" s="94"/>
      <c r="M146" s="68">
        <v>1</v>
      </c>
      <c r="N146" s="68" t="s">
        <v>5194</v>
      </c>
    </row>
    <row r="147" spans="1:14" ht="14.25" x14ac:dyDescent="0.2">
      <c r="A147" s="11" t="s">
        <v>1354</v>
      </c>
      <c r="B147" s="12" t="s">
        <v>4684</v>
      </c>
      <c r="C147" s="13" t="s">
        <v>3757</v>
      </c>
      <c r="D147" s="13" t="s">
        <v>3754</v>
      </c>
      <c r="E147" s="29"/>
      <c r="F147" s="13" t="s">
        <v>3754</v>
      </c>
      <c r="G147" s="26">
        <v>42</v>
      </c>
      <c r="H147" s="26"/>
      <c r="I147" s="26"/>
      <c r="J147" s="29" t="s">
        <v>4735</v>
      </c>
      <c r="K147" s="29" t="s">
        <v>4853</v>
      </c>
      <c r="L147" s="94"/>
      <c r="M147" s="68">
        <v>1</v>
      </c>
      <c r="N147" s="68" t="s">
        <v>1393</v>
      </c>
    </row>
    <row r="148" spans="1:14" ht="14.25" x14ac:dyDescent="0.2">
      <c r="A148" s="11" t="s">
        <v>1354</v>
      </c>
      <c r="B148" s="12" t="s">
        <v>4574</v>
      </c>
      <c r="C148" s="13" t="s">
        <v>3757</v>
      </c>
      <c r="D148" s="13" t="s">
        <v>3754</v>
      </c>
      <c r="E148" s="29" t="s">
        <v>1292</v>
      </c>
      <c r="F148" s="13" t="s">
        <v>4575</v>
      </c>
      <c r="G148" s="25">
        <v>48</v>
      </c>
      <c r="H148" s="25"/>
      <c r="I148" s="25"/>
      <c r="J148" s="29" t="s">
        <v>4732</v>
      </c>
      <c r="K148" s="29" t="s">
        <v>4576</v>
      </c>
      <c r="L148" s="94"/>
      <c r="M148" s="68">
        <v>1</v>
      </c>
      <c r="N148" s="68" t="s">
        <v>1394</v>
      </c>
    </row>
    <row r="149" spans="1:14" ht="14.25" x14ac:dyDescent="0.2">
      <c r="A149" s="11" t="s">
        <v>1354</v>
      </c>
      <c r="B149" s="12" t="s">
        <v>4914</v>
      </c>
      <c r="C149" s="13" t="s">
        <v>3754</v>
      </c>
      <c r="D149" s="13" t="s">
        <v>3754</v>
      </c>
      <c r="E149" s="29" t="s">
        <v>4915</v>
      </c>
      <c r="F149" s="13" t="s">
        <v>4916</v>
      </c>
      <c r="G149" s="25">
        <v>34</v>
      </c>
      <c r="H149" s="25"/>
      <c r="I149" s="25"/>
      <c r="J149" s="29" t="s">
        <v>1264</v>
      </c>
      <c r="K149" s="29" t="s">
        <v>4917</v>
      </c>
      <c r="L149" s="94"/>
      <c r="M149" s="68">
        <v>1</v>
      </c>
      <c r="N149" s="68" t="s">
        <v>4586</v>
      </c>
    </row>
    <row r="150" spans="1:14" ht="14.25" x14ac:dyDescent="0.2">
      <c r="A150" s="14" t="s">
        <v>1354</v>
      </c>
      <c r="B150" s="15" t="s">
        <v>4908</v>
      </c>
      <c r="C150" s="16" t="s">
        <v>3757</v>
      </c>
      <c r="D150" s="13" t="s">
        <v>3754</v>
      </c>
      <c r="E150" s="27" t="s">
        <v>1462</v>
      </c>
      <c r="F150" s="16" t="s">
        <v>1463</v>
      </c>
      <c r="G150" s="26">
        <v>31</v>
      </c>
      <c r="H150" s="26" t="s">
        <v>1464</v>
      </c>
      <c r="I150" s="26"/>
      <c r="J150" s="27" t="s">
        <v>1264</v>
      </c>
      <c r="K150" s="27" t="s">
        <v>1465</v>
      </c>
      <c r="L150" s="94"/>
      <c r="M150" s="68">
        <v>1</v>
      </c>
      <c r="N150" s="68" t="s">
        <v>5194</v>
      </c>
    </row>
    <row r="151" spans="1:14" ht="14.25" x14ac:dyDescent="0.2">
      <c r="A151" s="11" t="s">
        <v>1354</v>
      </c>
      <c r="B151" s="12" t="s">
        <v>5001</v>
      </c>
      <c r="C151" s="13" t="s">
        <v>3754</v>
      </c>
      <c r="D151" s="13" t="s">
        <v>3754</v>
      </c>
      <c r="E151" s="29" t="s">
        <v>5002</v>
      </c>
      <c r="F151" s="13" t="s">
        <v>5003</v>
      </c>
      <c r="G151" s="25"/>
      <c r="H151" s="25">
        <v>2</v>
      </c>
      <c r="I151" s="25">
        <v>29</v>
      </c>
      <c r="J151" s="29" t="s">
        <v>4748</v>
      </c>
      <c r="K151" s="29" t="s">
        <v>5004</v>
      </c>
      <c r="L151" s="94"/>
      <c r="M151" s="68">
        <v>1</v>
      </c>
      <c r="N151" s="68" t="s">
        <v>4965</v>
      </c>
    </row>
    <row r="152" spans="1:14" ht="14.25" x14ac:dyDescent="0.2">
      <c r="A152" s="11" t="s">
        <v>1354</v>
      </c>
      <c r="B152" s="12" t="s">
        <v>1409</v>
      </c>
      <c r="C152" s="13" t="s">
        <v>3754</v>
      </c>
      <c r="D152" s="13" t="s">
        <v>3754</v>
      </c>
      <c r="E152" s="29" t="s">
        <v>1410</v>
      </c>
      <c r="F152" s="13" t="s">
        <v>1411</v>
      </c>
      <c r="G152" s="25"/>
      <c r="H152" s="25">
        <v>6</v>
      </c>
      <c r="I152" s="25"/>
      <c r="J152" s="29" t="s">
        <v>1412</v>
      </c>
      <c r="K152" s="29" t="s">
        <v>1410</v>
      </c>
      <c r="L152" s="94"/>
      <c r="M152" s="68">
        <v>1</v>
      </c>
      <c r="N152" s="68" t="s">
        <v>1394</v>
      </c>
    </row>
    <row r="153" spans="1:14" ht="14.25" x14ac:dyDescent="0.2">
      <c r="A153" s="11" t="s">
        <v>1354</v>
      </c>
      <c r="B153" s="12" t="s">
        <v>4685</v>
      </c>
      <c r="C153" s="13" t="s">
        <v>3757</v>
      </c>
      <c r="D153" s="13" t="s">
        <v>3754</v>
      </c>
      <c r="E153" s="29"/>
      <c r="F153" s="13" t="s">
        <v>3754</v>
      </c>
      <c r="G153" s="26">
        <v>19</v>
      </c>
      <c r="H153" s="26"/>
      <c r="I153" s="26"/>
      <c r="J153" s="29" t="s">
        <v>4737</v>
      </c>
      <c r="K153" s="29" t="s">
        <v>4853</v>
      </c>
      <c r="L153" s="94"/>
      <c r="M153" s="68">
        <v>1</v>
      </c>
      <c r="N153" s="68" t="s">
        <v>1393</v>
      </c>
    </row>
    <row r="154" spans="1:14" ht="14.25" x14ac:dyDescent="0.2">
      <c r="A154" s="11" t="s">
        <v>1354</v>
      </c>
      <c r="B154" s="12" t="s">
        <v>4685</v>
      </c>
      <c r="C154" s="13" t="s">
        <v>4995</v>
      </c>
      <c r="D154" s="13" t="s">
        <v>4996</v>
      </c>
      <c r="E154" s="29" t="s">
        <v>4997</v>
      </c>
      <c r="F154" s="13" t="s">
        <v>4996</v>
      </c>
      <c r="G154" s="25">
        <v>29</v>
      </c>
      <c r="H154" s="25">
        <v>6</v>
      </c>
      <c r="I154" s="25"/>
      <c r="J154" s="29" t="s">
        <v>1264</v>
      </c>
      <c r="K154" s="29" t="s">
        <v>4998</v>
      </c>
      <c r="L154" s="94"/>
      <c r="M154" s="68">
        <v>1</v>
      </c>
      <c r="N154" s="68" t="s">
        <v>4965</v>
      </c>
    </row>
    <row r="155" spans="1:14" ht="14.25" x14ac:dyDescent="0.2">
      <c r="A155" s="11" t="s">
        <v>1354</v>
      </c>
      <c r="B155" s="12" t="s">
        <v>1428</v>
      </c>
      <c r="C155" s="13" t="s">
        <v>3757</v>
      </c>
      <c r="D155" s="13" t="s">
        <v>3754</v>
      </c>
      <c r="E155" s="29" t="s">
        <v>1429</v>
      </c>
      <c r="F155" s="13" t="s">
        <v>1430</v>
      </c>
      <c r="G155" s="25">
        <v>72</v>
      </c>
      <c r="H155" s="25"/>
      <c r="I155" s="25"/>
      <c r="J155" s="29" t="s">
        <v>1271</v>
      </c>
      <c r="K155" s="29" t="s">
        <v>1431</v>
      </c>
      <c r="L155" s="94"/>
      <c r="M155" s="68">
        <v>1</v>
      </c>
      <c r="N155" s="68" t="s">
        <v>1394</v>
      </c>
    </row>
    <row r="156" spans="1:14" ht="14.25" x14ac:dyDescent="0.2">
      <c r="A156" s="11" t="s">
        <v>1354</v>
      </c>
      <c r="B156" s="12" t="s">
        <v>3740</v>
      </c>
      <c r="C156" s="13" t="s">
        <v>3757</v>
      </c>
      <c r="D156" s="13" t="s">
        <v>3754</v>
      </c>
      <c r="E156" s="29" t="s">
        <v>4792</v>
      </c>
      <c r="F156" s="13" t="s">
        <v>4793</v>
      </c>
      <c r="G156" s="25">
        <v>37</v>
      </c>
      <c r="H156" s="25"/>
      <c r="I156" s="25"/>
      <c r="J156" s="29" t="s">
        <v>1264</v>
      </c>
      <c r="K156" s="29" t="s">
        <v>4794</v>
      </c>
      <c r="L156" s="94"/>
      <c r="M156" s="68">
        <v>1</v>
      </c>
      <c r="N156" s="68" t="s">
        <v>1394</v>
      </c>
    </row>
    <row r="157" spans="1:14" ht="14.25" x14ac:dyDescent="0.2">
      <c r="A157" s="11" t="s">
        <v>1354</v>
      </c>
      <c r="B157" s="12" t="s">
        <v>4935</v>
      </c>
      <c r="C157" s="13" t="s">
        <v>4936</v>
      </c>
      <c r="D157" s="13" t="s">
        <v>3754</v>
      </c>
      <c r="E157" s="29" t="s">
        <v>4937</v>
      </c>
      <c r="F157" s="13" t="s">
        <v>4938</v>
      </c>
      <c r="G157" s="25">
        <v>47</v>
      </c>
      <c r="H157" s="25"/>
      <c r="I157" s="25"/>
      <c r="J157" s="29" t="s">
        <v>4939</v>
      </c>
      <c r="K157" s="29" t="s">
        <v>4940</v>
      </c>
      <c r="L157" s="94"/>
      <c r="M157" s="68">
        <v>1</v>
      </c>
      <c r="N157" s="68" t="s">
        <v>4586</v>
      </c>
    </row>
    <row r="158" spans="1:14" ht="14.25" x14ac:dyDescent="0.2">
      <c r="A158" s="11" t="s">
        <v>1354</v>
      </c>
      <c r="B158" s="12" t="s">
        <v>3733</v>
      </c>
      <c r="C158" s="13" t="s">
        <v>3757</v>
      </c>
      <c r="D158" s="13" t="s">
        <v>3761</v>
      </c>
      <c r="E158" s="29" t="s">
        <v>1389</v>
      </c>
      <c r="F158" s="13" t="s">
        <v>3754</v>
      </c>
      <c r="G158" s="26">
        <v>28</v>
      </c>
      <c r="H158" s="26"/>
      <c r="I158" s="26"/>
      <c r="J158" s="29" t="s">
        <v>1264</v>
      </c>
      <c r="K158" s="29" t="s">
        <v>4855</v>
      </c>
      <c r="L158" s="94"/>
      <c r="M158" s="68">
        <v>1</v>
      </c>
      <c r="N158" s="68" t="s">
        <v>1393</v>
      </c>
    </row>
    <row r="159" spans="1:14" ht="14.25" x14ac:dyDescent="0.2">
      <c r="A159" s="11" t="s">
        <v>8856</v>
      </c>
      <c r="B159" s="12" t="s">
        <v>3723</v>
      </c>
      <c r="C159" s="13" t="s">
        <v>3757</v>
      </c>
      <c r="D159" s="13" t="s">
        <v>3754</v>
      </c>
      <c r="E159" s="29" t="s">
        <v>8857</v>
      </c>
      <c r="F159" s="13" t="s">
        <v>8858</v>
      </c>
      <c r="G159" s="25">
        <v>81</v>
      </c>
      <c r="H159" s="25"/>
      <c r="I159" s="25"/>
      <c r="J159" s="29" t="s">
        <v>1271</v>
      </c>
      <c r="K159" s="29" t="s">
        <v>8859</v>
      </c>
      <c r="L159" s="94"/>
      <c r="M159" s="68">
        <v>1</v>
      </c>
      <c r="N159" s="68" t="s">
        <v>4965</v>
      </c>
    </row>
    <row r="160" spans="1:14" ht="14.25" x14ac:dyDescent="0.2">
      <c r="A160" s="11" t="s">
        <v>4948</v>
      </c>
      <c r="B160" s="12" t="s">
        <v>3740</v>
      </c>
      <c r="C160" s="13" t="s">
        <v>3757</v>
      </c>
      <c r="D160" s="13"/>
      <c r="E160" s="29" t="s">
        <v>4949</v>
      </c>
      <c r="F160" s="13" t="s">
        <v>4950</v>
      </c>
      <c r="G160" s="25">
        <v>74</v>
      </c>
      <c r="H160" s="25"/>
      <c r="I160" s="25"/>
      <c r="J160" s="29" t="s">
        <v>1271</v>
      </c>
      <c r="K160" s="29" t="s">
        <v>4951</v>
      </c>
      <c r="L160" s="94"/>
      <c r="M160" s="68">
        <v>1</v>
      </c>
      <c r="N160" s="68" t="s">
        <v>4586</v>
      </c>
    </row>
    <row r="161" spans="1:14" ht="14.25" x14ac:dyDescent="0.2">
      <c r="A161" s="14" t="s">
        <v>1451</v>
      </c>
      <c r="B161" s="15" t="s">
        <v>4684</v>
      </c>
      <c r="C161" s="16" t="s">
        <v>3757</v>
      </c>
      <c r="D161" s="13" t="s">
        <v>3754</v>
      </c>
      <c r="E161" s="27" t="s">
        <v>1452</v>
      </c>
      <c r="F161" s="16" t="s">
        <v>4916</v>
      </c>
      <c r="G161" s="26">
        <v>67</v>
      </c>
      <c r="H161" s="26"/>
      <c r="I161" s="26"/>
      <c r="J161" s="27"/>
      <c r="K161" s="27" t="s">
        <v>1453</v>
      </c>
      <c r="L161" s="94"/>
      <c r="M161" s="68">
        <v>1</v>
      </c>
      <c r="N161" s="68" t="s">
        <v>5194</v>
      </c>
    </row>
    <row r="162" spans="1:14" ht="14.25" x14ac:dyDescent="0.2">
      <c r="A162" s="14" t="s">
        <v>1494</v>
      </c>
      <c r="B162" s="15" t="s">
        <v>4685</v>
      </c>
      <c r="C162" s="16" t="s">
        <v>1495</v>
      </c>
      <c r="D162" s="13" t="s">
        <v>3754</v>
      </c>
      <c r="E162" s="27" t="s">
        <v>1496</v>
      </c>
      <c r="F162" s="16" t="s">
        <v>1497</v>
      </c>
      <c r="G162" s="26">
        <v>53</v>
      </c>
      <c r="H162" s="26"/>
      <c r="I162" s="26"/>
      <c r="J162" s="27" t="s">
        <v>1498</v>
      </c>
      <c r="K162" s="27" t="s">
        <v>1499</v>
      </c>
      <c r="L162" s="94"/>
      <c r="M162" s="68">
        <v>1</v>
      </c>
      <c r="N162" s="68" t="s">
        <v>5194</v>
      </c>
    </row>
    <row r="163" spans="1:14" ht="14.25" x14ac:dyDescent="0.2">
      <c r="A163" s="11" t="s">
        <v>1350</v>
      </c>
      <c r="B163" s="12" t="s">
        <v>4682</v>
      </c>
      <c r="C163" s="13" t="s">
        <v>4708</v>
      </c>
      <c r="D163" s="13" t="s">
        <v>3754</v>
      </c>
      <c r="E163" s="29"/>
      <c r="F163" s="13" t="s">
        <v>3754</v>
      </c>
      <c r="G163" s="26">
        <v>26</v>
      </c>
      <c r="H163" s="26"/>
      <c r="I163" s="26"/>
      <c r="J163" s="29" t="s">
        <v>4733</v>
      </c>
      <c r="K163" s="29" t="s">
        <v>4859</v>
      </c>
      <c r="L163" s="94"/>
      <c r="M163" s="68">
        <v>1</v>
      </c>
      <c r="N163" s="68" t="s">
        <v>1393</v>
      </c>
    </row>
    <row r="164" spans="1:14" ht="14.25" x14ac:dyDescent="0.2">
      <c r="A164" s="11" t="s">
        <v>4976</v>
      </c>
      <c r="B164" s="12" t="s">
        <v>4977</v>
      </c>
      <c r="C164" s="13" t="s">
        <v>3754</v>
      </c>
      <c r="D164" s="13" t="s">
        <v>3754</v>
      </c>
      <c r="E164" s="29" t="s">
        <v>4978</v>
      </c>
      <c r="F164" s="13" t="s">
        <v>4979</v>
      </c>
      <c r="G164" s="25">
        <v>24</v>
      </c>
      <c r="H164" s="25"/>
      <c r="I164" s="25"/>
      <c r="J164" s="29" t="s">
        <v>4732</v>
      </c>
      <c r="K164" s="29" t="s">
        <v>4980</v>
      </c>
      <c r="L164" s="94"/>
      <c r="M164" s="68">
        <v>1</v>
      </c>
      <c r="N164" s="68" t="s">
        <v>4965</v>
      </c>
    </row>
    <row r="165" spans="1:14" ht="14.25" x14ac:dyDescent="0.2">
      <c r="A165" s="14" t="s">
        <v>4976</v>
      </c>
      <c r="B165" s="15" t="s">
        <v>3733</v>
      </c>
      <c r="C165" s="16" t="s">
        <v>3754</v>
      </c>
      <c r="D165" s="13" t="s">
        <v>3754</v>
      </c>
      <c r="E165" s="27" t="s">
        <v>1506</v>
      </c>
      <c r="F165" s="16" t="s">
        <v>3961</v>
      </c>
      <c r="G165" s="26">
        <v>18</v>
      </c>
      <c r="H165" s="26"/>
      <c r="I165" s="26"/>
      <c r="J165" s="27" t="s">
        <v>1507</v>
      </c>
      <c r="K165" s="27" t="s">
        <v>1508</v>
      </c>
      <c r="L165" s="94"/>
      <c r="M165" s="68">
        <v>1</v>
      </c>
      <c r="N165" s="68" t="s">
        <v>5194</v>
      </c>
    </row>
    <row r="166" spans="1:14" ht="14.25" x14ac:dyDescent="0.2">
      <c r="A166" s="11" t="s">
        <v>4922</v>
      </c>
      <c r="B166" s="12" t="s">
        <v>3728</v>
      </c>
      <c r="C166" s="13" t="s">
        <v>3757</v>
      </c>
      <c r="D166" s="13" t="s">
        <v>3754</v>
      </c>
      <c r="E166" s="29"/>
      <c r="F166" s="13"/>
      <c r="G166" s="25">
        <v>63</v>
      </c>
      <c r="H166" s="25"/>
      <c r="I166" s="25"/>
      <c r="J166" s="29"/>
      <c r="K166" s="29" t="s">
        <v>4923</v>
      </c>
      <c r="L166" s="94"/>
      <c r="M166" s="68">
        <v>1</v>
      </c>
      <c r="N166" s="68" t="s">
        <v>4586</v>
      </c>
    </row>
    <row r="167" spans="1:14" ht="14.25" x14ac:dyDescent="0.2">
      <c r="A167" s="11" t="s">
        <v>4922</v>
      </c>
      <c r="B167" s="12" t="s">
        <v>4701</v>
      </c>
      <c r="C167" s="13" t="s">
        <v>3757</v>
      </c>
      <c r="D167" s="13" t="s">
        <v>3754</v>
      </c>
      <c r="E167" s="29"/>
      <c r="F167" s="13"/>
      <c r="G167" s="25">
        <v>72</v>
      </c>
      <c r="H167" s="25"/>
      <c r="I167" s="25"/>
      <c r="J167" s="29"/>
      <c r="K167" s="29" t="s">
        <v>4923</v>
      </c>
      <c r="L167" s="94"/>
      <c r="M167" s="68">
        <v>1</v>
      </c>
      <c r="N167" s="68" t="s">
        <v>4586</v>
      </c>
    </row>
    <row r="168" spans="1:14" ht="14.25" x14ac:dyDescent="0.2">
      <c r="A168" s="11" t="s">
        <v>1360</v>
      </c>
      <c r="B168" s="12" t="s">
        <v>1432</v>
      </c>
      <c r="C168" s="13" t="s">
        <v>3754</v>
      </c>
      <c r="D168" s="13" t="s">
        <v>3754</v>
      </c>
      <c r="E168" s="29" t="s">
        <v>1433</v>
      </c>
      <c r="F168" s="13" t="s">
        <v>1434</v>
      </c>
      <c r="G168" s="25">
        <v>25</v>
      </c>
      <c r="H168" s="25"/>
      <c r="I168" s="25"/>
      <c r="J168" s="29" t="s">
        <v>1267</v>
      </c>
      <c r="K168" s="29" t="s">
        <v>1435</v>
      </c>
      <c r="L168" s="94"/>
      <c r="M168" s="68">
        <v>1</v>
      </c>
      <c r="N168" s="68" t="s">
        <v>1394</v>
      </c>
    </row>
    <row r="169" spans="1:14" ht="14.25" x14ac:dyDescent="0.2">
      <c r="A169" s="11" t="s">
        <v>1360</v>
      </c>
      <c r="B169" s="12" t="s">
        <v>1432</v>
      </c>
      <c r="C169" s="13" t="s">
        <v>3757</v>
      </c>
      <c r="D169" s="13" t="s">
        <v>3754</v>
      </c>
      <c r="E169" s="29" t="s">
        <v>7876</v>
      </c>
      <c r="F169" s="13" t="s">
        <v>4801</v>
      </c>
      <c r="G169" s="25">
        <v>67</v>
      </c>
      <c r="H169" s="25"/>
      <c r="I169" s="25"/>
      <c r="J169" s="29" t="s">
        <v>1267</v>
      </c>
      <c r="K169" s="29" t="s">
        <v>4568</v>
      </c>
      <c r="L169" s="94"/>
      <c r="M169" s="68">
        <v>1</v>
      </c>
      <c r="N169" s="68" t="s">
        <v>1394</v>
      </c>
    </row>
    <row r="170" spans="1:14" ht="14.25" x14ac:dyDescent="0.2">
      <c r="A170" s="11" t="s">
        <v>1360</v>
      </c>
      <c r="B170" s="12" t="s">
        <v>3724</v>
      </c>
      <c r="C170" s="13" t="s">
        <v>3754</v>
      </c>
      <c r="D170" s="13" t="s">
        <v>3754</v>
      </c>
      <c r="E170" s="29" t="s">
        <v>3754</v>
      </c>
      <c r="F170" s="13" t="s">
        <v>4803</v>
      </c>
      <c r="G170" s="25">
        <v>39</v>
      </c>
      <c r="H170" s="25"/>
      <c r="I170" s="25"/>
      <c r="J170" s="29" t="s">
        <v>1264</v>
      </c>
      <c r="K170" s="29" t="s">
        <v>4804</v>
      </c>
      <c r="L170" s="94"/>
      <c r="M170" s="68">
        <v>1</v>
      </c>
      <c r="N170" s="68" t="s">
        <v>1394</v>
      </c>
    </row>
    <row r="171" spans="1:14" ht="14.25" x14ac:dyDescent="0.2">
      <c r="A171" s="11" t="s">
        <v>1360</v>
      </c>
      <c r="B171" s="12" t="s">
        <v>3740</v>
      </c>
      <c r="C171" s="13" t="s">
        <v>3754</v>
      </c>
      <c r="D171" s="10" t="s">
        <v>3754</v>
      </c>
      <c r="E171" s="29" t="s">
        <v>1436</v>
      </c>
      <c r="F171" s="13" t="s">
        <v>1434</v>
      </c>
      <c r="G171" s="25">
        <v>2</v>
      </c>
      <c r="H171" s="25"/>
      <c r="I171" s="25"/>
      <c r="J171" s="29" t="s">
        <v>1264</v>
      </c>
      <c r="K171" s="29" t="s">
        <v>1435</v>
      </c>
      <c r="L171" s="94"/>
      <c r="M171" s="68">
        <v>1</v>
      </c>
      <c r="N171" s="68" t="s">
        <v>1394</v>
      </c>
    </row>
    <row r="172" spans="1:14" ht="14.25" x14ac:dyDescent="0.2">
      <c r="A172" s="9" t="s">
        <v>1360</v>
      </c>
      <c r="B172" s="5" t="s">
        <v>3740</v>
      </c>
      <c r="C172" s="10" t="s">
        <v>3757</v>
      </c>
      <c r="D172" s="10" t="s">
        <v>3761</v>
      </c>
      <c r="E172" s="61" t="s">
        <v>1385</v>
      </c>
      <c r="F172" s="10" t="s">
        <v>3754</v>
      </c>
      <c r="G172" s="8">
        <v>36</v>
      </c>
      <c r="H172" s="8"/>
      <c r="I172" s="8"/>
      <c r="J172" s="55" t="s">
        <v>4741</v>
      </c>
      <c r="K172" s="55" t="s">
        <v>4775</v>
      </c>
      <c r="L172" s="94"/>
      <c r="M172" s="68">
        <v>1</v>
      </c>
      <c r="N172" s="68" t="s">
        <v>1393</v>
      </c>
    </row>
    <row r="173" spans="1:14" ht="14.25" x14ac:dyDescent="0.2">
      <c r="A173" s="9" t="s">
        <v>1360</v>
      </c>
      <c r="B173" s="5" t="s">
        <v>4799</v>
      </c>
      <c r="C173" s="10" t="s">
        <v>3754</v>
      </c>
      <c r="D173" s="10" t="s">
        <v>3754</v>
      </c>
      <c r="E173" s="55" t="s">
        <v>4800</v>
      </c>
      <c r="F173" s="10" t="s">
        <v>4801</v>
      </c>
      <c r="G173" s="22">
        <v>25</v>
      </c>
      <c r="H173" s="22"/>
      <c r="I173" s="22"/>
      <c r="J173" s="55" t="s">
        <v>1264</v>
      </c>
      <c r="K173" s="55" t="s">
        <v>4802</v>
      </c>
      <c r="L173" s="94"/>
      <c r="M173" s="68">
        <v>1</v>
      </c>
      <c r="N173" s="68" t="s">
        <v>1394</v>
      </c>
    </row>
    <row r="174" spans="1:14" ht="14.25" x14ac:dyDescent="0.2">
      <c r="A174" s="11" t="s">
        <v>1360</v>
      </c>
      <c r="B174" s="12" t="s">
        <v>3732</v>
      </c>
      <c r="C174" s="13" t="s">
        <v>3757</v>
      </c>
      <c r="D174" s="13" t="s">
        <v>3754</v>
      </c>
      <c r="E174" s="29" t="s">
        <v>1406</v>
      </c>
      <c r="F174" s="13" t="s">
        <v>1407</v>
      </c>
      <c r="G174" s="25">
        <v>64</v>
      </c>
      <c r="H174" s="25"/>
      <c r="I174" s="25"/>
      <c r="J174" s="29" t="s">
        <v>1271</v>
      </c>
      <c r="K174" s="29" t="s">
        <v>1408</v>
      </c>
      <c r="L174" s="94"/>
      <c r="M174" s="68">
        <v>1</v>
      </c>
      <c r="N174" s="68" t="s">
        <v>1394</v>
      </c>
    </row>
    <row r="175" spans="1:14" ht="14.25" x14ac:dyDescent="0.2">
      <c r="A175" s="11" t="s">
        <v>1360</v>
      </c>
      <c r="B175" s="12" t="s">
        <v>4695</v>
      </c>
      <c r="C175" s="13" t="s">
        <v>4710</v>
      </c>
      <c r="D175" s="13" t="s">
        <v>3761</v>
      </c>
      <c r="E175" s="29" t="s">
        <v>1381</v>
      </c>
      <c r="F175" s="13" t="s">
        <v>3754</v>
      </c>
      <c r="G175" s="26">
        <v>12</v>
      </c>
      <c r="H175" s="26">
        <v>6</v>
      </c>
      <c r="I175" s="26"/>
      <c r="J175" s="29" t="s">
        <v>4745</v>
      </c>
      <c r="K175" s="29" t="s">
        <v>4767</v>
      </c>
      <c r="L175" s="94"/>
      <c r="M175" s="68">
        <v>1</v>
      </c>
      <c r="N175" s="68" t="s">
        <v>1393</v>
      </c>
    </row>
    <row r="176" spans="1:14" ht="14.25" x14ac:dyDescent="0.2">
      <c r="A176" s="11" t="s">
        <v>1360</v>
      </c>
      <c r="B176" s="12" t="s">
        <v>1437</v>
      </c>
      <c r="C176" s="13" t="s">
        <v>3754</v>
      </c>
      <c r="D176" s="13" t="s">
        <v>1434</v>
      </c>
      <c r="E176" s="29" t="s">
        <v>1434</v>
      </c>
      <c r="F176" s="13" t="s">
        <v>1438</v>
      </c>
      <c r="G176" s="25"/>
      <c r="H176" s="25">
        <v>1</v>
      </c>
      <c r="I176" s="25">
        <v>22</v>
      </c>
      <c r="J176" s="29" t="s">
        <v>1439</v>
      </c>
      <c r="K176" s="29" t="s">
        <v>1440</v>
      </c>
      <c r="L176" s="94"/>
      <c r="M176" s="68">
        <v>1</v>
      </c>
      <c r="N176" s="68" t="s">
        <v>1394</v>
      </c>
    </row>
    <row r="177" spans="1:14" ht="14.25" x14ac:dyDescent="0.2">
      <c r="A177" s="11" t="s">
        <v>1360</v>
      </c>
      <c r="B177" s="12" t="s">
        <v>3746</v>
      </c>
      <c r="C177" s="13" t="s">
        <v>3757</v>
      </c>
      <c r="D177" s="13" t="s">
        <v>3754</v>
      </c>
      <c r="E177" s="29" t="s">
        <v>4969</v>
      </c>
      <c r="F177" s="13" t="s">
        <v>4970</v>
      </c>
      <c r="G177" s="25">
        <v>76</v>
      </c>
      <c r="H177" s="25"/>
      <c r="I177" s="25"/>
      <c r="J177" s="29" t="s">
        <v>1264</v>
      </c>
      <c r="K177" s="29" t="s">
        <v>4971</v>
      </c>
      <c r="L177" s="94"/>
      <c r="M177" s="68">
        <v>1</v>
      </c>
      <c r="N177" s="68" t="s">
        <v>4965</v>
      </c>
    </row>
    <row r="178" spans="1:14" ht="14.25" x14ac:dyDescent="0.2">
      <c r="A178" s="11" t="s">
        <v>1360</v>
      </c>
      <c r="B178" s="12" t="s">
        <v>1445</v>
      </c>
      <c r="C178" s="13" t="s">
        <v>3757</v>
      </c>
      <c r="D178" s="13" t="s">
        <v>3767</v>
      </c>
      <c r="E178" s="29" t="s">
        <v>5008</v>
      </c>
      <c r="F178" s="13" t="s">
        <v>5009</v>
      </c>
      <c r="G178" s="25">
        <v>73</v>
      </c>
      <c r="H178" s="25"/>
      <c r="I178" s="25"/>
      <c r="J178" s="29" t="s">
        <v>5010</v>
      </c>
      <c r="K178" s="29" t="s">
        <v>5011</v>
      </c>
      <c r="L178" s="94"/>
      <c r="M178" s="68">
        <v>1</v>
      </c>
      <c r="N178" s="68" t="s">
        <v>4965</v>
      </c>
    </row>
    <row r="179" spans="1:14" ht="28.5" x14ac:dyDescent="0.2">
      <c r="A179" s="11" t="s">
        <v>4679</v>
      </c>
      <c r="B179" s="12" t="s">
        <v>4707</v>
      </c>
      <c r="C179" s="13" t="s">
        <v>3757</v>
      </c>
      <c r="D179" s="13" t="s">
        <v>3761</v>
      </c>
      <c r="E179" s="29" t="s">
        <v>6353</v>
      </c>
      <c r="F179" s="13" t="s">
        <v>4731</v>
      </c>
      <c r="G179" s="26">
        <v>26</v>
      </c>
      <c r="H179" s="26"/>
      <c r="I179" s="26"/>
      <c r="J179" s="29" t="s">
        <v>1270</v>
      </c>
      <c r="K179" s="29" t="s">
        <v>4753</v>
      </c>
      <c r="L179" s="94" t="s">
        <v>6700</v>
      </c>
      <c r="M179" s="68">
        <v>1</v>
      </c>
      <c r="N179" s="68" t="s">
        <v>1393</v>
      </c>
    </row>
    <row r="180" spans="1:14" ht="14.25" x14ac:dyDescent="0.2">
      <c r="A180" s="11" t="s">
        <v>4679</v>
      </c>
      <c r="B180" s="12" t="s">
        <v>1445</v>
      </c>
      <c r="C180" s="13" t="s">
        <v>3757</v>
      </c>
      <c r="D180" s="13" t="s">
        <v>3767</v>
      </c>
      <c r="E180" s="29" t="s">
        <v>8860</v>
      </c>
      <c r="F180" s="13" t="s">
        <v>8861</v>
      </c>
      <c r="G180" s="25">
        <v>51</v>
      </c>
      <c r="H180" s="25"/>
      <c r="I180" s="25"/>
      <c r="J180" s="29" t="s">
        <v>7319</v>
      </c>
      <c r="K180" s="29" t="s">
        <v>8862</v>
      </c>
      <c r="L180" s="94"/>
      <c r="M180" s="68">
        <v>1</v>
      </c>
      <c r="N180" s="68" t="s">
        <v>4965</v>
      </c>
    </row>
    <row r="181" spans="1:14" ht="14.25" x14ac:dyDescent="0.2">
      <c r="A181" s="11" t="s">
        <v>4673</v>
      </c>
      <c r="B181" s="12" t="s">
        <v>4696</v>
      </c>
      <c r="C181" s="13" t="s">
        <v>3757</v>
      </c>
      <c r="D181" s="13" t="s">
        <v>3761</v>
      </c>
      <c r="E181" s="29" t="s">
        <v>1380</v>
      </c>
      <c r="F181" s="13" t="s">
        <v>3754</v>
      </c>
      <c r="G181" s="26">
        <v>45</v>
      </c>
      <c r="H181" s="26"/>
      <c r="I181" s="26"/>
      <c r="J181" s="29" t="s">
        <v>1264</v>
      </c>
      <c r="K181" s="29" t="s">
        <v>4766</v>
      </c>
      <c r="L181" s="94"/>
      <c r="M181" s="68">
        <v>1</v>
      </c>
      <c r="N181" s="68" t="s">
        <v>1393</v>
      </c>
    </row>
    <row r="182" spans="1:14" ht="14.25" x14ac:dyDescent="0.2">
      <c r="A182" s="11" t="s">
        <v>4673</v>
      </c>
      <c r="B182" s="12" t="s">
        <v>4697</v>
      </c>
      <c r="C182" s="13" t="s">
        <v>4711</v>
      </c>
      <c r="D182" s="13" t="s">
        <v>3761</v>
      </c>
      <c r="E182" s="29" t="s">
        <v>1379</v>
      </c>
      <c r="F182" s="13" t="s">
        <v>3754</v>
      </c>
      <c r="G182" s="26">
        <v>28</v>
      </c>
      <c r="H182" s="26"/>
      <c r="I182" s="26"/>
      <c r="J182" s="29" t="s">
        <v>1266</v>
      </c>
      <c r="K182" s="29" t="s">
        <v>4766</v>
      </c>
      <c r="L182" s="94"/>
      <c r="M182" s="68">
        <v>1</v>
      </c>
      <c r="N182" s="68" t="s">
        <v>1393</v>
      </c>
    </row>
    <row r="183" spans="1:14" ht="14.25" x14ac:dyDescent="0.2">
      <c r="A183" s="11" t="s">
        <v>4673</v>
      </c>
      <c r="B183" s="12" t="s">
        <v>3723</v>
      </c>
      <c r="C183" s="13" t="s">
        <v>3757</v>
      </c>
      <c r="D183" s="13" t="s">
        <v>3761</v>
      </c>
      <c r="E183" s="29" t="s">
        <v>1383</v>
      </c>
      <c r="F183" s="13" t="s">
        <v>4720</v>
      </c>
      <c r="G183" s="26">
        <v>70</v>
      </c>
      <c r="H183" s="26"/>
      <c r="I183" s="26"/>
      <c r="J183" s="29" t="s">
        <v>4744</v>
      </c>
      <c r="K183" s="29" t="s">
        <v>4769</v>
      </c>
      <c r="L183" s="94"/>
      <c r="M183" s="68">
        <v>1</v>
      </c>
      <c r="N183" s="68" t="s">
        <v>1393</v>
      </c>
    </row>
    <row r="184" spans="1:14" ht="14.25" x14ac:dyDescent="0.2">
      <c r="A184" s="14" t="s">
        <v>1523</v>
      </c>
      <c r="B184" s="15" t="s">
        <v>1524</v>
      </c>
      <c r="C184" s="16" t="s">
        <v>3754</v>
      </c>
      <c r="D184" s="13" t="s">
        <v>3754</v>
      </c>
      <c r="E184" s="27" t="s">
        <v>1525</v>
      </c>
      <c r="F184" s="16" t="s">
        <v>1526</v>
      </c>
      <c r="G184" s="26">
        <v>1</v>
      </c>
      <c r="H184" s="26">
        <v>7</v>
      </c>
      <c r="I184" s="26"/>
      <c r="J184" s="27" t="s">
        <v>4750</v>
      </c>
      <c r="K184" s="27" t="s">
        <v>1527</v>
      </c>
      <c r="L184" s="94"/>
      <c r="M184" s="68">
        <v>1</v>
      </c>
      <c r="N184" s="68" t="s">
        <v>5194</v>
      </c>
    </row>
    <row r="185" spans="1:14" ht="14.25" x14ac:dyDescent="0.2">
      <c r="A185" s="11" t="s">
        <v>4677</v>
      </c>
      <c r="B185" s="12" t="s">
        <v>4704</v>
      </c>
      <c r="C185" s="13" t="s">
        <v>3754</v>
      </c>
      <c r="D185" s="13" t="s">
        <v>3761</v>
      </c>
      <c r="E185" s="29" t="s">
        <v>1368</v>
      </c>
      <c r="F185" s="13" t="s">
        <v>4728</v>
      </c>
      <c r="G185" s="26">
        <v>2</v>
      </c>
      <c r="H185" s="26">
        <v>6</v>
      </c>
      <c r="I185" s="26"/>
      <c r="J185" s="29" t="s">
        <v>4750</v>
      </c>
      <c r="K185" s="29" t="s">
        <v>4757</v>
      </c>
      <c r="L185" s="94"/>
      <c r="M185" s="68">
        <v>1</v>
      </c>
      <c r="N185" s="68" t="s">
        <v>1393</v>
      </c>
    </row>
    <row r="186" spans="1:14" ht="14.25" x14ac:dyDescent="0.2">
      <c r="A186" s="11" t="s">
        <v>4677</v>
      </c>
      <c r="B186" s="12" t="s">
        <v>3732</v>
      </c>
      <c r="C186" s="13" t="s">
        <v>3754</v>
      </c>
      <c r="D186" s="13" t="s">
        <v>3754</v>
      </c>
      <c r="E186" s="29" t="s">
        <v>4788</v>
      </c>
      <c r="F186" s="13" t="s">
        <v>4789</v>
      </c>
      <c r="G186" s="25"/>
      <c r="H186" s="25">
        <v>9</v>
      </c>
      <c r="I186" s="25"/>
      <c r="J186" s="29" t="s">
        <v>4790</v>
      </c>
      <c r="K186" s="29" t="s">
        <v>4791</v>
      </c>
      <c r="L186" s="94"/>
      <c r="M186" s="68">
        <v>1</v>
      </c>
      <c r="N186" s="68" t="s">
        <v>1394</v>
      </c>
    </row>
    <row r="187" spans="1:14" ht="14.25" x14ac:dyDescent="0.2">
      <c r="A187" s="11" t="s">
        <v>4677</v>
      </c>
      <c r="B187" s="12" t="s">
        <v>3746</v>
      </c>
      <c r="C187" s="13" t="s">
        <v>3757</v>
      </c>
      <c r="D187" s="13" t="s">
        <v>3761</v>
      </c>
      <c r="E187" s="29" t="s">
        <v>1369</v>
      </c>
      <c r="F187" s="13" t="s">
        <v>4727</v>
      </c>
      <c r="G187" s="26">
        <v>46</v>
      </c>
      <c r="H187" s="26"/>
      <c r="I187" s="26"/>
      <c r="J187" s="29" t="s">
        <v>4749</v>
      </c>
      <c r="K187" s="29" t="s">
        <v>4757</v>
      </c>
      <c r="L187" s="94"/>
      <c r="M187" s="68">
        <v>1</v>
      </c>
      <c r="N187" s="68" t="s">
        <v>1393</v>
      </c>
    </row>
    <row r="188" spans="1:14" ht="14.25" x14ac:dyDescent="0.2">
      <c r="A188" s="14" t="s">
        <v>4677</v>
      </c>
      <c r="B188" s="15" t="s">
        <v>1518</v>
      </c>
      <c r="C188" s="16" t="s">
        <v>3754</v>
      </c>
      <c r="D188" s="13" t="s">
        <v>3754</v>
      </c>
      <c r="E188" s="27" t="s">
        <v>1519</v>
      </c>
      <c r="F188" s="16" t="s">
        <v>1520</v>
      </c>
      <c r="G188" s="26">
        <v>26</v>
      </c>
      <c r="H188" s="26"/>
      <c r="I188" s="26"/>
      <c r="J188" s="27" t="s">
        <v>1521</v>
      </c>
      <c r="K188" s="27" t="s">
        <v>1522</v>
      </c>
      <c r="L188" s="94"/>
      <c r="M188" s="68">
        <v>1</v>
      </c>
      <c r="N188" s="68" t="s">
        <v>5194</v>
      </c>
    </row>
    <row r="189" spans="1:14" ht="14.25" x14ac:dyDescent="0.2">
      <c r="A189" s="11" t="s">
        <v>4677</v>
      </c>
      <c r="B189" s="12" t="s">
        <v>3733</v>
      </c>
      <c r="C189" s="13" t="s">
        <v>3754</v>
      </c>
      <c r="D189" s="13" t="s">
        <v>3754</v>
      </c>
      <c r="E189" s="29" t="s">
        <v>8610</v>
      </c>
      <c r="F189" s="13" t="s">
        <v>8611</v>
      </c>
      <c r="G189" s="25"/>
      <c r="H189" s="25"/>
      <c r="I189" s="25">
        <v>8</v>
      </c>
      <c r="J189" s="29" t="s">
        <v>4829</v>
      </c>
      <c r="K189" s="29" t="s">
        <v>8610</v>
      </c>
      <c r="L189" s="94"/>
      <c r="M189" s="68">
        <v>1</v>
      </c>
      <c r="N189" s="68" t="s">
        <v>4586</v>
      </c>
    </row>
    <row r="190" spans="1:14" ht="14.25" x14ac:dyDescent="0.2">
      <c r="A190" s="11" t="s">
        <v>5061</v>
      </c>
      <c r="B190" s="12" t="s">
        <v>3748</v>
      </c>
      <c r="C190" s="13" t="s">
        <v>3754</v>
      </c>
      <c r="D190" s="13" t="s">
        <v>3754</v>
      </c>
      <c r="E190" s="29" t="s">
        <v>5062</v>
      </c>
      <c r="F190" s="13" t="s">
        <v>5063</v>
      </c>
      <c r="G190" s="25"/>
      <c r="H190" s="25">
        <v>1</v>
      </c>
      <c r="I190" s="25">
        <v>21</v>
      </c>
      <c r="J190" s="29" t="s">
        <v>1439</v>
      </c>
      <c r="K190" s="29" t="s">
        <v>5064</v>
      </c>
      <c r="L190" s="94"/>
      <c r="M190" s="68">
        <v>1</v>
      </c>
      <c r="N190" s="68" t="s">
        <v>4965</v>
      </c>
    </row>
    <row r="191" spans="1:14" ht="14.25" x14ac:dyDescent="0.2">
      <c r="A191" s="11" t="s">
        <v>5061</v>
      </c>
      <c r="B191" s="12" t="s">
        <v>8660</v>
      </c>
      <c r="C191" s="13" t="s">
        <v>3754</v>
      </c>
      <c r="D191" s="13" t="s">
        <v>3754</v>
      </c>
      <c r="E191" s="29" t="s">
        <v>5065</v>
      </c>
      <c r="F191" s="13" t="s">
        <v>5066</v>
      </c>
      <c r="G191" s="25"/>
      <c r="H191" s="25">
        <v>1</v>
      </c>
      <c r="I191" s="25">
        <v>14</v>
      </c>
      <c r="J191" s="29" t="s">
        <v>4829</v>
      </c>
      <c r="K191" s="29" t="s">
        <v>5064</v>
      </c>
      <c r="L191" s="94"/>
      <c r="M191" s="68">
        <v>1</v>
      </c>
      <c r="N191" s="68" t="s">
        <v>4965</v>
      </c>
    </row>
    <row r="192" spans="1:14" ht="28.5" x14ac:dyDescent="0.2">
      <c r="A192" s="11" t="s">
        <v>5061</v>
      </c>
      <c r="B192" s="12" t="s">
        <v>3740</v>
      </c>
      <c r="C192" s="13" t="s">
        <v>3757</v>
      </c>
      <c r="D192" s="13" t="s">
        <v>3754</v>
      </c>
      <c r="E192" s="29" t="s">
        <v>5070</v>
      </c>
      <c r="F192" s="13" t="s">
        <v>5071</v>
      </c>
      <c r="G192" s="25">
        <v>35</v>
      </c>
      <c r="H192" s="25"/>
      <c r="I192" s="25"/>
      <c r="J192" s="29" t="s">
        <v>5072</v>
      </c>
      <c r="K192" s="29" t="s">
        <v>5064</v>
      </c>
      <c r="L192" s="94"/>
      <c r="M192" s="68">
        <v>1</v>
      </c>
      <c r="N192" s="68" t="s">
        <v>4965</v>
      </c>
    </row>
    <row r="193" spans="1:14" ht="14.25" x14ac:dyDescent="0.2">
      <c r="A193" s="11" t="s">
        <v>5061</v>
      </c>
      <c r="B193" s="12" t="s">
        <v>5067</v>
      </c>
      <c r="C193" s="13" t="s">
        <v>3754</v>
      </c>
      <c r="D193" s="13" t="s">
        <v>3754</v>
      </c>
      <c r="E193" s="29" t="s">
        <v>5068</v>
      </c>
      <c r="F193" s="13" t="s">
        <v>5069</v>
      </c>
      <c r="G193" s="25"/>
      <c r="H193" s="25">
        <v>7</v>
      </c>
      <c r="I193" s="25"/>
      <c r="J193" s="29" t="s">
        <v>1439</v>
      </c>
      <c r="K193" s="29" t="s">
        <v>5064</v>
      </c>
      <c r="L193" s="94"/>
      <c r="M193" s="68">
        <v>1</v>
      </c>
      <c r="N193" s="68" t="s">
        <v>4965</v>
      </c>
    </row>
    <row r="194" spans="1:14" ht="14.25" x14ac:dyDescent="0.2">
      <c r="A194" s="11" t="s">
        <v>5061</v>
      </c>
      <c r="B194" s="12" t="s">
        <v>5073</v>
      </c>
      <c r="C194" s="13" t="s">
        <v>3754</v>
      </c>
      <c r="D194" s="13" t="s">
        <v>3754</v>
      </c>
      <c r="E194" s="29" t="s">
        <v>5074</v>
      </c>
      <c r="F194" s="13" t="s">
        <v>5075</v>
      </c>
      <c r="G194" s="25">
        <v>14</v>
      </c>
      <c r="H194" s="25">
        <v>8</v>
      </c>
      <c r="I194" s="25"/>
      <c r="J194" s="29" t="s">
        <v>5076</v>
      </c>
      <c r="K194" s="29" t="s">
        <v>5064</v>
      </c>
      <c r="L194" s="94"/>
      <c r="M194" s="68">
        <v>1</v>
      </c>
      <c r="N194" s="68" t="s">
        <v>4965</v>
      </c>
    </row>
    <row r="195" spans="1:14" ht="14.25" x14ac:dyDescent="0.2">
      <c r="A195" s="11" t="s">
        <v>5061</v>
      </c>
      <c r="B195" s="12" t="s">
        <v>5077</v>
      </c>
      <c r="C195" s="13" t="s">
        <v>3754</v>
      </c>
      <c r="D195" s="13" t="s">
        <v>3754</v>
      </c>
      <c r="E195" s="29" t="s">
        <v>5078</v>
      </c>
      <c r="F195" s="13" t="s">
        <v>5063</v>
      </c>
      <c r="G195" s="25"/>
      <c r="H195" s="25"/>
      <c r="I195" s="25">
        <v>21</v>
      </c>
      <c r="J195" s="29" t="s">
        <v>1439</v>
      </c>
      <c r="K195" s="29" t="s">
        <v>5064</v>
      </c>
      <c r="L195" s="94"/>
      <c r="M195" s="68">
        <v>1</v>
      </c>
      <c r="N195" s="68" t="s">
        <v>4965</v>
      </c>
    </row>
    <row r="196" spans="1:14" ht="14.25" x14ac:dyDescent="0.2">
      <c r="A196" s="11" t="s">
        <v>5061</v>
      </c>
      <c r="B196" s="12" t="s">
        <v>3732</v>
      </c>
      <c r="C196" s="13" t="s">
        <v>3754</v>
      </c>
      <c r="D196" s="13" t="s">
        <v>3754</v>
      </c>
      <c r="E196" s="29" t="s">
        <v>5083</v>
      </c>
      <c r="F196" s="13" t="s">
        <v>5081</v>
      </c>
      <c r="G196" s="25">
        <v>1</v>
      </c>
      <c r="H196" s="25">
        <v>10</v>
      </c>
      <c r="I196" s="25"/>
      <c r="J196" s="29" t="s">
        <v>4750</v>
      </c>
      <c r="K196" s="29" t="s">
        <v>5064</v>
      </c>
      <c r="L196" s="94"/>
      <c r="M196" s="68">
        <v>1</v>
      </c>
      <c r="N196" s="68" t="s">
        <v>4965</v>
      </c>
    </row>
    <row r="197" spans="1:14" ht="14.25" x14ac:dyDescent="0.2">
      <c r="A197" s="11" t="s">
        <v>5061</v>
      </c>
      <c r="B197" s="12" t="s">
        <v>5079</v>
      </c>
      <c r="C197" s="13" t="s">
        <v>3754</v>
      </c>
      <c r="D197" s="13" t="s">
        <v>3754</v>
      </c>
      <c r="E197" s="29" t="s">
        <v>5080</v>
      </c>
      <c r="F197" s="13" t="s">
        <v>5081</v>
      </c>
      <c r="G197" s="25"/>
      <c r="H197" s="25">
        <v>4</v>
      </c>
      <c r="I197" s="25"/>
      <c r="J197" s="29" t="s">
        <v>5082</v>
      </c>
      <c r="K197" s="29" t="s">
        <v>5064</v>
      </c>
      <c r="L197" s="94"/>
      <c r="M197" s="68">
        <v>1</v>
      </c>
      <c r="N197" s="68" t="s">
        <v>4965</v>
      </c>
    </row>
    <row r="198" spans="1:14" ht="14.25" x14ac:dyDescent="0.2">
      <c r="A198" s="11" t="s">
        <v>5061</v>
      </c>
      <c r="B198" s="12" t="s">
        <v>3723</v>
      </c>
      <c r="C198" s="13" t="s">
        <v>3754</v>
      </c>
      <c r="D198" s="13" t="s">
        <v>3754</v>
      </c>
      <c r="E198" s="29" t="s">
        <v>8848</v>
      </c>
      <c r="F198" s="13" t="s">
        <v>8849</v>
      </c>
      <c r="G198" s="25"/>
      <c r="H198" s="25">
        <v>17</v>
      </c>
      <c r="I198" s="25"/>
      <c r="J198" s="29" t="s">
        <v>4829</v>
      </c>
      <c r="K198" s="29" t="s">
        <v>5064</v>
      </c>
      <c r="L198" s="94"/>
      <c r="M198" s="68">
        <v>1</v>
      </c>
      <c r="N198" s="68" t="s">
        <v>4965</v>
      </c>
    </row>
    <row r="199" spans="1:14" ht="14.25" x14ac:dyDescent="0.2">
      <c r="A199" s="11" t="s">
        <v>5061</v>
      </c>
      <c r="B199" s="12" t="s">
        <v>3751</v>
      </c>
      <c r="C199" s="13" t="s">
        <v>3754</v>
      </c>
      <c r="D199" s="13" t="s">
        <v>3754</v>
      </c>
      <c r="E199" s="29" t="s">
        <v>8850</v>
      </c>
      <c r="F199" s="13" t="s">
        <v>8851</v>
      </c>
      <c r="G199" s="25">
        <v>1</v>
      </c>
      <c r="H199" s="25"/>
      <c r="I199" s="25"/>
      <c r="J199" s="29" t="s">
        <v>4829</v>
      </c>
      <c r="K199" s="29" t="s">
        <v>5064</v>
      </c>
      <c r="L199" s="94"/>
      <c r="M199" s="68">
        <v>1</v>
      </c>
      <c r="N199" s="68" t="s">
        <v>4965</v>
      </c>
    </row>
    <row r="200" spans="1:14" ht="14.25" x14ac:dyDescent="0.2">
      <c r="A200" s="11" t="s">
        <v>5051</v>
      </c>
      <c r="B200" s="12" t="s">
        <v>5052</v>
      </c>
      <c r="C200" s="13" t="s">
        <v>3757</v>
      </c>
      <c r="D200" s="13" t="s">
        <v>3754</v>
      </c>
      <c r="E200" s="29" t="s">
        <v>5053</v>
      </c>
      <c r="F200" s="13" t="s">
        <v>5054</v>
      </c>
      <c r="G200" s="25">
        <v>71</v>
      </c>
      <c r="H200" s="25"/>
      <c r="I200" s="25"/>
      <c r="J200" s="29" t="s">
        <v>1271</v>
      </c>
      <c r="K200" s="29" t="s">
        <v>5055</v>
      </c>
      <c r="L200" s="94"/>
      <c r="M200" s="68">
        <v>1</v>
      </c>
      <c r="N200" s="68" t="s">
        <v>4965</v>
      </c>
    </row>
    <row r="201" spans="1:14" ht="28.5" x14ac:dyDescent="0.2">
      <c r="A201" s="11" t="s">
        <v>1359</v>
      </c>
      <c r="B201" s="12" t="s">
        <v>3748</v>
      </c>
      <c r="C201" s="13" t="s">
        <v>3757</v>
      </c>
      <c r="D201" s="13" t="s">
        <v>4931</v>
      </c>
      <c r="E201" s="29" t="s">
        <v>4932</v>
      </c>
      <c r="F201" s="13" t="s">
        <v>4931</v>
      </c>
      <c r="G201" s="25" t="s">
        <v>4933</v>
      </c>
      <c r="H201" s="25"/>
      <c r="I201" s="25"/>
      <c r="J201" s="29" t="s">
        <v>1259</v>
      </c>
      <c r="K201" s="29" t="s">
        <v>4934</v>
      </c>
      <c r="L201" s="94"/>
      <c r="M201" s="68">
        <v>1</v>
      </c>
      <c r="N201" s="68" t="s">
        <v>4586</v>
      </c>
    </row>
    <row r="202" spans="1:14" ht="14.25" x14ac:dyDescent="0.2">
      <c r="A202" s="11" t="s">
        <v>1359</v>
      </c>
      <c r="B202" s="12" t="s">
        <v>4910</v>
      </c>
      <c r="C202" s="13" t="s">
        <v>4721</v>
      </c>
      <c r="D202" s="13" t="s">
        <v>3754</v>
      </c>
      <c r="E202" s="29" t="s">
        <v>4911</v>
      </c>
      <c r="F202" s="13" t="s">
        <v>4912</v>
      </c>
      <c r="G202" s="25">
        <v>22</v>
      </c>
      <c r="H202" s="25"/>
      <c r="I202" s="25"/>
      <c r="J202" s="29" t="s">
        <v>1264</v>
      </c>
      <c r="K202" s="29" t="s">
        <v>4913</v>
      </c>
      <c r="L202" s="94"/>
      <c r="M202" s="68">
        <v>1</v>
      </c>
      <c r="N202" s="68" t="s">
        <v>4586</v>
      </c>
    </row>
    <row r="203" spans="1:14" ht="28.5" x14ac:dyDescent="0.2">
      <c r="A203" s="11" t="s">
        <v>1359</v>
      </c>
      <c r="B203" s="12" t="s">
        <v>4685</v>
      </c>
      <c r="C203" s="13" t="s">
        <v>3757</v>
      </c>
      <c r="D203" s="13" t="s">
        <v>3761</v>
      </c>
      <c r="E203" s="29" t="s">
        <v>1373</v>
      </c>
      <c r="F203" s="13" t="s">
        <v>4725</v>
      </c>
      <c r="G203" s="26">
        <v>60</v>
      </c>
      <c r="H203" s="26"/>
      <c r="I203" s="26"/>
      <c r="J203" s="29" t="s">
        <v>4747</v>
      </c>
      <c r="K203" s="29" t="s">
        <v>4761</v>
      </c>
      <c r="L203" s="94"/>
      <c r="M203" s="68">
        <v>1</v>
      </c>
      <c r="N203" s="68" t="s">
        <v>1393</v>
      </c>
    </row>
    <row r="204" spans="1:14" ht="14.25" x14ac:dyDescent="0.2">
      <c r="A204" s="11" t="s">
        <v>1359</v>
      </c>
      <c r="B204" s="12" t="s">
        <v>3746</v>
      </c>
      <c r="C204" s="13" t="s">
        <v>3757</v>
      </c>
      <c r="D204" s="13" t="s">
        <v>8621</v>
      </c>
      <c r="E204" s="29" t="s">
        <v>4924</v>
      </c>
      <c r="F204" s="13" t="s">
        <v>4925</v>
      </c>
      <c r="G204" s="25">
        <v>40</v>
      </c>
      <c r="H204" s="25"/>
      <c r="I204" s="25"/>
      <c r="J204" s="29" t="s">
        <v>1272</v>
      </c>
      <c r="K204" s="29" t="s">
        <v>4926</v>
      </c>
      <c r="L204" s="94"/>
      <c r="M204" s="68">
        <v>1</v>
      </c>
      <c r="N204" s="68" t="s">
        <v>4586</v>
      </c>
    </row>
    <row r="205" spans="1:14" ht="14.25" x14ac:dyDescent="0.2">
      <c r="A205" s="11" t="s">
        <v>1359</v>
      </c>
      <c r="B205" s="12" t="s">
        <v>3747</v>
      </c>
      <c r="C205" s="13" t="s">
        <v>3757</v>
      </c>
      <c r="D205" s="13" t="s">
        <v>3761</v>
      </c>
      <c r="E205" s="29" t="s">
        <v>1386</v>
      </c>
      <c r="F205" s="13" t="s">
        <v>3754</v>
      </c>
      <c r="G205" s="26">
        <v>53</v>
      </c>
      <c r="H205" s="26"/>
      <c r="I205" s="26"/>
      <c r="J205" s="29" t="s">
        <v>4740</v>
      </c>
      <c r="K205" s="29" t="s">
        <v>4850</v>
      </c>
      <c r="L205" s="94"/>
      <c r="M205" s="68">
        <v>1</v>
      </c>
      <c r="N205" s="68" t="s">
        <v>1393</v>
      </c>
    </row>
    <row r="206" spans="1:14" ht="14.25" x14ac:dyDescent="0.2">
      <c r="A206" s="14" t="s">
        <v>1352</v>
      </c>
      <c r="B206" s="15" t="s">
        <v>1432</v>
      </c>
      <c r="C206" s="16" t="s">
        <v>3757</v>
      </c>
      <c r="D206" s="13" t="s">
        <v>3754</v>
      </c>
      <c r="E206" s="27" t="s">
        <v>1491</v>
      </c>
      <c r="F206" s="16" t="s">
        <v>1492</v>
      </c>
      <c r="G206" s="26">
        <v>37</v>
      </c>
      <c r="H206" s="26"/>
      <c r="I206" s="26"/>
      <c r="J206" s="27" t="s">
        <v>1270</v>
      </c>
      <c r="K206" s="27" t="s">
        <v>1493</v>
      </c>
      <c r="L206" s="94"/>
      <c r="M206" s="68">
        <v>1</v>
      </c>
      <c r="N206" s="68" t="s">
        <v>5194</v>
      </c>
    </row>
    <row r="207" spans="1:14" ht="14.25" x14ac:dyDescent="0.2">
      <c r="A207" s="14" t="s">
        <v>1352</v>
      </c>
      <c r="B207" s="15" t="s">
        <v>1528</v>
      </c>
      <c r="C207" s="16" t="s">
        <v>1509</v>
      </c>
      <c r="D207" s="13" t="s">
        <v>3754</v>
      </c>
      <c r="E207" s="27" t="s">
        <v>1527</v>
      </c>
      <c r="F207" s="16" t="s">
        <v>1529</v>
      </c>
      <c r="G207" s="26">
        <v>30</v>
      </c>
      <c r="H207" s="26"/>
      <c r="I207" s="26"/>
      <c r="J207" s="27" t="s">
        <v>5010</v>
      </c>
      <c r="K207" s="27" t="s">
        <v>1530</v>
      </c>
      <c r="L207" s="94"/>
      <c r="M207" s="68">
        <v>1</v>
      </c>
      <c r="N207" s="68" t="s">
        <v>5194</v>
      </c>
    </row>
    <row r="208" spans="1:14" ht="14.25" x14ac:dyDescent="0.2">
      <c r="A208" s="14" t="s">
        <v>1352</v>
      </c>
      <c r="B208" s="15" t="s">
        <v>1535</v>
      </c>
      <c r="C208" s="16" t="s">
        <v>3754</v>
      </c>
      <c r="D208" s="13" t="s">
        <v>3754</v>
      </c>
      <c r="E208" s="27" t="s">
        <v>1536</v>
      </c>
      <c r="F208" s="16" t="s">
        <v>1537</v>
      </c>
      <c r="G208" s="26">
        <v>1</v>
      </c>
      <c r="H208" s="26">
        <v>2</v>
      </c>
      <c r="I208" s="26"/>
      <c r="J208" s="27" t="s">
        <v>1258</v>
      </c>
      <c r="K208" s="27" t="s">
        <v>1536</v>
      </c>
      <c r="L208" s="94"/>
      <c r="M208" s="68">
        <v>1</v>
      </c>
      <c r="N208" s="68" t="s">
        <v>5194</v>
      </c>
    </row>
    <row r="209" spans="1:14" ht="14.25" x14ac:dyDescent="0.2">
      <c r="A209" s="14" t="s">
        <v>1352</v>
      </c>
      <c r="B209" s="15" t="s">
        <v>4685</v>
      </c>
      <c r="C209" s="16" t="s">
        <v>3757</v>
      </c>
      <c r="D209" s="13" t="s">
        <v>3754</v>
      </c>
      <c r="E209" s="27" t="s">
        <v>1474</v>
      </c>
      <c r="F209" s="16" t="s">
        <v>1475</v>
      </c>
      <c r="G209" s="26">
        <v>78</v>
      </c>
      <c r="H209" s="26"/>
      <c r="I209" s="26"/>
      <c r="J209" s="27" t="s">
        <v>1271</v>
      </c>
      <c r="K209" s="27" t="s">
        <v>1476</v>
      </c>
      <c r="L209" s="94"/>
      <c r="M209" s="68">
        <v>1</v>
      </c>
      <c r="N209" s="68" t="s">
        <v>5194</v>
      </c>
    </row>
    <row r="210" spans="1:14" ht="14.25" x14ac:dyDescent="0.2">
      <c r="A210" s="11" t="s">
        <v>1352</v>
      </c>
      <c r="B210" s="12" t="s">
        <v>3723</v>
      </c>
      <c r="C210" s="13" t="s">
        <v>3754</v>
      </c>
      <c r="D210" s="13" t="s">
        <v>3754</v>
      </c>
      <c r="E210" s="29" t="s">
        <v>5037</v>
      </c>
      <c r="F210" s="13" t="s">
        <v>5038</v>
      </c>
      <c r="G210" s="25">
        <v>1</v>
      </c>
      <c r="H210" s="25">
        <v>5</v>
      </c>
      <c r="I210" s="25"/>
      <c r="J210" s="29" t="s">
        <v>4739</v>
      </c>
      <c r="K210" s="29" t="s">
        <v>5039</v>
      </c>
      <c r="L210" s="94"/>
      <c r="M210" s="68">
        <v>1</v>
      </c>
      <c r="N210" s="68" t="s">
        <v>4965</v>
      </c>
    </row>
    <row r="211" spans="1:14" ht="14.25" x14ac:dyDescent="0.2">
      <c r="A211" s="11" t="s">
        <v>1352</v>
      </c>
      <c r="B211" s="12" t="s">
        <v>3723</v>
      </c>
      <c r="C211" s="13" t="s">
        <v>3757</v>
      </c>
      <c r="D211" s="13" t="s">
        <v>3754</v>
      </c>
      <c r="E211" s="29"/>
      <c r="F211" s="13" t="s">
        <v>3754</v>
      </c>
      <c r="G211" s="26">
        <v>38</v>
      </c>
      <c r="H211" s="26"/>
      <c r="I211" s="26"/>
      <c r="J211" s="29" t="s">
        <v>1264</v>
      </c>
      <c r="K211" s="29" t="s">
        <v>4857</v>
      </c>
      <c r="L211" s="94"/>
      <c r="M211" s="68">
        <v>1</v>
      </c>
      <c r="N211" s="68" t="s">
        <v>1393</v>
      </c>
    </row>
    <row r="212" spans="1:14" ht="14.25" x14ac:dyDescent="0.2">
      <c r="A212" s="14" t="s">
        <v>1352</v>
      </c>
      <c r="B212" s="15" t="s">
        <v>4701</v>
      </c>
      <c r="C212" s="16" t="s">
        <v>1509</v>
      </c>
      <c r="D212" s="13" t="s">
        <v>3754</v>
      </c>
      <c r="E212" s="27" t="s">
        <v>1347</v>
      </c>
      <c r="F212" s="16" t="s">
        <v>1510</v>
      </c>
      <c r="G212" s="26">
        <v>33</v>
      </c>
      <c r="H212" s="26"/>
      <c r="I212" s="26"/>
      <c r="J212" s="27" t="s">
        <v>4732</v>
      </c>
      <c r="K212" s="27" t="s">
        <v>1310</v>
      </c>
      <c r="L212" s="94"/>
      <c r="M212" s="68">
        <v>1</v>
      </c>
      <c r="N212" s="68" t="s">
        <v>5194</v>
      </c>
    </row>
    <row r="213" spans="1:14" ht="14.25" x14ac:dyDescent="0.2">
      <c r="A213" s="11" t="s">
        <v>1352</v>
      </c>
      <c r="B213" s="12" t="s">
        <v>3733</v>
      </c>
      <c r="C213" s="13" t="s">
        <v>3757</v>
      </c>
      <c r="D213" s="13"/>
      <c r="E213" s="29" t="s">
        <v>8603</v>
      </c>
      <c r="F213" s="13" t="s">
        <v>8604</v>
      </c>
      <c r="G213" s="25">
        <v>57</v>
      </c>
      <c r="H213" s="25"/>
      <c r="I213" s="25"/>
      <c r="J213" s="29" t="s">
        <v>1264</v>
      </c>
      <c r="K213" s="29" t="s">
        <v>8605</v>
      </c>
      <c r="L213" s="94"/>
      <c r="M213" s="68">
        <v>1</v>
      </c>
      <c r="N213" s="68" t="s">
        <v>4586</v>
      </c>
    </row>
    <row r="214" spans="1:14" ht="14.25" x14ac:dyDescent="0.2">
      <c r="A214" s="14" t="s">
        <v>1401</v>
      </c>
      <c r="B214" s="15" t="s">
        <v>3752</v>
      </c>
      <c r="C214" s="16" t="s">
        <v>3757</v>
      </c>
      <c r="D214" s="10" t="s">
        <v>3754</v>
      </c>
      <c r="E214" s="27" t="s">
        <v>1478</v>
      </c>
      <c r="F214" s="16" t="s">
        <v>1481</v>
      </c>
      <c r="G214" s="26">
        <v>49</v>
      </c>
      <c r="H214" s="26"/>
      <c r="I214" s="26"/>
      <c r="J214" s="27" t="s">
        <v>1264</v>
      </c>
      <c r="K214" s="27" t="s">
        <v>1482</v>
      </c>
      <c r="L214" s="94"/>
      <c r="M214" s="68">
        <v>1</v>
      </c>
      <c r="N214" s="68" t="s">
        <v>5194</v>
      </c>
    </row>
    <row r="215" spans="1:14" ht="14.25" x14ac:dyDescent="0.2">
      <c r="A215" s="11" t="s">
        <v>1401</v>
      </c>
      <c r="B215" s="12" t="s">
        <v>3727</v>
      </c>
      <c r="C215" s="13" t="s">
        <v>3754</v>
      </c>
      <c r="D215" s="13" t="s">
        <v>3754</v>
      </c>
      <c r="E215" s="29" t="s">
        <v>1402</v>
      </c>
      <c r="F215" s="13" t="s">
        <v>1403</v>
      </c>
      <c r="G215" s="25">
        <v>40</v>
      </c>
      <c r="H215" s="25"/>
      <c r="I215" s="25"/>
      <c r="J215" s="29" t="s">
        <v>1404</v>
      </c>
      <c r="K215" s="29" t="s">
        <v>1405</v>
      </c>
      <c r="L215" s="94"/>
      <c r="M215" s="68">
        <v>1</v>
      </c>
      <c r="N215" s="68" t="s">
        <v>1394</v>
      </c>
    </row>
    <row r="216" spans="1:14" ht="14.25" x14ac:dyDescent="0.2">
      <c r="A216" s="9" t="s">
        <v>1401</v>
      </c>
      <c r="B216" s="5" t="s">
        <v>4581</v>
      </c>
      <c r="C216" s="10" t="s">
        <v>3754</v>
      </c>
      <c r="D216" s="10" t="s">
        <v>3754</v>
      </c>
      <c r="E216" s="61" t="s">
        <v>4582</v>
      </c>
      <c r="F216" s="10" t="s">
        <v>4812</v>
      </c>
      <c r="G216" s="22"/>
      <c r="H216" s="22">
        <v>3</v>
      </c>
      <c r="I216" s="22">
        <v>2</v>
      </c>
      <c r="J216" s="55" t="s">
        <v>4748</v>
      </c>
      <c r="K216" s="55"/>
      <c r="L216" s="94"/>
      <c r="M216" s="68">
        <v>1</v>
      </c>
      <c r="N216" s="68" t="s">
        <v>1394</v>
      </c>
    </row>
    <row r="217" spans="1:14" ht="14.25" x14ac:dyDescent="0.2">
      <c r="A217" s="9" t="s">
        <v>1401</v>
      </c>
      <c r="B217" s="5" t="s">
        <v>4817</v>
      </c>
      <c r="C217" s="10" t="s">
        <v>3754</v>
      </c>
      <c r="D217" s="10" t="s">
        <v>3754</v>
      </c>
      <c r="E217" s="55" t="s">
        <v>4818</v>
      </c>
      <c r="F217" s="10" t="s">
        <v>4819</v>
      </c>
      <c r="G217" s="22">
        <v>17</v>
      </c>
      <c r="H217" s="22">
        <v>1</v>
      </c>
      <c r="I217" s="22">
        <v>4</v>
      </c>
      <c r="J217" s="55" t="s">
        <v>4820</v>
      </c>
      <c r="K217" s="55" t="s">
        <v>4821</v>
      </c>
      <c r="L217" s="94"/>
      <c r="M217" s="68">
        <v>1</v>
      </c>
      <c r="N217" s="68" t="s">
        <v>1394</v>
      </c>
    </row>
    <row r="218" spans="1:14" ht="14.25" x14ac:dyDescent="0.2">
      <c r="A218" s="11" t="s">
        <v>1401</v>
      </c>
      <c r="B218" s="12" t="s">
        <v>3751</v>
      </c>
      <c r="C218" s="13" t="s">
        <v>3754</v>
      </c>
      <c r="D218" s="13" t="s">
        <v>3754</v>
      </c>
      <c r="E218" s="29" t="s">
        <v>4811</v>
      </c>
      <c r="F218" s="13" t="s">
        <v>4812</v>
      </c>
      <c r="G218" s="22"/>
      <c r="H218" s="22"/>
      <c r="I218" s="22" t="s">
        <v>4813</v>
      </c>
      <c r="J218" s="29"/>
      <c r="K218" s="29" t="s">
        <v>1287</v>
      </c>
      <c r="L218" s="94"/>
      <c r="M218" s="68">
        <v>1</v>
      </c>
      <c r="N218" s="68" t="s">
        <v>1394</v>
      </c>
    </row>
    <row r="219" spans="1:14" ht="14.25" x14ac:dyDescent="0.2">
      <c r="A219" s="11" t="s">
        <v>5028</v>
      </c>
      <c r="B219" s="12" t="s">
        <v>5029</v>
      </c>
      <c r="C219" s="13"/>
      <c r="D219" s="13"/>
      <c r="E219" s="29" t="s">
        <v>5030</v>
      </c>
      <c r="F219" s="13" t="s">
        <v>5031</v>
      </c>
      <c r="G219" s="22">
        <v>23</v>
      </c>
      <c r="H219" s="22">
        <v>8</v>
      </c>
      <c r="I219" s="22"/>
      <c r="J219" s="29"/>
      <c r="K219" s="29" t="s">
        <v>5032</v>
      </c>
      <c r="L219" s="94"/>
      <c r="M219" s="68">
        <v>1</v>
      </c>
      <c r="N219" s="68" t="s">
        <v>4965</v>
      </c>
    </row>
    <row r="220" spans="1:14" ht="14.25" x14ac:dyDescent="0.2">
      <c r="A220" s="11" t="s">
        <v>5028</v>
      </c>
      <c r="B220" s="12" t="s">
        <v>3723</v>
      </c>
      <c r="C220" s="13" t="s">
        <v>3754</v>
      </c>
      <c r="D220" s="13" t="s">
        <v>3754</v>
      </c>
      <c r="E220" s="29" t="s">
        <v>5033</v>
      </c>
      <c r="F220" s="13" t="s">
        <v>2393</v>
      </c>
      <c r="G220" s="22"/>
      <c r="H220" s="22">
        <v>9</v>
      </c>
      <c r="I220" s="22">
        <v>11</v>
      </c>
      <c r="J220" s="29" t="s">
        <v>1258</v>
      </c>
      <c r="K220" s="29" t="s">
        <v>5034</v>
      </c>
      <c r="L220" s="94"/>
      <c r="M220" s="68">
        <v>1</v>
      </c>
      <c r="N220" s="68" t="s">
        <v>4965</v>
      </c>
    </row>
    <row r="221" spans="1:14" ht="14.25" x14ac:dyDescent="0.2">
      <c r="A221" s="11" t="s">
        <v>4961</v>
      </c>
      <c r="B221" s="12" t="s">
        <v>3723</v>
      </c>
      <c r="C221" s="13" t="s">
        <v>3757</v>
      </c>
      <c r="D221" s="26" t="s">
        <v>3754</v>
      </c>
      <c r="E221" s="29" t="s">
        <v>4962</v>
      </c>
      <c r="F221" s="13" t="s">
        <v>4963</v>
      </c>
      <c r="G221" s="22">
        <v>61</v>
      </c>
      <c r="H221" s="22"/>
      <c r="I221" s="22"/>
      <c r="J221" s="29" t="s">
        <v>4745</v>
      </c>
      <c r="K221" s="29" t="s">
        <v>4964</v>
      </c>
      <c r="L221" s="94"/>
      <c r="M221" s="68">
        <v>1</v>
      </c>
      <c r="N221" s="68" t="s">
        <v>4586</v>
      </c>
    </row>
    <row r="222" spans="1:14" ht="28.5" x14ac:dyDescent="0.2">
      <c r="A222" s="11" t="s">
        <v>4927</v>
      </c>
      <c r="B222" s="12" t="s">
        <v>3740</v>
      </c>
      <c r="C222" s="13" t="s">
        <v>3757</v>
      </c>
      <c r="D222" s="13" t="s">
        <v>3754</v>
      </c>
      <c r="E222" s="29" t="s">
        <v>4928</v>
      </c>
      <c r="F222" s="13" t="s">
        <v>4929</v>
      </c>
      <c r="G222" s="22" t="s">
        <v>4930</v>
      </c>
      <c r="H222" s="22"/>
      <c r="I222" s="22"/>
      <c r="J222" s="29" t="s">
        <v>4747</v>
      </c>
      <c r="K222" s="29" t="s">
        <v>4926</v>
      </c>
      <c r="L222" s="94"/>
      <c r="M222" s="68">
        <v>1</v>
      </c>
      <c r="N222" s="68" t="s">
        <v>4586</v>
      </c>
    </row>
    <row r="223" spans="1:14" ht="14.25" x14ac:dyDescent="0.2">
      <c r="A223" s="11" t="s">
        <v>1353</v>
      </c>
      <c r="B223" s="12" t="s">
        <v>4683</v>
      </c>
      <c r="C223" s="13" t="s">
        <v>3754</v>
      </c>
      <c r="D223" s="13" t="s">
        <v>3761</v>
      </c>
      <c r="E223" s="29" t="s">
        <v>1390</v>
      </c>
      <c r="F223" s="13" t="s">
        <v>3754</v>
      </c>
      <c r="G223" s="8"/>
      <c r="H223" s="8">
        <v>7</v>
      </c>
      <c r="I223" s="8">
        <v>23</v>
      </c>
      <c r="J223" s="29" t="s">
        <v>4734</v>
      </c>
      <c r="K223" s="29" t="s">
        <v>4856</v>
      </c>
      <c r="L223" s="94"/>
      <c r="M223" s="68">
        <v>1</v>
      </c>
      <c r="N223" s="68" t="s">
        <v>1393</v>
      </c>
    </row>
    <row r="224" spans="1:14" ht="14.25" x14ac:dyDescent="0.2">
      <c r="A224" s="14" t="s">
        <v>1531</v>
      </c>
      <c r="B224" s="15" t="s">
        <v>1432</v>
      </c>
      <c r="C224" s="16" t="s">
        <v>3757</v>
      </c>
      <c r="D224" s="13" t="s">
        <v>3754</v>
      </c>
      <c r="E224" s="27" t="s">
        <v>1532</v>
      </c>
      <c r="F224" s="16" t="s">
        <v>1533</v>
      </c>
      <c r="G224" s="8">
        <v>60</v>
      </c>
      <c r="H224" s="8"/>
      <c r="I224" s="8"/>
      <c r="J224" s="27" t="s">
        <v>1266</v>
      </c>
      <c r="K224" s="27" t="s">
        <v>1534</v>
      </c>
      <c r="L224" s="94"/>
      <c r="M224" s="68">
        <v>1</v>
      </c>
      <c r="N224" s="68" t="s">
        <v>5194</v>
      </c>
    </row>
    <row r="225" spans="1:14" ht="28.5" x14ac:dyDescent="0.2">
      <c r="A225" s="14" t="s">
        <v>4991</v>
      </c>
      <c r="B225" s="15" t="s">
        <v>1432</v>
      </c>
      <c r="C225" s="16" t="s">
        <v>3757</v>
      </c>
      <c r="D225" s="13" t="s">
        <v>3754</v>
      </c>
      <c r="E225" s="27" t="s">
        <v>1503</v>
      </c>
      <c r="F225" s="16" t="s">
        <v>2394</v>
      </c>
      <c r="G225" s="8">
        <v>63</v>
      </c>
      <c r="H225" s="8"/>
      <c r="I225" s="8"/>
      <c r="J225" s="27" t="s">
        <v>1504</v>
      </c>
      <c r="K225" s="27" t="s">
        <v>1505</v>
      </c>
      <c r="L225" s="94"/>
      <c r="M225" s="68">
        <v>1</v>
      </c>
      <c r="N225" s="68" t="s">
        <v>5194</v>
      </c>
    </row>
    <row r="226" spans="1:14" ht="14.25" x14ac:dyDescent="0.2">
      <c r="A226" s="11" t="s">
        <v>4991</v>
      </c>
      <c r="B226" s="12" t="s">
        <v>4992</v>
      </c>
      <c r="C226" s="13" t="s">
        <v>3754</v>
      </c>
      <c r="D226" s="13" t="s">
        <v>3754</v>
      </c>
      <c r="E226" s="29" t="s">
        <v>4993</v>
      </c>
      <c r="F226" s="13" t="s">
        <v>4994</v>
      </c>
      <c r="G226" s="22">
        <v>27</v>
      </c>
      <c r="H226" s="22"/>
      <c r="I226" s="22"/>
      <c r="J226" s="29" t="s">
        <v>1264</v>
      </c>
      <c r="K226" s="29"/>
      <c r="L226" s="94"/>
      <c r="M226" s="68">
        <v>1</v>
      </c>
      <c r="N226" s="68" t="s">
        <v>4965</v>
      </c>
    </row>
    <row r="227" spans="1:14" ht="14.25" x14ac:dyDescent="0.2">
      <c r="A227" s="11" t="s">
        <v>4991</v>
      </c>
      <c r="B227" s="12" t="s">
        <v>4992</v>
      </c>
      <c r="C227" s="13" t="s">
        <v>3757</v>
      </c>
      <c r="D227" s="13" t="s">
        <v>3754</v>
      </c>
      <c r="E227" s="29" t="s">
        <v>5192</v>
      </c>
      <c r="F227" s="13" t="s">
        <v>5007</v>
      </c>
      <c r="G227" s="22">
        <v>67</v>
      </c>
      <c r="H227" s="22"/>
      <c r="I227" s="22"/>
      <c r="J227" s="29" t="s">
        <v>1272</v>
      </c>
      <c r="K227" s="29" t="s">
        <v>5193</v>
      </c>
      <c r="L227" s="94"/>
      <c r="M227" s="68">
        <v>1</v>
      </c>
      <c r="N227" s="68" t="s">
        <v>4965</v>
      </c>
    </row>
    <row r="228" spans="1:14" ht="14.25" x14ac:dyDescent="0.2">
      <c r="A228" s="11" t="s">
        <v>4991</v>
      </c>
      <c r="B228" s="12" t="s">
        <v>5005</v>
      </c>
      <c r="C228" s="13" t="s">
        <v>3754</v>
      </c>
      <c r="D228" s="13" t="s">
        <v>3754</v>
      </c>
      <c r="E228" s="29" t="s">
        <v>5006</v>
      </c>
      <c r="F228" s="13" t="s">
        <v>5007</v>
      </c>
      <c r="G228" s="22">
        <v>26</v>
      </c>
      <c r="H228" s="22">
        <v>5</v>
      </c>
      <c r="I228" s="22"/>
      <c r="J228" s="29" t="s">
        <v>1264</v>
      </c>
      <c r="K228" s="29" t="s">
        <v>5006</v>
      </c>
      <c r="L228" s="94"/>
      <c r="M228" s="68">
        <v>1</v>
      </c>
      <c r="N228" s="68" t="s">
        <v>4965</v>
      </c>
    </row>
    <row r="229" spans="1:14" ht="14.25" x14ac:dyDescent="0.2">
      <c r="A229" s="14" t="s">
        <v>4991</v>
      </c>
      <c r="B229" s="15" t="s">
        <v>3746</v>
      </c>
      <c r="C229" s="16" t="s">
        <v>3757</v>
      </c>
      <c r="D229" s="13" t="s">
        <v>3754</v>
      </c>
      <c r="E229" s="27" t="s">
        <v>1515</v>
      </c>
      <c r="F229" s="16" t="s">
        <v>1516</v>
      </c>
      <c r="G229" s="8">
        <v>82</v>
      </c>
      <c r="H229" s="8"/>
      <c r="I229" s="8"/>
      <c r="J229" s="27" t="s">
        <v>1277</v>
      </c>
      <c r="K229" s="27" t="s">
        <v>1517</v>
      </c>
      <c r="L229" s="94"/>
      <c r="M229" s="68">
        <v>1</v>
      </c>
      <c r="N229" s="68" t="s">
        <v>5194</v>
      </c>
    </row>
    <row r="230" spans="1:14" ht="14.25" x14ac:dyDescent="0.2">
      <c r="A230" s="11" t="s">
        <v>4587</v>
      </c>
      <c r="B230" s="12" t="s">
        <v>3723</v>
      </c>
      <c r="C230" s="13" t="s">
        <v>3754</v>
      </c>
      <c r="D230" s="13" t="s">
        <v>3754</v>
      </c>
      <c r="E230" s="29" t="s">
        <v>8601</v>
      </c>
      <c r="F230" s="13" t="s">
        <v>8602</v>
      </c>
      <c r="G230" s="22"/>
      <c r="H230" s="22">
        <v>18</v>
      </c>
      <c r="I230" s="22"/>
      <c r="J230" s="29" t="s">
        <v>4790</v>
      </c>
      <c r="K230" s="29" t="s">
        <v>4585</v>
      </c>
      <c r="L230" s="94"/>
      <c r="M230" s="68">
        <v>1</v>
      </c>
      <c r="N230" s="68" t="s">
        <v>4586</v>
      </c>
    </row>
    <row r="231" spans="1:14" ht="14.25" x14ac:dyDescent="0.2">
      <c r="A231" s="11" t="s">
        <v>4587</v>
      </c>
      <c r="B231" s="12" t="s">
        <v>3746</v>
      </c>
      <c r="C231" s="13" t="s">
        <v>3754</v>
      </c>
      <c r="D231" s="13" t="s">
        <v>3754</v>
      </c>
      <c r="E231" s="29">
        <v>1842</v>
      </c>
      <c r="F231" s="13" t="s">
        <v>4584</v>
      </c>
      <c r="G231" s="22"/>
      <c r="H231" s="22">
        <v>18</v>
      </c>
      <c r="I231" s="22"/>
      <c r="J231" s="29" t="s">
        <v>4790</v>
      </c>
      <c r="K231" s="29" t="s">
        <v>4585</v>
      </c>
      <c r="L231" s="94"/>
      <c r="M231" s="68">
        <v>1</v>
      </c>
      <c r="N231" s="68" t="s">
        <v>4586</v>
      </c>
    </row>
    <row r="232" spans="1:14" ht="14.25" x14ac:dyDescent="0.2">
      <c r="A232" s="11" t="s">
        <v>4583</v>
      </c>
      <c r="B232" s="12" t="s">
        <v>3733</v>
      </c>
      <c r="C232" s="13" t="s">
        <v>3754</v>
      </c>
      <c r="D232" s="13" t="s">
        <v>3754</v>
      </c>
      <c r="E232" s="29">
        <v>1840</v>
      </c>
      <c r="F232" s="13" t="s">
        <v>4584</v>
      </c>
      <c r="G232" s="22"/>
      <c r="H232" s="22">
        <v>18</v>
      </c>
      <c r="I232" s="22"/>
      <c r="J232" s="29" t="s">
        <v>4790</v>
      </c>
      <c r="K232" s="29" t="s">
        <v>4585</v>
      </c>
      <c r="L232" s="94"/>
      <c r="M232" s="68">
        <v>1</v>
      </c>
      <c r="N232" s="68" t="s">
        <v>1394</v>
      </c>
    </row>
    <row r="233" spans="1:14" ht="14.25" x14ac:dyDescent="0.2">
      <c r="A233" s="11" t="s">
        <v>4822</v>
      </c>
      <c r="B233" s="12" t="s">
        <v>3723</v>
      </c>
      <c r="C233" s="13" t="s">
        <v>3757</v>
      </c>
      <c r="D233" s="13" t="s">
        <v>3754</v>
      </c>
      <c r="E233" s="29" t="s">
        <v>4823</v>
      </c>
      <c r="F233" s="13" t="s">
        <v>4824</v>
      </c>
      <c r="G233" s="22">
        <v>64</v>
      </c>
      <c r="H233" s="22"/>
      <c r="I233" s="22"/>
      <c r="J233" s="29" t="s">
        <v>1267</v>
      </c>
      <c r="K233" s="29" t="s">
        <v>4825</v>
      </c>
      <c r="L233" s="94"/>
      <c r="M233" s="68">
        <v>1</v>
      </c>
      <c r="N233" s="68" t="s">
        <v>1394</v>
      </c>
    </row>
    <row r="234" spans="1:14" ht="14.25" x14ac:dyDescent="0.2">
      <c r="A234" s="11" t="s">
        <v>1538</v>
      </c>
      <c r="B234" s="12" t="s">
        <v>3738</v>
      </c>
      <c r="C234" s="13"/>
      <c r="D234" s="13" t="s">
        <v>1539</v>
      </c>
      <c r="E234" s="29" t="s">
        <v>1540</v>
      </c>
      <c r="F234" s="13" t="s">
        <v>1541</v>
      </c>
      <c r="G234" s="8"/>
      <c r="H234" s="8"/>
      <c r="I234" s="8"/>
      <c r="J234" s="29" t="s">
        <v>4737</v>
      </c>
      <c r="K234" s="29" t="s">
        <v>1371</v>
      </c>
      <c r="L234" s="94"/>
      <c r="M234" s="68">
        <v>1</v>
      </c>
      <c r="N234" s="68" t="s">
        <v>5195</v>
      </c>
    </row>
    <row r="235" spans="1:14" ht="14.25" x14ac:dyDescent="0.2">
      <c r="A235" s="11" t="s">
        <v>1597</v>
      </c>
      <c r="B235" s="12" t="s">
        <v>6785</v>
      </c>
      <c r="C235" s="13" t="s">
        <v>3757</v>
      </c>
      <c r="D235" s="13" t="s">
        <v>3759</v>
      </c>
      <c r="E235" s="29" t="s">
        <v>6786</v>
      </c>
      <c r="F235" s="13" t="s">
        <v>6787</v>
      </c>
      <c r="G235" s="22">
        <v>92</v>
      </c>
      <c r="H235" s="22"/>
      <c r="I235" s="22"/>
      <c r="J235" s="29" t="s">
        <v>6788</v>
      </c>
      <c r="K235" s="29" t="s">
        <v>6789</v>
      </c>
      <c r="L235" s="61"/>
      <c r="M235" s="68">
        <v>1</v>
      </c>
      <c r="N235" s="68" t="s">
        <v>2341</v>
      </c>
    </row>
    <row r="236" spans="1:14" ht="14.25" x14ac:dyDescent="0.2">
      <c r="A236" s="11" t="s">
        <v>1597</v>
      </c>
      <c r="B236" s="12" t="s">
        <v>3734</v>
      </c>
      <c r="C236" s="13" t="s">
        <v>3757</v>
      </c>
      <c r="D236" s="13" t="s">
        <v>3765</v>
      </c>
      <c r="E236" s="29" t="s">
        <v>6904</v>
      </c>
      <c r="F236" s="13" t="s">
        <v>6905</v>
      </c>
      <c r="G236" s="8">
        <v>70</v>
      </c>
      <c r="H236" s="8"/>
      <c r="I236" s="8"/>
      <c r="J236" s="29" t="s">
        <v>1271</v>
      </c>
      <c r="K236" s="29" t="s">
        <v>6906</v>
      </c>
      <c r="L236" s="61"/>
      <c r="M236" s="68">
        <v>1</v>
      </c>
      <c r="N236" s="68" t="s">
        <v>6813</v>
      </c>
    </row>
    <row r="237" spans="1:14" ht="14.25" x14ac:dyDescent="0.2">
      <c r="A237" s="11" t="s">
        <v>1597</v>
      </c>
      <c r="B237" s="12" t="s">
        <v>1432</v>
      </c>
      <c r="C237" s="13" t="s">
        <v>3757</v>
      </c>
      <c r="D237" s="13" t="s">
        <v>3761</v>
      </c>
      <c r="E237" s="29" t="s">
        <v>6814</v>
      </c>
      <c r="F237" s="13" t="s">
        <v>6815</v>
      </c>
      <c r="G237" s="8">
        <v>50</v>
      </c>
      <c r="H237" s="8"/>
      <c r="I237" s="8"/>
      <c r="J237" s="29" t="s">
        <v>1264</v>
      </c>
      <c r="K237" s="29" t="s">
        <v>6816</v>
      </c>
      <c r="L237" s="61"/>
      <c r="M237" s="68">
        <v>1</v>
      </c>
      <c r="N237" s="68" t="s">
        <v>6813</v>
      </c>
    </row>
    <row r="238" spans="1:14" ht="14.25" x14ac:dyDescent="0.2">
      <c r="A238" s="11" t="s">
        <v>1597</v>
      </c>
      <c r="B238" s="12" t="s">
        <v>8660</v>
      </c>
      <c r="C238" s="27" t="s">
        <v>3767</v>
      </c>
      <c r="D238" s="13" t="s">
        <v>3765</v>
      </c>
      <c r="E238" s="29" t="s">
        <v>3374</v>
      </c>
      <c r="F238" s="13" t="s">
        <v>3373</v>
      </c>
      <c r="G238" s="8">
        <v>33</v>
      </c>
      <c r="H238" s="8"/>
      <c r="I238" s="8"/>
      <c r="J238" s="29" t="s">
        <v>1264</v>
      </c>
      <c r="K238" s="29" t="s">
        <v>3375</v>
      </c>
      <c r="L238" s="61"/>
      <c r="M238" s="68">
        <v>1</v>
      </c>
      <c r="N238" s="108" t="s">
        <v>3342</v>
      </c>
    </row>
    <row r="239" spans="1:14" ht="14.25" x14ac:dyDescent="0.2">
      <c r="A239" s="11" t="s">
        <v>1597</v>
      </c>
      <c r="B239" s="12" t="s">
        <v>1879</v>
      </c>
      <c r="C239" s="13" t="s">
        <v>3757</v>
      </c>
      <c r="D239" s="13" t="s">
        <v>3764</v>
      </c>
      <c r="E239" s="29" t="s">
        <v>1880</v>
      </c>
      <c r="F239" s="13" t="s">
        <v>1881</v>
      </c>
      <c r="G239" s="8">
        <v>49</v>
      </c>
      <c r="H239" s="8"/>
      <c r="I239" s="8"/>
      <c r="J239" s="29" t="s">
        <v>1272</v>
      </c>
      <c r="K239" s="29" t="s">
        <v>1882</v>
      </c>
      <c r="L239" s="94"/>
      <c r="M239" s="68">
        <v>1</v>
      </c>
      <c r="N239" s="68" t="s">
        <v>5197</v>
      </c>
    </row>
    <row r="240" spans="1:14" ht="14.25" x14ac:dyDescent="0.2">
      <c r="A240" s="11" t="s">
        <v>1597</v>
      </c>
      <c r="B240" s="12" t="s">
        <v>3733</v>
      </c>
      <c r="C240" s="13" t="s">
        <v>3757</v>
      </c>
      <c r="D240" s="13" t="s">
        <v>3754</v>
      </c>
      <c r="E240" s="29" t="s">
        <v>3687</v>
      </c>
      <c r="F240" s="13" t="s">
        <v>3688</v>
      </c>
      <c r="G240" s="22">
        <v>46</v>
      </c>
      <c r="H240" s="8"/>
      <c r="I240" s="8"/>
      <c r="J240" s="29" t="s">
        <v>1270</v>
      </c>
      <c r="K240" s="29" t="s">
        <v>3689</v>
      </c>
      <c r="L240" s="61"/>
      <c r="M240" s="68">
        <v>1</v>
      </c>
      <c r="N240" s="68" t="s">
        <v>3476</v>
      </c>
    </row>
    <row r="241" spans="1:14" ht="14.25" x14ac:dyDescent="0.2">
      <c r="A241" s="11" t="s">
        <v>1597</v>
      </c>
      <c r="B241" s="12" t="s">
        <v>3733</v>
      </c>
      <c r="C241" s="13" t="s">
        <v>3757</v>
      </c>
      <c r="D241" s="13" t="s">
        <v>3754</v>
      </c>
      <c r="E241" s="29" t="s">
        <v>1598</v>
      </c>
      <c r="F241" s="13" t="s">
        <v>1599</v>
      </c>
      <c r="G241" s="8">
        <v>55</v>
      </c>
      <c r="H241" s="8"/>
      <c r="I241" s="8"/>
      <c r="J241" s="29" t="s">
        <v>4738</v>
      </c>
      <c r="K241" s="29" t="s">
        <v>1600</v>
      </c>
      <c r="L241" s="94"/>
      <c r="M241" s="68">
        <v>1</v>
      </c>
      <c r="N241" s="68" t="s">
        <v>5195</v>
      </c>
    </row>
    <row r="242" spans="1:14" ht="14.25" x14ac:dyDescent="0.2">
      <c r="A242" s="11" t="s">
        <v>1597</v>
      </c>
      <c r="B242" s="12" t="s">
        <v>1445</v>
      </c>
      <c r="C242" s="13" t="s">
        <v>3767</v>
      </c>
      <c r="D242" s="13" t="s">
        <v>3765</v>
      </c>
      <c r="E242" s="29" t="s">
        <v>6875</v>
      </c>
      <c r="F242" s="13" t="s">
        <v>6876</v>
      </c>
      <c r="G242" s="8"/>
      <c r="H242" s="8">
        <v>1</v>
      </c>
      <c r="I242" s="8"/>
      <c r="J242" s="29" t="s">
        <v>4829</v>
      </c>
      <c r="K242" s="29" t="s">
        <v>6877</v>
      </c>
      <c r="L242" s="61"/>
      <c r="M242" s="68">
        <v>1</v>
      </c>
      <c r="N242" s="68" t="s">
        <v>6813</v>
      </c>
    </row>
    <row r="243" spans="1:14" ht="14.25" x14ac:dyDescent="0.2">
      <c r="A243" s="11" t="s">
        <v>5689</v>
      </c>
      <c r="B243" s="12" t="s">
        <v>4703</v>
      </c>
      <c r="C243" s="13" t="s">
        <v>3754</v>
      </c>
      <c r="D243" s="13" t="s">
        <v>3754</v>
      </c>
      <c r="E243" s="29" t="s">
        <v>3090</v>
      </c>
      <c r="F243" s="13" t="s">
        <v>3091</v>
      </c>
      <c r="G243" s="22">
        <v>19</v>
      </c>
      <c r="H243" s="22"/>
      <c r="I243" s="22"/>
      <c r="J243" s="29" t="s">
        <v>6378</v>
      </c>
      <c r="K243" s="29" t="s">
        <v>3092</v>
      </c>
      <c r="L243" s="61"/>
      <c r="M243" s="68">
        <v>1</v>
      </c>
      <c r="N243" s="68" t="s">
        <v>5657</v>
      </c>
    </row>
    <row r="244" spans="1:14" ht="14.25" x14ac:dyDescent="0.2">
      <c r="A244" s="11" t="s">
        <v>5689</v>
      </c>
      <c r="B244" s="12" t="s">
        <v>6048</v>
      </c>
      <c r="C244" s="16" t="s">
        <v>3761</v>
      </c>
      <c r="D244" s="13" t="s">
        <v>3754</v>
      </c>
      <c r="E244" s="29" t="s">
        <v>2320</v>
      </c>
      <c r="F244" s="13" t="s">
        <v>2321</v>
      </c>
      <c r="G244" s="8"/>
      <c r="H244" s="8">
        <v>7</v>
      </c>
      <c r="I244" s="8"/>
      <c r="J244" s="29"/>
      <c r="K244" s="29" t="s">
        <v>2322</v>
      </c>
      <c r="L244" s="61"/>
      <c r="M244" s="68">
        <v>1</v>
      </c>
      <c r="N244" s="68" t="s">
        <v>5950</v>
      </c>
    </row>
    <row r="245" spans="1:14" ht="14.25" x14ac:dyDescent="0.2">
      <c r="A245" s="11" t="s">
        <v>5689</v>
      </c>
      <c r="B245" s="12" t="s">
        <v>3740</v>
      </c>
      <c r="C245" s="13" t="s">
        <v>3757</v>
      </c>
      <c r="D245" s="13" t="s">
        <v>3754</v>
      </c>
      <c r="E245" s="29" t="s">
        <v>3093</v>
      </c>
      <c r="F245" s="13" t="s">
        <v>3094</v>
      </c>
      <c r="G245" s="22">
        <v>64</v>
      </c>
      <c r="H245" s="22"/>
      <c r="I245" s="22"/>
      <c r="J245" s="29" t="s">
        <v>1265</v>
      </c>
      <c r="K245" s="29" t="s">
        <v>3092</v>
      </c>
      <c r="L245" s="61"/>
      <c r="M245" s="68">
        <v>1</v>
      </c>
      <c r="N245" s="68" t="s">
        <v>5657</v>
      </c>
    </row>
    <row r="246" spans="1:14" ht="14.25" x14ac:dyDescent="0.2">
      <c r="A246" s="11" t="s">
        <v>5689</v>
      </c>
      <c r="B246" s="12" t="s">
        <v>4982</v>
      </c>
      <c r="C246" s="13" t="s">
        <v>3754</v>
      </c>
      <c r="D246" s="13" t="s">
        <v>3754</v>
      </c>
      <c r="E246" s="29" t="s">
        <v>5690</v>
      </c>
      <c r="F246" s="13" t="s">
        <v>5691</v>
      </c>
      <c r="G246" s="22">
        <v>4</v>
      </c>
      <c r="H246" s="22">
        <v>11</v>
      </c>
      <c r="I246" s="22">
        <v>21</v>
      </c>
      <c r="J246" s="29" t="s">
        <v>4745</v>
      </c>
      <c r="K246" s="29" t="s">
        <v>5692</v>
      </c>
      <c r="L246" s="61"/>
      <c r="M246" s="68">
        <v>1</v>
      </c>
      <c r="N246" s="68" t="s">
        <v>5657</v>
      </c>
    </row>
    <row r="247" spans="1:14" ht="14.25" x14ac:dyDescent="0.2">
      <c r="A247" s="9" t="s">
        <v>5689</v>
      </c>
      <c r="B247" s="5" t="s">
        <v>3732</v>
      </c>
      <c r="C247" s="10" t="s">
        <v>3757</v>
      </c>
      <c r="D247" s="10" t="s">
        <v>3754</v>
      </c>
      <c r="E247" s="61" t="s">
        <v>1770</v>
      </c>
      <c r="F247" s="10" t="s">
        <v>5691</v>
      </c>
      <c r="G247" s="22">
        <v>33</v>
      </c>
      <c r="H247" s="22"/>
      <c r="I247" s="22"/>
      <c r="J247" s="55" t="s">
        <v>1264</v>
      </c>
      <c r="K247" s="55" t="s">
        <v>1770</v>
      </c>
      <c r="L247" s="61"/>
      <c r="M247" s="68">
        <v>1</v>
      </c>
      <c r="N247" s="68" t="s">
        <v>5657</v>
      </c>
    </row>
    <row r="248" spans="1:14" ht="14.25" x14ac:dyDescent="0.2">
      <c r="A248" s="9" t="s">
        <v>5689</v>
      </c>
      <c r="B248" s="5" t="s">
        <v>3732</v>
      </c>
      <c r="C248" s="10" t="s">
        <v>3757</v>
      </c>
      <c r="D248" s="21" t="s">
        <v>3754</v>
      </c>
      <c r="E248" s="61" t="s">
        <v>6784</v>
      </c>
      <c r="F248" s="10" t="s">
        <v>5691</v>
      </c>
      <c r="G248" s="22">
        <v>34</v>
      </c>
      <c r="H248" s="22">
        <v>7</v>
      </c>
      <c r="I248" s="22"/>
      <c r="J248" s="55" t="s">
        <v>2199</v>
      </c>
      <c r="K248" s="61" t="s">
        <v>2612</v>
      </c>
      <c r="L248" s="61"/>
      <c r="M248" s="68">
        <v>1</v>
      </c>
      <c r="N248" s="68" t="s">
        <v>2341</v>
      </c>
    </row>
    <row r="249" spans="1:14" ht="14.25" x14ac:dyDescent="0.2">
      <c r="A249" s="11" t="s">
        <v>5689</v>
      </c>
      <c r="B249" s="12" t="s">
        <v>4701</v>
      </c>
      <c r="C249" s="13" t="s">
        <v>3757</v>
      </c>
      <c r="D249" s="13" t="s">
        <v>3761</v>
      </c>
      <c r="E249" s="29" t="s">
        <v>6879</v>
      </c>
      <c r="F249" s="13" t="s">
        <v>6880</v>
      </c>
      <c r="G249" s="8">
        <v>66</v>
      </c>
      <c r="H249" s="8"/>
      <c r="I249" s="8"/>
      <c r="J249" s="29" t="s">
        <v>1264</v>
      </c>
      <c r="K249" s="29" t="s">
        <v>6881</v>
      </c>
      <c r="L249" s="61"/>
      <c r="M249" s="68">
        <v>1</v>
      </c>
      <c r="N249" s="68" t="s">
        <v>6813</v>
      </c>
    </row>
    <row r="250" spans="1:14" ht="14.25" x14ac:dyDescent="0.2">
      <c r="A250" s="11" t="s">
        <v>5689</v>
      </c>
      <c r="B250" s="12" t="s">
        <v>7755</v>
      </c>
      <c r="C250" s="13" t="s">
        <v>3754</v>
      </c>
      <c r="D250" s="13" t="s">
        <v>3754</v>
      </c>
      <c r="E250" s="29" t="s">
        <v>6909</v>
      </c>
      <c r="F250" s="13" t="s">
        <v>6910</v>
      </c>
      <c r="G250" s="8">
        <v>17</v>
      </c>
      <c r="H250" s="8"/>
      <c r="I250" s="8">
        <v>26</v>
      </c>
      <c r="J250" s="29" t="s">
        <v>1264</v>
      </c>
      <c r="K250" s="29" t="s">
        <v>6911</v>
      </c>
      <c r="L250" s="61"/>
      <c r="M250" s="68">
        <v>1</v>
      </c>
      <c r="N250" s="68" t="s">
        <v>6813</v>
      </c>
    </row>
    <row r="251" spans="1:14" ht="14.25" x14ac:dyDescent="0.2">
      <c r="A251" s="11" t="s">
        <v>5485</v>
      </c>
      <c r="B251" s="12" t="s">
        <v>5486</v>
      </c>
      <c r="C251" s="13" t="s">
        <v>3754</v>
      </c>
      <c r="D251" s="13" t="s">
        <v>3754</v>
      </c>
      <c r="E251" s="29" t="s">
        <v>5487</v>
      </c>
      <c r="F251" s="13" t="s">
        <v>5691</v>
      </c>
      <c r="G251" s="22"/>
      <c r="H251" s="22">
        <v>10</v>
      </c>
      <c r="I251" s="22">
        <v>5</v>
      </c>
      <c r="J251" s="29" t="s">
        <v>1769</v>
      </c>
      <c r="K251" s="29" t="s">
        <v>5487</v>
      </c>
      <c r="L251" s="61"/>
      <c r="M251" s="68">
        <v>1</v>
      </c>
      <c r="N251" s="68" t="s">
        <v>5657</v>
      </c>
    </row>
    <row r="252" spans="1:14" ht="14.25" x14ac:dyDescent="0.2">
      <c r="A252" s="11" t="s">
        <v>1911</v>
      </c>
      <c r="B252" s="12" t="s">
        <v>3728</v>
      </c>
      <c r="C252" s="13" t="s">
        <v>3754</v>
      </c>
      <c r="D252" s="13" t="s">
        <v>3761</v>
      </c>
      <c r="E252" s="29" t="s">
        <v>1924</v>
      </c>
      <c r="F252" s="13" t="s">
        <v>1925</v>
      </c>
      <c r="G252" s="8">
        <v>1</v>
      </c>
      <c r="H252" s="8">
        <v>6</v>
      </c>
      <c r="I252" s="8"/>
      <c r="J252" s="29" t="s">
        <v>4829</v>
      </c>
      <c r="K252" s="29" t="s">
        <v>1916</v>
      </c>
      <c r="L252" s="94"/>
      <c r="M252" s="68">
        <v>1</v>
      </c>
      <c r="N252" s="68" t="s">
        <v>5197</v>
      </c>
    </row>
    <row r="253" spans="1:14" ht="14.25" x14ac:dyDescent="0.2">
      <c r="A253" s="11" t="s">
        <v>1911</v>
      </c>
      <c r="B253" s="12" t="s">
        <v>4702</v>
      </c>
      <c r="C253" s="13" t="s">
        <v>3757</v>
      </c>
      <c r="D253" s="13" t="s">
        <v>735</v>
      </c>
      <c r="E253" s="29" t="s">
        <v>3351</v>
      </c>
      <c r="F253" s="13" t="s">
        <v>3352</v>
      </c>
      <c r="G253" s="8">
        <v>65</v>
      </c>
      <c r="H253" s="8"/>
      <c r="I253" s="8"/>
      <c r="J253" s="29" t="s">
        <v>1928</v>
      </c>
      <c r="K253" s="29" t="s">
        <v>3353</v>
      </c>
      <c r="L253" s="61"/>
      <c r="M253" s="68">
        <v>1</v>
      </c>
      <c r="N253" s="68" t="s">
        <v>3342</v>
      </c>
    </row>
    <row r="254" spans="1:14" ht="14.25" x14ac:dyDescent="0.2">
      <c r="A254" s="11" t="s">
        <v>1911</v>
      </c>
      <c r="B254" s="12" t="s">
        <v>3740</v>
      </c>
      <c r="C254" s="13" t="s">
        <v>3754</v>
      </c>
      <c r="D254" s="13" t="s">
        <v>3761</v>
      </c>
      <c r="E254" s="29" t="s">
        <v>1921</v>
      </c>
      <c r="F254" s="13" t="s">
        <v>1915</v>
      </c>
      <c r="G254" s="8">
        <v>7</v>
      </c>
      <c r="H254" s="8"/>
      <c r="I254" s="8"/>
      <c r="J254" s="29" t="s">
        <v>4742</v>
      </c>
      <c r="K254" s="29" t="s">
        <v>1916</v>
      </c>
      <c r="L254" s="94"/>
      <c r="M254" s="68">
        <v>1</v>
      </c>
      <c r="N254" s="68" t="s">
        <v>5197</v>
      </c>
    </row>
    <row r="255" spans="1:14" ht="14.25" x14ac:dyDescent="0.2">
      <c r="A255" s="11" t="s">
        <v>1911</v>
      </c>
      <c r="B255" s="12" t="s">
        <v>3740</v>
      </c>
      <c r="C255" s="13" t="s">
        <v>3757</v>
      </c>
      <c r="D255" s="13" t="s">
        <v>3761</v>
      </c>
      <c r="E255" s="29" t="s">
        <v>1914</v>
      </c>
      <c r="F255" s="13" t="s">
        <v>1915</v>
      </c>
      <c r="G255" s="8">
        <v>45</v>
      </c>
      <c r="H255" s="8"/>
      <c r="I255" s="8"/>
      <c r="J255" s="29" t="s">
        <v>1264</v>
      </c>
      <c r="K255" s="29" t="s">
        <v>1916</v>
      </c>
      <c r="L255" s="94"/>
      <c r="M255" s="68">
        <v>1</v>
      </c>
      <c r="N255" s="68" t="s">
        <v>5197</v>
      </c>
    </row>
    <row r="256" spans="1:14" ht="14.25" x14ac:dyDescent="0.2">
      <c r="A256" s="11" t="s">
        <v>1911</v>
      </c>
      <c r="B256" s="12" t="s">
        <v>3740</v>
      </c>
      <c r="C256" s="13" t="s">
        <v>3754</v>
      </c>
      <c r="D256" s="13" t="s">
        <v>3761</v>
      </c>
      <c r="E256" s="29" t="s">
        <v>1912</v>
      </c>
      <c r="F256" s="13" t="s">
        <v>1913</v>
      </c>
      <c r="G256" s="8"/>
      <c r="H256" s="8"/>
      <c r="I256" s="8">
        <v>1</v>
      </c>
      <c r="J256" s="29"/>
      <c r="K256" s="29"/>
      <c r="L256" s="94"/>
      <c r="M256" s="68">
        <v>1</v>
      </c>
      <c r="N256" s="68" t="s">
        <v>5197</v>
      </c>
    </row>
    <row r="257" spans="1:14" ht="14.25" x14ac:dyDescent="0.2">
      <c r="A257" s="11" t="s">
        <v>1911</v>
      </c>
      <c r="B257" s="12" t="s">
        <v>1922</v>
      </c>
      <c r="C257" s="13" t="s">
        <v>3754</v>
      </c>
      <c r="D257" s="13" t="s">
        <v>3761</v>
      </c>
      <c r="E257" s="29" t="s">
        <v>1923</v>
      </c>
      <c r="F257" s="13" t="s">
        <v>1915</v>
      </c>
      <c r="G257" s="8">
        <v>2</v>
      </c>
      <c r="H257" s="8"/>
      <c r="I257" s="8"/>
      <c r="J257" s="29" t="s">
        <v>4579</v>
      </c>
      <c r="K257" s="29" t="s">
        <v>1916</v>
      </c>
      <c r="L257" s="94"/>
      <c r="M257" s="68">
        <v>1</v>
      </c>
      <c r="N257" s="68" t="s">
        <v>5197</v>
      </c>
    </row>
    <row r="258" spans="1:14" ht="14.25" x14ac:dyDescent="0.2">
      <c r="A258" s="11" t="s">
        <v>1911</v>
      </c>
      <c r="B258" s="12" t="s">
        <v>3723</v>
      </c>
      <c r="C258" s="13" t="s">
        <v>3757</v>
      </c>
      <c r="D258" s="13" t="s">
        <v>3761</v>
      </c>
      <c r="E258" s="29" t="s">
        <v>1919</v>
      </c>
      <c r="F258" s="13" t="s">
        <v>1920</v>
      </c>
      <c r="G258" s="8">
        <v>60</v>
      </c>
      <c r="H258" s="8"/>
      <c r="I258" s="8"/>
      <c r="J258" s="29" t="s">
        <v>1264</v>
      </c>
      <c r="K258" s="29" t="s">
        <v>1916</v>
      </c>
      <c r="L258" s="94"/>
      <c r="M258" s="68">
        <v>1</v>
      </c>
      <c r="N258" s="68" t="s">
        <v>5197</v>
      </c>
    </row>
    <row r="259" spans="1:14" ht="14.25" x14ac:dyDescent="0.2">
      <c r="A259" s="11" t="s">
        <v>1911</v>
      </c>
      <c r="B259" s="12" t="s">
        <v>3741</v>
      </c>
      <c r="C259" s="13" t="s">
        <v>3757</v>
      </c>
      <c r="D259" s="13" t="s">
        <v>3761</v>
      </c>
      <c r="E259" s="29" t="s">
        <v>1917</v>
      </c>
      <c r="F259" s="13" t="s">
        <v>1918</v>
      </c>
      <c r="G259" s="8">
        <v>34</v>
      </c>
      <c r="H259" s="8"/>
      <c r="I259" s="8"/>
      <c r="J259" s="29" t="s">
        <v>1264</v>
      </c>
      <c r="K259" s="29" t="s">
        <v>1916</v>
      </c>
      <c r="L259" s="94"/>
      <c r="M259" s="68">
        <v>1</v>
      </c>
      <c r="N259" s="68" t="s">
        <v>5197</v>
      </c>
    </row>
    <row r="260" spans="1:14" ht="14.25" x14ac:dyDescent="0.2">
      <c r="A260" s="11" t="s">
        <v>6780</v>
      </c>
      <c r="B260" s="12" t="s">
        <v>1432</v>
      </c>
      <c r="C260" s="13" t="s">
        <v>3757</v>
      </c>
      <c r="D260" s="13" t="s">
        <v>3761</v>
      </c>
      <c r="E260" s="29" t="s">
        <v>6889</v>
      </c>
      <c r="F260" s="13" t="s">
        <v>6890</v>
      </c>
      <c r="G260" s="8">
        <v>68</v>
      </c>
      <c r="H260" s="8"/>
      <c r="I260" s="8"/>
      <c r="J260" s="29" t="s">
        <v>1264</v>
      </c>
      <c r="K260" s="29" t="s">
        <v>4999</v>
      </c>
      <c r="L260" s="61"/>
      <c r="M260" s="68">
        <v>1</v>
      </c>
      <c r="N260" s="68" t="s">
        <v>6813</v>
      </c>
    </row>
    <row r="261" spans="1:14" ht="14.25" x14ac:dyDescent="0.2">
      <c r="A261" s="11" t="s">
        <v>6780</v>
      </c>
      <c r="B261" s="12" t="s">
        <v>3732</v>
      </c>
      <c r="C261" s="13" t="s">
        <v>3757</v>
      </c>
      <c r="D261" s="13" t="s">
        <v>3754</v>
      </c>
      <c r="E261" s="29" t="s">
        <v>6781</v>
      </c>
      <c r="F261" s="13" t="s">
        <v>6782</v>
      </c>
      <c r="G261" s="22">
        <v>45</v>
      </c>
      <c r="H261" s="22"/>
      <c r="I261" s="22"/>
      <c r="J261" s="29" t="s">
        <v>1264</v>
      </c>
      <c r="K261" s="29" t="s">
        <v>6783</v>
      </c>
      <c r="L261" s="61"/>
      <c r="M261" s="68">
        <v>1</v>
      </c>
      <c r="N261" s="68" t="s">
        <v>2341</v>
      </c>
    </row>
    <row r="262" spans="1:14" ht="14.25" x14ac:dyDescent="0.2">
      <c r="A262" s="11" t="s">
        <v>5669</v>
      </c>
      <c r="B262" s="12" t="s">
        <v>5670</v>
      </c>
      <c r="C262" s="13" t="s">
        <v>3757</v>
      </c>
      <c r="D262" s="13" t="s">
        <v>3754</v>
      </c>
      <c r="E262" s="29" t="s">
        <v>5671</v>
      </c>
      <c r="F262" s="13" t="s">
        <v>5672</v>
      </c>
      <c r="G262" s="22">
        <v>49</v>
      </c>
      <c r="H262" s="22"/>
      <c r="I262" s="22"/>
      <c r="J262" s="29" t="s">
        <v>1264</v>
      </c>
      <c r="K262" s="29" t="s">
        <v>5673</v>
      </c>
      <c r="L262" s="61"/>
      <c r="M262" s="68">
        <v>1</v>
      </c>
      <c r="N262" s="68" t="s">
        <v>5657</v>
      </c>
    </row>
    <row r="263" spans="1:14" ht="14.25" x14ac:dyDescent="0.2">
      <c r="A263" s="11" t="s">
        <v>6900</v>
      </c>
      <c r="B263" s="12" t="s">
        <v>3740</v>
      </c>
      <c r="C263" s="13" t="s">
        <v>3754</v>
      </c>
      <c r="D263" s="13" t="s">
        <v>3761</v>
      </c>
      <c r="E263" s="29" t="s">
        <v>6901</v>
      </c>
      <c r="F263" s="13" t="s">
        <v>6902</v>
      </c>
      <c r="G263" s="8">
        <v>19</v>
      </c>
      <c r="H263" s="8"/>
      <c r="I263" s="8"/>
      <c r="J263" s="29" t="s">
        <v>1264</v>
      </c>
      <c r="K263" s="29" t="s">
        <v>6903</v>
      </c>
      <c r="L263" s="61"/>
      <c r="M263" s="68">
        <v>1</v>
      </c>
      <c r="N263" s="68" t="s">
        <v>6813</v>
      </c>
    </row>
    <row r="264" spans="1:14" ht="14.25" x14ac:dyDescent="0.2">
      <c r="A264" s="11" t="s">
        <v>1655</v>
      </c>
      <c r="B264" s="12" t="s">
        <v>5020</v>
      </c>
      <c r="C264" s="13" t="s">
        <v>8621</v>
      </c>
      <c r="D264" s="13" t="s">
        <v>1907</v>
      </c>
      <c r="E264" s="29" t="s">
        <v>1908</v>
      </c>
      <c r="F264" s="13" t="s">
        <v>1909</v>
      </c>
      <c r="G264" s="8">
        <v>11</v>
      </c>
      <c r="H264" s="8">
        <v>3</v>
      </c>
      <c r="I264" s="8">
        <v>15</v>
      </c>
      <c r="J264" s="29" t="s">
        <v>1910</v>
      </c>
      <c r="K264" s="29" t="s">
        <v>1906</v>
      </c>
      <c r="L264" s="94"/>
      <c r="M264" s="68">
        <v>1</v>
      </c>
      <c r="N264" s="68" t="s">
        <v>5197</v>
      </c>
    </row>
    <row r="265" spans="1:14" ht="14.25" x14ac:dyDescent="0.2">
      <c r="A265" s="14" t="s">
        <v>1655</v>
      </c>
      <c r="B265" s="15" t="s">
        <v>1432</v>
      </c>
      <c r="C265" s="16" t="s">
        <v>3757</v>
      </c>
      <c r="D265" s="16" t="s">
        <v>1943</v>
      </c>
      <c r="E265" s="27" t="s">
        <v>3443</v>
      </c>
      <c r="F265" s="16" t="s">
        <v>3444</v>
      </c>
      <c r="G265" s="8">
        <v>32</v>
      </c>
      <c r="H265" s="8"/>
      <c r="I265" s="8"/>
      <c r="J265" s="27" t="s">
        <v>1264</v>
      </c>
      <c r="K265" s="27" t="s">
        <v>3445</v>
      </c>
      <c r="L265" s="61"/>
      <c r="M265" s="68">
        <v>1</v>
      </c>
      <c r="N265" s="68" t="s">
        <v>3133</v>
      </c>
    </row>
    <row r="266" spans="1:14" ht="14.25" x14ac:dyDescent="0.2">
      <c r="A266" s="11" t="s">
        <v>1655</v>
      </c>
      <c r="B266" s="12" t="s">
        <v>1432</v>
      </c>
      <c r="C266" s="13" t="s">
        <v>3757</v>
      </c>
      <c r="D266" s="13" t="s">
        <v>3754</v>
      </c>
      <c r="E266" s="29" t="s">
        <v>1855</v>
      </c>
      <c r="F266" s="13" t="s">
        <v>1856</v>
      </c>
      <c r="G266" s="22">
        <v>65</v>
      </c>
      <c r="H266" s="22"/>
      <c r="I266" s="22"/>
      <c r="J266" s="29" t="s">
        <v>1265</v>
      </c>
      <c r="K266" s="29" t="s">
        <v>1857</v>
      </c>
      <c r="L266" s="94"/>
      <c r="M266" s="68">
        <v>1</v>
      </c>
      <c r="N266" s="68" t="s">
        <v>5196</v>
      </c>
    </row>
    <row r="267" spans="1:14" ht="14.25" x14ac:dyDescent="0.2">
      <c r="A267" s="11" t="s">
        <v>1655</v>
      </c>
      <c r="B267" s="12" t="s">
        <v>5120</v>
      </c>
      <c r="C267" s="13" t="s">
        <v>3754</v>
      </c>
      <c r="D267" s="13" t="s">
        <v>3754</v>
      </c>
      <c r="E267" s="29" t="s">
        <v>5121</v>
      </c>
      <c r="F267" s="13" t="s">
        <v>3754</v>
      </c>
      <c r="G267" s="22">
        <v>47</v>
      </c>
      <c r="H267" s="22"/>
      <c r="I267" s="22"/>
      <c r="J267" s="29" t="s">
        <v>1264</v>
      </c>
      <c r="K267" s="29" t="s">
        <v>4767</v>
      </c>
      <c r="L267" s="94"/>
      <c r="M267" s="68">
        <v>1</v>
      </c>
      <c r="N267" s="68" t="s">
        <v>5196</v>
      </c>
    </row>
    <row r="268" spans="1:14" ht="14.25" x14ac:dyDescent="0.2">
      <c r="A268" s="14" t="s">
        <v>1655</v>
      </c>
      <c r="B268" s="15" t="s">
        <v>1809</v>
      </c>
      <c r="C268" s="16"/>
      <c r="D268" s="28">
        <v>1</v>
      </c>
      <c r="E268" s="27" t="s">
        <v>3446</v>
      </c>
      <c r="F268" s="16"/>
      <c r="G268" s="8"/>
      <c r="H268" s="8">
        <v>8</v>
      </c>
      <c r="I268" s="8">
        <v>20</v>
      </c>
      <c r="J268" s="27"/>
      <c r="K268" s="27" t="s">
        <v>3445</v>
      </c>
      <c r="L268" s="61"/>
      <c r="M268" s="68">
        <v>1</v>
      </c>
      <c r="N268" s="68" t="s">
        <v>3133</v>
      </c>
    </row>
    <row r="269" spans="1:14" ht="14.25" x14ac:dyDescent="0.2">
      <c r="A269" s="11" t="s">
        <v>1655</v>
      </c>
      <c r="B269" s="12" t="s">
        <v>4908</v>
      </c>
      <c r="C269" s="13" t="s">
        <v>5695</v>
      </c>
      <c r="D269" s="13" t="s">
        <v>5695</v>
      </c>
      <c r="E269" s="29" t="s">
        <v>5481</v>
      </c>
      <c r="F269" s="13" t="s">
        <v>5482</v>
      </c>
      <c r="G269" s="22">
        <v>5</v>
      </c>
      <c r="H269" s="22">
        <v>2</v>
      </c>
      <c r="I269" s="22">
        <v>5</v>
      </c>
      <c r="J269" s="29" t="s">
        <v>5483</v>
      </c>
      <c r="K269" s="29" t="s">
        <v>5484</v>
      </c>
      <c r="L269" s="61"/>
      <c r="M269" s="68">
        <v>1</v>
      </c>
      <c r="N269" s="68" t="s">
        <v>5657</v>
      </c>
    </row>
    <row r="270" spans="1:14" ht="14.25" x14ac:dyDescent="0.2">
      <c r="A270" s="14" t="s">
        <v>1655</v>
      </c>
      <c r="B270" s="15" t="s">
        <v>7737</v>
      </c>
      <c r="C270" s="16"/>
      <c r="D270" s="16"/>
      <c r="E270" s="27" t="s">
        <v>3447</v>
      </c>
      <c r="F270" s="16"/>
      <c r="G270" s="8">
        <v>1</v>
      </c>
      <c r="H270" s="8"/>
      <c r="I270" s="8"/>
      <c r="J270" s="27"/>
      <c r="K270" s="27" t="s">
        <v>3445</v>
      </c>
      <c r="L270" s="61"/>
      <c r="M270" s="68">
        <v>1</v>
      </c>
      <c r="N270" s="68" t="s">
        <v>3133</v>
      </c>
    </row>
    <row r="271" spans="1:14" ht="14.25" x14ac:dyDescent="0.2">
      <c r="A271" s="14" t="s">
        <v>1655</v>
      </c>
      <c r="B271" s="15" t="s">
        <v>5073</v>
      </c>
      <c r="C271" s="16"/>
      <c r="D271" s="28">
        <v>1</v>
      </c>
      <c r="E271" s="27" t="s">
        <v>3448</v>
      </c>
      <c r="F271" s="16"/>
      <c r="G271" s="8">
        <v>1</v>
      </c>
      <c r="H271" s="8">
        <v>4</v>
      </c>
      <c r="I271" s="8"/>
      <c r="J271" s="27"/>
      <c r="K271" s="27" t="s">
        <v>3445</v>
      </c>
      <c r="L271" s="61"/>
      <c r="M271" s="68">
        <v>1</v>
      </c>
      <c r="N271" s="68" t="s">
        <v>3133</v>
      </c>
    </row>
    <row r="272" spans="1:14" ht="14.25" x14ac:dyDescent="0.2">
      <c r="A272" s="11" t="s">
        <v>1655</v>
      </c>
      <c r="B272" s="12" t="s">
        <v>3732</v>
      </c>
      <c r="C272" s="13" t="s">
        <v>6859</v>
      </c>
      <c r="D272" s="13" t="s">
        <v>3761</v>
      </c>
      <c r="E272" s="29" t="s">
        <v>6860</v>
      </c>
      <c r="F272" s="13" t="s">
        <v>6861</v>
      </c>
      <c r="G272" s="8">
        <v>60</v>
      </c>
      <c r="H272" s="8"/>
      <c r="I272" s="8"/>
      <c r="J272" s="29" t="s">
        <v>1266</v>
      </c>
      <c r="K272" s="29" t="s">
        <v>6860</v>
      </c>
      <c r="L272" s="61"/>
      <c r="M272" s="68">
        <v>1</v>
      </c>
      <c r="N272" s="68" t="s">
        <v>6813</v>
      </c>
    </row>
    <row r="273" spans="1:14" ht="14.25" x14ac:dyDescent="0.2">
      <c r="A273" s="11" t="s">
        <v>1655</v>
      </c>
      <c r="B273" s="12" t="s">
        <v>8616</v>
      </c>
      <c r="C273" s="13" t="s">
        <v>3757</v>
      </c>
      <c r="D273" s="13" t="s">
        <v>8621</v>
      </c>
      <c r="E273" s="29" t="s">
        <v>1656</v>
      </c>
      <c r="F273" s="13" t="s">
        <v>8621</v>
      </c>
      <c r="G273" s="22">
        <v>25</v>
      </c>
      <c r="H273" s="22"/>
      <c r="I273" s="22"/>
      <c r="J273" s="29" t="s">
        <v>1264</v>
      </c>
      <c r="K273" s="29" t="s">
        <v>5112</v>
      </c>
      <c r="L273" s="94"/>
      <c r="M273" s="68">
        <v>1</v>
      </c>
      <c r="N273" s="68" t="s">
        <v>5196</v>
      </c>
    </row>
    <row r="274" spans="1:14" ht="28.5" x14ac:dyDescent="0.2">
      <c r="A274" s="11" t="s">
        <v>5116</v>
      </c>
      <c r="B274" s="12" t="s">
        <v>2617</v>
      </c>
      <c r="C274" s="13" t="s">
        <v>3754</v>
      </c>
      <c r="D274" s="13" t="s">
        <v>3754</v>
      </c>
      <c r="E274" s="29" t="s">
        <v>2618</v>
      </c>
      <c r="F274" s="13" t="s">
        <v>6779</v>
      </c>
      <c r="G274" s="22">
        <v>40</v>
      </c>
      <c r="H274" s="22"/>
      <c r="I274" s="22"/>
      <c r="J274" s="29" t="s">
        <v>4741</v>
      </c>
      <c r="K274" s="29" t="s">
        <v>2614</v>
      </c>
      <c r="L274" s="61" t="s">
        <v>6975</v>
      </c>
      <c r="M274" s="68">
        <v>1</v>
      </c>
      <c r="N274" s="68" t="s">
        <v>2341</v>
      </c>
    </row>
    <row r="275" spans="1:14" ht="14.25" x14ac:dyDescent="0.2">
      <c r="A275" s="11" t="s">
        <v>5116</v>
      </c>
      <c r="B275" s="12" t="s">
        <v>1432</v>
      </c>
      <c r="C275" s="13" t="s">
        <v>3754</v>
      </c>
      <c r="D275" s="13" t="s">
        <v>5507</v>
      </c>
      <c r="E275" s="29" t="s">
        <v>6834</v>
      </c>
      <c r="F275" s="13" t="s">
        <v>6835</v>
      </c>
      <c r="G275" s="8">
        <v>6</v>
      </c>
      <c r="H275" s="8">
        <v>11</v>
      </c>
      <c r="I275" s="8">
        <v>9</v>
      </c>
      <c r="J275" s="29" t="s">
        <v>1258</v>
      </c>
      <c r="K275" s="29" t="s">
        <v>6836</v>
      </c>
      <c r="L275" s="61"/>
      <c r="M275" s="68">
        <v>1</v>
      </c>
      <c r="N275" s="68" t="s">
        <v>6813</v>
      </c>
    </row>
    <row r="276" spans="1:14" ht="14.25" x14ac:dyDescent="0.2">
      <c r="A276" s="11" t="s">
        <v>5116</v>
      </c>
      <c r="B276" s="12" t="s">
        <v>6974</v>
      </c>
      <c r="C276" s="13" t="s">
        <v>3754</v>
      </c>
      <c r="D276" s="13" t="s">
        <v>3754</v>
      </c>
      <c r="E276" s="29" t="s">
        <v>5117</v>
      </c>
      <c r="F276" s="13" t="s">
        <v>3754</v>
      </c>
      <c r="G276" s="22"/>
      <c r="H276" s="22">
        <v>14</v>
      </c>
      <c r="I276" s="22"/>
      <c r="J276" s="29" t="s">
        <v>5118</v>
      </c>
      <c r="K276" s="29" t="s">
        <v>5119</v>
      </c>
      <c r="L276" s="94"/>
      <c r="M276" s="68">
        <v>1</v>
      </c>
      <c r="N276" s="68" t="s">
        <v>5196</v>
      </c>
    </row>
    <row r="277" spans="1:14" ht="14.25" x14ac:dyDescent="0.2">
      <c r="A277" s="11" t="s">
        <v>5116</v>
      </c>
      <c r="B277" s="12" t="s">
        <v>7168</v>
      </c>
      <c r="C277" s="13" t="s">
        <v>3754</v>
      </c>
      <c r="D277" s="13" t="s">
        <v>3754</v>
      </c>
      <c r="E277" s="29" t="s">
        <v>7169</v>
      </c>
      <c r="F277" s="13" t="s">
        <v>7170</v>
      </c>
      <c r="G277" s="22">
        <v>9</v>
      </c>
      <c r="H277" s="22">
        <v>7</v>
      </c>
      <c r="I277" s="22"/>
      <c r="J277" s="29" t="s">
        <v>6515</v>
      </c>
      <c r="K277" s="29" t="s">
        <v>7171</v>
      </c>
      <c r="L277" s="61"/>
      <c r="M277" s="68">
        <v>1</v>
      </c>
      <c r="N277" s="68" t="s">
        <v>2341</v>
      </c>
    </row>
    <row r="278" spans="1:14" ht="14.25" x14ac:dyDescent="0.2">
      <c r="A278" s="11" t="s">
        <v>5116</v>
      </c>
      <c r="B278" s="12" t="s">
        <v>2055</v>
      </c>
      <c r="C278" s="13" t="s">
        <v>3754</v>
      </c>
      <c r="D278" s="13" t="s">
        <v>3754</v>
      </c>
      <c r="E278" s="29" t="s">
        <v>2056</v>
      </c>
      <c r="F278" s="13" t="s">
        <v>2057</v>
      </c>
      <c r="G278" s="22"/>
      <c r="H278" s="22">
        <v>7</v>
      </c>
      <c r="I278" s="22">
        <v>15</v>
      </c>
      <c r="J278" s="29" t="s">
        <v>4579</v>
      </c>
      <c r="K278" s="29" t="s">
        <v>2058</v>
      </c>
      <c r="L278" s="61"/>
      <c r="M278" s="68">
        <v>1</v>
      </c>
      <c r="N278" s="68" t="s">
        <v>2341</v>
      </c>
    </row>
    <row r="279" spans="1:14" ht="14.25" x14ac:dyDescent="0.2">
      <c r="A279" s="11" t="s">
        <v>5116</v>
      </c>
      <c r="B279" s="12" t="s">
        <v>1445</v>
      </c>
      <c r="C279" s="13" t="s">
        <v>3346</v>
      </c>
      <c r="D279" s="13" t="s">
        <v>735</v>
      </c>
      <c r="E279" s="29" t="s">
        <v>3383</v>
      </c>
      <c r="F279" s="13" t="s">
        <v>3384</v>
      </c>
      <c r="G279" s="8"/>
      <c r="H279" s="8"/>
      <c r="I279" s="8">
        <v>2</v>
      </c>
      <c r="J279" s="29" t="s">
        <v>3385</v>
      </c>
      <c r="K279" s="29" t="s">
        <v>3386</v>
      </c>
      <c r="L279" s="61"/>
      <c r="M279" s="68">
        <v>1</v>
      </c>
      <c r="N279" s="108" t="s">
        <v>3342</v>
      </c>
    </row>
    <row r="280" spans="1:14" ht="42.75" x14ac:dyDescent="0.2">
      <c r="A280" s="11" t="s">
        <v>5116</v>
      </c>
      <c r="B280" s="12" t="s">
        <v>1871</v>
      </c>
      <c r="C280" s="13" t="s">
        <v>1872</v>
      </c>
      <c r="D280" s="13" t="s">
        <v>3144</v>
      </c>
      <c r="E280" s="29" t="s">
        <v>6701</v>
      </c>
      <c r="F280" s="13" t="s">
        <v>1873</v>
      </c>
      <c r="G280" s="8">
        <v>22</v>
      </c>
      <c r="H280" s="8"/>
      <c r="I280" s="8"/>
      <c r="J280" s="29" t="s">
        <v>1874</v>
      </c>
      <c r="K280" s="29" t="s">
        <v>4753</v>
      </c>
      <c r="L280" s="94" t="s">
        <v>6702</v>
      </c>
      <c r="M280" s="68">
        <v>1</v>
      </c>
      <c r="N280" s="68" t="s">
        <v>5197</v>
      </c>
    </row>
    <row r="281" spans="1:14" ht="14.25" x14ac:dyDescent="0.2">
      <c r="A281" s="11" t="s">
        <v>6506</v>
      </c>
      <c r="B281" s="12" t="s">
        <v>7756</v>
      </c>
      <c r="C281" s="13" t="s">
        <v>3754</v>
      </c>
      <c r="D281" s="13" t="s">
        <v>3754</v>
      </c>
      <c r="E281" s="29" t="s">
        <v>60</v>
      </c>
      <c r="F281" s="13" t="s">
        <v>61</v>
      </c>
      <c r="G281" s="22">
        <v>1</v>
      </c>
      <c r="H281" s="8">
        <v>10</v>
      </c>
      <c r="I281" s="8"/>
      <c r="J281" s="29" t="s">
        <v>62</v>
      </c>
      <c r="K281" s="29" t="s">
        <v>63</v>
      </c>
      <c r="L281" s="61"/>
      <c r="M281" s="68">
        <v>1</v>
      </c>
      <c r="N281" s="68" t="s">
        <v>3476</v>
      </c>
    </row>
    <row r="282" spans="1:14" ht="14.25" x14ac:dyDescent="0.2">
      <c r="A282" s="11" t="s">
        <v>1607</v>
      </c>
      <c r="B282" s="12" t="s">
        <v>4701</v>
      </c>
      <c r="C282" s="13" t="s">
        <v>5706</v>
      </c>
      <c r="D282" s="13" t="s">
        <v>3754</v>
      </c>
      <c r="E282" s="29"/>
      <c r="F282" s="13" t="s">
        <v>1541</v>
      </c>
      <c r="G282" s="8">
        <v>33</v>
      </c>
      <c r="H282" s="8"/>
      <c r="I282" s="8"/>
      <c r="J282" s="29" t="s">
        <v>1264</v>
      </c>
      <c r="K282" s="29" t="s">
        <v>1608</v>
      </c>
      <c r="L282" s="94"/>
      <c r="M282" s="68">
        <v>1</v>
      </c>
      <c r="N282" s="68" t="s">
        <v>5195</v>
      </c>
    </row>
    <row r="283" spans="1:14" ht="14.25" x14ac:dyDescent="0.2">
      <c r="A283" s="11" t="s">
        <v>1607</v>
      </c>
      <c r="B283" s="12" t="s">
        <v>8612</v>
      </c>
      <c r="C283" s="13" t="s">
        <v>1897</v>
      </c>
      <c r="D283" s="13" t="s">
        <v>3761</v>
      </c>
      <c r="E283" s="29" t="s">
        <v>1898</v>
      </c>
      <c r="F283" s="13" t="s">
        <v>1899</v>
      </c>
      <c r="G283" s="8">
        <v>33</v>
      </c>
      <c r="H283" s="8"/>
      <c r="I283" s="8"/>
      <c r="J283" s="29" t="s">
        <v>1264</v>
      </c>
      <c r="K283" s="29" t="s">
        <v>1900</v>
      </c>
      <c r="L283" s="94"/>
      <c r="M283" s="68">
        <v>1</v>
      </c>
      <c r="N283" s="68" t="s">
        <v>5197</v>
      </c>
    </row>
    <row r="284" spans="1:14" ht="14.25" x14ac:dyDescent="0.2">
      <c r="A284" s="11" t="s">
        <v>5704</v>
      </c>
      <c r="B284" s="12" t="s">
        <v>5705</v>
      </c>
      <c r="C284" s="13" t="s">
        <v>5706</v>
      </c>
      <c r="D284" s="13" t="s">
        <v>3754</v>
      </c>
      <c r="E284" s="29" t="s">
        <v>5707</v>
      </c>
      <c r="F284" s="13" t="s">
        <v>1899</v>
      </c>
      <c r="G284" s="22">
        <v>25</v>
      </c>
      <c r="H284" s="22"/>
      <c r="I284" s="22"/>
      <c r="J284" s="29" t="s">
        <v>5708</v>
      </c>
      <c r="K284" s="29" t="s">
        <v>5709</v>
      </c>
      <c r="L284" s="61"/>
      <c r="M284" s="68">
        <v>1</v>
      </c>
      <c r="N284" s="68" t="s">
        <v>5657</v>
      </c>
    </row>
    <row r="285" spans="1:14" ht="14.25" x14ac:dyDescent="0.2">
      <c r="A285" s="11" t="s">
        <v>5704</v>
      </c>
      <c r="B285" s="12" t="s">
        <v>5478</v>
      </c>
      <c r="C285" s="13" t="s">
        <v>5706</v>
      </c>
      <c r="D285" s="13" t="s">
        <v>3754</v>
      </c>
      <c r="E285" s="29" t="s">
        <v>5479</v>
      </c>
      <c r="F285" s="13" t="s">
        <v>1899</v>
      </c>
      <c r="G285" s="22">
        <v>31</v>
      </c>
      <c r="H285" s="22"/>
      <c r="I285" s="22"/>
      <c r="J285" s="29" t="s">
        <v>1264</v>
      </c>
      <c r="K285" s="29" t="s">
        <v>5480</v>
      </c>
      <c r="L285" s="61"/>
      <c r="M285" s="68">
        <v>1</v>
      </c>
      <c r="N285" s="68" t="s">
        <v>5657</v>
      </c>
    </row>
    <row r="286" spans="1:14" ht="14.25" x14ac:dyDescent="0.2">
      <c r="A286" s="11" t="s">
        <v>3127</v>
      </c>
      <c r="B286" s="12" t="s">
        <v>3746</v>
      </c>
      <c r="C286" s="13" t="s">
        <v>3757</v>
      </c>
      <c r="D286" s="13" t="s">
        <v>3761</v>
      </c>
      <c r="E286" s="29" t="s">
        <v>3129</v>
      </c>
      <c r="F286" s="13" t="s">
        <v>3130</v>
      </c>
      <c r="G286" s="8">
        <v>50</v>
      </c>
      <c r="H286" s="8">
        <v>2</v>
      </c>
      <c r="I286" s="8"/>
      <c r="J286" s="29" t="s">
        <v>3769</v>
      </c>
      <c r="K286" s="29" t="s">
        <v>3131</v>
      </c>
      <c r="L286" s="61"/>
      <c r="M286" s="68">
        <v>1</v>
      </c>
      <c r="N286" s="68" t="s">
        <v>6813</v>
      </c>
    </row>
    <row r="287" spans="1:14" ht="14.25" x14ac:dyDescent="0.2">
      <c r="A287" s="11" t="s">
        <v>6504</v>
      </c>
      <c r="B287" s="12" t="s">
        <v>3740</v>
      </c>
      <c r="C287" s="16" t="s">
        <v>3761</v>
      </c>
      <c r="D287" s="13" t="s">
        <v>3754</v>
      </c>
      <c r="E287" s="29" t="s">
        <v>1636</v>
      </c>
      <c r="F287" s="13" t="s">
        <v>6505</v>
      </c>
      <c r="G287" s="8">
        <v>21</v>
      </c>
      <c r="H287" s="8"/>
      <c r="I287" s="8"/>
      <c r="J287" s="29" t="s">
        <v>1264</v>
      </c>
      <c r="K287" s="29" t="s">
        <v>1637</v>
      </c>
      <c r="L287" s="94"/>
      <c r="M287" s="68">
        <v>1</v>
      </c>
      <c r="N287" s="68" t="s">
        <v>5195</v>
      </c>
    </row>
    <row r="288" spans="1:14" ht="14.25" x14ac:dyDescent="0.2">
      <c r="A288" s="14" t="s">
        <v>7005</v>
      </c>
      <c r="B288" s="15" t="s">
        <v>7006</v>
      </c>
      <c r="C288" s="16" t="s">
        <v>3754</v>
      </c>
      <c r="D288" s="16"/>
      <c r="E288" s="27" t="s">
        <v>3303</v>
      </c>
      <c r="F288" s="16" t="s">
        <v>3304</v>
      </c>
      <c r="G288" s="8">
        <v>4</v>
      </c>
      <c r="H288" s="8">
        <v>9</v>
      </c>
      <c r="I288" s="8"/>
      <c r="J288" s="27" t="s">
        <v>4742</v>
      </c>
      <c r="K288" s="27" t="s">
        <v>3305</v>
      </c>
      <c r="L288" s="61"/>
      <c r="M288" s="68">
        <v>1</v>
      </c>
      <c r="N288" s="68" t="s">
        <v>3133</v>
      </c>
    </row>
    <row r="289" spans="1:14" ht="14.25" x14ac:dyDescent="0.2">
      <c r="A289" s="11" t="s">
        <v>1593</v>
      </c>
      <c r="B289" s="12" t="s">
        <v>7757</v>
      </c>
      <c r="C289" s="16" t="s">
        <v>3761</v>
      </c>
      <c r="D289" s="13" t="s">
        <v>3754</v>
      </c>
      <c r="E289" s="29" t="s">
        <v>1298</v>
      </c>
      <c r="F289" s="13" t="s">
        <v>2334</v>
      </c>
      <c r="G289" s="8">
        <v>29</v>
      </c>
      <c r="H289" s="8"/>
      <c r="I289" s="8"/>
      <c r="J289" s="29" t="s">
        <v>2335</v>
      </c>
      <c r="K289" s="29" t="s">
        <v>2331</v>
      </c>
      <c r="L289" s="61"/>
      <c r="M289" s="68">
        <v>1</v>
      </c>
      <c r="N289" s="68" t="s">
        <v>5950</v>
      </c>
    </row>
    <row r="290" spans="1:14" ht="28.5" x14ac:dyDescent="0.2">
      <c r="A290" s="11" t="s">
        <v>1593</v>
      </c>
      <c r="B290" s="12" t="s">
        <v>7757</v>
      </c>
      <c r="C290" s="16" t="s">
        <v>3761</v>
      </c>
      <c r="D290" s="13" t="s">
        <v>3754</v>
      </c>
      <c r="E290" s="29" t="s">
        <v>2332</v>
      </c>
      <c r="F290" s="13" t="s">
        <v>2330</v>
      </c>
      <c r="G290" s="8"/>
      <c r="H290" s="8">
        <v>2</v>
      </c>
      <c r="I290" s="8">
        <v>9</v>
      </c>
      <c r="J290" s="29" t="s">
        <v>2333</v>
      </c>
      <c r="K290" s="55" t="s">
        <v>2331</v>
      </c>
      <c r="L290" s="61"/>
      <c r="M290" s="68">
        <v>1</v>
      </c>
      <c r="N290" s="68" t="s">
        <v>5950</v>
      </c>
    </row>
    <row r="291" spans="1:14" ht="14.25" x14ac:dyDescent="0.2">
      <c r="A291" s="17" t="s">
        <v>1593</v>
      </c>
      <c r="B291" s="18" t="s">
        <v>3322</v>
      </c>
      <c r="C291" s="19" t="s">
        <v>3323</v>
      </c>
      <c r="D291" s="19" t="s">
        <v>3761</v>
      </c>
      <c r="E291" s="45" t="s">
        <v>3324</v>
      </c>
      <c r="F291" s="19" t="s">
        <v>3325</v>
      </c>
      <c r="G291" s="8">
        <v>45</v>
      </c>
      <c r="H291" s="8"/>
      <c r="I291" s="8"/>
      <c r="J291" s="45" t="s">
        <v>1270</v>
      </c>
      <c r="K291" s="45" t="s">
        <v>3326</v>
      </c>
      <c r="L291" s="61"/>
      <c r="M291" s="68">
        <v>1</v>
      </c>
      <c r="N291" s="68" t="s">
        <v>3133</v>
      </c>
    </row>
    <row r="292" spans="1:14" ht="14.25" x14ac:dyDescent="0.2">
      <c r="A292" s="9" t="s">
        <v>1593</v>
      </c>
      <c r="B292" s="5" t="s">
        <v>3728</v>
      </c>
      <c r="C292" s="10" t="s">
        <v>3757</v>
      </c>
      <c r="D292" s="10" t="s">
        <v>3763</v>
      </c>
      <c r="E292" s="55" t="s">
        <v>1802</v>
      </c>
      <c r="F292" s="10" t="s">
        <v>2330</v>
      </c>
      <c r="G292" s="8">
        <v>63</v>
      </c>
      <c r="H292" s="8"/>
      <c r="I292" s="8"/>
      <c r="J292" s="55" t="s">
        <v>1272</v>
      </c>
      <c r="K292" s="55" t="s">
        <v>6867</v>
      </c>
      <c r="L292" s="61"/>
      <c r="M292" s="68">
        <v>1</v>
      </c>
      <c r="N292" s="68" t="s">
        <v>6813</v>
      </c>
    </row>
    <row r="293" spans="1:14" ht="14.25" x14ac:dyDescent="0.2">
      <c r="A293" s="11" t="s">
        <v>1593</v>
      </c>
      <c r="B293" s="12" t="s">
        <v>1569</v>
      </c>
      <c r="C293" s="16" t="s">
        <v>3761</v>
      </c>
      <c r="D293" s="13" t="s">
        <v>3754</v>
      </c>
      <c r="E293" s="29" t="s">
        <v>2323</v>
      </c>
      <c r="F293" s="13" t="s">
        <v>2319</v>
      </c>
      <c r="G293" s="26">
        <v>3</v>
      </c>
      <c r="H293" s="26">
        <v>5</v>
      </c>
      <c r="I293" s="26"/>
      <c r="J293" s="29" t="s">
        <v>2324</v>
      </c>
      <c r="K293" s="29" t="s">
        <v>2325</v>
      </c>
      <c r="L293" s="61"/>
      <c r="M293" s="68">
        <v>1</v>
      </c>
      <c r="N293" s="68" t="s">
        <v>5950</v>
      </c>
    </row>
    <row r="294" spans="1:14" ht="14.25" x14ac:dyDescent="0.2">
      <c r="A294" s="14" t="s">
        <v>1593</v>
      </c>
      <c r="B294" s="15" t="s">
        <v>4685</v>
      </c>
      <c r="C294" s="16" t="s">
        <v>3757</v>
      </c>
      <c r="D294" s="16" t="s">
        <v>3761</v>
      </c>
      <c r="E294" s="27" t="s">
        <v>3472</v>
      </c>
      <c r="F294" s="16" t="s">
        <v>3473</v>
      </c>
      <c r="G294" s="26">
        <v>67</v>
      </c>
      <c r="H294" s="26"/>
      <c r="I294" s="26"/>
      <c r="J294" s="27" t="s">
        <v>3474</v>
      </c>
      <c r="K294" s="27" t="s">
        <v>3475</v>
      </c>
      <c r="L294" s="94"/>
      <c r="M294" s="68">
        <v>1</v>
      </c>
      <c r="N294" s="68" t="s">
        <v>3133</v>
      </c>
    </row>
    <row r="295" spans="1:14" ht="14.25" x14ac:dyDescent="0.2">
      <c r="A295" s="11" t="s">
        <v>1593</v>
      </c>
      <c r="B295" s="12" t="s">
        <v>4685</v>
      </c>
      <c r="C295" s="16" t="s">
        <v>3761</v>
      </c>
      <c r="D295" s="13" t="s">
        <v>3754</v>
      </c>
      <c r="E295" s="29" t="s">
        <v>2329</v>
      </c>
      <c r="F295" s="13" t="s">
        <v>2330</v>
      </c>
      <c r="G295" s="26"/>
      <c r="H295" s="26">
        <v>9</v>
      </c>
      <c r="I295" s="26"/>
      <c r="J295" s="29" t="s">
        <v>4829</v>
      </c>
      <c r="K295" s="29" t="s">
        <v>2331</v>
      </c>
      <c r="L295" s="61"/>
      <c r="M295" s="68">
        <v>1</v>
      </c>
      <c r="N295" s="68" t="s">
        <v>5950</v>
      </c>
    </row>
    <row r="296" spans="1:14" ht="14.25" x14ac:dyDescent="0.2">
      <c r="A296" s="11" t="s">
        <v>1593</v>
      </c>
      <c r="B296" s="12" t="s">
        <v>7758</v>
      </c>
      <c r="C296" s="13" t="s">
        <v>3757</v>
      </c>
      <c r="D296" s="13" t="s">
        <v>3754</v>
      </c>
      <c r="E296" s="29" t="s">
        <v>7186</v>
      </c>
      <c r="F296" s="13" t="s">
        <v>7187</v>
      </c>
      <c r="G296" s="25">
        <v>65</v>
      </c>
      <c r="H296" s="26"/>
      <c r="I296" s="26"/>
      <c r="J296" s="29"/>
      <c r="K296" s="29" t="s">
        <v>7188</v>
      </c>
      <c r="L296" s="61"/>
      <c r="M296" s="68">
        <v>1</v>
      </c>
      <c r="N296" s="68" t="s">
        <v>3476</v>
      </c>
    </row>
    <row r="297" spans="1:14" ht="14.25" x14ac:dyDescent="0.2">
      <c r="A297" s="11" t="s">
        <v>1593</v>
      </c>
      <c r="B297" s="12" t="s">
        <v>3740</v>
      </c>
      <c r="C297" s="13" t="s">
        <v>3757</v>
      </c>
      <c r="D297" s="13" t="s">
        <v>3761</v>
      </c>
      <c r="E297" s="29" t="s">
        <v>5654</v>
      </c>
      <c r="F297" s="13" t="s">
        <v>5655</v>
      </c>
      <c r="G297" s="26">
        <v>54</v>
      </c>
      <c r="H297" s="26"/>
      <c r="I297" s="26"/>
      <c r="J297" s="29" t="s">
        <v>4751</v>
      </c>
      <c r="K297" s="29" t="s">
        <v>5656</v>
      </c>
      <c r="L297" s="94"/>
      <c r="M297" s="68">
        <v>1</v>
      </c>
      <c r="N297" s="68" t="s">
        <v>5197</v>
      </c>
    </row>
    <row r="298" spans="1:14" ht="14.25" x14ac:dyDescent="0.2">
      <c r="A298" s="11" t="s">
        <v>1593</v>
      </c>
      <c r="B298" s="12" t="s">
        <v>3740</v>
      </c>
      <c r="C298" s="16" t="s">
        <v>3761</v>
      </c>
      <c r="D298" s="13" t="s">
        <v>3754</v>
      </c>
      <c r="E298" s="29" t="s">
        <v>1594</v>
      </c>
      <c r="F298" s="13" t="s">
        <v>1541</v>
      </c>
      <c r="G298" s="26"/>
      <c r="H298" s="26">
        <v>5</v>
      </c>
      <c r="I298" s="26">
        <v>15</v>
      </c>
      <c r="J298" s="29" t="s">
        <v>1595</v>
      </c>
      <c r="K298" s="29" t="s">
        <v>4775</v>
      </c>
      <c r="L298" s="94"/>
      <c r="M298" s="68">
        <v>1</v>
      </c>
      <c r="N298" s="68" t="s">
        <v>5195</v>
      </c>
    </row>
    <row r="299" spans="1:14" ht="14.25" x14ac:dyDescent="0.2">
      <c r="A299" s="11" t="s">
        <v>1593</v>
      </c>
      <c r="B299" s="12" t="s">
        <v>5712</v>
      </c>
      <c r="C299" s="13" t="s">
        <v>3757</v>
      </c>
      <c r="D299" s="13" t="s">
        <v>3754</v>
      </c>
      <c r="E299" s="29" t="s">
        <v>1781</v>
      </c>
      <c r="F299" s="13" t="s">
        <v>4662</v>
      </c>
      <c r="G299" s="25">
        <v>68</v>
      </c>
      <c r="H299" s="25"/>
      <c r="I299" s="25"/>
      <c r="J299" s="29" t="s">
        <v>1782</v>
      </c>
      <c r="K299" s="29" t="s">
        <v>1783</v>
      </c>
      <c r="L299" s="61"/>
      <c r="M299" s="68">
        <v>1</v>
      </c>
      <c r="N299" s="68" t="s">
        <v>5657</v>
      </c>
    </row>
    <row r="300" spans="1:14" ht="14.25" x14ac:dyDescent="0.2">
      <c r="A300" s="11" t="s">
        <v>1593</v>
      </c>
      <c r="B300" s="12" t="s">
        <v>3732</v>
      </c>
      <c r="C300" s="16" t="s">
        <v>3761</v>
      </c>
      <c r="D300" s="13" t="s">
        <v>3754</v>
      </c>
      <c r="E300" s="29" t="s">
        <v>1596</v>
      </c>
      <c r="F300" s="13" t="s">
        <v>1541</v>
      </c>
      <c r="G300" s="26">
        <v>25</v>
      </c>
      <c r="H300" s="26">
        <v>5</v>
      </c>
      <c r="I300" s="26"/>
      <c r="J300" s="29" t="s">
        <v>1264</v>
      </c>
      <c r="K300" s="29" t="s">
        <v>4775</v>
      </c>
      <c r="L300" s="94"/>
      <c r="M300" s="68">
        <v>1</v>
      </c>
      <c r="N300" s="68" t="s">
        <v>5195</v>
      </c>
    </row>
    <row r="301" spans="1:14" ht="14.25" x14ac:dyDescent="0.2">
      <c r="A301" s="11" t="s">
        <v>1593</v>
      </c>
      <c r="B301" s="12" t="s">
        <v>5106</v>
      </c>
      <c r="C301" s="16" t="s">
        <v>3761</v>
      </c>
      <c r="D301" s="13" t="s">
        <v>3754</v>
      </c>
      <c r="E301" s="29" t="s">
        <v>5970</v>
      </c>
      <c r="F301" s="13" t="s">
        <v>5971</v>
      </c>
      <c r="G301" s="26">
        <v>26</v>
      </c>
      <c r="H301" s="26"/>
      <c r="I301" s="26"/>
      <c r="J301" s="29" t="s">
        <v>5010</v>
      </c>
      <c r="K301" s="29" t="s">
        <v>5972</v>
      </c>
      <c r="L301" s="61"/>
      <c r="M301" s="68">
        <v>1</v>
      </c>
      <c r="N301" s="68" t="s">
        <v>5950</v>
      </c>
    </row>
    <row r="302" spans="1:14" ht="28.5" x14ac:dyDescent="0.2">
      <c r="A302" s="14" t="s">
        <v>1593</v>
      </c>
      <c r="B302" s="15" t="s">
        <v>1445</v>
      </c>
      <c r="C302" s="16" t="s">
        <v>3757</v>
      </c>
      <c r="D302" s="16" t="s">
        <v>3761</v>
      </c>
      <c r="E302" s="27" t="s">
        <v>3327</v>
      </c>
      <c r="F302" s="16" t="s">
        <v>3328</v>
      </c>
      <c r="G302" s="26">
        <v>38</v>
      </c>
      <c r="H302" s="26"/>
      <c r="I302" s="26"/>
      <c r="J302" s="27" t="s">
        <v>1658</v>
      </c>
      <c r="K302" s="27" t="s">
        <v>3329</v>
      </c>
      <c r="L302" s="61"/>
      <c r="M302" s="68">
        <v>1</v>
      </c>
      <c r="N302" s="68" t="s">
        <v>3133</v>
      </c>
    </row>
    <row r="303" spans="1:14" ht="14.25" x14ac:dyDescent="0.2">
      <c r="A303" s="11" t="s">
        <v>2066</v>
      </c>
      <c r="B303" s="12" t="s">
        <v>3728</v>
      </c>
      <c r="C303" s="13" t="s">
        <v>3754</v>
      </c>
      <c r="D303" s="13" t="s">
        <v>3754</v>
      </c>
      <c r="E303" s="29" t="s">
        <v>2067</v>
      </c>
      <c r="F303" s="13" t="s">
        <v>2068</v>
      </c>
      <c r="G303" s="25">
        <v>26</v>
      </c>
      <c r="H303" s="25"/>
      <c r="I303" s="25"/>
      <c r="J303" s="29" t="s">
        <v>1264</v>
      </c>
      <c r="K303" s="29" t="s">
        <v>2069</v>
      </c>
      <c r="L303" s="61"/>
      <c r="M303" s="68">
        <v>1</v>
      </c>
      <c r="N303" s="68" t="s">
        <v>2341</v>
      </c>
    </row>
    <row r="304" spans="1:14" ht="14.25" x14ac:dyDescent="0.2">
      <c r="A304" s="11" t="s">
        <v>2066</v>
      </c>
      <c r="B304" s="12" t="s">
        <v>5057</v>
      </c>
      <c r="C304" s="13" t="s">
        <v>3754</v>
      </c>
      <c r="D304" s="13" t="s">
        <v>3754</v>
      </c>
      <c r="E304" s="29" t="s">
        <v>53</v>
      </c>
      <c r="F304" s="13" t="s">
        <v>54</v>
      </c>
      <c r="G304" s="25"/>
      <c r="H304" s="26"/>
      <c r="I304" s="26"/>
      <c r="J304" s="29" t="s">
        <v>1270</v>
      </c>
      <c r="K304" s="29" t="s">
        <v>55</v>
      </c>
      <c r="L304" s="61"/>
      <c r="M304" s="68">
        <v>1</v>
      </c>
      <c r="N304" s="68" t="s">
        <v>3476</v>
      </c>
    </row>
    <row r="305" spans="1:14" ht="14.25" x14ac:dyDescent="0.2">
      <c r="A305" s="11" t="s">
        <v>1574</v>
      </c>
      <c r="B305" s="12" t="s">
        <v>1575</v>
      </c>
      <c r="C305" s="27" t="s">
        <v>3767</v>
      </c>
      <c r="D305" s="13" t="s">
        <v>3754</v>
      </c>
      <c r="E305" s="29" t="s">
        <v>1576</v>
      </c>
      <c r="F305" s="13" t="s">
        <v>1541</v>
      </c>
      <c r="G305" s="26">
        <v>20</v>
      </c>
      <c r="H305" s="26"/>
      <c r="I305" s="26">
        <v>11</v>
      </c>
      <c r="J305" s="29" t="s">
        <v>1264</v>
      </c>
      <c r="K305" s="29" t="s">
        <v>1577</v>
      </c>
      <c r="L305" s="94"/>
      <c r="M305" s="68">
        <v>1</v>
      </c>
      <c r="N305" s="68" t="s">
        <v>5195</v>
      </c>
    </row>
    <row r="306" spans="1:14" ht="14.25" x14ac:dyDescent="0.2">
      <c r="A306" s="14" t="s">
        <v>1551</v>
      </c>
      <c r="B306" s="15" t="s">
        <v>1837</v>
      </c>
      <c r="C306" s="16" t="s">
        <v>3757</v>
      </c>
      <c r="D306" s="16" t="s">
        <v>3140</v>
      </c>
      <c r="E306" s="27" t="s">
        <v>3137</v>
      </c>
      <c r="F306" s="16" t="s">
        <v>7003</v>
      </c>
      <c r="G306" s="26">
        <v>50</v>
      </c>
      <c r="H306" s="26"/>
      <c r="I306" s="26"/>
      <c r="J306" s="27" t="s">
        <v>1270</v>
      </c>
      <c r="K306" s="27" t="s">
        <v>7004</v>
      </c>
      <c r="L306" s="61"/>
      <c r="M306" s="68">
        <v>1</v>
      </c>
      <c r="N306" s="68" t="s">
        <v>3133</v>
      </c>
    </row>
    <row r="307" spans="1:14" ht="14.25" x14ac:dyDescent="0.2">
      <c r="A307" s="11" t="s">
        <v>1551</v>
      </c>
      <c r="B307" s="12" t="s">
        <v>1648</v>
      </c>
      <c r="C307" s="13" t="s">
        <v>3757</v>
      </c>
      <c r="D307" s="13"/>
      <c r="E307" s="29" t="s">
        <v>1649</v>
      </c>
      <c r="F307" s="13" t="s">
        <v>1650</v>
      </c>
      <c r="G307" s="26">
        <v>96</v>
      </c>
      <c r="H307" s="26"/>
      <c r="I307" s="26"/>
      <c r="J307" s="29"/>
      <c r="K307" s="29" t="s">
        <v>1651</v>
      </c>
      <c r="L307" s="94"/>
      <c r="M307" s="68">
        <v>1</v>
      </c>
      <c r="N307" s="68" t="s">
        <v>5195</v>
      </c>
    </row>
    <row r="308" spans="1:14" ht="14.25" x14ac:dyDescent="0.2">
      <c r="A308" s="11" t="s">
        <v>1551</v>
      </c>
      <c r="B308" s="12" t="s">
        <v>1552</v>
      </c>
      <c r="C308" s="16" t="s">
        <v>3761</v>
      </c>
      <c r="D308" s="13" t="s">
        <v>3754</v>
      </c>
      <c r="E308" s="29" t="s">
        <v>1553</v>
      </c>
      <c r="F308" s="13" t="s">
        <v>1541</v>
      </c>
      <c r="G308" s="26">
        <v>24</v>
      </c>
      <c r="H308" s="26"/>
      <c r="I308" s="26"/>
      <c r="J308" s="29" t="s">
        <v>1554</v>
      </c>
      <c r="K308" s="29" t="s">
        <v>1555</v>
      </c>
      <c r="L308" s="94"/>
      <c r="M308" s="68">
        <v>1</v>
      </c>
      <c r="N308" s="68" t="s">
        <v>5195</v>
      </c>
    </row>
    <row r="309" spans="1:14" ht="14.25" x14ac:dyDescent="0.2">
      <c r="A309" s="11" t="s">
        <v>1551</v>
      </c>
      <c r="B309" s="12" t="s">
        <v>1556</v>
      </c>
      <c r="C309" s="16" t="s">
        <v>3761</v>
      </c>
      <c r="D309" s="13" t="s">
        <v>3754</v>
      </c>
      <c r="E309" s="29"/>
      <c r="F309" s="13" t="s">
        <v>1557</v>
      </c>
      <c r="G309" s="26">
        <v>18</v>
      </c>
      <c r="H309" s="26"/>
      <c r="I309" s="26"/>
      <c r="J309" s="29" t="s">
        <v>1554</v>
      </c>
      <c r="K309" s="29" t="s">
        <v>1555</v>
      </c>
      <c r="L309" s="94"/>
      <c r="M309" s="68">
        <v>1</v>
      </c>
      <c r="N309" s="68" t="s">
        <v>5195</v>
      </c>
    </row>
    <row r="310" spans="1:14" ht="14.25" x14ac:dyDescent="0.2">
      <c r="A310" s="11" t="s">
        <v>1551</v>
      </c>
      <c r="B310" s="12" t="s">
        <v>1560</v>
      </c>
      <c r="C310" s="16" t="s">
        <v>3761</v>
      </c>
      <c r="D310" s="13" t="s">
        <v>3754</v>
      </c>
      <c r="E310" s="29"/>
      <c r="F310" s="13" t="s">
        <v>1557</v>
      </c>
      <c r="G310" s="26">
        <v>20</v>
      </c>
      <c r="H310" s="26"/>
      <c r="I310" s="26"/>
      <c r="J310" s="29" t="s">
        <v>1554</v>
      </c>
      <c r="K310" s="29" t="s">
        <v>1555</v>
      </c>
      <c r="L310" s="94"/>
      <c r="M310" s="68">
        <v>1</v>
      </c>
      <c r="N310" s="68" t="s">
        <v>5195</v>
      </c>
    </row>
    <row r="311" spans="1:14" ht="14.25" x14ac:dyDescent="0.2">
      <c r="A311" s="11" t="s">
        <v>1551</v>
      </c>
      <c r="B311" s="12" t="s">
        <v>1560</v>
      </c>
      <c r="C311" s="13" t="s">
        <v>3757</v>
      </c>
      <c r="D311" s="13"/>
      <c r="E311" s="29">
        <v>1861</v>
      </c>
      <c r="F311" s="13" t="s">
        <v>1650</v>
      </c>
      <c r="G311" s="26">
        <v>35</v>
      </c>
      <c r="H311" s="26"/>
      <c r="I311" s="26"/>
      <c r="J311" s="29" t="s">
        <v>1272</v>
      </c>
      <c r="K311" s="29" t="s">
        <v>1651</v>
      </c>
      <c r="L311" s="94"/>
      <c r="M311" s="68">
        <v>1</v>
      </c>
      <c r="N311" s="68" t="s">
        <v>5195</v>
      </c>
    </row>
    <row r="312" spans="1:14" ht="14.25" x14ac:dyDescent="0.2">
      <c r="A312" s="14" t="s">
        <v>1551</v>
      </c>
      <c r="B312" s="15" t="s">
        <v>5663</v>
      </c>
      <c r="C312" s="16" t="s">
        <v>3754</v>
      </c>
      <c r="D312" s="16" t="s">
        <v>3761</v>
      </c>
      <c r="E312" s="27" t="s">
        <v>3451</v>
      </c>
      <c r="F312" s="16" t="s">
        <v>3452</v>
      </c>
      <c r="G312" s="26">
        <v>16</v>
      </c>
      <c r="H312" s="26">
        <v>5</v>
      </c>
      <c r="I312" s="26"/>
      <c r="J312" s="27" t="s">
        <v>3453</v>
      </c>
      <c r="K312" s="27" t="s">
        <v>3454</v>
      </c>
      <c r="L312" s="61"/>
      <c r="M312" s="68">
        <v>1</v>
      </c>
      <c r="N312" s="68" t="s">
        <v>3133</v>
      </c>
    </row>
    <row r="313" spans="1:14" ht="14.25" x14ac:dyDescent="0.2">
      <c r="A313" s="11" t="s">
        <v>1558</v>
      </c>
      <c r="B313" s="12" t="s">
        <v>1559</v>
      </c>
      <c r="C313" s="16" t="s">
        <v>3761</v>
      </c>
      <c r="D313" s="13" t="s">
        <v>3754</v>
      </c>
      <c r="E313" s="29"/>
      <c r="F313" s="13" t="s">
        <v>1557</v>
      </c>
      <c r="G313" s="26">
        <v>3</v>
      </c>
      <c r="H313" s="26"/>
      <c r="I313" s="26"/>
      <c r="J313" s="29" t="s">
        <v>1412</v>
      </c>
      <c r="K313" s="29" t="s">
        <v>1555</v>
      </c>
      <c r="L313" s="94"/>
      <c r="M313" s="68">
        <v>1</v>
      </c>
      <c r="N313" s="68" t="s">
        <v>5195</v>
      </c>
    </row>
    <row r="314" spans="1:14" ht="14.25" x14ac:dyDescent="0.2">
      <c r="A314" s="11" t="s">
        <v>1601</v>
      </c>
      <c r="B314" s="12" t="s">
        <v>3748</v>
      </c>
      <c r="C314" s="13" t="s">
        <v>3757</v>
      </c>
      <c r="D314" s="13" t="s">
        <v>1652</v>
      </c>
      <c r="E314" s="29" t="s">
        <v>1653</v>
      </c>
      <c r="F314" s="13" t="s">
        <v>1599</v>
      </c>
      <c r="G314" s="26">
        <v>42</v>
      </c>
      <c r="H314" s="26"/>
      <c r="I314" s="26"/>
      <c r="J314" s="29" t="s">
        <v>1259</v>
      </c>
      <c r="K314" s="109" t="s">
        <v>1654</v>
      </c>
      <c r="L314" s="94"/>
      <c r="M314" s="68">
        <v>1</v>
      </c>
      <c r="N314" s="68" t="s">
        <v>5195</v>
      </c>
    </row>
    <row r="315" spans="1:14" ht="14.25" x14ac:dyDescent="0.2">
      <c r="A315" s="11" t="s">
        <v>1601</v>
      </c>
      <c r="B315" s="12" t="s">
        <v>4401</v>
      </c>
      <c r="C315" s="13" t="s">
        <v>3767</v>
      </c>
      <c r="D315" s="13" t="s">
        <v>3763</v>
      </c>
      <c r="E315" s="29" t="s">
        <v>6886</v>
      </c>
      <c r="F315" s="13" t="s">
        <v>6887</v>
      </c>
      <c r="G315" s="26">
        <v>26</v>
      </c>
      <c r="H315" s="26"/>
      <c r="I315" s="26"/>
      <c r="J315" s="29" t="s">
        <v>1264</v>
      </c>
      <c r="K315" s="29" t="s">
        <v>6888</v>
      </c>
      <c r="L315" s="61"/>
      <c r="M315" s="68">
        <v>1</v>
      </c>
      <c r="N315" s="68" t="s">
        <v>6813</v>
      </c>
    </row>
    <row r="316" spans="1:14" ht="14.25" x14ac:dyDescent="0.2">
      <c r="A316" s="11" t="s">
        <v>1601</v>
      </c>
      <c r="B316" s="12" t="s">
        <v>1851</v>
      </c>
      <c r="C316" s="13" t="s">
        <v>3754</v>
      </c>
      <c r="D316" s="13" t="s">
        <v>3754</v>
      </c>
      <c r="E316" s="29" t="s">
        <v>1852</v>
      </c>
      <c r="F316" s="13" t="s">
        <v>1853</v>
      </c>
      <c r="G316" s="25">
        <v>6</v>
      </c>
      <c r="H316" s="25">
        <v>6</v>
      </c>
      <c r="I316" s="25"/>
      <c r="J316" s="29" t="s">
        <v>1854</v>
      </c>
      <c r="K316" s="29" t="s">
        <v>1850</v>
      </c>
      <c r="L316" s="94"/>
      <c r="M316" s="68">
        <v>1</v>
      </c>
      <c r="N316" s="68" t="s">
        <v>5196</v>
      </c>
    </row>
    <row r="317" spans="1:14" ht="28.5" x14ac:dyDescent="0.2">
      <c r="A317" s="11" t="s">
        <v>1601</v>
      </c>
      <c r="B317" s="12" t="s">
        <v>4683</v>
      </c>
      <c r="C317" s="13" t="s">
        <v>3754</v>
      </c>
      <c r="D317" s="13" t="s">
        <v>6842</v>
      </c>
      <c r="E317" s="29" t="s">
        <v>6843</v>
      </c>
      <c r="F317" s="13" t="s">
        <v>6844</v>
      </c>
      <c r="G317" s="26">
        <v>11</v>
      </c>
      <c r="H317" s="26">
        <v>7</v>
      </c>
      <c r="I317" s="26"/>
      <c r="J317" s="29" t="s">
        <v>2333</v>
      </c>
      <c r="K317" s="29" t="s">
        <v>6845</v>
      </c>
      <c r="L317" s="61"/>
      <c r="M317" s="68">
        <v>1</v>
      </c>
      <c r="N317" s="68" t="s">
        <v>6813</v>
      </c>
    </row>
    <row r="318" spans="1:14" ht="28.5" x14ac:dyDescent="0.2">
      <c r="A318" s="11" t="s">
        <v>1601</v>
      </c>
      <c r="B318" s="12" t="s">
        <v>4702</v>
      </c>
      <c r="C318" s="13" t="s">
        <v>6509</v>
      </c>
      <c r="D318" s="13" t="s">
        <v>1604</v>
      </c>
      <c r="E318" s="29" t="s">
        <v>6510</v>
      </c>
      <c r="F318" s="13"/>
      <c r="G318" s="25"/>
      <c r="H318" s="25">
        <v>9</v>
      </c>
      <c r="I318" s="25"/>
      <c r="J318" s="29" t="s">
        <v>4790</v>
      </c>
      <c r="K318" s="29" t="s">
        <v>6511</v>
      </c>
      <c r="L318" s="94"/>
      <c r="M318" s="68">
        <v>1</v>
      </c>
      <c r="N318" s="68" t="s">
        <v>5196</v>
      </c>
    </row>
    <row r="319" spans="1:14" ht="14.25" x14ac:dyDescent="0.2">
      <c r="A319" s="11" t="s">
        <v>1601</v>
      </c>
      <c r="B319" s="12" t="s">
        <v>1602</v>
      </c>
      <c r="C319" s="13" t="s">
        <v>1603</v>
      </c>
      <c r="D319" s="13" t="s">
        <v>1604</v>
      </c>
      <c r="E319" s="29" t="s">
        <v>1605</v>
      </c>
      <c r="F319" s="13" t="s">
        <v>1604</v>
      </c>
      <c r="G319" s="26">
        <v>16</v>
      </c>
      <c r="H319" s="26">
        <v>4</v>
      </c>
      <c r="I319" s="26">
        <v>24</v>
      </c>
      <c r="J319" s="29" t="s">
        <v>4735</v>
      </c>
      <c r="K319" s="29" t="s">
        <v>1606</v>
      </c>
      <c r="L319" s="94"/>
      <c r="M319" s="68">
        <v>1</v>
      </c>
      <c r="N319" s="68" t="s">
        <v>5195</v>
      </c>
    </row>
    <row r="320" spans="1:14" ht="14.25" x14ac:dyDescent="0.2">
      <c r="A320" s="11" t="s">
        <v>5943</v>
      </c>
      <c r="B320" s="12" t="s">
        <v>3733</v>
      </c>
      <c r="C320" s="13" t="s">
        <v>3757</v>
      </c>
      <c r="D320" s="13" t="s">
        <v>3754</v>
      </c>
      <c r="E320" s="29" t="s">
        <v>5944</v>
      </c>
      <c r="F320" s="13" t="s">
        <v>1604</v>
      </c>
      <c r="G320" s="25">
        <v>50</v>
      </c>
      <c r="H320" s="25"/>
      <c r="I320" s="25"/>
      <c r="J320" s="29" t="s">
        <v>5945</v>
      </c>
      <c r="K320" s="29" t="s">
        <v>5946</v>
      </c>
      <c r="L320" s="61"/>
      <c r="M320" s="68">
        <v>1</v>
      </c>
      <c r="N320" s="68" t="s">
        <v>5657</v>
      </c>
    </row>
    <row r="321" spans="1:14" ht="14.25" x14ac:dyDescent="0.2">
      <c r="A321" s="11" t="s">
        <v>6915</v>
      </c>
      <c r="B321" s="12" t="s">
        <v>3740</v>
      </c>
      <c r="C321" s="13" t="s">
        <v>3757</v>
      </c>
      <c r="D321" s="13" t="s">
        <v>3754</v>
      </c>
      <c r="E321" s="29" t="s">
        <v>6916</v>
      </c>
      <c r="F321" s="13" t="s">
        <v>6917</v>
      </c>
      <c r="G321" s="26">
        <v>59</v>
      </c>
      <c r="H321" s="26"/>
      <c r="I321" s="26"/>
      <c r="J321" s="29" t="s">
        <v>1264</v>
      </c>
      <c r="K321" s="29" t="s">
        <v>5006</v>
      </c>
      <c r="L321" s="61"/>
      <c r="M321" s="68">
        <v>1</v>
      </c>
      <c r="N321" s="68" t="s">
        <v>6813</v>
      </c>
    </row>
    <row r="322" spans="1:14" ht="14.25" x14ac:dyDescent="0.2">
      <c r="A322" s="11" t="s">
        <v>1839</v>
      </c>
      <c r="B322" s="12" t="s">
        <v>1432</v>
      </c>
      <c r="C322" s="16" t="s">
        <v>3761</v>
      </c>
      <c r="D322" s="13" t="s">
        <v>2299</v>
      </c>
      <c r="E322" s="29" t="s">
        <v>2300</v>
      </c>
      <c r="F322" s="13"/>
      <c r="G322" s="26">
        <v>2</v>
      </c>
      <c r="H322" s="26"/>
      <c r="I322" s="26">
        <v>28</v>
      </c>
      <c r="J322" s="29" t="s">
        <v>2301</v>
      </c>
      <c r="K322" s="29" t="s">
        <v>2302</v>
      </c>
      <c r="L322" s="61"/>
      <c r="M322" s="68">
        <v>1</v>
      </c>
      <c r="N322" s="68" t="s">
        <v>5950</v>
      </c>
    </row>
    <row r="323" spans="1:14" ht="14.25" x14ac:dyDescent="0.2">
      <c r="A323" s="11" t="s">
        <v>1839</v>
      </c>
      <c r="B323" s="12" t="s">
        <v>1432</v>
      </c>
      <c r="C323" s="13" t="s">
        <v>3757</v>
      </c>
      <c r="D323" s="13" t="s">
        <v>3754</v>
      </c>
      <c r="E323" s="29" t="s">
        <v>1329</v>
      </c>
      <c r="F323" s="13" t="s">
        <v>3102</v>
      </c>
      <c r="G323" s="25">
        <v>51</v>
      </c>
      <c r="H323" s="25"/>
      <c r="I323" s="25"/>
      <c r="J323" s="29" t="s">
        <v>1264</v>
      </c>
      <c r="K323" s="29" t="s">
        <v>5913</v>
      </c>
      <c r="L323" s="61"/>
      <c r="M323" s="68">
        <v>1</v>
      </c>
      <c r="N323" s="68" t="s">
        <v>5657</v>
      </c>
    </row>
    <row r="324" spans="1:14" ht="14.25" x14ac:dyDescent="0.2">
      <c r="A324" s="11" t="s">
        <v>1839</v>
      </c>
      <c r="B324" s="12" t="s">
        <v>2969</v>
      </c>
      <c r="C324" s="16" t="s">
        <v>3761</v>
      </c>
      <c r="D324" s="13" t="s">
        <v>3754</v>
      </c>
      <c r="E324" s="29" t="s">
        <v>2313</v>
      </c>
      <c r="F324" s="13" t="s">
        <v>2314</v>
      </c>
      <c r="G324" s="26">
        <v>15</v>
      </c>
      <c r="H324" s="26"/>
      <c r="I324" s="26"/>
      <c r="J324" s="29" t="s">
        <v>2315</v>
      </c>
      <c r="K324" s="29" t="s">
        <v>2316</v>
      </c>
      <c r="L324" s="61"/>
      <c r="M324" s="68">
        <v>1</v>
      </c>
      <c r="N324" s="68" t="s">
        <v>5950</v>
      </c>
    </row>
    <row r="325" spans="1:14" ht="14.25" x14ac:dyDescent="0.2">
      <c r="A325" s="11" t="s">
        <v>1839</v>
      </c>
      <c r="B325" s="12" t="s">
        <v>1935</v>
      </c>
      <c r="C325" s="16" t="s">
        <v>3761</v>
      </c>
      <c r="D325" s="13" t="s">
        <v>3754</v>
      </c>
      <c r="E325" s="29" t="s">
        <v>6013</v>
      </c>
      <c r="F325" s="13" t="s">
        <v>6014</v>
      </c>
      <c r="G325" s="26">
        <v>24</v>
      </c>
      <c r="H325" s="26"/>
      <c r="I325" s="26"/>
      <c r="J325" s="29" t="s">
        <v>1264</v>
      </c>
      <c r="K325" s="29" t="s">
        <v>6015</v>
      </c>
      <c r="L325" s="61"/>
      <c r="M325" s="68">
        <v>1</v>
      </c>
      <c r="N325" s="68" t="s">
        <v>5950</v>
      </c>
    </row>
    <row r="326" spans="1:14" ht="28.5" x14ac:dyDescent="0.2">
      <c r="A326" s="11" t="s">
        <v>1839</v>
      </c>
      <c r="B326" s="12" t="s">
        <v>1428</v>
      </c>
      <c r="C326" s="13" t="s">
        <v>3757</v>
      </c>
      <c r="D326" s="13" t="s">
        <v>3761</v>
      </c>
      <c r="E326" s="29" t="s">
        <v>6703</v>
      </c>
      <c r="F326" s="13" t="s">
        <v>5644</v>
      </c>
      <c r="G326" s="26">
        <v>50</v>
      </c>
      <c r="H326" s="26"/>
      <c r="I326" s="26"/>
      <c r="J326" s="29" t="s">
        <v>1264</v>
      </c>
      <c r="K326" s="29" t="s">
        <v>5645</v>
      </c>
      <c r="L326" s="94" t="s">
        <v>6704</v>
      </c>
      <c r="M326" s="68">
        <v>1</v>
      </c>
      <c r="N326" s="68" t="s">
        <v>5197</v>
      </c>
    </row>
    <row r="327" spans="1:14" ht="14.25" x14ac:dyDescent="0.2">
      <c r="A327" s="11" t="s">
        <v>1839</v>
      </c>
      <c r="B327" s="12" t="s">
        <v>3740</v>
      </c>
      <c r="C327" s="13" t="s">
        <v>3754</v>
      </c>
      <c r="D327" s="13" t="s">
        <v>3754</v>
      </c>
      <c r="E327" s="29" t="s">
        <v>1840</v>
      </c>
      <c r="F327" s="13" t="s">
        <v>1841</v>
      </c>
      <c r="G327" s="25">
        <v>21</v>
      </c>
      <c r="H327" s="25"/>
      <c r="I327" s="25"/>
      <c r="J327" s="29" t="s">
        <v>1842</v>
      </c>
      <c r="K327" s="29" t="s">
        <v>1838</v>
      </c>
      <c r="L327" s="94"/>
      <c r="M327" s="68">
        <v>1</v>
      </c>
      <c r="N327" s="68" t="s">
        <v>5196</v>
      </c>
    </row>
    <row r="328" spans="1:14" ht="14.25" x14ac:dyDescent="0.2">
      <c r="A328" s="11" t="s">
        <v>1839</v>
      </c>
      <c r="B328" s="12" t="s">
        <v>3740</v>
      </c>
      <c r="C328" s="13" t="s">
        <v>3757</v>
      </c>
      <c r="D328" s="13" t="s">
        <v>3761</v>
      </c>
      <c r="E328" s="29" t="s">
        <v>1868</v>
      </c>
      <c r="F328" s="13" t="s">
        <v>1869</v>
      </c>
      <c r="G328" s="26">
        <v>51</v>
      </c>
      <c r="H328" s="26"/>
      <c r="I328" s="26"/>
      <c r="J328" s="29" t="s">
        <v>4751</v>
      </c>
      <c r="K328" s="29" t="s">
        <v>1870</v>
      </c>
      <c r="L328" s="94"/>
      <c r="M328" s="68">
        <v>1</v>
      </c>
      <c r="N328" s="68" t="s">
        <v>5197</v>
      </c>
    </row>
    <row r="329" spans="1:14" ht="14.25" x14ac:dyDescent="0.2">
      <c r="A329" s="11" t="s">
        <v>1839</v>
      </c>
      <c r="B329" s="12" t="s">
        <v>1648</v>
      </c>
      <c r="C329" s="13" t="s">
        <v>3757</v>
      </c>
      <c r="D329" s="13" t="s">
        <v>3754</v>
      </c>
      <c r="E329" s="29" t="s">
        <v>6862</v>
      </c>
      <c r="F329" s="13" t="s">
        <v>6863</v>
      </c>
      <c r="G329" s="26"/>
      <c r="H329" s="26"/>
      <c r="I329" s="26"/>
      <c r="J329" s="29" t="s">
        <v>6864</v>
      </c>
      <c r="K329" s="29" t="s">
        <v>6865</v>
      </c>
      <c r="L329" s="61"/>
      <c r="M329" s="68">
        <v>1</v>
      </c>
      <c r="N329" s="68" t="s">
        <v>6813</v>
      </c>
    </row>
    <row r="330" spans="1:14" ht="14.25" x14ac:dyDescent="0.2">
      <c r="A330" s="11" t="s">
        <v>1839</v>
      </c>
      <c r="B330" s="12" t="s">
        <v>7759</v>
      </c>
      <c r="C330" s="13" t="s">
        <v>3754</v>
      </c>
      <c r="D330" s="13" t="s">
        <v>3761</v>
      </c>
      <c r="E330" s="29" t="s">
        <v>6831</v>
      </c>
      <c r="F330" s="13" t="s">
        <v>6832</v>
      </c>
      <c r="G330" s="26">
        <v>2</v>
      </c>
      <c r="H330" s="26">
        <v>8</v>
      </c>
      <c r="I330" s="26"/>
      <c r="J330" s="29" t="s">
        <v>1258</v>
      </c>
      <c r="K330" s="29" t="s">
        <v>5013</v>
      </c>
      <c r="L330" s="61"/>
      <c r="M330" s="68">
        <v>1</v>
      </c>
      <c r="N330" s="68" t="s">
        <v>6813</v>
      </c>
    </row>
    <row r="331" spans="1:14" ht="14.25" x14ac:dyDescent="0.2">
      <c r="A331" s="11" t="s">
        <v>1839</v>
      </c>
      <c r="B331" s="12" t="s">
        <v>5712</v>
      </c>
      <c r="C331" s="13" t="s">
        <v>3754</v>
      </c>
      <c r="D331" s="13" t="s">
        <v>6824</v>
      </c>
      <c r="E331" s="29" t="s">
        <v>6825</v>
      </c>
      <c r="F331" s="13" t="s">
        <v>6826</v>
      </c>
      <c r="G331" s="26">
        <v>30</v>
      </c>
      <c r="H331" s="26"/>
      <c r="I331" s="26"/>
      <c r="J331" s="29" t="s">
        <v>1265</v>
      </c>
      <c r="K331" s="29" t="s">
        <v>6827</v>
      </c>
      <c r="L331" s="61"/>
      <c r="M331" s="68">
        <v>1</v>
      </c>
      <c r="N331" s="68" t="s">
        <v>6813</v>
      </c>
    </row>
    <row r="332" spans="1:14" ht="14.25" x14ac:dyDescent="0.2">
      <c r="A332" s="11" t="s">
        <v>1839</v>
      </c>
      <c r="B332" s="12" t="s">
        <v>3723</v>
      </c>
      <c r="C332" s="13" t="s">
        <v>3757</v>
      </c>
      <c r="D332" s="13" t="s">
        <v>735</v>
      </c>
      <c r="E332" s="29" t="s">
        <v>3347</v>
      </c>
      <c r="F332" s="13" t="s">
        <v>3348</v>
      </c>
      <c r="G332" s="26">
        <v>83</v>
      </c>
      <c r="H332" s="26"/>
      <c r="I332" s="26"/>
      <c r="J332" s="29" t="s">
        <v>1271</v>
      </c>
      <c r="K332" s="29" t="s">
        <v>3349</v>
      </c>
      <c r="L332" s="61"/>
      <c r="M332" s="68">
        <v>1</v>
      </c>
      <c r="N332" s="68" t="s">
        <v>3342</v>
      </c>
    </row>
    <row r="333" spans="1:14" ht="14.25" x14ac:dyDescent="0.2">
      <c r="A333" s="11" t="s">
        <v>1839</v>
      </c>
      <c r="B333" s="12" t="s">
        <v>4701</v>
      </c>
      <c r="C333" s="13" t="s">
        <v>3757</v>
      </c>
      <c r="D333" s="10" t="s">
        <v>3754</v>
      </c>
      <c r="E333" s="29" t="s">
        <v>6804</v>
      </c>
      <c r="F333" s="13" t="s">
        <v>6805</v>
      </c>
      <c r="G333" s="25">
        <v>56</v>
      </c>
      <c r="H333" s="25"/>
      <c r="I333" s="25"/>
      <c r="J333" s="29" t="s">
        <v>1259</v>
      </c>
      <c r="K333" s="29" t="s">
        <v>6806</v>
      </c>
      <c r="L333" s="61"/>
      <c r="M333" s="68">
        <v>1</v>
      </c>
      <c r="N333" s="68" t="s">
        <v>2341</v>
      </c>
    </row>
    <row r="334" spans="1:14" ht="14.25" x14ac:dyDescent="0.2">
      <c r="A334" s="9" t="s">
        <v>1839</v>
      </c>
      <c r="B334" s="5" t="s">
        <v>8612</v>
      </c>
      <c r="C334" s="10" t="s">
        <v>3757</v>
      </c>
      <c r="D334" s="10"/>
      <c r="E334" s="61" t="s">
        <v>6867</v>
      </c>
      <c r="F334" s="10" t="s">
        <v>6863</v>
      </c>
      <c r="G334" s="8"/>
      <c r="H334" s="8"/>
      <c r="I334" s="8"/>
      <c r="J334" s="55" t="s">
        <v>6864</v>
      </c>
      <c r="K334" s="61" t="s">
        <v>6865</v>
      </c>
      <c r="L334" s="61"/>
      <c r="M334" s="68">
        <v>1</v>
      </c>
      <c r="N334" s="68" t="s">
        <v>6813</v>
      </c>
    </row>
    <row r="335" spans="1:14" ht="14.25" x14ac:dyDescent="0.2">
      <c r="A335" s="9" t="s">
        <v>6868</v>
      </c>
      <c r="B335" s="5"/>
      <c r="C335" s="10"/>
      <c r="D335" s="10"/>
      <c r="E335" s="61" t="s">
        <v>6867</v>
      </c>
      <c r="F335" s="10" t="s">
        <v>6863</v>
      </c>
      <c r="G335" s="8"/>
      <c r="H335" s="8"/>
      <c r="I335" s="8"/>
      <c r="J335" s="55" t="s">
        <v>6864</v>
      </c>
      <c r="K335" s="55" t="s">
        <v>6865</v>
      </c>
      <c r="L335" s="61"/>
      <c r="M335" s="68">
        <v>1</v>
      </c>
      <c r="N335" s="68" t="s">
        <v>6813</v>
      </c>
    </row>
    <row r="336" spans="1:14" ht="14.25" x14ac:dyDescent="0.2">
      <c r="A336" s="11" t="s">
        <v>5674</v>
      </c>
      <c r="B336" s="12" t="s">
        <v>3750</v>
      </c>
      <c r="C336" s="13" t="s">
        <v>5675</v>
      </c>
      <c r="D336" s="13" t="s">
        <v>5675</v>
      </c>
      <c r="E336" s="29" t="s">
        <v>1941</v>
      </c>
      <c r="F336" s="13" t="s">
        <v>5675</v>
      </c>
      <c r="G336" s="22"/>
      <c r="H336" s="22">
        <v>3</v>
      </c>
      <c r="I336" s="22">
        <v>14</v>
      </c>
      <c r="J336" s="29" t="s">
        <v>1416</v>
      </c>
      <c r="K336" s="29" t="s">
        <v>5676</v>
      </c>
      <c r="L336" s="61"/>
      <c r="M336" s="68">
        <v>1</v>
      </c>
      <c r="N336" s="68" t="s">
        <v>5657</v>
      </c>
    </row>
    <row r="337" spans="1:14" ht="28.5" x14ac:dyDescent="0.2">
      <c r="A337" s="11" t="s">
        <v>6891</v>
      </c>
      <c r="B337" s="12" t="s">
        <v>6080</v>
      </c>
      <c r="C337" s="13" t="s">
        <v>3757</v>
      </c>
      <c r="D337" s="13" t="s">
        <v>6892</v>
      </c>
      <c r="E337" s="29" t="s">
        <v>4998</v>
      </c>
      <c r="F337" s="13" t="s">
        <v>5675</v>
      </c>
      <c r="G337" s="8">
        <v>45</v>
      </c>
      <c r="H337" s="8"/>
      <c r="I337" s="8"/>
      <c r="J337" s="29" t="s">
        <v>6893</v>
      </c>
      <c r="K337" s="29" t="s">
        <v>6894</v>
      </c>
      <c r="L337" s="61" t="s">
        <v>6704</v>
      </c>
      <c r="M337" s="68">
        <v>1</v>
      </c>
      <c r="N337" s="68" t="s">
        <v>6813</v>
      </c>
    </row>
    <row r="338" spans="1:14" ht="14.25" x14ac:dyDescent="0.2">
      <c r="A338" s="11" t="s">
        <v>1589</v>
      </c>
      <c r="B338" s="12" t="s">
        <v>5712</v>
      </c>
      <c r="C338" s="13" t="s">
        <v>3757</v>
      </c>
      <c r="D338" s="13" t="s">
        <v>3754</v>
      </c>
      <c r="E338" s="29" t="s">
        <v>2318</v>
      </c>
      <c r="F338" s="13" t="s">
        <v>2319</v>
      </c>
      <c r="G338" s="8"/>
      <c r="H338" s="8">
        <v>8</v>
      </c>
      <c r="I338" s="8">
        <v>5</v>
      </c>
      <c r="J338" s="29" t="s">
        <v>4579</v>
      </c>
      <c r="K338" s="29" t="s">
        <v>2320</v>
      </c>
      <c r="L338" s="61"/>
      <c r="M338" s="68">
        <v>1</v>
      </c>
      <c r="N338" s="68" t="s">
        <v>5950</v>
      </c>
    </row>
    <row r="339" spans="1:14" ht="14.25" x14ac:dyDescent="0.2">
      <c r="A339" s="11" t="s">
        <v>1589</v>
      </c>
      <c r="B339" s="12" t="s">
        <v>1590</v>
      </c>
      <c r="C339" s="16" t="s">
        <v>3761</v>
      </c>
      <c r="D339" s="13" t="s">
        <v>3754</v>
      </c>
      <c r="E339" s="29" t="s">
        <v>1591</v>
      </c>
      <c r="F339" s="13" t="s">
        <v>1541</v>
      </c>
      <c r="G339" s="8"/>
      <c r="H339" s="8">
        <v>5</v>
      </c>
      <c r="I339" s="8"/>
      <c r="J339" s="29" t="s">
        <v>1572</v>
      </c>
      <c r="K339" s="29" t="s">
        <v>1592</v>
      </c>
      <c r="L339" s="94"/>
      <c r="M339" s="68">
        <v>1</v>
      </c>
      <c r="N339" s="68" t="s">
        <v>5195</v>
      </c>
    </row>
    <row r="340" spans="1:14" ht="14.25" x14ac:dyDescent="0.2">
      <c r="A340" s="11" t="s">
        <v>1585</v>
      </c>
      <c r="B340" s="12" t="s">
        <v>3727</v>
      </c>
      <c r="C340" s="13" t="s">
        <v>3754</v>
      </c>
      <c r="D340" s="13" t="s">
        <v>3754</v>
      </c>
      <c r="E340" s="29" t="s">
        <v>3095</v>
      </c>
      <c r="F340" s="13" t="s">
        <v>3096</v>
      </c>
      <c r="G340" s="22">
        <v>1</v>
      </c>
      <c r="H340" s="22"/>
      <c r="I340" s="22">
        <v>18</v>
      </c>
      <c r="J340" s="29" t="s">
        <v>1258</v>
      </c>
      <c r="K340" s="29" t="s">
        <v>3097</v>
      </c>
      <c r="L340" s="61"/>
      <c r="M340" s="68">
        <v>1</v>
      </c>
      <c r="N340" s="68" t="s">
        <v>5657</v>
      </c>
    </row>
    <row r="341" spans="1:14" ht="14.25" x14ac:dyDescent="0.2">
      <c r="A341" s="11" t="s">
        <v>1585</v>
      </c>
      <c r="B341" s="12" t="s">
        <v>3740</v>
      </c>
      <c r="C341" s="13" t="s">
        <v>3757</v>
      </c>
      <c r="D341" s="13" t="s">
        <v>3754</v>
      </c>
      <c r="E341" s="29" t="s">
        <v>5685</v>
      </c>
      <c r="F341" s="13" t="s">
        <v>5686</v>
      </c>
      <c r="G341" s="22">
        <v>55</v>
      </c>
      <c r="H341" s="22"/>
      <c r="I341" s="22"/>
      <c r="J341" s="29" t="s">
        <v>4745</v>
      </c>
      <c r="K341" s="29" t="s">
        <v>5687</v>
      </c>
      <c r="L341" s="61"/>
      <c r="M341" s="68">
        <v>1</v>
      </c>
      <c r="N341" s="68" t="s">
        <v>5657</v>
      </c>
    </row>
    <row r="342" spans="1:14" ht="14.25" x14ac:dyDescent="0.2">
      <c r="A342" s="11" t="s">
        <v>1585</v>
      </c>
      <c r="B342" s="12" t="s">
        <v>3740</v>
      </c>
      <c r="C342" s="13" t="s">
        <v>3757</v>
      </c>
      <c r="D342" s="13" t="s">
        <v>1586</v>
      </c>
      <c r="E342" s="29" t="s">
        <v>1587</v>
      </c>
      <c r="F342" s="13" t="s">
        <v>1563</v>
      </c>
      <c r="G342" s="8">
        <v>72</v>
      </c>
      <c r="H342" s="8"/>
      <c r="I342" s="8"/>
      <c r="J342" s="29" t="s">
        <v>1271</v>
      </c>
      <c r="K342" s="29" t="s">
        <v>1588</v>
      </c>
      <c r="L342" s="94"/>
      <c r="M342" s="68">
        <v>1</v>
      </c>
      <c r="N342" s="68" t="s">
        <v>5195</v>
      </c>
    </row>
    <row r="343" spans="1:14" ht="14.25" x14ac:dyDescent="0.2">
      <c r="A343" s="11" t="s">
        <v>1585</v>
      </c>
      <c r="B343" s="12" t="s">
        <v>5936</v>
      </c>
      <c r="C343" s="13" t="s">
        <v>3754</v>
      </c>
      <c r="D343" s="13" t="s">
        <v>3754</v>
      </c>
      <c r="E343" s="29" t="s">
        <v>5937</v>
      </c>
      <c r="F343" s="13" t="s">
        <v>5038</v>
      </c>
      <c r="G343" s="22">
        <v>17</v>
      </c>
      <c r="H343" s="22"/>
      <c r="I343" s="22"/>
      <c r="J343" s="29" t="s">
        <v>1264</v>
      </c>
      <c r="K343" s="29" t="s">
        <v>5938</v>
      </c>
      <c r="L343" s="61"/>
      <c r="M343" s="68">
        <v>1</v>
      </c>
      <c r="N343" s="68" t="s">
        <v>5657</v>
      </c>
    </row>
    <row r="344" spans="1:14" ht="14.25" x14ac:dyDescent="0.2">
      <c r="A344" s="11" t="s">
        <v>1585</v>
      </c>
      <c r="B344" s="12" t="s">
        <v>3732</v>
      </c>
      <c r="C344" s="13" t="s">
        <v>3757</v>
      </c>
      <c r="D344" s="13" t="s">
        <v>3754</v>
      </c>
      <c r="E344" s="29"/>
      <c r="F344" s="13" t="s">
        <v>5655</v>
      </c>
      <c r="G344" s="22">
        <v>47</v>
      </c>
      <c r="H344" s="22"/>
      <c r="I344" s="22"/>
      <c r="J344" s="29" t="s">
        <v>1264</v>
      </c>
      <c r="K344" s="29" t="s">
        <v>5688</v>
      </c>
      <c r="L344" s="61"/>
      <c r="M344" s="68">
        <v>1</v>
      </c>
      <c r="N344" s="68" t="s">
        <v>5657</v>
      </c>
    </row>
    <row r="345" spans="1:14" ht="14.25" x14ac:dyDescent="0.2">
      <c r="A345" s="11" t="s">
        <v>1585</v>
      </c>
      <c r="B345" s="12" t="s">
        <v>5920</v>
      </c>
      <c r="C345" s="13" t="s">
        <v>1509</v>
      </c>
      <c r="D345" s="13" t="s">
        <v>3754</v>
      </c>
      <c r="E345" s="29"/>
      <c r="F345" s="13" t="s">
        <v>5921</v>
      </c>
      <c r="G345" s="22">
        <v>21</v>
      </c>
      <c r="H345" s="22"/>
      <c r="I345" s="22"/>
      <c r="J345" s="29" t="s">
        <v>1264</v>
      </c>
      <c r="K345" s="29" t="s">
        <v>5922</v>
      </c>
      <c r="L345" s="61"/>
      <c r="M345" s="68">
        <v>1</v>
      </c>
      <c r="N345" s="68" t="s">
        <v>5657</v>
      </c>
    </row>
    <row r="346" spans="1:14" ht="14.25" x14ac:dyDescent="0.2">
      <c r="A346" s="11" t="s">
        <v>1585</v>
      </c>
      <c r="B346" s="12" t="s">
        <v>3735</v>
      </c>
      <c r="C346" s="13" t="s">
        <v>3754</v>
      </c>
      <c r="D346" s="13" t="s">
        <v>3761</v>
      </c>
      <c r="E346" s="29" t="s">
        <v>6821</v>
      </c>
      <c r="F346" s="13" t="s">
        <v>6822</v>
      </c>
      <c r="G346" s="8">
        <v>2</v>
      </c>
      <c r="H346" s="8">
        <v>8</v>
      </c>
      <c r="I346" s="8"/>
      <c r="J346" s="29" t="s">
        <v>1412</v>
      </c>
      <c r="K346" s="29" t="s">
        <v>6823</v>
      </c>
      <c r="L346" s="61"/>
      <c r="M346" s="68">
        <v>1</v>
      </c>
      <c r="N346" s="68" t="s">
        <v>6813</v>
      </c>
    </row>
    <row r="347" spans="1:14" ht="14.25" x14ac:dyDescent="0.2">
      <c r="A347" s="11" t="s">
        <v>2081</v>
      </c>
      <c r="B347" s="12" t="s">
        <v>6800</v>
      </c>
      <c r="C347" s="13" t="s">
        <v>3754</v>
      </c>
      <c r="D347" s="13" t="s">
        <v>3754</v>
      </c>
      <c r="E347" s="29" t="s">
        <v>6801</v>
      </c>
      <c r="F347" s="13" t="s">
        <v>6802</v>
      </c>
      <c r="G347" s="22">
        <v>19</v>
      </c>
      <c r="H347" s="22"/>
      <c r="I347" s="22"/>
      <c r="J347" s="29" t="s">
        <v>1264</v>
      </c>
      <c r="K347" s="29" t="s">
        <v>6803</v>
      </c>
      <c r="L347" s="61"/>
      <c r="M347" s="68">
        <v>1</v>
      </c>
      <c r="N347" s="68" t="s">
        <v>2341</v>
      </c>
    </row>
    <row r="348" spans="1:14" ht="14.25" x14ac:dyDescent="0.2">
      <c r="A348" s="11" t="s">
        <v>2081</v>
      </c>
      <c r="B348" s="12" t="s">
        <v>1445</v>
      </c>
      <c r="C348" s="13" t="s">
        <v>3757</v>
      </c>
      <c r="D348" s="13" t="s">
        <v>3754</v>
      </c>
      <c r="E348" s="29" t="s">
        <v>2082</v>
      </c>
      <c r="F348" s="13" t="s">
        <v>2083</v>
      </c>
      <c r="G348" s="22">
        <v>48</v>
      </c>
      <c r="H348" s="22"/>
      <c r="I348" s="22"/>
      <c r="J348" s="29" t="s">
        <v>6573</v>
      </c>
      <c r="K348" s="29" t="s">
        <v>2084</v>
      </c>
      <c r="L348" s="61"/>
      <c r="M348" s="68">
        <v>1</v>
      </c>
      <c r="N348" s="68" t="s">
        <v>2341</v>
      </c>
    </row>
    <row r="349" spans="1:14" ht="14.25" x14ac:dyDescent="0.2">
      <c r="A349" s="11" t="s">
        <v>5137</v>
      </c>
      <c r="B349" s="12" t="s">
        <v>3740</v>
      </c>
      <c r="C349" s="13" t="s">
        <v>3757</v>
      </c>
      <c r="D349" s="13" t="s">
        <v>3754</v>
      </c>
      <c r="E349" s="29" t="s">
        <v>4765</v>
      </c>
      <c r="F349" s="13" t="s">
        <v>3754</v>
      </c>
      <c r="G349" s="22">
        <v>68</v>
      </c>
      <c r="H349" s="22"/>
      <c r="I349" s="22"/>
      <c r="J349" s="29" t="s">
        <v>5138</v>
      </c>
      <c r="K349" s="29" t="s">
        <v>5139</v>
      </c>
      <c r="L349" s="94"/>
      <c r="M349" s="68">
        <v>1</v>
      </c>
      <c r="N349" s="68" t="s">
        <v>5196</v>
      </c>
    </row>
    <row r="350" spans="1:14" ht="14.25" x14ac:dyDescent="0.2">
      <c r="A350" s="11" t="s">
        <v>1631</v>
      </c>
      <c r="B350" s="12" t="s">
        <v>6785</v>
      </c>
      <c r="C350" s="13" t="s">
        <v>3757</v>
      </c>
      <c r="D350" s="13" t="s">
        <v>3754</v>
      </c>
      <c r="E350" s="29" t="s">
        <v>6981</v>
      </c>
      <c r="F350" s="13" t="s">
        <v>6982</v>
      </c>
      <c r="G350" s="22">
        <v>50</v>
      </c>
      <c r="H350" s="8"/>
      <c r="I350" s="8"/>
      <c r="J350" s="29" t="s">
        <v>4732</v>
      </c>
      <c r="K350" s="29" t="s">
        <v>6983</v>
      </c>
      <c r="L350" s="61"/>
      <c r="M350" s="68">
        <v>1</v>
      </c>
      <c r="N350" s="68" t="s">
        <v>3476</v>
      </c>
    </row>
    <row r="351" spans="1:14" ht="14.25" x14ac:dyDescent="0.2">
      <c r="A351" s="11" t="s">
        <v>1631</v>
      </c>
      <c r="B351" s="12" t="s">
        <v>3734</v>
      </c>
      <c r="C351" s="13" t="s">
        <v>3757</v>
      </c>
      <c r="D351" s="13" t="s">
        <v>3754</v>
      </c>
      <c r="E351" s="29"/>
      <c r="F351" s="13" t="s">
        <v>3754</v>
      </c>
      <c r="G351" s="22">
        <v>74</v>
      </c>
      <c r="H351" s="22"/>
      <c r="I351" s="22"/>
      <c r="J351" s="29"/>
      <c r="K351" s="29" t="s">
        <v>1838</v>
      </c>
      <c r="L351" s="94"/>
      <c r="M351" s="68">
        <v>1</v>
      </c>
      <c r="N351" s="68" t="s">
        <v>5196</v>
      </c>
    </row>
    <row r="352" spans="1:14" ht="14.25" x14ac:dyDescent="0.2">
      <c r="A352" s="14" t="s">
        <v>1631</v>
      </c>
      <c r="B352" s="15" t="s">
        <v>3724</v>
      </c>
      <c r="C352" s="16" t="s">
        <v>3754</v>
      </c>
      <c r="D352" s="16" t="s">
        <v>3761</v>
      </c>
      <c r="E352" s="27" t="s">
        <v>3310</v>
      </c>
      <c r="F352" s="16" t="s">
        <v>3311</v>
      </c>
      <c r="G352" s="8">
        <v>40</v>
      </c>
      <c r="H352" s="8"/>
      <c r="I352" s="8"/>
      <c r="J352" s="27" t="s">
        <v>1264</v>
      </c>
      <c r="K352" s="27" t="s">
        <v>3312</v>
      </c>
      <c r="L352" s="61"/>
      <c r="M352" s="68">
        <v>1</v>
      </c>
      <c r="N352" s="68" t="s">
        <v>3133</v>
      </c>
    </row>
    <row r="353" spans="1:14" ht="14.25" x14ac:dyDescent="0.2">
      <c r="A353" s="11" t="s">
        <v>1631</v>
      </c>
      <c r="B353" s="12" t="s">
        <v>1837</v>
      </c>
      <c r="C353" s="13" t="s">
        <v>3757</v>
      </c>
      <c r="D353" s="13" t="s">
        <v>3754</v>
      </c>
      <c r="E353" s="29"/>
      <c r="F353" s="13" t="s">
        <v>3754</v>
      </c>
      <c r="G353" s="22">
        <v>16</v>
      </c>
      <c r="H353" s="22"/>
      <c r="I353" s="22">
        <v>13</v>
      </c>
      <c r="J353" s="29"/>
      <c r="K353" s="29" t="s">
        <v>1838</v>
      </c>
      <c r="L353" s="94"/>
      <c r="M353" s="68">
        <v>1</v>
      </c>
      <c r="N353" s="68" t="s">
        <v>5196</v>
      </c>
    </row>
    <row r="354" spans="1:14" ht="14.25" x14ac:dyDescent="0.2">
      <c r="A354" s="11" t="s">
        <v>1631</v>
      </c>
      <c r="B354" s="12" t="s">
        <v>1837</v>
      </c>
      <c r="C354" s="13" t="s">
        <v>3757</v>
      </c>
      <c r="D354" s="13" t="s">
        <v>3754</v>
      </c>
      <c r="E354" s="29"/>
      <c r="F354" s="13" t="s">
        <v>3754</v>
      </c>
      <c r="G354" s="22">
        <v>75</v>
      </c>
      <c r="H354" s="22"/>
      <c r="I354" s="22"/>
      <c r="J354" s="29"/>
      <c r="K354" s="29" t="s">
        <v>1838</v>
      </c>
      <c r="L354" s="94"/>
      <c r="M354" s="68">
        <v>1</v>
      </c>
      <c r="N354" s="68" t="s">
        <v>5196</v>
      </c>
    </row>
    <row r="355" spans="1:14" ht="14.25" x14ac:dyDescent="0.2">
      <c r="A355" s="11" t="s">
        <v>1631</v>
      </c>
      <c r="B355" s="12" t="s">
        <v>1809</v>
      </c>
      <c r="C355" s="13" t="s">
        <v>3754</v>
      </c>
      <c r="D355" s="13" t="s">
        <v>3754</v>
      </c>
      <c r="E355" s="29" t="s">
        <v>6984</v>
      </c>
      <c r="F355" s="13" t="s">
        <v>6853</v>
      </c>
      <c r="G355" s="22">
        <v>1</v>
      </c>
      <c r="H355" s="8">
        <v>3</v>
      </c>
      <c r="I355" s="8">
        <v>14</v>
      </c>
      <c r="J355" s="29" t="s">
        <v>1412</v>
      </c>
      <c r="K355" s="29" t="s">
        <v>6985</v>
      </c>
      <c r="L355" s="61"/>
      <c r="M355" s="68">
        <v>1</v>
      </c>
      <c r="N355" s="68" t="s">
        <v>3476</v>
      </c>
    </row>
    <row r="356" spans="1:14" ht="14.25" x14ac:dyDescent="0.2">
      <c r="A356" s="11" t="s">
        <v>1631</v>
      </c>
      <c r="B356" s="12" t="s">
        <v>7017</v>
      </c>
      <c r="C356" s="13" t="s">
        <v>3754</v>
      </c>
      <c r="D356" s="13" t="s">
        <v>3761</v>
      </c>
      <c r="E356" s="29" t="s">
        <v>6852</v>
      </c>
      <c r="F356" s="13" t="s">
        <v>6853</v>
      </c>
      <c r="G356" s="8"/>
      <c r="H356" s="8">
        <v>9</v>
      </c>
      <c r="I356" s="8"/>
      <c r="J356" s="29" t="s">
        <v>1258</v>
      </c>
      <c r="K356" s="29" t="s">
        <v>6854</v>
      </c>
      <c r="L356" s="61"/>
      <c r="M356" s="68">
        <v>1</v>
      </c>
      <c r="N356" s="68" t="s">
        <v>6813</v>
      </c>
    </row>
    <row r="357" spans="1:14" ht="14.25" x14ac:dyDescent="0.2">
      <c r="A357" s="11" t="s">
        <v>1631</v>
      </c>
      <c r="B357" s="12" t="s">
        <v>1632</v>
      </c>
      <c r="C357" s="16" t="s">
        <v>3761</v>
      </c>
      <c r="D357" s="13" t="s">
        <v>3754</v>
      </c>
      <c r="E357" s="29" t="s">
        <v>1633</v>
      </c>
      <c r="F357" s="13" t="s">
        <v>1634</v>
      </c>
      <c r="G357" s="8">
        <v>17</v>
      </c>
      <c r="H357" s="8"/>
      <c r="I357" s="8"/>
      <c r="J357" s="29" t="s">
        <v>8624</v>
      </c>
      <c r="K357" s="29" t="s">
        <v>1635</v>
      </c>
      <c r="L357" s="94"/>
      <c r="M357" s="68">
        <v>1</v>
      </c>
      <c r="N357" s="68" t="s">
        <v>5195</v>
      </c>
    </row>
    <row r="358" spans="1:14" ht="14.25" x14ac:dyDescent="0.2">
      <c r="A358" s="11" t="s">
        <v>1631</v>
      </c>
      <c r="B358" s="12" t="s">
        <v>6080</v>
      </c>
      <c r="C358" s="13" t="s">
        <v>3754</v>
      </c>
      <c r="D358" s="13" t="s">
        <v>3761</v>
      </c>
      <c r="E358" s="29" t="s">
        <v>6898</v>
      </c>
      <c r="F358" s="13" t="s">
        <v>6853</v>
      </c>
      <c r="G358" s="8">
        <v>1</v>
      </c>
      <c r="H358" s="8">
        <v>8</v>
      </c>
      <c r="I358" s="8">
        <v>26</v>
      </c>
      <c r="J358" s="29" t="s">
        <v>4790</v>
      </c>
      <c r="K358" s="29" t="s">
        <v>6899</v>
      </c>
      <c r="L358" s="61"/>
      <c r="M358" s="68">
        <v>1</v>
      </c>
      <c r="N358" s="68" t="s">
        <v>6813</v>
      </c>
    </row>
    <row r="359" spans="1:14" ht="14.25" x14ac:dyDescent="0.2">
      <c r="A359" s="11" t="s">
        <v>1631</v>
      </c>
      <c r="B359" s="12" t="s">
        <v>3740</v>
      </c>
      <c r="C359" s="13" t="s">
        <v>3757</v>
      </c>
      <c r="D359" s="13" t="s">
        <v>3754</v>
      </c>
      <c r="E359" s="29"/>
      <c r="F359" s="13" t="s">
        <v>3754</v>
      </c>
      <c r="G359" s="22">
        <v>29</v>
      </c>
      <c r="H359" s="22"/>
      <c r="I359" s="22"/>
      <c r="J359" s="29"/>
      <c r="K359" s="29" t="s">
        <v>1838</v>
      </c>
      <c r="L359" s="94"/>
      <c r="M359" s="68">
        <v>1</v>
      </c>
      <c r="N359" s="68" t="s">
        <v>5196</v>
      </c>
    </row>
    <row r="360" spans="1:14" ht="14.25" x14ac:dyDescent="0.2">
      <c r="A360" s="11" t="s">
        <v>1631</v>
      </c>
      <c r="B360" s="12" t="s">
        <v>3723</v>
      </c>
      <c r="C360" s="13" t="s">
        <v>3757</v>
      </c>
      <c r="D360" s="13" t="s">
        <v>3754</v>
      </c>
      <c r="E360" s="29"/>
      <c r="F360" s="13" t="s">
        <v>3754</v>
      </c>
      <c r="G360" s="22">
        <v>50</v>
      </c>
      <c r="H360" s="22"/>
      <c r="I360" s="22"/>
      <c r="J360" s="29"/>
      <c r="K360" s="29" t="s">
        <v>1838</v>
      </c>
      <c r="L360" s="94"/>
      <c r="M360" s="68">
        <v>1</v>
      </c>
      <c r="N360" s="68" t="s">
        <v>5196</v>
      </c>
    </row>
    <row r="361" spans="1:14" ht="28.5" x14ac:dyDescent="0.2">
      <c r="A361" s="11" t="s">
        <v>1631</v>
      </c>
      <c r="B361" s="12" t="s">
        <v>2055</v>
      </c>
      <c r="C361" s="16" t="s">
        <v>3761</v>
      </c>
      <c r="D361" s="13" t="s">
        <v>3754</v>
      </c>
      <c r="E361" s="29" t="s">
        <v>2282</v>
      </c>
      <c r="F361" s="13" t="s">
        <v>2283</v>
      </c>
      <c r="G361" s="8">
        <v>7</v>
      </c>
      <c r="H361" s="8">
        <v>2</v>
      </c>
      <c r="I361" s="8"/>
      <c r="J361" s="29" t="s">
        <v>7319</v>
      </c>
      <c r="K361" s="29" t="s">
        <v>2284</v>
      </c>
      <c r="L361" s="61" t="s">
        <v>2285</v>
      </c>
      <c r="M361" s="68">
        <v>1</v>
      </c>
      <c r="N361" s="68" t="s">
        <v>5950</v>
      </c>
    </row>
    <row r="362" spans="1:14" ht="14.25" x14ac:dyDescent="0.2">
      <c r="A362" s="11" t="s">
        <v>1631</v>
      </c>
      <c r="B362" s="12" t="s">
        <v>4701</v>
      </c>
      <c r="C362" s="13" t="s">
        <v>3757</v>
      </c>
      <c r="D362" s="13" t="s">
        <v>3754</v>
      </c>
      <c r="E362" s="29"/>
      <c r="F362" s="13" t="s">
        <v>3754</v>
      </c>
      <c r="G362" s="22">
        <v>55</v>
      </c>
      <c r="H362" s="22"/>
      <c r="I362" s="22"/>
      <c r="J362" s="29"/>
      <c r="K362" s="29" t="s">
        <v>1838</v>
      </c>
      <c r="L362" s="94"/>
      <c r="M362" s="68">
        <v>1</v>
      </c>
      <c r="N362" s="68" t="s">
        <v>5196</v>
      </c>
    </row>
    <row r="363" spans="1:14" ht="14.25" x14ac:dyDescent="0.2">
      <c r="A363" s="11" t="s">
        <v>1631</v>
      </c>
      <c r="B363" s="12" t="s">
        <v>1445</v>
      </c>
      <c r="C363" s="13" t="s">
        <v>3754</v>
      </c>
      <c r="D363" s="13" t="s">
        <v>3761</v>
      </c>
      <c r="E363" s="29" t="s">
        <v>5637</v>
      </c>
      <c r="F363" s="13" t="s">
        <v>5638</v>
      </c>
      <c r="G363" s="8">
        <v>58</v>
      </c>
      <c r="H363" s="8"/>
      <c r="I363" s="8"/>
      <c r="J363" s="29" t="s">
        <v>5639</v>
      </c>
      <c r="K363" s="29" t="s">
        <v>5640</v>
      </c>
      <c r="L363" s="94"/>
      <c r="M363" s="68">
        <v>1</v>
      </c>
      <c r="N363" s="68" t="s">
        <v>5197</v>
      </c>
    </row>
    <row r="364" spans="1:14" ht="14.25" x14ac:dyDescent="0.2">
      <c r="A364" s="14" t="s">
        <v>1568</v>
      </c>
      <c r="B364" s="15" t="s">
        <v>3424</v>
      </c>
      <c r="C364" s="16" t="s">
        <v>3768</v>
      </c>
      <c r="D364" s="16" t="s">
        <v>3425</v>
      </c>
      <c r="E364" s="27" t="s">
        <v>3426</v>
      </c>
      <c r="F364" s="16" t="s">
        <v>3427</v>
      </c>
      <c r="G364" s="8">
        <v>6</v>
      </c>
      <c r="H364" s="8"/>
      <c r="I364" s="8"/>
      <c r="J364" s="27" t="s">
        <v>7319</v>
      </c>
      <c r="K364" s="27" t="s">
        <v>3426</v>
      </c>
      <c r="L364" s="61"/>
      <c r="M364" s="68">
        <v>1</v>
      </c>
      <c r="N364" s="68" t="s">
        <v>3133</v>
      </c>
    </row>
    <row r="365" spans="1:14" ht="14.25" x14ac:dyDescent="0.2">
      <c r="A365" s="11" t="s">
        <v>1568</v>
      </c>
      <c r="B365" s="12" t="s">
        <v>1569</v>
      </c>
      <c r="C365" s="13" t="s">
        <v>3757</v>
      </c>
      <c r="D365" s="13" t="s">
        <v>1570</v>
      </c>
      <c r="E365" s="29" t="s">
        <v>1571</v>
      </c>
      <c r="F365" s="13" t="s">
        <v>1570</v>
      </c>
      <c r="G365" s="8">
        <v>65</v>
      </c>
      <c r="H365" s="8"/>
      <c r="I365" s="8"/>
      <c r="J365" s="29" t="s">
        <v>1572</v>
      </c>
      <c r="K365" s="29" t="s">
        <v>1573</v>
      </c>
      <c r="L365" s="94"/>
      <c r="M365" s="68">
        <v>1</v>
      </c>
      <c r="N365" s="68" t="s">
        <v>5195</v>
      </c>
    </row>
    <row r="366" spans="1:14" ht="14.25" x14ac:dyDescent="0.2">
      <c r="A366" s="11" t="s">
        <v>5698</v>
      </c>
      <c r="B366" s="12" t="s">
        <v>5472</v>
      </c>
      <c r="C366" s="13" t="s">
        <v>3754</v>
      </c>
      <c r="D366" s="13" t="s">
        <v>5699</v>
      </c>
      <c r="E366" s="29" t="s">
        <v>3087</v>
      </c>
      <c r="F366" s="13" t="s">
        <v>3088</v>
      </c>
      <c r="G366" s="22">
        <v>38</v>
      </c>
      <c r="H366" s="22"/>
      <c r="I366" s="22"/>
      <c r="J366" s="29" t="s">
        <v>1259</v>
      </c>
      <c r="K366" s="29" t="s">
        <v>3089</v>
      </c>
      <c r="L366" s="61"/>
      <c r="M366" s="68">
        <v>1</v>
      </c>
      <c r="N366" s="68" t="s">
        <v>5657</v>
      </c>
    </row>
    <row r="367" spans="1:14" ht="14.25" x14ac:dyDescent="0.2">
      <c r="A367" s="11" t="s">
        <v>5698</v>
      </c>
      <c r="B367" s="12" t="s">
        <v>3746</v>
      </c>
      <c r="C367" s="13" t="s">
        <v>5699</v>
      </c>
      <c r="D367" s="13" t="s">
        <v>5699</v>
      </c>
      <c r="E367" s="29" t="s">
        <v>5678</v>
      </c>
      <c r="F367" s="13" t="s">
        <v>5700</v>
      </c>
      <c r="G367" s="22">
        <v>3</v>
      </c>
      <c r="H367" s="22"/>
      <c r="I367" s="22"/>
      <c r="J367" s="29" t="s">
        <v>8624</v>
      </c>
      <c r="K367" s="29" t="s">
        <v>5701</v>
      </c>
      <c r="L367" s="61"/>
      <c r="M367" s="68">
        <v>1</v>
      </c>
      <c r="N367" s="68" t="s">
        <v>5657</v>
      </c>
    </row>
    <row r="368" spans="1:14" ht="14.25" x14ac:dyDescent="0.2">
      <c r="A368" s="11" t="s">
        <v>1940</v>
      </c>
      <c r="B368" s="12" t="s">
        <v>4701</v>
      </c>
      <c r="C368" s="13" t="s">
        <v>3757</v>
      </c>
      <c r="D368" s="13" t="s">
        <v>3761</v>
      </c>
      <c r="E368" s="29" t="s">
        <v>1941</v>
      </c>
      <c r="F368" s="13" t="s">
        <v>1728</v>
      </c>
      <c r="G368" s="8">
        <v>54</v>
      </c>
      <c r="H368" s="8"/>
      <c r="I368" s="8"/>
      <c r="J368" s="29" t="s">
        <v>1264</v>
      </c>
      <c r="K368" s="29" t="s">
        <v>1285</v>
      </c>
      <c r="L368" s="94"/>
      <c r="M368" s="68">
        <v>1</v>
      </c>
      <c r="N368" s="68" t="s">
        <v>5197</v>
      </c>
    </row>
    <row r="369" spans="1:14" ht="14.25" x14ac:dyDescent="0.2">
      <c r="A369" s="11" t="s">
        <v>2290</v>
      </c>
      <c r="B369" s="12" t="s">
        <v>1432</v>
      </c>
      <c r="C369" s="13" t="s">
        <v>3757</v>
      </c>
      <c r="D369" s="13"/>
      <c r="E369" s="29" t="s">
        <v>2292</v>
      </c>
      <c r="F369" s="13" t="s">
        <v>2293</v>
      </c>
      <c r="G369" s="8">
        <v>86</v>
      </c>
      <c r="H369" s="8"/>
      <c r="I369" s="8"/>
      <c r="J369" s="29" t="s">
        <v>1271</v>
      </c>
      <c r="K369" s="29" t="s">
        <v>2294</v>
      </c>
      <c r="L369" s="61"/>
      <c r="M369" s="68">
        <v>1</v>
      </c>
      <c r="N369" s="68" t="s">
        <v>5950</v>
      </c>
    </row>
    <row r="370" spans="1:14" ht="14.25" x14ac:dyDescent="0.2">
      <c r="A370" s="11" t="s">
        <v>6008</v>
      </c>
      <c r="B370" s="12" t="s">
        <v>5073</v>
      </c>
      <c r="C370" s="16" t="s">
        <v>3761</v>
      </c>
      <c r="D370" s="13" t="s">
        <v>3754</v>
      </c>
      <c r="E370" s="29" t="s">
        <v>6006</v>
      </c>
      <c r="F370" s="13" t="s">
        <v>1950</v>
      </c>
      <c r="G370" s="8">
        <v>2</v>
      </c>
      <c r="H370" s="8"/>
      <c r="I370" s="8"/>
      <c r="J370" s="29" t="s">
        <v>6010</v>
      </c>
      <c r="K370" s="29" t="s">
        <v>6011</v>
      </c>
      <c r="L370" s="61"/>
      <c r="M370" s="68">
        <v>1</v>
      </c>
      <c r="N370" s="68" t="s">
        <v>5950</v>
      </c>
    </row>
    <row r="371" spans="1:14" ht="14.25" x14ac:dyDescent="0.2">
      <c r="A371" s="11" t="s">
        <v>6807</v>
      </c>
      <c r="B371" s="12" t="s">
        <v>5073</v>
      </c>
      <c r="C371" s="13" t="s">
        <v>3754</v>
      </c>
      <c r="D371" s="13" t="s">
        <v>3754</v>
      </c>
      <c r="E371" s="29" t="s">
        <v>6808</v>
      </c>
      <c r="F371" s="13" t="s">
        <v>6809</v>
      </c>
      <c r="G371" s="22">
        <v>27</v>
      </c>
      <c r="H371" s="22"/>
      <c r="I371" s="22"/>
      <c r="J371" s="29" t="s">
        <v>1264</v>
      </c>
      <c r="K371" s="29" t="s">
        <v>6810</v>
      </c>
      <c r="L371" s="61"/>
      <c r="M371" s="68">
        <v>1</v>
      </c>
      <c r="N371" s="68" t="s">
        <v>2341</v>
      </c>
    </row>
    <row r="372" spans="1:14" ht="14.25" x14ac:dyDescent="0.2">
      <c r="A372" s="14" t="s">
        <v>3392</v>
      </c>
      <c r="B372" s="15" t="s">
        <v>3433</v>
      </c>
      <c r="C372" s="16" t="s">
        <v>3754</v>
      </c>
      <c r="D372" s="16"/>
      <c r="E372" s="27" t="s">
        <v>3434</v>
      </c>
      <c r="F372" s="16" t="s">
        <v>3435</v>
      </c>
      <c r="G372" s="8">
        <v>16</v>
      </c>
      <c r="H372" s="8"/>
      <c r="I372" s="8"/>
      <c r="J372" s="27" t="s">
        <v>1264</v>
      </c>
      <c r="K372" s="27" t="s">
        <v>3436</v>
      </c>
      <c r="L372" s="61"/>
      <c r="M372" s="68">
        <v>1</v>
      </c>
      <c r="N372" s="68" t="s">
        <v>3133</v>
      </c>
    </row>
    <row r="373" spans="1:14" ht="14.25" x14ac:dyDescent="0.2">
      <c r="A373" s="14" t="s">
        <v>3392</v>
      </c>
      <c r="B373" s="15" t="s">
        <v>4701</v>
      </c>
      <c r="C373" s="16" t="s">
        <v>3757</v>
      </c>
      <c r="D373" s="13" t="s">
        <v>3754</v>
      </c>
      <c r="E373" s="27" t="s">
        <v>3393</v>
      </c>
      <c r="F373" s="16" t="s">
        <v>3394</v>
      </c>
      <c r="G373" s="8">
        <v>58</v>
      </c>
      <c r="H373" s="8"/>
      <c r="I373" s="8"/>
      <c r="J373" s="27" t="s">
        <v>3395</v>
      </c>
      <c r="K373" s="27" t="s">
        <v>3396</v>
      </c>
      <c r="L373" s="61"/>
      <c r="M373" s="68">
        <v>1</v>
      </c>
      <c r="N373" s="68" t="s">
        <v>3133</v>
      </c>
    </row>
    <row r="374" spans="1:14" ht="14.25" x14ac:dyDescent="0.2">
      <c r="A374" s="11" t="s">
        <v>3392</v>
      </c>
      <c r="B374" s="12" t="s">
        <v>3733</v>
      </c>
      <c r="C374" s="13" t="s">
        <v>3757</v>
      </c>
      <c r="D374" s="13" t="s">
        <v>3754</v>
      </c>
      <c r="E374" s="29" t="s">
        <v>3681</v>
      </c>
      <c r="F374" s="13" t="s">
        <v>3682</v>
      </c>
      <c r="G374" s="22">
        <v>56</v>
      </c>
      <c r="H374" s="8"/>
      <c r="I374" s="8"/>
      <c r="J374" s="29" t="s">
        <v>3683</v>
      </c>
      <c r="K374" s="29" t="s">
        <v>3684</v>
      </c>
      <c r="L374" s="61"/>
      <c r="M374" s="68">
        <v>1</v>
      </c>
      <c r="N374" s="68" t="s">
        <v>3476</v>
      </c>
    </row>
    <row r="375" spans="1:14" ht="14.25" x14ac:dyDescent="0.2">
      <c r="A375" s="11" t="s">
        <v>1627</v>
      </c>
      <c r="B375" s="12" t="s">
        <v>5073</v>
      </c>
      <c r="C375" s="13" t="s">
        <v>3757</v>
      </c>
      <c r="D375" s="13" t="s">
        <v>3754</v>
      </c>
      <c r="E375" s="29" t="s">
        <v>1628</v>
      </c>
      <c r="F375" s="13" t="s">
        <v>1629</v>
      </c>
      <c r="G375" s="8">
        <v>37</v>
      </c>
      <c r="H375" s="8"/>
      <c r="I375" s="8"/>
      <c r="J375" s="29" t="s">
        <v>8624</v>
      </c>
      <c r="K375" s="29" t="s">
        <v>1630</v>
      </c>
      <c r="L375" s="94"/>
      <c r="M375" s="68">
        <v>1</v>
      </c>
      <c r="N375" s="68" t="s">
        <v>5195</v>
      </c>
    </row>
    <row r="376" spans="1:14" ht="14.25" x14ac:dyDescent="0.2">
      <c r="A376" s="11" t="s">
        <v>5140</v>
      </c>
      <c r="B376" s="12" t="s">
        <v>1883</v>
      </c>
      <c r="C376" s="13" t="s">
        <v>3754</v>
      </c>
      <c r="D376" s="13" t="s">
        <v>3761</v>
      </c>
      <c r="E376" s="29" t="s">
        <v>8590</v>
      </c>
      <c r="F376" s="13" t="s">
        <v>1884</v>
      </c>
      <c r="G376" s="8"/>
      <c r="H376" s="8">
        <v>4</v>
      </c>
      <c r="I376" s="8">
        <v>27</v>
      </c>
      <c r="J376" s="29" t="s">
        <v>1254</v>
      </c>
      <c r="K376" s="29" t="s">
        <v>1405</v>
      </c>
      <c r="L376" s="94"/>
      <c r="M376" s="68">
        <v>1</v>
      </c>
      <c r="N376" s="68" t="s">
        <v>5197</v>
      </c>
    </row>
    <row r="377" spans="1:14" ht="14.25" x14ac:dyDescent="0.2">
      <c r="A377" s="9" t="s">
        <v>5140</v>
      </c>
      <c r="B377" s="5" t="s">
        <v>1549</v>
      </c>
      <c r="C377" s="10" t="s">
        <v>3754</v>
      </c>
      <c r="D377" s="10" t="s">
        <v>3761</v>
      </c>
      <c r="E377" s="61" t="s">
        <v>1926</v>
      </c>
      <c r="F377" s="10" t="s">
        <v>1927</v>
      </c>
      <c r="G377" s="8"/>
      <c r="H377" s="8">
        <v>1</v>
      </c>
      <c r="I377" s="8">
        <v>7</v>
      </c>
      <c r="J377" s="55" t="s">
        <v>1928</v>
      </c>
      <c r="K377" s="55" t="s">
        <v>1929</v>
      </c>
      <c r="L377" s="94"/>
      <c r="M377" s="68">
        <v>1</v>
      </c>
      <c r="N377" s="68" t="s">
        <v>5197</v>
      </c>
    </row>
    <row r="378" spans="1:14" ht="14.25" x14ac:dyDescent="0.2">
      <c r="A378" s="9" t="s">
        <v>5140</v>
      </c>
      <c r="B378" s="5" t="s">
        <v>3723</v>
      </c>
      <c r="C378" s="10" t="s">
        <v>3754</v>
      </c>
      <c r="D378" s="10" t="s">
        <v>3754</v>
      </c>
      <c r="E378" s="55" t="s">
        <v>5141</v>
      </c>
      <c r="F378" s="10" t="s">
        <v>5142</v>
      </c>
      <c r="G378" s="22"/>
      <c r="H378" s="22">
        <v>6</v>
      </c>
      <c r="I378" s="22">
        <v>21</v>
      </c>
      <c r="J378" s="55" t="s">
        <v>4829</v>
      </c>
      <c r="K378" s="55" t="s">
        <v>1376</v>
      </c>
      <c r="L378" s="94"/>
      <c r="M378" s="68">
        <v>1</v>
      </c>
      <c r="N378" s="68" t="s">
        <v>5196</v>
      </c>
    </row>
    <row r="379" spans="1:14" ht="14.25" x14ac:dyDescent="0.2">
      <c r="A379" s="11" t="s">
        <v>1875</v>
      </c>
      <c r="B379" s="12" t="s">
        <v>3723</v>
      </c>
      <c r="C379" s="13" t="s">
        <v>4712</v>
      </c>
      <c r="D379" s="13" t="s">
        <v>3761</v>
      </c>
      <c r="E379" s="29" t="s">
        <v>1876</v>
      </c>
      <c r="F379" s="13" t="s">
        <v>1877</v>
      </c>
      <c r="G379" s="26">
        <v>34</v>
      </c>
      <c r="H379" s="26"/>
      <c r="I379" s="26"/>
      <c r="J379" s="29" t="s">
        <v>1272</v>
      </c>
      <c r="K379" s="29" t="s">
        <v>1878</v>
      </c>
      <c r="L379" s="95"/>
      <c r="M379" s="68">
        <v>1</v>
      </c>
      <c r="N379" s="68" t="s">
        <v>5197</v>
      </c>
    </row>
    <row r="380" spans="1:14" ht="14.25" x14ac:dyDescent="0.2">
      <c r="A380" s="11" t="s">
        <v>6796</v>
      </c>
      <c r="B380" s="12" t="s">
        <v>3723</v>
      </c>
      <c r="C380" s="13" t="s">
        <v>3757</v>
      </c>
      <c r="D380" s="13" t="s">
        <v>3754</v>
      </c>
      <c r="E380" s="29" t="s">
        <v>6797</v>
      </c>
      <c r="F380" s="13" t="s">
        <v>6798</v>
      </c>
      <c r="G380" s="25">
        <v>31</v>
      </c>
      <c r="H380" s="25"/>
      <c r="I380" s="25"/>
      <c r="J380" s="29" t="s">
        <v>1264</v>
      </c>
      <c r="K380" s="29" t="s">
        <v>6799</v>
      </c>
      <c r="L380" s="29"/>
      <c r="M380" s="68">
        <v>1</v>
      </c>
      <c r="N380" s="68" t="s">
        <v>2341</v>
      </c>
    </row>
    <row r="381" spans="1:14" ht="14.25" x14ac:dyDescent="0.2">
      <c r="A381" s="11" t="s">
        <v>3669</v>
      </c>
      <c r="B381" s="12" t="s">
        <v>7760</v>
      </c>
      <c r="C381" s="13" t="s">
        <v>3754</v>
      </c>
      <c r="D381" s="13" t="s">
        <v>3754</v>
      </c>
      <c r="E381" s="29" t="s">
        <v>3670</v>
      </c>
      <c r="F381" s="13" t="s">
        <v>3671</v>
      </c>
      <c r="G381" s="25"/>
      <c r="H381" s="26">
        <v>7</v>
      </c>
      <c r="I381" s="26"/>
      <c r="J381" s="29" t="s">
        <v>1258</v>
      </c>
      <c r="K381" s="29" t="s">
        <v>3672</v>
      </c>
      <c r="L381" s="29"/>
      <c r="M381" s="68">
        <v>1</v>
      </c>
      <c r="N381" s="68" t="s">
        <v>3476</v>
      </c>
    </row>
    <row r="382" spans="1:14" ht="14.25" x14ac:dyDescent="0.2">
      <c r="A382" s="11" t="s">
        <v>3313</v>
      </c>
      <c r="B382" s="12" t="s">
        <v>3728</v>
      </c>
      <c r="C382" s="13" t="s">
        <v>3757</v>
      </c>
      <c r="D382" s="13" t="s">
        <v>3754</v>
      </c>
      <c r="E382" s="29" t="s">
        <v>7189</v>
      </c>
      <c r="F382" s="13" t="s">
        <v>5206</v>
      </c>
      <c r="G382" s="25">
        <v>48</v>
      </c>
      <c r="H382" s="26"/>
      <c r="I382" s="26"/>
      <c r="J382" s="29" t="s">
        <v>1277</v>
      </c>
      <c r="K382" s="29" t="s">
        <v>7190</v>
      </c>
      <c r="L382" s="29"/>
      <c r="M382" s="68">
        <v>1</v>
      </c>
      <c r="N382" s="68" t="s">
        <v>3476</v>
      </c>
    </row>
    <row r="383" spans="1:14" ht="14.25" x14ac:dyDescent="0.2">
      <c r="A383" s="14" t="s">
        <v>3313</v>
      </c>
      <c r="B383" s="15" t="s">
        <v>3314</v>
      </c>
      <c r="C383" s="16" t="s">
        <v>3315</v>
      </c>
      <c r="D383" s="16"/>
      <c r="E383" s="27" t="s">
        <v>3316</v>
      </c>
      <c r="F383" s="16" t="s">
        <v>3317</v>
      </c>
      <c r="G383" s="26">
        <v>12</v>
      </c>
      <c r="H383" s="26"/>
      <c r="I383" s="26"/>
      <c r="J383" s="27" t="s">
        <v>7319</v>
      </c>
      <c r="K383" s="27" t="s">
        <v>3318</v>
      </c>
      <c r="L383" s="29"/>
      <c r="M383" s="68">
        <v>1</v>
      </c>
      <c r="N383" s="68" t="s">
        <v>3133</v>
      </c>
    </row>
    <row r="384" spans="1:14" ht="14.25" x14ac:dyDescent="0.2">
      <c r="A384" s="14" t="s">
        <v>1952</v>
      </c>
      <c r="B384" s="15" t="s">
        <v>1432</v>
      </c>
      <c r="C384" s="16" t="s">
        <v>3757</v>
      </c>
      <c r="D384" s="16" t="s">
        <v>3761</v>
      </c>
      <c r="E384" s="27" t="s">
        <v>3334</v>
      </c>
      <c r="F384" s="16" t="s">
        <v>3335</v>
      </c>
      <c r="G384" s="26">
        <v>82</v>
      </c>
      <c r="H384" s="26"/>
      <c r="I384" s="26"/>
      <c r="J384" s="27" t="s">
        <v>3336</v>
      </c>
      <c r="K384" s="27" t="s">
        <v>3337</v>
      </c>
      <c r="L384" s="29"/>
      <c r="M384" s="68">
        <v>1</v>
      </c>
      <c r="N384" s="68" t="s">
        <v>3133</v>
      </c>
    </row>
    <row r="385" spans="1:14" ht="14.25" x14ac:dyDescent="0.2">
      <c r="A385" s="14" t="s">
        <v>1952</v>
      </c>
      <c r="B385" s="15" t="s">
        <v>1809</v>
      </c>
      <c r="C385" s="16" t="s">
        <v>3757</v>
      </c>
      <c r="D385" s="16" t="s">
        <v>3761</v>
      </c>
      <c r="E385" s="27" t="s">
        <v>3430</v>
      </c>
      <c r="F385" s="16" t="s">
        <v>3431</v>
      </c>
      <c r="G385" s="26">
        <v>54</v>
      </c>
      <c r="H385" s="26"/>
      <c r="I385" s="26"/>
      <c r="J385" s="27" t="s">
        <v>1788</v>
      </c>
      <c r="K385" s="27" t="s">
        <v>3432</v>
      </c>
      <c r="L385" s="29"/>
      <c r="M385" s="68">
        <v>1</v>
      </c>
      <c r="N385" s="68" t="s">
        <v>3133</v>
      </c>
    </row>
    <row r="386" spans="1:14" ht="14.25" x14ac:dyDescent="0.2">
      <c r="A386" s="14" t="s">
        <v>1952</v>
      </c>
      <c r="B386" s="15" t="s">
        <v>4908</v>
      </c>
      <c r="C386" s="16" t="s">
        <v>3757</v>
      </c>
      <c r="D386" s="16" t="s">
        <v>3761</v>
      </c>
      <c r="E386" s="27" t="s">
        <v>5654</v>
      </c>
      <c r="F386" s="16" t="s">
        <v>3449</v>
      </c>
      <c r="G386" s="26">
        <v>69</v>
      </c>
      <c r="H386" s="26"/>
      <c r="I386" s="26"/>
      <c r="J386" s="27" t="s">
        <v>1265</v>
      </c>
      <c r="K386" s="27" t="s">
        <v>3450</v>
      </c>
      <c r="L386" s="29"/>
      <c r="M386" s="68">
        <v>1</v>
      </c>
      <c r="N386" s="68" t="s">
        <v>3133</v>
      </c>
    </row>
    <row r="387" spans="1:14" ht="14.25" x14ac:dyDescent="0.2">
      <c r="A387" s="11" t="s">
        <v>1952</v>
      </c>
      <c r="B387" s="12" t="s">
        <v>3723</v>
      </c>
      <c r="C387" s="13" t="s">
        <v>3757</v>
      </c>
      <c r="D387" s="13" t="s">
        <v>3754</v>
      </c>
      <c r="E387" s="29" t="s">
        <v>6912</v>
      </c>
      <c r="F387" s="13" t="s">
        <v>1796</v>
      </c>
      <c r="G387" s="26">
        <v>27</v>
      </c>
      <c r="H387" s="26"/>
      <c r="I387" s="26"/>
      <c r="J387" s="29" t="s">
        <v>1264</v>
      </c>
      <c r="K387" s="29" t="s">
        <v>1797</v>
      </c>
      <c r="L387" s="29"/>
      <c r="M387" s="68">
        <v>1</v>
      </c>
      <c r="N387" s="68" t="s">
        <v>6813</v>
      </c>
    </row>
    <row r="388" spans="1:14" ht="28.5" x14ac:dyDescent="0.2">
      <c r="A388" s="11" t="s">
        <v>1952</v>
      </c>
      <c r="B388" s="12" t="s">
        <v>3723</v>
      </c>
      <c r="C388" s="13" t="s">
        <v>3757</v>
      </c>
      <c r="D388" s="13" t="s">
        <v>1953</v>
      </c>
      <c r="E388" s="29"/>
      <c r="F388" s="13"/>
      <c r="G388" s="26">
        <v>70</v>
      </c>
      <c r="H388" s="26"/>
      <c r="I388" s="26"/>
      <c r="J388" s="29" t="s">
        <v>1259</v>
      </c>
      <c r="K388" s="29" t="s">
        <v>1954</v>
      </c>
      <c r="L388" s="95"/>
      <c r="M388" s="68">
        <v>1</v>
      </c>
      <c r="N388" s="68" t="s">
        <v>5197</v>
      </c>
    </row>
    <row r="389" spans="1:14" ht="14.25" x14ac:dyDescent="0.2">
      <c r="A389" s="11" t="s">
        <v>1952</v>
      </c>
      <c r="B389" s="12" t="s">
        <v>4701</v>
      </c>
      <c r="C389" s="13" t="s">
        <v>3757</v>
      </c>
      <c r="D389" s="13" t="s">
        <v>3754</v>
      </c>
      <c r="E389" s="29" t="s">
        <v>2090</v>
      </c>
      <c r="F389" s="13" t="s">
        <v>2091</v>
      </c>
      <c r="G389" s="25">
        <v>52</v>
      </c>
      <c r="H389" s="25"/>
      <c r="I389" s="25"/>
      <c r="J389" s="29" t="s">
        <v>2092</v>
      </c>
      <c r="K389" s="29" t="s">
        <v>4932</v>
      </c>
      <c r="L389" s="29"/>
      <c r="M389" s="68">
        <v>1</v>
      </c>
      <c r="N389" s="68" t="s">
        <v>2341</v>
      </c>
    </row>
    <row r="390" spans="1:14" ht="14.25" x14ac:dyDescent="0.2">
      <c r="A390" s="11" t="s">
        <v>1952</v>
      </c>
      <c r="B390" s="12" t="s">
        <v>5929</v>
      </c>
      <c r="C390" s="13" t="s">
        <v>3754</v>
      </c>
      <c r="D390" s="13" t="s">
        <v>3754</v>
      </c>
      <c r="E390" s="29" t="s">
        <v>5930</v>
      </c>
      <c r="F390" s="13" t="s">
        <v>5931</v>
      </c>
      <c r="G390" s="25">
        <v>20</v>
      </c>
      <c r="H390" s="25"/>
      <c r="I390" s="25"/>
      <c r="J390" s="29" t="s">
        <v>1264</v>
      </c>
      <c r="K390" s="29" t="s">
        <v>5932</v>
      </c>
      <c r="L390" s="29"/>
      <c r="M390" s="68">
        <v>1</v>
      </c>
      <c r="N390" s="68" t="s">
        <v>5657</v>
      </c>
    </row>
    <row r="391" spans="1:14" ht="14.25" x14ac:dyDescent="0.2">
      <c r="A391" s="11" t="s">
        <v>1952</v>
      </c>
      <c r="B391" s="12" t="s">
        <v>3733</v>
      </c>
      <c r="C391" s="13" t="s">
        <v>3757</v>
      </c>
      <c r="D391" s="13" t="s">
        <v>5952</v>
      </c>
      <c r="E391" s="29" t="s">
        <v>5953</v>
      </c>
      <c r="F391" s="13" t="s">
        <v>5954</v>
      </c>
      <c r="G391" s="26">
        <v>63</v>
      </c>
      <c r="H391" s="26"/>
      <c r="I391" s="26"/>
      <c r="J391" s="29" t="s">
        <v>5955</v>
      </c>
      <c r="K391" s="29" t="s">
        <v>8607</v>
      </c>
      <c r="L391" s="29"/>
      <c r="M391" s="68">
        <v>1</v>
      </c>
      <c r="N391" s="68" t="s">
        <v>5950</v>
      </c>
    </row>
    <row r="392" spans="1:14" ht="14.25" x14ac:dyDescent="0.2">
      <c r="A392" s="11" t="s">
        <v>1952</v>
      </c>
      <c r="B392" s="12" t="s">
        <v>3733</v>
      </c>
      <c r="C392" s="13" t="s">
        <v>3754</v>
      </c>
      <c r="D392" s="13" t="s">
        <v>3761</v>
      </c>
      <c r="E392" s="29" t="s">
        <v>8588</v>
      </c>
      <c r="F392" s="13" t="s">
        <v>6840</v>
      </c>
      <c r="G392" s="26"/>
      <c r="H392" s="26"/>
      <c r="I392" s="26">
        <v>6</v>
      </c>
      <c r="J392" s="29" t="s">
        <v>4579</v>
      </c>
      <c r="K392" s="29" t="s">
        <v>6841</v>
      </c>
      <c r="L392" s="29"/>
      <c r="M392" s="68">
        <v>1</v>
      </c>
      <c r="N392" s="68" t="s">
        <v>6813</v>
      </c>
    </row>
    <row r="393" spans="1:14" ht="14.25" x14ac:dyDescent="0.2">
      <c r="A393" s="14" t="s">
        <v>1952</v>
      </c>
      <c r="B393" s="15" t="s">
        <v>1445</v>
      </c>
      <c r="C393" s="16" t="s">
        <v>3757</v>
      </c>
      <c r="D393" s="16" t="s">
        <v>3761</v>
      </c>
      <c r="E393" s="27" t="s">
        <v>3428</v>
      </c>
      <c r="F393" s="16" t="s">
        <v>3429</v>
      </c>
      <c r="G393" s="26">
        <v>34</v>
      </c>
      <c r="H393" s="26"/>
      <c r="I393" s="26"/>
      <c r="J393" s="27" t="s">
        <v>1264</v>
      </c>
      <c r="K393" s="27" t="s">
        <v>3430</v>
      </c>
      <c r="L393" s="29"/>
      <c r="M393" s="68">
        <v>1</v>
      </c>
      <c r="N393" s="68" t="s">
        <v>3133</v>
      </c>
    </row>
    <row r="394" spans="1:14" ht="28.5" x14ac:dyDescent="0.2">
      <c r="A394" s="11" t="s">
        <v>5973</v>
      </c>
      <c r="B394" s="12" t="s">
        <v>7761</v>
      </c>
      <c r="C394" s="16" t="s">
        <v>3761</v>
      </c>
      <c r="D394" s="13" t="s">
        <v>3754</v>
      </c>
      <c r="E394" s="29" t="s">
        <v>7002</v>
      </c>
      <c r="F394" s="13" t="s">
        <v>5974</v>
      </c>
      <c r="G394" s="26">
        <v>31</v>
      </c>
      <c r="H394" s="26"/>
      <c r="I394" s="26"/>
      <c r="J394" s="29" t="s">
        <v>1255</v>
      </c>
      <c r="K394" s="29" t="s">
        <v>5975</v>
      </c>
      <c r="L394" s="29" t="s">
        <v>6704</v>
      </c>
      <c r="M394" s="68">
        <v>1</v>
      </c>
      <c r="N394" s="68" t="s">
        <v>5950</v>
      </c>
    </row>
    <row r="395" spans="1:14" ht="14.25" x14ac:dyDescent="0.2">
      <c r="A395" s="11" t="s">
        <v>5973</v>
      </c>
      <c r="B395" s="12" t="s">
        <v>4685</v>
      </c>
      <c r="C395" s="13" t="s">
        <v>3757</v>
      </c>
      <c r="D395" s="13" t="s">
        <v>3754</v>
      </c>
      <c r="E395" s="29" t="s">
        <v>2112</v>
      </c>
      <c r="F395" s="13" t="s">
        <v>2113</v>
      </c>
      <c r="G395" s="25">
        <v>43</v>
      </c>
      <c r="H395" s="26"/>
      <c r="I395" s="26"/>
      <c r="J395" s="29" t="s">
        <v>2114</v>
      </c>
      <c r="K395" s="29" t="s">
        <v>2115</v>
      </c>
      <c r="L395" s="29"/>
      <c r="M395" s="68">
        <v>1</v>
      </c>
      <c r="N395" s="68" t="s">
        <v>3476</v>
      </c>
    </row>
    <row r="396" spans="1:14" ht="28.5" x14ac:dyDescent="0.2">
      <c r="A396" s="11" t="s">
        <v>5973</v>
      </c>
      <c r="B396" s="12" t="s">
        <v>4685</v>
      </c>
      <c r="C396" s="13" t="s">
        <v>3757</v>
      </c>
      <c r="D396" s="13" t="s">
        <v>735</v>
      </c>
      <c r="E396" s="29" t="s">
        <v>3360</v>
      </c>
      <c r="F396" s="13" t="s">
        <v>3361</v>
      </c>
      <c r="G396" s="26">
        <v>50</v>
      </c>
      <c r="H396" s="26"/>
      <c r="I396" s="26"/>
      <c r="J396" s="29" t="s">
        <v>3362</v>
      </c>
      <c r="K396" s="29" t="s">
        <v>3360</v>
      </c>
      <c r="L396" s="29"/>
      <c r="M396" s="68">
        <v>1</v>
      </c>
      <c r="N396" s="108" t="s">
        <v>3342</v>
      </c>
    </row>
    <row r="397" spans="1:14" ht="14.25" x14ac:dyDescent="0.2">
      <c r="A397" s="11" t="s">
        <v>5973</v>
      </c>
      <c r="B397" s="12" t="s">
        <v>3740</v>
      </c>
      <c r="C397" s="13" t="s">
        <v>3754</v>
      </c>
      <c r="D397" s="13" t="s">
        <v>3754</v>
      </c>
      <c r="E397" s="29" t="s">
        <v>66</v>
      </c>
      <c r="F397" s="13" t="s">
        <v>67</v>
      </c>
      <c r="G397" s="25">
        <v>42</v>
      </c>
      <c r="H397" s="26"/>
      <c r="I397" s="26"/>
      <c r="J397" s="29" t="s">
        <v>1264</v>
      </c>
      <c r="K397" s="29" t="s">
        <v>2106</v>
      </c>
      <c r="L397" s="29"/>
      <c r="M397" s="68">
        <v>1</v>
      </c>
      <c r="N397" s="68" t="s">
        <v>3476</v>
      </c>
    </row>
    <row r="398" spans="1:14" ht="14.25" x14ac:dyDescent="0.2">
      <c r="A398" s="14" t="s">
        <v>5973</v>
      </c>
      <c r="B398" s="15" t="s">
        <v>3740</v>
      </c>
      <c r="C398" s="16" t="s">
        <v>3757</v>
      </c>
      <c r="D398" s="16" t="s">
        <v>3761</v>
      </c>
      <c r="E398" s="27" t="s">
        <v>3404</v>
      </c>
      <c r="F398" s="16" t="s">
        <v>3405</v>
      </c>
      <c r="G398" s="26">
        <v>72</v>
      </c>
      <c r="H398" s="26"/>
      <c r="I398" s="26"/>
      <c r="J398" s="27" t="s">
        <v>3406</v>
      </c>
      <c r="K398" s="27" t="s">
        <v>3403</v>
      </c>
      <c r="L398" s="29"/>
      <c r="M398" s="68">
        <v>1</v>
      </c>
      <c r="N398" s="68" t="s">
        <v>3133</v>
      </c>
    </row>
    <row r="399" spans="1:14" ht="14.25" x14ac:dyDescent="0.2">
      <c r="A399" s="11" t="s">
        <v>5973</v>
      </c>
      <c r="B399" s="12" t="s">
        <v>5057</v>
      </c>
      <c r="C399" s="13" t="s">
        <v>3346</v>
      </c>
      <c r="D399" s="13" t="s">
        <v>735</v>
      </c>
      <c r="E399" s="29" t="s">
        <v>3353</v>
      </c>
      <c r="F399" s="13" t="s">
        <v>3357</v>
      </c>
      <c r="G399" s="26">
        <v>22</v>
      </c>
      <c r="H399" s="26"/>
      <c r="I399" s="26"/>
      <c r="J399" s="29" t="s">
        <v>1264</v>
      </c>
      <c r="K399" s="29" t="s">
        <v>3356</v>
      </c>
      <c r="L399" s="29"/>
      <c r="M399" s="68">
        <v>1</v>
      </c>
      <c r="N399" s="108" t="s">
        <v>3342</v>
      </c>
    </row>
    <row r="400" spans="1:14" ht="14.25" x14ac:dyDescent="0.2">
      <c r="A400" s="11" t="s">
        <v>5973</v>
      </c>
      <c r="B400" s="12" t="s">
        <v>2055</v>
      </c>
      <c r="C400" s="13" t="s">
        <v>3346</v>
      </c>
      <c r="D400" s="13" t="s">
        <v>735</v>
      </c>
      <c r="E400" s="29" t="s">
        <v>1525</v>
      </c>
      <c r="F400" s="13" t="s">
        <v>3363</v>
      </c>
      <c r="G400" s="26">
        <v>1</v>
      </c>
      <c r="H400" s="26">
        <v>3</v>
      </c>
      <c r="I400" s="26"/>
      <c r="J400" s="29" t="s">
        <v>1277</v>
      </c>
      <c r="K400" s="29" t="s">
        <v>3364</v>
      </c>
      <c r="L400" s="29"/>
      <c r="M400" s="68">
        <v>1</v>
      </c>
      <c r="N400" s="108" t="s">
        <v>3342</v>
      </c>
    </row>
    <row r="401" spans="1:14" ht="14.25" x14ac:dyDescent="0.2">
      <c r="A401" s="14" t="s">
        <v>5973</v>
      </c>
      <c r="B401" s="15" t="s">
        <v>3733</v>
      </c>
      <c r="C401" s="16" t="s">
        <v>7161</v>
      </c>
      <c r="D401" s="16" t="s">
        <v>7162</v>
      </c>
      <c r="E401" s="27" t="s">
        <v>3410</v>
      </c>
      <c r="F401" s="16" t="s">
        <v>7163</v>
      </c>
      <c r="G401" s="26">
        <v>3</v>
      </c>
      <c r="H401" s="26">
        <v>5</v>
      </c>
      <c r="I401" s="26"/>
      <c r="J401" s="27" t="s">
        <v>7319</v>
      </c>
      <c r="K401" s="27" t="s">
        <v>3411</v>
      </c>
      <c r="L401" s="29"/>
      <c r="M401" s="68">
        <v>1</v>
      </c>
      <c r="N401" s="68" t="s">
        <v>3133</v>
      </c>
    </row>
    <row r="402" spans="1:14" ht="14.25" x14ac:dyDescent="0.2">
      <c r="A402" s="14" t="s">
        <v>1779</v>
      </c>
      <c r="B402" s="15" t="s">
        <v>3727</v>
      </c>
      <c r="C402" s="16" t="s">
        <v>3757</v>
      </c>
      <c r="D402" s="16" t="s">
        <v>3761</v>
      </c>
      <c r="E402" s="27" t="s">
        <v>3437</v>
      </c>
      <c r="F402" s="16" t="s">
        <v>3438</v>
      </c>
      <c r="G402" s="26">
        <v>29</v>
      </c>
      <c r="H402" s="26"/>
      <c r="I402" s="26"/>
      <c r="J402" s="27" t="s">
        <v>1264</v>
      </c>
      <c r="K402" s="27" t="s">
        <v>1340</v>
      </c>
      <c r="L402" s="29"/>
      <c r="M402" s="68">
        <v>1</v>
      </c>
      <c r="N402" s="68" t="s">
        <v>3133</v>
      </c>
    </row>
    <row r="403" spans="1:14" ht="14.25" x14ac:dyDescent="0.2">
      <c r="A403" s="11" t="s">
        <v>1779</v>
      </c>
      <c r="B403" s="12" t="s">
        <v>7762</v>
      </c>
      <c r="C403" s="16" t="s">
        <v>3761</v>
      </c>
      <c r="D403" s="13" t="s">
        <v>3754</v>
      </c>
      <c r="E403" s="29" t="s">
        <v>5997</v>
      </c>
      <c r="F403" s="13" t="s">
        <v>5998</v>
      </c>
      <c r="G403" s="26">
        <v>19</v>
      </c>
      <c r="H403" s="26"/>
      <c r="I403" s="26"/>
      <c r="J403" s="29" t="s">
        <v>5999</v>
      </c>
      <c r="K403" s="29" t="s">
        <v>6000</v>
      </c>
      <c r="L403" s="29"/>
      <c r="M403" s="68">
        <v>1</v>
      </c>
      <c r="N403" s="68" t="s">
        <v>5950</v>
      </c>
    </row>
    <row r="404" spans="1:14" ht="14.25" x14ac:dyDescent="0.2">
      <c r="A404" s="11" t="s">
        <v>1779</v>
      </c>
      <c r="B404" s="12" t="s">
        <v>3723</v>
      </c>
      <c r="C404" s="13"/>
      <c r="D404" s="13" t="s">
        <v>3754</v>
      </c>
      <c r="E404" s="29" t="s">
        <v>7183</v>
      </c>
      <c r="F404" s="13" t="s">
        <v>7184</v>
      </c>
      <c r="G404" s="25">
        <v>40</v>
      </c>
      <c r="H404" s="26"/>
      <c r="I404" s="26"/>
      <c r="J404" s="29" t="s">
        <v>1264</v>
      </c>
      <c r="K404" s="29" t="s">
        <v>7185</v>
      </c>
      <c r="L404" s="29"/>
      <c r="M404" s="68">
        <v>1</v>
      </c>
      <c r="N404" s="68" t="s">
        <v>3476</v>
      </c>
    </row>
    <row r="405" spans="1:14" ht="14.25" x14ac:dyDescent="0.2">
      <c r="A405" s="11" t="s">
        <v>1779</v>
      </c>
      <c r="B405" s="12" t="s">
        <v>3746</v>
      </c>
      <c r="C405" s="13" t="s">
        <v>3757</v>
      </c>
      <c r="D405" s="13" t="s">
        <v>3754</v>
      </c>
      <c r="E405" s="29">
        <v>1867</v>
      </c>
      <c r="F405" s="13" t="s">
        <v>1780</v>
      </c>
      <c r="G405" s="25">
        <v>25</v>
      </c>
      <c r="H405" s="25"/>
      <c r="I405" s="25"/>
      <c r="J405" s="29" t="s">
        <v>4751</v>
      </c>
      <c r="K405" s="29" t="s">
        <v>1287</v>
      </c>
      <c r="L405" s="29"/>
      <c r="M405" s="68">
        <v>1</v>
      </c>
      <c r="N405" s="68" t="s">
        <v>5657</v>
      </c>
    </row>
    <row r="406" spans="1:14" ht="14.25" x14ac:dyDescent="0.2">
      <c r="A406" s="11" t="s">
        <v>5143</v>
      </c>
      <c r="B406" s="12" t="s">
        <v>6512</v>
      </c>
      <c r="C406" s="13" t="s">
        <v>3757</v>
      </c>
      <c r="D406" s="13" t="s">
        <v>3754</v>
      </c>
      <c r="E406" s="29" t="s">
        <v>6513</v>
      </c>
      <c r="F406" s="13" t="s">
        <v>6514</v>
      </c>
      <c r="G406" s="25">
        <v>39</v>
      </c>
      <c r="H406" s="25"/>
      <c r="I406" s="25"/>
      <c r="J406" s="29" t="s">
        <v>6515</v>
      </c>
      <c r="K406" s="29" t="s">
        <v>6516</v>
      </c>
      <c r="L406" s="95"/>
      <c r="M406" s="68">
        <v>1</v>
      </c>
      <c r="N406" s="68" t="s">
        <v>5196</v>
      </c>
    </row>
    <row r="407" spans="1:14" ht="14.25" x14ac:dyDescent="0.2">
      <c r="A407" s="11" t="s">
        <v>5143</v>
      </c>
      <c r="B407" s="12" t="s">
        <v>3746</v>
      </c>
      <c r="C407" s="13" t="s">
        <v>3757</v>
      </c>
      <c r="D407" s="13" t="s">
        <v>3754</v>
      </c>
      <c r="E407" s="29" t="s">
        <v>5141</v>
      </c>
      <c r="F407" s="13" t="s">
        <v>5144</v>
      </c>
      <c r="G407" s="25">
        <v>52</v>
      </c>
      <c r="H407" s="25"/>
      <c r="I407" s="25"/>
      <c r="J407" s="29" t="s">
        <v>1264</v>
      </c>
      <c r="K407" s="29" t="s">
        <v>6508</v>
      </c>
      <c r="L407" s="95"/>
      <c r="M407" s="68">
        <v>1</v>
      </c>
      <c r="N407" s="68" t="s">
        <v>5196</v>
      </c>
    </row>
    <row r="408" spans="1:14" ht="14.25" x14ac:dyDescent="0.2">
      <c r="A408" s="11" t="s">
        <v>1774</v>
      </c>
      <c r="B408" s="12" t="s">
        <v>1775</v>
      </c>
      <c r="C408" s="13" t="s">
        <v>3757</v>
      </c>
      <c r="D408" s="13" t="s">
        <v>3754</v>
      </c>
      <c r="E408" s="29" t="s">
        <v>1776</v>
      </c>
      <c r="F408" s="13" t="s">
        <v>1777</v>
      </c>
      <c r="G408" s="25">
        <v>59</v>
      </c>
      <c r="H408" s="25"/>
      <c r="I408" s="25"/>
      <c r="J408" s="29" t="s">
        <v>8624</v>
      </c>
      <c r="K408" s="29" t="s">
        <v>1778</v>
      </c>
      <c r="L408" s="29"/>
      <c r="M408" s="68">
        <v>1</v>
      </c>
      <c r="N408" s="68" t="s">
        <v>5657</v>
      </c>
    </row>
    <row r="409" spans="1:14" ht="28.5" x14ac:dyDescent="0.2">
      <c r="A409" s="11" t="s">
        <v>1561</v>
      </c>
      <c r="B409" s="12" t="s">
        <v>1699</v>
      </c>
      <c r="C409" s="13" t="s">
        <v>1563</v>
      </c>
      <c r="D409" s="13" t="s">
        <v>1563</v>
      </c>
      <c r="E409" s="29" t="s">
        <v>1566</v>
      </c>
      <c r="F409" s="13" t="s">
        <v>1563</v>
      </c>
      <c r="G409" s="26">
        <v>11</v>
      </c>
      <c r="H409" s="26">
        <v>4</v>
      </c>
      <c r="I409" s="26"/>
      <c r="J409" s="29" t="s">
        <v>1264</v>
      </c>
      <c r="K409" s="29" t="s">
        <v>1567</v>
      </c>
      <c r="L409" s="95" t="s">
        <v>6975</v>
      </c>
      <c r="M409" s="68">
        <v>1</v>
      </c>
      <c r="N409" s="68" t="s">
        <v>5195</v>
      </c>
    </row>
    <row r="410" spans="1:14" ht="14.25" x14ac:dyDescent="0.2">
      <c r="A410" s="11" t="s">
        <v>1561</v>
      </c>
      <c r="B410" s="12" t="s">
        <v>1562</v>
      </c>
      <c r="C410" s="13" t="s">
        <v>1563</v>
      </c>
      <c r="D410" s="13" t="s">
        <v>1563</v>
      </c>
      <c r="E410" s="29" t="s">
        <v>1564</v>
      </c>
      <c r="F410" s="13" t="s">
        <v>1563</v>
      </c>
      <c r="G410" s="26">
        <v>13</v>
      </c>
      <c r="H410" s="26">
        <v>5</v>
      </c>
      <c r="I410" s="26"/>
      <c r="J410" s="29" t="s">
        <v>1264</v>
      </c>
      <c r="K410" s="29" t="s">
        <v>1565</v>
      </c>
      <c r="L410" s="95"/>
      <c r="M410" s="68">
        <v>1</v>
      </c>
      <c r="N410" s="68" t="s">
        <v>5195</v>
      </c>
    </row>
    <row r="411" spans="1:14" ht="14.25" x14ac:dyDescent="0.2">
      <c r="A411" s="11" t="s">
        <v>2104</v>
      </c>
      <c r="B411" s="12" t="s">
        <v>3732</v>
      </c>
      <c r="C411" s="13" t="s">
        <v>3757</v>
      </c>
      <c r="D411" s="13" t="s">
        <v>3754</v>
      </c>
      <c r="E411" s="29" t="s">
        <v>2105</v>
      </c>
      <c r="F411" s="13" t="s">
        <v>7164</v>
      </c>
      <c r="G411" s="25">
        <v>70</v>
      </c>
      <c r="H411" s="25"/>
      <c r="I411" s="25"/>
      <c r="J411" s="29" t="s">
        <v>1271</v>
      </c>
      <c r="K411" s="29" t="s">
        <v>7165</v>
      </c>
      <c r="L411" s="29"/>
      <c r="M411" s="68">
        <v>1</v>
      </c>
      <c r="N411" s="68" t="s">
        <v>2341</v>
      </c>
    </row>
    <row r="412" spans="1:14" ht="14.25" x14ac:dyDescent="0.2">
      <c r="A412" s="11" t="s">
        <v>5658</v>
      </c>
      <c r="B412" s="12" t="s">
        <v>5659</v>
      </c>
      <c r="C412" s="13" t="s">
        <v>3754</v>
      </c>
      <c r="D412" s="13" t="s">
        <v>3754</v>
      </c>
      <c r="E412" s="29" t="s">
        <v>5660</v>
      </c>
      <c r="F412" s="13" t="s">
        <v>5661</v>
      </c>
      <c r="G412" s="25">
        <v>5</v>
      </c>
      <c r="H412" s="25">
        <v>11</v>
      </c>
      <c r="I412" s="25"/>
      <c r="J412" s="29"/>
      <c r="K412" s="29" t="s">
        <v>5662</v>
      </c>
      <c r="L412" s="29"/>
      <c r="M412" s="68">
        <v>1</v>
      </c>
      <c r="N412" s="68" t="s">
        <v>5657</v>
      </c>
    </row>
    <row r="413" spans="1:14" ht="14.25" x14ac:dyDescent="0.2">
      <c r="A413" s="11" t="s">
        <v>5658</v>
      </c>
      <c r="B413" s="12" t="s">
        <v>5663</v>
      </c>
      <c r="C413" s="13" t="s">
        <v>3754</v>
      </c>
      <c r="D413" s="13" t="s">
        <v>3754</v>
      </c>
      <c r="E413" s="29" t="s">
        <v>5664</v>
      </c>
      <c r="F413" s="13" t="s">
        <v>5665</v>
      </c>
      <c r="G413" s="25">
        <v>9</v>
      </c>
      <c r="H413" s="25">
        <v>2</v>
      </c>
      <c r="I413" s="25"/>
      <c r="J413" s="29"/>
      <c r="K413" s="29" t="s">
        <v>5662</v>
      </c>
      <c r="L413" s="29"/>
      <c r="M413" s="68">
        <v>1</v>
      </c>
      <c r="N413" s="68" t="s">
        <v>5657</v>
      </c>
    </row>
    <row r="414" spans="1:14" ht="14.25" x14ac:dyDescent="0.2">
      <c r="A414" s="11" t="s">
        <v>1823</v>
      </c>
      <c r="B414" s="12" t="s">
        <v>3723</v>
      </c>
      <c r="C414" s="13" t="s">
        <v>3757</v>
      </c>
      <c r="D414" s="13" t="s">
        <v>3754</v>
      </c>
      <c r="E414" s="29" t="s">
        <v>1827</v>
      </c>
      <c r="F414" s="13" t="s">
        <v>1828</v>
      </c>
      <c r="G414" s="25">
        <v>54</v>
      </c>
      <c r="H414" s="25"/>
      <c r="I414" s="25"/>
      <c r="J414" s="29" t="s">
        <v>6938</v>
      </c>
      <c r="K414" s="29" t="s">
        <v>1829</v>
      </c>
      <c r="L414" s="95"/>
      <c r="M414" s="68">
        <v>1</v>
      </c>
      <c r="N414" s="68" t="s">
        <v>5196</v>
      </c>
    </row>
    <row r="415" spans="1:14" ht="14.25" x14ac:dyDescent="0.2">
      <c r="A415" s="11" t="s">
        <v>1823</v>
      </c>
      <c r="B415" s="12" t="s">
        <v>4701</v>
      </c>
      <c r="C415" s="13" t="s">
        <v>3757</v>
      </c>
      <c r="D415" s="13" t="s">
        <v>3754</v>
      </c>
      <c r="E415" s="29" t="s">
        <v>1824</v>
      </c>
      <c r="F415" s="13" t="s">
        <v>1825</v>
      </c>
      <c r="G415" s="25">
        <v>72</v>
      </c>
      <c r="H415" s="25"/>
      <c r="I415" s="25"/>
      <c r="J415" s="29" t="s">
        <v>1271</v>
      </c>
      <c r="K415" s="29" t="s">
        <v>1826</v>
      </c>
      <c r="L415" s="95"/>
      <c r="M415" s="68">
        <v>1</v>
      </c>
      <c r="N415" s="68" t="s">
        <v>5196</v>
      </c>
    </row>
    <row r="416" spans="1:14" ht="14.25" x14ac:dyDescent="0.2">
      <c r="A416" s="11" t="s">
        <v>1830</v>
      </c>
      <c r="B416" s="12" t="s">
        <v>1432</v>
      </c>
      <c r="C416" s="13" t="s">
        <v>3754</v>
      </c>
      <c r="D416" s="13" t="s">
        <v>3754</v>
      </c>
      <c r="E416" s="29" t="s">
        <v>1831</v>
      </c>
      <c r="F416" s="13" t="s">
        <v>1832</v>
      </c>
      <c r="G416" s="25">
        <v>6</v>
      </c>
      <c r="H416" s="25"/>
      <c r="I416" s="25"/>
      <c r="J416" s="29" t="s">
        <v>5082</v>
      </c>
      <c r="K416" s="29" t="s">
        <v>1833</v>
      </c>
      <c r="L416" s="95"/>
      <c r="M416" s="68">
        <v>1</v>
      </c>
      <c r="N416" s="68" t="s">
        <v>5196</v>
      </c>
    </row>
    <row r="417" spans="1:14" ht="14.25" x14ac:dyDescent="0.2">
      <c r="A417" s="11" t="s">
        <v>2099</v>
      </c>
      <c r="B417" s="12" t="s">
        <v>2087</v>
      </c>
      <c r="C417" s="13" t="s">
        <v>3754</v>
      </c>
      <c r="D417" s="13" t="s">
        <v>2100</v>
      </c>
      <c r="E417" s="29" t="s">
        <v>2101</v>
      </c>
      <c r="F417" s="13" t="s">
        <v>2102</v>
      </c>
      <c r="G417" s="25">
        <v>51</v>
      </c>
      <c r="H417" s="25"/>
      <c r="I417" s="25"/>
      <c r="J417" s="29" t="s">
        <v>4751</v>
      </c>
      <c r="K417" s="29" t="s">
        <v>2103</v>
      </c>
      <c r="L417" s="29"/>
      <c r="M417" s="68">
        <v>1</v>
      </c>
      <c r="N417" s="68" t="s">
        <v>2341</v>
      </c>
    </row>
    <row r="418" spans="1:14" ht="14.25" x14ac:dyDescent="0.2">
      <c r="A418" s="11" t="s">
        <v>6882</v>
      </c>
      <c r="B418" s="12" t="s">
        <v>3748</v>
      </c>
      <c r="C418" s="13" t="s">
        <v>3757</v>
      </c>
      <c r="D418" s="13" t="s">
        <v>3761</v>
      </c>
      <c r="E418" s="29" t="s">
        <v>6875</v>
      </c>
      <c r="F418" s="13" t="s">
        <v>6884</v>
      </c>
      <c r="G418" s="26">
        <v>88</v>
      </c>
      <c r="H418" s="26"/>
      <c r="I418" s="26"/>
      <c r="J418" s="29" t="s">
        <v>1271</v>
      </c>
      <c r="K418" s="29" t="s">
        <v>6885</v>
      </c>
      <c r="L418" s="29"/>
      <c r="M418" s="68">
        <v>1</v>
      </c>
      <c r="N418" s="68" t="s">
        <v>6813</v>
      </c>
    </row>
    <row r="419" spans="1:14" ht="14.25" x14ac:dyDescent="0.2">
      <c r="A419" s="14" t="s">
        <v>3416</v>
      </c>
      <c r="B419" s="15" t="s">
        <v>3417</v>
      </c>
      <c r="C419" s="16" t="s">
        <v>3754</v>
      </c>
      <c r="D419" s="16" t="s">
        <v>3761</v>
      </c>
      <c r="E419" s="27" t="s">
        <v>3418</v>
      </c>
      <c r="F419" s="16" t="s">
        <v>3419</v>
      </c>
      <c r="G419" s="26">
        <v>1</v>
      </c>
      <c r="H419" s="26">
        <v>3</v>
      </c>
      <c r="I419" s="26"/>
      <c r="J419" s="27"/>
      <c r="K419" s="27" t="s">
        <v>3420</v>
      </c>
      <c r="L419" s="61"/>
      <c r="M419" s="68">
        <v>1</v>
      </c>
      <c r="N419" s="68" t="s">
        <v>3133</v>
      </c>
    </row>
    <row r="420" spans="1:14" ht="14.25" x14ac:dyDescent="0.2">
      <c r="A420" s="17" t="s">
        <v>3461</v>
      </c>
      <c r="B420" s="18" t="s">
        <v>8847</v>
      </c>
      <c r="C420" s="19" t="s">
        <v>3754</v>
      </c>
      <c r="D420" s="19" t="s">
        <v>3425</v>
      </c>
      <c r="E420" s="46" t="s">
        <v>3462</v>
      </c>
      <c r="F420" s="19" t="s">
        <v>3463</v>
      </c>
      <c r="G420" s="8">
        <v>30</v>
      </c>
      <c r="H420" s="8"/>
      <c r="I420" s="8"/>
      <c r="J420" s="45" t="s">
        <v>1264</v>
      </c>
      <c r="K420" s="46" t="s">
        <v>3464</v>
      </c>
      <c r="L420" s="61"/>
      <c r="M420" s="68">
        <v>1</v>
      </c>
      <c r="N420" s="68" t="s">
        <v>3133</v>
      </c>
    </row>
    <row r="421" spans="1:14" ht="28.5" x14ac:dyDescent="0.2">
      <c r="A421" s="9" t="s">
        <v>5923</v>
      </c>
      <c r="B421" s="5" t="s">
        <v>5924</v>
      </c>
      <c r="C421" s="10" t="s">
        <v>636</v>
      </c>
      <c r="D421" s="10" t="s">
        <v>5925</v>
      </c>
      <c r="E421" s="55" t="s">
        <v>5926</v>
      </c>
      <c r="F421" s="10" t="s">
        <v>5927</v>
      </c>
      <c r="G421" s="22">
        <v>40</v>
      </c>
      <c r="H421" s="22">
        <v>4</v>
      </c>
      <c r="I421" s="22">
        <v>22</v>
      </c>
      <c r="J421" s="55" t="s">
        <v>1928</v>
      </c>
      <c r="K421" s="55" t="s">
        <v>5928</v>
      </c>
      <c r="L421" s="61"/>
      <c r="M421" s="68">
        <v>1</v>
      </c>
      <c r="N421" s="68" t="s">
        <v>5657</v>
      </c>
    </row>
    <row r="422" spans="1:14" ht="14.25" x14ac:dyDescent="0.2">
      <c r="A422" s="11" t="s">
        <v>2086</v>
      </c>
      <c r="B422" s="12" t="s">
        <v>2087</v>
      </c>
      <c r="C422" s="13" t="s">
        <v>3754</v>
      </c>
      <c r="D422" s="13" t="s">
        <v>3754</v>
      </c>
      <c r="E422" s="29" t="s">
        <v>2082</v>
      </c>
      <c r="F422" s="13" t="s">
        <v>2088</v>
      </c>
      <c r="G422" s="22">
        <v>22</v>
      </c>
      <c r="H422" s="22"/>
      <c r="I422" s="22"/>
      <c r="J422" s="29" t="s">
        <v>5010</v>
      </c>
      <c r="K422" s="29" t="s">
        <v>2084</v>
      </c>
      <c r="L422" s="29"/>
      <c r="M422" s="68">
        <v>1</v>
      </c>
      <c r="N422" s="68" t="s">
        <v>2341</v>
      </c>
    </row>
    <row r="423" spans="1:14" ht="14.25" x14ac:dyDescent="0.2">
      <c r="A423" s="11" t="s">
        <v>2086</v>
      </c>
      <c r="B423" s="12" t="s">
        <v>3740</v>
      </c>
      <c r="C423" s="13" t="s">
        <v>3757</v>
      </c>
      <c r="D423" s="13" t="s">
        <v>3754</v>
      </c>
      <c r="E423" s="29" t="s">
        <v>3673</v>
      </c>
      <c r="F423" s="13" t="s">
        <v>3674</v>
      </c>
      <c r="G423" s="22">
        <v>38</v>
      </c>
      <c r="H423" s="8"/>
      <c r="I423" s="8"/>
      <c r="J423" s="29" t="s">
        <v>1270</v>
      </c>
      <c r="K423" s="29" t="s">
        <v>3675</v>
      </c>
      <c r="L423" s="29"/>
      <c r="M423" s="68">
        <v>1</v>
      </c>
      <c r="N423" s="68" t="s">
        <v>3476</v>
      </c>
    </row>
    <row r="424" spans="1:14" ht="14.25" x14ac:dyDescent="0.2">
      <c r="A424" s="11" t="s">
        <v>2086</v>
      </c>
      <c r="B424" s="12" t="s">
        <v>3746</v>
      </c>
      <c r="C424" s="13" t="s">
        <v>3757</v>
      </c>
      <c r="D424" s="13" t="s">
        <v>3757</v>
      </c>
      <c r="E424" s="29" t="s">
        <v>7177</v>
      </c>
      <c r="F424" s="13" t="s">
        <v>7178</v>
      </c>
      <c r="G424" s="22">
        <v>67</v>
      </c>
      <c r="H424" s="8"/>
      <c r="I424" s="8"/>
      <c r="J424" s="29" t="s">
        <v>1277</v>
      </c>
      <c r="K424" s="29" t="s">
        <v>7179</v>
      </c>
      <c r="L424" s="29"/>
      <c r="M424" s="68">
        <v>1</v>
      </c>
      <c r="N424" s="68" t="s">
        <v>3476</v>
      </c>
    </row>
    <row r="425" spans="1:14" ht="14.25" x14ac:dyDescent="0.2">
      <c r="A425" s="11" t="s">
        <v>1930</v>
      </c>
      <c r="B425" s="12" t="s">
        <v>4701</v>
      </c>
      <c r="C425" s="13" t="s">
        <v>3754</v>
      </c>
      <c r="D425" s="13" t="s">
        <v>3761</v>
      </c>
      <c r="E425" s="29" t="s">
        <v>1931</v>
      </c>
      <c r="F425" s="13" t="s">
        <v>1932</v>
      </c>
      <c r="G425" s="8">
        <v>19</v>
      </c>
      <c r="H425" s="8"/>
      <c r="I425" s="8"/>
      <c r="J425" s="29" t="s">
        <v>4579</v>
      </c>
      <c r="K425" s="29" t="s">
        <v>1933</v>
      </c>
      <c r="L425" s="95"/>
      <c r="M425" s="68">
        <v>1</v>
      </c>
      <c r="N425" s="68" t="s">
        <v>5197</v>
      </c>
    </row>
    <row r="426" spans="1:14" ht="14.25" x14ac:dyDescent="0.2">
      <c r="A426" s="11" t="s">
        <v>1930</v>
      </c>
      <c r="B426" s="12" t="s">
        <v>5542</v>
      </c>
      <c r="C426" s="13" t="s">
        <v>3346</v>
      </c>
      <c r="D426" s="13" t="s">
        <v>7175</v>
      </c>
      <c r="E426" s="29" t="s">
        <v>3354</v>
      </c>
      <c r="F426" s="13" t="s">
        <v>5803</v>
      </c>
      <c r="G426" s="8">
        <v>41</v>
      </c>
      <c r="H426" s="8"/>
      <c r="I426" s="8"/>
      <c r="J426" s="29" t="s">
        <v>3355</v>
      </c>
      <c r="K426" s="29" t="s">
        <v>3356</v>
      </c>
      <c r="L426" s="29"/>
      <c r="M426" s="68">
        <v>1</v>
      </c>
      <c r="N426" s="68" t="s">
        <v>3342</v>
      </c>
    </row>
    <row r="427" spans="1:14" ht="14.25" x14ac:dyDescent="0.2">
      <c r="A427" s="11" t="s">
        <v>1930</v>
      </c>
      <c r="B427" s="12" t="s">
        <v>1445</v>
      </c>
      <c r="C427" s="13" t="s">
        <v>3754</v>
      </c>
      <c r="D427" s="13" t="s">
        <v>3761</v>
      </c>
      <c r="E427" s="29" t="s">
        <v>1934</v>
      </c>
      <c r="F427" s="13" t="s">
        <v>1932</v>
      </c>
      <c r="G427" s="8">
        <v>1</v>
      </c>
      <c r="H427" s="8">
        <v>6</v>
      </c>
      <c r="I427" s="8"/>
      <c r="J427" s="29" t="s">
        <v>1258</v>
      </c>
      <c r="K427" s="29" t="s">
        <v>1933</v>
      </c>
      <c r="L427" s="95"/>
      <c r="M427" s="68">
        <v>1</v>
      </c>
      <c r="N427" s="68" t="s">
        <v>5197</v>
      </c>
    </row>
    <row r="428" spans="1:14" ht="14.25" x14ac:dyDescent="0.2">
      <c r="A428" s="11" t="s">
        <v>5122</v>
      </c>
      <c r="B428" s="12" t="s">
        <v>3740</v>
      </c>
      <c r="C428" s="13" t="s">
        <v>3757</v>
      </c>
      <c r="D428" s="13" t="s">
        <v>3754</v>
      </c>
      <c r="E428" s="29" t="s">
        <v>1858</v>
      </c>
      <c r="F428" s="13" t="s">
        <v>1859</v>
      </c>
      <c r="G428" s="22">
        <v>64</v>
      </c>
      <c r="H428" s="22"/>
      <c r="I428" s="22"/>
      <c r="J428" s="29" t="s">
        <v>1272</v>
      </c>
      <c r="K428" s="29" t="s">
        <v>1860</v>
      </c>
      <c r="L428" s="95"/>
      <c r="M428" s="68">
        <v>1</v>
      </c>
      <c r="N428" s="68" t="s">
        <v>5196</v>
      </c>
    </row>
    <row r="429" spans="1:14" ht="14.25" x14ac:dyDescent="0.2">
      <c r="A429" s="11" t="s">
        <v>5122</v>
      </c>
      <c r="B429" s="12" t="s">
        <v>5123</v>
      </c>
      <c r="C429" s="13" t="s">
        <v>3754</v>
      </c>
      <c r="D429" s="13" t="s">
        <v>3754</v>
      </c>
      <c r="E429" s="29" t="s">
        <v>5124</v>
      </c>
      <c r="F429" s="13" t="s">
        <v>3754</v>
      </c>
      <c r="G429" s="22">
        <v>21</v>
      </c>
      <c r="H429" s="22"/>
      <c r="I429" s="22"/>
      <c r="J429" s="29" t="s">
        <v>1264</v>
      </c>
      <c r="K429" s="29" t="s">
        <v>5125</v>
      </c>
      <c r="L429" s="95"/>
      <c r="M429" s="68">
        <v>1</v>
      </c>
      <c r="N429" s="68" t="s">
        <v>5196</v>
      </c>
    </row>
    <row r="430" spans="1:14" ht="14.25" x14ac:dyDescent="0.2">
      <c r="A430" s="11" t="s">
        <v>6986</v>
      </c>
      <c r="B430" s="12" t="s">
        <v>3740</v>
      </c>
      <c r="C430" s="13" t="s">
        <v>3754</v>
      </c>
      <c r="D430" s="13" t="s">
        <v>3754</v>
      </c>
      <c r="E430" s="29" t="s">
        <v>3663</v>
      </c>
      <c r="F430" s="13" t="s">
        <v>3664</v>
      </c>
      <c r="G430" s="22"/>
      <c r="H430" s="8">
        <v>5</v>
      </c>
      <c r="I430" s="8"/>
      <c r="J430" s="29" t="s">
        <v>1258</v>
      </c>
      <c r="K430" s="29" t="s">
        <v>3665</v>
      </c>
      <c r="L430" s="29"/>
      <c r="M430" s="68">
        <v>1</v>
      </c>
      <c r="N430" s="68" t="s">
        <v>3476</v>
      </c>
    </row>
    <row r="431" spans="1:14" ht="14.25" x14ac:dyDescent="0.2">
      <c r="A431" s="11" t="s">
        <v>3439</v>
      </c>
      <c r="B431" s="12" t="s">
        <v>3744</v>
      </c>
      <c r="C431" s="13" t="s">
        <v>3754</v>
      </c>
      <c r="D431" s="13" t="s">
        <v>3754</v>
      </c>
      <c r="E431" s="29" t="s">
        <v>7181</v>
      </c>
      <c r="F431" s="13" t="s">
        <v>2395</v>
      </c>
      <c r="G431" s="22">
        <v>11</v>
      </c>
      <c r="H431" s="8"/>
      <c r="I431" s="8"/>
      <c r="J431" s="29" t="s">
        <v>7182</v>
      </c>
      <c r="K431" s="29" t="s">
        <v>7181</v>
      </c>
      <c r="L431" s="29"/>
      <c r="M431" s="68">
        <v>1</v>
      </c>
      <c r="N431" s="68" t="s">
        <v>3476</v>
      </c>
    </row>
    <row r="432" spans="1:14" ht="14.25" x14ac:dyDescent="0.2">
      <c r="A432" s="14" t="s">
        <v>3439</v>
      </c>
      <c r="B432" s="15" t="s">
        <v>3735</v>
      </c>
      <c r="C432" s="16" t="s">
        <v>3754</v>
      </c>
      <c r="D432" s="16" t="s">
        <v>3761</v>
      </c>
      <c r="E432" s="27">
        <v>1857</v>
      </c>
      <c r="F432" s="16" t="s">
        <v>3754</v>
      </c>
      <c r="G432" s="8"/>
      <c r="H432" s="8">
        <v>18</v>
      </c>
      <c r="I432" s="8"/>
      <c r="J432" s="27" t="s">
        <v>4745</v>
      </c>
      <c r="K432" s="27"/>
      <c r="L432" s="29"/>
      <c r="M432" s="68">
        <v>1</v>
      </c>
      <c r="N432" s="68" t="s">
        <v>3133</v>
      </c>
    </row>
    <row r="433" spans="1:14" ht="14.25" x14ac:dyDescent="0.2">
      <c r="A433" s="11" t="s">
        <v>2059</v>
      </c>
      <c r="B433" s="12" t="s">
        <v>3728</v>
      </c>
      <c r="C433" s="13" t="s">
        <v>3754</v>
      </c>
      <c r="D433" s="13" t="s">
        <v>3754</v>
      </c>
      <c r="E433" s="29" t="s">
        <v>2060</v>
      </c>
      <c r="F433" s="13" t="s">
        <v>2061</v>
      </c>
      <c r="G433" s="22">
        <v>5</v>
      </c>
      <c r="H433" s="22">
        <v>6</v>
      </c>
      <c r="I433" s="22"/>
      <c r="J433" s="29" t="s">
        <v>1254</v>
      </c>
      <c r="K433" s="29" t="s">
        <v>2062</v>
      </c>
      <c r="L433" s="29"/>
      <c r="M433" s="68">
        <v>1</v>
      </c>
      <c r="N433" s="68" t="s">
        <v>2341</v>
      </c>
    </row>
    <row r="434" spans="1:14" ht="14.25" x14ac:dyDescent="0.2">
      <c r="A434" s="11" t="s">
        <v>2059</v>
      </c>
      <c r="B434" s="12" t="s">
        <v>1428</v>
      </c>
      <c r="C434" s="13" t="s">
        <v>3757</v>
      </c>
      <c r="D434" s="13" t="s">
        <v>3754</v>
      </c>
      <c r="E434" s="29" t="s">
        <v>2089</v>
      </c>
      <c r="F434" s="13" t="s">
        <v>2061</v>
      </c>
      <c r="G434" s="22">
        <v>62</v>
      </c>
      <c r="H434" s="22"/>
      <c r="I434" s="22"/>
      <c r="J434" s="29" t="s">
        <v>1272</v>
      </c>
      <c r="K434" s="29" t="s">
        <v>2062</v>
      </c>
      <c r="L434" s="29"/>
      <c r="M434" s="68">
        <v>1</v>
      </c>
      <c r="N434" s="68" t="s">
        <v>2341</v>
      </c>
    </row>
    <row r="435" spans="1:14" ht="14.25" x14ac:dyDescent="0.2">
      <c r="A435" s="11" t="s">
        <v>6020</v>
      </c>
      <c r="B435" s="12" t="s">
        <v>3732</v>
      </c>
      <c r="C435" s="13" t="s">
        <v>3757</v>
      </c>
      <c r="D435" s="13"/>
      <c r="E435" s="29" t="s">
        <v>6022</v>
      </c>
      <c r="F435" s="13" t="s">
        <v>3767</v>
      </c>
      <c r="G435" s="8">
        <v>69</v>
      </c>
      <c r="H435" s="8"/>
      <c r="I435" s="8"/>
      <c r="J435" s="29" t="s">
        <v>3769</v>
      </c>
      <c r="K435" s="29" t="s">
        <v>6023</v>
      </c>
      <c r="L435" s="29"/>
      <c r="M435" s="68">
        <v>1</v>
      </c>
      <c r="N435" s="68" t="s">
        <v>5950</v>
      </c>
    </row>
    <row r="436" spans="1:14" ht="14.25" x14ac:dyDescent="0.2">
      <c r="A436" s="11" t="s">
        <v>1548</v>
      </c>
      <c r="B436" s="12" t="s">
        <v>1549</v>
      </c>
      <c r="C436" s="16" t="s">
        <v>3761</v>
      </c>
      <c r="D436" s="13" t="s">
        <v>3754</v>
      </c>
      <c r="E436" s="29"/>
      <c r="F436" s="13" t="s">
        <v>1541</v>
      </c>
      <c r="G436" s="8">
        <v>3</v>
      </c>
      <c r="H436" s="8"/>
      <c r="I436" s="8"/>
      <c r="J436" s="29" t="s">
        <v>1254</v>
      </c>
      <c r="K436" s="29" t="s">
        <v>1550</v>
      </c>
      <c r="L436" s="95"/>
      <c r="M436" s="68">
        <v>1</v>
      </c>
      <c r="N436" s="68" t="s">
        <v>5195</v>
      </c>
    </row>
    <row r="437" spans="1:14" ht="14.25" x14ac:dyDescent="0.2">
      <c r="A437" s="11" t="s">
        <v>1548</v>
      </c>
      <c r="B437" s="12" t="s">
        <v>3723</v>
      </c>
      <c r="C437" s="16" t="s">
        <v>3761</v>
      </c>
      <c r="D437" s="13" t="s">
        <v>3754</v>
      </c>
      <c r="E437" s="29"/>
      <c r="F437" s="13" t="s">
        <v>1541</v>
      </c>
      <c r="G437" s="8">
        <v>4</v>
      </c>
      <c r="H437" s="8"/>
      <c r="I437" s="8"/>
      <c r="J437" s="29" t="s">
        <v>1254</v>
      </c>
      <c r="K437" s="29" t="s">
        <v>1550</v>
      </c>
      <c r="L437" s="95"/>
      <c r="M437" s="68">
        <v>1</v>
      </c>
      <c r="N437" s="68" t="s">
        <v>5195</v>
      </c>
    </row>
    <row r="438" spans="1:14" ht="14.25" x14ac:dyDescent="0.2">
      <c r="A438" s="11" t="s">
        <v>1548</v>
      </c>
      <c r="B438" s="12" t="s">
        <v>3733</v>
      </c>
      <c r="C438" s="16" t="s">
        <v>3761</v>
      </c>
      <c r="D438" s="13" t="s">
        <v>3754</v>
      </c>
      <c r="E438" s="29" t="s">
        <v>1583</v>
      </c>
      <c r="F438" s="13" t="s">
        <v>1541</v>
      </c>
      <c r="G438" s="8">
        <v>1</v>
      </c>
      <c r="H438" s="8">
        <v>8</v>
      </c>
      <c r="I438" s="8"/>
      <c r="J438" s="29" t="s">
        <v>5082</v>
      </c>
      <c r="K438" s="29" t="s">
        <v>1584</v>
      </c>
      <c r="L438" s="95"/>
      <c r="M438" s="68">
        <v>1</v>
      </c>
      <c r="N438" s="68" t="s">
        <v>5195</v>
      </c>
    </row>
    <row r="439" spans="1:14" ht="14.25" x14ac:dyDescent="0.2">
      <c r="A439" s="11" t="s">
        <v>5914</v>
      </c>
      <c r="B439" s="12" t="s">
        <v>4683</v>
      </c>
      <c r="C439" s="13" t="s">
        <v>7175</v>
      </c>
      <c r="D439" s="13" t="s">
        <v>3768</v>
      </c>
      <c r="E439" s="29" t="s">
        <v>2605</v>
      </c>
      <c r="F439" s="13" t="s">
        <v>2606</v>
      </c>
      <c r="G439" s="22"/>
      <c r="H439" s="22"/>
      <c r="I439" s="22">
        <v>7</v>
      </c>
      <c r="J439" s="29" t="s">
        <v>1265</v>
      </c>
      <c r="K439" s="29" t="s">
        <v>2607</v>
      </c>
      <c r="L439" s="29"/>
      <c r="M439" s="68">
        <v>1</v>
      </c>
      <c r="N439" s="68" t="s">
        <v>2341</v>
      </c>
    </row>
    <row r="440" spans="1:14" ht="28.5" x14ac:dyDescent="0.2">
      <c r="A440" s="11" t="s">
        <v>5914</v>
      </c>
      <c r="B440" s="12" t="s">
        <v>5915</v>
      </c>
      <c r="C440" s="13" t="s">
        <v>5916</v>
      </c>
      <c r="D440" s="13" t="s">
        <v>5916</v>
      </c>
      <c r="E440" s="29" t="s">
        <v>5917</v>
      </c>
      <c r="F440" s="13"/>
      <c r="G440" s="22"/>
      <c r="H440" s="22"/>
      <c r="I440" s="22"/>
      <c r="J440" s="29"/>
      <c r="K440" s="29" t="s">
        <v>5918</v>
      </c>
      <c r="L440" s="29" t="s">
        <v>5919</v>
      </c>
      <c r="M440" s="68">
        <v>1</v>
      </c>
      <c r="N440" s="68" t="s">
        <v>5657</v>
      </c>
    </row>
    <row r="441" spans="1:14" ht="28.5" x14ac:dyDescent="0.2">
      <c r="A441" s="11" t="s">
        <v>6918</v>
      </c>
      <c r="B441" s="12" t="s">
        <v>5084</v>
      </c>
      <c r="C441" s="13" t="s">
        <v>3754</v>
      </c>
      <c r="D441" s="13" t="s">
        <v>6919</v>
      </c>
      <c r="E441" s="29" t="s">
        <v>1794</v>
      </c>
      <c r="F441" s="13" t="s">
        <v>1795</v>
      </c>
      <c r="G441" s="8">
        <v>36</v>
      </c>
      <c r="H441" s="8">
        <v>6</v>
      </c>
      <c r="I441" s="8"/>
      <c r="J441" s="29" t="s">
        <v>1264</v>
      </c>
      <c r="K441" s="29" t="s">
        <v>5006</v>
      </c>
      <c r="L441" s="29"/>
      <c r="M441" s="68">
        <v>1</v>
      </c>
      <c r="N441" s="68" t="s">
        <v>6813</v>
      </c>
    </row>
    <row r="442" spans="1:14" ht="14.25" x14ac:dyDescent="0.2">
      <c r="A442" s="11" t="s">
        <v>2342</v>
      </c>
      <c r="B442" s="12" t="s">
        <v>2343</v>
      </c>
      <c r="C442" s="13" t="s">
        <v>3754</v>
      </c>
      <c r="D442" s="13" t="s">
        <v>3754</v>
      </c>
      <c r="E442" s="29">
        <v>1867</v>
      </c>
      <c r="F442" s="13" t="s">
        <v>2344</v>
      </c>
      <c r="G442" s="22"/>
      <c r="H442" s="22">
        <v>6</v>
      </c>
      <c r="I442" s="22"/>
      <c r="J442" s="29" t="s">
        <v>4790</v>
      </c>
      <c r="K442" s="29" t="s">
        <v>2345</v>
      </c>
      <c r="L442" s="29"/>
      <c r="M442" s="68">
        <v>1</v>
      </c>
      <c r="N442" s="68" t="s">
        <v>2341</v>
      </c>
    </row>
    <row r="443" spans="1:14" ht="14.25" x14ac:dyDescent="0.2">
      <c r="A443" s="11" t="s">
        <v>2342</v>
      </c>
      <c r="B443" s="12" t="s">
        <v>3723</v>
      </c>
      <c r="C443" s="13" t="s">
        <v>3754</v>
      </c>
      <c r="D443" s="13" t="s">
        <v>3754</v>
      </c>
      <c r="E443" s="29">
        <v>1867</v>
      </c>
      <c r="F443" s="13" t="s">
        <v>2344</v>
      </c>
      <c r="G443" s="22">
        <v>4</v>
      </c>
      <c r="H443" s="22"/>
      <c r="I443" s="22"/>
      <c r="J443" s="29" t="s">
        <v>1258</v>
      </c>
      <c r="K443" s="29" t="s">
        <v>2345</v>
      </c>
      <c r="L443" s="29"/>
      <c r="M443" s="68">
        <v>1</v>
      </c>
      <c r="N443" s="68" t="s">
        <v>2341</v>
      </c>
    </row>
    <row r="444" spans="1:14" ht="14.25" x14ac:dyDescent="0.2">
      <c r="A444" s="11" t="s">
        <v>7191</v>
      </c>
      <c r="B444" s="12" t="s">
        <v>5435</v>
      </c>
      <c r="C444" s="13" t="s">
        <v>3757</v>
      </c>
      <c r="D444" s="13" t="s">
        <v>3754</v>
      </c>
      <c r="E444" s="29" t="s">
        <v>7192</v>
      </c>
      <c r="F444" s="13" t="s">
        <v>7193</v>
      </c>
      <c r="G444" s="22">
        <v>48</v>
      </c>
      <c r="H444" s="8"/>
      <c r="I444" s="8"/>
      <c r="J444" s="29" t="s">
        <v>1277</v>
      </c>
      <c r="K444" s="29" t="s">
        <v>6980</v>
      </c>
      <c r="L444" s="29"/>
      <c r="M444" s="68">
        <v>1</v>
      </c>
      <c r="N444" s="68" t="s">
        <v>3476</v>
      </c>
    </row>
    <row r="445" spans="1:14" ht="14.25" x14ac:dyDescent="0.2">
      <c r="A445" s="11" t="s">
        <v>1545</v>
      </c>
      <c r="B445" s="12" t="s">
        <v>3723</v>
      </c>
      <c r="C445" s="16" t="s">
        <v>3761</v>
      </c>
      <c r="D445" s="13" t="s">
        <v>3754</v>
      </c>
      <c r="E445" s="29"/>
      <c r="F445" s="13" t="s">
        <v>1541</v>
      </c>
      <c r="G445" s="8">
        <v>2</v>
      </c>
      <c r="H445" s="8"/>
      <c r="I445" s="8"/>
      <c r="J445" s="29" t="s">
        <v>1254</v>
      </c>
      <c r="K445" s="29" t="s">
        <v>1546</v>
      </c>
      <c r="L445" s="95"/>
      <c r="M445" s="68">
        <v>1</v>
      </c>
      <c r="N445" s="68" t="s">
        <v>5195</v>
      </c>
    </row>
    <row r="446" spans="1:14" ht="14.25" x14ac:dyDescent="0.2">
      <c r="A446" s="11" t="s">
        <v>1545</v>
      </c>
      <c r="B446" s="12" t="s">
        <v>5057</v>
      </c>
      <c r="C446" s="16" t="s">
        <v>3761</v>
      </c>
      <c r="D446" s="13" t="s">
        <v>3754</v>
      </c>
      <c r="E446" s="29" t="s">
        <v>1547</v>
      </c>
      <c r="F446" s="13" t="s">
        <v>1541</v>
      </c>
      <c r="G446" s="8">
        <v>33</v>
      </c>
      <c r="H446" s="8"/>
      <c r="I446" s="8"/>
      <c r="J446" s="29" t="s">
        <v>1264</v>
      </c>
      <c r="K446" s="29" t="s">
        <v>1546</v>
      </c>
      <c r="L446" s="95"/>
      <c r="M446" s="68">
        <v>1</v>
      </c>
      <c r="N446" s="68" t="s">
        <v>5195</v>
      </c>
    </row>
    <row r="447" spans="1:14" ht="14.25" x14ac:dyDescent="0.2">
      <c r="A447" s="11" t="s">
        <v>1545</v>
      </c>
      <c r="B447" s="12" t="s">
        <v>1445</v>
      </c>
      <c r="C447" s="16" t="s">
        <v>3761</v>
      </c>
      <c r="D447" s="13" t="s">
        <v>3754</v>
      </c>
      <c r="E447" s="29"/>
      <c r="F447" s="13" t="s">
        <v>1541</v>
      </c>
      <c r="G447" s="8"/>
      <c r="H447" s="8">
        <v>8</v>
      </c>
      <c r="I447" s="8"/>
      <c r="J447" s="29" t="s">
        <v>4748</v>
      </c>
      <c r="K447" s="29" t="s">
        <v>1546</v>
      </c>
      <c r="L447" s="95"/>
      <c r="M447" s="68">
        <v>1</v>
      </c>
      <c r="N447" s="68" t="s">
        <v>5195</v>
      </c>
    </row>
    <row r="448" spans="1:14" ht="14.25" x14ac:dyDescent="0.2">
      <c r="A448" s="11" t="s">
        <v>5992</v>
      </c>
      <c r="B448" s="12" t="s">
        <v>4685</v>
      </c>
      <c r="C448" s="16" t="s">
        <v>3761</v>
      </c>
      <c r="D448" s="13" t="s">
        <v>3754</v>
      </c>
      <c r="E448" s="29" t="s">
        <v>5994</v>
      </c>
      <c r="F448" s="13" t="s">
        <v>5995</v>
      </c>
      <c r="G448" s="8">
        <v>1</v>
      </c>
      <c r="H448" s="8">
        <v>1</v>
      </c>
      <c r="I448" s="8"/>
      <c r="J448" s="29" t="s">
        <v>1258</v>
      </c>
      <c r="K448" s="29" t="s">
        <v>5996</v>
      </c>
      <c r="L448" s="29"/>
      <c r="M448" s="68">
        <v>1</v>
      </c>
      <c r="N448" s="68" t="s">
        <v>5950</v>
      </c>
    </row>
    <row r="449" spans="1:14" ht="14.25" x14ac:dyDescent="0.2">
      <c r="A449" s="14" t="s">
        <v>5992</v>
      </c>
      <c r="B449" s="15" t="s">
        <v>4685</v>
      </c>
      <c r="C449" s="16" t="s">
        <v>3754</v>
      </c>
      <c r="D449" s="13" t="s">
        <v>735</v>
      </c>
      <c r="E449" s="27" t="s">
        <v>3455</v>
      </c>
      <c r="F449" s="16" t="s">
        <v>3456</v>
      </c>
      <c r="G449" s="8">
        <v>1</v>
      </c>
      <c r="H449" s="8">
        <v>1</v>
      </c>
      <c r="I449" s="8"/>
      <c r="J449" s="27" t="s">
        <v>4742</v>
      </c>
      <c r="K449" s="27" t="s">
        <v>3457</v>
      </c>
      <c r="L449" s="29"/>
      <c r="M449" s="68">
        <v>1</v>
      </c>
      <c r="N449" s="68" t="s">
        <v>3133</v>
      </c>
    </row>
    <row r="450" spans="1:14" ht="14.25" x14ac:dyDescent="0.2">
      <c r="A450" s="11" t="s">
        <v>3485</v>
      </c>
      <c r="B450" s="12" t="s">
        <v>3748</v>
      </c>
      <c r="C450" s="13" t="s">
        <v>3754</v>
      </c>
      <c r="D450" s="13" t="s">
        <v>3754</v>
      </c>
      <c r="E450" s="29" t="s">
        <v>3486</v>
      </c>
      <c r="F450" s="13" t="s">
        <v>3754</v>
      </c>
      <c r="G450" s="22"/>
      <c r="H450" s="8"/>
      <c r="I450" s="8"/>
      <c r="J450" s="29"/>
      <c r="K450" s="29" t="s">
        <v>3486</v>
      </c>
      <c r="L450" s="29"/>
      <c r="M450" s="68">
        <v>1</v>
      </c>
      <c r="N450" s="68" t="s">
        <v>3476</v>
      </c>
    </row>
    <row r="451" spans="1:14" ht="14.25" x14ac:dyDescent="0.2">
      <c r="A451" s="11" t="s">
        <v>6517</v>
      </c>
      <c r="B451" s="12" t="s">
        <v>5044</v>
      </c>
      <c r="C451" s="13" t="s">
        <v>3757</v>
      </c>
      <c r="D451" s="13" t="s">
        <v>3754</v>
      </c>
      <c r="E451" s="29" t="s">
        <v>5141</v>
      </c>
      <c r="F451" s="13" t="s">
        <v>6518</v>
      </c>
      <c r="G451" s="22">
        <v>53</v>
      </c>
      <c r="H451" s="22"/>
      <c r="I451" s="22"/>
      <c r="J451" s="29" t="s">
        <v>1264</v>
      </c>
      <c r="K451" s="29" t="s">
        <v>6519</v>
      </c>
      <c r="L451" s="95"/>
      <c r="M451" s="68">
        <v>1</v>
      </c>
      <c r="N451" s="68" t="s">
        <v>5196</v>
      </c>
    </row>
    <row r="452" spans="1:14" ht="14.25" x14ac:dyDescent="0.2">
      <c r="A452" s="11" t="s">
        <v>1847</v>
      </c>
      <c r="B452" s="12" t="s">
        <v>1809</v>
      </c>
      <c r="C452" s="13" t="s">
        <v>3757</v>
      </c>
      <c r="D452" s="13" t="s">
        <v>3754</v>
      </c>
      <c r="E452" s="29"/>
      <c r="F452" s="13" t="s">
        <v>1848</v>
      </c>
      <c r="G452" s="22">
        <v>75</v>
      </c>
      <c r="H452" s="22"/>
      <c r="I452" s="22"/>
      <c r="J452" s="29" t="s">
        <v>1849</v>
      </c>
      <c r="K452" s="29" t="s">
        <v>1850</v>
      </c>
      <c r="L452" s="95"/>
      <c r="M452" s="68">
        <v>1</v>
      </c>
      <c r="N452" s="68" t="s">
        <v>5196</v>
      </c>
    </row>
    <row r="453" spans="1:14" ht="14.25" x14ac:dyDescent="0.2">
      <c r="A453" s="14" t="s">
        <v>3412</v>
      </c>
      <c r="B453" s="15" t="s">
        <v>3727</v>
      </c>
      <c r="C453" s="16" t="s">
        <v>3757</v>
      </c>
      <c r="D453" s="16" t="s">
        <v>3761</v>
      </c>
      <c r="E453" s="27" t="s">
        <v>3413</v>
      </c>
      <c r="F453" s="16" t="s">
        <v>3414</v>
      </c>
      <c r="G453" s="8">
        <v>24</v>
      </c>
      <c r="H453" s="8">
        <v>6</v>
      </c>
      <c r="I453" s="8"/>
      <c r="J453" s="27" t="s">
        <v>4741</v>
      </c>
      <c r="K453" s="27" t="s">
        <v>3415</v>
      </c>
      <c r="L453" s="29"/>
      <c r="M453" s="68">
        <v>1</v>
      </c>
      <c r="N453" s="68" t="s">
        <v>3133</v>
      </c>
    </row>
    <row r="454" spans="1:14" ht="14.25" x14ac:dyDescent="0.2">
      <c r="A454" s="11" t="s">
        <v>5693</v>
      </c>
      <c r="B454" s="12" t="s">
        <v>5694</v>
      </c>
      <c r="C454" s="13" t="s">
        <v>5695</v>
      </c>
      <c r="D454" s="13" t="s">
        <v>5695</v>
      </c>
      <c r="E454" s="29" t="s">
        <v>5690</v>
      </c>
      <c r="F454" s="13" t="s">
        <v>5696</v>
      </c>
      <c r="G454" s="22"/>
      <c r="H454" s="22">
        <v>10</v>
      </c>
      <c r="I454" s="22">
        <v>20</v>
      </c>
      <c r="J454" s="29" t="s">
        <v>4820</v>
      </c>
      <c r="K454" s="29" t="s">
        <v>5697</v>
      </c>
      <c r="L454" s="29"/>
      <c r="M454" s="68">
        <v>1</v>
      </c>
      <c r="N454" s="68" t="s">
        <v>5657</v>
      </c>
    </row>
    <row r="455" spans="1:14" ht="14.25" x14ac:dyDescent="0.2">
      <c r="A455" s="11" t="s">
        <v>5693</v>
      </c>
      <c r="B455" s="12" t="s">
        <v>6785</v>
      </c>
      <c r="C455" s="13" t="s">
        <v>8621</v>
      </c>
      <c r="D455" s="13" t="s">
        <v>3343</v>
      </c>
      <c r="E455" s="29" t="s">
        <v>3344</v>
      </c>
      <c r="F455" s="13" t="s">
        <v>1586</v>
      </c>
      <c r="G455" s="8"/>
      <c r="H455" s="8">
        <v>3</v>
      </c>
      <c r="I455" s="8"/>
      <c r="J455" s="29" t="s">
        <v>1258</v>
      </c>
      <c r="K455" s="29" t="s">
        <v>3345</v>
      </c>
      <c r="L455" s="29"/>
      <c r="M455" s="68">
        <v>1</v>
      </c>
      <c r="N455" s="68" t="s">
        <v>3342</v>
      </c>
    </row>
    <row r="456" spans="1:14" ht="14.25" x14ac:dyDescent="0.2">
      <c r="A456" s="14" t="s">
        <v>5693</v>
      </c>
      <c r="B456" s="15" t="s">
        <v>4581</v>
      </c>
      <c r="C456" s="16" t="s">
        <v>8621</v>
      </c>
      <c r="D456" s="16" t="s">
        <v>1943</v>
      </c>
      <c r="E456" s="27" t="s">
        <v>3134</v>
      </c>
      <c r="F456" s="16" t="s">
        <v>3135</v>
      </c>
      <c r="G456" s="8">
        <v>36</v>
      </c>
      <c r="H456" s="8"/>
      <c r="I456" s="8"/>
      <c r="J456" s="27" t="s">
        <v>1264</v>
      </c>
      <c r="K456" s="27" t="s">
        <v>3136</v>
      </c>
      <c r="L456" s="29"/>
      <c r="M456" s="68">
        <v>1</v>
      </c>
      <c r="N456" s="68" t="s">
        <v>3133</v>
      </c>
    </row>
    <row r="457" spans="1:14" ht="14.25" x14ac:dyDescent="0.2">
      <c r="A457" s="11" t="s">
        <v>5693</v>
      </c>
      <c r="B457" s="12" t="s">
        <v>3732</v>
      </c>
      <c r="C457" s="13" t="s">
        <v>3346</v>
      </c>
      <c r="D457" s="13" t="s">
        <v>735</v>
      </c>
      <c r="E457" s="29" t="s">
        <v>3387</v>
      </c>
      <c r="F457" s="13" t="s">
        <v>3388</v>
      </c>
      <c r="G457" s="8">
        <v>3</v>
      </c>
      <c r="H457" s="8">
        <v>9</v>
      </c>
      <c r="I457" s="8"/>
      <c r="J457" s="29" t="s">
        <v>4750</v>
      </c>
      <c r="K457" s="29" t="s">
        <v>3387</v>
      </c>
      <c r="L457" s="29"/>
      <c r="M457" s="68">
        <v>1</v>
      </c>
      <c r="N457" s="108" t="s">
        <v>3342</v>
      </c>
    </row>
    <row r="458" spans="1:14" ht="14.25" x14ac:dyDescent="0.2">
      <c r="A458" s="14" t="s">
        <v>3465</v>
      </c>
      <c r="B458" s="15" t="s">
        <v>3723</v>
      </c>
      <c r="C458" s="16" t="s">
        <v>3754</v>
      </c>
      <c r="D458" s="16" t="s">
        <v>3761</v>
      </c>
      <c r="E458" s="27" t="s">
        <v>3466</v>
      </c>
      <c r="F458" s="16" t="s">
        <v>3467</v>
      </c>
      <c r="G458" s="8">
        <v>39</v>
      </c>
      <c r="H458" s="8"/>
      <c r="I458" s="8"/>
      <c r="J458" s="27" t="s">
        <v>1270</v>
      </c>
      <c r="K458" s="27" t="s">
        <v>3468</v>
      </c>
      <c r="L458" s="29"/>
      <c r="M458" s="68">
        <v>1</v>
      </c>
      <c r="N458" s="68" t="s">
        <v>3133</v>
      </c>
    </row>
    <row r="459" spans="1:14" ht="14.25" x14ac:dyDescent="0.2">
      <c r="A459" s="11" t="s">
        <v>6507</v>
      </c>
      <c r="B459" s="12" t="s">
        <v>4685</v>
      </c>
      <c r="C459" s="13" t="s">
        <v>3754</v>
      </c>
      <c r="D459" s="13" t="s">
        <v>3754</v>
      </c>
      <c r="E459" s="29" t="s">
        <v>2082</v>
      </c>
      <c r="F459" s="13" t="s">
        <v>2085</v>
      </c>
      <c r="G459" s="22">
        <v>3</v>
      </c>
      <c r="H459" s="22">
        <v>3</v>
      </c>
      <c r="I459" s="22"/>
      <c r="J459" s="29" t="s">
        <v>1254</v>
      </c>
      <c r="K459" s="29" t="s">
        <v>2084</v>
      </c>
      <c r="L459" s="29"/>
      <c r="M459" s="68">
        <v>1</v>
      </c>
      <c r="N459" s="68" t="s">
        <v>2341</v>
      </c>
    </row>
    <row r="460" spans="1:14" ht="14.25" x14ac:dyDescent="0.2">
      <c r="A460" s="14" t="s">
        <v>3306</v>
      </c>
      <c r="B460" s="15" t="s">
        <v>3728</v>
      </c>
      <c r="C460" s="16" t="s">
        <v>3757</v>
      </c>
      <c r="D460" s="16" t="s">
        <v>3761</v>
      </c>
      <c r="E460" s="27" t="s">
        <v>3305</v>
      </c>
      <c r="F460" s="16" t="s">
        <v>3307</v>
      </c>
      <c r="G460" s="8">
        <v>70</v>
      </c>
      <c r="H460" s="8"/>
      <c r="I460" s="8"/>
      <c r="J460" s="27" t="s">
        <v>3308</v>
      </c>
      <c r="K460" s="27" t="s">
        <v>3309</v>
      </c>
      <c r="L460" s="29"/>
      <c r="M460" s="68">
        <v>1</v>
      </c>
      <c r="N460" s="68" t="s">
        <v>3133</v>
      </c>
    </row>
    <row r="461" spans="1:14" ht="14.25" x14ac:dyDescent="0.2">
      <c r="A461" s="11" t="s">
        <v>3306</v>
      </c>
      <c r="B461" s="12" t="s">
        <v>2071</v>
      </c>
      <c r="C461" s="13" t="s">
        <v>3757</v>
      </c>
      <c r="D461" s="13" t="s">
        <v>735</v>
      </c>
      <c r="E461" s="29" t="s">
        <v>3347</v>
      </c>
      <c r="F461" s="13" t="s">
        <v>3350</v>
      </c>
      <c r="G461" s="8">
        <v>12</v>
      </c>
      <c r="H461" s="8"/>
      <c r="I461" s="8"/>
      <c r="J461" s="29" t="s">
        <v>1264</v>
      </c>
      <c r="K461" s="29" t="s">
        <v>3349</v>
      </c>
      <c r="L461" s="29"/>
      <c r="M461" s="68">
        <v>1</v>
      </c>
      <c r="N461" s="68" t="s">
        <v>3342</v>
      </c>
    </row>
    <row r="462" spans="1:14" ht="14.25" x14ac:dyDescent="0.2">
      <c r="A462" s="11" t="s">
        <v>1957</v>
      </c>
      <c r="B462" s="12" t="s">
        <v>4685</v>
      </c>
      <c r="C462" s="13" t="s">
        <v>3754</v>
      </c>
      <c r="D462" s="13" t="s">
        <v>3761</v>
      </c>
      <c r="E462" s="29"/>
      <c r="F462" s="13" t="s">
        <v>1959</v>
      </c>
      <c r="G462" s="8">
        <v>21</v>
      </c>
      <c r="H462" s="8"/>
      <c r="I462" s="8"/>
      <c r="J462" s="29" t="s">
        <v>4751</v>
      </c>
      <c r="K462" s="55" t="s">
        <v>1956</v>
      </c>
      <c r="L462" s="94"/>
      <c r="M462" s="68">
        <v>1</v>
      </c>
      <c r="N462" s="68" t="s">
        <v>5197</v>
      </c>
    </row>
    <row r="463" spans="1:14" ht="14.25" x14ac:dyDescent="0.2">
      <c r="A463" s="9" t="s">
        <v>1957</v>
      </c>
      <c r="B463" s="5" t="s">
        <v>5712</v>
      </c>
      <c r="C463" s="10" t="s">
        <v>3754</v>
      </c>
      <c r="D463" s="10" t="s">
        <v>3763</v>
      </c>
      <c r="E463" s="55" t="s">
        <v>4980</v>
      </c>
      <c r="F463" s="10" t="s">
        <v>6846</v>
      </c>
      <c r="G463" s="8">
        <v>1</v>
      </c>
      <c r="H463" s="8"/>
      <c r="I463" s="8">
        <v>8</v>
      </c>
      <c r="J463" s="55" t="s">
        <v>1258</v>
      </c>
      <c r="K463" s="55" t="s">
        <v>6847</v>
      </c>
      <c r="L463" s="61"/>
      <c r="M463" s="68">
        <v>1</v>
      </c>
      <c r="N463" s="68" t="s">
        <v>6813</v>
      </c>
    </row>
    <row r="464" spans="1:14" ht="14.25" x14ac:dyDescent="0.2">
      <c r="A464" s="9" t="s">
        <v>1957</v>
      </c>
      <c r="B464" s="5" t="s">
        <v>3732</v>
      </c>
      <c r="C464" s="10" t="s">
        <v>3757</v>
      </c>
      <c r="D464" s="10" t="s">
        <v>3761</v>
      </c>
      <c r="E464" s="55"/>
      <c r="F464" s="10" t="s">
        <v>3754</v>
      </c>
      <c r="G464" s="8">
        <v>9</v>
      </c>
      <c r="H464" s="8"/>
      <c r="I464" s="8"/>
      <c r="J464" s="55" t="s">
        <v>1958</v>
      </c>
      <c r="K464" s="55" t="s">
        <v>1956</v>
      </c>
      <c r="L464" s="94"/>
      <c r="M464" s="68">
        <v>1</v>
      </c>
      <c r="N464" s="68" t="s">
        <v>5197</v>
      </c>
    </row>
    <row r="465" spans="1:14" ht="14.25" x14ac:dyDescent="0.2">
      <c r="A465" s="11" t="s">
        <v>1957</v>
      </c>
      <c r="B465" s="12" t="s">
        <v>348</v>
      </c>
      <c r="C465" s="13" t="s">
        <v>3754</v>
      </c>
      <c r="D465" s="13" t="s">
        <v>3754</v>
      </c>
      <c r="E465" s="29" t="s">
        <v>1499</v>
      </c>
      <c r="F465" s="13" t="s">
        <v>3678</v>
      </c>
      <c r="G465" s="25">
        <v>29</v>
      </c>
      <c r="H465" s="26"/>
      <c r="I465" s="26"/>
      <c r="J465" s="29" t="s">
        <v>3679</v>
      </c>
      <c r="K465" s="29" t="s">
        <v>3680</v>
      </c>
      <c r="L465" s="29"/>
      <c r="M465" s="68">
        <v>1</v>
      </c>
      <c r="N465" s="68" t="s">
        <v>3476</v>
      </c>
    </row>
    <row r="466" spans="1:14" ht="14.25" x14ac:dyDescent="0.2">
      <c r="A466" s="11" t="s">
        <v>1818</v>
      </c>
      <c r="B466" s="12" t="s">
        <v>1819</v>
      </c>
      <c r="C466" s="13" t="s">
        <v>3754</v>
      </c>
      <c r="D466" s="13" t="s">
        <v>3754</v>
      </c>
      <c r="E466" s="29" t="s">
        <v>1820</v>
      </c>
      <c r="F466" s="13" t="s">
        <v>1821</v>
      </c>
      <c r="G466" s="25">
        <v>24</v>
      </c>
      <c r="H466" s="25">
        <v>2</v>
      </c>
      <c r="I466" s="25">
        <v>13</v>
      </c>
      <c r="J466" s="29" t="s">
        <v>1264</v>
      </c>
      <c r="K466" s="29" t="s">
        <v>1822</v>
      </c>
      <c r="L466" s="95"/>
      <c r="M466" s="68">
        <v>1</v>
      </c>
      <c r="N466" s="68" t="s">
        <v>5196</v>
      </c>
    </row>
    <row r="467" spans="1:14" ht="14.25" x14ac:dyDescent="0.2">
      <c r="A467" s="11" t="s">
        <v>1843</v>
      </c>
      <c r="B467" s="12" t="s">
        <v>4900</v>
      </c>
      <c r="C467" s="13" t="s">
        <v>3757</v>
      </c>
      <c r="D467" s="13" t="s">
        <v>3754</v>
      </c>
      <c r="E467" s="29" t="s">
        <v>1844</v>
      </c>
      <c r="F467" s="13" t="s">
        <v>1845</v>
      </c>
      <c r="G467" s="25">
        <v>80</v>
      </c>
      <c r="H467" s="25"/>
      <c r="I467" s="25"/>
      <c r="J467" s="29" t="s">
        <v>1271</v>
      </c>
      <c r="K467" s="29" t="s">
        <v>1846</v>
      </c>
      <c r="L467" s="95"/>
      <c r="M467" s="68">
        <v>1</v>
      </c>
      <c r="N467" s="68" t="s">
        <v>5196</v>
      </c>
    </row>
    <row r="468" spans="1:14" ht="14.25" x14ac:dyDescent="0.2">
      <c r="A468" s="11" t="s">
        <v>2336</v>
      </c>
      <c r="B468" s="12" t="s">
        <v>2077</v>
      </c>
      <c r="C468" s="13" t="s">
        <v>3754</v>
      </c>
      <c r="D468" s="13" t="s">
        <v>3754</v>
      </c>
      <c r="E468" s="29">
        <v>1851</v>
      </c>
      <c r="F468" s="13" t="s">
        <v>2075</v>
      </c>
      <c r="G468" s="25"/>
      <c r="H468" s="25">
        <v>3</v>
      </c>
      <c r="I468" s="25"/>
      <c r="J468" s="29" t="s">
        <v>1416</v>
      </c>
      <c r="K468" s="29" t="s">
        <v>2076</v>
      </c>
      <c r="L468" s="29"/>
      <c r="M468" s="68">
        <v>1</v>
      </c>
      <c r="N468" s="68" t="s">
        <v>2341</v>
      </c>
    </row>
    <row r="469" spans="1:14" ht="14.25" x14ac:dyDescent="0.2">
      <c r="A469" s="11" t="s">
        <v>2336</v>
      </c>
      <c r="B469" s="12" t="s">
        <v>3740</v>
      </c>
      <c r="C469" s="13" t="s">
        <v>3754</v>
      </c>
      <c r="D469" s="13" t="s">
        <v>3754</v>
      </c>
      <c r="E469" s="29">
        <v>1852</v>
      </c>
      <c r="F469" s="13" t="s">
        <v>2075</v>
      </c>
      <c r="G469" s="25"/>
      <c r="H469" s="25">
        <v>6</v>
      </c>
      <c r="I469" s="25"/>
      <c r="J469" s="29" t="s">
        <v>1416</v>
      </c>
      <c r="K469" s="29" t="s">
        <v>2076</v>
      </c>
      <c r="L469" s="29"/>
      <c r="M469" s="68">
        <v>1</v>
      </c>
      <c r="N469" s="68" t="s">
        <v>2341</v>
      </c>
    </row>
    <row r="470" spans="1:14" ht="14.25" x14ac:dyDescent="0.2">
      <c r="A470" s="11" t="s">
        <v>2336</v>
      </c>
      <c r="B470" s="12" t="s">
        <v>4701</v>
      </c>
      <c r="C470" s="13" t="s">
        <v>3757</v>
      </c>
      <c r="D470" s="13" t="s">
        <v>3761</v>
      </c>
      <c r="E470" s="29" t="s">
        <v>1798</v>
      </c>
      <c r="F470" s="13" t="s">
        <v>1845</v>
      </c>
      <c r="G470" s="26">
        <v>30</v>
      </c>
      <c r="H470" s="26"/>
      <c r="I470" s="26"/>
      <c r="J470" s="29" t="s">
        <v>1799</v>
      </c>
      <c r="K470" s="29" t="s">
        <v>1800</v>
      </c>
      <c r="L470" s="29"/>
      <c r="M470" s="68">
        <v>1</v>
      </c>
      <c r="N470" s="68" t="s">
        <v>6813</v>
      </c>
    </row>
    <row r="471" spans="1:14" ht="14.25" x14ac:dyDescent="0.2">
      <c r="A471" s="11" t="s">
        <v>2336</v>
      </c>
      <c r="B471" s="12" t="s">
        <v>1445</v>
      </c>
      <c r="C471" s="16" t="s">
        <v>3761</v>
      </c>
      <c r="D471" s="13" t="s">
        <v>3754</v>
      </c>
      <c r="E471" s="29" t="s">
        <v>2338</v>
      </c>
      <c r="F471" s="13" t="s">
        <v>2339</v>
      </c>
      <c r="G471" s="26">
        <v>2</v>
      </c>
      <c r="H471" s="26">
        <v>3</v>
      </c>
      <c r="I471" s="26"/>
      <c r="J471" s="29" t="s">
        <v>1254</v>
      </c>
      <c r="K471" s="109" t="s">
        <v>2340</v>
      </c>
      <c r="L471" s="95"/>
      <c r="M471" s="68">
        <v>1</v>
      </c>
      <c r="N471" s="68" t="s">
        <v>5950</v>
      </c>
    </row>
    <row r="472" spans="1:14" ht="14.25" x14ac:dyDescent="0.2">
      <c r="A472" s="11" t="s">
        <v>5933</v>
      </c>
      <c r="B472" s="12" t="s">
        <v>5135</v>
      </c>
      <c r="C472" s="13" t="s">
        <v>3754</v>
      </c>
      <c r="D472" s="13" t="s">
        <v>3754</v>
      </c>
      <c r="E472" s="29" t="s">
        <v>1329</v>
      </c>
      <c r="F472" s="13" t="s">
        <v>5934</v>
      </c>
      <c r="G472" s="25">
        <v>1</v>
      </c>
      <c r="H472" s="25">
        <v>4</v>
      </c>
      <c r="I472" s="25"/>
      <c r="J472" s="29" t="s">
        <v>4790</v>
      </c>
      <c r="K472" s="29" t="s">
        <v>5935</v>
      </c>
      <c r="L472" s="29"/>
      <c r="M472" s="68">
        <v>1</v>
      </c>
      <c r="N472" s="68" t="s">
        <v>5657</v>
      </c>
    </row>
    <row r="473" spans="1:14" ht="28.5" x14ac:dyDescent="0.2">
      <c r="A473" s="11" t="s">
        <v>5933</v>
      </c>
      <c r="B473" s="12" t="s">
        <v>3734</v>
      </c>
      <c r="C473" s="13" t="s">
        <v>3768</v>
      </c>
      <c r="D473" s="23"/>
      <c r="E473" s="29" t="s">
        <v>6948</v>
      </c>
      <c r="F473" s="13" t="s">
        <v>5934</v>
      </c>
      <c r="G473" s="26">
        <v>26</v>
      </c>
      <c r="H473" s="26">
        <v>3</v>
      </c>
      <c r="I473" s="26">
        <v>4</v>
      </c>
      <c r="J473" s="29" t="s">
        <v>5968</v>
      </c>
      <c r="K473" s="29" t="s">
        <v>5969</v>
      </c>
      <c r="L473" s="29" t="s">
        <v>6704</v>
      </c>
      <c r="M473" s="68">
        <v>1</v>
      </c>
      <c r="N473" s="68" t="s">
        <v>5950</v>
      </c>
    </row>
    <row r="474" spans="1:14" ht="14.25" x14ac:dyDescent="0.2">
      <c r="A474" s="11" t="s">
        <v>5933</v>
      </c>
      <c r="B474" s="12" t="s">
        <v>4685</v>
      </c>
      <c r="C474" s="13" t="s">
        <v>3757</v>
      </c>
      <c r="D474" s="13" t="s">
        <v>3754</v>
      </c>
      <c r="E474" s="29">
        <v>1872</v>
      </c>
      <c r="F474" s="13" t="s">
        <v>2078</v>
      </c>
      <c r="G474" s="25">
        <v>30</v>
      </c>
      <c r="H474" s="25"/>
      <c r="I474" s="25"/>
      <c r="J474" s="29" t="s">
        <v>2079</v>
      </c>
      <c r="K474" s="29" t="s">
        <v>2076</v>
      </c>
      <c r="L474" s="29"/>
      <c r="M474" s="68">
        <v>1</v>
      </c>
      <c r="N474" s="68" t="s">
        <v>2341</v>
      </c>
    </row>
    <row r="475" spans="1:14" ht="14.25" x14ac:dyDescent="0.2">
      <c r="A475" s="11" t="s">
        <v>5933</v>
      </c>
      <c r="B475" s="12" t="s">
        <v>4685</v>
      </c>
      <c r="C475" s="13" t="s">
        <v>5706</v>
      </c>
      <c r="D475" s="13" t="s">
        <v>6811</v>
      </c>
      <c r="E475" s="29">
        <v>39999</v>
      </c>
      <c r="F475" s="13"/>
      <c r="G475" s="25">
        <v>39</v>
      </c>
      <c r="H475" s="25"/>
      <c r="I475" s="25"/>
      <c r="J475" s="29" t="s">
        <v>1266</v>
      </c>
      <c r="K475" s="29" t="s">
        <v>6812</v>
      </c>
      <c r="L475" s="95"/>
      <c r="M475" s="68">
        <v>1</v>
      </c>
      <c r="N475" s="68" t="s">
        <v>2341</v>
      </c>
    </row>
    <row r="476" spans="1:14" ht="14.25" x14ac:dyDescent="0.2">
      <c r="A476" s="11" t="s">
        <v>5933</v>
      </c>
      <c r="B476" s="12" t="s">
        <v>4685</v>
      </c>
      <c r="C476" s="13" t="s">
        <v>3757</v>
      </c>
      <c r="D476" s="13"/>
      <c r="E476" s="29" t="s">
        <v>6027</v>
      </c>
      <c r="F476" s="13" t="s">
        <v>6028</v>
      </c>
      <c r="G476" s="26">
        <v>57</v>
      </c>
      <c r="H476" s="26"/>
      <c r="I476" s="26"/>
      <c r="J476" s="29" t="s">
        <v>1266</v>
      </c>
      <c r="K476" s="29" t="s">
        <v>6029</v>
      </c>
      <c r="L476" s="29"/>
      <c r="M476" s="68">
        <v>1</v>
      </c>
      <c r="N476" s="68" t="s">
        <v>5950</v>
      </c>
    </row>
    <row r="477" spans="1:14" ht="14.25" x14ac:dyDescent="0.2">
      <c r="A477" s="14" t="s">
        <v>5933</v>
      </c>
      <c r="B477" s="15" t="s">
        <v>3740</v>
      </c>
      <c r="C477" s="16" t="s">
        <v>3757</v>
      </c>
      <c r="D477" s="16" t="s">
        <v>3761</v>
      </c>
      <c r="E477" s="27" t="s">
        <v>3407</v>
      </c>
      <c r="F477" s="16" t="s">
        <v>3408</v>
      </c>
      <c r="G477" s="26">
        <v>54</v>
      </c>
      <c r="H477" s="26"/>
      <c r="I477" s="26"/>
      <c r="J477" s="27" t="s">
        <v>1264</v>
      </c>
      <c r="K477" s="27" t="s">
        <v>3409</v>
      </c>
      <c r="L477" s="29"/>
      <c r="M477" s="68">
        <v>1</v>
      </c>
      <c r="N477" s="68" t="s">
        <v>3133</v>
      </c>
    </row>
    <row r="478" spans="1:14" ht="14.25" x14ac:dyDescent="0.2">
      <c r="A478" s="11" t="s">
        <v>5933</v>
      </c>
      <c r="B478" s="12" t="s">
        <v>3723</v>
      </c>
      <c r="C478" s="13" t="s">
        <v>3754</v>
      </c>
      <c r="D478" s="13" t="s">
        <v>3754</v>
      </c>
      <c r="E478" s="29" t="s">
        <v>5937</v>
      </c>
      <c r="F478" s="13" t="s">
        <v>2078</v>
      </c>
      <c r="G478" s="25">
        <v>18</v>
      </c>
      <c r="H478" s="25"/>
      <c r="I478" s="25"/>
      <c r="J478" s="29" t="s">
        <v>1264</v>
      </c>
      <c r="K478" s="29" t="s">
        <v>2076</v>
      </c>
      <c r="L478" s="29"/>
      <c r="M478" s="68">
        <v>1</v>
      </c>
      <c r="N478" s="68" t="s">
        <v>2341</v>
      </c>
    </row>
    <row r="479" spans="1:14" ht="14.25" x14ac:dyDescent="0.2">
      <c r="A479" s="11" t="s">
        <v>5933</v>
      </c>
      <c r="B479" s="12" t="s">
        <v>3750</v>
      </c>
      <c r="C479" s="13" t="s">
        <v>3754</v>
      </c>
      <c r="D479" s="13" t="s">
        <v>3754</v>
      </c>
      <c r="E479" s="29" t="s">
        <v>2352</v>
      </c>
      <c r="F479" s="13" t="s">
        <v>5934</v>
      </c>
      <c r="G479" s="25">
        <v>9</v>
      </c>
      <c r="H479" s="25">
        <v>3</v>
      </c>
      <c r="I479" s="25"/>
      <c r="J479" s="29" t="s">
        <v>1277</v>
      </c>
      <c r="K479" s="29" t="s">
        <v>2054</v>
      </c>
      <c r="L479" s="29"/>
      <c r="M479" s="68">
        <v>1</v>
      </c>
      <c r="N479" s="68" t="s">
        <v>2341</v>
      </c>
    </row>
    <row r="480" spans="1:14" ht="14.25" x14ac:dyDescent="0.2">
      <c r="A480" s="11" t="s">
        <v>5933</v>
      </c>
      <c r="B480" s="12" t="s">
        <v>4701</v>
      </c>
      <c r="C480" s="13" t="s">
        <v>3757</v>
      </c>
      <c r="D480" s="13" t="s">
        <v>3754</v>
      </c>
      <c r="E480" s="29">
        <v>1854</v>
      </c>
      <c r="F480" s="13" t="s">
        <v>2080</v>
      </c>
      <c r="G480" s="25">
        <v>50</v>
      </c>
      <c r="H480" s="25"/>
      <c r="I480" s="25"/>
      <c r="J480" s="29" t="s">
        <v>1264</v>
      </c>
      <c r="K480" s="29" t="s">
        <v>2076</v>
      </c>
      <c r="L480" s="29"/>
      <c r="M480" s="68">
        <v>1</v>
      </c>
      <c r="N480" s="68" t="s">
        <v>2341</v>
      </c>
    </row>
    <row r="481" spans="1:14" ht="14.25" x14ac:dyDescent="0.2">
      <c r="A481" s="11" t="s">
        <v>5933</v>
      </c>
      <c r="B481" s="12" t="s">
        <v>5085</v>
      </c>
      <c r="C481" s="13" t="s">
        <v>3754</v>
      </c>
      <c r="D481" s="13" t="s">
        <v>3761</v>
      </c>
      <c r="E481" s="29" t="s">
        <v>6895</v>
      </c>
      <c r="F481" s="13" t="s">
        <v>6896</v>
      </c>
      <c r="G481" s="26">
        <v>21</v>
      </c>
      <c r="H481" s="26"/>
      <c r="I481" s="26"/>
      <c r="J481" s="29" t="s">
        <v>1264</v>
      </c>
      <c r="K481" s="29" t="s">
        <v>6897</v>
      </c>
      <c r="L481" s="29"/>
      <c r="M481" s="68">
        <v>1</v>
      </c>
      <c r="N481" s="68" t="s">
        <v>6813</v>
      </c>
    </row>
    <row r="482" spans="1:14" ht="14.25" x14ac:dyDescent="0.2">
      <c r="A482" s="14" t="s">
        <v>5933</v>
      </c>
      <c r="B482" s="15" t="s">
        <v>3733</v>
      </c>
      <c r="C482" s="16" t="s">
        <v>3757</v>
      </c>
      <c r="D482" s="16" t="s">
        <v>3761</v>
      </c>
      <c r="E482" s="27" t="s">
        <v>3397</v>
      </c>
      <c r="F482" s="16" t="s">
        <v>3398</v>
      </c>
      <c r="G482" s="26">
        <v>64</v>
      </c>
      <c r="H482" s="26"/>
      <c r="I482" s="26"/>
      <c r="J482" s="27"/>
      <c r="K482" s="27" t="s">
        <v>3399</v>
      </c>
      <c r="L482" s="29"/>
      <c r="M482" s="68">
        <v>1</v>
      </c>
      <c r="N482" s="68" t="s">
        <v>3133</v>
      </c>
    </row>
    <row r="483" spans="1:14" ht="14.25" x14ac:dyDescent="0.2">
      <c r="A483" s="11" t="s">
        <v>1814</v>
      </c>
      <c r="B483" s="12" t="s">
        <v>1432</v>
      </c>
      <c r="C483" s="13" t="s">
        <v>3757</v>
      </c>
      <c r="D483" s="13" t="s">
        <v>3754</v>
      </c>
      <c r="E483" s="29" t="s">
        <v>2346</v>
      </c>
      <c r="F483" s="13" t="s">
        <v>2347</v>
      </c>
      <c r="G483" s="25">
        <v>54</v>
      </c>
      <c r="H483" s="25"/>
      <c r="I483" s="25"/>
      <c r="J483" s="29" t="s">
        <v>1271</v>
      </c>
      <c r="K483" s="29" t="s">
        <v>2348</v>
      </c>
      <c r="L483" s="29"/>
      <c r="M483" s="68">
        <v>1</v>
      </c>
      <c r="N483" s="68" t="s">
        <v>2341</v>
      </c>
    </row>
    <row r="484" spans="1:14" ht="14.25" x14ac:dyDescent="0.2">
      <c r="A484" s="11" t="s">
        <v>1814</v>
      </c>
      <c r="B484" s="12" t="s">
        <v>3724</v>
      </c>
      <c r="C484" s="13" t="s">
        <v>3757</v>
      </c>
      <c r="D484" s="13" t="s">
        <v>3754</v>
      </c>
      <c r="E484" s="29" t="s">
        <v>2287</v>
      </c>
      <c r="F484" s="13" t="s">
        <v>2288</v>
      </c>
      <c r="G484" s="26">
        <v>44</v>
      </c>
      <c r="H484" s="26"/>
      <c r="I484" s="26"/>
      <c r="J484" s="29" t="s">
        <v>8624</v>
      </c>
      <c r="K484" s="29" t="s">
        <v>2289</v>
      </c>
      <c r="L484" s="29"/>
      <c r="M484" s="68">
        <v>1</v>
      </c>
      <c r="N484" s="68" t="s">
        <v>5950</v>
      </c>
    </row>
    <row r="485" spans="1:14" ht="14.25" x14ac:dyDescent="0.2">
      <c r="A485" s="11" t="s">
        <v>1814</v>
      </c>
      <c r="B485" s="12" t="s">
        <v>3724</v>
      </c>
      <c r="C485" s="13" t="s">
        <v>3757</v>
      </c>
      <c r="D485" s="13" t="s">
        <v>3761</v>
      </c>
      <c r="E485" s="29" t="s">
        <v>5641</v>
      </c>
      <c r="F485" s="13" t="s">
        <v>5642</v>
      </c>
      <c r="G485" s="26">
        <v>77</v>
      </c>
      <c r="H485" s="26"/>
      <c r="I485" s="26"/>
      <c r="J485" s="29" t="s">
        <v>1264</v>
      </c>
      <c r="K485" s="29" t="s">
        <v>5643</v>
      </c>
      <c r="L485" s="95"/>
      <c r="M485" s="68">
        <v>1</v>
      </c>
      <c r="N485" s="68" t="s">
        <v>5197</v>
      </c>
    </row>
    <row r="486" spans="1:14" ht="14.25" x14ac:dyDescent="0.2">
      <c r="A486" s="11" t="s">
        <v>1814</v>
      </c>
      <c r="B486" s="12" t="s">
        <v>5086</v>
      </c>
      <c r="C486" s="13" t="s">
        <v>3757</v>
      </c>
      <c r="D486" s="13" t="s">
        <v>3754</v>
      </c>
      <c r="E486" s="29" t="s">
        <v>2326</v>
      </c>
      <c r="F486" s="13" t="s">
        <v>2327</v>
      </c>
      <c r="G486" s="26">
        <v>82</v>
      </c>
      <c r="H486" s="26"/>
      <c r="I486" s="26"/>
      <c r="J486" s="29" t="s">
        <v>1271</v>
      </c>
      <c r="K486" s="29" t="s">
        <v>2328</v>
      </c>
      <c r="L486" s="29"/>
      <c r="M486" s="68">
        <v>1</v>
      </c>
      <c r="N486" s="68" t="s">
        <v>5950</v>
      </c>
    </row>
    <row r="487" spans="1:14" ht="14.25" x14ac:dyDescent="0.2">
      <c r="A487" s="11" t="s">
        <v>1814</v>
      </c>
      <c r="B487" s="12" t="s">
        <v>1935</v>
      </c>
      <c r="C487" s="13" t="s">
        <v>3754</v>
      </c>
      <c r="D487" s="13" t="s">
        <v>3761</v>
      </c>
      <c r="E487" s="29"/>
      <c r="F487" s="13" t="s">
        <v>1936</v>
      </c>
      <c r="G487" s="26">
        <v>6</v>
      </c>
      <c r="H487" s="26">
        <v>6</v>
      </c>
      <c r="I487" s="26"/>
      <c r="J487" s="29" t="s">
        <v>1258</v>
      </c>
      <c r="K487" s="29" t="s">
        <v>1937</v>
      </c>
      <c r="L487" s="95"/>
      <c r="M487" s="68">
        <v>1</v>
      </c>
      <c r="N487" s="68" t="s">
        <v>5197</v>
      </c>
    </row>
    <row r="488" spans="1:14" ht="14.25" x14ac:dyDescent="0.2">
      <c r="A488" s="14" t="s">
        <v>1814</v>
      </c>
      <c r="B488" s="15" t="s">
        <v>3740</v>
      </c>
      <c r="C488" s="16" t="s">
        <v>3754</v>
      </c>
      <c r="D488" s="16" t="s">
        <v>3761</v>
      </c>
      <c r="E488" s="27" t="s">
        <v>3458</v>
      </c>
      <c r="F488" s="16" t="s">
        <v>3459</v>
      </c>
      <c r="G488" s="26">
        <v>2</v>
      </c>
      <c r="H488" s="26">
        <v>6</v>
      </c>
      <c r="I488" s="26"/>
      <c r="J488" s="27" t="s">
        <v>1258</v>
      </c>
      <c r="K488" s="27" t="s">
        <v>3460</v>
      </c>
      <c r="L488" s="29"/>
      <c r="M488" s="68">
        <v>1</v>
      </c>
      <c r="N488" s="68" t="s">
        <v>3133</v>
      </c>
    </row>
    <row r="489" spans="1:14" ht="14.25" x14ac:dyDescent="0.2">
      <c r="A489" s="11" t="s">
        <v>1814</v>
      </c>
      <c r="B489" s="12" t="s">
        <v>3740</v>
      </c>
      <c r="C489" s="13" t="s">
        <v>3757</v>
      </c>
      <c r="D489" s="13" t="s">
        <v>3754</v>
      </c>
      <c r="E489" s="29" t="s">
        <v>1771</v>
      </c>
      <c r="F489" s="13" t="s">
        <v>1772</v>
      </c>
      <c r="G489" s="25">
        <v>28</v>
      </c>
      <c r="H489" s="25">
        <v>9</v>
      </c>
      <c r="I489" s="25"/>
      <c r="J489" s="29" t="s">
        <v>1264</v>
      </c>
      <c r="K489" s="29" t="s">
        <v>1773</v>
      </c>
      <c r="L489" s="29"/>
      <c r="M489" s="68">
        <v>1</v>
      </c>
      <c r="N489" s="68" t="s">
        <v>5657</v>
      </c>
    </row>
    <row r="490" spans="1:14" ht="14.25" x14ac:dyDescent="0.2">
      <c r="A490" s="11" t="s">
        <v>1814</v>
      </c>
      <c r="B490" s="12" t="s">
        <v>3740</v>
      </c>
      <c r="C490" s="13" t="s">
        <v>3757</v>
      </c>
      <c r="D490" s="13" t="s">
        <v>3761</v>
      </c>
      <c r="E490" s="29" t="s">
        <v>1938</v>
      </c>
      <c r="F490" s="13" t="s">
        <v>1936</v>
      </c>
      <c r="G490" s="26">
        <v>35</v>
      </c>
      <c r="H490" s="26"/>
      <c r="I490" s="26"/>
      <c r="J490" s="29" t="s">
        <v>1272</v>
      </c>
      <c r="K490" s="29" t="s">
        <v>1939</v>
      </c>
      <c r="L490" s="95"/>
      <c r="M490" s="68">
        <v>1</v>
      </c>
      <c r="N490" s="68" t="s">
        <v>5197</v>
      </c>
    </row>
    <row r="491" spans="1:14" ht="14.25" x14ac:dyDescent="0.2">
      <c r="A491" s="11" t="s">
        <v>1814</v>
      </c>
      <c r="B491" s="12" t="s">
        <v>1922</v>
      </c>
      <c r="C491" s="13" t="s">
        <v>3757</v>
      </c>
      <c r="D491" s="13" t="s">
        <v>3754</v>
      </c>
      <c r="E491" s="29" t="s">
        <v>2128</v>
      </c>
      <c r="F491" s="13" t="s">
        <v>3962</v>
      </c>
      <c r="G491" s="25">
        <v>25</v>
      </c>
      <c r="H491" s="26"/>
      <c r="I491" s="26"/>
      <c r="J491" s="29" t="s">
        <v>1270</v>
      </c>
      <c r="K491" s="29" t="s">
        <v>7177</v>
      </c>
      <c r="L491" s="29"/>
      <c r="M491" s="68">
        <v>1</v>
      </c>
      <c r="N491" s="68" t="s">
        <v>3476</v>
      </c>
    </row>
    <row r="492" spans="1:14" ht="14.25" x14ac:dyDescent="0.2">
      <c r="A492" s="11" t="s">
        <v>1814</v>
      </c>
      <c r="B492" s="12" t="s">
        <v>3732</v>
      </c>
      <c r="C492" s="13" t="s">
        <v>3757</v>
      </c>
      <c r="D492" s="13" t="s">
        <v>3761</v>
      </c>
      <c r="E492" s="29" t="s">
        <v>1894</v>
      </c>
      <c r="F492" s="13" t="s">
        <v>1895</v>
      </c>
      <c r="G492" s="26">
        <v>47</v>
      </c>
      <c r="H492" s="26"/>
      <c r="I492" s="26"/>
      <c r="J492" s="29" t="s">
        <v>1264</v>
      </c>
      <c r="K492" s="29" t="s">
        <v>1896</v>
      </c>
      <c r="L492" s="95"/>
      <c r="M492" s="68">
        <v>1</v>
      </c>
      <c r="N492" s="68" t="s">
        <v>5197</v>
      </c>
    </row>
    <row r="493" spans="1:14" ht="14.25" x14ac:dyDescent="0.2">
      <c r="A493" s="11" t="s">
        <v>1814</v>
      </c>
      <c r="B493" s="12" t="s">
        <v>3732</v>
      </c>
      <c r="C493" s="13" t="s">
        <v>3754</v>
      </c>
      <c r="D493" s="13" t="s">
        <v>3754</v>
      </c>
      <c r="E493" s="29" t="s">
        <v>57</v>
      </c>
      <c r="F493" s="13" t="s">
        <v>3962</v>
      </c>
      <c r="G493" s="25"/>
      <c r="H493" s="26">
        <v>3</v>
      </c>
      <c r="I493" s="26"/>
      <c r="J493" s="29"/>
      <c r="K493" s="29" t="s">
        <v>59</v>
      </c>
      <c r="L493" s="29"/>
      <c r="M493" s="68">
        <v>1</v>
      </c>
      <c r="N493" s="68" t="s">
        <v>3476</v>
      </c>
    </row>
    <row r="494" spans="1:14" ht="14.25" x14ac:dyDescent="0.2">
      <c r="A494" s="11" t="s">
        <v>1814</v>
      </c>
      <c r="B494" s="12" t="s">
        <v>3723</v>
      </c>
      <c r="C494" s="13" t="s">
        <v>3757</v>
      </c>
      <c r="D494" s="13" t="s">
        <v>3761</v>
      </c>
      <c r="E494" s="29" t="s">
        <v>1904</v>
      </c>
      <c r="F494" s="13" t="s">
        <v>1905</v>
      </c>
      <c r="G494" s="26">
        <v>19</v>
      </c>
      <c r="H494" s="26"/>
      <c r="I494" s="26"/>
      <c r="J494" s="29" t="s">
        <v>1264</v>
      </c>
      <c r="K494" s="29" t="s">
        <v>1906</v>
      </c>
      <c r="L494" s="95"/>
      <c r="M494" s="68">
        <v>1</v>
      </c>
      <c r="N494" s="68" t="s">
        <v>5197</v>
      </c>
    </row>
    <row r="495" spans="1:14" ht="14.25" x14ac:dyDescent="0.2">
      <c r="A495" s="11" t="s">
        <v>1814</v>
      </c>
      <c r="B495" s="12" t="s">
        <v>3746</v>
      </c>
      <c r="C495" s="13" t="s">
        <v>3757</v>
      </c>
      <c r="D495" s="13" t="s">
        <v>3754</v>
      </c>
      <c r="E495" s="29" t="s">
        <v>1815</v>
      </c>
      <c r="F495" s="13" t="s">
        <v>1816</v>
      </c>
      <c r="G495" s="25">
        <v>24</v>
      </c>
      <c r="H495" s="25">
        <v>2</v>
      </c>
      <c r="I495" s="25"/>
      <c r="J495" s="29" t="s">
        <v>1264</v>
      </c>
      <c r="K495" s="29" t="s">
        <v>1817</v>
      </c>
      <c r="L495" s="95"/>
      <c r="M495" s="68">
        <v>1</v>
      </c>
      <c r="N495" s="68" t="s">
        <v>5196</v>
      </c>
    </row>
    <row r="496" spans="1:14" ht="14.25" x14ac:dyDescent="0.2">
      <c r="A496" s="11" t="s">
        <v>1814</v>
      </c>
      <c r="B496" s="12" t="s">
        <v>5087</v>
      </c>
      <c r="C496" s="13" t="s">
        <v>3757</v>
      </c>
      <c r="D496" s="13" t="s">
        <v>735</v>
      </c>
      <c r="E496" s="29" t="s">
        <v>3365</v>
      </c>
      <c r="F496" s="13" t="s">
        <v>3366</v>
      </c>
      <c r="G496" s="26">
        <v>38</v>
      </c>
      <c r="H496" s="26">
        <v>7</v>
      </c>
      <c r="I496" s="26">
        <v>8</v>
      </c>
      <c r="J496" s="29" t="s">
        <v>1264</v>
      </c>
      <c r="K496" s="29" t="s">
        <v>3367</v>
      </c>
      <c r="L496" s="29"/>
      <c r="M496" s="68">
        <v>1</v>
      </c>
      <c r="N496" s="108" t="s">
        <v>3342</v>
      </c>
    </row>
    <row r="497" spans="1:14" ht="14.25" x14ac:dyDescent="0.2">
      <c r="A497" s="11" t="s">
        <v>1814</v>
      </c>
      <c r="B497" s="12" t="s">
        <v>1445</v>
      </c>
      <c r="C497" s="13" t="s">
        <v>3757</v>
      </c>
      <c r="D497" s="13" t="s">
        <v>3763</v>
      </c>
      <c r="E497" s="29" t="s">
        <v>1803</v>
      </c>
      <c r="F497" s="13" t="s">
        <v>1804</v>
      </c>
      <c r="G497" s="26">
        <v>60</v>
      </c>
      <c r="H497" s="26"/>
      <c r="I497" s="26"/>
      <c r="J497" s="29" t="s">
        <v>1271</v>
      </c>
      <c r="K497" s="29" t="s">
        <v>6867</v>
      </c>
      <c r="L497" s="29"/>
      <c r="M497" s="68">
        <v>1</v>
      </c>
      <c r="N497" s="68" t="s">
        <v>6813</v>
      </c>
    </row>
    <row r="498" spans="1:14" ht="14.25" x14ac:dyDescent="0.2">
      <c r="A498" s="11" t="s">
        <v>1861</v>
      </c>
      <c r="B498" s="12" t="s">
        <v>4690</v>
      </c>
      <c r="C498" s="13" t="s">
        <v>3754</v>
      </c>
      <c r="D498" s="26" t="s">
        <v>3754</v>
      </c>
      <c r="E498" s="29" t="s">
        <v>1862</v>
      </c>
      <c r="F498" s="13" t="s">
        <v>3754</v>
      </c>
      <c r="G498" s="25">
        <v>5</v>
      </c>
      <c r="H498" s="25">
        <v>6</v>
      </c>
      <c r="I498" s="25"/>
      <c r="J498" s="29" t="s">
        <v>1854</v>
      </c>
      <c r="K498" s="29" t="s">
        <v>1863</v>
      </c>
      <c r="L498" s="95"/>
      <c r="M498" s="68">
        <v>1</v>
      </c>
      <c r="N498" s="68" t="s">
        <v>5196</v>
      </c>
    </row>
    <row r="499" spans="1:14" ht="14.25" x14ac:dyDescent="0.2">
      <c r="A499" s="11" t="s">
        <v>1861</v>
      </c>
      <c r="B499" s="12" t="s">
        <v>3728</v>
      </c>
      <c r="C499" s="13" t="s">
        <v>3754</v>
      </c>
      <c r="D499" s="13" t="s">
        <v>3754</v>
      </c>
      <c r="E499" s="29" t="s">
        <v>3676</v>
      </c>
      <c r="F499" s="13" t="s">
        <v>3677</v>
      </c>
      <c r="G499" s="25">
        <v>6</v>
      </c>
      <c r="H499" s="26"/>
      <c r="I499" s="26"/>
      <c r="J499" s="29" t="s">
        <v>1259</v>
      </c>
      <c r="K499" s="29" t="s">
        <v>1304</v>
      </c>
      <c r="L499" s="29"/>
      <c r="M499" s="68">
        <v>1</v>
      </c>
      <c r="N499" s="68" t="s">
        <v>3476</v>
      </c>
    </row>
    <row r="500" spans="1:14" ht="14.25" x14ac:dyDescent="0.2">
      <c r="A500" s="11" t="s">
        <v>1861</v>
      </c>
      <c r="B500" s="12" t="s">
        <v>3732</v>
      </c>
      <c r="C500" s="13" t="s">
        <v>3754</v>
      </c>
      <c r="D500" s="13" t="s">
        <v>3761</v>
      </c>
      <c r="E500" s="29" t="s">
        <v>1864</v>
      </c>
      <c r="F500" s="13" t="s">
        <v>3754</v>
      </c>
      <c r="G500" s="26"/>
      <c r="H500" s="26">
        <v>2</v>
      </c>
      <c r="I500" s="26">
        <v>21</v>
      </c>
      <c r="J500" s="29" t="s">
        <v>1261</v>
      </c>
      <c r="K500" s="29" t="s">
        <v>1863</v>
      </c>
      <c r="L500" s="95"/>
      <c r="M500" s="68">
        <v>1</v>
      </c>
      <c r="N500" s="68" t="s">
        <v>5197</v>
      </c>
    </row>
    <row r="501" spans="1:14" ht="14.25" x14ac:dyDescent="0.2">
      <c r="A501" s="11" t="s">
        <v>1861</v>
      </c>
      <c r="B501" s="12" t="s">
        <v>4701</v>
      </c>
      <c r="C501" s="13" t="s">
        <v>3754</v>
      </c>
      <c r="D501" s="13" t="s">
        <v>3754</v>
      </c>
      <c r="E501" s="29" t="s">
        <v>5202</v>
      </c>
      <c r="F501" s="13" t="s">
        <v>39</v>
      </c>
      <c r="G501" s="25"/>
      <c r="H501" s="26">
        <v>8</v>
      </c>
      <c r="I501" s="26"/>
      <c r="J501" s="29" t="s">
        <v>1258</v>
      </c>
      <c r="K501" s="29" t="s">
        <v>717</v>
      </c>
      <c r="L501" s="29"/>
      <c r="M501" s="68">
        <v>1</v>
      </c>
      <c r="N501" s="68" t="s">
        <v>3476</v>
      </c>
    </row>
    <row r="502" spans="1:14" ht="14.25" x14ac:dyDescent="0.2">
      <c r="A502" s="11" t="s">
        <v>1861</v>
      </c>
      <c r="B502" s="12" t="s">
        <v>3733</v>
      </c>
      <c r="C502" s="13" t="s">
        <v>3754</v>
      </c>
      <c r="D502" s="13" t="s">
        <v>3761</v>
      </c>
      <c r="E502" s="29" t="s">
        <v>1865</v>
      </c>
      <c r="F502" s="13" t="s">
        <v>3754</v>
      </c>
      <c r="G502" s="26"/>
      <c r="H502" s="26">
        <v>6</v>
      </c>
      <c r="I502" s="26"/>
      <c r="J502" s="29" t="s">
        <v>1261</v>
      </c>
      <c r="K502" s="29" t="s">
        <v>1863</v>
      </c>
      <c r="L502" s="95"/>
      <c r="M502" s="68">
        <v>1</v>
      </c>
      <c r="N502" s="68" t="s">
        <v>5197</v>
      </c>
    </row>
    <row r="503" spans="1:14" ht="14.25" x14ac:dyDescent="0.2">
      <c r="A503" s="11" t="s">
        <v>2349</v>
      </c>
      <c r="B503" s="12" t="s">
        <v>3734</v>
      </c>
      <c r="C503" s="13" t="s">
        <v>3757</v>
      </c>
      <c r="D503" s="13" t="s">
        <v>3754</v>
      </c>
      <c r="E503" s="29" t="s">
        <v>4928</v>
      </c>
      <c r="F503" s="13" t="s">
        <v>2350</v>
      </c>
      <c r="G503" s="25">
        <v>60</v>
      </c>
      <c r="H503" s="25"/>
      <c r="I503" s="25"/>
      <c r="J503" s="29" t="s">
        <v>2351</v>
      </c>
      <c r="K503" s="29" t="s">
        <v>2348</v>
      </c>
      <c r="L503" s="29"/>
      <c r="M503" s="68">
        <v>1</v>
      </c>
      <c r="N503" s="68" t="s">
        <v>2341</v>
      </c>
    </row>
    <row r="504" spans="1:14" ht="14.25" x14ac:dyDescent="0.2">
      <c r="A504" s="11" t="s">
        <v>5988</v>
      </c>
      <c r="B504" s="12" t="s">
        <v>5088</v>
      </c>
      <c r="C504" s="13" t="s">
        <v>636</v>
      </c>
      <c r="D504" s="13" t="s">
        <v>3754</v>
      </c>
      <c r="E504" s="29" t="s">
        <v>418</v>
      </c>
      <c r="F504" s="13" t="s">
        <v>2274</v>
      </c>
      <c r="G504" s="26">
        <v>25</v>
      </c>
      <c r="H504" s="26"/>
      <c r="I504" s="26"/>
      <c r="J504" s="29" t="s">
        <v>1264</v>
      </c>
      <c r="K504" s="29" t="s">
        <v>2275</v>
      </c>
      <c r="L504" s="29"/>
      <c r="M504" s="68">
        <v>1</v>
      </c>
      <c r="N504" s="68" t="s">
        <v>5950</v>
      </c>
    </row>
    <row r="505" spans="1:14" ht="14.25" x14ac:dyDescent="0.2">
      <c r="A505" s="11" t="s">
        <v>5988</v>
      </c>
      <c r="B505" s="12" t="s">
        <v>2094</v>
      </c>
      <c r="C505" s="13" t="s">
        <v>3754</v>
      </c>
      <c r="D505" s="13" t="s">
        <v>3754</v>
      </c>
      <c r="E505" s="29" t="s">
        <v>3132</v>
      </c>
      <c r="F505" s="13" t="s">
        <v>3754</v>
      </c>
      <c r="G505" s="26"/>
      <c r="H505" s="26">
        <v>2</v>
      </c>
      <c r="I505" s="26"/>
      <c r="J505" s="29" t="s">
        <v>4829</v>
      </c>
      <c r="K505" s="29" t="s">
        <v>6867</v>
      </c>
      <c r="L505" s="94"/>
      <c r="M505" s="68">
        <v>1</v>
      </c>
      <c r="N505" s="68" t="s">
        <v>6813</v>
      </c>
    </row>
    <row r="506" spans="1:14" ht="14.25" x14ac:dyDescent="0.2">
      <c r="A506" s="9" t="s">
        <v>5988</v>
      </c>
      <c r="B506" s="5" t="s">
        <v>5904</v>
      </c>
      <c r="C506" s="19" t="s">
        <v>3761</v>
      </c>
      <c r="D506" s="10" t="s">
        <v>3754</v>
      </c>
      <c r="E506" s="55" t="s">
        <v>5989</v>
      </c>
      <c r="F506" s="10" t="s">
        <v>5990</v>
      </c>
      <c r="G506" s="8">
        <v>9</v>
      </c>
      <c r="H506" s="8"/>
      <c r="I506" s="8"/>
      <c r="J506" s="55" t="s">
        <v>1276</v>
      </c>
      <c r="K506" s="55" t="s">
        <v>5991</v>
      </c>
      <c r="L506" s="61"/>
      <c r="M506" s="68">
        <v>1</v>
      </c>
      <c r="N506" s="68" t="s">
        <v>5950</v>
      </c>
    </row>
    <row r="507" spans="1:14" ht="14.25" x14ac:dyDescent="0.2">
      <c r="A507" s="9" t="s">
        <v>1784</v>
      </c>
      <c r="B507" s="5" t="s">
        <v>4908</v>
      </c>
      <c r="C507" s="10" t="s">
        <v>1785</v>
      </c>
      <c r="D507" s="10" t="s">
        <v>1785</v>
      </c>
      <c r="E507" s="55" t="s">
        <v>3086</v>
      </c>
      <c r="F507" s="10" t="s">
        <v>1787</v>
      </c>
      <c r="G507" s="22">
        <v>3</v>
      </c>
      <c r="H507" s="22"/>
      <c r="I507" s="22"/>
      <c r="J507" s="55" t="s">
        <v>1264</v>
      </c>
      <c r="K507" s="55" t="s">
        <v>3085</v>
      </c>
      <c r="L507" s="61"/>
      <c r="M507" s="68">
        <v>1</v>
      </c>
      <c r="N507" s="68" t="s">
        <v>5657</v>
      </c>
    </row>
    <row r="508" spans="1:14" ht="14.25" x14ac:dyDescent="0.2">
      <c r="A508" s="11" t="s">
        <v>1784</v>
      </c>
      <c r="B508" s="12" t="s">
        <v>3723</v>
      </c>
      <c r="C508" s="13" t="s">
        <v>3757</v>
      </c>
      <c r="D508" s="13" t="s">
        <v>1785</v>
      </c>
      <c r="E508" s="29" t="s">
        <v>1786</v>
      </c>
      <c r="F508" s="13" t="s">
        <v>1787</v>
      </c>
      <c r="G508" s="22">
        <v>32</v>
      </c>
      <c r="H508" s="22"/>
      <c r="I508" s="22"/>
      <c r="J508" s="29" t="s">
        <v>1788</v>
      </c>
      <c r="K508" s="29" t="s">
        <v>3085</v>
      </c>
      <c r="L508" s="29"/>
      <c r="M508" s="68">
        <v>1</v>
      </c>
      <c r="N508" s="68" t="s">
        <v>5657</v>
      </c>
    </row>
    <row r="509" spans="1:14" ht="14.25" x14ac:dyDescent="0.2">
      <c r="A509" s="11" t="s">
        <v>5666</v>
      </c>
      <c r="B509" s="12" t="s">
        <v>4690</v>
      </c>
      <c r="C509" s="13" t="s">
        <v>3754</v>
      </c>
      <c r="D509" s="13" t="s">
        <v>4721</v>
      </c>
      <c r="E509" s="29" t="s">
        <v>1949</v>
      </c>
      <c r="F509" s="13" t="s">
        <v>5667</v>
      </c>
      <c r="G509" s="22">
        <v>42</v>
      </c>
      <c r="H509" s="22"/>
      <c r="I509" s="22"/>
      <c r="J509" s="29" t="s">
        <v>1928</v>
      </c>
      <c r="K509" s="29" t="s">
        <v>5668</v>
      </c>
      <c r="L509" s="29"/>
      <c r="M509" s="68">
        <v>1</v>
      </c>
      <c r="N509" s="68" t="s">
        <v>5657</v>
      </c>
    </row>
    <row r="510" spans="1:14" ht="14.25" x14ac:dyDescent="0.2">
      <c r="A510" s="11" t="s">
        <v>5666</v>
      </c>
      <c r="B510" s="12" t="s">
        <v>3724</v>
      </c>
      <c r="C510" s="13" t="s">
        <v>3754</v>
      </c>
      <c r="D510" s="13" t="s">
        <v>3754</v>
      </c>
      <c r="E510" s="29" t="s">
        <v>5710</v>
      </c>
      <c r="F510" s="13" t="s">
        <v>5711</v>
      </c>
      <c r="G510" s="22">
        <v>2</v>
      </c>
      <c r="H510" s="22"/>
      <c r="I510" s="22"/>
      <c r="J510" s="29" t="s">
        <v>4790</v>
      </c>
      <c r="K510" s="29" t="s">
        <v>1286</v>
      </c>
      <c r="L510" s="29"/>
      <c r="M510" s="68">
        <v>1</v>
      </c>
      <c r="N510" s="68" t="s">
        <v>5657</v>
      </c>
    </row>
    <row r="511" spans="1:14" ht="14.25" x14ac:dyDescent="0.2">
      <c r="A511" s="11" t="s">
        <v>5666</v>
      </c>
      <c r="B511" s="12" t="s">
        <v>5712</v>
      </c>
      <c r="C511" s="13" t="s">
        <v>5474</v>
      </c>
      <c r="D511" s="13" t="s">
        <v>5475</v>
      </c>
      <c r="E511" s="29" t="s">
        <v>5476</v>
      </c>
      <c r="F511" s="13" t="s">
        <v>5477</v>
      </c>
      <c r="G511" s="22">
        <v>2</v>
      </c>
      <c r="H511" s="22">
        <v>6</v>
      </c>
      <c r="I511" s="22"/>
      <c r="J511" s="29" t="s">
        <v>4750</v>
      </c>
      <c r="K511" s="29" t="s">
        <v>1286</v>
      </c>
      <c r="L511" s="29"/>
      <c r="M511" s="68">
        <v>1</v>
      </c>
      <c r="N511" s="68" t="s">
        <v>5657</v>
      </c>
    </row>
    <row r="512" spans="1:14" ht="14.25" x14ac:dyDescent="0.2">
      <c r="A512" s="11" t="s">
        <v>1885</v>
      </c>
      <c r="B512" s="12" t="s">
        <v>4684</v>
      </c>
      <c r="C512" s="13" t="s">
        <v>3757</v>
      </c>
      <c r="D512" s="13" t="s">
        <v>5963</v>
      </c>
      <c r="E512" s="29" t="s">
        <v>5964</v>
      </c>
      <c r="F512" s="13" t="s">
        <v>5965</v>
      </c>
      <c r="G512" s="8">
        <v>37</v>
      </c>
      <c r="H512" s="8"/>
      <c r="I512" s="8"/>
      <c r="J512" s="29" t="s">
        <v>3769</v>
      </c>
      <c r="K512" s="29" t="s">
        <v>5966</v>
      </c>
      <c r="L512" s="29"/>
      <c r="M512" s="68">
        <v>1</v>
      </c>
      <c r="N512" s="68" t="s">
        <v>5950</v>
      </c>
    </row>
    <row r="513" spans="1:14" ht="14.25" x14ac:dyDescent="0.2">
      <c r="A513" s="14" t="s">
        <v>1885</v>
      </c>
      <c r="B513" s="15" t="s">
        <v>1809</v>
      </c>
      <c r="C513" s="16" t="s">
        <v>3754</v>
      </c>
      <c r="D513" s="16" t="s">
        <v>3761</v>
      </c>
      <c r="E513" s="27" t="s">
        <v>3440</v>
      </c>
      <c r="F513" s="16" t="s">
        <v>3441</v>
      </c>
      <c r="G513" s="8">
        <v>1</v>
      </c>
      <c r="H513" s="8">
        <v>9</v>
      </c>
      <c r="I513" s="8"/>
      <c r="J513" s="27" t="s">
        <v>1259</v>
      </c>
      <c r="K513" s="27" t="s">
        <v>3442</v>
      </c>
      <c r="L513" s="29"/>
      <c r="M513" s="68">
        <v>1</v>
      </c>
      <c r="N513" s="68" t="s">
        <v>3133</v>
      </c>
    </row>
    <row r="514" spans="1:14" ht="14.25" x14ac:dyDescent="0.2">
      <c r="A514" s="11" t="s">
        <v>1885</v>
      </c>
      <c r="B514" s="12" t="s">
        <v>1886</v>
      </c>
      <c r="C514" s="13" t="s">
        <v>3754</v>
      </c>
      <c r="D514" s="13" t="s">
        <v>3761</v>
      </c>
      <c r="E514" s="29" t="s">
        <v>1887</v>
      </c>
      <c r="F514" s="13" t="s">
        <v>1888</v>
      </c>
      <c r="G514" s="8"/>
      <c r="H514" s="8">
        <v>9</v>
      </c>
      <c r="I514" s="8"/>
      <c r="J514" s="29" t="s">
        <v>1254</v>
      </c>
      <c r="K514" s="29" t="s">
        <v>1889</v>
      </c>
      <c r="L514" s="95"/>
      <c r="M514" s="68">
        <v>1</v>
      </c>
      <c r="N514" s="68" t="s">
        <v>5197</v>
      </c>
    </row>
    <row r="515" spans="1:14" ht="14.25" x14ac:dyDescent="0.2">
      <c r="A515" s="11" t="s">
        <v>1885</v>
      </c>
      <c r="B515" s="12" t="s">
        <v>3732</v>
      </c>
      <c r="C515" s="13" t="s">
        <v>3754</v>
      </c>
      <c r="D515" s="13" t="s">
        <v>3755</v>
      </c>
      <c r="E515" s="29" t="s">
        <v>5702</v>
      </c>
      <c r="F515" s="13" t="s">
        <v>3754</v>
      </c>
      <c r="G515" s="22">
        <v>16</v>
      </c>
      <c r="H515" s="22">
        <v>4</v>
      </c>
      <c r="I515" s="22">
        <v>7</v>
      </c>
      <c r="J515" s="29" t="s">
        <v>4745</v>
      </c>
      <c r="K515" s="29" t="s">
        <v>5703</v>
      </c>
      <c r="L515" s="29"/>
      <c r="M515" s="68">
        <v>1</v>
      </c>
      <c r="N515" s="68" t="s">
        <v>5657</v>
      </c>
    </row>
    <row r="516" spans="1:14" ht="14.25" x14ac:dyDescent="0.2">
      <c r="A516" s="11" t="s">
        <v>3477</v>
      </c>
      <c r="B516" s="12" t="s">
        <v>3723</v>
      </c>
      <c r="C516" s="13" t="s">
        <v>3754</v>
      </c>
      <c r="D516" s="13" t="s">
        <v>3754</v>
      </c>
      <c r="E516" s="29" t="s">
        <v>3478</v>
      </c>
      <c r="F516" s="13" t="s">
        <v>3479</v>
      </c>
      <c r="G516" s="22"/>
      <c r="H516" s="8">
        <v>9</v>
      </c>
      <c r="I516" s="8"/>
      <c r="J516" s="29"/>
      <c r="K516" s="29" t="s">
        <v>3480</v>
      </c>
      <c r="L516" s="29"/>
      <c r="M516" s="68">
        <v>1</v>
      </c>
      <c r="N516" s="68" t="s">
        <v>3476</v>
      </c>
    </row>
    <row r="517" spans="1:14" ht="14.25" x14ac:dyDescent="0.2">
      <c r="A517" s="11" t="s">
        <v>2093</v>
      </c>
      <c r="B517" s="12" t="s">
        <v>2094</v>
      </c>
      <c r="C517" s="13" t="s">
        <v>3754</v>
      </c>
      <c r="D517" s="13" t="s">
        <v>3754</v>
      </c>
      <c r="E517" s="29" t="s">
        <v>2095</v>
      </c>
      <c r="F517" s="13" t="s">
        <v>2096</v>
      </c>
      <c r="G517" s="22"/>
      <c r="H517" s="22">
        <v>6</v>
      </c>
      <c r="I517" s="22"/>
      <c r="J517" s="29" t="s">
        <v>2097</v>
      </c>
      <c r="K517" s="29" t="s">
        <v>2098</v>
      </c>
      <c r="L517" s="29"/>
      <c r="M517" s="68">
        <v>1</v>
      </c>
      <c r="N517" s="68" t="s">
        <v>2341</v>
      </c>
    </row>
    <row r="518" spans="1:14" ht="14.25" x14ac:dyDescent="0.2">
      <c r="A518" s="11" t="s">
        <v>3379</v>
      </c>
      <c r="B518" s="12" t="s">
        <v>5712</v>
      </c>
      <c r="C518" s="13" t="s">
        <v>3346</v>
      </c>
      <c r="D518" s="13" t="s">
        <v>735</v>
      </c>
      <c r="E518" s="29" t="s">
        <v>3380</v>
      </c>
      <c r="F518" s="13" t="s">
        <v>3381</v>
      </c>
      <c r="G518" s="8">
        <v>5</v>
      </c>
      <c r="H518" s="8">
        <v>3</v>
      </c>
      <c r="I518" s="8">
        <v>9</v>
      </c>
      <c r="J518" s="29" t="s">
        <v>1258</v>
      </c>
      <c r="K518" s="29" t="s">
        <v>3382</v>
      </c>
      <c r="L518" s="29"/>
      <c r="M518" s="68">
        <v>1</v>
      </c>
      <c r="N518" s="108" t="s">
        <v>3342</v>
      </c>
    </row>
    <row r="519" spans="1:14" ht="14.25" x14ac:dyDescent="0.2">
      <c r="A519" s="11" t="s">
        <v>50</v>
      </c>
      <c r="B519" s="12" t="s">
        <v>7045</v>
      </c>
      <c r="C519" s="13" t="s">
        <v>3754</v>
      </c>
      <c r="D519" s="13" t="s">
        <v>3754</v>
      </c>
      <c r="E519" s="29" t="s">
        <v>46</v>
      </c>
      <c r="F519" s="13" t="s">
        <v>51</v>
      </c>
      <c r="G519" s="22"/>
      <c r="H519" s="8">
        <v>11</v>
      </c>
      <c r="I519" s="8">
        <v>7</v>
      </c>
      <c r="J519" s="29" t="s">
        <v>52</v>
      </c>
      <c r="K519" s="29" t="s">
        <v>49</v>
      </c>
      <c r="L519" s="29"/>
      <c r="M519" s="68">
        <v>1</v>
      </c>
      <c r="N519" s="68" t="s">
        <v>3476</v>
      </c>
    </row>
    <row r="520" spans="1:14" ht="14.25" x14ac:dyDescent="0.2">
      <c r="A520" s="11" t="s">
        <v>42</v>
      </c>
      <c r="B520" s="12" t="s">
        <v>2071</v>
      </c>
      <c r="C520" s="13" t="s">
        <v>3754</v>
      </c>
      <c r="D520" s="13" t="s">
        <v>3754</v>
      </c>
      <c r="E520" s="29" t="s">
        <v>43</v>
      </c>
      <c r="F520" s="13" t="s">
        <v>44</v>
      </c>
      <c r="G520" s="22"/>
      <c r="H520" s="8"/>
      <c r="I520" s="8">
        <v>2</v>
      </c>
      <c r="J520" s="29" t="s">
        <v>1277</v>
      </c>
      <c r="K520" s="29" t="s">
        <v>45</v>
      </c>
      <c r="L520" s="29"/>
      <c r="M520" s="68">
        <v>1</v>
      </c>
      <c r="N520" s="68" t="s">
        <v>3476</v>
      </c>
    </row>
    <row r="521" spans="1:14" ht="14.25" x14ac:dyDescent="0.2">
      <c r="A521" s="11" t="s">
        <v>2303</v>
      </c>
      <c r="B521" s="12" t="s">
        <v>3739</v>
      </c>
      <c r="C521" s="13" t="s">
        <v>3757</v>
      </c>
      <c r="D521" s="13" t="s">
        <v>3754</v>
      </c>
      <c r="E521" s="29"/>
      <c r="F521" s="13" t="s">
        <v>2305</v>
      </c>
      <c r="G521" s="8">
        <v>62</v>
      </c>
      <c r="H521" s="8"/>
      <c r="I521" s="8"/>
      <c r="J521" s="29" t="s">
        <v>8624</v>
      </c>
      <c r="K521" s="29" t="s">
        <v>2306</v>
      </c>
      <c r="L521" s="29"/>
      <c r="M521" s="68">
        <v>1</v>
      </c>
      <c r="N521" s="68" t="s">
        <v>5950</v>
      </c>
    </row>
    <row r="522" spans="1:14" ht="14.25" x14ac:dyDescent="0.2">
      <c r="A522" s="11" t="s">
        <v>5129</v>
      </c>
      <c r="B522" s="12" t="s">
        <v>5135</v>
      </c>
      <c r="C522" s="13" t="s">
        <v>3754</v>
      </c>
      <c r="D522" s="13" t="s">
        <v>3754</v>
      </c>
      <c r="E522" s="29">
        <v>1859</v>
      </c>
      <c r="F522" s="13" t="s">
        <v>3754</v>
      </c>
      <c r="G522" s="22">
        <v>1</v>
      </c>
      <c r="H522" s="22">
        <v>1</v>
      </c>
      <c r="I522" s="22"/>
      <c r="J522" s="29" t="s">
        <v>5136</v>
      </c>
      <c r="K522" s="29" t="s">
        <v>5131</v>
      </c>
      <c r="L522" s="95"/>
      <c r="M522" s="68">
        <v>1</v>
      </c>
      <c r="N522" s="68" t="s">
        <v>5196</v>
      </c>
    </row>
    <row r="523" spans="1:14" ht="14.25" x14ac:dyDescent="0.2">
      <c r="A523" s="11" t="s">
        <v>5129</v>
      </c>
      <c r="B523" s="12" t="s">
        <v>5133</v>
      </c>
      <c r="C523" s="13" t="s">
        <v>3754</v>
      </c>
      <c r="D523" s="13" t="s">
        <v>3754</v>
      </c>
      <c r="E523" s="29" t="s">
        <v>5134</v>
      </c>
      <c r="F523" s="13" t="s">
        <v>3754</v>
      </c>
      <c r="G523" s="22">
        <v>1</v>
      </c>
      <c r="H523" s="22">
        <v>7</v>
      </c>
      <c r="I523" s="22"/>
      <c r="J523" s="29" t="s">
        <v>1254</v>
      </c>
      <c r="K523" s="29" t="s">
        <v>5131</v>
      </c>
      <c r="L523" s="95"/>
      <c r="M523" s="68">
        <v>1</v>
      </c>
      <c r="N523" s="68" t="s">
        <v>5196</v>
      </c>
    </row>
    <row r="524" spans="1:14" ht="14.25" x14ac:dyDescent="0.2">
      <c r="A524" s="11" t="s">
        <v>5129</v>
      </c>
      <c r="B524" s="12" t="s">
        <v>3732</v>
      </c>
      <c r="C524" s="13" t="s">
        <v>3754</v>
      </c>
      <c r="D524" s="13" t="s">
        <v>3754</v>
      </c>
      <c r="E524" s="29">
        <v>1849</v>
      </c>
      <c r="F524" s="13" t="s">
        <v>3754</v>
      </c>
      <c r="G524" s="22">
        <v>1</v>
      </c>
      <c r="H524" s="22">
        <v>3</v>
      </c>
      <c r="I524" s="22"/>
      <c r="J524" s="29" t="s">
        <v>5132</v>
      </c>
      <c r="K524" s="29" t="s">
        <v>5131</v>
      </c>
      <c r="L524" s="95"/>
      <c r="M524" s="68">
        <v>1</v>
      </c>
      <c r="N524" s="68" t="s">
        <v>5196</v>
      </c>
    </row>
    <row r="525" spans="1:14" ht="14.25" x14ac:dyDescent="0.2">
      <c r="A525" s="11" t="s">
        <v>5129</v>
      </c>
      <c r="B525" s="12" t="s">
        <v>4701</v>
      </c>
      <c r="C525" s="13" t="s">
        <v>3757</v>
      </c>
      <c r="D525" s="13" t="s">
        <v>3754</v>
      </c>
      <c r="E525" s="29" t="s">
        <v>5130</v>
      </c>
      <c r="F525" s="13" t="s">
        <v>3754</v>
      </c>
      <c r="G525" s="22">
        <v>47</v>
      </c>
      <c r="H525" s="22"/>
      <c r="I525" s="22"/>
      <c r="J525" s="29" t="s">
        <v>4732</v>
      </c>
      <c r="K525" s="29" t="s">
        <v>5131</v>
      </c>
      <c r="L525" s="95"/>
      <c r="M525" s="68">
        <v>1</v>
      </c>
      <c r="N525" s="68" t="s">
        <v>5196</v>
      </c>
    </row>
    <row r="526" spans="1:14" ht="14.25" x14ac:dyDescent="0.2">
      <c r="A526" s="11" t="s">
        <v>56</v>
      </c>
      <c r="B526" s="12" t="s">
        <v>5542</v>
      </c>
      <c r="C526" s="13" t="s">
        <v>1509</v>
      </c>
      <c r="D526" s="13" t="s">
        <v>3754</v>
      </c>
      <c r="E526" s="29" t="s">
        <v>57</v>
      </c>
      <c r="F526" s="13" t="s">
        <v>58</v>
      </c>
      <c r="G526" s="22">
        <v>24</v>
      </c>
      <c r="H526" s="8"/>
      <c r="I526" s="8"/>
      <c r="J526" s="29" t="s">
        <v>1264</v>
      </c>
      <c r="K526" s="29" t="s">
        <v>59</v>
      </c>
      <c r="L526" s="29"/>
      <c r="M526" s="68">
        <v>1</v>
      </c>
      <c r="N526" s="68" t="s">
        <v>3476</v>
      </c>
    </row>
    <row r="527" spans="1:14" ht="14.25" x14ac:dyDescent="0.2">
      <c r="A527" s="11" t="s">
        <v>1609</v>
      </c>
      <c r="B527" s="12" t="s">
        <v>1618</v>
      </c>
      <c r="C527" s="16" t="s">
        <v>3761</v>
      </c>
      <c r="D527" s="13"/>
      <c r="E527" s="29" t="s">
        <v>1619</v>
      </c>
      <c r="F527" s="13" t="s">
        <v>1541</v>
      </c>
      <c r="G527" s="8">
        <v>20</v>
      </c>
      <c r="H527" s="8"/>
      <c r="I527" s="8"/>
      <c r="J527" s="29" t="s">
        <v>1264</v>
      </c>
      <c r="K527" s="29" t="s">
        <v>4774</v>
      </c>
      <c r="L527" s="95"/>
      <c r="M527" s="68">
        <v>1</v>
      </c>
      <c r="N527" s="68" t="s">
        <v>5195</v>
      </c>
    </row>
    <row r="528" spans="1:14" ht="14.25" x14ac:dyDescent="0.2">
      <c r="A528" s="11" t="s">
        <v>1609</v>
      </c>
      <c r="B528" s="12" t="s">
        <v>3734</v>
      </c>
      <c r="C528" s="13" t="s">
        <v>3757</v>
      </c>
      <c r="D528" s="13"/>
      <c r="E528" s="29" t="s">
        <v>1612</v>
      </c>
      <c r="F528" s="13" t="s">
        <v>1541</v>
      </c>
      <c r="G528" s="8">
        <v>75</v>
      </c>
      <c r="H528" s="8"/>
      <c r="I528" s="8"/>
      <c r="J528" s="29" t="s">
        <v>1257</v>
      </c>
      <c r="K528" s="29" t="s">
        <v>4774</v>
      </c>
      <c r="L528" s="95"/>
      <c r="M528" s="68">
        <v>1</v>
      </c>
      <c r="N528" s="68" t="s">
        <v>5195</v>
      </c>
    </row>
    <row r="529" spans="1:14" ht="14.25" x14ac:dyDescent="0.2">
      <c r="A529" s="11" t="s">
        <v>1609</v>
      </c>
      <c r="B529" s="12" t="s">
        <v>1620</v>
      </c>
      <c r="C529" s="13" t="s">
        <v>6944</v>
      </c>
      <c r="D529" s="13"/>
      <c r="E529" s="29" t="s">
        <v>1622</v>
      </c>
      <c r="F529" s="13" t="s">
        <v>1541</v>
      </c>
      <c r="G529" s="8">
        <v>12</v>
      </c>
      <c r="H529" s="8"/>
      <c r="I529" s="8"/>
      <c r="J529" s="29" t="s">
        <v>5076</v>
      </c>
      <c r="K529" s="29" t="s">
        <v>4774</v>
      </c>
      <c r="L529" s="95"/>
      <c r="M529" s="68">
        <v>1</v>
      </c>
      <c r="N529" s="68" t="s">
        <v>5195</v>
      </c>
    </row>
    <row r="530" spans="1:14" ht="14.25" x14ac:dyDescent="0.2">
      <c r="A530" s="11" t="s">
        <v>1609</v>
      </c>
      <c r="B530" s="12" t="s">
        <v>1610</v>
      </c>
      <c r="C530" s="13" t="s">
        <v>3757</v>
      </c>
      <c r="D530" s="13"/>
      <c r="E530" s="29" t="s">
        <v>1611</v>
      </c>
      <c r="F530" s="13" t="s">
        <v>1541</v>
      </c>
      <c r="G530" s="8">
        <v>53</v>
      </c>
      <c r="H530" s="8"/>
      <c r="I530" s="8"/>
      <c r="J530" s="29" t="s">
        <v>1264</v>
      </c>
      <c r="K530" s="29" t="s">
        <v>4774</v>
      </c>
      <c r="L530" s="95"/>
      <c r="M530" s="68">
        <v>1</v>
      </c>
      <c r="N530" s="68" t="s">
        <v>5195</v>
      </c>
    </row>
    <row r="531" spans="1:14" ht="14.25" x14ac:dyDescent="0.2">
      <c r="A531" s="11" t="s">
        <v>1609</v>
      </c>
      <c r="B531" s="12" t="s">
        <v>5904</v>
      </c>
      <c r="C531" s="16" t="s">
        <v>3761</v>
      </c>
      <c r="D531" s="13"/>
      <c r="E531" s="29" t="s">
        <v>5956</v>
      </c>
      <c r="F531" s="13" t="s">
        <v>5957</v>
      </c>
      <c r="G531" s="8">
        <v>41</v>
      </c>
      <c r="H531" s="8"/>
      <c r="I531" s="8"/>
      <c r="J531" s="29" t="s">
        <v>1264</v>
      </c>
      <c r="K531" s="29" t="s">
        <v>5958</v>
      </c>
      <c r="L531" s="29"/>
      <c r="M531" s="68">
        <v>1</v>
      </c>
      <c r="N531" s="68" t="s">
        <v>5950</v>
      </c>
    </row>
    <row r="532" spans="1:14" ht="14.25" x14ac:dyDescent="0.2">
      <c r="A532" s="11" t="s">
        <v>1609</v>
      </c>
      <c r="B532" s="12" t="s">
        <v>1616</v>
      </c>
      <c r="C532" s="13" t="s">
        <v>1614</v>
      </c>
      <c r="D532" s="13"/>
      <c r="E532" s="29" t="s">
        <v>1617</v>
      </c>
      <c r="F532" s="13" t="s">
        <v>1541</v>
      </c>
      <c r="G532" s="8">
        <v>12</v>
      </c>
      <c r="H532" s="8"/>
      <c r="I532" s="8"/>
      <c r="J532" s="29" t="s">
        <v>1264</v>
      </c>
      <c r="K532" s="29" t="s">
        <v>4774</v>
      </c>
      <c r="L532" s="95"/>
      <c r="M532" s="68">
        <v>1</v>
      </c>
      <c r="N532" s="68" t="s">
        <v>5195</v>
      </c>
    </row>
    <row r="533" spans="1:14" ht="14.25" x14ac:dyDescent="0.2">
      <c r="A533" s="11" t="s">
        <v>1609</v>
      </c>
      <c r="B533" s="12" t="s">
        <v>1613</v>
      </c>
      <c r="C533" s="13" t="s">
        <v>1614</v>
      </c>
      <c r="D533" s="13"/>
      <c r="E533" s="29" t="s">
        <v>1615</v>
      </c>
      <c r="F533" s="13" t="s">
        <v>1541</v>
      </c>
      <c r="G533" s="8">
        <v>21</v>
      </c>
      <c r="H533" s="8"/>
      <c r="I533" s="8"/>
      <c r="J533" s="29" t="s">
        <v>1264</v>
      </c>
      <c r="K533" s="29" t="s">
        <v>4774</v>
      </c>
      <c r="L533" s="95"/>
      <c r="M533" s="68">
        <v>1</v>
      </c>
      <c r="N533" s="68" t="s">
        <v>5195</v>
      </c>
    </row>
    <row r="534" spans="1:14" ht="14.25" x14ac:dyDescent="0.2">
      <c r="A534" s="14" t="s">
        <v>3319</v>
      </c>
      <c r="B534" s="15" t="s">
        <v>3734</v>
      </c>
      <c r="C534" s="16" t="s">
        <v>3757</v>
      </c>
      <c r="D534" s="16" t="s">
        <v>3761</v>
      </c>
      <c r="E534" s="27" t="s">
        <v>3318</v>
      </c>
      <c r="F534" s="16" t="s">
        <v>3320</v>
      </c>
      <c r="G534" s="8">
        <v>50</v>
      </c>
      <c r="H534" s="8"/>
      <c r="I534" s="8"/>
      <c r="J534" s="27" t="s">
        <v>1264</v>
      </c>
      <c r="K534" s="27" t="s">
        <v>3321</v>
      </c>
      <c r="L534" s="29"/>
      <c r="M534" s="68">
        <v>1</v>
      </c>
      <c r="N534" s="68" t="s">
        <v>3133</v>
      </c>
    </row>
    <row r="535" spans="1:14" ht="14.25" x14ac:dyDescent="0.2">
      <c r="A535" s="11" t="s">
        <v>1948</v>
      </c>
      <c r="B535" s="12" t="s">
        <v>1432</v>
      </c>
      <c r="C535" s="13" t="s">
        <v>3754</v>
      </c>
      <c r="D535" s="13" t="s">
        <v>3754</v>
      </c>
      <c r="E535" s="29" t="s">
        <v>7172</v>
      </c>
      <c r="F535" s="13" t="s">
        <v>7173</v>
      </c>
      <c r="G535" s="22">
        <v>27</v>
      </c>
      <c r="H535" s="22"/>
      <c r="I535" s="22"/>
      <c r="J535" s="29" t="s">
        <v>1264</v>
      </c>
      <c r="K535" s="29" t="s">
        <v>7174</v>
      </c>
      <c r="L535" s="29"/>
      <c r="M535" s="68">
        <v>1</v>
      </c>
      <c r="N535" s="68" t="s">
        <v>2341</v>
      </c>
    </row>
    <row r="536" spans="1:14" ht="14.25" x14ac:dyDescent="0.2">
      <c r="A536" s="11" t="s">
        <v>1948</v>
      </c>
      <c r="B536" s="12" t="s">
        <v>3728</v>
      </c>
      <c r="C536" s="13" t="s">
        <v>3757</v>
      </c>
      <c r="D536" s="13" t="s">
        <v>3754</v>
      </c>
      <c r="E536" s="29" t="s">
        <v>3685</v>
      </c>
      <c r="F536" s="13" t="s">
        <v>3686</v>
      </c>
      <c r="G536" s="22">
        <v>62</v>
      </c>
      <c r="H536" s="8"/>
      <c r="I536" s="8"/>
      <c r="J536" s="29" t="s">
        <v>1266</v>
      </c>
      <c r="K536" s="29" t="s">
        <v>3687</v>
      </c>
      <c r="L536" s="29"/>
      <c r="M536" s="68">
        <v>1</v>
      </c>
      <c r="N536" s="68" t="s">
        <v>3476</v>
      </c>
    </row>
    <row r="537" spans="1:14" ht="14.25" x14ac:dyDescent="0.2">
      <c r="A537" s="11" t="s">
        <v>1948</v>
      </c>
      <c r="B537" s="12" t="s">
        <v>4683</v>
      </c>
      <c r="C537" s="13" t="s">
        <v>3346</v>
      </c>
      <c r="D537" s="13" t="s">
        <v>735</v>
      </c>
      <c r="E537" s="29" t="s">
        <v>3389</v>
      </c>
      <c r="F537" s="13" t="s">
        <v>3390</v>
      </c>
      <c r="G537" s="8">
        <v>21</v>
      </c>
      <c r="H537" s="8"/>
      <c r="I537" s="8"/>
      <c r="J537" s="29" t="s">
        <v>1264</v>
      </c>
      <c r="K537" s="29" t="s">
        <v>3391</v>
      </c>
      <c r="L537" s="29"/>
      <c r="M537" s="68">
        <v>1</v>
      </c>
      <c r="N537" s="108" t="s">
        <v>3342</v>
      </c>
    </row>
    <row r="538" spans="1:14" ht="14.25" x14ac:dyDescent="0.2">
      <c r="A538" s="11" t="s">
        <v>1948</v>
      </c>
      <c r="B538" s="12" t="s">
        <v>3723</v>
      </c>
      <c r="C538" s="13" t="s">
        <v>3754</v>
      </c>
      <c r="D538" s="13" t="s">
        <v>3761</v>
      </c>
      <c r="E538" s="29" t="s">
        <v>1949</v>
      </c>
      <c r="F538" s="13" t="s">
        <v>1950</v>
      </c>
      <c r="G538" s="8"/>
      <c r="H538" s="8">
        <v>8</v>
      </c>
      <c r="I538" s="8"/>
      <c r="J538" s="29" t="s">
        <v>1946</v>
      </c>
      <c r="K538" s="29" t="s">
        <v>1951</v>
      </c>
      <c r="L538" s="95"/>
      <c r="M538" s="68">
        <v>1</v>
      </c>
      <c r="N538" s="68" t="s">
        <v>5197</v>
      </c>
    </row>
    <row r="539" spans="1:14" ht="14.25" x14ac:dyDescent="0.2">
      <c r="A539" s="11" t="s">
        <v>40</v>
      </c>
      <c r="B539" s="12" t="s">
        <v>3748</v>
      </c>
      <c r="C539" s="13" t="s">
        <v>3757</v>
      </c>
      <c r="D539" s="13" t="s">
        <v>3754</v>
      </c>
      <c r="E539" s="29" t="s">
        <v>5202</v>
      </c>
      <c r="F539" s="13" t="s">
        <v>41</v>
      </c>
      <c r="G539" s="22">
        <v>54</v>
      </c>
      <c r="H539" s="8"/>
      <c r="I539" s="8"/>
      <c r="J539" s="29" t="s">
        <v>1264</v>
      </c>
      <c r="K539" s="29" t="s">
        <v>717</v>
      </c>
      <c r="L539" s="29"/>
      <c r="M539" s="68">
        <v>1</v>
      </c>
      <c r="N539" s="68" t="s">
        <v>3476</v>
      </c>
    </row>
    <row r="540" spans="1:14" ht="28.5" x14ac:dyDescent="0.2">
      <c r="A540" s="11" t="s">
        <v>1866</v>
      </c>
      <c r="B540" s="12" t="s">
        <v>1620</v>
      </c>
      <c r="C540" s="13" t="s">
        <v>3754</v>
      </c>
      <c r="D540" s="13" t="s">
        <v>3761</v>
      </c>
      <c r="E540" s="29" t="s">
        <v>8589</v>
      </c>
      <c r="F540" s="13" t="s">
        <v>1867</v>
      </c>
      <c r="G540" s="8">
        <v>18</v>
      </c>
      <c r="H540" s="8"/>
      <c r="I540" s="8"/>
      <c r="J540" s="29" t="s">
        <v>5277</v>
      </c>
      <c r="K540" s="29" t="s">
        <v>4756</v>
      </c>
      <c r="L540" s="95"/>
      <c r="M540" s="68">
        <v>1</v>
      </c>
      <c r="N540" s="68" t="s">
        <v>5197</v>
      </c>
    </row>
    <row r="541" spans="1:14" ht="14.25" x14ac:dyDescent="0.2">
      <c r="A541" s="11" t="s">
        <v>3368</v>
      </c>
      <c r="B541" s="12" t="s">
        <v>265</v>
      </c>
      <c r="C541" s="13" t="s">
        <v>3346</v>
      </c>
      <c r="D541" s="13" t="s">
        <v>735</v>
      </c>
      <c r="E541" s="29" t="s">
        <v>3370</v>
      </c>
      <c r="F541" s="13" t="s">
        <v>3350</v>
      </c>
      <c r="G541" s="8">
        <v>16</v>
      </c>
      <c r="H541" s="8"/>
      <c r="I541" s="8"/>
      <c r="J541" s="29" t="s">
        <v>1264</v>
      </c>
      <c r="K541" s="29" t="s">
        <v>3371</v>
      </c>
      <c r="L541" s="29"/>
      <c r="M541" s="68">
        <v>1</v>
      </c>
      <c r="N541" s="108" t="s">
        <v>3342</v>
      </c>
    </row>
    <row r="542" spans="1:14" ht="14.25" x14ac:dyDescent="0.2">
      <c r="A542" s="14" t="s">
        <v>5646</v>
      </c>
      <c r="B542" s="15" t="s">
        <v>3723</v>
      </c>
      <c r="C542" s="16" t="s">
        <v>3754</v>
      </c>
      <c r="D542" s="16" t="s">
        <v>3761</v>
      </c>
      <c r="E542" s="27" t="s">
        <v>3137</v>
      </c>
      <c r="F542" s="16" t="s">
        <v>3138</v>
      </c>
      <c r="G542" s="8">
        <v>6</v>
      </c>
      <c r="H542" s="8">
        <v>10</v>
      </c>
      <c r="I542" s="8"/>
      <c r="J542" s="27" t="s">
        <v>1258</v>
      </c>
      <c r="K542" s="27" t="s">
        <v>3139</v>
      </c>
      <c r="L542" s="29"/>
      <c r="M542" s="68">
        <v>1</v>
      </c>
      <c r="N542" s="68" t="s">
        <v>3133</v>
      </c>
    </row>
    <row r="543" spans="1:14" ht="14.25" x14ac:dyDescent="0.2">
      <c r="A543" s="14" t="s">
        <v>5646</v>
      </c>
      <c r="B543" s="15" t="s">
        <v>3746</v>
      </c>
      <c r="C543" s="16" t="s">
        <v>3757</v>
      </c>
      <c r="D543" s="16" t="s">
        <v>3400</v>
      </c>
      <c r="E543" s="27" t="s">
        <v>3401</v>
      </c>
      <c r="F543" s="16" t="s">
        <v>3402</v>
      </c>
      <c r="G543" s="8">
        <v>44</v>
      </c>
      <c r="H543" s="8"/>
      <c r="I543" s="8"/>
      <c r="J543" s="27" t="s">
        <v>5945</v>
      </c>
      <c r="K543" s="27" t="s">
        <v>3403</v>
      </c>
      <c r="L543" s="29"/>
      <c r="M543" s="68">
        <v>1</v>
      </c>
      <c r="N543" s="68" t="s">
        <v>3133</v>
      </c>
    </row>
    <row r="544" spans="1:14" ht="14.25" x14ac:dyDescent="0.2">
      <c r="A544" s="11" t="s">
        <v>5646</v>
      </c>
      <c r="B544" s="12" t="s">
        <v>5647</v>
      </c>
      <c r="C544" s="13" t="s">
        <v>3754</v>
      </c>
      <c r="D544" s="13" t="s">
        <v>3761</v>
      </c>
      <c r="E544" s="29" t="s">
        <v>5648</v>
      </c>
      <c r="F544" s="13" t="s">
        <v>5649</v>
      </c>
      <c r="G544" s="8">
        <v>4</v>
      </c>
      <c r="H544" s="8">
        <v>11</v>
      </c>
      <c r="I544" s="8">
        <v>12</v>
      </c>
      <c r="J544" s="29" t="s">
        <v>4750</v>
      </c>
      <c r="K544" s="29" t="s">
        <v>5650</v>
      </c>
      <c r="L544" s="95"/>
      <c r="M544" s="68">
        <v>1</v>
      </c>
      <c r="N544" s="68" t="s">
        <v>5197</v>
      </c>
    </row>
    <row r="545" spans="1:14" ht="14.25" x14ac:dyDescent="0.2">
      <c r="A545" s="11" t="s">
        <v>5677</v>
      </c>
      <c r="B545" s="12" t="s">
        <v>1432</v>
      </c>
      <c r="C545" s="13" t="s">
        <v>3754</v>
      </c>
      <c r="D545" s="13" t="s">
        <v>3754</v>
      </c>
      <c r="E545" s="29" t="s">
        <v>5678</v>
      </c>
      <c r="F545" s="13" t="s">
        <v>5679</v>
      </c>
      <c r="G545" s="22"/>
      <c r="H545" s="22"/>
      <c r="I545" s="22">
        <v>16</v>
      </c>
      <c r="J545" s="29" t="s">
        <v>1416</v>
      </c>
      <c r="K545" s="29" t="s">
        <v>5678</v>
      </c>
      <c r="L545" s="29"/>
      <c r="M545" s="68">
        <v>1</v>
      </c>
      <c r="N545" s="68" t="s">
        <v>5657</v>
      </c>
    </row>
    <row r="546" spans="1:14" ht="14.25" x14ac:dyDescent="0.2">
      <c r="A546" s="11" t="s">
        <v>5677</v>
      </c>
      <c r="B546" s="12" t="s">
        <v>4702</v>
      </c>
      <c r="C546" s="13" t="s">
        <v>3754</v>
      </c>
      <c r="D546" s="13" t="s">
        <v>3754</v>
      </c>
      <c r="E546" s="29" t="s">
        <v>5947</v>
      </c>
      <c r="F546" s="13" t="s">
        <v>5948</v>
      </c>
      <c r="G546" s="22"/>
      <c r="H546" s="22">
        <v>3</v>
      </c>
      <c r="I546" s="22"/>
      <c r="J546" s="29" t="s">
        <v>1261</v>
      </c>
      <c r="K546" s="29" t="s">
        <v>5949</v>
      </c>
      <c r="L546" s="95"/>
      <c r="M546" s="68">
        <v>1</v>
      </c>
      <c r="N546" s="68" t="s">
        <v>5657</v>
      </c>
    </row>
    <row r="547" spans="1:14" ht="14.25" x14ac:dyDescent="0.2">
      <c r="A547" s="11" t="s">
        <v>5126</v>
      </c>
      <c r="B547" s="12" t="s">
        <v>3744</v>
      </c>
      <c r="C547" s="13" t="s">
        <v>3754</v>
      </c>
      <c r="D547" s="13" t="s">
        <v>3754</v>
      </c>
      <c r="E547" s="29">
        <v>1867</v>
      </c>
      <c r="F547" s="13" t="s">
        <v>1834</v>
      </c>
      <c r="G547" s="22"/>
      <c r="H547" s="22">
        <v>3</v>
      </c>
      <c r="I547" s="22"/>
      <c r="J547" s="29" t="s">
        <v>1835</v>
      </c>
      <c r="K547" s="29" t="s">
        <v>1836</v>
      </c>
      <c r="L547" s="95"/>
      <c r="M547" s="68">
        <v>1</v>
      </c>
      <c r="N547" s="68" t="s">
        <v>5196</v>
      </c>
    </row>
    <row r="548" spans="1:14" ht="14.25" x14ac:dyDescent="0.2">
      <c r="A548" s="11" t="s">
        <v>5126</v>
      </c>
      <c r="B548" s="12" t="s">
        <v>1890</v>
      </c>
      <c r="C548" s="13" t="s">
        <v>3754</v>
      </c>
      <c r="D548" s="13" t="s">
        <v>3761</v>
      </c>
      <c r="E548" s="29" t="s">
        <v>1891</v>
      </c>
      <c r="F548" s="13" t="s">
        <v>1834</v>
      </c>
      <c r="G548" s="8"/>
      <c r="H548" s="8">
        <v>2</v>
      </c>
      <c r="I548" s="8">
        <v>14</v>
      </c>
      <c r="J548" s="29" t="s">
        <v>1892</v>
      </c>
      <c r="K548" s="29" t="s">
        <v>1893</v>
      </c>
      <c r="L548" s="94"/>
      <c r="M548" s="68">
        <v>1</v>
      </c>
      <c r="N548" s="68" t="s">
        <v>5197</v>
      </c>
    </row>
    <row r="549" spans="1:14" ht="14.25" x14ac:dyDescent="0.2">
      <c r="A549" s="9" t="s">
        <v>5126</v>
      </c>
      <c r="B549" s="5" t="s">
        <v>3728</v>
      </c>
      <c r="C549" s="10" t="s">
        <v>3754</v>
      </c>
      <c r="D549" s="10" t="s">
        <v>3754</v>
      </c>
      <c r="E549" s="55">
        <v>1869</v>
      </c>
      <c r="F549" s="10" t="s">
        <v>1834</v>
      </c>
      <c r="G549" s="22"/>
      <c r="H549" s="22">
        <v>2</v>
      </c>
      <c r="I549" s="22"/>
      <c r="J549" s="55" t="s">
        <v>1835</v>
      </c>
      <c r="K549" s="55" t="s">
        <v>1836</v>
      </c>
      <c r="L549" s="94"/>
      <c r="M549" s="68">
        <v>1</v>
      </c>
      <c r="N549" s="68" t="s">
        <v>5196</v>
      </c>
    </row>
    <row r="550" spans="1:14" ht="28.5" x14ac:dyDescent="0.2">
      <c r="A550" s="30" t="s">
        <v>5126</v>
      </c>
      <c r="B550" s="5" t="s">
        <v>5089</v>
      </c>
      <c r="C550" s="19" t="s">
        <v>3761</v>
      </c>
      <c r="D550" s="21" t="s">
        <v>3754</v>
      </c>
      <c r="E550" s="61" t="s">
        <v>2309</v>
      </c>
      <c r="F550" s="21" t="s">
        <v>2310</v>
      </c>
      <c r="G550" s="8">
        <v>37</v>
      </c>
      <c r="H550" s="8"/>
      <c r="I550" s="8"/>
      <c r="J550" s="55" t="s">
        <v>2311</v>
      </c>
      <c r="K550" s="55" t="s">
        <v>2312</v>
      </c>
      <c r="L550" s="61"/>
      <c r="M550" s="68">
        <v>1</v>
      </c>
      <c r="N550" s="68" t="s">
        <v>5950</v>
      </c>
    </row>
    <row r="551" spans="1:14" ht="14.25" x14ac:dyDescent="0.2">
      <c r="A551" s="14" t="s">
        <v>5126</v>
      </c>
      <c r="B551" s="15" t="s">
        <v>3338</v>
      </c>
      <c r="C551" s="16" t="s">
        <v>3754</v>
      </c>
      <c r="D551" s="16"/>
      <c r="E551" s="27" t="s">
        <v>3339</v>
      </c>
      <c r="F551" s="16" t="s">
        <v>3340</v>
      </c>
      <c r="G551" s="8">
        <v>28</v>
      </c>
      <c r="H551" s="8"/>
      <c r="I551" s="8"/>
      <c r="J551" s="27" t="s">
        <v>1277</v>
      </c>
      <c r="K551" s="27" t="s">
        <v>3341</v>
      </c>
      <c r="L551" s="29"/>
      <c r="M551" s="68">
        <v>1</v>
      </c>
      <c r="N551" s="68" t="s">
        <v>3133</v>
      </c>
    </row>
    <row r="552" spans="1:14" ht="14.25" x14ac:dyDescent="0.2">
      <c r="A552" s="11" t="s">
        <v>5126</v>
      </c>
      <c r="B552" s="12" t="s">
        <v>3740</v>
      </c>
      <c r="C552" s="13" t="s">
        <v>3754</v>
      </c>
      <c r="D552" s="13" t="s">
        <v>3754</v>
      </c>
      <c r="E552" s="29">
        <v>1866</v>
      </c>
      <c r="F552" s="13" t="s">
        <v>1834</v>
      </c>
      <c r="G552" s="22"/>
      <c r="H552" s="22">
        <v>2</v>
      </c>
      <c r="I552" s="22"/>
      <c r="J552" s="29" t="s">
        <v>1835</v>
      </c>
      <c r="K552" s="29" t="s">
        <v>1836</v>
      </c>
      <c r="L552" s="95"/>
      <c r="M552" s="68">
        <v>1</v>
      </c>
      <c r="N552" s="68" t="s">
        <v>5196</v>
      </c>
    </row>
    <row r="553" spans="1:14" ht="14.25" x14ac:dyDescent="0.2">
      <c r="A553" s="11" t="s">
        <v>5126</v>
      </c>
      <c r="B553" s="12" t="s">
        <v>4694</v>
      </c>
      <c r="C553" s="13" t="s">
        <v>3754</v>
      </c>
      <c r="D553" s="13" t="s">
        <v>3754</v>
      </c>
      <c r="E553" s="29" t="s">
        <v>5127</v>
      </c>
      <c r="F553" s="13" t="s">
        <v>3754</v>
      </c>
      <c r="G553" s="22"/>
      <c r="H553" s="22">
        <v>5</v>
      </c>
      <c r="I553" s="22">
        <v>15</v>
      </c>
      <c r="J553" s="29" t="s">
        <v>1261</v>
      </c>
      <c r="K553" s="29" t="s">
        <v>5128</v>
      </c>
      <c r="L553" s="95"/>
      <c r="M553" s="68">
        <v>1</v>
      </c>
      <c r="N553" s="68" t="s">
        <v>5196</v>
      </c>
    </row>
    <row r="554" spans="1:14" ht="14.25" x14ac:dyDescent="0.2">
      <c r="A554" s="11" t="s">
        <v>5126</v>
      </c>
      <c r="B554" s="12" t="s">
        <v>1422</v>
      </c>
      <c r="C554" s="13" t="s">
        <v>3754</v>
      </c>
      <c r="D554" s="13" t="s">
        <v>3754</v>
      </c>
      <c r="E554" s="29" t="s">
        <v>3482</v>
      </c>
      <c r="F554" s="13" t="s">
        <v>3483</v>
      </c>
      <c r="G554" s="22">
        <v>42</v>
      </c>
      <c r="H554" s="8"/>
      <c r="I554" s="8"/>
      <c r="J554" s="29" t="s">
        <v>1264</v>
      </c>
      <c r="K554" s="29" t="s">
        <v>3484</v>
      </c>
      <c r="L554" s="29"/>
      <c r="M554" s="68">
        <v>1</v>
      </c>
      <c r="N554" s="68" t="s">
        <v>3476</v>
      </c>
    </row>
    <row r="555" spans="1:14" ht="14.25" x14ac:dyDescent="0.2">
      <c r="A555" s="11" t="s">
        <v>5126</v>
      </c>
      <c r="B555" s="12" t="s">
        <v>3723</v>
      </c>
      <c r="C555" s="13" t="s">
        <v>3754</v>
      </c>
      <c r="D555" s="13" t="s">
        <v>3754</v>
      </c>
      <c r="E555" s="29">
        <v>1868</v>
      </c>
      <c r="F555" s="13" t="s">
        <v>1834</v>
      </c>
      <c r="G555" s="22"/>
      <c r="H555" s="22">
        <v>3</v>
      </c>
      <c r="I555" s="22"/>
      <c r="J555" s="29" t="s">
        <v>1835</v>
      </c>
      <c r="K555" s="29" t="s">
        <v>1836</v>
      </c>
      <c r="L555" s="95"/>
      <c r="M555" s="68">
        <v>1</v>
      </c>
      <c r="N555" s="68" t="s">
        <v>5196</v>
      </c>
    </row>
    <row r="556" spans="1:14" ht="14.25" x14ac:dyDescent="0.2">
      <c r="A556" s="11" t="s">
        <v>5126</v>
      </c>
      <c r="B556" s="12" t="s">
        <v>3738</v>
      </c>
      <c r="C556" s="13" t="s">
        <v>3754</v>
      </c>
      <c r="D556" s="13" t="s">
        <v>3754</v>
      </c>
      <c r="E556" s="29">
        <v>1865</v>
      </c>
      <c r="F556" s="13" t="s">
        <v>1834</v>
      </c>
      <c r="G556" s="22"/>
      <c r="H556" s="22">
        <v>4</v>
      </c>
      <c r="I556" s="22"/>
      <c r="J556" s="29" t="s">
        <v>1835</v>
      </c>
      <c r="K556" s="29" t="s">
        <v>1836</v>
      </c>
      <c r="L556" s="95"/>
      <c r="M556" s="68">
        <v>1</v>
      </c>
      <c r="N556" s="68" t="s">
        <v>5196</v>
      </c>
    </row>
    <row r="557" spans="1:14" ht="14.25" x14ac:dyDescent="0.2">
      <c r="A557" s="11" t="s">
        <v>5126</v>
      </c>
      <c r="B557" s="12" t="s">
        <v>3729</v>
      </c>
      <c r="C557" s="13" t="s">
        <v>3757</v>
      </c>
      <c r="D557" s="13" t="s">
        <v>3754</v>
      </c>
      <c r="E557" s="29" t="s">
        <v>6001</v>
      </c>
      <c r="F557" s="13" t="s">
        <v>6002</v>
      </c>
      <c r="G557" s="8">
        <v>48</v>
      </c>
      <c r="H557" s="8"/>
      <c r="I557" s="8"/>
      <c r="J557" s="29" t="s">
        <v>1264</v>
      </c>
      <c r="K557" s="29" t="s">
        <v>6003</v>
      </c>
      <c r="L557" s="29"/>
      <c r="M557" s="68">
        <v>1</v>
      </c>
      <c r="N557" s="68" t="s">
        <v>5950</v>
      </c>
    </row>
    <row r="558" spans="1:14" ht="14.25" x14ac:dyDescent="0.2">
      <c r="A558" s="11" t="s">
        <v>6848</v>
      </c>
      <c r="B558" s="12" t="s">
        <v>3732</v>
      </c>
      <c r="C558" s="13" t="s">
        <v>3757</v>
      </c>
      <c r="D558" s="13" t="s">
        <v>3761</v>
      </c>
      <c r="E558" s="29" t="s">
        <v>6849</v>
      </c>
      <c r="F558" s="13" t="s">
        <v>6850</v>
      </c>
      <c r="G558" s="8">
        <v>53</v>
      </c>
      <c r="H558" s="8"/>
      <c r="I558" s="8"/>
      <c r="J558" s="29" t="s">
        <v>1270</v>
      </c>
      <c r="K558" s="29" t="s">
        <v>6851</v>
      </c>
      <c r="L558" s="29"/>
      <c r="M558" s="68">
        <v>1</v>
      </c>
      <c r="N558" s="68" t="s">
        <v>6813</v>
      </c>
    </row>
    <row r="559" spans="1:14" ht="14.25" x14ac:dyDescent="0.2">
      <c r="A559" s="11" t="s">
        <v>2276</v>
      </c>
      <c r="B559" s="12" t="s">
        <v>3740</v>
      </c>
      <c r="C559" s="13" t="s">
        <v>3767</v>
      </c>
      <c r="D559" s="13" t="s">
        <v>3767</v>
      </c>
      <c r="E559" s="29" t="s">
        <v>2278</v>
      </c>
      <c r="F559" s="13" t="s">
        <v>2279</v>
      </c>
      <c r="G559" s="8">
        <v>3</v>
      </c>
      <c r="H559" s="8">
        <v>2</v>
      </c>
      <c r="I559" s="8">
        <v>17</v>
      </c>
      <c r="J559" s="29" t="s">
        <v>1259</v>
      </c>
      <c r="K559" s="29" t="s">
        <v>2280</v>
      </c>
      <c r="L559" s="29"/>
      <c r="M559" s="68">
        <v>1</v>
      </c>
      <c r="N559" s="68" t="s">
        <v>5950</v>
      </c>
    </row>
    <row r="560" spans="1:14" ht="14.25" x14ac:dyDescent="0.2">
      <c r="A560" s="11" t="s">
        <v>2276</v>
      </c>
      <c r="B560" s="12" t="s">
        <v>2608</v>
      </c>
      <c r="C560" s="13" t="s">
        <v>3767</v>
      </c>
      <c r="D560" s="13" t="s">
        <v>3767</v>
      </c>
      <c r="E560" s="29" t="s">
        <v>2609</v>
      </c>
      <c r="F560" s="13" t="s">
        <v>2610</v>
      </c>
      <c r="G560" s="22"/>
      <c r="H560" s="22">
        <v>14</v>
      </c>
      <c r="I560" s="22"/>
      <c r="J560" s="29" t="s">
        <v>1412</v>
      </c>
      <c r="K560" s="29" t="s">
        <v>2611</v>
      </c>
      <c r="L560" s="29"/>
      <c r="M560" s="68">
        <v>1</v>
      </c>
      <c r="N560" s="68" t="s">
        <v>2341</v>
      </c>
    </row>
    <row r="561" spans="1:14" ht="14.25" x14ac:dyDescent="0.2">
      <c r="A561" s="11" t="s">
        <v>3487</v>
      </c>
      <c r="B561" s="12" t="s">
        <v>5090</v>
      </c>
      <c r="C561" s="13" t="s">
        <v>3754</v>
      </c>
      <c r="D561" s="13" t="s">
        <v>3754</v>
      </c>
      <c r="E561" s="29" t="s">
        <v>32</v>
      </c>
      <c r="F561" s="13" t="s">
        <v>33</v>
      </c>
      <c r="G561" s="22">
        <v>29</v>
      </c>
      <c r="H561" s="8"/>
      <c r="I561" s="8"/>
      <c r="J561" s="29" t="s">
        <v>1264</v>
      </c>
      <c r="K561" s="29" t="s">
        <v>34</v>
      </c>
      <c r="L561" s="29"/>
      <c r="M561" s="68">
        <v>1</v>
      </c>
      <c r="N561" s="68" t="s">
        <v>3476</v>
      </c>
    </row>
    <row r="562" spans="1:14" ht="14.25" x14ac:dyDescent="0.2">
      <c r="A562" s="11" t="s">
        <v>5939</v>
      </c>
      <c r="B562" s="12" t="s">
        <v>4702</v>
      </c>
      <c r="C562" s="13" t="s">
        <v>3757</v>
      </c>
      <c r="D562" s="13" t="s">
        <v>3754</v>
      </c>
      <c r="E562" s="29" t="s">
        <v>5940</v>
      </c>
      <c r="F562" s="13" t="s">
        <v>5941</v>
      </c>
      <c r="G562" s="22">
        <v>38</v>
      </c>
      <c r="H562" s="22"/>
      <c r="I562" s="22"/>
      <c r="J562" s="29" t="s">
        <v>1267</v>
      </c>
      <c r="K562" s="29" t="s">
        <v>5942</v>
      </c>
      <c r="L562" s="29"/>
      <c r="M562" s="68">
        <v>1</v>
      </c>
      <c r="N562" s="68" t="s">
        <v>5657</v>
      </c>
    </row>
    <row r="563" spans="1:14" ht="14.25" x14ac:dyDescent="0.2">
      <c r="A563" s="11" t="s">
        <v>1578</v>
      </c>
      <c r="B563" s="12" t="s">
        <v>1579</v>
      </c>
      <c r="C563" s="13" t="s">
        <v>4713</v>
      </c>
      <c r="D563" s="13" t="s">
        <v>1580</v>
      </c>
      <c r="E563" s="29" t="s">
        <v>1581</v>
      </c>
      <c r="F563" s="13" t="s">
        <v>1580</v>
      </c>
      <c r="G563" s="8">
        <v>26</v>
      </c>
      <c r="H563" s="8"/>
      <c r="I563" s="8"/>
      <c r="J563" s="29" t="s">
        <v>1264</v>
      </c>
      <c r="K563" s="29" t="s">
        <v>1582</v>
      </c>
      <c r="L563" s="95"/>
      <c r="M563" s="68">
        <v>1</v>
      </c>
      <c r="N563" s="68" t="s">
        <v>5195</v>
      </c>
    </row>
    <row r="564" spans="1:14" ht="14.25" x14ac:dyDescent="0.2">
      <c r="A564" s="11" t="s">
        <v>2116</v>
      </c>
      <c r="B564" s="12" t="s">
        <v>3733</v>
      </c>
      <c r="C564" s="13" t="s">
        <v>3757</v>
      </c>
      <c r="D564" s="13" t="s">
        <v>3754</v>
      </c>
      <c r="E564" s="29" t="s">
        <v>2117</v>
      </c>
      <c r="F564" s="13" t="s">
        <v>2118</v>
      </c>
      <c r="G564" s="22">
        <v>64</v>
      </c>
      <c r="H564" s="8"/>
      <c r="I564" s="8"/>
      <c r="J564" s="29" t="s">
        <v>1264</v>
      </c>
      <c r="K564" s="29" t="s">
        <v>2119</v>
      </c>
      <c r="L564" s="29"/>
      <c r="M564" s="68">
        <v>1</v>
      </c>
      <c r="N564" s="68" t="s">
        <v>3476</v>
      </c>
    </row>
    <row r="565" spans="1:14" ht="42.75" x14ac:dyDescent="0.2">
      <c r="A565" s="11" t="s">
        <v>6855</v>
      </c>
      <c r="B565" s="12" t="s">
        <v>2608</v>
      </c>
      <c r="C565" s="13" t="s">
        <v>3754</v>
      </c>
      <c r="D565" s="13" t="s">
        <v>6856</v>
      </c>
      <c r="E565" s="29"/>
      <c r="F565" s="13" t="s">
        <v>6857</v>
      </c>
      <c r="G565" s="8">
        <v>1</v>
      </c>
      <c r="H565" s="8">
        <v>3</v>
      </c>
      <c r="I565" s="8"/>
      <c r="J565" s="29" t="s">
        <v>4745</v>
      </c>
      <c r="K565" s="29" t="s">
        <v>6858</v>
      </c>
      <c r="L565" s="29"/>
      <c r="M565" s="68">
        <v>1</v>
      </c>
      <c r="N565" s="68" t="s">
        <v>6813</v>
      </c>
    </row>
    <row r="566" spans="1:14" ht="14.25" x14ac:dyDescent="0.2">
      <c r="A566" s="11" t="s">
        <v>2307</v>
      </c>
      <c r="B566" s="12" t="s">
        <v>3740</v>
      </c>
      <c r="C566" s="13" t="s">
        <v>3757</v>
      </c>
      <c r="D566" s="13" t="s">
        <v>3754</v>
      </c>
      <c r="E566" s="29" t="s">
        <v>2612</v>
      </c>
      <c r="F566" s="13" t="s">
        <v>2308</v>
      </c>
      <c r="G566" s="22">
        <v>63</v>
      </c>
      <c r="H566" s="22"/>
      <c r="I566" s="22"/>
      <c r="J566" s="29" t="s">
        <v>1264</v>
      </c>
      <c r="K566" s="29" t="s">
        <v>2613</v>
      </c>
      <c r="L566" s="29"/>
      <c r="M566" s="68">
        <v>1</v>
      </c>
      <c r="N566" s="68" t="s">
        <v>2341</v>
      </c>
    </row>
    <row r="567" spans="1:14" ht="14.25" x14ac:dyDescent="0.2">
      <c r="A567" s="11" t="s">
        <v>2307</v>
      </c>
      <c r="B567" s="12" t="s">
        <v>5920</v>
      </c>
      <c r="C567" s="13" t="s">
        <v>3768</v>
      </c>
      <c r="D567" s="13" t="s">
        <v>3754</v>
      </c>
      <c r="E567" s="29" t="s">
        <v>1298</v>
      </c>
      <c r="F567" s="13" t="s">
        <v>2308</v>
      </c>
      <c r="G567" s="8">
        <v>20</v>
      </c>
      <c r="H567" s="8">
        <v>2</v>
      </c>
      <c r="I567" s="8">
        <v>17</v>
      </c>
      <c r="J567" s="29" t="s">
        <v>4739</v>
      </c>
      <c r="K567" s="29" t="s">
        <v>2309</v>
      </c>
      <c r="L567" s="29"/>
      <c r="M567" s="68">
        <v>1</v>
      </c>
      <c r="N567" s="68" t="s">
        <v>5950</v>
      </c>
    </row>
    <row r="568" spans="1:14" ht="14.25" x14ac:dyDescent="0.2">
      <c r="A568" s="11" t="s">
        <v>1645</v>
      </c>
      <c r="B568" s="12" t="s">
        <v>3732</v>
      </c>
      <c r="C568" s="13" t="s">
        <v>3757</v>
      </c>
      <c r="D568" s="13"/>
      <c r="E568" s="29" t="s">
        <v>1646</v>
      </c>
      <c r="F568" s="13" t="s">
        <v>3963</v>
      </c>
      <c r="G568" s="8">
        <v>64</v>
      </c>
      <c r="H568" s="8"/>
      <c r="I568" s="8"/>
      <c r="J568" s="29" t="s">
        <v>1264</v>
      </c>
      <c r="K568" s="29" t="s">
        <v>1647</v>
      </c>
      <c r="L568" s="95"/>
      <c r="M568" s="68">
        <v>1</v>
      </c>
      <c r="N568" s="68" t="s">
        <v>5195</v>
      </c>
    </row>
    <row r="569" spans="1:14" ht="14.25" x14ac:dyDescent="0.2">
      <c r="A569" s="11" t="s">
        <v>6004</v>
      </c>
      <c r="B569" s="12" t="s">
        <v>1809</v>
      </c>
      <c r="C569" s="27" t="s">
        <v>3767</v>
      </c>
      <c r="D569" s="13" t="s">
        <v>3767</v>
      </c>
      <c r="E569" s="29" t="s">
        <v>6006</v>
      </c>
      <c r="F569" s="13" t="s">
        <v>1945</v>
      </c>
      <c r="G569" s="8"/>
      <c r="H569" s="8">
        <v>6</v>
      </c>
      <c r="I569" s="8"/>
      <c r="J569" s="29" t="s">
        <v>1255</v>
      </c>
      <c r="K569" s="29" t="s">
        <v>6007</v>
      </c>
      <c r="L569" s="29"/>
      <c r="M569" s="68">
        <v>1</v>
      </c>
      <c r="N569" s="68" t="s">
        <v>5950</v>
      </c>
    </row>
    <row r="570" spans="1:14" ht="14.25" x14ac:dyDescent="0.2">
      <c r="A570" s="11" t="s">
        <v>1942</v>
      </c>
      <c r="B570" s="12" t="s">
        <v>1955</v>
      </c>
      <c r="C570" s="13" t="s">
        <v>3757</v>
      </c>
      <c r="D570" s="13" t="s">
        <v>3761</v>
      </c>
      <c r="E570" s="29">
        <v>1853</v>
      </c>
      <c r="F570" s="13" t="s">
        <v>3754</v>
      </c>
      <c r="G570" s="8">
        <v>55</v>
      </c>
      <c r="H570" s="8"/>
      <c r="I570" s="8"/>
      <c r="J570" s="29" t="s">
        <v>1259</v>
      </c>
      <c r="K570" s="29" t="s">
        <v>1956</v>
      </c>
      <c r="L570" s="95"/>
      <c r="M570" s="68">
        <v>1</v>
      </c>
      <c r="N570" s="68" t="s">
        <v>5197</v>
      </c>
    </row>
    <row r="571" spans="1:14" ht="14.25" x14ac:dyDescent="0.2">
      <c r="A571" s="11" t="s">
        <v>1942</v>
      </c>
      <c r="B571" s="12" t="s">
        <v>1871</v>
      </c>
      <c r="C571" s="13" t="s">
        <v>1943</v>
      </c>
      <c r="D571" s="13" t="s">
        <v>8621</v>
      </c>
      <c r="E571" s="29" t="s">
        <v>1944</v>
      </c>
      <c r="F571" s="13" t="s">
        <v>1945</v>
      </c>
      <c r="G571" s="8"/>
      <c r="H571" s="8">
        <v>5</v>
      </c>
      <c r="I571" s="8"/>
      <c r="J571" s="29" t="s">
        <v>1946</v>
      </c>
      <c r="K571" s="29" t="s">
        <v>1947</v>
      </c>
      <c r="L571" s="95"/>
      <c r="M571" s="68">
        <v>1</v>
      </c>
      <c r="N571" s="68" t="s">
        <v>5197</v>
      </c>
    </row>
    <row r="572" spans="1:14" ht="14.25" x14ac:dyDescent="0.2">
      <c r="A572" s="11" t="s">
        <v>1901</v>
      </c>
      <c r="B572" s="12" t="s">
        <v>3750</v>
      </c>
      <c r="C572" s="13" t="s">
        <v>3754</v>
      </c>
      <c r="D572" s="13" t="s">
        <v>3761</v>
      </c>
      <c r="E572" s="29" t="s">
        <v>1900</v>
      </c>
      <c r="F572" s="13" t="s">
        <v>1902</v>
      </c>
      <c r="G572" s="8">
        <v>20</v>
      </c>
      <c r="H572" s="8">
        <v>6</v>
      </c>
      <c r="I572" s="8"/>
      <c r="J572" s="29" t="s">
        <v>1264</v>
      </c>
      <c r="K572" s="29" t="s">
        <v>1903</v>
      </c>
      <c r="L572" s="95"/>
      <c r="M572" s="68">
        <v>1</v>
      </c>
      <c r="N572" s="68" t="s">
        <v>5197</v>
      </c>
    </row>
    <row r="573" spans="1:14" ht="14.25" x14ac:dyDescent="0.2">
      <c r="A573" s="11" t="s">
        <v>1901</v>
      </c>
      <c r="B573" s="12" t="s">
        <v>1445</v>
      </c>
      <c r="C573" s="13" t="s">
        <v>3757</v>
      </c>
      <c r="D573" s="13" t="s">
        <v>3754</v>
      </c>
      <c r="E573" s="29" t="s">
        <v>7166</v>
      </c>
      <c r="F573" s="13" t="s">
        <v>1902</v>
      </c>
      <c r="G573" s="22">
        <v>56</v>
      </c>
      <c r="H573" s="22"/>
      <c r="I573" s="22"/>
      <c r="J573" s="29" t="s">
        <v>1264</v>
      </c>
      <c r="K573" s="29" t="s">
        <v>7167</v>
      </c>
      <c r="L573" s="29"/>
      <c r="M573" s="68">
        <v>1</v>
      </c>
      <c r="N573" s="68" t="s">
        <v>2341</v>
      </c>
    </row>
    <row r="574" spans="1:14" ht="14.25" x14ac:dyDescent="0.2">
      <c r="A574" s="11" t="s">
        <v>3098</v>
      </c>
      <c r="B574" s="12" t="s">
        <v>3748</v>
      </c>
      <c r="C574" s="13" t="s">
        <v>3757</v>
      </c>
      <c r="D574" s="13" t="s">
        <v>3754</v>
      </c>
      <c r="E574" s="29" t="s">
        <v>3099</v>
      </c>
      <c r="F574" s="13" t="s">
        <v>3100</v>
      </c>
      <c r="G574" s="22">
        <v>44</v>
      </c>
      <c r="H574" s="22"/>
      <c r="I574" s="22"/>
      <c r="J574" s="29" t="s">
        <v>1264</v>
      </c>
      <c r="K574" s="29" t="s">
        <v>3101</v>
      </c>
      <c r="L574" s="29"/>
      <c r="M574" s="68">
        <v>1</v>
      </c>
      <c r="N574" s="68" t="s">
        <v>5657</v>
      </c>
    </row>
    <row r="575" spans="1:14" ht="14.25" x14ac:dyDescent="0.2">
      <c r="A575" s="11" t="s">
        <v>1542</v>
      </c>
      <c r="B575" s="12" t="s">
        <v>3728</v>
      </c>
      <c r="C575" s="13" t="s">
        <v>3757</v>
      </c>
      <c r="D575" s="13" t="s">
        <v>3754</v>
      </c>
      <c r="E575" s="29" t="s">
        <v>2107</v>
      </c>
      <c r="F575" s="13" t="s">
        <v>3483</v>
      </c>
      <c r="G575" s="22">
        <v>75</v>
      </c>
      <c r="H575" s="8"/>
      <c r="I575" s="8"/>
      <c r="J575" s="29" t="s">
        <v>2108</v>
      </c>
      <c r="K575" s="29" t="s">
        <v>2109</v>
      </c>
      <c r="L575" s="29"/>
      <c r="M575" s="68">
        <v>1</v>
      </c>
      <c r="N575" s="68" t="s">
        <v>3476</v>
      </c>
    </row>
    <row r="576" spans="1:14" ht="14.25" x14ac:dyDescent="0.2">
      <c r="A576" s="11" t="s">
        <v>1542</v>
      </c>
      <c r="B576" s="12" t="s">
        <v>1041</v>
      </c>
      <c r="C576" s="13" t="s">
        <v>3754</v>
      </c>
      <c r="D576" s="13" t="s">
        <v>3754</v>
      </c>
      <c r="E576" s="29" t="s">
        <v>2124</v>
      </c>
      <c r="F576" s="13" t="s">
        <v>2125</v>
      </c>
      <c r="G576" s="22"/>
      <c r="H576" s="8"/>
      <c r="I576" s="8"/>
      <c r="J576" s="29" t="s">
        <v>1277</v>
      </c>
      <c r="K576" s="29" t="s">
        <v>2126</v>
      </c>
      <c r="L576" s="29"/>
      <c r="M576" s="68">
        <v>1</v>
      </c>
      <c r="N576" s="68" t="s">
        <v>3476</v>
      </c>
    </row>
    <row r="577" spans="1:14" ht="14.25" x14ac:dyDescent="0.2">
      <c r="A577" s="11" t="s">
        <v>1542</v>
      </c>
      <c r="B577" s="12" t="s">
        <v>3732</v>
      </c>
      <c r="C577" s="13" t="s">
        <v>3757</v>
      </c>
      <c r="D577" s="13" t="s">
        <v>3754</v>
      </c>
      <c r="E577" s="29" t="s">
        <v>2063</v>
      </c>
      <c r="F577" s="13" t="s">
        <v>2064</v>
      </c>
      <c r="G577" s="22">
        <v>60</v>
      </c>
      <c r="H577" s="22"/>
      <c r="I577" s="22"/>
      <c r="J577" s="29" t="s">
        <v>4820</v>
      </c>
      <c r="K577" s="29" t="s">
        <v>2065</v>
      </c>
      <c r="L577" s="29"/>
      <c r="M577" s="68">
        <v>1</v>
      </c>
      <c r="N577" s="68" t="s">
        <v>2341</v>
      </c>
    </row>
    <row r="578" spans="1:14" ht="14.25" x14ac:dyDescent="0.2">
      <c r="A578" s="11" t="s">
        <v>1542</v>
      </c>
      <c r="B578" s="12" t="s">
        <v>1543</v>
      </c>
      <c r="C578" s="13" t="s">
        <v>3757</v>
      </c>
      <c r="D578" s="13" t="s">
        <v>3754</v>
      </c>
      <c r="E578" s="29"/>
      <c r="F578" s="13" t="s">
        <v>1541</v>
      </c>
      <c r="G578" s="8">
        <v>28</v>
      </c>
      <c r="H578" s="8"/>
      <c r="I578" s="8"/>
      <c r="J578" s="29" t="s">
        <v>4737</v>
      </c>
      <c r="K578" s="29" t="s">
        <v>1544</v>
      </c>
      <c r="L578" s="95"/>
      <c r="M578" s="68">
        <v>1</v>
      </c>
      <c r="N578" s="68" t="s">
        <v>5195</v>
      </c>
    </row>
    <row r="579" spans="1:14" ht="14.25" x14ac:dyDescent="0.2">
      <c r="A579" s="11" t="s">
        <v>35</v>
      </c>
      <c r="B579" s="12" t="s">
        <v>3740</v>
      </c>
      <c r="C579" s="13" t="s">
        <v>3757</v>
      </c>
      <c r="D579" s="13" t="s">
        <v>3754</v>
      </c>
      <c r="E579" s="29" t="s">
        <v>36</v>
      </c>
      <c r="F579" s="13" t="s">
        <v>37</v>
      </c>
      <c r="G579" s="22">
        <v>34</v>
      </c>
      <c r="H579" s="8"/>
      <c r="I579" s="8"/>
      <c r="J579" s="29" t="s">
        <v>1259</v>
      </c>
      <c r="K579" s="29" t="s">
        <v>38</v>
      </c>
      <c r="L579" s="29"/>
      <c r="M579" s="68">
        <v>1</v>
      </c>
      <c r="N579" s="68" t="s">
        <v>3476</v>
      </c>
    </row>
    <row r="580" spans="1:14" ht="14.25" x14ac:dyDescent="0.2">
      <c r="A580" s="11" t="s">
        <v>5976</v>
      </c>
      <c r="B580" s="12" t="s">
        <v>5435</v>
      </c>
      <c r="C580" s="13" t="s">
        <v>3767</v>
      </c>
      <c r="D580" s="13" t="s">
        <v>1539</v>
      </c>
      <c r="E580" s="29" t="s">
        <v>5978</v>
      </c>
      <c r="F580" s="13" t="s">
        <v>5979</v>
      </c>
      <c r="G580" s="8">
        <v>33</v>
      </c>
      <c r="H580" s="8"/>
      <c r="I580" s="8"/>
      <c r="J580" s="29" t="s">
        <v>1264</v>
      </c>
      <c r="K580" s="29" t="s">
        <v>5980</v>
      </c>
      <c r="L580" s="29"/>
      <c r="M580" s="68">
        <v>1</v>
      </c>
      <c r="N580" s="68" t="s">
        <v>5950</v>
      </c>
    </row>
    <row r="581" spans="1:14" ht="14.25" x14ac:dyDescent="0.2">
      <c r="A581" s="11" t="s">
        <v>5113</v>
      </c>
      <c r="B581" s="12" t="s">
        <v>4910</v>
      </c>
      <c r="C581" s="13" t="s">
        <v>3767</v>
      </c>
      <c r="D581" s="13" t="s">
        <v>3767</v>
      </c>
      <c r="E581" s="29" t="s">
        <v>8594</v>
      </c>
      <c r="F581" s="13" t="s">
        <v>5635</v>
      </c>
      <c r="G581" s="8"/>
      <c r="H581" s="8">
        <v>2</v>
      </c>
      <c r="I581" s="8">
        <v>10</v>
      </c>
      <c r="J581" s="29" t="s">
        <v>5636</v>
      </c>
      <c r="K581" s="29"/>
      <c r="L581" s="95"/>
      <c r="M581" s="68">
        <v>1</v>
      </c>
      <c r="N581" s="68" t="s">
        <v>5197</v>
      </c>
    </row>
    <row r="582" spans="1:14" ht="14.25" x14ac:dyDescent="0.2">
      <c r="A582" s="11" t="s">
        <v>5113</v>
      </c>
      <c r="B582" s="12" t="s">
        <v>3740</v>
      </c>
      <c r="C582" s="13" t="s">
        <v>3757</v>
      </c>
      <c r="D582" s="13" t="s">
        <v>3767</v>
      </c>
      <c r="E582" s="29"/>
      <c r="F582" s="13" t="s">
        <v>5114</v>
      </c>
      <c r="G582" s="22">
        <v>56</v>
      </c>
      <c r="H582" s="22">
        <v>5</v>
      </c>
      <c r="I582" s="22"/>
      <c r="J582" s="29" t="s">
        <v>4746</v>
      </c>
      <c r="K582" s="29" t="s">
        <v>5115</v>
      </c>
      <c r="L582" s="95"/>
      <c r="M582" s="68">
        <v>1</v>
      </c>
      <c r="N582" s="68" t="s">
        <v>5196</v>
      </c>
    </row>
    <row r="583" spans="1:14" ht="14.25" x14ac:dyDescent="0.2">
      <c r="A583" s="11" t="s">
        <v>3376</v>
      </c>
      <c r="B583" s="12" t="s">
        <v>3748</v>
      </c>
      <c r="C583" s="13" t="s">
        <v>3757</v>
      </c>
      <c r="D583" s="13" t="s">
        <v>735</v>
      </c>
      <c r="E583" s="29" t="s">
        <v>3668</v>
      </c>
      <c r="F583" s="13" t="s">
        <v>3377</v>
      </c>
      <c r="G583" s="8">
        <v>94</v>
      </c>
      <c r="H583" s="8"/>
      <c r="I583" s="8"/>
      <c r="J583" s="29" t="s">
        <v>1277</v>
      </c>
      <c r="K583" s="29" t="s">
        <v>3378</v>
      </c>
      <c r="L583" s="29"/>
      <c r="M583" s="68">
        <v>1</v>
      </c>
      <c r="N583" s="108" t="s">
        <v>3342</v>
      </c>
    </row>
    <row r="584" spans="1:14" ht="28.5" x14ac:dyDescent="0.2">
      <c r="A584" s="11" t="s">
        <v>1623</v>
      </c>
      <c r="B584" s="12" t="s">
        <v>5091</v>
      </c>
      <c r="C584" s="13" t="s">
        <v>3757</v>
      </c>
      <c r="D584" s="13" t="s">
        <v>3754</v>
      </c>
      <c r="E584" s="29" t="s">
        <v>2120</v>
      </c>
      <c r="F584" s="13" t="s">
        <v>2121</v>
      </c>
      <c r="G584" s="22">
        <v>55</v>
      </c>
      <c r="H584" s="8"/>
      <c r="I584" s="8"/>
      <c r="J584" s="29" t="s">
        <v>2122</v>
      </c>
      <c r="K584" s="29" t="s">
        <v>2123</v>
      </c>
      <c r="L584" s="29"/>
      <c r="M584" s="68">
        <v>1</v>
      </c>
      <c r="N584" s="68" t="s">
        <v>3476</v>
      </c>
    </row>
    <row r="585" spans="1:14" ht="14.25" x14ac:dyDescent="0.2">
      <c r="A585" s="11" t="s">
        <v>1623</v>
      </c>
      <c r="B585" s="12" t="s">
        <v>3740</v>
      </c>
      <c r="C585" s="16" t="s">
        <v>3761</v>
      </c>
      <c r="D585" s="13"/>
      <c r="E585" s="29" t="s">
        <v>1625</v>
      </c>
      <c r="F585" s="13" t="s">
        <v>1541</v>
      </c>
      <c r="G585" s="8"/>
      <c r="H585" s="8">
        <v>22</v>
      </c>
      <c r="I585" s="8"/>
      <c r="J585" s="29"/>
      <c r="K585" s="29" t="s">
        <v>1624</v>
      </c>
      <c r="L585" s="95"/>
      <c r="M585" s="68">
        <v>1</v>
      </c>
      <c r="N585" s="68" t="s">
        <v>5195</v>
      </c>
    </row>
    <row r="586" spans="1:14" ht="14.25" x14ac:dyDescent="0.2">
      <c r="A586" s="11" t="s">
        <v>1623</v>
      </c>
      <c r="B586" s="12" t="s">
        <v>3732</v>
      </c>
      <c r="C586" s="16" t="s">
        <v>3761</v>
      </c>
      <c r="D586" s="13"/>
      <c r="E586" s="29" t="s">
        <v>1571</v>
      </c>
      <c r="F586" s="13"/>
      <c r="G586" s="8">
        <v>14</v>
      </c>
      <c r="H586" s="8"/>
      <c r="I586" s="8"/>
      <c r="J586" s="29" t="s">
        <v>1572</v>
      </c>
      <c r="K586" s="29" t="s">
        <v>1624</v>
      </c>
      <c r="L586" s="95"/>
      <c r="M586" s="68">
        <v>1</v>
      </c>
      <c r="N586" s="68" t="s">
        <v>5195</v>
      </c>
    </row>
    <row r="587" spans="1:14" ht="14.25" x14ac:dyDescent="0.2">
      <c r="A587" s="11" t="s">
        <v>1623</v>
      </c>
      <c r="B587" s="12" t="s">
        <v>4701</v>
      </c>
      <c r="C587" s="16" t="s">
        <v>3761</v>
      </c>
      <c r="D587" s="13"/>
      <c r="E587" s="29" t="s">
        <v>1626</v>
      </c>
      <c r="F587" s="13" t="s">
        <v>1541</v>
      </c>
      <c r="G587" s="8"/>
      <c r="H587" s="8">
        <v>13</v>
      </c>
      <c r="I587" s="8"/>
      <c r="J587" s="29"/>
      <c r="K587" s="29" t="s">
        <v>1624</v>
      </c>
      <c r="L587" s="95"/>
      <c r="M587" s="68">
        <v>1</v>
      </c>
      <c r="N587" s="68" t="s">
        <v>5195</v>
      </c>
    </row>
    <row r="588" spans="1:14" ht="28.5" x14ac:dyDescent="0.2">
      <c r="A588" s="11" t="s">
        <v>3469</v>
      </c>
      <c r="B588" s="12" t="s">
        <v>3728</v>
      </c>
      <c r="C588" s="13" t="s">
        <v>3754</v>
      </c>
      <c r="D588" s="13" t="s">
        <v>3754</v>
      </c>
      <c r="E588" s="29" t="s">
        <v>3690</v>
      </c>
      <c r="F588" s="13" t="s">
        <v>3691</v>
      </c>
      <c r="G588" s="22">
        <v>1</v>
      </c>
      <c r="H588" s="8">
        <v>1</v>
      </c>
      <c r="I588" s="8">
        <v>1</v>
      </c>
      <c r="J588" s="29" t="s">
        <v>3692</v>
      </c>
      <c r="K588" s="29" t="s">
        <v>3693</v>
      </c>
      <c r="L588" s="95"/>
      <c r="M588" s="68">
        <v>1</v>
      </c>
      <c r="N588" s="68" t="s">
        <v>3476</v>
      </c>
    </row>
    <row r="589" spans="1:14" ht="14.25" x14ac:dyDescent="0.2">
      <c r="A589" s="14" t="s">
        <v>3469</v>
      </c>
      <c r="B589" s="15" t="s">
        <v>5647</v>
      </c>
      <c r="C589" s="16" t="s">
        <v>3757</v>
      </c>
      <c r="D589" s="16" t="s">
        <v>3761</v>
      </c>
      <c r="E589" s="27" t="s">
        <v>8855</v>
      </c>
      <c r="F589" s="16" t="s">
        <v>3470</v>
      </c>
      <c r="G589" s="8">
        <v>43</v>
      </c>
      <c r="H589" s="8"/>
      <c r="I589" s="8"/>
      <c r="J589" s="27" t="s">
        <v>1928</v>
      </c>
      <c r="K589" s="27" t="s">
        <v>3471</v>
      </c>
      <c r="L589" s="29"/>
      <c r="M589" s="68">
        <v>1</v>
      </c>
      <c r="N589" s="68" t="s">
        <v>3133</v>
      </c>
    </row>
    <row r="590" spans="1:14" ht="14.25" x14ac:dyDescent="0.2">
      <c r="A590" s="11" t="s">
        <v>3358</v>
      </c>
      <c r="B590" s="12" t="s">
        <v>3723</v>
      </c>
      <c r="C590" s="13" t="s">
        <v>3346</v>
      </c>
      <c r="D590" s="13" t="s">
        <v>735</v>
      </c>
      <c r="E590" s="29" t="s">
        <v>3359</v>
      </c>
      <c r="F590" s="13" t="s">
        <v>3350</v>
      </c>
      <c r="G590" s="8">
        <v>9</v>
      </c>
      <c r="H590" s="8">
        <v>9</v>
      </c>
      <c r="I590" s="8">
        <v>22</v>
      </c>
      <c r="J590" s="29"/>
      <c r="K590" s="29" t="s">
        <v>3359</v>
      </c>
      <c r="L590" s="29"/>
      <c r="M590" s="68">
        <v>1</v>
      </c>
      <c r="N590" s="108" t="s">
        <v>3342</v>
      </c>
    </row>
    <row r="591" spans="1:14" ht="14.25" x14ac:dyDescent="0.2">
      <c r="A591" s="11" t="s">
        <v>1808</v>
      </c>
      <c r="B591" s="12" t="s">
        <v>1809</v>
      </c>
      <c r="C591" s="13" t="s">
        <v>3757</v>
      </c>
      <c r="D591" s="13" t="s">
        <v>3754</v>
      </c>
      <c r="E591" s="29" t="s">
        <v>1810</v>
      </c>
      <c r="F591" s="13" t="s">
        <v>1811</v>
      </c>
      <c r="G591" s="22">
        <v>72</v>
      </c>
      <c r="H591" s="22"/>
      <c r="I591" s="22"/>
      <c r="J591" s="29" t="s">
        <v>1812</v>
      </c>
      <c r="K591" s="29" t="s">
        <v>1813</v>
      </c>
      <c r="L591" s="94"/>
      <c r="M591" s="68">
        <v>1</v>
      </c>
      <c r="N591" s="68" t="s">
        <v>5196</v>
      </c>
    </row>
    <row r="592" spans="1:14" ht="14.25" x14ac:dyDescent="0.2">
      <c r="A592" s="9" t="s">
        <v>6520</v>
      </c>
      <c r="B592" s="5" t="s">
        <v>6016</v>
      </c>
      <c r="C592" s="20" t="s">
        <v>3761</v>
      </c>
      <c r="D592" s="10" t="s">
        <v>3754</v>
      </c>
      <c r="E592" s="55" t="s">
        <v>6017</v>
      </c>
      <c r="F592" s="10" t="s">
        <v>6018</v>
      </c>
      <c r="G592" s="8">
        <v>37</v>
      </c>
      <c r="H592" s="8"/>
      <c r="I592" s="8"/>
      <c r="J592" s="55" t="s">
        <v>3769</v>
      </c>
      <c r="K592" s="55" t="s">
        <v>6019</v>
      </c>
      <c r="L592" s="61"/>
      <c r="M592" s="68">
        <v>1</v>
      </c>
      <c r="N592" s="68" t="s">
        <v>5950</v>
      </c>
    </row>
    <row r="593" spans="1:14" ht="28.5" x14ac:dyDescent="0.2">
      <c r="A593" s="9" t="s">
        <v>6520</v>
      </c>
      <c r="B593" s="5" t="s">
        <v>6521</v>
      </c>
      <c r="C593" s="21" t="s">
        <v>3754</v>
      </c>
      <c r="D593" s="10" t="s">
        <v>3754</v>
      </c>
      <c r="E593" s="61" t="s">
        <v>1805</v>
      </c>
      <c r="F593" s="10" t="s">
        <v>2396</v>
      </c>
      <c r="G593" s="22">
        <v>31</v>
      </c>
      <c r="H593" s="22"/>
      <c r="I593" s="22"/>
      <c r="J593" s="55" t="s">
        <v>1806</v>
      </c>
      <c r="K593" s="55" t="s">
        <v>1807</v>
      </c>
      <c r="L593" s="94"/>
      <c r="M593" s="68">
        <v>1</v>
      </c>
      <c r="N593" s="68" t="s">
        <v>5196</v>
      </c>
    </row>
    <row r="594" spans="1:14" ht="28.5" x14ac:dyDescent="0.2">
      <c r="A594" s="11" t="s">
        <v>6520</v>
      </c>
      <c r="B594" s="12" t="s">
        <v>3734</v>
      </c>
      <c r="C594" s="13" t="s">
        <v>3754</v>
      </c>
      <c r="D594" s="13" t="s">
        <v>3754</v>
      </c>
      <c r="E594" s="29"/>
      <c r="F594" s="13" t="s">
        <v>6869</v>
      </c>
      <c r="G594" s="26">
        <v>38</v>
      </c>
      <c r="H594" s="8"/>
      <c r="I594" s="8"/>
      <c r="J594" s="29" t="s">
        <v>2333</v>
      </c>
      <c r="K594" s="29" t="s">
        <v>6870</v>
      </c>
      <c r="L594" s="29"/>
      <c r="M594" s="68">
        <v>1</v>
      </c>
      <c r="N594" s="68" t="s">
        <v>6813</v>
      </c>
    </row>
    <row r="595" spans="1:14" ht="14.25" x14ac:dyDescent="0.2">
      <c r="A595" s="11" t="s">
        <v>6520</v>
      </c>
      <c r="B595" s="12" t="s">
        <v>1432</v>
      </c>
      <c r="C595" s="13" t="s">
        <v>3757</v>
      </c>
      <c r="D595" s="13" t="s">
        <v>3754</v>
      </c>
      <c r="E595" s="29" t="s">
        <v>6912</v>
      </c>
      <c r="F595" s="13" t="s">
        <v>6913</v>
      </c>
      <c r="G595" s="26">
        <v>24</v>
      </c>
      <c r="H595" s="8"/>
      <c r="I595" s="8"/>
      <c r="J595" s="29" t="s">
        <v>1277</v>
      </c>
      <c r="K595" s="29" t="s">
        <v>6914</v>
      </c>
      <c r="L595" s="29"/>
      <c r="M595" s="68">
        <v>1</v>
      </c>
      <c r="N595" s="68" t="s">
        <v>6813</v>
      </c>
    </row>
    <row r="596" spans="1:14" ht="14.25" x14ac:dyDescent="0.2">
      <c r="A596" s="11" t="s">
        <v>6520</v>
      </c>
      <c r="B596" s="12" t="s">
        <v>3727</v>
      </c>
      <c r="C596" s="13" t="s">
        <v>3757</v>
      </c>
      <c r="D596" s="13" t="s">
        <v>3761</v>
      </c>
      <c r="E596" s="29" t="s">
        <v>5651</v>
      </c>
      <c r="F596" s="13" t="s">
        <v>5652</v>
      </c>
      <c r="G596" s="26">
        <v>61</v>
      </c>
      <c r="H596" s="8"/>
      <c r="I596" s="8"/>
      <c r="J596" s="29" t="s">
        <v>1270</v>
      </c>
      <c r="K596" s="29" t="s">
        <v>5653</v>
      </c>
      <c r="L596" s="95"/>
      <c r="M596" s="68">
        <v>1</v>
      </c>
      <c r="N596" s="68" t="s">
        <v>5197</v>
      </c>
    </row>
    <row r="597" spans="1:14" ht="14.25" x14ac:dyDescent="0.2">
      <c r="A597" s="11" t="s">
        <v>6520</v>
      </c>
      <c r="B597" s="12" t="s">
        <v>1809</v>
      </c>
      <c r="C597" s="13" t="s">
        <v>3754</v>
      </c>
      <c r="D597" s="13" t="s">
        <v>3761</v>
      </c>
      <c r="E597" s="29" t="s">
        <v>6871</v>
      </c>
      <c r="F597" s="13" t="s">
        <v>6872</v>
      </c>
      <c r="G597" s="26">
        <v>2</v>
      </c>
      <c r="H597" s="8"/>
      <c r="I597" s="8"/>
      <c r="J597" s="29" t="s">
        <v>6873</v>
      </c>
      <c r="K597" s="29" t="s">
        <v>6874</v>
      </c>
      <c r="L597" s="29"/>
      <c r="M597" s="68">
        <v>1</v>
      </c>
      <c r="N597" s="68" t="s">
        <v>6813</v>
      </c>
    </row>
    <row r="598" spans="1:14" ht="14.25" x14ac:dyDescent="0.2">
      <c r="A598" s="14" t="s">
        <v>6520</v>
      </c>
      <c r="B598" s="15" t="s">
        <v>5712</v>
      </c>
      <c r="C598" s="16" t="s">
        <v>3754</v>
      </c>
      <c r="D598" s="16" t="s">
        <v>3761</v>
      </c>
      <c r="E598" s="27" t="s">
        <v>3421</v>
      </c>
      <c r="F598" s="16" t="s">
        <v>3422</v>
      </c>
      <c r="G598" s="26">
        <v>25</v>
      </c>
      <c r="H598" s="8">
        <v>9</v>
      </c>
      <c r="I598" s="8"/>
      <c r="J598" s="27" t="s">
        <v>4742</v>
      </c>
      <c r="K598" s="27" t="s">
        <v>3423</v>
      </c>
      <c r="L598" s="29"/>
      <c r="M598" s="68">
        <v>1</v>
      </c>
      <c r="N598" s="68" t="s">
        <v>3133</v>
      </c>
    </row>
    <row r="599" spans="1:14" ht="14.25" x14ac:dyDescent="0.2">
      <c r="A599" s="11" t="s">
        <v>6520</v>
      </c>
      <c r="B599" s="12" t="s">
        <v>3723</v>
      </c>
      <c r="C599" s="13" t="s">
        <v>3754</v>
      </c>
      <c r="D599" s="13" t="s">
        <v>3761</v>
      </c>
      <c r="E599" s="29" t="s">
        <v>6907</v>
      </c>
      <c r="F599" s="13" t="s">
        <v>6908</v>
      </c>
      <c r="G599" s="26"/>
      <c r="H599" s="8"/>
      <c r="I599" s="8">
        <v>2</v>
      </c>
      <c r="J599" s="29" t="s">
        <v>1274</v>
      </c>
      <c r="K599" s="29" t="s">
        <v>6907</v>
      </c>
      <c r="L599" s="29"/>
      <c r="M599" s="68">
        <v>1</v>
      </c>
      <c r="N599" s="68" t="s">
        <v>6813</v>
      </c>
    </row>
    <row r="600" spans="1:14" ht="14.25" x14ac:dyDescent="0.2">
      <c r="A600" s="11" t="s">
        <v>6520</v>
      </c>
      <c r="B600" s="12" t="s">
        <v>4701</v>
      </c>
      <c r="C600" s="13" t="s">
        <v>3757</v>
      </c>
      <c r="D600" s="13" t="s">
        <v>3754</v>
      </c>
      <c r="E600" s="29" t="s">
        <v>46</v>
      </c>
      <c r="F600" s="13" t="s">
        <v>47</v>
      </c>
      <c r="G600" s="25">
        <v>65</v>
      </c>
      <c r="H600" s="8"/>
      <c r="I600" s="8"/>
      <c r="J600" s="29" t="s">
        <v>48</v>
      </c>
      <c r="K600" s="29" t="s">
        <v>49</v>
      </c>
      <c r="L600" s="29"/>
      <c r="M600" s="68">
        <v>1</v>
      </c>
      <c r="N600" s="68" t="s">
        <v>3476</v>
      </c>
    </row>
    <row r="601" spans="1:14" ht="14.25" x14ac:dyDescent="0.2">
      <c r="A601" s="11" t="s">
        <v>6817</v>
      </c>
      <c r="B601" s="12" t="s">
        <v>4688</v>
      </c>
      <c r="C601" s="13" t="s">
        <v>3768</v>
      </c>
      <c r="D601" s="13" t="s">
        <v>3761</v>
      </c>
      <c r="E601" s="29" t="s">
        <v>6818</v>
      </c>
      <c r="F601" s="13" t="s">
        <v>6819</v>
      </c>
      <c r="G601" s="26">
        <v>32</v>
      </c>
      <c r="H601" s="8"/>
      <c r="I601" s="8"/>
      <c r="J601" s="29" t="s">
        <v>1259</v>
      </c>
      <c r="K601" s="29" t="s">
        <v>6820</v>
      </c>
      <c r="L601" s="29"/>
      <c r="M601" s="68">
        <v>1</v>
      </c>
      <c r="N601" s="68" t="s">
        <v>6813</v>
      </c>
    </row>
    <row r="602" spans="1:14" ht="14.25" x14ac:dyDescent="0.2">
      <c r="A602" s="11" t="s">
        <v>6794</v>
      </c>
      <c r="B602" s="12" t="s">
        <v>5057</v>
      </c>
      <c r="C602" s="13" t="s">
        <v>3757</v>
      </c>
      <c r="D602" s="13" t="s">
        <v>3754</v>
      </c>
      <c r="E602" s="29" t="s">
        <v>4966</v>
      </c>
      <c r="F602" s="13" t="s">
        <v>6795</v>
      </c>
      <c r="G602" s="25">
        <v>46</v>
      </c>
      <c r="H602" s="22"/>
      <c r="I602" s="22"/>
      <c r="J602" s="29" t="s">
        <v>1264</v>
      </c>
      <c r="K602" s="29"/>
      <c r="L602" s="29"/>
      <c r="M602" s="68">
        <v>1</v>
      </c>
      <c r="N602" s="68" t="s">
        <v>2341</v>
      </c>
    </row>
    <row r="603" spans="1:14" ht="14.25" x14ac:dyDescent="0.2">
      <c r="A603" s="11" t="s">
        <v>1638</v>
      </c>
      <c r="B603" s="12" t="s">
        <v>3752</v>
      </c>
      <c r="C603" s="13" t="s">
        <v>3757</v>
      </c>
      <c r="D603" s="13" t="s">
        <v>3754</v>
      </c>
      <c r="E603" s="29" t="s">
        <v>1643</v>
      </c>
      <c r="F603" s="13" t="s">
        <v>1644</v>
      </c>
      <c r="G603" s="26">
        <v>60</v>
      </c>
      <c r="H603" s="8"/>
      <c r="I603" s="8"/>
      <c r="J603" s="29" t="s">
        <v>1266</v>
      </c>
      <c r="K603" s="29" t="s">
        <v>1642</v>
      </c>
      <c r="L603" s="95"/>
      <c r="M603" s="68">
        <v>1</v>
      </c>
      <c r="N603" s="68" t="s">
        <v>5195</v>
      </c>
    </row>
    <row r="604" spans="1:14" ht="14.25" x14ac:dyDescent="0.2">
      <c r="A604" s="11" t="s">
        <v>1638</v>
      </c>
      <c r="B604" s="12" t="s">
        <v>1809</v>
      </c>
      <c r="C604" s="13" t="s">
        <v>3757</v>
      </c>
      <c r="D604" s="13" t="s">
        <v>3761</v>
      </c>
      <c r="E604" s="29" t="s">
        <v>6828</v>
      </c>
      <c r="F604" s="13" t="s">
        <v>6829</v>
      </c>
      <c r="G604" s="26">
        <v>67</v>
      </c>
      <c r="H604" s="8"/>
      <c r="I604" s="8"/>
      <c r="J604" s="29" t="s">
        <v>4732</v>
      </c>
      <c r="K604" s="29" t="s">
        <v>6830</v>
      </c>
      <c r="L604" s="29"/>
      <c r="M604" s="68">
        <v>1</v>
      </c>
      <c r="N604" s="68" t="s">
        <v>6813</v>
      </c>
    </row>
    <row r="605" spans="1:14" ht="14.25" x14ac:dyDescent="0.2">
      <c r="A605" s="11" t="s">
        <v>1638</v>
      </c>
      <c r="B605" s="12" t="s">
        <v>5092</v>
      </c>
      <c r="C605" s="16" t="s">
        <v>3761</v>
      </c>
      <c r="D605" s="13"/>
      <c r="E605" s="29" t="s">
        <v>5959</v>
      </c>
      <c r="F605" s="13" t="s">
        <v>5960</v>
      </c>
      <c r="G605" s="26"/>
      <c r="H605" s="8">
        <v>7</v>
      </c>
      <c r="I605" s="8"/>
      <c r="J605" s="29" t="s">
        <v>4829</v>
      </c>
      <c r="K605" s="29" t="s">
        <v>5961</v>
      </c>
      <c r="L605" s="29"/>
      <c r="M605" s="68">
        <v>1</v>
      </c>
      <c r="N605" s="68" t="s">
        <v>5950</v>
      </c>
    </row>
    <row r="606" spans="1:14" ht="14.25" x14ac:dyDescent="0.2">
      <c r="A606" s="11" t="s">
        <v>1638</v>
      </c>
      <c r="B606" s="12" t="s">
        <v>3723</v>
      </c>
      <c r="C606" s="16" t="s">
        <v>3761</v>
      </c>
      <c r="D606" s="13" t="s">
        <v>2296</v>
      </c>
      <c r="E606" s="29"/>
      <c r="F606" s="13" t="s">
        <v>2297</v>
      </c>
      <c r="G606" s="26">
        <v>7</v>
      </c>
      <c r="H606" s="8">
        <v>3</v>
      </c>
      <c r="I606" s="8"/>
      <c r="J606" s="29" t="s">
        <v>7319</v>
      </c>
      <c r="K606" s="29" t="s">
        <v>2298</v>
      </c>
      <c r="L606" s="29"/>
      <c r="M606" s="68">
        <v>1</v>
      </c>
      <c r="N606" s="68" t="s">
        <v>5950</v>
      </c>
    </row>
    <row r="607" spans="1:14" ht="28.5" x14ac:dyDescent="0.2">
      <c r="A607" s="11" t="s">
        <v>1638</v>
      </c>
      <c r="B607" s="12" t="s">
        <v>6976</v>
      </c>
      <c r="C607" s="13" t="s">
        <v>3757</v>
      </c>
      <c r="D607" s="13" t="s">
        <v>3754</v>
      </c>
      <c r="E607" s="29" t="s">
        <v>5985</v>
      </c>
      <c r="F607" s="13" t="s">
        <v>5986</v>
      </c>
      <c r="G607" s="26">
        <v>42</v>
      </c>
      <c r="H607" s="8"/>
      <c r="I607" s="8"/>
      <c r="J607" s="29" t="s">
        <v>1270</v>
      </c>
      <c r="K607" s="29" t="s">
        <v>5987</v>
      </c>
      <c r="L607" s="29" t="s">
        <v>6975</v>
      </c>
      <c r="M607" s="68">
        <v>1</v>
      </c>
      <c r="N607" s="68" t="s">
        <v>5950</v>
      </c>
    </row>
    <row r="608" spans="1:14" ht="14.25" x14ac:dyDescent="0.2">
      <c r="A608" s="11" t="s">
        <v>1638</v>
      </c>
      <c r="B608" s="12" t="s">
        <v>4900</v>
      </c>
      <c r="C608" s="13" t="s">
        <v>3757</v>
      </c>
      <c r="D608" s="13" t="s">
        <v>3754</v>
      </c>
      <c r="E608" s="29" t="s">
        <v>1639</v>
      </c>
      <c r="F608" s="13" t="s">
        <v>1640</v>
      </c>
      <c r="G608" s="26">
        <v>49</v>
      </c>
      <c r="H608" s="8"/>
      <c r="I608" s="8"/>
      <c r="J608" s="29" t="s">
        <v>1641</v>
      </c>
      <c r="K608" s="29" t="s">
        <v>1642</v>
      </c>
      <c r="L608" s="95"/>
      <c r="M608" s="68">
        <v>1</v>
      </c>
      <c r="N608" s="68" t="s">
        <v>5195</v>
      </c>
    </row>
    <row r="609" spans="1:14" ht="14.25" x14ac:dyDescent="0.2">
      <c r="A609" s="11" t="s">
        <v>1638</v>
      </c>
      <c r="B609" s="12" t="s">
        <v>3733</v>
      </c>
      <c r="C609" s="16" t="s">
        <v>3761</v>
      </c>
      <c r="D609" s="13" t="s">
        <v>3754</v>
      </c>
      <c r="E609" s="29" t="s">
        <v>6024</v>
      </c>
      <c r="F609" s="13" t="s">
        <v>6025</v>
      </c>
      <c r="G609" s="26"/>
      <c r="H609" s="8">
        <v>2</v>
      </c>
      <c r="I609" s="8">
        <v>12</v>
      </c>
      <c r="J609" s="29" t="s">
        <v>4734</v>
      </c>
      <c r="K609" s="29" t="s">
        <v>6026</v>
      </c>
      <c r="L609" s="29"/>
      <c r="M609" s="68">
        <v>1</v>
      </c>
      <c r="N609" s="68" t="s">
        <v>5950</v>
      </c>
    </row>
    <row r="610" spans="1:14" ht="14.25" x14ac:dyDescent="0.2">
      <c r="A610" s="11" t="s">
        <v>2070</v>
      </c>
      <c r="B610" s="12" t="s">
        <v>2071</v>
      </c>
      <c r="C610" s="13" t="s">
        <v>2072</v>
      </c>
      <c r="D610" s="13" t="s">
        <v>2072</v>
      </c>
      <c r="E610" s="29" t="s">
        <v>2073</v>
      </c>
      <c r="F610" s="13" t="s">
        <v>2074</v>
      </c>
      <c r="G610" s="25">
        <v>1</v>
      </c>
      <c r="H610" s="22">
        <v>1</v>
      </c>
      <c r="I610" s="22">
        <v>23</v>
      </c>
      <c r="J610" s="29" t="s">
        <v>1264</v>
      </c>
      <c r="K610" s="29" t="s">
        <v>2069</v>
      </c>
      <c r="L610" s="29"/>
      <c r="M610" s="68">
        <v>1</v>
      </c>
      <c r="N610" s="68" t="s">
        <v>2341</v>
      </c>
    </row>
    <row r="611" spans="1:14" ht="14.25" x14ac:dyDescent="0.2">
      <c r="A611" s="11" t="s">
        <v>2070</v>
      </c>
      <c r="B611" s="12" t="s">
        <v>3723</v>
      </c>
      <c r="C611" s="13" t="s">
        <v>3757</v>
      </c>
      <c r="D611" s="13" t="s">
        <v>2072</v>
      </c>
      <c r="E611" s="29" t="s">
        <v>2614</v>
      </c>
      <c r="F611" s="13" t="s">
        <v>2615</v>
      </c>
      <c r="G611" s="25">
        <v>63</v>
      </c>
      <c r="H611" s="22"/>
      <c r="I611" s="22"/>
      <c r="J611" s="29" t="s">
        <v>4746</v>
      </c>
      <c r="K611" s="29" t="s">
        <v>2616</v>
      </c>
      <c r="L611" s="29"/>
      <c r="M611" s="68">
        <v>1</v>
      </c>
      <c r="N611" s="68" t="s">
        <v>2341</v>
      </c>
    </row>
    <row r="612" spans="1:14" ht="14.25" x14ac:dyDescent="0.2">
      <c r="A612" s="11" t="s">
        <v>5680</v>
      </c>
      <c r="B612" s="12" t="s">
        <v>3723</v>
      </c>
      <c r="C612" s="13" t="s">
        <v>3754</v>
      </c>
      <c r="D612" s="13" t="s">
        <v>3754</v>
      </c>
      <c r="E612" s="29" t="s">
        <v>5681</v>
      </c>
      <c r="F612" s="13" t="s">
        <v>5682</v>
      </c>
      <c r="G612" s="25"/>
      <c r="H612" s="22">
        <v>4</v>
      </c>
      <c r="I612" s="22">
        <v>4</v>
      </c>
      <c r="J612" s="29" t="s">
        <v>5683</v>
      </c>
      <c r="K612" s="29" t="s">
        <v>5684</v>
      </c>
      <c r="L612" s="29"/>
      <c r="M612" s="68">
        <v>1</v>
      </c>
      <c r="N612" s="68" t="s">
        <v>5657</v>
      </c>
    </row>
    <row r="613" spans="1:14" ht="14.25" x14ac:dyDescent="0.2">
      <c r="A613" s="11" t="s">
        <v>5680</v>
      </c>
      <c r="B613" s="12" t="s">
        <v>3729</v>
      </c>
      <c r="C613" s="13" t="s">
        <v>3757</v>
      </c>
      <c r="D613" s="13" t="s">
        <v>3754</v>
      </c>
      <c r="E613" s="29" t="s">
        <v>6030</v>
      </c>
      <c r="F613" s="13" t="s">
        <v>6031</v>
      </c>
      <c r="G613" s="26">
        <v>41</v>
      </c>
      <c r="H613" s="8"/>
      <c r="I613" s="8"/>
      <c r="J613" s="29" t="s">
        <v>1264</v>
      </c>
      <c r="K613" s="29" t="s">
        <v>6032</v>
      </c>
      <c r="L613" s="29"/>
      <c r="M613" s="68">
        <v>1</v>
      </c>
      <c r="N613" s="68" t="s">
        <v>5950</v>
      </c>
    </row>
    <row r="614" spans="1:14" ht="14.25" x14ac:dyDescent="0.2">
      <c r="A614" s="11" t="s">
        <v>5680</v>
      </c>
      <c r="B614" s="12" t="s">
        <v>1445</v>
      </c>
      <c r="C614" s="13" t="s">
        <v>3757</v>
      </c>
      <c r="D614" s="13" t="s">
        <v>3761</v>
      </c>
      <c r="E614" s="29" t="s">
        <v>6837</v>
      </c>
      <c r="F614" s="13" t="s">
        <v>6838</v>
      </c>
      <c r="G614" s="26">
        <v>33</v>
      </c>
      <c r="H614" s="8"/>
      <c r="I614" s="8"/>
      <c r="J614" s="29" t="s">
        <v>1272</v>
      </c>
      <c r="K614" s="29" t="s">
        <v>6839</v>
      </c>
      <c r="L614" s="29"/>
      <c r="M614" s="68">
        <v>1</v>
      </c>
      <c r="N614" s="68" t="s">
        <v>6813</v>
      </c>
    </row>
    <row r="615" spans="1:14" ht="14.25" x14ac:dyDescent="0.2">
      <c r="A615" s="14" t="s">
        <v>3330</v>
      </c>
      <c r="B615" s="15" t="s">
        <v>5057</v>
      </c>
      <c r="C615" s="16"/>
      <c r="D615" s="16" t="s">
        <v>3765</v>
      </c>
      <c r="E615" s="27" t="s">
        <v>3331</v>
      </c>
      <c r="F615" s="16" t="s">
        <v>3332</v>
      </c>
      <c r="G615" s="26">
        <v>48</v>
      </c>
      <c r="H615" s="8"/>
      <c r="I615" s="8"/>
      <c r="J615" s="27" t="s">
        <v>1264</v>
      </c>
      <c r="K615" s="27" t="s">
        <v>3333</v>
      </c>
      <c r="L615" s="29"/>
      <c r="M615" s="68">
        <v>1</v>
      </c>
      <c r="N615" s="68" t="s">
        <v>3133</v>
      </c>
    </row>
    <row r="616" spans="1:14" ht="14.25" x14ac:dyDescent="0.2">
      <c r="A616" s="11" t="s">
        <v>5981</v>
      </c>
      <c r="B616" s="12" t="s">
        <v>7006</v>
      </c>
      <c r="C616" s="13" t="s">
        <v>3757</v>
      </c>
      <c r="D616" s="13" t="s">
        <v>3754</v>
      </c>
      <c r="E616" s="29" t="s">
        <v>5982</v>
      </c>
      <c r="F616" s="13" t="s">
        <v>5983</v>
      </c>
      <c r="G616" s="26">
        <v>66</v>
      </c>
      <c r="H616" s="8"/>
      <c r="I616" s="8"/>
      <c r="J616" s="29" t="s">
        <v>1272</v>
      </c>
      <c r="K616" s="29" t="s">
        <v>5984</v>
      </c>
      <c r="L616" s="29"/>
      <c r="M616" s="68">
        <v>1</v>
      </c>
      <c r="N616" s="68" t="s">
        <v>5950</v>
      </c>
    </row>
    <row r="617" spans="1:14" ht="14.25" x14ac:dyDescent="0.2">
      <c r="A617" s="11" t="s">
        <v>5981</v>
      </c>
      <c r="B617" s="12" t="s">
        <v>1041</v>
      </c>
      <c r="C617" s="13" t="s">
        <v>3757</v>
      </c>
      <c r="D617" s="13" t="s">
        <v>3754</v>
      </c>
      <c r="E617" s="29" t="s">
        <v>3666</v>
      </c>
      <c r="F617" s="13" t="s">
        <v>3667</v>
      </c>
      <c r="G617" s="25">
        <v>31</v>
      </c>
      <c r="H617" s="8"/>
      <c r="I617" s="8"/>
      <c r="J617" s="29" t="s">
        <v>1264</v>
      </c>
      <c r="K617" s="29" t="s">
        <v>3668</v>
      </c>
      <c r="L617" s="29"/>
      <c r="M617" s="68">
        <v>1</v>
      </c>
      <c r="N617" s="68" t="s">
        <v>3476</v>
      </c>
    </row>
    <row r="618" spans="1:14" ht="14.25" x14ac:dyDescent="0.2">
      <c r="A618" s="11" t="s">
        <v>5981</v>
      </c>
      <c r="B618" s="12" t="s">
        <v>3740</v>
      </c>
      <c r="C618" s="13" t="s">
        <v>3754</v>
      </c>
      <c r="D618" s="13" t="s">
        <v>3754</v>
      </c>
      <c r="E618" s="29" t="s">
        <v>2110</v>
      </c>
      <c r="F618" s="13" t="s">
        <v>64</v>
      </c>
      <c r="G618" s="25">
        <v>3</v>
      </c>
      <c r="H618" s="8">
        <v>1</v>
      </c>
      <c r="I618" s="8"/>
      <c r="J618" s="29" t="s">
        <v>1277</v>
      </c>
      <c r="K618" s="29" t="s">
        <v>2111</v>
      </c>
      <c r="L618" s="29"/>
      <c r="M618" s="68">
        <v>1</v>
      </c>
      <c r="N618" s="68" t="s">
        <v>3476</v>
      </c>
    </row>
    <row r="619" spans="1:14" ht="14.25" x14ac:dyDescent="0.2">
      <c r="A619" s="11" t="s">
        <v>5981</v>
      </c>
      <c r="B619" s="12" t="s">
        <v>3723</v>
      </c>
      <c r="C619" s="13" t="s">
        <v>3754</v>
      </c>
      <c r="D619" s="13" t="s">
        <v>3754</v>
      </c>
      <c r="E619" s="29" t="s">
        <v>63</v>
      </c>
      <c r="F619" s="13" t="s">
        <v>64</v>
      </c>
      <c r="G619" s="25"/>
      <c r="H619" s="8">
        <v>4</v>
      </c>
      <c r="I619" s="8"/>
      <c r="J619" s="29" t="s">
        <v>1277</v>
      </c>
      <c r="K619" s="29" t="s">
        <v>65</v>
      </c>
      <c r="L619" s="29"/>
      <c r="M619" s="68">
        <v>1</v>
      </c>
      <c r="N619" s="68" t="s">
        <v>3476</v>
      </c>
    </row>
    <row r="620" spans="1:14" ht="14.25" x14ac:dyDescent="0.2">
      <c r="A620" s="11" t="s">
        <v>6790</v>
      </c>
      <c r="B620" s="12" t="s">
        <v>3723</v>
      </c>
      <c r="C620" s="13" t="s">
        <v>3754</v>
      </c>
      <c r="D620" s="13" t="s">
        <v>3754</v>
      </c>
      <c r="E620" s="29" t="s">
        <v>6791</v>
      </c>
      <c r="F620" s="13" t="s">
        <v>6792</v>
      </c>
      <c r="G620" s="25">
        <v>10</v>
      </c>
      <c r="H620" s="22">
        <v>11</v>
      </c>
      <c r="I620" s="22">
        <v>15</v>
      </c>
      <c r="J620" s="29" t="s">
        <v>1264</v>
      </c>
      <c r="K620" s="29" t="s">
        <v>6793</v>
      </c>
      <c r="L620" s="29"/>
      <c r="M620" s="68">
        <v>1</v>
      </c>
      <c r="N620" s="68" t="s">
        <v>2341</v>
      </c>
    </row>
    <row r="621" spans="1:14" ht="14.25" x14ac:dyDescent="0.2">
      <c r="A621" s="14" t="s">
        <v>3158</v>
      </c>
      <c r="B621" s="15" t="s">
        <v>3728</v>
      </c>
      <c r="C621" s="16" t="s">
        <v>3757</v>
      </c>
      <c r="D621" s="28"/>
      <c r="E621" s="27" t="s">
        <v>3159</v>
      </c>
      <c r="F621" s="16" t="s">
        <v>3160</v>
      </c>
      <c r="G621" s="26">
        <v>62</v>
      </c>
      <c r="H621" s="8"/>
      <c r="I621" s="8"/>
      <c r="J621" s="27" t="s">
        <v>5152</v>
      </c>
      <c r="K621" s="29" t="s">
        <v>3161</v>
      </c>
      <c r="L621" s="29"/>
      <c r="M621" s="68">
        <v>1</v>
      </c>
      <c r="N621" s="68" t="s">
        <v>6726</v>
      </c>
    </row>
    <row r="622" spans="1:14" ht="14.25" x14ac:dyDescent="0.2">
      <c r="A622" s="14" t="s">
        <v>3158</v>
      </c>
      <c r="B622" s="15" t="s">
        <v>4685</v>
      </c>
      <c r="C622" s="16" t="s">
        <v>3754</v>
      </c>
      <c r="D622" s="16" t="s">
        <v>3754</v>
      </c>
      <c r="E622" s="27">
        <v>1862</v>
      </c>
      <c r="F622" s="16" t="s">
        <v>4789</v>
      </c>
      <c r="G622" s="26">
        <v>14</v>
      </c>
      <c r="H622" s="8"/>
      <c r="I622" s="8"/>
      <c r="J622" s="27" t="s">
        <v>5152</v>
      </c>
      <c r="K622" s="29" t="s">
        <v>2328</v>
      </c>
      <c r="L622" s="29"/>
      <c r="M622" s="68">
        <v>1</v>
      </c>
      <c r="N622" s="68" t="s">
        <v>6726</v>
      </c>
    </row>
    <row r="623" spans="1:14" ht="14.25" x14ac:dyDescent="0.2">
      <c r="A623" s="14" t="s">
        <v>3158</v>
      </c>
      <c r="B623" s="15" t="s">
        <v>3746</v>
      </c>
      <c r="C623" s="16" t="s">
        <v>3185</v>
      </c>
      <c r="D623" s="16" t="s">
        <v>3754</v>
      </c>
      <c r="E623" s="27">
        <v>1865</v>
      </c>
      <c r="F623" s="16" t="s">
        <v>4789</v>
      </c>
      <c r="G623" s="26">
        <v>25</v>
      </c>
      <c r="H623" s="8"/>
      <c r="I623" s="8"/>
      <c r="J623" s="27" t="s">
        <v>4737</v>
      </c>
      <c r="K623" s="29" t="s">
        <v>2328</v>
      </c>
      <c r="L623" s="29"/>
      <c r="M623" s="68">
        <v>1</v>
      </c>
      <c r="N623" s="68" t="s">
        <v>6726</v>
      </c>
    </row>
    <row r="624" spans="1:14" ht="14.25" x14ac:dyDescent="0.2">
      <c r="A624" s="11" t="s">
        <v>2976</v>
      </c>
      <c r="B624" s="12" t="s">
        <v>3728</v>
      </c>
      <c r="C624" s="13" t="s">
        <v>3757</v>
      </c>
      <c r="D624" s="13" t="s">
        <v>3754</v>
      </c>
      <c r="E624" s="29" t="s">
        <v>4962</v>
      </c>
      <c r="F624" s="13" t="s">
        <v>2977</v>
      </c>
      <c r="G624" s="26">
        <v>60</v>
      </c>
      <c r="H624" s="8"/>
      <c r="I624" s="8"/>
      <c r="J624" s="29" t="s">
        <v>2978</v>
      </c>
      <c r="K624" s="29" t="s">
        <v>4964</v>
      </c>
      <c r="L624" s="29"/>
      <c r="M624" s="68">
        <v>1</v>
      </c>
      <c r="N624" s="68" t="s">
        <v>2501</v>
      </c>
    </row>
    <row r="625" spans="1:14" ht="14.25" x14ac:dyDescent="0.2">
      <c r="A625" s="11" t="s">
        <v>2976</v>
      </c>
      <c r="B625" s="12" t="s">
        <v>3723</v>
      </c>
      <c r="C625" s="13" t="s">
        <v>3757</v>
      </c>
      <c r="D625" s="13" t="s">
        <v>3754</v>
      </c>
      <c r="E625" s="29" t="s">
        <v>2908</v>
      </c>
      <c r="F625" s="13" t="s">
        <v>2909</v>
      </c>
      <c r="G625" s="26">
        <v>49</v>
      </c>
      <c r="H625" s="8"/>
      <c r="I625" s="8"/>
      <c r="J625" s="29" t="s">
        <v>1272</v>
      </c>
      <c r="K625" s="29" t="s">
        <v>2910</v>
      </c>
      <c r="L625" s="29"/>
      <c r="M625" s="68">
        <v>1</v>
      </c>
      <c r="N625" s="68" t="s">
        <v>2869</v>
      </c>
    </row>
    <row r="626" spans="1:14" ht="14.25" x14ac:dyDescent="0.2">
      <c r="A626" s="11" t="s">
        <v>2976</v>
      </c>
      <c r="B626" s="12" t="s">
        <v>5057</v>
      </c>
      <c r="C626" s="16" t="s">
        <v>3761</v>
      </c>
      <c r="D626" s="13" t="s">
        <v>3754</v>
      </c>
      <c r="E626" s="29" t="s">
        <v>2901</v>
      </c>
      <c r="F626" s="13" t="s">
        <v>2902</v>
      </c>
      <c r="G626" s="26">
        <v>29</v>
      </c>
      <c r="H626" s="8"/>
      <c r="I626" s="8"/>
      <c r="J626" s="29" t="s">
        <v>1277</v>
      </c>
      <c r="K626" s="29" t="s">
        <v>2903</v>
      </c>
      <c r="L626" s="29"/>
      <c r="M626" s="68">
        <v>1</v>
      </c>
      <c r="N626" s="68" t="s">
        <v>2869</v>
      </c>
    </row>
    <row r="627" spans="1:14" ht="14.25" x14ac:dyDescent="0.2">
      <c r="A627" s="11" t="s">
        <v>2976</v>
      </c>
      <c r="B627" s="12" t="s">
        <v>2055</v>
      </c>
      <c r="C627" s="16" t="s">
        <v>3761</v>
      </c>
      <c r="D627" s="13" t="s">
        <v>3754</v>
      </c>
      <c r="E627" s="29" t="s">
        <v>6694</v>
      </c>
      <c r="F627" s="13" t="s">
        <v>6693</v>
      </c>
      <c r="G627" s="26"/>
      <c r="H627" s="8"/>
      <c r="I627" s="8">
        <v>1</v>
      </c>
      <c r="J627" s="29" t="s">
        <v>1277</v>
      </c>
      <c r="K627" s="29" t="s">
        <v>6694</v>
      </c>
      <c r="L627" s="29"/>
      <c r="M627" s="68">
        <v>1</v>
      </c>
      <c r="N627" s="68" t="s">
        <v>2869</v>
      </c>
    </row>
    <row r="628" spans="1:14" ht="14.25" x14ac:dyDescent="0.2">
      <c r="A628" s="11" t="s">
        <v>3015</v>
      </c>
      <c r="B628" s="12" t="s">
        <v>3734</v>
      </c>
      <c r="C628" s="13" t="s">
        <v>3757</v>
      </c>
      <c r="D628" s="13" t="s">
        <v>3754</v>
      </c>
      <c r="E628" s="29" t="s">
        <v>6745</v>
      </c>
      <c r="F628" s="13" t="s">
        <v>6747</v>
      </c>
      <c r="G628" s="26">
        <v>82</v>
      </c>
      <c r="H628" s="8"/>
      <c r="I628" s="8"/>
      <c r="J628" s="29" t="s">
        <v>1271</v>
      </c>
      <c r="K628" s="29" t="s">
        <v>6748</v>
      </c>
      <c r="L628" s="29"/>
      <c r="M628" s="68">
        <v>1</v>
      </c>
      <c r="N628" s="68" t="s">
        <v>5254</v>
      </c>
    </row>
    <row r="629" spans="1:14" ht="14.25" x14ac:dyDescent="0.2">
      <c r="A629" s="14" t="s">
        <v>3015</v>
      </c>
      <c r="B629" s="15" t="s">
        <v>4685</v>
      </c>
      <c r="C629" s="16" t="s">
        <v>3767</v>
      </c>
      <c r="D629" s="16" t="s">
        <v>3767</v>
      </c>
      <c r="E629" s="27" t="s">
        <v>3175</v>
      </c>
      <c r="F629" s="16" t="s">
        <v>3176</v>
      </c>
      <c r="G629" s="26">
        <v>2</v>
      </c>
      <c r="H629" s="8"/>
      <c r="I629" s="8"/>
      <c r="J629" s="27" t="s">
        <v>3059</v>
      </c>
      <c r="K629" s="29" t="s">
        <v>3177</v>
      </c>
      <c r="L629" s="29"/>
      <c r="M629" s="68">
        <v>1</v>
      </c>
      <c r="N629" s="68" t="s">
        <v>6726</v>
      </c>
    </row>
    <row r="630" spans="1:14" ht="14.25" x14ac:dyDescent="0.2">
      <c r="A630" s="14" t="s">
        <v>3015</v>
      </c>
      <c r="B630" s="15" t="s">
        <v>4685</v>
      </c>
      <c r="C630" s="16" t="s">
        <v>3757</v>
      </c>
      <c r="D630" s="16" t="s">
        <v>3754</v>
      </c>
      <c r="E630" s="27" t="s">
        <v>6029</v>
      </c>
      <c r="F630" s="16" t="s">
        <v>2498</v>
      </c>
      <c r="G630" s="26">
        <v>80</v>
      </c>
      <c r="H630" s="8"/>
      <c r="I630" s="8"/>
      <c r="J630" s="27" t="s">
        <v>1271</v>
      </c>
      <c r="K630" s="109" t="s">
        <v>2500</v>
      </c>
      <c r="L630" s="95"/>
      <c r="M630" s="68">
        <v>1</v>
      </c>
      <c r="N630" s="68" t="s">
        <v>6726</v>
      </c>
    </row>
    <row r="631" spans="1:14" ht="42.75" x14ac:dyDescent="0.2">
      <c r="A631" s="11" t="s">
        <v>3015</v>
      </c>
      <c r="B631" s="12" t="s">
        <v>4685</v>
      </c>
      <c r="C631" s="13" t="s">
        <v>3754</v>
      </c>
      <c r="D631" s="16" t="s">
        <v>3754</v>
      </c>
      <c r="E631" s="29" t="s">
        <v>1815</v>
      </c>
      <c r="F631" s="13" t="s">
        <v>3016</v>
      </c>
      <c r="G631" s="26"/>
      <c r="H631" s="8">
        <v>11</v>
      </c>
      <c r="I631" s="8">
        <v>9</v>
      </c>
      <c r="J631" s="29" t="s">
        <v>2636</v>
      </c>
      <c r="K631" s="29" t="s">
        <v>3017</v>
      </c>
      <c r="L631" s="29"/>
      <c r="M631" s="68">
        <v>1</v>
      </c>
      <c r="N631" s="68" t="s">
        <v>2619</v>
      </c>
    </row>
    <row r="632" spans="1:14" ht="14.25" x14ac:dyDescent="0.2">
      <c r="A632" s="11" t="s">
        <v>3015</v>
      </c>
      <c r="B632" s="12" t="s">
        <v>3740</v>
      </c>
      <c r="C632" s="13" t="s">
        <v>3757</v>
      </c>
      <c r="D632" s="13" t="s">
        <v>3754</v>
      </c>
      <c r="E632" s="29" t="s">
        <v>6568</v>
      </c>
      <c r="F632" s="13" t="s">
        <v>6569</v>
      </c>
      <c r="G632" s="26">
        <v>53</v>
      </c>
      <c r="H632" s="8"/>
      <c r="I632" s="8"/>
      <c r="J632" s="29" t="s">
        <v>1270</v>
      </c>
      <c r="K632" s="29" t="s">
        <v>6570</v>
      </c>
      <c r="L632" s="29"/>
      <c r="M632" s="68">
        <v>1</v>
      </c>
      <c r="N632" s="68" t="s">
        <v>5254</v>
      </c>
    </row>
    <row r="633" spans="1:14" ht="14.25" x14ac:dyDescent="0.2">
      <c r="A633" s="11" t="s">
        <v>3015</v>
      </c>
      <c r="B633" s="12" t="s">
        <v>3723</v>
      </c>
      <c r="C633" s="13" t="s">
        <v>3757</v>
      </c>
      <c r="D633" s="13" t="s">
        <v>3754</v>
      </c>
      <c r="E633" s="29" t="s">
        <v>3804</v>
      </c>
      <c r="F633" s="13" t="s">
        <v>3805</v>
      </c>
      <c r="G633" s="26">
        <v>20</v>
      </c>
      <c r="H633" s="8"/>
      <c r="I633" s="8"/>
      <c r="J633" s="29" t="s">
        <v>1264</v>
      </c>
      <c r="K633" s="29" t="s">
        <v>3806</v>
      </c>
      <c r="L633" s="29"/>
      <c r="M633" s="68">
        <v>1</v>
      </c>
      <c r="N633" s="68" t="s">
        <v>2501</v>
      </c>
    </row>
    <row r="634" spans="1:14" ht="14.25" x14ac:dyDescent="0.2">
      <c r="A634" s="14" t="s">
        <v>3015</v>
      </c>
      <c r="B634" s="15" t="s">
        <v>3750</v>
      </c>
      <c r="C634" s="16" t="s">
        <v>3754</v>
      </c>
      <c r="D634" s="16" t="s">
        <v>3754</v>
      </c>
      <c r="E634" s="27" t="s">
        <v>6011</v>
      </c>
      <c r="F634" s="16" t="s">
        <v>6971</v>
      </c>
      <c r="G634" s="26"/>
      <c r="H634" s="8"/>
      <c r="I634" s="8">
        <v>21</v>
      </c>
      <c r="J634" s="27" t="s">
        <v>6972</v>
      </c>
      <c r="K634" s="29" t="s">
        <v>6973</v>
      </c>
      <c r="L634" s="61"/>
      <c r="M634" s="68">
        <v>1</v>
      </c>
      <c r="N634" s="68" t="s">
        <v>6726</v>
      </c>
    </row>
    <row r="635" spans="1:14" ht="14.25" x14ac:dyDescent="0.2">
      <c r="A635" s="17" t="s">
        <v>3015</v>
      </c>
      <c r="B635" s="18" t="s">
        <v>3738</v>
      </c>
      <c r="C635" s="19" t="s">
        <v>3757</v>
      </c>
      <c r="D635" s="19" t="s">
        <v>3754</v>
      </c>
      <c r="E635" s="45" t="s">
        <v>2497</v>
      </c>
      <c r="F635" s="19" t="s">
        <v>2498</v>
      </c>
      <c r="G635" s="8">
        <v>45</v>
      </c>
      <c r="H635" s="8"/>
      <c r="I635" s="8"/>
      <c r="J635" s="45" t="s">
        <v>1264</v>
      </c>
      <c r="K635" s="55" t="s">
        <v>2499</v>
      </c>
      <c r="L635" s="61"/>
      <c r="M635" s="68">
        <v>1</v>
      </c>
      <c r="N635" s="68" t="s">
        <v>6726</v>
      </c>
    </row>
    <row r="636" spans="1:14" ht="14.25" x14ac:dyDescent="0.2">
      <c r="A636" s="9" t="s">
        <v>2672</v>
      </c>
      <c r="B636" s="5" t="s">
        <v>5093</v>
      </c>
      <c r="C636" s="10" t="s">
        <v>2673</v>
      </c>
      <c r="D636" s="10" t="s">
        <v>3754</v>
      </c>
      <c r="E636" s="55"/>
      <c r="F636" s="10" t="s">
        <v>2674</v>
      </c>
      <c r="G636" s="8">
        <v>48</v>
      </c>
      <c r="H636" s="8"/>
      <c r="I636" s="8"/>
      <c r="J636" s="55" t="s">
        <v>2624</v>
      </c>
      <c r="K636" s="55" t="s">
        <v>2675</v>
      </c>
      <c r="L636" s="61"/>
      <c r="M636" s="68">
        <v>1</v>
      </c>
      <c r="N636" s="68" t="s">
        <v>3051</v>
      </c>
    </row>
    <row r="637" spans="1:14" ht="14.25" x14ac:dyDescent="0.2">
      <c r="A637" s="11" t="s">
        <v>6767</v>
      </c>
      <c r="B637" s="12" t="s">
        <v>5904</v>
      </c>
      <c r="C637" s="16" t="s">
        <v>3761</v>
      </c>
      <c r="D637" s="13" t="s">
        <v>3754</v>
      </c>
      <c r="E637" s="29" t="s">
        <v>6768</v>
      </c>
      <c r="F637" s="13" t="s">
        <v>6769</v>
      </c>
      <c r="G637" s="8">
        <v>46</v>
      </c>
      <c r="H637" s="8"/>
      <c r="I637" s="8"/>
      <c r="J637" s="29" t="s">
        <v>1928</v>
      </c>
      <c r="K637" s="29" t="s">
        <v>6770</v>
      </c>
      <c r="L637" s="29"/>
      <c r="M637" s="68">
        <v>1</v>
      </c>
      <c r="N637" s="68" t="s">
        <v>5254</v>
      </c>
    </row>
    <row r="638" spans="1:14" ht="14.25" x14ac:dyDescent="0.2">
      <c r="A638" s="14" t="s">
        <v>6733</v>
      </c>
      <c r="B638" s="15" t="s">
        <v>1432</v>
      </c>
      <c r="C638" s="16" t="s">
        <v>3754</v>
      </c>
      <c r="D638" s="16" t="s">
        <v>3754</v>
      </c>
      <c r="E638" s="27" t="s">
        <v>6734</v>
      </c>
      <c r="F638" s="16" t="s">
        <v>6735</v>
      </c>
      <c r="G638" s="8"/>
      <c r="H638" s="8"/>
      <c r="I638" s="8">
        <v>35</v>
      </c>
      <c r="J638" s="27" t="s">
        <v>4748</v>
      </c>
      <c r="K638" s="29" t="s">
        <v>5930</v>
      </c>
      <c r="L638" s="29"/>
      <c r="M638" s="68">
        <v>1</v>
      </c>
      <c r="N638" s="68" t="s">
        <v>6726</v>
      </c>
    </row>
    <row r="639" spans="1:14" ht="14.25" x14ac:dyDescent="0.2">
      <c r="A639" s="11" t="s">
        <v>2620</v>
      </c>
      <c r="B639" s="12" t="s">
        <v>6080</v>
      </c>
      <c r="C639" s="13" t="s">
        <v>3757</v>
      </c>
      <c r="D639" s="13" t="s">
        <v>3754</v>
      </c>
      <c r="E639" s="29" t="s">
        <v>5710</v>
      </c>
      <c r="F639" s="13" t="s">
        <v>1541</v>
      </c>
      <c r="G639" s="8">
        <v>43</v>
      </c>
      <c r="H639" s="8"/>
      <c r="I639" s="8"/>
      <c r="J639" s="29" t="s">
        <v>1572</v>
      </c>
      <c r="K639" s="29" t="s">
        <v>2621</v>
      </c>
      <c r="L639" s="29"/>
      <c r="M639" s="68">
        <v>1</v>
      </c>
      <c r="N639" s="108" t="s">
        <v>2619</v>
      </c>
    </row>
    <row r="640" spans="1:14" ht="14.25" x14ac:dyDescent="0.2">
      <c r="A640" s="11" t="s">
        <v>2875</v>
      </c>
      <c r="B640" s="12" t="s">
        <v>4701</v>
      </c>
      <c r="C640" s="13" t="s">
        <v>3757</v>
      </c>
      <c r="D640" s="31"/>
      <c r="E640" s="29" t="s">
        <v>2876</v>
      </c>
      <c r="F640" s="13" t="s">
        <v>2877</v>
      </c>
      <c r="G640" s="8">
        <v>76</v>
      </c>
      <c r="H640" s="8"/>
      <c r="I640" s="8"/>
      <c r="J640" s="29" t="s">
        <v>1272</v>
      </c>
      <c r="K640" s="29"/>
      <c r="L640" s="29"/>
      <c r="M640" s="68">
        <v>1</v>
      </c>
      <c r="N640" s="68" t="s">
        <v>2869</v>
      </c>
    </row>
    <row r="641" spans="1:14" ht="14.25" x14ac:dyDescent="0.2">
      <c r="A641" s="14" t="s">
        <v>6736</v>
      </c>
      <c r="B641" s="15" t="s">
        <v>5094</v>
      </c>
      <c r="C641" s="16" t="s">
        <v>3755</v>
      </c>
      <c r="D641" s="16" t="s">
        <v>3754</v>
      </c>
      <c r="E641" s="27" t="s">
        <v>6920</v>
      </c>
      <c r="F641" s="16" t="s">
        <v>6921</v>
      </c>
      <c r="G641" s="8">
        <v>74</v>
      </c>
      <c r="H641" s="8"/>
      <c r="I641" s="8"/>
      <c r="J641" s="27" t="s">
        <v>6922</v>
      </c>
      <c r="K641" s="29" t="s">
        <v>6923</v>
      </c>
      <c r="L641" s="29"/>
      <c r="M641" s="68">
        <v>1</v>
      </c>
      <c r="N641" s="68" t="s">
        <v>6726</v>
      </c>
    </row>
    <row r="642" spans="1:14" ht="14.25" x14ac:dyDescent="0.2">
      <c r="A642" s="11" t="s">
        <v>2638</v>
      </c>
      <c r="B642" s="12" t="s">
        <v>3724</v>
      </c>
      <c r="C642" s="13" t="s">
        <v>3757</v>
      </c>
      <c r="D642" s="13" t="s">
        <v>3754</v>
      </c>
      <c r="E642" s="29"/>
      <c r="F642" s="13" t="s">
        <v>1541</v>
      </c>
      <c r="G642" s="8">
        <v>56</v>
      </c>
      <c r="H642" s="8"/>
      <c r="I642" s="8"/>
      <c r="J642" s="29" t="s">
        <v>1264</v>
      </c>
      <c r="K642" s="29" t="s">
        <v>2639</v>
      </c>
      <c r="L642" s="29"/>
      <c r="M642" s="68">
        <v>1</v>
      </c>
      <c r="N642" s="68" t="s">
        <v>2619</v>
      </c>
    </row>
    <row r="643" spans="1:14" ht="14.25" x14ac:dyDescent="0.2">
      <c r="A643" s="14" t="s">
        <v>3143</v>
      </c>
      <c r="B643" s="15" t="s">
        <v>1432</v>
      </c>
      <c r="C643" s="16" t="s">
        <v>3757</v>
      </c>
      <c r="D643" s="16" t="s">
        <v>3754</v>
      </c>
      <c r="E643" s="27" t="s">
        <v>3152</v>
      </c>
      <c r="F643" s="16" t="s">
        <v>3153</v>
      </c>
      <c r="G643" s="8">
        <v>76</v>
      </c>
      <c r="H643" s="8"/>
      <c r="I643" s="8"/>
      <c r="J643" s="27" t="s">
        <v>1271</v>
      </c>
      <c r="K643" s="29" t="s">
        <v>3154</v>
      </c>
      <c r="L643" s="29"/>
      <c r="M643" s="68">
        <v>1</v>
      </c>
      <c r="N643" s="68" t="s">
        <v>6726</v>
      </c>
    </row>
    <row r="644" spans="1:14" ht="14.25" x14ac:dyDescent="0.2">
      <c r="A644" s="14" t="s">
        <v>3143</v>
      </c>
      <c r="B644" s="15" t="s">
        <v>4685</v>
      </c>
      <c r="C644" s="16" t="s">
        <v>3757</v>
      </c>
      <c r="D644" s="16" t="s">
        <v>3144</v>
      </c>
      <c r="E644" s="27" t="s">
        <v>3145</v>
      </c>
      <c r="F644" s="16" t="s">
        <v>3146</v>
      </c>
      <c r="G644" s="8">
        <v>25</v>
      </c>
      <c r="H644" s="8"/>
      <c r="I644" s="8"/>
      <c r="J644" s="27" t="s">
        <v>3147</v>
      </c>
      <c r="K644" s="29" t="s">
        <v>3148</v>
      </c>
      <c r="L644" s="29"/>
      <c r="M644" s="68">
        <v>1</v>
      </c>
      <c r="N644" s="68" t="s">
        <v>6726</v>
      </c>
    </row>
    <row r="645" spans="1:14" ht="14.25" x14ac:dyDescent="0.2">
      <c r="A645" s="11" t="s">
        <v>5236</v>
      </c>
      <c r="B645" s="12" t="s">
        <v>6977</v>
      </c>
      <c r="C645" s="13" t="s">
        <v>3754</v>
      </c>
      <c r="D645" s="13" t="s">
        <v>3754</v>
      </c>
      <c r="E645" s="29" t="s">
        <v>2697</v>
      </c>
      <c r="F645" s="13" t="s">
        <v>2698</v>
      </c>
      <c r="G645" s="8">
        <v>2</v>
      </c>
      <c r="H645" s="8">
        <v>22</v>
      </c>
      <c r="I645" s="8"/>
      <c r="J645" s="29" t="s">
        <v>4829</v>
      </c>
      <c r="K645" s="29" t="s">
        <v>2697</v>
      </c>
      <c r="L645" s="29"/>
      <c r="M645" s="68">
        <v>1</v>
      </c>
      <c r="N645" s="68" t="s">
        <v>3051</v>
      </c>
    </row>
    <row r="646" spans="1:14" ht="14.25" x14ac:dyDescent="0.2">
      <c r="A646" s="11" t="s">
        <v>5236</v>
      </c>
      <c r="B646" s="12" t="s">
        <v>5095</v>
      </c>
      <c r="C646" s="16" t="s">
        <v>3761</v>
      </c>
      <c r="D646" s="13" t="s">
        <v>3754</v>
      </c>
      <c r="E646" s="29" t="s">
        <v>8859</v>
      </c>
      <c r="F646" s="13" t="s">
        <v>6687</v>
      </c>
      <c r="G646" s="8">
        <v>40</v>
      </c>
      <c r="H646" s="8"/>
      <c r="I646" s="8"/>
      <c r="J646" s="29" t="s">
        <v>1264</v>
      </c>
      <c r="K646" s="29" t="s">
        <v>6688</v>
      </c>
      <c r="L646" s="29"/>
      <c r="M646" s="68">
        <v>1</v>
      </c>
      <c r="N646" s="68" t="s">
        <v>2869</v>
      </c>
    </row>
    <row r="647" spans="1:14" ht="14.25" x14ac:dyDescent="0.2">
      <c r="A647" s="11" t="s">
        <v>5236</v>
      </c>
      <c r="B647" s="12" t="s">
        <v>3753</v>
      </c>
      <c r="C647" s="13" t="s">
        <v>3757</v>
      </c>
      <c r="D647" s="13" t="s">
        <v>3754</v>
      </c>
      <c r="E647" s="29" t="s">
        <v>2865</v>
      </c>
      <c r="F647" s="13" t="s">
        <v>2866</v>
      </c>
      <c r="G647" s="8">
        <v>35</v>
      </c>
      <c r="H647" s="8"/>
      <c r="I647" s="8"/>
      <c r="J647" s="29" t="s">
        <v>2867</v>
      </c>
      <c r="K647" s="109" t="s">
        <v>2868</v>
      </c>
      <c r="L647" s="95"/>
      <c r="M647" s="68">
        <v>1</v>
      </c>
      <c r="N647" s="68" t="s">
        <v>2501</v>
      </c>
    </row>
    <row r="648" spans="1:14" ht="14.25" x14ac:dyDescent="0.2">
      <c r="A648" s="11" t="s">
        <v>5236</v>
      </c>
      <c r="B648" s="12" t="s">
        <v>2094</v>
      </c>
      <c r="C648" s="13" t="s">
        <v>3757</v>
      </c>
      <c r="D648" s="13" t="s">
        <v>3754</v>
      </c>
      <c r="E648" s="29" t="s">
        <v>5237</v>
      </c>
      <c r="F648" s="13" t="s">
        <v>5238</v>
      </c>
      <c r="G648" s="8">
        <v>33</v>
      </c>
      <c r="H648" s="8"/>
      <c r="I648" s="8"/>
      <c r="J648" s="29" t="s">
        <v>1264</v>
      </c>
      <c r="K648" s="29" t="s">
        <v>5239</v>
      </c>
      <c r="L648" s="29"/>
      <c r="M648" s="68">
        <v>1</v>
      </c>
      <c r="N648" s="68" t="s">
        <v>3051</v>
      </c>
    </row>
    <row r="649" spans="1:14" ht="14.25" x14ac:dyDescent="0.2">
      <c r="A649" s="11" t="s">
        <v>5236</v>
      </c>
      <c r="B649" s="12" t="s">
        <v>3723</v>
      </c>
      <c r="C649" s="13" t="s">
        <v>3754</v>
      </c>
      <c r="D649" s="13" t="s">
        <v>3754</v>
      </c>
      <c r="E649" s="29" t="s">
        <v>2855</v>
      </c>
      <c r="F649" s="13" t="s">
        <v>2856</v>
      </c>
      <c r="G649" s="8">
        <v>5</v>
      </c>
      <c r="H649" s="8">
        <v>4</v>
      </c>
      <c r="I649" s="8"/>
      <c r="J649" s="29" t="s">
        <v>1277</v>
      </c>
      <c r="K649" s="29" t="s">
        <v>2857</v>
      </c>
      <c r="L649" s="29"/>
      <c r="M649" s="68">
        <v>1</v>
      </c>
      <c r="N649" s="68" t="s">
        <v>2501</v>
      </c>
    </row>
    <row r="650" spans="1:14" ht="14.25" x14ac:dyDescent="0.2">
      <c r="A650" s="11" t="s">
        <v>5236</v>
      </c>
      <c r="B650" s="12" t="s">
        <v>3746</v>
      </c>
      <c r="C650" s="13" t="s">
        <v>3757</v>
      </c>
      <c r="D650" s="13" t="s">
        <v>3754</v>
      </c>
      <c r="E650" s="29" t="s">
        <v>6667</v>
      </c>
      <c r="F650" s="13" t="s">
        <v>6668</v>
      </c>
      <c r="G650" s="8">
        <v>47</v>
      </c>
      <c r="H650" s="8"/>
      <c r="I650" s="8"/>
      <c r="J650" s="29" t="s">
        <v>6669</v>
      </c>
      <c r="K650" s="29" t="s">
        <v>6670</v>
      </c>
      <c r="L650" s="29"/>
      <c r="M650" s="68">
        <v>1</v>
      </c>
      <c r="N650" s="68" t="s">
        <v>2869</v>
      </c>
    </row>
    <row r="651" spans="1:14" ht="14.25" x14ac:dyDescent="0.2">
      <c r="A651" s="14" t="s">
        <v>5236</v>
      </c>
      <c r="B651" s="15" t="s">
        <v>3746</v>
      </c>
      <c r="C651" s="16" t="s">
        <v>3757</v>
      </c>
      <c r="D651" s="16" t="s">
        <v>3754</v>
      </c>
      <c r="E651" s="27" t="s">
        <v>3155</v>
      </c>
      <c r="F651" s="16" t="s">
        <v>3156</v>
      </c>
      <c r="G651" s="8">
        <v>47</v>
      </c>
      <c r="H651" s="8"/>
      <c r="I651" s="8"/>
      <c r="J651" s="27" t="s">
        <v>1259</v>
      </c>
      <c r="K651" s="29" t="s">
        <v>3157</v>
      </c>
      <c r="L651" s="29"/>
      <c r="M651" s="68">
        <v>1</v>
      </c>
      <c r="N651" s="68" t="s">
        <v>6726</v>
      </c>
    </row>
    <row r="652" spans="1:14" ht="14.25" x14ac:dyDescent="0.2">
      <c r="A652" s="11" t="s">
        <v>5236</v>
      </c>
      <c r="B652" s="12" t="s">
        <v>3746</v>
      </c>
      <c r="C652" s="13" t="s">
        <v>3757</v>
      </c>
      <c r="D652" s="13" t="s">
        <v>3754</v>
      </c>
      <c r="E652" s="29" t="s">
        <v>6532</v>
      </c>
      <c r="F652" s="13" t="s">
        <v>6533</v>
      </c>
      <c r="G652" s="8">
        <v>49</v>
      </c>
      <c r="H652" s="8"/>
      <c r="I652" s="8"/>
      <c r="J652" s="29" t="s">
        <v>1272</v>
      </c>
      <c r="K652" s="29" t="s">
        <v>6534</v>
      </c>
      <c r="L652" s="29"/>
      <c r="M652" s="68">
        <v>1</v>
      </c>
      <c r="N652" s="68" t="s">
        <v>5254</v>
      </c>
    </row>
    <row r="653" spans="1:14" ht="14.25" x14ac:dyDescent="0.2">
      <c r="A653" s="11" t="s">
        <v>5236</v>
      </c>
      <c r="B653" s="12" t="s">
        <v>3746</v>
      </c>
      <c r="C653" s="13" t="s">
        <v>3757</v>
      </c>
      <c r="D653" s="13" t="s">
        <v>7730</v>
      </c>
      <c r="E653" s="29" t="s">
        <v>7731</v>
      </c>
      <c r="F653" s="13" t="s">
        <v>7732</v>
      </c>
      <c r="G653" s="8">
        <v>61</v>
      </c>
      <c r="H653" s="8"/>
      <c r="I653" s="8"/>
      <c r="J653" s="29" t="s">
        <v>1264</v>
      </c>
      <c r="K653" s="29" t="s">
        <v>7733</v>
      </c>
      <c r="L653" s="29"/>
      <c r="M653" s="68">
        <v>1</v>
      </c>
      <c r="N653" s="68" t="s">
        <v>3051</v>
      </c>
    </row>
    <row r="654" spans="1:14" ht="14.25" x14ac:dyDescent="0.2">
      <c r="A654" s="9" t="s">
        <v>5236</v>
      </c>
      <c r="B654" s="5" t="s">
        <v>5647</v>
      </c>
      <c r="C654" s="10" t="s">
        <v>3754</v>
      </c>
      <c r="D654" s="10" t="s">
        <v>3754</v>
      </c>
      <c r="E654" s="55" t="s">
        <v>2980</v>
      </c>
      <c r="F654" s="13" t="s">
        <v>2981</v>
      </c>
      <c r="G654" s="26">
        <v>21</v>
      </c>
      <c r="H654" s="26">
        <v>5</v>
      </c>
      <c r="I654" s="26">
        <v>20</v>
      </c>
      <c r="J654" s="29" t="s">
        <v>2199</v>
      </c>
      <c r="K654" s="29" t="s">
        <v>2982</v>
      </c>
      <c r="L654" s="29"/>
      <c r="M654" s="68">
        <v>1</v>
      </c>
      <c r="N654" s="68" t="s">
        <v>2501</v>
      </c>
    </row>
    <row r="655" spans="1:14" ht="14.25" x14ac:dyDescent="0.2">
      <c r="A655" s="9" t="s">
        <v>3798</v>
      </c>
      <c r="B655" s="5" t="s">
        <v>4701</v>
      </c>
      <c r="C655" s="10" t="s">
        <v>3757</v>
      </c>
      <c r="D655" s="21" t="s">
        <v>3754</v>
      </c>
      <c r="E655" s="61" t="s">
        <v>3797</v>
      </c>
      <c r="F655" s="13" t="s">
        <v>3799</v>
      </c>
      <c r="G655" s="26">
        <v>90</v>
      </c>
      <c r="H655" s="26"/>
      <c r="I655" s="26"/>
      <c r="J655" s="29" t="s">
        <v>1277</v>
      </c>
      <c r="K655" s="29" t="s">
        <v>3800</v>
      </c>
      <c r="L655" s="29"/>
      <c r="M655" s="68">
        <v>1</v>
      </c>
      <c r="N655" s="68" t="s">
        <v>2501</v>
      </c>
    </row>
    <row r="656" spans="1:14" ht="14.25" x14ac:dyDescent="0.2">
      <c r="A656" s="11" t="s">
        <v>2858</v>
      </c>
      <c r="B656" s="12" t="s">
        <v>5694</v>
      </c>
      <c r="C656" s="13" t="s">
        <v>2859</v>
      </c>
      <c r="D656" s="13" t="s">
        <v>2860</v>
      </c>
      <c r="E656" s="29" t="s">
        <v>2861</v>
      </c>
      <c r="F656" s="13" t="s">
        <v>2862</v>
      </c>
      <c r="G656" s="8"/>
      <c r="H656" s="8">
        <v>8</v>
      </c>
      <c r="I656" s="8">
        <v>4</v>
      </c>
      <c r="J656" s="29" t="s">
        <v>4829</v>
      </c>
      <c r="K656" s="29" t="s">
        <v>2863</v>
      </c>
      <c r="L656" s="29"/>
      <c r="M656" s="68">
        <v>1</v>
      </c>
      <c r="N656" s="68" t="s">
        <v>2501</v>
      </c>
    </row>
    <row r="657" spans="1:14" ht="14.25" x14ac:dyDescent="0.2">
      <c r="A657" s="11" t="s">
        <v>2858</v>
      </c>
      <c r="B657" s="12" t="s">
        <v>5089</v>
      </c>
      <c r="C657" s="16" t="s">
        <v>3761</v>
      </c>
      <c r="D657" s="13" t="s">
        <v>3754</v>
      </c>
      <c r="E657" s="29" t="s">
        <v>6745</v>
      </c>
      <c r="F657" s="13" t="s">
        <v>6746</v>
      </c>
      <c r="G657" s="8"/>
      <c r="H657" s="8"/>
      <c r="I657" s="8">
        <v>16</v>
      </c>
      <c r="J657" s="29" t="s">
        <v>4748</v>
      </c>
      <c r="K657" s="29" t="s">
        <v>6745</v>
      </c>
      <c r="L657" s="29"/>
      <c r="M657" s="68">
        <v>1</v>
      </c>
      <c r="N657" s="68" t="s">
        <v>5254</v>
      </c>
    </row>
    <row r="658" spans="1:14" ht="14.25" x14ac:dyDescent="0.2">
      <c r="A658" s="11" t="s">
        <v>2634</v>
      </c>
      <c r="B658" s="12" t="s">
        <v>3748</v>
      </c>
      <c r="C658" s="13" t="s">
        <v>3757</v>
      </c>
      <c r="D658" s="13" t="s">
        <v>1652</v>
      </c>
      <c r="E658" s="29" t="s">
        <v>3042</v>
      </c>
      <c r="F658" s="13" t="s">
        <v>3043</v>
      </c>
      <c r="G658" s="8">
        <v>37</v>
      </c>
      <c r="H658" s="8"/>
      <c r="I658" s="8"/>
      <c r="J658" s="29" t="s">
        <v>1264</v>
      </c>
      <c r="K658" s="29" t="s">
        <v>1860</v>
      </c>
      <c r="L658" s="29"/>
      <c r="M658" s="68">
        <v>1</v>
      </c>
      <c r="N658" s="68" t="s">
        <v>2619</v>
      </c>
    </row>
    <row r="659" spans="1:14" ht="14.25" x14ac:dyDescent="0.2">
      <c r="A659" s="11" t="s">
        <v>2634</v>
      </c>
      <c r="B659" s="12" t="s">
        <v>3744</v>
      </c>
      <c r="C659" s="16" t="s">
        <v>3761</v>
      </c>
      <c r="D659" s="13" t="s">
        <v>3754</v>
      </c>
      <c r="E659" s="29" t="s">
        <v>6677</v>
      </c>
      <c r="F659" s="13" t="s">
        <v>1541</v>
      </c>
      <c r="G659" s="8">
        <v>18</v>
      </c>
      <c r="H659" s="8">
        <v>11</v>
      </c>
      <c r="I659" s="8"/>
      <c r="J659" s="29" t="s">
        <v>1264</v>
      </c>
      <c r="K659" s="29" t="s">
        <v>3024</v>
      </c>
      <c r="L659" s="29"/>
      <c r="M659" s="68">
        <v>1</v>
      </c>
      <c r="N659" s="68" t="s">
        <v>2869</v>
      </c>
    </row>
    <row r="660" spans="1:14" ht="42.75" x14ac:dyDescent="0.2">
      <c r="A660" s="11" t="s">
        <v>2634</v>
      </c>
      <c r="B660" s="12" t="s">
        <v>3744</v>
      </c>
      <c r="C660" s="13" t="s">
        <v>3754</v>
      </c>
      <c r="D660" s="13" t="s">
        <v>3754</v>
      </c>
      <c r="E660" s="29" t="s">
        <v>2635</v>
      </c>
      <c r="F660" s="13" t="s">
        <v>1541</v>
      </c>
      <c r="G660" s="8"/>
      <c r="H660" s="8">
        <v>9</v>
      </c>
      <c r="I660" s="8"/>
      <c r="J660" s="29" t="s">
        <v>2636</v>
      </c>
      <c r="K660" s="29" t="s">
        <v>2637</v>
      </c>
      <c r="L660" s="29"/>
      <c r="M660" s="68">
        <v>1</v>
      </c>
      <c r="N660" s="68" t="s">
        <v>2619</v>
      </c>
    </row>
    <row r="661" spans="1:14" ht="14.25" x14ac:dyDescent="0.2">
      <c r="A661" s="11" t="s">
        <v>2634</v>
      </c>
      <c r="B661" s="12" t="s">
        <v>3734</v>
      </c>
      <c r="C661" s="13" t="s">
        <v>3030</v>
      </c>
      <c r="D661" s="13" t="s">
        <v>3754</v>
      </c>
      <c r="E661" s="29" t="s">
        <v>3031</v>
      </c>
      <c r="F661" s="13" t="s">
        <v>1541</v>
      </c>
      <c r="G661" s="8">
        <v>16</v>
      </c>
      <c r="H661" s="8">
        <v>7</v>
      </c>
      <c r="I661" s="8"/>
      <c r="J661" s="29" t="s">
        <v>1264</v>
      </c>
      <c r="K661" s="29" t="s">
        <v>3024</v>
      </c>
      <c r="L661" s="29"/>
      <c r="M661" s="68">
        <v>1</v>
      </c>
      <c r="N661" s="68" t="s">
        <v>2619</v>
      </c>
    </row>
    <row r="662" spans="1:14" ht="14.25" x14ac:dyDescent="0.2">
      <c r="A662" s="11" t="s">
        <v>2634</v>
      </c>
      <c r="B662" s="12" t="s">
        <v>1432</v>
      </c>
      <c r="C662" s="13" t="s">
        <v>3757</v>
      </c>
      <c r="D662" s="13" t="s">
        <v>3754</v>
      </c>
      <c r="E662" s="29" t="s">
        <v>6556</v>
      </c>
      <c r="F662" s="13" t="s">
        <v>6557</v>
      </c>
      <c r="G662" s="8">
        <v>53</v>
      </c>
      <c r="H662" s="8"/>
      <c r="I662" s="8"/>
      <c r="J662" s="29" t="s">
        <v>1264</v>
      </c>
      <c r="K662" s="29" t="s">
        <v>6558</v>
      </c>
      <c r="L662" s="29"/>
      <c r="M662" s="68">
        <v>1</v>
      </c>
      <c r="N662" s="68" t="s">
        <v>5254</v>
      </c>
    </row>
    <row r="663" spans="1:14" ht="14.25" x14ac:dyDescent="0.2">
      <c r="A663" s="11" t="s">
        <v>2634</v>
      </c>
      <c r="B663" s="12" t="s">
        <v>5096</v>
      </c>
      <c r="C663" s="13" t="s">
        <v>3761</v>
      </c>
      <c r="D663" s="13" t="s">
        <v>3754</v>
      </c>
      <c r="E663" s="29" t="s">
        <v>2502</v>
      </c>
      <c r="F663" s="13" t="s">
        <v>2503</v>
      </c>
      <c r="G663" s="8">
        <v>23</v>
      </c>
      <c r="H663" s="8"/>
      <c r="I663" s="8"/>
      <c r="J663" s="29" t="s">
        <v>1264</v>
      </c>
      <c r="K663" s="29" t="s">
        <v>2504</v>
      </c>
      <c r="L663" s="29"/>
      <c r="M663" s="68">
        <v>1</v>
      </c>
      <c r="N663" s="68" t="s">
        <v>2501</v>
      </c>
    </row>
    <row r="664" spans="1:14" ht="14.25" x14ac:dyDescent="0.2">
      <c r="A664" s="11" t="s">
        <v>2634</v>
      </c>
      <c r="B664" s="12" t="s">
        <v>3752</v>
      </c>
      <c r="C664" s="13" t="s">
        <v>3028</v>
      </c>
      <c r="D664" s="13" t="s">
        <v>3754</v>
      </c>
      <c r="E664" s="29" t="s">
        <v>3029</v>
      </c>
      <c r="F664" s="13" t="s">
        <v>1541</v>
      </c>
      <c r="G664" s="8">
        <v>21</v>
      </c>
      <c r="H664" s="8">
        <v>5</v>
      </c>
      <c r="I664" s="8"/>
      <c r="J664" s="29" t="s">
        <v>1264</v>
      </c>
      <c r="K664" s="29" t="s">
        <v>3024</v>
      </c>
      <c r="L664" s="29"/>
      <c r="M664" s="68">
        <v>1</v>
      </c>
      <c r="N664" s="68" t="s">
        <v>2619</v>
      </c>
    </row>
    <row r="665" spans="1:14" ht="14.25" x14ac:dyDescent="0.2">
      <c r="A665" s="11" t="s">
        <v>2634</v>
      </c>
      <c r="B665" s="12" t="s">
        <v>3724</v>
      </c>
      <c r="C665" s="16" t="s">
        <v>3761</v>
      </c>
      <c r="D665" s="13" t="s">
        <v>3754</v>
      </c>
      <c r="E665" s="29" t="s">
        <v>6678</v>
      </c>
      <c r="F665" s="13" t="s">
        <v>1541</v>
      </c>
      <c r="G665" s="8">
        <v>1</v>
      </c>
      <c r="H665" s="8"/>
      <c r="I665" s="8">
        <v>18</v>
      </c>
      <c r="J665" s="29"/>
      <c r="K665" s="29" t="s">
        <v>3024</v>
      </c>
      <c r="L665" s="29"/>
      <c r="M665" s="68">
        <v>1</v>
      </c>
      <c r="N665" s="68" t="s">
        <v>2869</v>
      </c>
    </row>
    <row r="666" spans="1:14" ht="14.25" x14ac:dyDescent="0.2">
      <c r="A666" s="11" t="s">
        <v>2634</v>
      </c>
      <c r="B666" s="12" t="s">
        <v>8660</v>
      </c>
      <c r="C666" s="13" t="s">
        <v>3757</v>
      </c>
      <c r="D666" s="13" t="s">
        <v>3754</v>
      </c>
      <c r="E666" s="29" t="s">
        <v>3001</v>
      </c>
      <c r="F666" s="13" t="s">
        <v>1541</v>
      </c>
      <c r="G666" s="8">
        <v>48</v>
      </c>
      <c r="H666" s="8"/>
      <c r="I666" s="8"/>
      <c r="J666" s="29" t="s">
        <v>5010</v>
      </c>
      <c r="K666" s="29" t="s">
        <v>3002</v>
      </c>
      <c r="L666" s="29"/>
      <c r="M666" s="68">
        <v>1</v>
      </c>
      <c r="N666" s="68" t="s">
        <v>2619</v>
      </c>
    </row>
    <row r="667" spans="1:14" ht="14.25" x14ac:dyDescent="0.2">
      <c r="A667" s="14" t="s">
        <v>2634</v>
      </c>
      <c r="B667" s="15" t="s">
        <v>1961</v>
      </c>
      <c r="C667" s="16" t="s">
        <v>3754</v>
      </c>
      <c r="D667" s="16" t="s">
        <v>3754</v>
      </c>
      <c r="E667" s="27" t="s">
        <v>492</v>
      </c>
      <c r="F667" s="16" t="s">
        <v>493</v>
      </c>
      <c r="G667" s="8">
        <v>6</v>
      </c>
      <c r="H667" s="8">
        <v>9</v>
      </c>
      <c r="I667" s="8">
        <v>21</v>
      </c>
      <c r="J667" s="27" t="s">
        <v>1258</v>
      </c>
      <c r="K667" s="29" t="s">
        <v>494</v>
      </c>
      <c r="L667" s="29"/>
      <c r="M667" s="68">
        <v>1</v>
      </c>
      <c r="N667" s="68" t="s">
        <v>6726</v>
      </c>
    </row>
    <row r="668" spans="1:14" ht="28.5" x14ac:dyDescent="0.2">
      <c r="A668" s="11" t="s">
        <v>2634</v>
      </c>
      <c r="B668" s="12" t="s">
        <v>3740</v>
      </c>
      <c r="C668" s="13" t="s">
        <v>3025</v>
      </c>
      <c r="D668" s="13" t="s">
        <v>3754</v>
      </c>
      <c r="E668" s="29" t="s">
        <v>3026</v>
      </c>
      <c r="F668" s="13" t="s">
        <v>1541</v>
      </c>
      <c r="G668" s="8">
        <v>3</v>
      </c>
      <c r="H668" s="8">
        <v>11</v>
      </c>
      <c r="I668" s="8"/>
      <c r="J668" s="29" t="s">
        <v>3023</v>
      </c>
      <c r="K668" s="29" t="s">
        <v>3024</v>
      </c>
      <c r="L668" s="29"/>
      <c r="M668" s="68">
        <v>1</v>
      </c>
      <c r="N668" s="68" t="s">
        <v>2619</v>
      </c>
    </row>
    <row r="669" spans="1:14" ht="14.25" x14ac:dyDescent="0.2">
      <c r="A669" s="11" t="s">
        <v>2634</v>
      </c>
      <c r="B669" s="12" t="s">
        <v>3740</v>
      </c>
      <c r="C669" s="13" t="s">
        <v>5695</v>
      </c>
      <c r="D669" s="13" t="s">
        <v>1652</v>
      </c>
      <c r="E669" s="29" t="s">
        <v>5230</v>
      </c>
      <c r="F669" s="13" t="s">
        <v>5231</v>
      </c>
      <c r="G669" s="8">
        <v>21</v>
      </c>
      <c r="H669" s="8">
        <v>8</v>
      </c>
      <c r="I669" s="8"/>
      <c r="J669" s="29" t="s">
        <v>1264</v>
      </c>
      <c r="K669" s="29" t="s">
        <v>5480</v>
      </c>
      <c r="L669" s="29"/>
      <c r="M669" s="68">
        <v>1</v>
      </c>
      <c r="N669" s="68" t="s">
        <v>3051</v>
      </c>
    </row>
    <row r="670" spans="1:14" ht="14.25" x14ac:dyDescent="0.2">
      <c r="A670" s="11" t="s">
        <v>2634</v>
      </c>
      <c r="B670" s="12" t="s">
        <v>4581</v>
      </c>
      <c r="C670" s="13" t="s">
        <v>3757</v>
      </c>
      <c r="D670" s="13" t="s">
        <v>3754</v>
      </c>
      <c r="E670" s="29" t="s">
        <v>6656</v>
      </c>
      <c r="F670" s="13" t="s">
        <v>6657</v>
      </c>
      <c r="G670" s="8">
        <v>61</v>
      </c>
      <c r="H670" s="8"/>
      <c r="I670" s="8"/>
      <c r="J670" s="29" t="s">
        <v>1271</v>
      </c>
      <c r="K670" s="29" t="s">
        <v>6658</v>
      </c>
      <c r="L670" s="29"/>
      <c r="M670" s="68">
        <v>1</v>
      </c>
      <c r="N670" s="68" t="s">
        <v>2869</v>
      </c>
    </row>
    <row r="671" spans="1:14" ht="28.5" x14ac:dyDescent="0.2">
      <c r="A671" s="11" t="s">
        <v>2634</v>
      </c>
      <c r="B671" s="12" t="s">
        <v>3732</v>
      </c>
      <c r="C671" s="13" t="s">
        <v>3021</v>
      </c>
      <c r="D671" s="13" t="s">
        <v>3754</v>
      </c>
      <c r="E671" s="29" t="s">
        <v>3022</v>
      </c>
      <c r="F671" s="13" t="s">
        <v>1541</v>
      </c>
      <c r="G671" s="8">
        <v>11</v>
      </c>
      <c r="H671" s="8">
        <v>4</v>
      </c>
      <c r="I671" s="8">
        <v>14</v>
      </c>
      <c r="J671" s="29" t="s">
        <v>3023</v>
      </c>
      <c r="K671" s="29" t="s">
        <v>3024</v>
      </c>
      <c r="L671" s="29"/>
      <c r="M671" s="68">
        <v>1</v>
      </c>
      <c r="N671" s="68" t="s">
        <v>2619</v>
      </c>
    </row>
    <row r="672" spans="1:14" ht="14.25" x14ac:dyDescent="0.2">
      <c r="A672" s="11" t="s">
        <v>2634</v>
      </c>
      <c r="B672" s="12" t="s">
        <v>3723</v>
      </c>
      <c r="C672" s="13" t="s">
        <v>8621</v>
      </c>
      <c r="D672" s="13" t="s">
        <v>1570</v>
      </c>
      <c r="E672" s="29" t="s">
        <v>3044</v>
      </c>
      <c r="F672" s="13"/>
      <c r="G672" s="8">
        <v>19</v>
      </c>
      <c r="H672" s="8"/>
      <c r="I672" s="8"/>
      <c r="J672" s="29" t="s">
        <v>1264</v>
      </c>
      <c r="K672" s="29" t="s">
        <v>1860</v>
      </c>
      <c r="L672" s="29"/>
      <c r="M672" s="68">
        <v>1</v>
      </c>
      <c r="N672" s="68" t="s">
        <v>2619</v>
      </c>
    </row>
    <row r="673" spans="1:14" ht="14.25" x14ac:dyDescent="0.2">
      <c r="A673" s="11" t="s">
        <v>2634</v>
      </c>
      <c r="B673" s="12" t="s">
        <v>3723</v>
      </c>
      <c r="C673" s="13" t="s">
        <v>3757</v>
      </c>
      <c r="D673" s="31"/>
      <c r="E673" s="29" t="s">
        <v>2878</v>
      </c>
      <c r="F673" s="13" t="s">
        <v>493</v>
      </c>
      <c r="G673" s="8">
        <v>51</v>
      </c>
      <c r="H673" s="8"/>
      <c r="I673" s="8"/>
      <c r="J673" s="29"/>
      <c r="K673" s="29" t="s">
        <v>2879</v>
      </c>
      <c r="L673" s="29"/>
      <c r="M673" s="68">
        <v>1</v>
      </c>
      <c r="N673" s="68" t="s">
        <v>2869</v>
      </c>
    </row>
    <row r="674" spans="1:14" ht="14.25" x14ac:dyDescent="0.2">
      <c r="A674" s="11" t="s">
        <v>2634</v>
      </c>
      <c r="B674" s="12" t="s">
        <v>5057</v>
      </c>
      <c r="C674" s="13" t="s">
        <v>3754</v>
      </c>
      <c r="D674" s="13"/>
      <c r="E674" s="29" t="s">
        <v>2990</v>
      </c>
      <c r="F674" s="13" t="s">
        <v>2991</v>
      </c>
      <c r="G674" s="8">
        <v>6</v>
      </c>
      <c r="H674" s="8">
        <v>3</v>
      </c>
      <c r="I674" s="8"/>
      <c r="J674" s="29" t="s">
        <v>1267</v>
      </c>
      <c r="K674" s="29" t="s">
        <v>2992</v>
      </c>
      <c r="L674" s="29"/>
      <c r="M674" s="68">
        <v>1</v>
      </c>
      <c r="N674" s="68" t="s">
        <v>2619</v>
      </c>
    </row>
    <row r="675" spans="1:14" ht="14.25" x14ac:dyDescent="0.2">
      <c r="A675" s="11" t="s">
        <v>2634</v>
      </c>
      <c r="B675" s="12" t="s">
        <v>3746</v>
      </c>
      <c r="C675" s="13" t="s">
        <v>3757</v>
      </c>
      <c r="D675" s="13" t="s">
        <v>3754</v>
      </c>
      <c r="E675" s="29" t="s">
        <v>6530</v>
      </c>
      <c r="F675" s="13" t="s">
        <v>2503</v>
      </c>
      <c r="G675" s="8">
        <v>45</v>
      </c>
      <c r="H675" s="8"/>
      <c r="I675" s="8"/>
      <c r="J675" s="29" t="s">
        <v>1259</v>
      </c>
      <c r="K675" s="29" t="s">
        <v>6531</v>
      </c>
      <c r="L675" s="29"/>
      <c r="M675" s="68">
        <v>1</v>
      </c>
      <c r="N675" s="68" t="s">
        <v>5254</v>
      </c>
    </row>
    <row r="676" spans="1:14" ht="14.25" x14ac:dyDescent="0.2">
      <c r="A676" s="11" t="s">
        <v>2634</v>
      </c>
      <c r="B676" s="12" t="s">
        <v>8132</v>
      </c>
      <c r="C676" s="13" t="s">
        <v>3757</v>
      </c>
      <c r="D676" s="13" t="s">
        <v>3754</v>
      </c>
      <c r="E676" s="29" t="s">
        <v>3793</v>
      </c>
      <c r="F676" s="13" t="s">
        <v>493</v>
      </c>
      <c r="G676" s="8">
        <v>57</v>
      </c>
      <c r="H676" s="8"/>
      <c r="I676" s="8"/>
      <c r="J676" s="29" t="s">
        <v>4739</v>
      </c>
      <c r="K676" s="29" t="s">
        <v>3794</v>
      </c>
      <c r="L676" s="29"/>
      <c r="M676" s="68">
        <v>1</v>
      </c>
      <c r="N676" s="68" t="s">
        <v>2501</v>
      </c>
    </row>
    <row r="677" spans="1:14" ht="14.25" x14ac:dyDescent="0.2">
      <c r="A677" s="11" t="s">
        <v>2634</v>
      </c>
      <c r="B677" s="12" t="s">
        <v>4701</v>
      </c>
      <c r="C677" s="13" t="s">
        <v>3032</v>
      </c>
      <c r="D677" s="13" t="s">
        <v>3754</v>
      </c>
      <c r="E677" s="29" t="s">
        <v>3033</v>
      </c>
      <c r="F677" s="13" t="s">
        <v>1541</v>
      </c>
      <c r="G677" s="8">
        <v>60</v>
      </c>
      <c r="H677" s="8">
        <v>2</v>
      </c>
      <c r="I677" s="8">
        <v>10</v>
      </c>
      <c r="J677" s="29" t="s">
        <v>1928</v>
      </c>
      <c r="K677" s="29" t="s">
        <v>3024</v>
      </c>
      <c r="L677" s="29"/>
      <c r="M677" s="68">
        <v>1</v>
      </c>
      <c r="N677" s="68" t="s">
        <v>2619</v>
      </c>
    </row>
    <row r="678" spans="1:14" ht="14.25" x14ac:dyDescent="0.2">
      <c r="A678" s="14" t="s">
        <v>2634</v>
      </c>
      <c r="B678" s="15" t="s">
        <v>727</v>
      </c>
      <c r="C678" s="16" t="s">
        <v>3757</v>
      </c>
      <c r="D678" s="16" t="s">
        <v>3754</v>
      </c>
      <c r="E678" s="27" t="s">
        <v>2492</v>
      </c>
      <c r="F678" s="16" t="s">
        <v>2493</v>
      </c>
      <c r="G678" s="8">
        <v>68</v>
      </c>
      <c r="H678" s="8"/>
      <c r="I678" s="8"/>
      <c r="J678" s="27" t="s">
        <v>1271</v>
      </c>
      <c r="K678" s="29" t="s">
        <v>2352</v>
      </c>
      <c r="L678" s="29"/>
      <c r="M678" s="68">
        <v>1</v>
      </c>
      <c r="N678" s="68" t="s">
        <v>6726</v>
      </c>
    </row>
    <row r="679" spans="1:14" ht="14.25" x14ac:dyDescent="0.2">
      <c r="A679" s="11" t="s">
        <v>2634</v>
      </c>
      <c r="B679" s="12" t="s">
        <v>3733</v>
      </c>
      <c r="C679" s="13" t="s">
        <v>3757</v>
      </c>
      <c r="D679" s="13" t="s">
        <v>6697</v>
      </c>
      <c r="E679" s="29" t="s">
        <v>6695</v>
      </c>
      <c r="F679" s="13" t="s">
        <v>6698</v>
      </c>
      <c r="G679" s="8">
        <v>43</v>
      </c>
      <c r="H679" s="8"/>
      <c r="I679" s="8"/>
      <c r="J679" s="29" t="s">
        <v>6699</v>
      </c>
      <c r="K679" s="29" t="s">
        <v>5193</v>
      </c>
      <c r="L679" s="29"/>
      <c r="M679" s="68">
        <v>1</v>
      </c>
      <c r="N679" s="68" t="s">
        <v>2869</v>
      </c>
    </row>
    <row r="680" spans="1:14" ht="14.25" x14ac:dyDescent="0.2">
      <c r="A680" s="11" t="s">
        <v>2634</v>
      </c>
      <c r="B680" s="12" t="s">
        <v>1445</v>
      </c>
      <c r="C680" s="16" t="s">
        <v>3761</v>
      </c>
      <c r="D680" s="13" t="s">
        <v>3754</v>
      </c>
      <c r="E680" s="29" t="s">
        <v>6679</v>
      </c>
      <c r="F680" s="13" t="s">
        <v>6680</v>
      </c>
      <c r="G680" s="8"/>
      <c r="H680" s="8">
        <v>10</v>
      </c>
      <c r="I680" s="8"/>
      <c r="J680" s="29" t="s">
        <v>4790</v>
      </c>
      <c r="K680" s="29" t="s">
        <v>6681</v>
      </c>
      <c r="L680" s="29"/>
      <c r="M680" s="68">
        <v>1</v>
      </c>
      <c r="N680" s="68" t="s">
        <v>2869</v>
      </c>
    </row>
    <row r="681" spans="1:14" ht="14.25" x14ac:dyDescent="0.2">
      <c r="A681" s="11" t="s">
        <v>3039</v>
      </c>
      <c r="B681" s="12" t="s">
        <v>4685</v>
      </c>
      <c r="C681" s="13" t="s">
        <v>3757</v>
      </c>
      <c r="D681" s="13" t="s">
        <v>1652</v>
      </c>
      <c r="E681" s="29" t="s">
        <v>3040</v>
      </c>
      <c r="F681" s="13" t="s">
        <v>3041</v>
      </c>
      <c r="G681" s="8">
        <v>42</v>
      </c>
      <c r="H681" s="8"/>
      <c r="I681" s="8"/>
      <c r="J681" s="29" t="s">
        <v>1264</v>
      </c>
      <c r="K681" s="29" t="s">
        <v>1860</v>
      </c>
      <c r="L681" s="29"/>
      <c r="M681" s="68">
        <v>1</v>
      </c>
      <c r="N681" s="68" t="s">
        <v>2619</v>
      </c>
    </row>
    <row r="682" spans="1:14" ht="14.25" x14ac:dyDescent="0.2">
      <c r="A682" s="11" t="s">
        <v>2622</v>
      </c>
      <c r="B682" s="12" t="s">
        <v>3740</v>
      </c>
      <c r="C682" s="13" t="s">
        <v>3754</v>
      </c>
      <c r="D682" s="13" t="s">
        <v>3761</v>
      </c>
      <c r="E682" s="29" t="s">
        <v>2623</v>
      </c>
      <c r="F682" s="13" t="s">
        <v>1541</v>
      </c>
      <c r="G682" s="8">
        <v>13</v>
      </c>
      <c r="H682" s="8"/>
      <c r="I682" s="8"/>
      <c r="J682" s="29" t="s">
        <v>2624</v>
      </c>
      <c r="K682" s="29" t="s">
        <v>2625</v>
      </c>
      <c r="L682" s="29"/>
      <c r="M682" s="68">
        <v>1</v>
      </c>
      <c r="N682" s="108" t="s">
        <v>2619</v>
      </c>
    </row>
    <row r="683" spans="1:14" ht="14.25" x14ac:dyDescent="0.2">
      <c r="A683" s="11" t="s">
        <v>2694</v>
      </c>
      <c r="B683" s="12" t="s">
        <v>3740</v>
      </c>
      <c r="C683" s="13" t="s">
        <v>3757</v>
      </c>
      <c r="D683" s="13" t="s">
        <v>3754</v>
      </c>
      <c r="E683" s="29" t="s">
        <v>2695</v>
      </c>
      <c r="F683" s="13" t="s">
        <v>2696</v>
      </c>
      <c r="G683" s="8">
        <v>72</v>
      </c>
      <c r="H683" s="8"/>
      <c r="I683" s="8"/>
      <c r="J683" s="29" t="s">
        <v>2108</v>
      </c>
      <c r="K683" s="29" t="s">
        <v>2692</v>
      </c>
      <c r="L683" s="29"/>
      <c r="M683" s="68">
        <v>1</v>
      </c>
      <c r="N683" s="68" t="s">
        <v>3051</v>
      </c>
    </row>
    <row r="684" spans="1:14" ht="14.25" x14ac:dyDescent="0.2">
      <c r="A684" s="11" t="s">
        <v>2694</v>
      </c>
      <c r="B684" s="12" t="s">
        <v>3732</v>
      </c>
      <c r="C684" s="13" t="s">
        <v>3757</v>
      </c>
      <c r="D684" s="13" t="s">
        <v>3754</v>
      </c>
      <c r="E684" s="29" t="s">
        <v>3801</v>
      </c>
      <c r="F684" s="13" t="s">
        <v>3802</v>
      </c>
      <c r="G684" s="8">
        <v>70</v>
      </c>
      <c r="H684" s="8"/>
      <c r="I684" s="8"/>
      <c r="J684" s="29" t="s">
        <v>1259</v>
      </c>
      <c r="K684" s="29" t="s">
        <v>3803</v>
      </c>
      <c r="L684" s="29"/>
      <c r="M684" s="68">
        <v>1</v>
      </c>
      <c r="N684" s="68" t="s">
        <v>2501</v>
      </c>
    </row>
    <row r="685" spans="1:14" ht="14.25" x14ac:dyDescent="0.2">
      <c r="A685" s="11" t="s">
        <v>3053</v>
      </c>
      <c r="B685" s="12" t="s">
        <v>3728</v>
      </c>
      <c r="C685" s="13" t="s">
        <v>3757</v>
      </c>
      <c r="D685" s="13" t="s">
        <v>3754</v>
      </c>
      <c r="E685" s="29" t="s">
        <v>3054</v>
      </c>
      <c r="F685" s="13" t="s">
        <v>3055</v>
      </c>
      <c r="G685" s="8">
        <v>53</v>
      </c>
      <c r="H685" s="8"/>
      <c r="I685" s="8"/>
      <c r="J685" s="29" t="s">
        <v>1262</v>
      </c>
      <c r="K685" s="29" t="s">
        <v>4753</v>
      </c>
      <c r="L685" s="29"/>
      <c r="M685" s="68">
        <v>1</v>
      </c>
      <c r="N685" s="68" t="s">
        <v>3051</v>
      </c>
    </row>
    <row r="686" spans="1:14" ht="14.25" x14ac:dyDescent="0.2">
      <c r="A686" s="11" t="s">
        <v>3053</v>
      </c>
      <c r="B686" s="12" t="s">
        <v>4701</v>
      </c>
      <c r="C686" s="13" t="s">
        <v>3757</v>
      </c>
      <c r="D686" s="13" t="s">
        <v>3754</v>
      </c>
      <c r="E686" s="29" t="s">
        <v>5255</v>
      </c>
      <c r="F686" s="13" t="s">
        <v>2670</v>
      </c>
      <c r="G686" s="8">
        <v>50</v>
      </c>
      <c r="H686" s="8"/>
      <c r="I686" s="8"/>
      <c r="J686" s="29" t="s">
        <v>6522</v>
      </c>
      <c r="K686" s="29" t="s">
        <v>6523</v>
      </c>
      <c r="L686" s="29"/>
      <c r="M686" s="68">
        <v>1</v>
      </c>
      <c r="N686" s="68" t="s">
        <v>5254</v>
      </c>
    </row>
    <row r="687" spans="1:14" ht="14.25" x14ac:dyDescent="0.2">
      <c r="A687" s="11" t="s">
        <v>6773</v>
      </c>
      <c r="B687" s="12" t="s">
        <v>5091</v>
      </c>
      <c r="C687" s="13" t="s">
        <v>3757</v>
      </c>
      <c r="D687" s="13" t="s">
        <v>3754</v>
      </c>
      <c r="E687" s="29" t="s">
        <v>6774</v>
      </c>
      <c r="F687" s="13" t="s">
        <v>6775</v>
      </c>
      <c r="G687" s="8">
        <v>40</v>
      </c>
      <c r="H687" s="8"/>
      <c r="I687" s="8"/>
      <c r="J687" s="29" t="s">
        <v>1264</v>
      </c>
      <c r="K687" s="29" t="s">
        <v>3386</v>
      </c>
      <c r="L687" s="29"/>
      <c r="M687" s="68">
        <v>1</v>
      </c>
      <c r="N687" s="68" t="s">
        <v>5254</v>
      </c>
    </row>
    <row r="688" spans="1:14" ht="14.25" x14ac:dyDescent="0.2">
      <c r="A688" s="11" t="s">
        <v>6756</v>
      </c>
      <c r="B688" s="12" t="s">
        <v>3723</v>
      </c>
      <c r="C688" s="16" t="s">
        <v>3761</v>
      </c>
      <c r="D688" s="13" t="s">
        <v>3754</v>
      </c>
      <c r="E688" s="29" t="s">
        <v>6757</v>
      </c>
      <c r="F688" s="13" t="s">
        <v>6758</v>
      </c>
      <c r="G688" s="8">
        <v>2</v>
      </c>
      <c r="H688" s="8">
        <v>5</v>
      </c>
      <c r="I688" s="8"/>
      <c r="J688" s="29" t="s">
        <v>1254</v>
      </c>
      <c r="K688" s="29" t="s">
        <v>6759</v>
      </c>
      <c r="L688" s="29"/>
      <c r="M688" s="68">
        <v>1</v>
      </c>
      <c r="N688" s="68" t="s">
        <v>5254</v>
      </c>
    </row>
    <row r="689" spans="1:14" ht="14.25" x14ac:dyDescent="0.2">
      <c r="A689" s="11" t="s">
        <v>2996</v>
      </c>
      <c r="B689" s="12" t="s">
        <v>8660</v>
      </c>
      <c r="C689" s="13" t="s">
        <v>3757</v>
      </c>
      <c r="D689" s="13" t="s">
        <v>3754</v>
      </c>
      <c r="E689" s="29" t="s">
        <v>2699</v>
      </c>
      <c r="F689" s="13" t="s">
        <v>2700</v>
      </c>
      <c r="G689" s="8">
        <v>68</v>
      </c>
      <c r="H689" s="8"/>
      <c r="I689" s="8"/>
      <c r="J689" s="29" t="s">
        <v>2108</v>
      </c>
      <c r="K689" s="29" t="s">
        <v>2701</v>
      </c>
      <c r="L689" s="29"/>
      <c r="M689" s="68">
        <v>1</v>
      </c>
      <c r="N689" s="68" t="s">
        <v>3051</v>
      </c>
    </row>
    <row r="690" spans="1:14" ht="14.25" x14ac:dyDescent="0.2">
      <c r="A690" s="11" t="s">
        <v>2996</v>
      </c>
      <c r="B690" s="12" t="s">
        <v>4908</v>
      </c>
      <c r="C690" s="27" t="s">
        <v>3767</v>
      </c>
      <c r="D690" s="13" t="s">
        <v>3765</v>
      </c>
      <c r="E690" s="29" t="s">
        <v>6684</v>
      </c>
      <c r="F690" s="13" t="s">
        <v>6685</v>
      </c>
      <c r="G690" s="8">
        <v>25</v>
      </c>
      <c r="H690" s="8"/>
      <c r="I690" s="8"/>
      <c r="J690" s="29" t="s">
        <v>2335</v>
      </c>
      <c r="K690" s="29" t="s">
        <v>6686</v>
      </c>
      <c r="L690" s="29"/>
      <c r="M690" s="68">
        <v>1</v>
      </c>
      <c r="N690" s="68" t="s">
        <v>2869</v>
      </c>
    </row>
    <row r="691" spans="1:14" ht="14.25" x14ac:dyDescent="0.2">
      <c r="A691" s="11" t="s">
        <v>2996</v>
      </c>
      <c r="B691" s="12" t="s">
        <v>3728</v>
      </c>
      <c r="C691" s="13" t="s">
        <v>3754</v>
      </c>
      <c r="D691" s="31"/>
      <c r="E691" s="29" t="s">
        <v>3000</v>
      </c>
      <c r="F691" s="13" t="s">
        <v>5211</v>
      </c>
      <c r="G691" s="8">
        <v>2</v>
      </c>
      <c r="H691" s="8"/>
      <c r="I691" s="8"/>
      <c r="J691" s="29" t="s">
        <v>1412</v>
      </c>
      <c r="K691" s="29" t="s">
        <v>2999</v>
      </c>
      <c r="L691" s="29"/>
      <c r="M691" s="68">
        <v>1</v>
      </c>
      <c r="N691" s="68" t="s">
        <v>2619</v>
      </c>
    </row>
    <row r="692" spans="1:14" ht="28.5" x14ac:dyDescent="0.2">
      <c r="A692" s="11" t="s">
        <v>2996</v>
      </c>
      <c r="B692" s="12" t="s">
        <v>4685</v>
      </c>
      <c r="C692" s="13" t="s">
        <v>3757</v>
      </c>
      <c r="D692" s="13" t="s">
        <v>6723</v>
      </c>
      <c r="E692" s="29" t="s">
        <v>6724</v>
      </c>
      <c r="F692" s="13" t="s">
        <v>1563</v>
      </c>
      <c r="G692" s="8">
        <v>54</v>
      </c>
      <c r="H692" s="8"/>
      <c r="I692" s="8"/>
      <c r="J692" s="29" t="s">
        <v>1270</v>
      </c>
      <c r="K692" s="29" t="s">
        <v>6725</v>
      </c>
      <c r="L692" s="95"/>
      <c r="M692" s="68">
        <v>1</v>
      </c>
      <c r="N692" s="68" t="s">
        <v>3051</v>
      </c>
    </row>
    <row r="693" spans="1:14" ht="14.25" x14ac:dyDescent="0.2">
      <c r="A693" s="11" t="s">
        <v>2996</v>
      </c>
      <c r="B693" s="12" t="s">
        <v>4685</v>
      </c>
      <c r="C693" s="13" t="s">
        <v>3757</v>
      </c>
      <c r="D693" s="13" t="s">
        <v>3754</v>
      </c>
      <c r="E693" s="29" t="s">
        <v>2850</v>
      </c>
      <c r="F693" s="13" t="s">
        <v>2851</v>
      </c>
      <c r="G693" s="8">
        <v>72</v>
      </c>
      <c r="H693" s="8"/>
      <c r="I693" s="8"/>
      <c r="J693" s="29" t="s">
        <v>1271</v>
      </c>
      <c r="K693" s="29" t="s">
        <v>2852</v>
      </c>
      <c r="L693" s="29"/>
      <c r="M693" s="68">
        <v>1</v>
      </c>
      <c r="N693" s="68" t="s">
        <v>2501</v>
      </c>
    </row>
    <row r="694" spans="1:14" ht="42.75" x14ac:dyDescent="0.2">
      <c r="A694" s="11" t="s">
        <v>2996</v>
      </c>
      <c r="B694" s="12" t="s">
        <v>3740</v>
      </c>
      <c r="C694" s="13" t="s">
        <v>3757</v>
      </c>
      <c r="D694" s="13" t="s">
        <v>2702</v>
      </c>
      <c r="E694" s="29"/>
      <c r="F694" s="13" t="s">
        <v>7463</v>
      </c>
      <c r="G694" s="8">
        <v>28</v>
      </c>
      <c r="H694" s="8"/>
      <c r="I694" s="8"/>
      <c r="J694" s="29" t="s">
        <v>6873</v>
      </c>
      <c r="K694" s="29" t="s">
        <v>7464</v>
      </c>
      <c r="L694" s="29"/>
      <c r="M694" s="68">
        <v>1</v>
      </c>
      <c r="N694" s="68" t="s">
        <v>3051</v>
      </c>
    </row>
    <row r="695" spans="1:14" ht="14.25" x14ac:dyDescent="0.2">
      <c r="A695" s="11" t="s">
        <v>2996</v>
      </c>
      <c r="B695" s="12" t="s">
        <v>3740</v>
      </c>
      <c r="C695" s="13" t="s">
        <v>3757</v>
      </c>
      <c r="D695" s="13" t="s">
        <v>3754</v>
      </c>
      <c r="E695" s="29" t="s">
        <v>3826</v>
      </c>
      <c r="F695" s="13" t="s">
        <v>3827</v>
      </c>
      <c r="G695" s="8">
        <v>45</v>
      </c>
      <c r="H695" s="8"/>
      <c r="I695" s="8"/>
      <c r="J695" s="29" t="s">
        <v>1264</v>
      </c>
      <c r="K695" s="29" t="s">
        <v>3828</v>
      </c>
      <c r="L695" s="29"/>
      <c r="M695" s="68">
        <v>1</v>
      </c>
      <c r="N695" s="68" t="s">
        <v>2501</v>
      </c>
    </row>
    <row r="696" spans="1:14" ht="42.75" x14ac:dyDescent="0.2">
      <c r="A696" s="11" t="s">
        <v>2996</v>
      </c>
      <c r="B696" s="12" t="s">
        <v>1552</v>
      </c>
      <c r="C696" s="13" t="s">
        <v>5272</v>
      </c>
      <c r="D696" s="13" t="s">
        <v>5272</v>
      </c>
      <c r="E696" s="29"/>
      <c r="F696" s="13" t="s">
        <v>7463</v>
      </c>
      <c r="G696" s="8">
        <v>2</v>
      </c>
      <c r="H696" s="8">
        <v>2</v>
      </c>
      <c r="I696" s="8"/>
      <c r="J696" s="29" t="s">
        <v>4739</v>
      </c>
      <c r="K696" s="55" t="s">
        <v>7464</v>
      </c>
      <c r="L696" s="61"/>
      <c r="M696" s="68">
        <v>1</v>
      </c>
      <c r="N696" s="68" t="s">
        <v>3051</v>
      </c>
    </row>
    <row r="697" spans="1:14" ht="14.25" x14ac:dyDescent="0.2">
      <c r="A697" s="9" t="s">
        <v>2996</v>
      </c>
      <c r="B697" s="5" t="s">
        <v>5712</v>
      </c>
      <c r="C697" s="10" t="s">
        <v>3754</v>
      </c>
      <c r="D697" s="10" t="s">
        <v>3754</v>
      </c>
      <c r="E697" s="61" t="s">
        <v>2683</v>
      </c>
      <c r="F697" s="10" t="s">
        <v>3013</v>
      </c>
      <c r="G697" s="8">
        <v>1</v>
      </c>
      <c r="H697" s="8">
        <v>10</v>
      </c>
      <c r="I697" s="8">
        <v>10</v>
      </c>
      <c r="J697" s="55" t="s">
        <v>1258</v>
      </c>
      <c r="K697" s="55" t="s">
        <v>5690</v>
      </c>
      <c r="L697" s="61"/>
      <c r="M697" s="68">
        <v>1</v>
      </c>
      <c r="N697" s="68" t="s">
        <v>3051</v>
      </c>
    </row>
    <row r="698" spans="1:14" ht="14.25" x14ac:dyDescent="0.2">
      <c r="A698" s="9" t="s">
        <v>2996</v>
      </c>
      <c r="B698" s="5" t="s">
        <v>3723</v>
      </c>
      <c r="C698" s="10" t="s">
        <v>3757</v>
      </c>
      <c r="D698" s="21" t="s">
        <v>3754</v>
      </c>
      <c r="E698" s="55" t="s">
        <v>6519</v>
      </c>
      <c r="F698" s="10" t="s">
        <v>3013</v>
      </c>
      <c r="G698" s="8">
        <v>68</v>
      </c>
      <c r="H698" s="8"/>
      <c r="I698" s="8"/>
      <c r="J698" s="55" t="s">
        <v>1264</v>
      </c>
      <c r="K698" s="55" t="s">
        <v>3014</v>
      </c>
      <c r="L698" s="61"/>
      <c r="M698" s="68">
        <v>1</v>
      </c>
      <c r="N698" s="68" t="s">
        <v>2619</v>
      </c>
    </row>
    <row r="699" spans="1:14" ht="14.25" x14ac:dyDescent="0.2">
      <c r="A699" s="11" t="s">
        <v>2996</v>
      </c>
      <c r="B699" s="12" t="s">
        <v>3723</v>
      </c>
      <c r="C699" s="13" t="s">
        <v>3754</v>
      </c>
      <c r="D699" s="31"/>
      <c r="E699" s="29" t="s">
        <v>2997</v>
      </c>
      <c r="F699" s="13" t="s">
        <v>2998</v>
      </c>
      <c r="G699" s="8"/>
      <c r="H699" s="8">
        <v>2</v>
      </c>
      <c r="I699" s="8"/>
      <c r="J699" s="29" t="s">
        <v>1412</v>
      </c>
      <c r="K699" s="29" t="s">
        <v>2999</v>
      </c>
      <c r="L699" s="29"/>
      <c r="M699" s="68">
        <v>1</v>
      </c>
      <c r="N699" s="68" t="s">
        <v>2619</v>
      </c>
    </row>
    <row r="700" spans="1:14" ht="14.25" x14ac:dyDescent="0.2">
      <c r="A700" s="11" t="s">
        <v>2996</v>
      </c>
      <c r="B700" s="12" t="s">
        <v>4701</v>
      </c>
      <c r="C700" s="13" t="s">
        <v>3757</v>
      </c>
      <c r="D700" s="13" t="s">
        <v>3754</v>
      </c>
      <c r="E700" s="29" t="s">
        <v>3830</v>
      </c>
      <c r="F700" s="13" t="s">
        <v>3827</v>
      </c>
      <c r="G700" s="8">
        <v>75</v>
      </c>
      <c r="H700" s="8"/>
      <c r="I700" s="8"/>
      <c r="J700" s="29" t="s">
        <v>1271</v>
      </c>
      <c r="K700" s="29" t="s">
        <v>3830</v>
      </c>
      <c r="L700" s="29"/>
      <c r="M700" s="68">
        <v>1</v>
      </c>
      <c r="N700" s="68" t="s">
        <v>2501</v>
      </c>
    </row>
    <row r="701" spans="1:14" ht="14.25" x14ac:dyDescent="0.2">
      <c r="A701" s="11" t="s">
        <v>2996</v>
      </c>
      <c r="B701" s="12" t="s">
        <v>4701</v>
      </c>
      <c r="C701" s="13" t="s">
        <v>3757</v>
      </c>
      <c r="D701" s="13" t="s">
        <v>3754</v>
      </c>
      <c r="E701" s="29" t="s">
        <v>3829</v>
      </c>
      <c r="F701" s="13" t="s">
        <v>3827</v>
      </c>
      <c r="G701" s="8">
        <v>75</v>
      </c>
      <c r="H701" s="8"/>
      <c r="I701" s="8"/>
      <c r="J701" s="29" t="s">
        <v>1271</v>
      </c>
      <c r="K701" s="29" t="s">
        <v>3830</v>
      </c>
      <c r="L701" s="29"/>
      <c r="M701" s="68">
        <v>1</v>
      </c>
      <c r="N701" s="68" t="s">
        <v>2501</v>
      </c>
    </row>
    <row r="702" spans="1:14" ht="14.25" x14ac:dyDescent="0.2">
      <c r="A702" s="11" t="s">
        <v>2996</v>
      </c>
      <c r="B702" s="12" t="s">
        <v>4701</v>
      </c>
      <c r="C702" s="16" t="s">
        <v>3761</v>
      </c>
      <c r="D702" s="13" t="s">
        <v>3754</v>
      </c>
      <c r="E702" s="29" t="s">
        <v>3670</v>
      </c>
      <c r="F702" s="13" t="s">
        <v>6559</v>
      </c>
      <c r="G702" s="8"/>
      <c r="H702" s="8">
        <v>6</v>
      </c>
      <c r="I702" s="8">
        <v>15</v>
      </c>
      <c r="J702" s="29" t="s">
        <v>1258</v>
      </c>
      <c r="K702" s="29" t="s">
        <v>6558</v>
      </c>
      <c r="L702" s="29"/>
      <c r="M702" s="68">
        <v>1</v>
      </c>
      <c r="N702" s="68" t="s">
        <v>5254</v>
      </c>
    </row>
    <row r="703" spans="1:14" ht="14.25" x14ac:dyDescent="0.2">
      <c r="A703" s="11" t="s">
        <v>2649</v>
      </c>
      <c r="B703" s="12" t="s">
        <v>5097</v>
      </c>
      <c r="C703" s="13" t="s">
        <v>3754</v>
      </c>
      <c r="D703" s="13" t="s">
        <v>3754</v>
      </c>
      <c r="E703" s="29" t="s">
        <v>2665</v>
      </c>
      <c r="F703" s="13" t="s">
        <v>2666</v>
      </c>
      <c r="G703" s="8">
        <v>7</v>
      </c>
      <c r="H703" s="8">
        <v>22</v>
      </c>
      <c r="I703" s="8"/>
      <c r="J703" s="29" t="s">
        <v>1264</v>
      </c>
      <c r="K703" s="29" t="s">
        <v>2667</v>
      </c>
      <c r="L703" s="29"/>
      <c r="M703" s="68">
        <v>1</v>
      </c>
      <c r="N703" s="68" t="s">
        <v>3051</v>
      </c>
    </row>
    <row r="704" spans="1:14" ht="14.25" x14ac:dyDescent="0.2">
      <c r="A704" s="14" t="s">
        <v>2649</v>
      </c>
      <c r="B704" s="15" t="s">
        <v>1432</v>
      </c>
      <c r="C704" s="16" t="s">
        <v>3757</v>
      </c>
      <c r="D704" s="16" t="s">
        <v>3754</v>
      </c>
      <c r="E704" s="27" t="s">
        <v>3164</v>
      </c>
      <c r="F704" s="16" t="s">
        <v>5151</v>
      </c>
      <c r="G704" s="8">
        <v>53</v>
      </c>
      <c r="H704" s="8"/>
      <c r="I704" s="8"/>
      <c r="J704" s="27"/>
      <c r="K704" s="29" t="s">
        <v>3165</v>
      </c>
      <c r="L704" s="29"/>
      <c r="M704" s="68">
        <v>1</v>
      </c>
      <c r="N704" s="68" t="s">
        <v>6726</v>
      </c>
    </row>
    <row r="705" spans="1:14" ht="14.25" x14ac:dyDescent="0.2">
      <c r="A705" s="14" t="s">
        <v>2649</v>
      </c>
      <c r="B705" s="15" t="s">
        <v>5523</v>
      </c>
      <c r="C705" s="16" t="s">
        <v>3754</v>
      </c>
      <c r="D705" s="16" t="s">
        <v>3754</v>
      </c>
      <c r="E705" s="27" t="s">
        <v>6731</v>
      </c>
      <c r="F705" s="16" t="s">
        <v>4213</v>
      </c>
      <c r="G705" s="8">
        <v>26</v>
      </c>
      <c r="H705" s="8"/>
      <c r="I705" s="8"/>
      <c r="J705" s="27" t="s">
        <v>1264</v>
      </c>
      <c r="K705" s="29" t="s">
        <v>6732</v>
      </c>
      <c r="L705" s="29"/>
      <c r="M705" s="68">
        <v>1</v>
      </c>
      <c r="N705" s="68" t="s">
        <v>6726</v>
      </c>
    </row>
    <row r="706" spans="1:14" ht="14.25" x14ac:dyDescent="0.2">
      <c r="A706" s="11" t="s">
        <v>2649</v>
      </c>
      <c r="B706" s="12" t="s">
        <v>3723</v>
      </c>
      <c r="C706" s="13" t="s">
        <v>3757</v>
      </c>
      <c r="D706" s="13" t="s">
        <v>3754</v>
      </c>
      <c r="E706" s="29"/>
      <c r="F706" s="13" t="s">
        <v>1541</v>
      </c>
      <c r="G706" s="8">
        <v>80</v>
      </c>
      <c r="H706" s="8"/>
      <c r="I706" s="8"/>
      <c r="J706" s="29" t="s">
        <v>1271</v>
      </c>
      <c r="K706" s="29" t="s">
        <v>2650</v>
      </c>
      <c r="L706" s="29"/>
      <c r="M706" s="68">
        <v>1</v>
      </c>
      <c r="N706" s="68" t="s">
        <v>2619</v>
      </c>
    </row>
    <row r="707" spans="1:14" ht="14.25" x14ac:dyDescent="0.2">
      <c r="A707" s="11" t="s">
        <v>2649</v>
      </c>
      <c r="B707" s="12" t="s">
        <v>3746</v>
      </c>
      <c r="C707" s="13" t="s">
        <v>3757</v>
      </c>
      <c r="D707" s="13" t="s">
        <v>3754</v>
      </c>
      <c r="E707" s="29" t="s">
        <v>5150</v>
      </c>
      <c r="F707" s="13" t="s">
        <v>5151</v>
      </c>
      <c r="G707" s="8">
        <v>52</v>
      </c>
      <c r="H707" s="8"/>
      <c r="I707" s="8"/>
      <c r="J707" s="29" t="s">
        <v>5152</v>
      </c>
      <c r="K707" s="29" t="s">
        <v>5640</v>
      </c>
      <c r="L707" s="29"/>
      <c r="M707" s="68">
        <v>1</v>
      </c>
      <c r="N707" s="68" t="s">
        <v>3051</v>
      </c>
    </row>
    <row r="708" spans="1:14" ht="14.25" x14ac:dyDescent="0.2">
      <c r="A708" s="11" t="s">
        <v>2845</v>
      </c>
      <c r="B708" s="12" t="s">
        <v>1879</v>
      </c>
      <c r="C708" s="13" t="s">
        <v>4708</v>
      </c>
      <c r="D708" s="13" t="s">
        <v>3754</v>
      </c>
      <c r="E708" s="29" t="s">
        <v>2847</v>
      </c>
      <c r="F708" s="13" t="s">
        <v>2516</v>
      </c>
      <c r="G708" s="8">
        <v>36</v>
      </c>
      <c r="H708" s="8">
        <v>10</v>
      </c>
      <c r="I708" s="8">
        <v>10</v>
      </c>
      <c r="J708" s="29" t="s">
        <v>1270</v>
      </c>
      <c r="K708" s="29" t="s">
        <v>6860</v>
      </c>
      <c r="L708" s="29"/>
      <c r="M708" s="68">
        <v>1</v>
      </c>
      <c r="N708" s="68" t="s">
        <v>2501</v>
      </c>
    </row>
    <row r="709" spans="1:14" ht="28.5" x14ac:dyDescent="0.2">
      <c r="A709" s="11" t="s">
        <v>2505</v>
      </c>
      <c r="B709" s="12" t="s">
        <v>1432</v>
      </c>
      <c r="C709" s="13" t="s">
        <v>3761</v>
      </c>
      <c r="D709" s="13" t="s">
        <v>3754</v>
      </c>
      <c r="E709" s="29" t="s">
        <v>2917</v>
      </c>
      <c r="F709" s="13" t="s">
        <v>2513</v>
      </c>
      <c r="G709" s="8">
        <v>1</v>
      </c>
      <c r="H709" s="8"/>
      <c r="I709" s="8"/>
      <c r="J709" s="29" t="s">
        <v>2333</v>
      </c>
      <c r="K709" s="29" t="s">
        <v>2514</v>
      </c>
      <c r="L709" s="29"/>
      <c r="M709" s="68">
        <v>1</v>
      </c>
      <c r="N709" s="68" t="s">
        <v>2501</v>
      </c>
    </row>
    <row r="710" spans="1:14" ht="14.25" x14ac:dyDescent="0.2">
      <c r="A710" s="11" t="s">
        <v>2505</v>
      </c>
      <c r="B710" s="12" t="s">
        <v>1432</v>
      </c>
      <c r="C710" s="13" t="s">
        <v>3824</v>
      </c>
      <c r="D710" s="13" t="s">
        <v>3754</v>
      </c>
      <c r="E710" s="29" t="s">
        <v>3825</v>
      </c>
      <c r="F710" s="13" t="s">
        <v>2516</v>
      </c>
      <c r="G710" s="8">
        <v>27</v>
      </c>
      <c r="H710" s="8">
        <v>9</v>
      </c>
      <c r="I710" s="8">
        <v>29</v>
      </c>
      <c r="J710" s="29" t="s">
        <v>1264</v>
      </c>
      <c r="K710" s="29" t="s">
        <v>6823</v>
      </c>
      <c r="L710" s="29"/>
      <c r="M710" s="68">
        <v>1</v>
      </c>
      <c r="N710" s="68" t="s">
        <v>2501</v>
      </c>
    </row>
    <row r="711" spans="1:14" ht="14.25" x14ac:dyDescent="0.2">
      <c r="A711" s="11" t="s">
        <v>2505</v>
      </c>
      <c r="B711" s="12" t="s">
        <v>1432</v>
      </c>
      <c r="C711" s="13" t="s">
        <v>3761</v>
      </c>
      <c r="D711" s="13" t="s">
        <v>3754</v>
      </c>
      <c r="E711" s="29" t="s">
        <v>2512</v>
      </c>
      <c r="F711" s="13" t="s">
        <v>2513</v>
      </c>
      <c r="G711" s="8"/>
      <c r="H711" s="8">
        <v>8</v>
      </c>
      <c r="I711" s="8"/>
      <c r="J711" s="29" t="s">
        <v>62</v>
      </c>
      <c r="K711" s="29" t="s">
        <v>2514</v>
      </c>
      <c r="L711" s="29"/>
      <c r="M711" s="68">
        <v>1</v>
      </c>
      <c r="N711" s="68" t="s">
        <v>2501</v>
      </c>
    </row>
    <row r="712" spans="1:14" ht="14.25" x14ac:dyDescent="0.2">
      <c r="A712" s="11" t="s">
        <v>2505</v>
      </c>
      <c r="B712" s="12" t="s">
        <v>5098</v>
      </c>
      <c r="C712" s="13" t="s">
        <v>4708</v>
      </c>
      <c r="D712" s="13" t="s">
        <v>3754</v>
      </c>
      <c r="E712" s="29" t="s">
        <v>2515</v>
      </c>
      <c r="F712" s="13" t="s">
        <v>2516</v>
      </c>
      <c r="G712" s="8">
        <v>24</v>
      </c>
      <c r="H712" s="8"/>
      <c r="I712" s="8"/>
      <c r="J712" s="29" t="s">
        <v>1264</v>
      </c>
      <c r="K712" s="29" t="s">
        <v>2514</v>
      </c>
      <c r="L712" s="29"/>
      <c r="M712" s="68">
        <v>1</v>
      </c>
      <c r="N712" s="68" t="s">
        <v>2501</v>
      </c>
    </row>
    <row r="713" spans="1:14" ht="14.25" x14ac:dyDescent="0.2">
      <c r="A713" s="11" t="s">
        <v>2505</v>
      </c>
      <c r="B713" s="12" t="s">
        <v>5099</v>
      </c>
      <c r="C713" s="13" t="s">
        <v>4708</v>
      </c>
      <c r="D713" s="13" t="s">
        <v>3754</v>
      </c>
      <c r="E713" s="29" t="s">
        <v>2506</v>
      </c>
      <c r="F713" s="13" t="s">
        <v>2507</v>
      </c>
      <c r="G713" s="8">
        <v>31</v>
      </c>
      <c r="H713" s="8"/>
      <c r="I713" s="8"/>
      <c r="J713" s="29" t="s">
        <v>1264</v>
      </c>
      <c r="K713" s="29" t="s">
        <v>2508</v>
      </c>
      <c r="L713" s="29"/>
      <c r="M713" s="68">
        <v>1</v>
      </c>
      <c r="N713" s="68" t="s">
        <v>2501</v>
      </c>
    </row>
    <row r="714" spans="1:14" ht="14.25" x14ac:dyDescent="0.2">
      <c r="A714" s="11" t="s">
        <v>2626</v>
      </c>
      <c r="B714" s="12" t="s">
        <v>5100</v>
      </c>
      <c r="C714" s="13" t="s">
        <v>3754</v>
      </c>
      <c r="D714" s="13" t="s">
        <v>3754</v>
      </c>
      <c r="E714" s="29" t="s">
        <v>6836</v>
      </c>
      <c r="F714" s="13" t="s">
        <v>2972</v>
      </c>
      <c r="G714" s="8">
        <v>4</v>
      </c>
      <c r="H714" s="8">
        <v>3</v>
      </c>
      <c r="I714" s="8"/>
      <c r="J714" s="29" t="s">
        <v>1264</v>
      </c>
      <c r="K714" s="29" t="s">
        <v>2973</v>
      </c>
      <c r="L714" s="29"/>
      <c r="M714" s="68">
        <v>1</v>
      </c>
      <c r="N714" s="68" t="s">
        <v>2501</v>
      </c>
    </row>
    <row r="715" spans="1:14" ht="14.25" x14ac:dyDescent="0.2">
      <c r="A715" s="11" t="s">
        <v>2626</v>
      </c>
      <c r="B715" s="12" t="s">
        <v>1432</v>
      </c>
      <c r="C715" s="13" t="s">
        <v>3757</v>
      </c>
      <c r="D715" s="13" t="s">
        <v>3754</v>
      </c>
      <c r="E715" s="29" t="s">
        <v>6689</v>
      </c>
      <c r="F715" s="13" t="s">
        <v>6690</v>
      </c>
      <c r="G715" s="8">
        <v>65</v>
      </c>
      <c r="H715" s="8"/>
      <c r="I715" s="8"/>
      <c r="J715" s="29" t="s">
        <v>4746</v>
      </c>
      <c r="K715" s="29" t="s">
        <v>6691</v>
      </c>
      <c r="L715" s="29"/>
      <c r="M715" s="68">
        <v>1</v>
      </c>
      <c r="N715" s="68" t="s">
        <v>2869</v>
      </c>
    </row>
    <row r="716" spans="1:14" ht="14.25" x14ac:dyDescent="0.2">
      <c r="A716" s="11" t="s">
        <v>2626</v>
      </c>
      <c r="B716" s="12" t="s">
        <v>1809</v>
      </c>
      <c r="C716" s="13" t="s">
        <v>3754</v>
      </c>
      <c r="D716" s="13" t="s">
        <v>3761</v>
      </c>
      <c r="E716" s="29" t="s">
        <v>5124</v>
      </c>
      <c r="F716" s="13" t="s">
        <v>3052</v>
      </c>
      <c r="G716" s="8">
        <v>1</v>
      </c>
      <c r="H716" s="8">
        <v>4</v>
      </c>
      <c r="I716" s="8">
        <v>18</v>
      </c>
      <c r="J716" s="29" t="s">
        <v>4790</v>
      </c>
      <c r="K716" s="29" t="s">
        <v>1870</v>
      </c>
      <c r="L716" s="29"/>
      <c r="M716" s="68">
        <v>1</v>
      </c>
      <c r="N716" s="68" t="s">
        <v>3051</v>
      </c>
    </row>
    <row r="717" spans="1:14" ht="14.25" x14ac:dyDescent="0.2">
      <c r="A717" s="14" t="s">
        <v>2626</v>
      </c>
      <c r="B717" s="15" t="s">
        <v>4908</v>
      </c>
      <c r="C717" s="16" t="s">
        <v>3754</v>
      </c>
      <c r="D717" s="16" t="s">
        <v>3754</v>
      </c>
      <c r="E717" s="27" t="s">
        <v>6953</v>
      </c>
      <c r="F717" s="16" t="s">
        <v>6954</v>
      </c>
      <c r="G717" s="8">
        <v>35</v>
      </c>
      <c r="H717" s="8"/>
      <c r="I717" s="8"/>
      <c r="J717" s="27" t="s">
        <v>5152</v>
      </c>
      <c r="K717" s="29" t="s">
        <v>6955</v>
      </c>
      <c r="L717" s="29"/>
      <c r="M717" s="68">
        <v>1</v>
      </c>
      <c r="N717" s="68" t="s">
        <v>6726</v>
      </c>
    </row>
    <row r="718" spans="1:14" ht="14.25" x14ac:dyDescent="0.2">
      <c r="A718" s="11" t="s">
        <v>2626</v>
      </c>
      <c r="B718" s="12" t="s">
        <v>6370</v>
      </c>
      <c r="C718" s="13" t="s">
        <v>2072</v>
      </c>
      <c r="D718" s="13" t="s">
        <v>3004</v>
      </c>
      <c r="E718" s="29" t="s">
        <v>3005</v>
      </c>
      <c r="F718" s="13" t="s">
        <v>3004</v>
      </c>
      <c r="G718" s="8"/>
      <c r="H718" s="8">
        <v>5</v>
      </c>
      <c r="I718" s="8"/>
      <c r="J718" s="29" t="s">
        <v>1255</v>
      </c>
      <c r="K718" s="29" t="s">
        <v>1382</v>
      </c>
      <c r="L718" s="29"/>
      <c r="M718" s="68">
        <v>1</v>
      </c>
      <c r="N718" s="68" t="s">
        <v>2619</v>
      </c>
    </row>
    <row r="719" spans="1:14" ht="14.25" x14ac:dyDescent="0.2">
      <c r="A719" s="11" t="s">
        <v>2626</v>
      </c>
      <c r="B719" s="12" t="s">
        <v>3740</v>
      </c>
      <c r="C719" s="27" t="s">
        <v>3767</v>
      </c>
      <c r="D719" s="13" t="s">
        <v>3767</v>
      </c>
      <c r="E719" s="29" t="s">
        <v>2884</v>
      </c>
      <c r="F719" s="13" t="s">
        <v>2885</v>
      </c>
      <c r="G719" s="8">
        <v>7</v>
      </c>
      <c r="H719" s="8">
        <v>11</v>
      </c>
      <c r="I719" s="8"/>
      <c r="J719" s="29" t="s">
        <v>1254</v>
      </c>
      <c r="K719" s="29" t="s">
        <v>2886</v>
      </c>
      <c r="L719" s="29"/>
      <c r="M719" s="68">
        <v>1</v>
      </c>
      <c r="N719" s="68" t="s">
        <v>2869</v>
      </c>
    </row>
    <row r="720" spans="1:14" ht="14.25" x14ac:dyDescent="0.2">
      <c r="A720" s="11" t="s">
        <v>2626</v>
      </c>
      <c r="B720" s="12" t="s">
        <v>3732</v>
      </c>
      <c r="C720" s="13" t="s">
        <v>3757</v>
      </c>
      <c r="D720" s="13" t="s">
        <v>3754</v>
      </c>
      <c r="E720" s="29" t="s">
        <v>3020</v>
      </c>
      <c r="F720" s="13" t="s">
        <v>1541</v>
      </c>
      <c r="G720" s="8">
        <v>24</v>
      </c>
      <c r="H720" s="8"/>
      <c r="I720" s="8"/>
      <c r="J720" s="29"/>
      <c r="K720" s="29" t="s">
        <v>1833</v>
      </c>
      <c r="L720" s="29"/>
      <c r="M720" s="68">
        <v>1</v>
      </c>
      <c r="N720" s="68" t="s">
        <v>2619</v>
      </c>
    </row>
    <row r="721" spans="1:14" ht="14.25" x14ac:dyDescent="0.2">
      <c r="A721" s="11" t="s">
        <v>2626</v>
      </c>
      <c r="B721" s="12" t="s">
        <v>3723</v>
      </c>
      <c r="C721" s="13" t="s">
        <v>3754</v>
      </c>
      <c r="D721" s="13" t="s">
        <v>3754</v>
      </c>
      <c r="E721" s="29" t="s">
        <v>3050</v>
      </c>
      <c r="F721" s="13" t="s">
        <v>3049</v>
      </c>
      <c r="G721" s="8">
        <v>1</v>
      </c>
      <c r="H721" s="8">
        <v>2</v>
      </c>
      <c r="I721" s="8">
        <v>11</v>
      </c>
      <c r="J721" s="29" t="s">
        <v>1274</v>
      </c>
      <c r="K721" s="109" t="s">
        <v>1870</v>
      </c>
      <c r="L721" s="95"/>
      <c r="M721" s="68">
        <v>1</v>
      </c>
      <c r="N721" s="68" t="s">
        <v>2619</v>
      </c>
    </row>
    <row r="722" spans="1:14" ht="14.25" x14ac:dyDescent="0.2">
      <c r="A722" s="11" t="s">
        <v>2626</v>
      </c>
      <c r="B722" s="12" t="s">
        <v>5101</v>
      </c>
      <c r="C722" s="13" t="s">
        <v>1604</v>
      </c>
      <c r="D722" s="13" t="s">
        <v>1652</v>
      </c>
      <c r="E722" s="29"/>
      <c r="F722" s="13" t="s">
        <v>1652</v>
      </c>
      <c r="G722" s="8">
        <v>18</v>
      </c>
      <c r="H722" s="8"/>
      <c r="I722" s="8"/>
      <c r="J722" s="29" t="s">
        <v>1259</v>
      </c>
      <c r="K722" s="29" t="s">
        <v>2627</v>
      </c>
      <c r="L722" s="29"/>
      <c r="M722" s="68">
        <v>1</v>
      </c>
      <c r="N722" s="108" t="s">
        <v>2619</v>
      </c>
    </row>
    <row r="723" spans="1:14" ht="14.25" x14ac:dyDescent="0.2">
      <c r="A723" s="11" t="s">
        <v>2626</v>
      </c>
      <c r="B723" s="12" t="s">
        <v>1445</v>
      </c>
      <c r="C723" s="13" t="s">
        <v>3754</v>
      </c>
      <c r="D723" s="13" t="s">
        <v>3754</v>
      </c>
      <c r="E723" s="29" t="s">
        <v>1406</v>
      </c>
      <c r="F723" s="13" t="s">
        <v>3049</v>
      </c>
      <c r="G723" s="8">
        <v>6</v>
      </c>
      <c r="H723" s="8">
        <v>1</v>
      </c>
      <c r="I723" s="8">
        <v>28</v>
      </c>
      <c r="J723" s="29" t="s">
        <v>1854</v>
      </c>
      <c r="K723" s="29" t="s">
        <v>1870</v>
      </c>
      <c r="L723" s="29"/>
      <c r="M723" s="68">
        <v>1</v>
      </c>
      <c r="N723" s="68" t="s">
        <v>2619</v>
      </c>
    </row>
    <row r="724" spans="1:14" ht="14.25" x14ac:dyDescent="0.2">
      <c r="A724" s="11" t="s">
        <v>6760</v>
      </c>
      <c r="B724" s="12" t="s">
        <v>3741</v>
      </c>
      <c r="C724" s="16" t="s">
        <v>3761</v>
      </c>
      <c r="D724" s="13" t="s">
        <v>3754</v>
      </c>
      <c r="E724" s="29" t="s">
        <v>6761</v>
      </c>
      <c r="F724" s="13" t="s">
        <v>6762</v>
      </c>
      <c r="G724" s="8"/>
      <c r="H724" s="8">
        <v>9</v>
      </c>
      <c r="I724" s="8"/>
      <c r="J724" s="29" t="s">
        <v>4829</v>
      </c>
      <c r="K724" s="29" t="s">
        <v>6763</v>
      </c>
      <c r="L724" s="29"/>
      <c r="M724" s="68">
        <v>1</v>
      </c>
      <c r="N724" s="68" t="s">
        <v>5254</v>
      </c>
    </row>
    <row r="725" spans="1:14" ht="14.25" x14ac:dyDescent="0.2">
      <c r="A725" s="11" t="s">
        <v>2668</v>
      </c>
      <c r="B725" s="12" t="s">
        <v>5102</v>
      </c>
      <c r="C725" s="13" t="s">
        <v>3754</v>
      </c>
      <c r="D725" s="13" t="s">
        <v>3754</v>
      </c>
      <c r="E725" s="29" t="s">
        <v>2669</v>
      </c>
      <c r="F725" s="13" t="s">
        <v>2670</v>
      </c>
      <c r="G725" s="8">
        <v>14</v>
      </c>
      <c r="H725" s="8">
        <v>1</v>
      </c>
      <c r="I725" s="8">
        <v>25</v>
      </c>
      <c r="J725" s="29" t="s">
        <v>1572</v>
      </c>
      <c r="K725" s="29" t="s">
        <v>2671</v>
      </c>
      <c r="L725" s="29"/>
      <c r="M725" s="68">
        <v>1</v>
      </c>
      <c r="N725" s="68" t="s">
        <v>3051</v>
      </c>
    </row>
    <row r="726" spans="1:14" ht="14.25" x14ac:dyDescent="0.2">
      <c r="A726" s="11" t="s">
        <v>3788</v>
      </c>
      <c r="B726" s="12" t="s">
        <v>4795</v>
      </c>
      <c r="C726" s="13" t="s">
        <v>3754</v>
      </c>
      <c r="D726" s="13" t="s">
        <v>3754</v>
      </c>
      <c r="E726" s="29" t="s">
        <v>2848</v>
      </c>
      <c r="F726" s="13" t="s">
        <v>3791</v>
      </c>
      <c r="G726" s="8"/>
      <c r="H726" s="8">
        <v>7</v>
      </c>
      <c r="I726" s="8"/>
      <c r="J726" s="29" t="s">
        <v>1264</v>
      </c>
      <c r="K726" s="29" t="s">
        <v>2849</v>
      </c>
      <c r="L726" s="29"/>
      <c r="M726" s="68">
        <v>1</v>
      </c>
      <c r="N726" s="68" t="s">
        <v>2501</v>
      </c>
    </row>
    <row r="727" spans="1:14" ht="14.25" x14ac:dyDescent="0.2">
      <c r="A727" s="11" t="s">
        <v>3788</v>
      </c>
      <c r="B727" s="12" t="s">
        <v>4364</v>
      </c>
      <c r="C727" s="29" t="s">
        <v>3754</v>
      </c>
      <c r="D727" s="13" t="s">
        <v>3754</v>
      </c>
      <c r="E727" s="29" t="s">
        <v>3790</v>
      </c>
      <c r="F727" s="13" t="s">
        <v>3791</v>
      </c>
      <c r="G727" s="8">
        <v>37</v>
      </c>
      <c r="H727" s="8"/>
      <c r="I727" s="8"/>
      <c r="J727" s="29" t="s">
        <v>1264</v>
      </c>
      <c r="K727" s="29" t="s">
        <v>3792</v>
      </c>
      <c r="L727" s="29"/>
      <c r="M727" s="68">
        <v>1</v>
      </c>
      <c r="N727" s="68" t="s">
        <v>2501</v>
      </c>
    </row>
    <row r="728" spans="1:14" ht="14.25" x14ac:dyDescent="0.2">
      <c r="A728" s="11" t="s">
        <v>3069</v>
      </c>
      <c r="B728" s="12" t="s">
        <v>175</v>
      </c>
      <c r="C728" s="13" t="s">
        <v>3757</v>
      </c>
      <c r="D728" s="13" t="s">
        <v>3323</v>
      </c>
      <c r="E728" s="29" t="s">
        <v>2896</v>
      </c>
      <c r="F728" s="13" t="s">
        <v>2897</v>
      </c>
      <c r="G728" s="8">
        <v>38</v>
      </c>
      <c r="H728" s="8"/>
      <c r="I728" s="8"/>
      <c r="J728" s="29"/>
      <c r="K728" s="29" t="s">
        <v>2898</v>
      </c>
      <c r="L728" s="29"/>
      <c r="M728" s="68">
        <v>1</v>
      </c>
      <c r="N728" s="68" t="s">
        <v>2869</v>
      </c>
    </row>
    <row r="729" spans="1:14" ht="14.25" x14ac:dyDescent="0.2">
      <c r="A729" s="11" t="s">
        <v>3069</v>
      </c>
      <c r="B729" s="12" t="s">
        <v>4982</v>
      </c>
      <c r="C729" s="13" t="s">
        <v>3754</v>
      </c>
      <c r="D729" s="13" t="s">
        <v>3754</v>
      </c>
      <c r="E729" s="29" t="s">
        <v>3071</v>
      </c>
      <c r="F729" s="13" t="s">
        <v>3072</v>
      </c>
      <c r="G729" s="8">
        <v>2</v>
      </c>
      <c r="H729" s="8">
        <v>6</v>
      </c>
      <c r="I729" s="8"/>
      <c r="J729" s="29" t="s">
        <v>1258</v>
      </c>
      <c r="K729" s="29" t="s">
        <v>3073</v>
      </c>
      <c r="L729" s="29"/>
      <c r="M729" s="68">
        <v>1</v>
      </c>
      <c r="N729" s="68" t="s">
        <v>3051</v>
      </c>
    </row>
    <row r="730" spans="1:14" ht="14.25" x14ac:dyDescent="0.2">
      <c r="A730" s="11" t="s">
        <v>6662</v>
      </c>
      <c r="B730" s="12" t="s">
        <v>3733</v>
      </c>
      <c r="C730" s="13" t="s">
        <v>3757</v>
      </c>
      <c r="D730" s="13" t="s">
        <v>3754</v>
      </c>
      <c r="E730" s="29" t="s">
        <v>6663</v>
      </c>
      <c r="F730" s="13" t="s">
        <v>6664</v>
      </c>
      <c r="G730" s="8">
        <v>42</v>
      </c>
      <c r="H730" s="8"/>
      <c r="I730" s="8"/>
      <c r="J730" s="29" t="s">
        <v>1264</v>
      </c>
      <c r="K730" s="29" t="s">
        <v>6665</v>
      </c>
      <c r="L730" s="29"/>
      <c r="M730" s="68">
        <v>1</v>
      </c>
      <c r="N730" s="68" t="s">
        <v>2869</v>
      </c>
    </row>
    <row r="731" spans="1:14" ht="14.25" x14ac:dyDescent="0.2">
      <c r="A731" s="11" t="s">
        <v>5153</v>
      </c>
      <c r="B731" s="12" t="s">
        <v>3748</v>
      </c>
      <c r="C731" s="13" t="s">
        <v>3754</v>
      </c>
      <c r="D731" s="13" t="s">
        <v>3754</v>
      </c>
      <c r="E731" s="29" t="s">
        <v>5154</v>
      </c>
      <c r="F731" s="13" t="s">
        <v>8608</v>
      </c>
      <c r="G731" s="8">
        <v>1</v>
      </c>
      <c r="H731" s="8">
        <v>9</v>
      </c>
      <c r="I731" s="8"/>
      <c r="J731" s="29" t="s">
        <v>5155</v>
      </c>
      <c r="K731" s="29" t="s">
        <v>1954</v>
      </c>
      <c r="L731" s="29"/>
      <c r="M731" s="68">
        <v>1</v>
      </c>
      <c r="N731" s="68" t="s">
        <v>3051</v>
      </c>
    </row>
    <row r="732" spans="1:14" ht="14.25" x14ac:dyDescent="0.2">
      <c r="A732" s="11" t="s">
        <v>3831</v>
      </c>
      <c r="B732" s="12" t="s">
        <v>4690</v>
      </c>
      <c r="C732" s="27" t="s">
        <v>3767</v>
      </c>
      <c r="D732" s="13" t="s">
        <v>8621</v>
      </c>
      <c r="E732" s="29" t="s">
        <v>6682</v>
      </c>
      <c r="F732" s="13" t="s">
        <v>6683</v>
      </c>
      <c r="G732" s="8">
        <v>4</v>
      </c>
      <c r="H732" s="8"/>
      <c r="I732" s="8"/>
      <c r="J732" s="29" t="s">
        <v>1270</v>
      </c>
      <c r="K732" s="29" t="s">
        <v>3466</v>
      </c>
      <c r="L732" s="29"/>
      <c r="M732" s="68">
        <v>1</v>
      </c>
      <c r="N732" s="68" t="s">
        <v>2869</v>
      </c>
    </row>
    <row r="733" spans="1:14" ht="14.25" x14ac:dyDescent="0.2">
      <c r="A733" s="11" t="s">
        <v>3831</v>
      </c>
      <c r="B733" s="12" t="s">
        <v>4702</v>
      </c>
      <c r="C733" s="13" t="s">
        <v>3754</v>
      </c>
      <c r="D733" s="13" t="s">
        <v>7175</v>
      </c>
      <c r="E733" s="29" t="s">
        <v>3832</v>
      </c>
      <c r="F733" s="13" t="s">
        <v>3833</v>
      </c>
      <c r="G733" s="8">
        <v>4</v>
      </c>
      <c r="H733" s="8">
        <v>11</v>
      </c>
      <c r="I733" s="8"/>
      <c r="J733" s="29" t="s">
        <v>1254</v>
      </c>
      <c r="K733" s="29" t="s">
        <v>5011</v>
      </c>
      <c r="L733" s="29"/>
      <c r="M733" s="68">
        <v>1</v>
      </c>
      <c r="N733" s="68" t="s">
        <v>2501</v>
      </c>
    </row>
    <row r="734" spans="1:14" ht="14.25" x14ac:dyDescent="0.2">
      <c r="A734" s="11" t="s">
        <v>3831</v>
      </c>
      <c r="B734" s="12" t="s">
        <v>3723</v>
      </c>
      <c r="C734" s="13" t="s">
        <v>3757</v>
      </c>
      <c r="D734" s="13" t="s">
        <v>3754</v>
      </c>
      <c r="E734" s="29" t="s">
        <v>6776</v>
      </c>
      <c r="F734" s="13" t="s">
        <v>6777</v>
      </c>
      <c r="G734" s="8">
        <v>60</v>
      </c>
      <c r="H734" s="8"/>
      <c r="I734" s="8"/>
      <c r="J734" s="29" t="s">
        <v>1277</v>
      </c>
      <c r="K734" s="29" t="s">
        <v>6776</v>
      </c>
      <c r="L734" s="29"/>
      <c r="M734" s="68">
        <v>1</v>
      </c>
      <c r="N734" s="68" t="s">
        <v>5254</v>
      </c>
    </row>
    <row r="735" spans="1:14" ht="14.25" x14ac:dyDescent="0.2">
      <c r="A735" s="11" t="s">
        <v>3061</v>
      </c>
      <c r="B735" s="12" t="s">
        <v>3740</v>
      </c>
      <c r="C735" s="13" t="s">
        <v>3062</v>
      </c>
      <c r="D735" s="13" t="s">
        <v>3063</v>
      </c>
      <c r="E735" s="29" t="s">
        <v>1410</v>
      </c>
      <c r="F735" s="13" t="s">
        <v>3064</v>
      </c>
      <c r="G735" s="8">
        <v>42</v>
      </c>
      <c r="H735" s="8"/>
      <c r="I735" s="8"/>
      <c r="J735" s="29" t="s">
        <v>3065</v>
      </c>
      <c r="K735" s="29" t="s">
        <v>3066</v>
      </c>
      <c r="L735" s="29"/>
      <c r="M735" s="68">
        <v>1</v>
      </c>
      <c r="N735" s="68" t="s">
        <v>3051</v>
      </c>
    </row>
    <row r="736" spans="1:14" ht="14.25" x14ac:dyDescent="0.2">
      <c r="A736" s="11" t="s">
        <v>2685</v>
      </c>
      <c r="B736" s="12" t="s">
        <v>6785</v>
      </c>
      <c r="C736" s="13" t="s">
        <v>3757</v>
      </c>
      <c r="D736" s="13" t="s">
        <v>3767</v>
      </c>
      <c r="E736" s="29"/>
      <c r="F736" s="13" t="s">
        <v>3767</v>
      </c>
      <c r="G736" s="8">
        <v>35</v>
      </c>
      <c r="H736" s="8"/>
      <c r="I736" s="8"/>
      <c r="J736" s="29"/>
      <c r="K736" s="29" t="s">
        <v>2687</v>
      </c>
      <c r="L736" s="29"/>
      <c r="M736" s="68">
        <v>1</v>
      </c>
      <c r="N736" s="68" t="s">
        <v>3051</v>
      </c>
    </row>
    <row r="737" spans="1:14" ht="14.25" x14ac:dyDescent="0.2">
      <c r="A737" s="11" t="s">
        <v>2685</v>
      </c>
      <c r="B737" s="12" t="s">
        <v>3732</v>
      </c>
      <c r="C737" s="13" t="s">
        <v>6671</v>
      </c>
      <c r="D737" s="13"/>
      <c r="E737" s="29" t="s">
        <v>1900</v>
      </c>
      <c r="F737" s="13" t="s">
        <v>6672</v>
      </c>
      <c r="G737" s="8">
        <v>29</v>
      </c>
      <c r="H737" s="8"/>
      <c r="I737" s="8"/>
      <c r="J737" s="29" t="s">
        <v>6669</v>
      </c>
      <c r="K737" s="29" t="s">
        <v>6673</v>
      </c>
      <c r="L737" s="29"/>
      <c r="M737" s="68">
        <v>1</v>
      </c>
      <c r="N737" s="68" t="s">
        <v>2869</v>
      </c>
    </row>
    <row r="738" spans="1:14" ht="14.25" x14ac:dyDescent="0.2">
      <c r="A738" s="11" t="s">
        <v>2685</v>
      </c>
      <c r="B738" s="12" t="s">
        <v>4701</v>
      </c>
      <c r="C738" s="13" t="s">
        <v>3757</v>
      </c>
      <c r="D738" s="13" t="s">
        <v>3767</v>
      </c>
      <c r="E738" s="29"/>
      <c r="F738" s="13" t="s">
        <v>3767</v>
      </c>
      <c r="G738" s="8">
        <v>25</v>
      </c>
      <c r="H738" s="8">
        <v>9</v>
      </c>
      <c r="I738" s="8"/>
      <c r="J738" s="29"/>
      <c r="K738" s="29" t="s">
        <v>2687</v>
      </c>
      <c r="L738" s="29"/>
      <c r="M738" s="68">
        <v>1</v>
      </c>
      <c r="N738" s="68" t="s">
        <v>3051</v>
      </c>
    </row>
    <row r="739" spans="1:14" ht="14.25" x14ac:dyDescent="0.2">
      <c r="A739" s="11" t="s">
        <v>2685</v>
      </c>
      <c r="B739" s="12" t="s">
        <v>8705</v>
      </c>
      <c r="C739" s="13" t="s">
        <v>3755</v>
      </c>
      <c r="D739" s="13" t="s">
        <v>3767</v>
      </c>
      <c r="E739" s="29">
        <v>1863</v>
      </c>
      <c r="F739" s="13" t="s">
        <v>3767</v>
      </c>
      <c r="G739" s="8">
        <v>19</v>
      </c>
      <c r="H739" s="8">
        <v>10</v>
      </c>
      <c r="I739" s="8"/>
      <c r="J739" s="29"/>
      <c r="K739" s="29" t="s">
        <v>2687</v>
      </c>
      <c r="L739" s="61"/>
      <c r="M739" s="68">
        <v>1</v>
      </c>
      <c r="N739" s="68" t="s">
        <v>3051</v>
      </c>
    </row>
    <row r="740" spans="1:14" ht="14.25" x14ac:dyDescent="0.2">
      <c r="A740" s="30" t="s">
        <v>2643</v>
      </c>
      <c r="B740" s="5" t="s">
        <v>4908</v>
      </c>
      <c r="C740" s="10" t="s">
        <v>3757</v>
      </c>
      <c r="D740" s="10" t="s">
        <v>3754</v>
      </c>
      <c r="E740" s="55" t="s">
        <v>7467</v>
      </c>
      <c r="F740" s="10"/>
      <c r="G740" s="8">
        <v>85</v>
      </c>
      <c r="H740" s="8"/>
      <c r="I740" s="8"/>
      <c r="J740" s="55" t="s">
        <v>2108</v>
      </c>
      <c r="K740" s="55" t="s">
        <v>7869</v>
      </c>
      <c r="L740" s="61"/>
      <c r="M740" s="68">
        <v>1</v>
      </c>
      <c r="N740" s="68" t="s">
        <v>3051</v>
      </c>
    </row>
    <row r="741" spans="1:14" ht="14.25" x14ac:dyDescent="0.2">
      <c r="A741" s="9" t="s">
        <v>2643</v>
      </c>
      <c r="B741" s="5" t="s">
        <v>3728</v>
      </c>
      <c r="C741" s="10" t="s">
        <v>3757</v>
      </c>
      <c r="D741" s="10" t="s">
        <v>3754</v>
      </c>
      <c r="E741" s="55" t="s">
        <v>3079</v>
      </c>
      <c r="F741" s="10" t="s">
        <v>3080</v>
      </c>
      <c r="G741" s="8">
        <v>33</v>
      </c>
      <c r="H741" s="8"/>
      <c r="I741" s="8"/>
      <c r="J741" s="55" t="s">
        <v>1264</v>
      </c>
      <c r="K741" s="55" t="s">
        <v>3081</v>
      </c>
      <c r="L741" s="61"/>
      <c r="M741" s="68">
        <v>1</v>
      </c>
      <c r="N741" s="68" t="s">
        <v>3051</v>
      </c>
    </row>
    <row r="742" spans="1:14" ht="14.25" x14ac:dyDescent="0.2">
      <c r="A742" s="11" t="s">
        <v>2643</v>
      </c>
      <c r="B742" s="12" t="s">
        <v>4581</v>
      </c>
      <c r="C742" s="13" t="s">
        <v>3754</v>
      </c>
      <c r="D742" s="13" t="s">
        <v>3754</v>
      </c>
      <c r="E742" s="29" t="s">
        <v>2645</v>
      </c>
      <c r="F742" s="13" t="s">
        <v>1541</v>
      </c>
      <c r="G742" s="8">
        <v>37</v>
      </c>
      <c r="H742" s="8"/>
      <c r="I742" s="8"/>
      <c r="J742" s="29" t="s">
        <v>1572</v>
      </c>
      <c r="K742" s="29" t="s">
        <v>1550</v>
      </c>
      <c r="L742" s="29"/>
      <c r="M742" s="68">
        <v>1</v>
      </c>
      <c r="N742" s="68" t="s">
        <v>2619</v>
      </c>
    </row>
    <row r="743" spans="1:14" ht="14.25" x14ac:dyDescent="0.2">
      <c r="A743" s="11" t="s">
        <v>2643</v>
      </c>
      <c r="B743" s="12" t="s">
        <v>5103</v>
      </c>
      <c r="C743" s="13" t="s">
        <v>2096</v>
      </c>
      <c r="D743" s="13" t="s">
        <v>4943</v>
      </c>
      <c r="E743" s="29" t="s">
        <v>3795</v>
      </c>
      <c r="F743" s="13" t="s">
        <v>3796</v>
      </c>
      <c r="G743" s="8"/>
      <c r="H743" s="8">
        <v>11</v>
      </c>
      <c r="I743" s="8">
        <v>7</v>
      </c>
      <c r="J743" s="29" t="s">
        <v>2097</v>
      </c>
      <c r="K743" s="29" t="s">
        <v>3797</v>
      </c>
      <c r="L743" s="29"/>
      <c r="M743" s="68">
        <v>1</v>
      </c>
      <c r="N743" s="68" t="s">
        <v>2501</v>
      </c>
    </row>
    <row r="744" spans="1:14" ht="14.25" x14ac:dyDescent="0.2">
      <c r="A744" s="14" t="s">
        <v>2643</v>
      </c>
      <c r="B744" s="15" t="s">
        <v>4701</v>
      </c>
      <c r="C744" s="16" t="s">
        <v>3757</v>
      </c>
      <c r="D744" s="28"/>
      <c r="E744" s="27" t="s">
        <v>6956</v>
      </c>
      <c r="F744" s="16" t="s">
        <v>6957</v>
      </c>
      <c r="G744" s="8">
        <v>50</v>
      </c>
      <c r="H744" s="8"/>
      <c r="I744" s="8"/>
      <c r="J744" s="27" t="s">
        <v>6958</v>
      </c>
      <c r="K744" s="29" t="s">
        <v>6959</v>
      </c>
      <c r="L744" s="29"/>
      <c r="M744" s="68">
        <v>1</v>
      </c>
      <c r="N744" s="68" t="s">
        <v>6726</v>
      </c>
    </row>
    <row r="745" spans="1:14" ht="14.25" x14ac:dyDescent="0.2">
      <c r="A745" s="11" t="s">
        <v>2643</v>
      </c>
      <c r="B745" s="12" t="s">
        <v>8302</v>
      </c>
      <c r="C745" s="16" t="s">
        <v>3761</v>
      </c>
      <c r="D745" s="13" t="s">
        <v>3754</v>
      </c>
      <c r="E745" s="29" t="s">
        <v>2881</v>
      </c>
      <c r="F745" s="13" t="s">
        <v>2882</v>
      </c>
      <c r="G745" s="8">
        <v>1</v>
      </c>
      <c r="H745" s="8">
        <v>3</v>
      </c>
      <c r="I745" s="8"/>
      <c r="J745" s="29" t="s">
        <v>5076</v>
      </c>
      <c r="K745" s="29" t="s">
        <v>2883</v>
      </c>
      <c r="L745" s="29"/>
      <c r="M745" s="68">
        <v>1</v>
      </c>
      <c r="N745" s="68" t="s">
        <v>2869</v>
      </c>
    </row>
    <row r="746" spans="1:14" ht="28.5" x14ac:dyDescent="0.2">
      <c r="A746" s="11" t="s">
        <v>2654</v>
      </c>
      <c r="B746" s="12" t="s">
        <v>4685</v>
      </c>
      <c r="C746" s="13" t="s">
        <v>3757</v>
      </c>
      <c r="D746" s="13"/>
      <c r="E746" s="29"/>
      <c r="F746" s="13" t="s">
        <v>1604</v>
      </c>
      <c r="G746" s="8">
        <v>38</v>
      </c>
      <c r="H746" s="8"/>
      <c r="I746" s="8"/>
      <c r="J746" s="29" t="s">
        <v>2984</v>
      </c>
      <c r="K746" s="29" t="s">
        <v>2985</v>
      </c>
      <c r="L746" s="29"/>
      <c r="M746" s="68">
        <v>1</v>
      </c>
      <c r="N746" s="68" t="s">
        <v>2619</v>
      </c>
    </row>
    <row r="747" spans="1:14" ht="14.25" x14ac:dyDescent="0.2">
      <c r="A747" s="11" t="s">
        <v>2654</v>
      </c>
      <c r="B747" s="12" t="s">
        <v>4687</v>
      </c>
      <c r="C747" s="13" t="s">
        <v>4888</v>
      </c>
      <c r="D747" s="13" t="s">
        <v>3754</v>
      </c>
      <c r="E747" s="29" t="s">
        <v>6553</v>
      </c>
      <c r="F747" s="13" t="s">
        <v>6554</v>
      </c>
      <c r="G747" s="8">
        <v>2</v>
      </c>
      <c r="H747" s="8">
        <v>3</v>
      </c>
      <c r="I747" s="8"/>
      <c r="J747" s="29"/>
      <c r="K747" s="29" t="s">
        <v>6555</v>
      </c>
      <c r="L747" s="29"/>
      <c r="M747" s="68">
        <v>1</v>
      </c>
      <c r="N747" s="68" t="s">
        <v>5254</v>
      </c>
    </row>
    <row r="748" spans="1:14" ht="14.25" x14ac:dyDescent="0.2">
      <c r="A748" s="14" t="s">
        <v>2654</v>
      </c>
      <c r="B748" s="15" t="s">
        <v>3732</v>
      </c>
      <c r="C748" s="16" t="s">
        <v>3761</v>
      </c>
      <c r="D748" s="16" t="s">
        <v>3754</v>
      </c>
      <c r="E748" s="27" t="s">
        <v>3149</v>
      </c>
      <c r="F748" s="16" t="s">
        <v>3150</v>
      </c>
      <c r="G748" s="8">
        <v>17</v>
      </c>
      <c r="H748" s="8"/>
      <c r="I748" s="8"/>
      <c r="J748" s="27" t="s">
        <v>1264</v>
      </c>
      <c r="K748" s="29" t="s">
        <v>3151</v>
      </c>
      <c r="L748" s="29"/>
      <c r="M748" s="68">
        <v>1</v>
      </c>
      <c r="N748" s="68" t="s">
        <v>6726</v>
      </c>
    </row>
    <row r="749" spans="1:14" ht="14.25" x14ac:dyDescent="0.2">
      <c r="A749" s="11" t="s">
        <v>2654</v>
      </c>
      <c r="B749" s="12" t="s">
        <v>3732</v>
      </c>
      <c r="C749" s="13" t="s">
        <v>3757</v>
      </c>
      <c r="D749" s="31"/>
      <c r="E749" s="29" t="s">
        <v>2993</v>
      </c>
      <c r="F749" s="13" t="s">
        <v>2994</v>
      </c>
      <c r="G749" s="8">
        <v>70</v>
      </c>
      <c r="H749" s="8"/>
      <c r="I749" s="8"/>
      <c r="J749" s="29" t="s">
        <v>1271</v>
      </c>
      <c r="K749" s="29" t="s">
        <v>2995</v>
      </c>
      <c r="L749" s="29"/>
      <c r="M749" s="68">
        <v>1</v>
      </c>
      <c r="N749" s="68" t="s">
        <v>2619</v>
      </c>
    </row>
    <row r="750" spans="1:14" ht="14.25" x14ac:dyDescent="0.2">
      <c r="A750" s="11" t="s">
        <v>2983</v>
      </c>
      <c r="B750" s="12" t="s">
        <v>3740</v>
      </c>
      <c r="C750" s="13" t="s">
        <v>3754</v>
      </c>
      <c r="D750" s="13" t="s">
        <v>3754</v>
      </c>
      <c r="E750" s="29" t="s">
        <v>6858</v>
      </c>
      <c r="F750" s="13" t="s">
        <v>4214</v>
      </c>
      <c r="G750" s="8">
        <v>30</v>
      </c>
      <c r="H750" s="8"/>
      <c r="I750" s="8"/>
      <c r="J750" s="29" t="s">
        <v>2843</v>
      </c>
      <c r="K750" s="29" t="s">
        <v>2844</v>
      </c>
      <c r="L750" s="29"/>
      <c r="M750" s="68">
        <v>1</v>
      </c>
      <c r="N750" s="68" t="s">
        <v>2501</v>
      </c>
    </row>
    <row r="751" spans="1:14" ht="14.25" x14ac:dyDescent="0.2">
      <c r="A751" s="11" t="s">
        <v>2983</v>
      </c>
      <c r="B751" s="12" t="s">
        <v>4701</v>
      </c>
      <c r="C751" s="16" t="s">
        <v>3761</v>
      </c>
      <c r="D751" s="13" t="s">
        <v>3754</v>
      </c>
      <c r="E751" s="29" t="s">
        <v>5243</v>
      </c>
      <c r="F751" s="13" t="s">
        <v>5244</v>
      </c>
      <c r="G751" s="8">
        <v>23</v>
      </c>
      <c r="H751" s="8">
        <v>6</v>
      </c>
      <c r="I751" s="8"/>
      <c r="J751" s="29" t="s">
        <v>1270</v>
      </c>
      <c r="K751" s="29" t="s">
        <v>5245</v>
      </c>
      <c r="L751" s="29"/>
      <c r="M751" s="68">
        <v>1</v>
      </c>
      <c r="N751" s="68" t="s">
        <v>2869</v>
      </c>
    </row>
    <row r="752" spans="1:14" ht="28.5" x14ac:dyDescent="0.2">
      <c r="A752" s="11" t="s">
        <v>2652</v>
      </c>
      <c r="B752" s="12" t="s">
        <v>3732</v>
      </c>
      <c r="C752" s="13" t="s">
        <v>3757</v>
      </c>
      <c r="D752" s="13" t="s">
        <v>1604</v>
      </c>
      <c r="E752" s="29" t="s">
        <v>2651</v>
      </c>
      <c r="F752" s="13" t="s">
        <v>1604</v>
      </c>
      <c r="G752" s="8">
        <v>50</v>
      </c>
      <c r="H752" s="8"/>
      <c r="I752" s="8"/>
      <c r="J752" s="29" t="s">
        <v>2333</v>
      </c>
      <c r="K752" s="29" t="s">
        <v>2653</v>
      </c>
      <c r="L752" s="29"/>
      <c r="M752" s="68">
        <v>1</v>
      </c>
      <c r="N752" s="68" t="s">
        <v>2619</v>
      </c>
    </row>
    <row r="753" spans="1:14" ht="14.25" x14ac:dyDescent="0.2">
      <c r="A753" s="11" t="s">
        <v>2652</v>
      </c>
      <c r="B753" s="12" t="s">
        <v>5104</v>
      </c>
      <c r="C753" s="13" t="s">
        <v>3761</v>
      </c>
      <c r="D753" s="13" t="s">
        <v>3754</v>
      </c>
      <c r="E753" s="29" t="s">
        <v>2509</v>
      </c>
      <c r="F753" s="13" t="s">
        <v>2510</v>
      </c>
      <c r="G753" s="8"/>
      <c r="H753" s="8">
        <v>10</v>
      </c>
      <c r="I753" s="8"/>
      <c r="J753" s="29" t="s">
        <v>1258</v>
      </c>
      <c r="K753" s="29" t="s">
        <v>2511</v>
      </c>
      <c r="L753" s="29"/>
      <c r="M753" s="68">
        <v>1</v>
      </c>
      <c r="N753" s="68" t="s">
        <v>2501</v>
      </c>
    </row>
    <row r="754" spans="1:14" ht="14.25" x14ac:dyDescent="0.2">
      <c r="A754" s="14" t="s">
        <v>2652</v>
      </c>
      <c r="B754" s="15" t="s">
        <v>5105</v>
      </c>
      <c r="C754" s="16" t="s">
        <v>3757</v>
      </c>
      <c r="D754" s="16" t="s">
        <v>3754</v>
      </c>
      <c r="E754" s="27"/>
      <c r="F754" s="16" t="s">
        <v>3162</v>
      </c>
      <c r="G754" s="8">
        <v>74</v>
      </c>
      <c r="H754" s="8"/>
      <c r="I754" s="8"/>
      <c r="J754" s="27" t="s">
        <v>1271</v>
      </c>
      <c r="K754" s="29" t="s">
        <v>3163</v>
      </c>
      <c r="L754" s="29"/>
      <c r="M754" s="68">
        <v>1</v>
      </c>
      <c r="N754" s="68" t="s">
        <v>6726</v>
      </c>
    </row>
    <row r="755" spans="1:14" ht="14.25" x14ac:dyDescent="0.2">
      <c r="A755" s="11" t="s">
        <v>2652</v>
      </c>
      <c r="B755" s="12" t="s">
        <v>1445</v>
      </c>
      <c r="C755" s="13" t="s">
        <v>3767</v>
      </c>
      <c r="D755" s="13" t="s">
        <v>3767</v>
      </c>
      <c r="E755" s="29" t="s">
        <v>6547</v>
      </c>
      <c r="F755" s="13" t="s">
        <v>6548</v>
      </c>
      <c r="G755" s="8">
        <v>24</v>
      </c>
      <c r="H755" s="8"/>
      <c r="I755" s="8"/>
      <c r="J755" s="29" t="s">
        <v>4732</v>
      </c>
      <c r="K755" s="29" t="s">
        <v>6549</v>
      </c>
      <c r="L755" s="29"/>
      <c r="M755" s="68">
        <v>1</v>
      </c>
      <c r="N755" s="68" t="s">
        <v>5254</v>
      </c>
    </row>
    <row r="756" spans="1:14" ht="14.25" x14ac:dyDescent="0.2">
      <c r="A756" s="11" t="s">
        <v>6544</v>
      </c>
      <c r="B756" s="12" t="s">
        <v>7763</v>
      </c>
      <c r="C756" s="16" t="s">
        <v>3761</v>
      </c>
      <c r="D756" s="13" t="s">
        <v>3754</v>
      </c>
      <c r="E756" s="29" t="s">
        <v>6981</v>
      </c>
      <c r="F756" s="13" t="s">
        <v>6545</v>
      </c>
      <c r="G756" s="8"/>
      <c r="H756" s="8"/>
      <c r="I756" s="8">
        <v>1</v>
      </c>
      <c r="J756" s="29" t="s">
        <v>2335</v>
      </c>
      <c r="K756" s="29" t="s">
        <v>6546</v>
      </c>
      <c r="L756" s="29"/>
      <c r="M756" s="68">
        <v>1</v>
      </c>
      <c r="N756" s="68" t="s">
        <v>5254</v>
      </c>
    </row>
    <row r="757" spans="1:14" ht="14.25" x14ac:dyDescent="0.2">
      <c r="A757" s="11" t="s">
        <v>2680</v>
      </c>
      <c r="B757" s="12" t="s">
        <v>3740</v>
      </c>
      <c r="C757" s="16" t="s">
        <v>3761</v>
      </c>
      <c r="D757" s="13" t="s">
        <v>3754</v>
      </c>
      <c r="E757" s="29" t="s">
        <v>6542</v>
      </c>
      <c r="F757" s="13" t="s">
        <v>2682</v>
      </c>
      <c r="G757" s="8">
        <v>4</v>
      </c>
      <c r="H757" s="8">
        <v>3</v>
      </c>
      <c r="I757" s="8"/>
      <c r="J757" s="29" t="s">
        <v>1788</v>
      </c>
      <c r="K757" s="29" t="s">
        <v>6543</v>
      </c>
      <c r="L757" s="29"/>
      <c r="M757" s="68">
        <v>1</v>
      </c>
      <c r="N757" s="68" t="s">
        <v>5254</v>
      </c>
    </row>
    <row r="758" spans="1:14" ht="14.25" x14ac:dyDescent="0.2">
      <c r="A758" s="11" t="s">
        <v>2680</v>
      </c>
      <c r="B758" s="12" t="s">
        <v>3723</v>
      </c>
      <c r="C758" s="13" t="s">
        <v>3754</v>
      </c>
      <c r="D758" s="13" t="s">
        <v>3754</v>
      </c>
      <c r="E758" s="29" t="s">
        <v>2681</v>
      </c>
      <c r="F758" s="13" t="s">
        <v>2682</v>
      </c>
      <c r="G758" s="8"/>
      <c r="H758" s="8">
        <v>10</v>
      </c>
      <c r="I758" s="8">
        <v>23</v>
      </c>
      <c r="J758" s="29" t="s">
        <v>4790</v>
      </c>
      <c r="K758" s="29" t="s">
        <v>2681</v>
      </c>
      <c r="L758" s="29"/>
      <c r="M758" s="68">
        <v>1</v>
      </c>
      <c r="N758" s="68" t="s">
        <v>3051</v>
      </c>
    </row>
    <row r="759" spans="1:14" ht="14.25" x14ac:dyDescent="0.2">
      <c r="A759" s="11" t="s">
        <v>2680</v>
      </c>
      <c r="B759" s="12" t="s">
        <v>5057</v>
      </c>
      <c r="C759" s="13" t="s">
        <v>3757</v>
      </c>
      <c r="D759" s="13" t="s">
        <v>3754</v>
      </c>
      <c r="E759" s="29" t="s">
        <v>1594</v>
      </c>
      <c r="F759" s="13" t="s">
        <v>7734</v>
      </c>
      <c r="G759" s="8"/>
      <c r="H759" s="8"/>
      <c r="I759" s="8"/>
      <c r="J759" s="29" t="s">
        <v>4734</v>
      </c>
      <c r="K759" s="29" t="s">
        <v>7869</v>
      </c>
      <c r="L759" s="29"/>
      <c r="M759" s="68">
        <v>1</v>
      </c>
      <c r="N759" s="68" t="s">
        <v>3051</v>
      </c>
    </row>
    <row r="760" spans="1:14" ht="14.25" x14ac:dyDescent="0.2">
      <c r="A760" s="11" t="s">
        <v>3807</v>
      </c>
      <c r="B760" s="12" t="s">
        <v>3740</v>
      </c>
      <c r="C760" s="13" t="s">
        <v>3757</v>
      </c>
      <c r="D760" s="13" t="s">
        <v>3754</v>
      </c>
      <c r="E760" s="29" t="s">
        <v>6791</v>
      </c>
      <c r="F760" s="13" t="s">
        <v>3808</v>
      </c>
      <c r="G760" s="8">
        <v>63</v>
      </c>
      <c r="H760" s="8"/>
      <c r="I760" s="8"/>
      <c r="J760" s="29" t="s">
        <v>4732</v>
      </c>
      <c r="K760" s="29" t="s">
        <v>6793</v>
      </c>
      <c r="L760" s="29"/>
      <c r="M760" s="68">
        <v>1</v>
      </c>
      <c r="N760" s="68" t="s">
        <v>2501</v>
      </c>
    </row>
    <row r="761" spans="1:14" ht="14.25" x14ac:dyDescent="0.2">
      <c r="A761" s="11" t="s">
        <v>6550</v>
      </c>
      <c r="B761" s="12" t="s">
        <v>3740</v>
      </c>
      <c r="C761" s="13" t="s">
        <v>3757</v>
      </c>
      <c r="D761" s="13" t="s">
        <v>6551</v>
      </c>
      <c r="E761" s="29" t="s">
        <v>6552</v>
      </c>
      <c r="F761" s="13" t="s">
        <v>3768</v>
      </c>
      <c r="G761" s="8">
        <v>56</v>
      </c>
      <c r="H761" s="8"/>
      <c r="I761" s="8"/>
      <c r="J761" s="29" t="s">
        <v>1272</v>
      </c>
      <c r="K761" s="29" t="s">
        <v>6984</v>
      </c>
      <c r="L761" s="29"/>
      <c r="M761" s="68">
        <v>1</v>
      </c>
      <c r="N761" s="68" t="s">
        <v>5254</v>
      </c>
    </row>
    <row r="762" spans="1:14" ht="14.25" x14ac:dyDescent="0.2">
      <c r="A762" s="14" t="s">
        <v>2646</v>
      </c>
      <c r="B762" s="15" t="s">
        <v>1432</v>
      </c>
      <c r="C762" s="16" t="s">
        <v>3754</v>
      </c>
      <c r="D762" s="16" t="s">
        <v>3754</v>
      </c>
      <c r="E762" s="27" t="s">
        <v>6929</v>
      </c>
      <c r="F762" s="16" t="s">
        <v>6930</v>
      </c>
      <c r="G762" s="8"/>
      <c r="H762" s="8">
        <v>10</v>
      </c>
      <c r="I762" s="8"/>
      <c r="J762" s="27" t="s">
        <v>6931</v>
      </c>
      <c r="K762" s="29" t="s">
        <v>5949</v>
      </c>
      <c r="L762" s="29"/>
      <c r="M762" s="68">
        <v>1</v>
      </c>
      <c r="N762" s="68" t="s">
        <v>6726</v>
      </c>
    </row>
    <row r="763" spans="1:14" ht="14.25" x14ac:dyDescent="0.2">
      <c r="A763" s="11" t="s">
        <v>2646</v>
      </c>
      <c r="B763" s="12" t="s">
        <v>4685</v>
      </c>
      <c r="C763" s="13" t="s">
        <v>3754</v>
      </c>
      <c r="D763" s="16" t="s">
        <v>3754</v>
      </c>
      <c r="E763" s="29"/>
      <c r="F763" s="13" t="s">
        <v>3034</v>
      </c>
      <c r="G763" s="8"/>
      <c r="H763" s="8">
        <v>8</v>
      </c>
      <c r="I763" s="8"/>
      <c r="J763" s="29" t="s">
        <v>7319</v>
      </c>
      <c r="K763" s="29" t="s">
        <v>3446</v>
      </c>
      <c r="L763" s="29"/>
      <c r="M763" s="68">
        <v>1</v>
      </c>
      <c r="N763" s="68" t="s">
        <v>2619</v>
      </c>
    </row>
    <row r="764" spans="1:14" ht="14.25" x14ac:dyDescent="0.2">
      <c r="A764" s="11" t="s">
        <v>2646</v>
      </c>
      <c r="B764" s="12" t="s">
        <v>3740</v>
      </c>
      <c r="C764" s="13" t="s">
        <v>3757</v>
      </c>
      <c r="D764" s="13" t="s">
        <v>3754</v>
      </c>
      <c r="E764" s="29" t="s">
        <v>6571</v>
      </c>
      <c r="F764" s="13" t="s">
        <v>6572</v>
      </c>
      <c r="G764" s="8">
        <v>48</v>
      </c>
      <c r="H764" s="8"/>
      <c r="I764" s="8"/>
      <c r="J764" s="29" t="s">
        <v>6573</v>
      </c>
      <c r="K764" s="29" t="s">
        <v>6570</v>
      </c>
      <c r="L764" s="29"/>
      <c r="M764" s="68">
        <v>1</v>
      </c>
      <c r="N764" s="68" t="s">
        <v>5254</v>
      </c>
    </row>
    <row r="765" spans="1:14" ht="14.25" x14ac:dyDescent="0.2">
      <c r="A765" s="11" t="s">
        <v>2646</v>
      </c>
      <c r="B765" s="12" t="s">
        <v>4701</v>
      </c>
      <c r="C765" s="13" t="s">
        <v>3757</v>
      </c>
      <c r="D765" s="13" t="s">
        <v>3754</v>
      </c>
      <c r="E765" s="29"/>
      <c r="F765" s="13" t="s">
        <v>3018</v>
      </c>
      <c r="G765" s="8">
        <v>28</v>
      </c>
      <c r="H765" s="8"/>
      <c r="I765" s="8"/>
      <c r="J765" s="29" t="s">
        <v>8624</v>
      </c>
      <c r="K765" s="29" t="s">
        <v>3019</v>
      </c>
      <c r="L765" s="29"/>
      <c r="M765" s="68">
        <v>1</v>
      </c>
      <c r="N765" s="68" t="s">
        <v>2619</v>
      </c>
    </row>
    <row r="766" spans="1:14" ht="42.75" x14ac:dyDescent="0.2">
      <c r="A766" s="11" t="s">
        <v>2646</v>
      </c>
      <c r="B766" s="12" t="s">
        <v>3733</v>
      </c>
      <c r="C766" s="13" t="s">
        <v>3754</v>
      </c>
      <c r="D766" s="13" t="s">
        <v>3754</v>
      </c>
      <c r="E766" s="29" t="s">
        <v>2647</v>
      </c>
      <c r="F766" s="13" t="s">
        <v>1541</v>
      </c>
      <c r="G766" s="8"/>
      <c r="H766" s="8"/>
      <c r="I766" s="8">
        <v>21</v>
      </c>
      <c r="J766" s="29" t="s">
        <v>2636</v>
      </c>
      <c r="K766" s="29" t="s">
        <v>2648</v>
      </c>
      <c r="L766" s="29"/>
      <c r="M766" s="68">
        <v>1</v>
      </c>
      <c r="N766" s="68" t="s">
        <v>2619</v>
      </c>
    </row>
    <row r="767" spans="1:14" ht="14.25" x14ac:dyDescent="0.2">
      <c r="A767" s="14" t="s">
        <v>3179</v>
      </c>
      <c r="B767" s="15" t="s">
        <v>3723</v>
      </c>
      <c r="C767" s="16" t="s">
        <v>3757</v>
      </c>
      <c r="D767" s="28"/>
      <c r="E767" s="27" t="s">
        <v>3180</v>
      </c>
      <c r="F767" s="16" t="s">
        <v>3168</v>
      </c>
      <c r="G767" s="8">
        <v>75</v>
      </c>
      <c r="H767" s="8"/>
      <c r="I767" s="8"/>
      <c r="J767" s="27" t="s">
        <v>1271</v>
      </c>
      <c r="K767" s="29"/>
      <c r="L767" s="29"/>
      <c r="M767" s="68">
        <v>1</v>
      </c>
      <c r="N767" s="68" t="s">
        <v>6726</v>
      </c>
    </row>
    <row r="768" spans="1:14" ht="14.25" x14ac:dyDescent="0.2">
      <c r="A768" s="14" t="s">
        <v>3166</v>
      </c>
      <c r="B768" s="15" t="s">
        <v>1445</v>
      </c>
      <c r="C768" s="16" t="s">
        <v>3757</v>
      </c>
      <c r="D768" s="16" t="s">
        <v>3754</v>
      </c>
      <c r="E768" s="27" t="s">
        <v>3167</v>
      </c>
      <c r="F768" s="16" t="s">
        <v>3168</v>
      </c>
      <c r="G768" s="8">
        <v>75</v>
      </c>
      <c r="H768" s="8"/>
      <c r="I768" s="8"/>
      <c r="J768" s="27" t="s">
        <v>1266</v>
      </c>
      <c r="K768" s="29" t="s">
        <v>3169</v>
      </c>
      <c r="L768" s="29"/>
      <c r="M768" s="68">
        <v>1</v>
      </c>
      <c r="N768" s="68" t="s">
        <v>6726</v>
      </c>
    </row>
    <row r="769" spans="1:14" ht="14.25" x14ac:dyDescent="0.2">
      <c r="A769" s="11" t="s">
        <v>2640</v>
      </c>
      <c r="B769" s="12" t="s">
        <v>3740</v>
      </c>
      <c r="C769" s="13" t="s">
        <v>3767</v>
      </c>
      <c r="D769" s="13" t="s">
        <v>3767</v>
      </c>
      <c r="E769" s="29" t="s">
        <v>2641</v>
      </c>
      <c r="F769" s="13" t="s">
        <v>1652</v>
      </c>
      <c r="G769" s="8"/>
      <c r="H769" s="8">
        <v>3</v>
      </c>
      <c r="I769" s="8"/>
      <c r="J769" s="29" t="s">
        <v>1277</v>
      </c>
      <c r="K769" s="29" t="s">
        <v>2642</v>
      </c>
      <c r="L769" s="29"/>
      <c r="M769" s="68">
        <v>1</v>
      </c>
      <c r="N769" s="68" t="s">
        <v>2619</v>
      </c>
    </row>
    <row r="770" spans="1:14" ht="14.25" x14ac:dyDescent="0.2">
      <c r="A770" s="11" t="s">
        <v>3811</v>
      </c>
      <c r="B770" s="12" t="s">
        <v>4701</v>
      </c>
      <c r="C770" s="13" t="s">
        <v>3754</v>
      </c>
      <c r="D770" s="13" t="s">
        <v>3754</v>
      </c>
      <c r="E770" s="29" t="s">
        <v>3812</v>
      </c>
      <c r="F770" s="13" t="s">
        <v>3813</v>
      </c>
      <c r="G770" s="8">
        <v>3</v>
      </c>
      <c r="H770" s="8">
        <v>11</v>
      </c>
      <c r="I770" s="8"/>
      <c r="J770" s="29" t="s">
        <v>5273</v>
      </c>
      <c r="K770" s="29" t="s">
        <v>3814</v>
      </c>
      <c r="L770" s="29"/>
      <c r="M770" s="68">
        <v>1</v>
      </c>
      <c r="N770" s="68" t="s">
        <v>2501</v>
      </c>
    </row>
    <row r="771" spans="1:14" ht="28.5" x14ac:dyDescent="0.2">
      <c r="A771" s="11" t="s">
        <v>6741</v>
      </c>
      <c r="B771" s="12" t="s">
        <v>501</v>
      </c>
      <c r="C771" s="16" t="s">
        <v>3761</v>
      </c>
      <c r="D771" s="13" t="s">
        <v>3754</v>
      </c>
      <c r="E771" s="29" t="s">
        <v>6742</v>
      </c>
      <c r="F771" s="13" t="s">
        <v>6743</v>
      </c>
      <c r="G771" s="8">
        <v>22</v>
      </c>
      <c r="H771" s="8"/>
      <c r="I771" s="8"/>
      <c r="J771" s="29" t="s">
        <v>2333</v>
      </c>
      <c r="K771" s="29" t="s">
        <v>6744</v>
      </c>
      <c r="L771" s="29"/>
      <c r="M771" s="68">
        <v>1</v>
      </c>
      <c r="N771" s="68" t="s">
        <v>5254</v>
      </c>
    </row>
    <row r="772" spans="1:14" ht="14.25" x14ac:dyDescent="0.2">
      <c r="A772" s="11" t="s">
        <v>6527</v>
      </c>
      <c r="B772" s="12" t="s">
        <v>7764</v>
      </c>
      <c r="C772" s="13" t="s">
        <v>3759</v>
      </c>
      <c r="D772" s="13" t="s">
        <v>3754</v>
      </c>
      <c r="E772" s="29" t="s">
        <v>1476</v>
      </c>
      <c r="F772" s="13" t="s">
        <v>6528</v>
      </c>
      <c r="G772" s="8">
        <v>35</v>
      </c>
      <c r="H772" s="8"/>
      <c r="I772" s="8"/>
      <c r="J772" s="29" t="s">
        <v>1272</v>
      </c>
      <c r="K772" s="29" t="s">
        <v>6529</v>
      </c>
      <c r="L772" s="29"/>
      <c r="M772" s="68">
        <v>1</v>
      </c>
      <c r="N772" s="68" t="s">
        <v>5254</v>
      </c>
    </row>
    <row r="773" spans="1:14" ht="14.25" x14ac:dyDescent="0.2">
      <c r="A773" s="11" t="s">
        <v>2918</v>
      </c>
      <c r="B773" s="12" t="s">
        <v>1432</v>
      </c>
      <c r="C773" s="13" t="s">
        <v>3757</v>
      </c>
      <c r="D773" s="13" t="s">
        <v>3754</v>
      </c>
      <c r="E773" s="29" t="s">
        <v>2920</v>
      </c>
      <c r="F773" s="13" t="s">
        <v>2344</v>
      </c>
      <c r="G773" s="8">
        <v>60</v>
      </c>
      <c r="H773" s="8"/>
      <c r="I773" s="8"/>
      <c r="J773" s="29"/>
      <c r="K773" s="29" t="s">
        <v>2098</v>
      </c>
      <c r="L773" s="29"/>
      <c r="M773" s="68">
        <v>1</v>
      </c>
      <c r="N773" s="68" t="s">
        <v>2501</v>
      </c>
    </row>
    <row r="774" spans="1:14" ht="14.25" x14ac:dyDescent="0.2">
      <c r="A774" s="11" t="s">
        <v>2918</v>
      </c>
      <c r="B774" s="12" t="s">
        <v>4908</v>
      </c>
      <c r="C774" s="13" t="s">
        <v>3757</v>
      </c>
      <c r="D774" s="13" t="s">
        <v>3754</v>
      </c>
      <c r="E774" s="29"/>
      <c r="F774" s="13" t="s">
        <v>2397</v>
      </c>
      <c r="G774" s="8">
        <v>45</v>
      </c>
      <c r="H774" s="8"/>
      <c r="I774" s="8"/>
      <c r="J774" s="29" t="s">
        <v>1264</v>
      </c>
      <c r="K774" s="29" t="s">
        <v>2098</v>
      </c>
      <c r="L774" s="29"/>
      <c r="M774" s="68">
        <v>1</v>
      </c>
      <c r="N774" s="68" t="s">
        <v>2501</v>
      </c>
    </row>
    <row r="775" spans="1:14" ht="14.25" x14ac:dyDescent="0.2">
      <c r="A775" s="11" t="s">
        <v>2918</v>
      </c>
      <c r="B775" s="12" t="s">
        <v>4685</v>
      </c>
      <c r="C775" s="13" t="s">
        <v>3757</v>
      </c>
      <c r="D775" s="13" t="s">
        <v>3754</v>
      </c>
      <c r="E775" s="29" t="s">
        <v>2892</v>
      </c>
      <c r="F775" s="13" t="s">
        <v>2893</v>
      </c>
      <c r="G775" s="8">
        <v>80</v>
      </c>
      <c r="H775" s="8"/>
      <c r="I775" s="8"/>
      <c r="J775" s="29" t="s">
        <v>2894</v>
      </c>
      <c r="K775" s="29" t="s">
        <v>2895</v>
      </c>
      <c r="L775" s="29"/>
      <c r="M775" s="68">
        <v>1</v>
      </c>
      <c r="N775" s="68" t="s">
        <v>2869</v>
      </c>
    </row>
    <row r="776" spans="1:14" ht="14.25" x14ac:dyDescent="0.2">
      <c r="A776" s="11" t="s">
        <v>2918</v>
      </c>
      <c r="B776" s="12" t="s">
        <v>4685</v>
      </c>
      <c r="C776" s="13" t="s">
        <v>3757</v>
      </c>
      <c r="D776" s="13" t="s">
        <v>3754</v>
      </c>
      <c r="E776" s="29"/>
      <c r="F776" s="13" t="s">
        <v>2919</v>
      </c>
      <c r="G776" s="8">
        <v>90</v>
      </c>
      <c r="H776" s="8"/>
      <c r="I776" s="8"/>
      <c r="J776" s="29" t="s">
        <v>1271</v>
      </c>
      <c r="K776" s="29" t="s">
        <v>2098</v>
      </c>
      <c r="L776" s="29"/>
      <c r="M776" s="68">
        <v>1</v>
      </c>
      <c r="N776" s="68" t="s">
        <v>2501</v>
      </c>
    </row>
    <row r="777" spans="1:14" ht="14.25" x14ac:dyDescent="0.2">
      <c r="A777" s="11" t="s">
        <v>2918</v>
      </c>
      <c r="B777" s="12" t="s">
        <v>3746</v>
      </c>
      <c r="C777" s="13" t="s">
        <v>3757</v>
      </c>
      <c r="D777" s="13" t="s">
        <v>3754</v>
      </c>
      <c r="E777" s="29" t="s">
        <v>2920</v>
      </c>
      <c r="F777" s="13" t="s">
        <v>2344</v>
      </c>
      <c r="G777" s="8"/>
      <c r="H777" s="8"/>
      <c r="I777" s="8"/>
      <c r="J777" s="29"/>
      <c r="K777" s="29" t="s">
        <v>2098</v>
      </c>
      <c r="L777" s="29"/>
      <c r="M777" s="68">
        <v>1</v>
      </c>
      <c r="N777" s="68" t="s">
        <v>2501</v>
      </c>
    </row>
    <row r="778" spans="1:14" ht="14.25" x14ac:dyDescent="0.2">
      <c r="A778" s="11" t="s">
        <v>6652</v>
      </c>
      <c r="B778" s="12" t="s">
        <v>348</v>
      </c>
      <c r="C778" s="16" t="s">
        <v>3761</v>
      </c>
      <c r="D778" s="13" t="s">
        <v>3754</v>
      </c>
      <c r="E778" s="29" t="s">
        <v>6653</v>
      </c>
      <c r="F778" s="13" t="s">
        <v>6654</v>
      </c>
      <c r="G778" s="8"/>
      <c r="H778" s="8">
        <v>8</v>
      </c>
      <c r="I778" s="8"/>
      <c r="J778" s="29" t="s">
        <v>6655</v>
      </c>
      <c r="K778" s="29" t="s">
        <v>3413</v>
      </c>
      <c r="L778" s="29"/>
      <c r="M778" s="68">
        <v>1</v>
      </c>
      <c r="N778" s="68" t="s">
        <v>2869</v>
      </c>
    </row>
    <row r="779" spans="1:14" ht="14.25" x14ac:dyDescent="0.2">
      <c r="A779" s="11" t="s">
        <v>6652</v>
      </c>
      <c r="B779" s="12" t="s">
        <v>1445</v>
      </c>
      <c r="C779" s="16" t="s">
        <v>3761</v>
      </c>
      <c r="D779" s="13" t="s">
        <v>3754</v>
      </c>
      <c r="E779" s="29" t="s">
        <v>66</v>
      </c>
      <c r="F779" s="13" t="s">
        <v>5246</v>
      </c>
      <c r="G779" s="8"/>
      <c r="H779" s="8"/>
      <c r="I779" s="8">
        <v>1</v>
      </c>
      <c r="J779" s="29" t="s">
        <v>1277</v>
      </c>
      <c r="K779" s="29" t="s">
        <v>66</v>
      </c>
      <c r="L779" s="29"/>
      <c r="M779" s="68">
        <v>1</v>
      </c>
      <c r="N779" s="68" t="s">
        <v>2869</v>
      </c>
    </row>
    <row r="780" spans="1:14" ht="14.25" x14ac:dyDescent="0.2">
      <c r="A780" s="14" t="s">
        <v>6960</v>
      </c>
      <c r="B780" s="15" t="s">
        <v>1432</v>
      </c>
      <c r="C780" s="16" t="s">
        <v>3757</v>
      </c>
      <c r="D780" s="28"/>
      <c r="E780" s="27" t="s">
        <v>2320</v>
      </c>
      <c r="F780" s="16" t="s">
        <v>3178</v>
      </c>
      <c r="G780" s="8">
        <v>66</v>
      </c>
      <c r="H780" s="8"/>
      <c r="I780" s="8"/>
      <c r="J780" s="27" t="s">
        <v>1277</v>
      </c>
      <c r="K780" s="29" t="s">
        <v>2322</v>
      </c>
      <c r="L780" s="29"/>
      <c r="M780" s="68">
        <v>1</v>
      </c>
      <c r="N780" s="68" t="s">
        <v>6726</v>
      </c>
    </row>
    <row r="781" spans="1:14" ht="14.25" x14ac:dyDescent="0.2">
      <c r="A781" s="14" t="s">
        <v>6960</v>
      </c>
      <c r="B781" s="15" t="s">
        <v>3740</v>
      </c>
      <c r="C781" s="16" t="s">
        <v>3754</v>
      </c>
      <c r="D781" s="16" t="s">
        <v>3754</v>
      </c>
      <c r="E781" s="27" t="s">
        <v>2058</v>
      </c>
      <c r="F781" s="16" t="s">
        <v>2494</v>
      </c>
      <c r="G781" s="8">
        <v>3</v>
      </c>
      <c r="H781" s="8"/>
      <c r="I781" s="8"/>
      <c r="J781" s="27" t="s">
        <v>4790</v>
      </c>
      <c r="K781" s="29" t="s">
        <v>2495</v>
      </c>
      <c r="L781" s="29"/>
      <c r="M781" s="68">
        <v>1</v>
      </c>
      <c r="N781" s="68" t="s">
        <v>6726</v>
      </c>
    </row>
    <row r="782" spans="1:14" ht="14.25" x14ac:dyDescent="0.2">
      <c r="A782" s="14" t="s">
        <v>6960</v>
      </c>
      <c r="B782" s="15" t="s">
        <v>8705</v>
      </c>
      <c r="C782" s="16" t="s">
        <v>3754</v>
      </c>
      <c r="D782" s="28"/>
      <c r="E782" s="27" t="s">
        <v>6961</v>
      </c>
      <c r="F782" s="16" t="s">
        <v>6962</v>
      </c>
      <c r="G782" s="8">
        <v>34</v>
      </c>
      <c r="H782" s="8"/>
      <c r="I782" s="8"/>
      <c r="J782" s="27" t="s">
        <v>1270</v>
      </c>
      <c r="K782" s="61" t="s">
        <v>6963</v>
      </c>
      <c r="L782" s="61"/>
      <c r="M782" s="68">
        <v>1</v>
      </c>
      <c r="N782" s="68" t="s">
        <v>6726</v>
      </c>
    </row>
    <row r="783" spans="1:14" ht="14.25" x14ac:dyDescent="0.2">
      <c r="A783" s="9" t="s">
        <v>3035</v>
      </c>
      <c r="B783" s="5" t="s">
        <v>1432</v>
      </c>
      <c r="C783" s="10" t="s">
        <v>3757</v>
      </c>
      <c r="D783" s="10" t="s">
        <v>3754</v>
      </c>
      <c r="E783" s="55" t="s">
        <v>6771</v>
      </c>
      <c r="F783" s="10" t="s">
        <v>6772</v>
      </c>
      <c r="G783" s="8">
        <v>40</v>
      </c>
      <c r="H783" s="8"/>
      <c r="I783" s="8"/>
      <c r="J783" s="55"/>
      <c r="K783" s="55" t="s">
        <v>3380</v>
      </c>
      <c r="L783" s="61"/>
      <c r="M783" s="68">
        <v>1</v>
      </c>
      <c r="N783" s="68" t="s">
        <v>5254</v>
      </c>
    </row>
    <row r="784" spans="1:14" ht="14.25" x14ac:dyDescent="0.2">
      <c r="A784" s="30" t="s">
        <v>3035</v>
      </c>
      <c r="B784" s="5" t="s">
        <v>1432</v>
      </c>
      <c r="C784" s="10" t="s">
        <v>3757</v>
      </c>
      <c r="D784" s="10" t="s">
        <v>3754</v>
      </c>
      <c r="E784" s="55" t="s">
        <v>1512</v>
      </c>
      <c r="F784" s="21" t="s">
        <v>6754</v>
      </c>
      <c r="G784" s="8">
        <v>54</v>
      </c>
      <c r="H784" s="8"/>
      <c r="I784" s="8"/>
      <c r="J784" s="55" t="s">
        <v>4746</v>
      </c>
      <c r="K784" s="55" t="s">
        <v>6755</v>
      </c>
      <c r="L784" s="61"/>
      <c r="M784" s="68">
        <v>1</v>
      </c>
      <c r="N784" s="68" t="s">
        <v>5254</v>
      </c>
    </row>
    <row r="785" spans="1:14" ht="14.25" x14ac:dyDescent="0.2">
      <c r="A785" s="11" t="s">
        <v>3035</v>
      </c>
      <c r="B785" s="12" t="s">
        <v>8660</v>
      </c>
      <c r="C785" s="13" t="s">
        <v>3757</v>
      </c>
      <c r="D785" s="13" t="s">
        <v>6659</v>
      </c>
      <c r="E785" s="29" t="s">
        <v>5039</v>
      </c>
      <c r="F785" s="13" t="s">
        <v>6660</v>
      </c>
      <c r="G785" s="8">
        <v>81</v>
      </c>
      <c r="H785" s="8"/>
      <c r="I785" s="8"/>
      <c r="J785" s="29" t="s">
        <v>1271</v>
      </c>
      <c r="K785" s="29" t="s">
        <v>6661</v>
      </c>
      <c r="L785" s="29"/>
      <c r="M785" s="68">
        <v>1</v>
      </c>
      <c r="N785" s="68" t="s">
        <v>2869</v>
      </c>
    </row>
    <row r="786" spans="1:14" ht="14.25" x14ac:dyDescent="0.2">
      <c r="A786" s="11" t="s">
        <v>3035</v>
      </c>
      <c r="B786" s="12" t="s">
        <v>3739</v>
      </c>
      <c r="C786" s="16" t="s">
        <v>3761</v>
      </c>
      <c r="D786" s="13" t="s">
        <v>3754</v>
      </c>
      <c r="E786" s="29" t="s">
        <v>6535</v>
      </c>
      <c r="F786" s="13" t="s">
        <v>6536</v>
      </c>
      <c r="G786" s="8">
        <v>9</v>
      </c>
      <c r="H786" s="8">
        <v>1</v>
      </c>
      <c r="I786" s="8"/>
      <c r="J786" s="29" t="s">
        <v>6537</v>
      </c>
      <c r="K786" s="29" t="s">
        <v>6538</v>
      </c>
      <c r="L786" s="29"/>
      <c r="M786" s="68">
        <v>1</v>
      </c>
      <c r="N786" s="68" t="s">
        <v>5254</v>
      </c>
    </row>
    <row r="787" spans="1:14" ht="28.5" x14ac:dyDescent="0.2">
      <c r="A787" s="11" t="s">
        <v>3035</v>
      </c>
      <c r="B787" s="12" t="s">
        <v>6310</v>
      </c>
      <c r="C787" s="13" t="s">
        <v>3754</v>
      </c>
      <c r="D787" s="13" t="s">
        <v>3761</v>
      </c>
      <c r="E787" s="29" t="s">
        <v>1858</v>
      </c>
      <c r="F787" s="13" t="s">
        <v>5148</v>
      </c>
      <c r="G787" s="8" t="s">
        <v>5149</v>
      </c>
      <c r="H787" s="8"/>
      <c r="I787" s="8"/>
      <c r="J787" s="29"/>
      <c r="K787" s="29" t="s">
        <v>5653</v>
      </c>
      <c r="L787" s="29"/>
      <c r="M787" s="68">
        <v>1</v>
      </c>
      <c r="N787" s="68" t="s">
        <v>3051</v>
      </c>
    </row>
    <row r="788" spans="1:14" ht="14.25" x14ac:dyDescent="0.2">
      <c r="A788" s="11" t="s">
        <v>3035</v>
      </c>
      <c r="B788" s="12" t="s">
        <v>3732</v>
      </c>
      <c r="C788" s="13" t="s">
        <v>3757</v>
      </c>
      <c r="D788" s="13" t="s">
        <v>3754</v>
      </c>
      <c r="E788" s="29" t="s">
        <v>3036</v>
      </c>
      <c r="F788" s="13" t="s">
        <v>3037</v>
      </c>
      <c r="G788" s="8">
        <v>23</v>
      </c>
      <c r="H788" s="8"/>
      <c r="I788" s="8"/>
      <c r="J788" s="29" t="s">
        <v>1264</v>
      </c>
      <c r="K788" s="29" t="s">
        <v>3038</v>
      </c>
      <c r="L788" s="29"/>
      <c r="M788" s="68">
        <v>1</v>
      </c>
      <c r="N788" s="68" t="s">
        <v>2619</v>
      </c>
    </row>
    <row r="789" spans="1:14" ht="14.25" x14ac:dyDescent="0.2">
      <c r="A789" s="11" t="s">
        <v>3035</v>
      </c>
      <c r="B789" s="12" t="s">
        <v>3723</v>
      </c>
      <c r="C789" s="13" t="s">
        <v>3757</v>
      </c>
      <c r="D789" s="13" t="s">
        <v>3754</v>
      </c>
      <c r="E789" s="29"/>
      <c r="F789" s="13" t="s">
        <v>3818</v>
      </c>
      <c r="G789" s="8">
        <v>47</v>
      </c>
      <c r="H789" s="8"/>
      <c r="I789" s="8"/>
      <c r="J789" s="29" t="s">
        <v>1265</v>
      </c>
      <c r="K789" s="29" t="s">
        <v>3819</v>
      </c>
      <c r="L789" s="29"/>
      <c r="M789" s="68">
        <v>1</v>
      </c>
      <c r="N789" s="68" t="s">
        <v>2501</v>
      </c>
    </row>
    <row r="790" spans="1:14" ht="14.25" x14ac:dyDescent="0.2">
      <c r="A790" s="11" t="s">
        <v>3035</v>
      </c>
      <c r="B790" s="12" t="s">
        <v>5486</v>
      </c>
      <c r="C790" s="13" t="s">
        <v>3754</v>
      </c>
      <c r="D790" s="13" t="s">
        <v>3754</v>
      </c>
      <c r="E790" s="29" t="s">
        <v>2677</v>
      </c>
      <c r="F790" s="13" t="s">
        <v>2678</v>
      </c>
      <c r="G790" s="8">
        <v>2</v>
      </c>
      <c r="H790" s="8"/>
      <c r="I790" s="8">
        <v>14</v>
      </c>
      <c r="J790" s="29" t="s">
        <v>2679</v>
      </c>
      <c r="K790" s="29" t="s">
        <v>4788</v>
      </c>
      <c r="L790" s="29"/>
      <c r="M790" s="68">
        <v>1</v>
      </c>
      <c r="N790" s="68" t="s">
        <v>3051</v>
      </c>
    </row>
    <row r="791" spans="1:14" ht="14.25" x14ac:dyDescent="0.2">
      <c r="A791" s="11" t="s">
        <v>3035</v>
      </c>
      <c r="B791" s="12" t="s">
        <v>7765</v>
      </c>
      <c r="C791" s="13" t="s">
        <v>3757</v>
      </c>
      <c r="D791" s="13"/>
      <c r="E791" s="29" t="s">
        <v>4973</v>
      </c>
      <c r="F791" s="13" t="s">
        <v>2974</v>
      </c>
      <c r="G791" s="8">
        <v>35</v>
      </c>
      <c r="H791" s="8"/>
      <c r="I791" s="8"/>
      <c r="J791" s="29" t="s">
        <v>1264</v>
      </c>
      <c r="K791" s="29" t="s">
        <v>2975</v>
      </c>
      <c r="L791" s="29"/>
      <c r="M791" s="68">
        <v>1</v>
      </c>
      <c r="N791" s="68" t="s">
        <v>2501</v>
      </c>
    </row>
    <row r="792" spans="1:14" ht="14.25" x14ac:dyDescent="0.2">
      <c r="A792" s="11" t="s">
        <v>3035</v>
      </c>
      <c r="B792" s="12" t="s">
        <v>3735</v>
      </c>
      <c r="C792" s="16" t="s">
        <v>3761</v>
      </c>
      <c r="D792" s="13" t="s">
        <v>3754</v>
      </c>
      <c r="E792" s="29" t="s">
        <v>6676</v>
      </c>
      <c r="F792" s="13" t="s">
        <v>2293</v>
      </c>
      <c r="G792" s="8"/>
      <c r="H792" s="8">
        <v>1</v>
      </c>
      <c r="I792" s="8">
        <v>5</v>
      </c>
      <c r="J792" s="29" t="s">
        <v>5082</v>
      </c>
      <c r="K792" s="29" t="s">
        <v>5064</v>
      </c>
      <c r="L792" s="29"/>
      <c r="M792" s="68">
        <v>1</v>
      </c>
      <c r="N792" s="68" t="s">
        <v>2869</v>
      </c>
    </row>
    <row r="793" spans="1:14" ht="14.25" x14ac:dyDescent="0.2">
      <c r="A793" s="32" t="s">
        <v>3035</v>
      </c>
      <c r="B793" s="33" t="s">
        <v>3733</v>
      </c>
      <c r="C793" s="16" t="s">
        <v>3761</v>
      </c>
      <c r="D793" s="13" t="s">
        <v>3754</v>
      </c>
      <c r="E793" s="27" t="s">
        <v>2889</v>
      </c>
      <c r="F793" s="34" t="s">
        <v>2890</v>
      </c>
      <c r="G793" s="35"/>
      <c r="H793" s="35">
        <v>9</v>
      </c>
      <c r="I793" s="35"/>
      <c r="J793" s="27" t="s">
        <v>4748</v>
      </c>
      <c r="K793" s="27" t="s">
        <v>2891</v>
      </c>
      <c r="L793" s="27"/>
      <c r="M793" s="68">
        <v>1</v>
      </c>
      <c r="N793" s="68" t="s">
        <v>2869</v>
      </c>
    </row>
    <row r="794" spans="1:14" ht="14.25" x14ac:dyDescent="0.2">
      <c r="A794" s="11" t="s">
        <v>3035</v>
      </c>
      <c r="B794" s="12" t="s">
        <v>1445</v>
      </c>
      <c r="C794" s="13" t="s">
        <v>3754</v>
      </c>
      <c r="D794" s="13" t="s">
        <v>3754</v>
      </c>
      <c r="E794" s="29" t="s">
        <v>5227</v>
      </c>
      <c r="F794" s="13" t="s">
        <v>5228</v>
      </c>
      <c r="G794" s="8">
        <v>1</v>
      </c>
      <c r="H794" s="8"/>
      <c r="I794" s="8">
        <v>10</v>
      </c>
      <c r="J794" s="29" t="s">
        <v>5229</v>
      </c>
      <c r="K794" s="29" t="s">
        <v>1951</v>
      </c>
      <c r="L794" s="29"/>
      <c r="M794" s="68">
        <v>1</v>
      </c>
      <c r="N794" s="68" t="s">
        <v>3051</v>
      </c>
    </row>
    <row r="795" spans="1:14" ht="14.25" x14ac:dyDescent="0.2">
      <c r="A795" s="14" t="s">
        <v>3181</v>
      </c>
      <c r="B795" s="15" t="s">
        <v>1432</v>
      </c>
      <c r="C795" s="16" t="s">
        <v>3757</v>
      </c>
      <c r="D795" s="16" t="s">
        <v>3754</v>
      </c>
      <c r="E795" s="27" t="s">
        <v>3182</v>
      </c>
      <c r="F795" s="16" t="s">
        <v>3183</v>
      </c>
      <c r="G795" s="8">
        <v>44</v>
      </c>
      <c r="H795" s="8"/>
      <c r="I795" s="8"/>
      <c r="J795" s="27" t="s">
        <v>1266</v>
      </c>
      <c r="K795" s="29" t="s">
        <v>3184</v>
      </c>
      <c r="L795" s="29"/>
      <c r="M795" s="68">
        <v>1</v>
      </c>
      <c r="N795" s="68" t="s">
        <v>6726</v>
      </c>
    </row>
    <row r="796" spans="1:14" ht="14.25" x14ac:dyDescent="0.2">
      <c r="A796" s="14" t="s">
        <v>3181</v>
      </c>
      <c r="B796" s="15" t="s">
        <v>1837</v>
      </c>
      <c r="C796" s="16" t="s">
        <v>3754</v>
      </c>
      <c r="D796" s="16" t="s">
        <v>3754</v>
      </c>
      <c r="E796" s="27" t="s">
        <v>2491</v>
      </c>
      <c r="F796" s="16" t="s">
        <v>3183</v>
      </c>
      <c r="G796" s="8">
        <v>19</v>
      </c>
      <c r="H796" s="8"/>
      <c r="I796" s="8"/>
      <c r="J796" s="27" t="s">
        <v>4737</v>
      </c>
      <c r="K796" s="29" t="s">
        <v>3184</v>
      </c>
      <c r="L796" s="29"/>
      <c r="M796" s="68">
        <v>1</v>
      </c>
      <c r="N796" s="68" t="s">
        <v>6726</v>
      </c>
    </row>
    <row r="797" spans="1:14" ht="14.25" x14ac:dyDescent="0.2">
      <c r="A797" s="11" t="s">
        <v>3181</v>
      </c>
      <c r="B797" s="12" t="s">
        <v>4684</v>
      </c>
      <c r="C797" s="13" t="s">
        <v>3754</v>
      </c>
      <c r="D797" s="13" t="s">
        <v>3754</v>
      </c>
      <c r="E797" s="29">
        <v>1878</v>
      </c>
      <c r="F797" s="13" t="s">
        <v>2853</v>
      </c>
      <c r="G797" s="8"/>
      <c r="H797" s="8"/>
      <c r="I797" s="8">
        <v>1</v>
      </c>
      <c r="J797" s="29"/>
      <c r="K797" s="29" t="s">
        <v>4999</v>
      </c>
      <c r="L797" s="29"/>
      <c r="M797" s="68">
        <v>1</v>
      </c>
      <c r="N797" s="68" t="s">
        <v>2501</v>
      </c>
    </row>
    <row r="798" spans="1:14" ht="14.25" x14ac:dyDescent="0.2">
      <c r="A798" s="11" t="s">
        <v>3181</v>
      </c>
      <c r="B798" s="12" t="s">
        <v>2087</v>
      </c>
      <c r="C798" s="13" t="s">
        <v>3754</v>
      </c>
      <c r="D798" s="13" t="s">
        <v>3754</v>
      </c>
      <c r="E798" s="29" t="s">
        <v>4997</v>
      </c>
      <c r="F798" s="13" t="s">
        <v>2854</v>
      </c>
      <c r="G798" s="8">
        <v>1</v>
      </c>
      <c r="H798" s="8">
        <v>2</v>
      </c>
      <c r="I798" s="8">
        <v>16</v>
      </c>
      <c r="J798" s="29" t="s">
        <v>4579</v>
      </c>
      <c r="K798" s="29" t="s">
        <v>4999</v>
      </c>
      <c r="L798" s="29"/>
      <c r="M798" s="68">
        <v>1</v>
      </c>
      <c r="N798" s="68" t="s">
        <v>2501</v>
      </c>
    </row>
    <row r="799" spans="1:14" ht="14.25" x14ac:dyDescent="0.2">
      <c r="A799" s="11" t="s">
        <v>3181</v>
      </c>
      <c r="B799" s="12" t="s">
        <v>3732</v>
      </c>
      <c r="C799" s="13" t="s">
        <v>3761</v>
      </c>
      <c r="D799" s="13" t="s">
        <v>3754</v>
      </c>
      <c r="E799" s="29" t="s">
        <v>2921</v>
      </c>
      <c r="F799" s="13" t="s">
        <v>2922</v>
      </c>
      <c r="G799" s="8">
        <v>7</v>
      </c>
      <c r="H799" s="8"/>
      <c r="I799" s="8"/>
      <c r="J799" s="29" t="s">
        <v>1258</v>
      </c>
      <c r="K799" s="29" t="s">
        <v>3787</v>
      </c>
      <c r="L799" s="29"/>
      <c r="M799" s="68">
        <v>1</v>
      </c>
      <c r="N799" s="68" t="s">
        <v>2501</v>
      </c>
    </row>
    <row r="800" spans="1:14" ht="28.5" x14ac:dyDescent="0.2">
      <c r="A800" s="11" t="s">
        <v>6560</v>
      </c>
      <c r="B800" s="12" t="s">
        <v>5057</v>
      </c>
      <c r="C800" s="16" t="s">
        <v>3761</v>
      </c>
      <c r="D800" s="13" t="s">
        <v>3754</v>
      </c>
      <c r="E800" s="29" t="s">
        <v>6561</v>
      </c>
      <c r="F800" s="13" t="s">
        <v>6562</v>
      </c>
      <c r="G800" s="8">
        <v>12</v>
      </c>
      <c r="H800" s="8">
        <v>9</v>
      </c>
      <c r="I800" s="8"/>
      <c r="J800" s="29" t="s">
        <v>2333</v>
      </c>
      <c r="K800" s="29" t="s">
        <v>6563</v>
      </c>
      <c r="L800" s="29"/>
      <c r="M800" s="68">
        <v>1</v>
      </c>
      <c r="N800" s="68" t="s">
        <v>5254</v>
      </c>
    </row>
    <row r="801" spans="1:14" ht="14.25" x14ac:dyDescent="0.2">
      <c r="A801" s="11" t="s">
        <v>3067</v>
      </c>
      <c r="B801" s="12" t="s">
        <v>3732</v>
      </c>
      <c r="C801" s="13" t="s">
        <v>3754</v>
      </c>
      <c r="D801" s="13" t="s">
        <v>3754</v>
      </c>
      <c r="E801" s="29">
        <v>1860</v>
      </c>
      <c r="F801" s="13" t="s">
        <v>3068</v>
      </c>
      <c r="G801" s="8">
        <v>11</v>
      </c>
      <c r="H801" s="8"/>
      <c r="I801" s="8"/>
      <c r="J801" s="29" t="s">
        <v>1258</v>
      </c>
      <c r="K801" s="29" t="s">
        <v>1414</v>
      </c>
      <c r="L801" s="29"/>
      <c r="M801" s="68">
        <v>1</v>
      </c>
      <c r="N801" s="68" t="s">
        <v>3051</v>
      </c>
    </row>
    <row r="802" spans="1:14" ht="14.25" x14ac:dyDescent="0.2">
      <c r="A802" s="14" t="s">
        <v>3074</v>
      </c>
      <c r="B802" s="15" t="s">
        <v>7766</v>
      </c>
      <c r="C802" s="16" t="s">
        <v>6947</v>
      </c>
      <c r="D802" s="28"/>
      <c r="E802" s="27" t="s">
        <v>6948</v>
      </c>
      <c r="F802" s="16" t="s">
        <v>3078</v>
      </c>
      <c r="G802" s="8">
        <v>3</v>
      </c>
      <c r="H802" s="8">
        <v>2</v>
      </c>
      <c r="I802" s="8"/>
      <c r="J802" s="27" t="s">
        <v>7319</v>
      </c>
      <c r="K802" s="29" t="s">
        <v>6949</v>
      </c>
      <c r="L802" s="29"/>
      <c r="M802" s="68">
        <v>1</v>
      </c>
      <c r="N802" s="68" t="s">
        <v>6726</v>
      </c>
    </row>
    <row r="803" spans="1:14" ht="14.25" x14ac:dyDescent="0.2">
      <c r="A803" s="11" t="s">
        <v>3074</v>
      </c>
      <c r="B803" s="12" t="s">
        <v>7767</v>
      </c>
      <c r="C803" s="13" t="s">
        <v>3075</v>
      </c>
      <c r="D803" s="13" t="s">
        <v>3076</v>
      </c>
      <c r="E803" s="29" t="s">
        <v>3077</v>
      </c>
      <c r="F803" s="13" t="s">
        <v>3078</v>
      </c>
      <c r="G803" s="8">
        <v>55</v>
      </c>
      <c r="H803" s="8"/>
      <c r="I803" s="8"/>
      <c r="J803" s="29" t="s">
        <v>3683</v>
      </c>
      <c r="K803" s="29" t="s">
        <v>1900</v>
      </c>
      <c r="L803" s="29"/>
      <c r="M803" s="68">
        <v>1</v>
      </c>
      <c r="N803" s="68" t="s">
        <v>3051</v>
      </c>
    </row>
    <row r="804" spans="1:14" ht="14.25" x14ac:dyDescent="0.2">
      <c r="A804" s="14" t="s">
        <v>3074</v>
      </c>
      <c r="B804" s="15" t="s">
        <v>7768</v>
      </c>
      <c r="C804" s="16" t="s">
        <v>6944</v>
      </c>
      <c r="D804" s="16" t="s">
        <v>3078</v>
      </c>
      <c r="E804" s="27" t="s">
        <v>6945</v>
      </c>
      <c r="F804" s="16" t="s">
        <v>3078</v>
      </c>
      <c r="G804" s="8">
        <v>9</v>
      </c>
      <c r="H804" s="8"/>
      <c r="I804" s="8"/>
      <c r="J804" s="27" t="s">
        <v>7319</v>
      </c>
      <c r="K804" s="29" t="s">
        <v>6946</v>
      </c>
      <c r="L804" s="29"/>
      <c r="M804" s="68">
        <v>1</v>
      </c>
      <c r="N804" s="68" t="s">
        <v>6726</v>
      </c>
    </row>
    <row r="805" spans="1:14" ht="14.25" x14ac:dyDescent="0.2">
      <c r="A805" s="14" t="s">
        <v>6932</v>
      </c>
      <c r="B805" s="15" t="s">
        <v>4685</v>
      </c>
      <c r="C805" s="16" t="s">
        <v>3757</v>
      </c>
      <c r="D805" s="16" t="s">
        <v>3754</v>
      </c>
      <c r="E805" s="27" t="s">
        <v>6933</v>
      </c>
      <c r="F805" s="16" t="s">
        <v>6934</v>
      </c>
      <c r="G805" s="8">
        <v>40</v>
      </c>
      <c r="H805" s="8"/>
      <c r="I805" s="8"/>
      <c r="J805" s="27" t="s">
        <v>1264</v>
      </c>
      <c r="K805" s="29" t="s">
        <v>6935</v>
      </c>
      <c r="L805" s="29"/>
      <c r="M805" s="68">
        <v>1</v>
      </c>
      <c r="N805" s="68" t="s">
        <v>6726</v>
      </c>
    </row>
    <row r="806" spans="1:14" ht="14.25" x14ac:dyDescent="0.2">
      <c r="A806" s="14" t="s">
        <v>6932</v>
      </c>
      <c r="B806" s="15" t="s">
        <v>3733</v>
      </c>
      <c r="C806" s="16" t="s">
        <v>3754</v>
      </c>
      <c r="D806" s="16" t="s">
        <v>3754</v>
      </c>
      <c r="E806" s="27" t="s">
        <v>6964</v>
      </c>
      <c r="F806" s="16" t="s">
        <v>3141</v>
      </c>
      <c r="G806" s="8">
        <v>2</v>
      </c>
      <c r="H806" s="8">
        <v>8</v>
      </c>
      <c r="I806" s="8"/>
      <c r="J806" s="27" t="s">
        <v>7319</v>
      </c>
      <c r="K806" s="29" t="s">
        <v>3142</v>
      </c>
      <c r="L806" s="29"/>
      <c r="M806" s="68">
        <v>1</v>
      </c>
      <c r="N806" s="68" t="s">
        <v>6726</v>
      </c>
    </row>
    <row r="807" spans="1:14" ht="14.25" x14ac:dyDescent="0.2">
      <c r="A807" s="14" t="s">
        <v>6932</v>
      </c>
      <c r="B807" s="15" t="s">
        <v>3733</v>
      </c>
      <c r="C807" s="16" t="s">
        <v>3754</v>
      </c>
      <c r="D807" s="28"/>
      <c r="E807" s="27" t="s">
        <v>6964</v>
      </c>
      <c r="F807" s="16" t="s">
        <v>6965</v>
      </c>
      <c r="G807" s="8">
        <v>2</v>
      </c>
      <c r="H807" s="8">
        <v>8</v>
      </c>
      <c r="I807" s="8"/>
      <c r="J807" s="27" t="s">
        <v>7319</v>
      </c>
      <c r="K807" s="29" t="s">
        <v>6966</v>
      </c>
      <c r="L807" s="29"/>
      <c r="M807" s="68">
        <v>1</v>
      </c>
      <c r="N807" s="68" t="s">
        <v>6726</v>
      </c>
    </row>
    <row r="808" spans="1:14" ht="14.25" x14ac:dyDescent="0.2">
      <c r="A808" s="11" t="s">
        <v>3809</v>
      </c>
      <c r="B808" s="12" t="s">
        <v>4690</v>
      </c>
      <c r="C808" s="13" t="s">
        <v>3757</v>
      </c>
      <c r="D808" s="13" t="s">
        <v>3754</v>
      </c>
      <c r="E808" s="29" t="s">
        <v>4968</v>
      </c>
      <c r="F808" s="13" t="s">
        <v>3810</v>
      </c>
      <c r="G808" s="8">
        <v>55</v>
      </c>
      <c r="H808" s="8"/>
      <c r="I808" s="8"/>
      <c r="J808" s="29" t="s">
        <v>1264</v>
      </c>
      <c r="K808" s="29" t="s">
        <v>4971</v>
      </c>
      <c r="L808" s="29"/>
      <c r="M808" s="68">
        <v>1</v>
      </c>
      <c r="N808" s="68" t="s">
        <v>2501</v>
      </c>
    </row>
    <row r="809" spans="1:14" ht="14.25" x14ac:dyDescent="0.2">
      <c r="A809" s="11" t="s">
        <v>2628</v>
      </c>
      <c r="B809" s="12" t="s">
        <v>3748</v>
      </c>
      <c r="C809" s="13" t="s">
        <v>3754</v>
      </c>
      <c r="D809" s="13" t="s">
        <v>3754</v>
      </c>
      <c r="E809" s="29" t="s">
        <v>4821</v>
      </c>
      <c r="F809" s="13" t="s">
        <v>2688</v>
      </c>
      <c r="G809" s="8">
        <v>2</v>
      </c>
      <c r="H809" s="8">
        <v>3</v>
      </c>
      <c r="I809" s="8"/>
      <c r="J809" s="29" t="s">
        <v>2689</v>
      </c>
      <c r="K809" s="29" t="s">
        <v>2690</v>
      </c>
      <c r="L809" s="29"/>
      <c r="M809" s="68">
        <v>1</v>
      </c>
      <c r="N809" s="68" t="s">
        <v>3051</v>
      </c>
    </row>
    <row r="810" spans="1:14" ht="14.25" x14ac:dyDescent="0.2">
      <c r="A810" s="11" t="s">
        <v>2628</v>
      </c>
      <c r="B810" s="12" t="s">
        <v>3744</v>
      </c>
      <c r="C810" s="13" t="s">
        <v>3767</v>
      </c>
      <c r="D810" s="31"/>
      <c r="E810" s="29" t="s">
        <v>2986</v>
      </c>
      <c r="F810" s="13" t="s">
        <v>3767</v>
      </c>
      <c r="G810" s="8">
        <v>28</v>
      </c>
      <c r="H810" s="8"/>
      <c r="I810" s="8"/>
      <c r="J810" s="29" t="s">
        <v>1264</v>
      </c>
      <c r="K810" s="29" t="s">
        <v>2987</v>
      </c>
      <c r="L810" s="29"/>
      <c r="M810" s="68">
        <v>1</v>
      </c>
      <c r="N810" s="68" t="s">
        <v>2619</v>
      </c>
    </row>
    <row r="811" spans="1:14" ht="14.25" x14ac:dyDescent="0.2">
      <c r="A811" s="11" t="s">
        <v>2628</v>
      </c>
      <c r="B811" s="12" t="s">
        <v>778</v>
      </c>
      <c r="C811" s="13" t="s">
        <v>3757</v>
      </c>
      <c r="D811" s="13" t="s">
        <v>3754</v>
      </c>
      <c r="E811" s="29"/>
      <c r="F811" s="13" t="s">
        <v>1541</v>
      </c>
      <c r="G811" s="8">
        <v>38</v>
      </c>
      <c r="H811" s="8"/>
      <c r="I811" s="8"/>
      <c r="J811" s="29" t="s">
        <v>4737</v>
      </c>
      <c r="K811" s="29" t="s">
        <v>2651</v>
      </c>
      <c r="L811" s="29"/>
      <c r="M811" s="68">
        <v>1</v>
      </c>
      <c r="N811" s="68" t="s">
        <v>2619</v>
      </c>
    </row>
    <row r="812" spans="1:14" ht="14.25" x14ac:dyDescent="0.2">
      <c r="A812" s="14" t="s">
        <v>2628</v>
      </c>
      <c r="B812" s="15" t="s">
        <v>3734</v>
      </c>
      <c r="C812" s="16" t="s">
        <v>3754</v>
      </c>
      <c r="D812" s="16" t="s">
        <v>3754</v>
      </c>
      <c r="E812" s="27" t="s">
        <v>1328</v>
      </c>
      <c r="F812" s="16" t="s">
        <v>6969</v>
      </c>
      <c r="G812" s="8">
        <v>16</v>
      </c>
      <c r="H812" s="8"/>
      <c r="I812" s="8"/>
      <c r="J812" s="27" t="s">
        <v>1264</v>
      </c>
      <c r="K812" s="29" t="s">
        <v>6970</v>
      </c>
      <c r="L812" s="29"/>
      <c r="M812" s="68">
        <v>1</v>
      </c>
      <c r="N812" s="68" t="s">
        <v>6726</v>
      </c>
    </row>
    <row r="813" spans="1:14" ht="14.25" x14ac:dyDescent="0.2">
      <c r="A813" s="11" t="s">
        <v>2628</v>
      </c>
      <c r="B813" s="12" t="s">
        <v>4685</v>
      </c>
      <c r="C813" s="13" t="s">
        <v>3757</v>
      </c>
      <c r="D813" s="13" t="s">
        <v>3754</v>
      </c>
      <c r="E813" s="29" t="s">
        <v>2899</v>
      </c>
      <c r="F813" s="13" t="s">
        <v>2900</v>
      </c>
      <c r="G813" s="8">
        <v>65</v>
      </c>
      <c r="H813" s="8"/>
      <c r="I813" s="8"/>
      <c r="J813" s="29" t="s">
        <v>1264</v>
      </c>
      <c r="K813" s="29" t="s">
        <v>2899</v>
      </c>
      <c r="L813" s="29"/>
      <c r="M813" s="68">
        <v>1</v>
      </c>
      <c r="N813" s="68" t="s">
        <v>2869</v>
      </c>
    </row>
    <row r="814" spans="1:14" ht="14.25" x14ac:dyDescent="0.2">
      <c r="A814" s="11" t="s">
        <v>2628</v>
      </c>
      <c r="B814" s="12" t="s">
        <v>3750</v>
      </c>
      <c r="C814" s="13" t="s">
        <v>3754</v>
      </c>
      <c r="D814" s="13" t="s">
        <v>1652</v>
      </c>
      <c r="E814" s="29"/>
      <c r="F814" s="13" t="s">
        <v>1541</v>
      </c>
      <c r="G814" s="8">
        <v>12</v>
      </c>
      <c r="H814" s="8"/>
      <c r="I814" s="8"/>
      <c r="J814" s="29" t="s">
        <v>1264</v>
      </c>
      <c r="K814" s="29" t="s">
        <v>2630</v>
      </c>
      <c r="L814" s="29"/>
      <c r="M814" s="68">
        <v>1</v>
      </c>
      <c r="N814" s="68" t="s">
        <v>2619</v>
      </c>
    </row>
    <row r="815" spans="1:14" ht="14.25" x14ac:dyDescent="0.2">
      <c r="A815" s="11" t="s">
        <v>2691</v>
      </c>
      <c r="B815" s="12" t="s">
        <v>6785</v>
      </c>
      <c r="C815" s="13" t="s">
        <v>3757</v>
      </c>
      <c r="D815" s="13" t="s">
        <v>3754</v>
      </c>
      <c r="E815" s="29" t="s">
        <v>2692</v>
      </c>
      <c r="F815" s="13" t="s">
        <v>2693</v>
      </c>
      <c r="G815" s="8">
        <v>52</v>
      </c>
      <c r="H815" s="8"/>
      <c r="I815" s="8"/>
      <c r="J815" s="29" t="s">
        <v>5968</v>
      </c>
      <c r="K815" s="29" t="s">
        <v>2692</v>
      </c>
      <c r="L815" s="29"/>
      <c r="M815" s="68">
        <v>1</v>
      </c>
      <c r="N815" s="68" t="s">
        <v>3051</v>
      </c>
    </row>
    <row r="816" spans="1:14" ht="14.25" x14ac:dyDescent="0.2">
      <c r="A816" s="11" t="s">
        <v>3056</v>
      </c>
      <c r="B816" s="12" t="s">
        <v>3727</v>
      </c>
      <c r="C816" s="16" t="s">
        <v>3761</v>
      </c>
      <c r="D816" s="13" t="s">
        <v>3754</v>
      </c>
      <c r="E816" s="29" t="s">
        <v>6575</v>
      </c>
      <c r="F816" s="13" t="s">
        <v>6576</v>
      </c>
      <c r="G816" s="8">
        <v>7</v>
      </c>
      <c r="H816" s="8">
        <v>8</v>
      </c>
      <c r="I816" s="8"/>
      <c r="J816" s="29" t="s">
        <v>5945</v>
      </c>
      <c r="K816" s="29" t="s">
        <v>6737</v>
      </c>
      <c r="L816" s="29"/>
      <c r="M816" s="68">
        <v>1</v>
      </c>
      <c r="N816" s="68" t="s">
        <v>5254</v>
      </c>
    </row>
    <row r="817" spans="1:14" ht="14.25" x14ac:dyDescent="0.2">
      <c r="A817" s="11" t="s">
        <v>3056</v>
      </c>
      <c r="B817" s="12" t="s">
        <v>3740</v>
      </c>
      <c r="C817" s="13" t="s">
        <v>3754</v>
      </c>
      <c r="D817" s="13" t="s">
        <v>3761</v>
      </c>
      <c r="E817" s="29" t="s">
        <v>3057</v>
      </c>
      <c r="F817" s="13" t="s">
        <v>3058</v>
      </c>
      <c r="G817" s="8">
        <v>6</v>
      </c>
      <c r="H817" s="8">
        <v>4</v>
      </c>
      <c r="I817" s="8"/>
      <c r="J817" s="29" t="s">
        <v>3059</v>
      </c>
      <c r="K817" s="29" t="s">
        <v>3060</v>
      </c>
      <c r="L817" s="29"/>
      <c r="M817" s="68">
        <v>1</v>
      </c>
      <c r="N817" s="68" t="s">
        <v>3051</v>
      </c>
    </row>
    <row r="818" spans="1:14" ht="14.25" x14ac:dyDescent="0.2">
      <c r="A818" s="11" t="s">
        <v>3056</v>
      </c>
      <c r="B818" s="12" t="s">
        <v>3740</v>
      </c>
      <c r="C818" s="13" t="s">
        <v>3757</v>
      </c>
      <c r="D818" s="13" t="s">
        <v>3754</v>
      </c>
      <c r="E818" s="29" t="s">
        <v>2109</v>
      </c>
      <c r="F818" s="13" t="s">
        <v>5252</v>
      </c>
      <c r="G818" s="8">
        <v>62</v>
      </c>
      <c r="H818" s="8"/>
      <c r="I818" s="8"/>
      <c r="J818" s="29" t="s">
        <v>1266</v>
      </c>
      <c r="K818" s="109" t="s">
        <v>5253</v>
      </c>
      <c r="L818" s="95"/>
      <c r="M818" s="68">
        <v>1</v>
      </c>
      <c r="N818" s="68" t="s">
        <v>2869</v>
      </c>
    </row>
    <row r="819" spans="1:14" ht="14.25" x14ac:dyDescent="0.2">
      <c r="A819" s="11" t="s">
        <v>6564</v>
      </c>
      <c r="B819" s="12" t="s">
        <v>1809</v>
      </c>
      <c r="C819" s="16" t="s">
        <v>3761</v>
      </c>
      <c r="D819" s="13" t="s">
        <v>3754</v>
      </c>
      <c r="E819" s="29" t="s">
        <v>6565</v>
      </c>
      <c r="F819" s="13" t="s">
        <v>6566</v>
      </c>
      <c r="G819" s="8"/>
      <c r="H819" s="8">
        <v>1</v>
      </c>
      <c r="I819" s="8">
        <v>21</v>
      </c>
      <c r="J819" s="29" t="s">
        <v>1262</v>
      </c>
      <c r="K819" s="29" t="s">
        <v>6567</v>
      </c>
      <c r="L819" s="29"/>
      <c r="M819" s="68">
        <v>1</v>
      </c>
      <c r="N819" s="68" t="s">
        <v>5254</v>
      </c>
    </row>
    <row r="820" spans="1:14" ht="14.25" x14ac:dyDescent="0.2">
      <c r="A820" s="11" t="s">
        <v>5247</v>
      </c>
      <c r="B820" s="12" t="s">
        <v>7769</v>
      </c>
      <c r="C820" s="16" t="s">
        <v>3761</v>
      </c>
      <c r="D820" s="13" t="s">
        <v>3754</v>
      </c>
      <c r="E820" s="29" t="s">
        <v>5248</v>
      </c>
      <c r="F820" s="13" t="s">
        <v>5249</v>
      </c>
      <c r="G820" s="8"/>
      <c r="H820" s="8">
        <v>2</v>
      </c>
      <c r="I820" s="8"/>
      <c r="J820" s="29" t="s">
        <v>5250</v>
      </c>
      <c r="K820" s="29" t="s">
        <v>5251</v>
      </c>
      <c r="L820" s="29"/>
      <c r="M820" s="68">
        <v>1</v>
      </c>
      <c r="N820" s="68" t="s">
        <v>2869</v>
      </c>
    </row>
    <row r="821" spans="1:14" ht="14.25" x14ac:dyDescent="0.2">
      <c r="A821" s="11" t="s">
        <v>3820</v>
      </c>
      <c r="B821" s="12" t="s">
        <v>7770</v>
      </c>
      <c r="C821" s="13" t="s">
        <v>3754</v>
      </c>
      <c r="D821" s="13" t="s">
        <v>3754</v>
      </c>
      <c r="E821" s="29" t="s">
        <v>3821</v>
      </c>
      <c r="F821" s="13" t="s">
        <v>3822</v>
      </c>
      <c r="G821" s="8">
        <v>6</v>
      </c>
      <c r="H821" s="8">
        <v>6</v>
      </c>
      <c r="I821" s="8"/>
      <c r="J821" s="29" t="s">
        <v>5190</v>
      </c>
      <c r="K821" s="29" t="s">
        <v>3823</v>
      </c>
      <c r="L821" s="29"/>
      <c r="M821" s="68">
        <v>1</v>
      </c>
      <c r="N821" s="68" t="s">
        <v>2501</v>
      </c>
    </row>
    <row r="822" spans="1:14" ht="14.25" x14ac:dyDescent="0.2">
      <c r="A822" s="11" t="s">
        <v>2631</v>
      </c>
      <c r="B822" s="12" t="s">
        <v>3748</v>
      </c>
      <c r="C822" s="13" t="s">
        <v>3757</v>
      </c>
      <c r="D822" s="13" t="s">
        <v>3754</v>
      </c>
      <c r="E822" s="29" t="s">
        <v>3815</v>
      </c>
      <c r="F822" s="13" t="s">
        <v>3816</v>
      </c>
      <c r="G822" s="8">
        <v>56</v>
      </c>
      <c r="H822" s="8"/>
      <c r="I822" s="8"/>
      <c r="J822" s="29" t="s">
        <v>1277</v>
      </c>
      <c r="K822" s="29" t="s">
        <v>3817</v>
      </c>
      <c r="L822" s="29"/>
      <c r="M822" s="68">
        <v>1</v>
      </c>
      <c r="N822" s="68" t="s">
        <v>2501</v>
      </c>
    </row>
    <row r="823" spans="1:14" ht="14.25" x14ac:dyDescent="0.2">
      <c r="A823" s="14" t="s">
        <v>2631</v>
      </c>
      <c r="B823" s="15" t="s">
        <v>4690</v>
      </c>
      <c r="C823" s="16" t="s">
        <v>3754</v>
      </c>
      <c r="D823" s="13" t="s">
        <v>3754</v>
      </c>
      <c r="E823" s="27" t="s">
        <v>6936</v>
      </c>
      <c r="F823" s="16" t="s">
        <v>6937</v>
      </c>
      <c r="G823" s="8"/>
      <c r="H823" s="8">
        <v>2</v>
      </c>
      <c r="I823" s="8"/>
      <c r="J823" s="27" t="s">
        <v>6938</v>
      </c>
      <c r="K823" s="29" t="s">
        <v>6939</v>
      </c>
      <c r="L823" s="29"/>
      <c r="M823" s="68">
        <v>1</v>
      </c>
      <c r="N823" s="68" t="s">
        <v>6726</v>
      </c>
    </row>
    <row r="824" spans="1:14" ht="14.25" x14ac:dyDescent="0.2">
      <c r="A824" s="11" t="s">
        <v>2631</v>
      </c>
      <c r="B824" s="12" t="s">
        <v>6785</v>
      </c>
      <c r="C824" s="16" t="s">
        <v>3761</v>
      </c>
      <c r="D824" s="13" t="s">
        <v>3754</v>
      </c>
      <c r="E824" s="29" t="s">
        <v>2916</v>
      </c>
      <c r="F824" s="13" t="s">
        <v>6650</v>
      </c>
      <c r="G824" s="8">
        <v>17</v>
      </c>
      <c r="H824" s="8"/>
      <c r="I824" s="8"/>
      <c r="J824" s="29" t="s">
        <v>5010</v>
      </c>
      <c r="K824" s="29" t="s">
        <v>6651</v>
      </c>
      <c r="L824" s="29"/>
      <c r="M824" s="68">
        <v>1</v>
      </c>
      <c r="N824" s="68" t="s">
        <v>2869</v>
      </c>
    </row>
    <row r="825" spans="1:14" ht="14.25" x14ac:dyDescent="0.2">
      <c r="A825" s="11" t="s">
        <v>2631</v>
      </c>
      <c r="B825" s="12" t="s">
        <v>3744</v>
      </c>
      <c r="C825" s="13" t="s">
        <v>3754</v>
      </c>
      <c r="D825" s="13" t="s">
        <v>3754</v>
      </c>
      <c r="E825" s="29"/>
      <c r="F825" s="13" t="s">
        <v>2684</v>
      </c>
      <c r="G825" s="8"/>
      <c r="H825" s="8"/>
      <c r="I825" s="8">
        <v>3</v>
      </c>
      <c r="J825" s="29" t="s">
        <v>5636</v>
      </c>
      <c r="K825" s="55" t="s">
        <v>1324</v>
      </c>
      <c r="L825" s="61"/>
      <c r="M825" s="68">
        <v>1</v>
      </c>
      <c r="N825" s="68" t="s">
        <v>3051</v>
      </c>
    </row>
    <row r="826" spans="1:14" ht="14.25" x14ac:dyDescent="0.2">
      <c r="A826" s="9" t="s">
        <v>2631</v>
      </c>
      <c r="B826" s="5" t="s">
        <v>7771</v>
      </c>
      <c r="C826" s="10" t="s">
        <v>3754</v>
      </c>
      <c r="D826" s="10" t="s">
        <v>3754</v>
      </c>
      <c r="E826" s="61">
        <v>1855</v>
      </c>
      <c r="F826" s="10" t="s">
        <v>5146</v>
      </c>
      <c r="G826" s="8">
        <v>1</v>
      </c>
      <c r="H826" s="8"/>
      <c r="I826" s="8"/>
      <c r="J826" s="55"/>
      <c r="K826" s="55" t="s">
        <v>5147</v>
      </c>
      <c r="L826" s="61"/>
      <c r="M826" s="68">
        <v>1</v>
      </c>
      <c r="N826" s="68" t="s">
        <v>3051</v>
      </c>
    </row>
    <row r="827" spans="1:14" ht="14.25" x14ac:dyDescent="0.2">
      <c r="A827" s="9" t="s">
        <v>2631</v>
      </c>
      <c r="B827" s="5" t="s">
        <v>5435</v>
      </c>
      <c r="C827" s="10" t="s">
        <v>3757</v>
      </c>
      <c r="D827" s="10" t="s">
        <v>3754</v>
      </c>
      <c r="E827" s="61" t="s">
        <v>2911</v>
      </c>
      <c r="F827" s="10" t="s">
        <v>2912</v>
      </c>
      <c r="G827" s="8">
        <v>37</v>
      </c>
      <c r="H827" s="8"/>
      <c r="I827" s="8"/>
      <c r="J827" s="55" t="s">
        <v>1264</v>
      </c>
      <c r="K827" s="55" t="s">
        <v>2913</v>
      </c>
      <c r="L827" s="61"/>
      <c r="M827" s="68">
        <v>1</v>
      </c>
      <c r="N827" s="68" t="s">
        <v>2869</v>
      </c>
    </row>
    <row r="828" spans="1:14" ht="14.25" x14ac:dyDescent="0.2">
      <c r="A828" s="11" t="s">
        <v>2631</v>
      </c>
      <c r="B828" s="12" t="s">
        <v>1041</v>
      </c>
      <c r="C828" s="13" t="s">
        <v>3757</v>
      </c>
      <c r="D828" s="13" t="s">
        <v>3754</v>
      </c>
      <c r="E828" s="29" t="s">
        <v>8864</v>
      </c>
      <c r="F828" s="13" t="s">
        <v>6692</v>
      </c>
      <c r="G828" s="8">
        <v>63</v>
      </c>
      <c r="H828" s="8"/>
      <c r="I828" s="8"/>
      <c r="J828" s="29" t="s">
        <v>1272</v>
      </c>
      <c r="K828" s="29" t="s">
        <v>3472</v>
      </c>
      <c r="L828" s="29"/>
      <c r="M828" s="68">
        <v>1</v>
      </c>
      <c r="N828" s="68" t="s">
        <v>2869</v>
      </c>
    </row>
    <row r="829" spans="1:14" ht="14.25" x14ac:dyDescent="0.2">
      <c r="A829" s="11" t="s">
        <v>2631</v>
      </c>
      <c r="B829" s="12" t="s">
        <v>7772</v>
      </c>
      <c r="C829" s="13" t="s">
        <v>3754</v>
      </c>
      <c r="D829" s="13" t="s">
        <v>3754</v>
      </c>
      <c r="E829" s="29" t="s">
        <v>5232</v>
      </c>
      <c r="F829" s="13" t="s">
        <v>5233</v>
      </c>
      <c r="G829" s="8"/>
      <c r="H829" s="8"/>
      <c r="I829" s="8">
        <v>8</v>
      </c>
      <c r="J829" s="29" t="s">
        <v>5234</v>
      </c>
      <c r="K829" s="29" t="s">
        <v>5235</v>
      </c>
      <c r="L829" s="29"/>
      <c r="M829" s="68">
        <v>1</v>
      </c>
      <c r="N829" s="68" t="s">
        <v>3051</v>
      </c>
    </row>
    <row r="830" spans="1:14" ht="28.5" x14ac:dyDescent="0.2">
      <c r="A830" s="11" t="s">
        <v>2631</v>
      </c>
      <c r="B830" s="12" t="s">
        <v>7773</v>
      </c>
      <c r="C830" s="16" t="s">
        <v>3761</v>
      </c>
      <c r="D830" s="13" t="s">
        <v>3754</v>
      </c>
      <c r="E830" s="29" t="s">
        <v>7707</v>
      </c>
      <c r="F830" s="13" t="s">
        <v>6674</v>
      </c>
      <c r="G830" s="8"/>
      <c r="H830" s="8">
        <v>4</v>
      </c>
      <c r="I830" s="8">
        <v>19</v>
      </c>
      <c r="J830" s="29" t="s">
        <v>5082</v>
      </c>
      <c r="K830" s="29" t="s">
        <v>6675</v>
      </c>
      <c r="L830" s="29" t="s">
        <v>6704</v>
      </c>
      <c r="M830" s="68">
        <v>1</v>
      </c>
      <c r="N830" s="68" t="s">
        <v>2869</v>
      </c>
    </row>
    <row r="831" spans="1:14" ht="14.25" x14ac:dyDescent="0.2">
      <c r="A831" s="11" t="s">
        <v>2631</v>
      </c>
      <c r="B831" s="12" t="s">
        <v>7774</v>
      </c>
      <c r="C831" s="13" t="s">
        <v>3754</v>
      </c>
      <c r="D831" s="31"/>
      <c r="E831" s="29" t="s">
        <v>2988</v>
      </c>
      <c r="F831" s="13" t="s">
        <v>1541</v>
      </c>
      <c r="G831" s="8">
        <v>58</v>
      </c>
      <c r="H831" s="8"/>
      <c r="I831" s="8"/>
      <c r="J831" s="29" t="s">
        <v>2989</v>
      </c>
      <c r="K831" s="29" t="s">
        <v>1608</v>
      </c>
      <c r="L831" s="29"/>
      <c r="M831" s="68">
        <v>1</v>
      </c>
      <c r="N831" s="68" t="s">
        <v>2619</v>
      </c>
    </row>
    <row r="832" spans="1:14" ht="14.25" x14ac:dyDescent="0.2">
      <c r="A832" s="11" t="s">
        <v>2631</v>
      </c>
      <c r="B832" s="12" t="s">
        <v>4685</v>
      </c>
      <c r="C832" s="13" t="s">
        <v>3768</v>
      </c>
      <c r="D832" s="13" t="s">
        <v>1604</v>
      </c>
      <c r="E832" s="29" t="s">
        <v>2632</v>
      </c>
      <c r="F832" s="13" t="s">
        <v>1604</v>
      </c>
      <c r="G832" s="8">
        <v>23</v>
      </c>
      <c r="H832" s="8"/>
      <c r="I832" s="8"/>
      <c r="J832" s="29" t="s">
        <v>4732</v>
      </c>
      <c r="K832" s="29" t="s">
        <v>2633</v>
      </c>
      <c r="L832" s="29"/>
      <c r="M832" s="68">
        <v>1</v>
      </c>
      <c r="N832" s="68" t="s">
        <v>2619</v>
      </c>
    </row>
    <row r="833" spans="1:14" ht="14.25" x14ac:dyDescent="0.2">
      <c r="A833" s="11" t="s">
        <v>2631</v>
      </c>
      <c r="B833" s="12" t="s">
        <v>4685</v>
      </c>
      <c r="C833" s="13" t="s">
        <v>3754</v>
      </c>
      <c r="D833" s="13" t="s">
        <v>3754</v>
      </c>
      <c r="E833" s="29">
        <v>1857</v>
      </c>
      <c r="F833" s="13" t="s">
        <v>5146</v>
      </c>
      <c r="G833" s="8"/>
      <c r="H833" s="8">
        <v>11</v>
      </c>
      <c r="I833" s="8"/>
      <c r="J833" s="29"/>
      <c r="K833" s="29" t="s">
        <v>5147</v>
      </c>
      <c r="L833" s="29"/>
      <c r="M833" s="68">
        <v>1</v>
      </c>
      <c r="N833" s="68" t="s">
        <v>3051</v>
      </c>
    </row>
    <row r="834" spans="1:14" ht="14.25" x14ac:dyDescent="0.2">
      <c r="A834" s="11" t="s">
        <v>2631</v>
      </c>
      <c r="B834" s="12" t="s">
        <v>3740</v>
      </c>
      <c r="C834" s="13" t="s">
        <v>3757</v>
      </c>
      <c r="D834" s="13" t="s">
        <v>3754</v>
      </c>
      <c r="E834" s="29" t="s">
        <v>3082</v>
      </c>
      <c r="F834" s="13" t="s">
        <v>3083</v>
      </c>
      <c r="G834" s="8">
        <v>23</v>
      </c>
      <c r="H834" s="8"/>
      <c r="I834" s="8"/>
      <c r="J834" s="29" t="s">
        <v>5955</v>
      </c>
      <c r="K834" s="29" t="s">
        <v>5145</v>
      </c>
      <c r="L834" s="29"/>
      <c r="M834" s="68">
        <v>1</v>
      </c>
      <c r="N834" s="68" t="s">
        <v>3051</v>
      </c>
    </row>
    <row r="835" spans="1:14" ht="14.25" x14ac:dyDescent="0.2">
      <c r="A835" s="11" t="s">
        <v>2631</v>
      </c>
      <c r="B835" s="12" t="s">
        <v>3740</v>
      </c>
      <c r="C835" s="13" t="s">
        <v>3757</v>
      </c>
      <c r="D835" s="13" t="s">
        <v>3754</v>
      </c>
      <c r="E835" s="29" t="s">
        <v>6695</v>
      </c>
      <c r="F835" s="13" t="s">
        <v>6696</v>
      </c>
      <c r="G835" s="8">
        <v>63</v>
      </c>
      <c r="H835" s="8"/>
      <c r="I835" s="8"/>
      <c r="J835" s="29" t="s">
        <v>1264</v>
      </c>
      <c r="K835" s="29" t="s">
        <v>5193</v>
      </c>
      <c r="L835" s="29"/>
      <c r="M835" s="68">
        <v>1</v>
      </c>
      <c r="N835" s="68" t="s">
        <v>2869</v>
      </c>
    </row>
    <row r="836" spans="1:14" ht="28.5" x14ac:dyDescent="0.2">
      <c r="A836" s="11" t="s">
        <v>2631</v>
      </c>
      <c r="B836" s="12" t="s">
        <v>4687</v>
      </c>
      <c r="C836" s="13" t="s">
        <v>2872</v>
      </c>
      <c r="D836" s="13" t="s">
        <v>5941</v>
      </c>
      <c r="E836" s="29" t="s">
        <v>2873</v>
      </c>
      <c r="F836" s="13" t="s">
        <v>2872</v>
      </c>
      <c r="G836" s="8">
        <v>4</v>
      </c>
      <c r="H836" s="8">
        <v>1</v>
      </c>
      <c r="I836" s="8">
        <v>11</v>
      </c>
      <c r="J836" s="29" t="s">
        <v>7319</v>
      </c>
      <c r="K836" s="29" t="s">
        <v>2874</v>
      </c>
      <c r="L836" s="29"/>
      <c r="M836" s="68">
        <v>1</v>
      </c>
      <c r="N836" s="68" t="s">
        <v>2869</v>
      </c>
    </row>
    <row r="837" spans="1:14" ht="14.25" x14ac:dyDescent="0.2">
      <c r="A837" s="14" t="s">
        <v>2631</v>
      </c>
      <c r="B837" s="15" t="s">
        <v>3732</v>
      </c>
      <c r="C837" s="16" t="s">
        <v>3757</v>
      </c>
      <c r="D837" s="16" t="s">
        <v>3754</v>
      </c>
      <c r="E837" s="27" t="s">
        <v>6727</v>
      </c>
      <c r="F837" s="16" t="s">
        <v>6728</v>
      </c>
      <c r="G837" s="8">
        <v>30</v>
      </c>
      <c r="H837" s="8"/>
      <c r="I837" s="8"/>
      <c r="J837" s="27" t="s">
        <v>6729</v>
      </c>
      <c r="K837" s="29" t="s">
        <v>6730</v>
      </c>
      <c r="L837" s="29"/>
      <c r="M837" s="68">
        <v>1</v>
      </c>
      <c r="N837" s="68" t="s">
        <v>6726</v>
      </c>
    </row>
    <row r="838" spans="1:14" ht="14.25" x14ac:dyDescent="0.2">
      <c r="A838" s="11" t="s">
        <v>2631</v>
      </c>
      <c r="B838" s="12" t="s">
        <v>3732</v>
      </c>
      <c r="C838" s="16" t="s">
        <v>3761</v>
      </c>
      <c r="D838" s="13" t="s">
        <v>3754</v>
      </c>
      <c r="E838" s="29"/>
      <c r="F838" s="13" t="s">
        <v>2914</v>
      </c>
      <c r="G838" s="8">
        <v>36</v>
      </c>
      <c r="H838" s="8"/>
      <c r="I838" s="8"/>
      <c r="J838" s="29" t="s">
        <v>1272</v>
      </c>
      <c r="K838" s="29" t="s">
        <v>2915</v>
      </c>
      <c r="L838" s="29"/>
      <c r="M838" s="68">
        <v>1</v>
      </c>
      <c r="N838" s="68" t="s">
        <v>2869</v>
      </c>
    </row>
    <row r="839" spans="1:14" ht="14.25" x14ac:dyDescent="0.2">
      <c r="A839" s="11" t="s">
        <v>2631</v>
      </c>
      <c r="B839" s="12" t="s">
        <v>4701</v>
      </c>
      <c r="C839" s="13" t="s">
        <v>3757</v>
      </c>
      <c r="D839" s="13" t="s">
        <v>3754</v>
      </c>
      <c r="E839" s="29" t="s">
        <v>6539</v>
      </c>
      <c r="F839" s="13" t="s">
        <v>6540</v>
      </c>
      <c r="G839" s="8">
        <v>43</v>
      </c>
      <c r="H839" s="8"/>
      <c r="I839" s="8"/>
      <c r="J839" s="29" t="s">
        <v>1270</v>
      </c>
      <c r="K839" s="29" t="s">
        <v>6541</v>
      </c>
      <c r="L839" s="29"/>
      <c r="M839" s="68">
        <v>1</v>
      </c>
      <c r="N839" s="68" t="s">
        <v>5254</v>
      </c>
    </row>
    <row r="840" spans="1:14" ht="14.25" x14ac:dyDescent="0.2">
      <c r="A840" s="11" t="s">
        <v>2631</v>
      </c>
      <c r="B840" s="12" t="s">
        <v>4701</v>
      </c>
      <c r="C840" s="13" t="s">
        <v>3757</v>
      </c>
      <c r="D840" s="13" t="s">
        <v>3754</v>
      </c>
      <c r="E840" s="29" t="s">
        <v>6764</v>
      </c>
      <c r="F840" s="13" t="s">
        <v>6765</v>
      </c>
      <c r="G840" s="8">
        <v>66</v>
      </c>
      <c r="H840" s="8"/>
      <c r="I840" s="8"/>
      <c r="J840" s="29" t="s">
        <v>1264</v>
      </c>
      <c r="K840" s="29" t="s">
        <v>6766</v>
      </c>
      <c r="L840" s="29"/>
      <c r="M840" s="68">
        <v>1</v>
      </c>
      <c r="N840" s="68" t="s">
        <v>5254</v>
      </c>
    </row>
    <row r="841" spans="1:14" ht="14.25" x14ac:dyDescent="0.2">
      <c r="A841" s="11" t="s">
        <v>2631</v>
      </c>
      <c r="B841" s="12" t="s">
        <v>7775</v>
      </c>
      <c r="C841" s="13" t="s">
        <v>2872</v>
      </c>
      <c r="D841" s="13" t="s">
        <v>2872</v>
      </c>
      <c r="E841" s="29" t="s">
        <v>6666</v>
      </c>
      <c r="F841" s="13" t="s">
        <v>4215</v>
      </c>
      <c r="G841" s="8"/>
      <c r="H841" s="8">
        <v>2</v>
      </c>
      <c r="I841" s="8"/>
      <c r="J841" s="29"/>
      <c r="K841" s="29" t="s">
        <v>3434</v>
      </c>
      <c r="L841" s="29"/>
      <c r="M841" s="68">
        <v>1</v>
      </c>
      <c r="N841" s="68" t="s">
        <v>2869</v>
      </c>
    </row>
    <row r="842" spans="1:14" ht="14.25" x14ac:dyDescent="0.2">
      <c r="A842" s="14" t="s">
        <v>2631</v>
      </c>
      <c r="B842" s="15" t="s">
        <v>7776</v>
      </c>
      <c r="C842" s="16" t="s">
        <v>3754</v>
      </c>
      <c r="D842" s="16" t="s">
        <v>3754</v>
      </c>
      <c r="E842" s="27" t="s">
        <v>6936</v>
      </c>
      <c r="F842" s="16" t="s">
        <v>6937</v>
      </c>
      <c r="G842" s="8"/>
      <c r="H842" s="8">
        <v>2</v>
      </c>
      <c r="I842" s="8"/>
      <c r="J842" s="27" t="s">
        <v>6938</v>
      </c>
      <c r="K842" s="29" t="s">
        <v>6939</v>
      </c>
      <c r="L842" s="29"/>
      <c r="M842" s="68">
        <v>1</v>
      </c>
      <c r="N842" s="68" t="s">
        <v>6726</v>
      </c>
    </row>
    <row r="843" spans="1:14" ht="14.25" x14ac:dyDescent="0.2">
      <c r="A843" s="11" t="s">
        <v>2631</v>
      </c>
      <c r="B843" s="12"/>
      <c r="C843" s="13" t="s">
        <v>5699</v>
      </c>
      <c r="D843" s="31"/>
      <c r="E843" s="29" t="s">
        <v>6914</v>
      </c>
      <c r="F843" s="13" t="s">
        <v>2870</v>
      </c>
      <c r="G843" s="8">
        <v>6</v>
      </c>
      <c r="H843" s="8"/>
      <c r="I843" s="8"/>
      <c r="J843" s="29" t="s">
        <v>7319</v>
      </c>
      <c r="K843" s="29" t="s">
        <v>1797</v>
      </c>
      <c r="L843" s="29"/>
      <c r="M843" s="68">
        <v>1</v>
      </c>
      <c r="N843" s="68" t="s">
        <v>2869</v>
      </c>
    </row>
    <row r="844" spans="1:14" ht="14.25" x14ac:dyDescent="0.2">
      <c r="A844" s="11" t="s">
        <v>3006</v>
      </c>
      <c r="B844" s="12" t="s">
        <v>1428</v>
      </c>
      <c r="C844" s="13" t="s">
        <v>3754</v>
      </c>
      <c r="D844" s="13" t="s">
        <v>3754</v>
      </c>
      <c r="E844" s="29" t="s">
        <v>3011</v>
      </c>
      <c r="F844" s="13" t="s">
        <v>3012</v>
      </c>
      <c r="G844" s="8">
        <v>2</v>
      </c>
      <c r="H844" s="8">
        <v>6</v>
      </c>
      <c r="I844" s="8"/>
      <c r="J844" s="29" t="s">
        <v>5082</v>
      </c>
      <c r="K844" s="29" t="s">
        <v>3010</v>
      </c>
      <c r="L844" s="29"/>
      <c r="M844" s="68">
        <v>1</v>
      </c>
      <c r="N844" s="68" t="s">
        <v>2619</v>
      </c>
    </row>
    <row r="845" spans="1:14" ht="14.25" x14ac:dyDescent="0.2">
      <c r="A845" s="11" t="s">
        <v>3006</v>
      </c>
      <c r="B845" s="12" t="s">
        <v>3723</v>
      </c>
      <c r="C845" s="13" t="s">
        <v>3757</v>
      </c>
      <c r="D845" s="13" t="s">
        <v>3754</v>
      </c>
      <c r="E845" s="29" t="s">
        <v>3007</v>
      </c>
      <c r="F845" s="13" t="s">
        <v>3008</v>
      </c>
      <c r="G845" s="8">
        <v>55</v>
      </c>
      <c r="H845" s="8"/>
      <c r="I845" s="8"/>
      <c r="J845" s="29" t="s">
        <v>3009</v>
      </c>
      <c r="K845" s="29" t="s">
        <v>3010</v>
      </c>
      <c r="L845" s="29"/>
      <c r="M845" s="68">
        <v>1</v>
      </c>
      <c r="N845" s="68" t="s">
        <v>2619</v>
      </c>
    </row>
    <row r="846" spans="1:14" ht="14.25" x14ac:dyDescent="0.2">
      <c r="A846" s="11" t="s">
        <v>2904</v>
      </c>
      <c r="B846" s="12" t="s">
        <v>7777</v>
      </c>
      <c r="C846" s="16" t="s">
        <v>3761</v>
      </c>
      <c r="D846" s="13" t="s">
        <v>3754</v>
      </c>
      <c r="E846" s="29" t="s">
        <v>2905</v>
      </c>
      <c r="F846" s="13" t="s">
        <v>2906</v>
      </c>
      <c r="G846" s="8"/>
      <c r="H846" s="8">
        <v>9</v>
      </c>
      <c r="I846" s="8">
        <v>5</v>
      </c>
      <c r="J846" s="29" t="s">
        <v>5082</v>
      </c>
      <c r="K846" s="29" t="s">
        <v>2907</v>
      </c>
      <c r="L846" s="29"/>
      <c r="M846" s="68">
        <v>1</v>
      </c>
      <c r="N846" s="68" t="s">
        <v>2869</v>
      </c>
    </row>
    <row r="847" spans="1:14" ht="14.25" x14ac:dyDescent="0.2">
      <c r="A847" s="11" t="s">
        <v>2887</v>
      </c>
      <c r="B847" s="12" t="s">
        <v>1432</v>
      </c>
      <c r="C847" s="13" t="s">
        <v>8621</v>
      </c>
      <c r="D847" s="13" t="s">
        <v>3754</v>
      </c>
      <c r="E847" s="29" t="s">
        <v>7179</v>
      </c>
      <c r="F847" s="13" t="s">
        <v>6525</v>
      </c>
      <c r="G847" s="8">
        <v>24</v>
      </c>
      <c r="H847" s="8"/>
      <c r="I847" s="8"/>
      <c r="J847" s="29" t="s">
        <v>1272</v>
      </c>
      <c r="K847" s="29" t="s">
        <v>6526</v>
      </c>
      <c r="L847" s="29"/>
      <c r="M847" s="68">
        <v>1</v>
      </c>
      <c r="N847" s="68" t="s">
        <v>5254</v>
      </c>
    </row>
    <row r="848" spans="1:14" ht="14.25" x14ac:dyDescent="0.2">
      <c r="A848" s="11" t="s">
        <v>2887</v>
      </c>
      <c r="B848" s="12" t="s">
        <v>1879</v>
      </c>
      <c r="C848" s="16" t="s">
        <v>3761</v>
      </c>
      <c r="D848" s="13" t="s">
        <v>3754</v>
      </c>
      <c r="E848" s="29" t="s">
        <v>3303</v>
      </c>
      <c r="F848" s="13" t="s">
        <v>2888</v>
      </c>
      <c r="G848" s="8">
        <v>10</v>
      </c>
      <c r="H848" s="8">
        <v>6</v>
      </c>
      <c r="I848" s="8"/>
      <c r="J848" s="29"/>
      <c r="K848" s="29" t="s">
        <v>3305</v>
      </c>
      <c r="L848" s="29"/>
      <c r="M848" s="68">
        <v>1</v>
      </c>
      <c r="N848" s="68" t="s">
        <v>2869</v>
      </c>
    </row>
    <row r="849" spans="1:14" ht="14.25" x14ac:dyDescent="0.2">
      <c r="A849" s="11" t="s">
        <v>2887</v>
      </c>
      <c r="B849" s="12" t="s">
        <v>5057</v>
      </c>
      <c r="C849" s="16" t="s">
        <v>3761</v>
      </c>
      <c r="D849" s="13" t="s">
        <v>3754</v>
      </c>
      <c r="E849" s="29" t="s">
        <v>6738</v>
      </c>
      <c r="F849" s="13" t="s">
        <v>6739</v>
      </c>
      <c r="G849" s="8">
        <v>34</v>
      </c>
      <c r="H849" s="8"/>
      <c r="I849" s="8"/>
      <c r="J849" s="29" t="s">
        <v>1270</v>
      </c>
      <c r="K849" s="29" t="s">
        <v>6740</v>
      </c>
      <c r="L849" s="29"/>
      <c r="M849" s="68">
        <v>1</v>
      </c>
      <c r="N849" s="68" t="s">
        <v>5254</v>
      </c>
    </row>
    <row r="850" spans="1:14" ht="28.5" x14ac:dyDescent="0.2">
      <c r="A850" s="11" t="s">
        <v>5240</v>
      </c>
      <c r="B850" s="12" t="s">
        <v>6192</v>
      </c>
      <c r="C850" s="13" t="s">
        <v>6944</v>
      </c>
      <c r="D850" s="13" t="s">
        <v>3754</v>
      </c>
      <c r="E850" s="29" t="s">
        <v>5241</v>
      </c>
      <c r="F850" s="13" t="s">
        <v>6707</v>
      </c>
      <c r="G850" s="8">
        <v>35</v>
      </c>
      <c r="H850" s="8"/>
      <c r="I850" s="8"/>
      <c r="J850" s="29" t="s">
        <v>1264</v>
      </c>
      <c r="K850" s="29" t="s">
        <v>5242</v>
      </c>
      <c r="L850" s="29"/>
      <c r="M850" s="68">
        <v>1</v>
      </c>
      <c r="N850" s="68" t="s">
        <v>3051</v>
      </c>
    </row>
    <row r="851" spans="1:14" ht="14.25" x14ac:dyDescent="0.2">
      <c r="A851" s="14" t="s">
        <v>3045</v>
      </c>
      <c r="B851" s="15" t="s">
        <v>3734</v>
      </c>
      <c r="C851" s="16" t="s">
        <v>3754</v>
      </c>
      <c r="D851" s="16" t="s">
        <v>3754</v>
      </c>
      <c r="E851" s="27" t="s">
        <v>6967</v>
      </c>
      <c r="F851" s="16" t="s">
        <v>6951</v>
      </c>
      <c r="G851" s="8">
        <v>1</v>
      </c>
      <c r="H851" s="8">
        <v>4</v>
      </c>
      <c r="I851" s="8"/>
      <c r="J851" s="27" t="s">
        <v>1264</v>
      </c>
      <c r="K851" s="29" t="s">
        <v>6968</v>
      </c>
      <c r="L851" s="29"/>
      <c r="M851" s="68">
        <v>1</v>
      </c>
      <c r="N851" s="68" t="s">
        <v>6726</v>
      </c>
    </row>
    <row r="852" spans="1:14" ht="14.25" x14ac:dyDescent="0.2">
      <c r="A852" s="14" t="s">
        <v>3045</v>
      </c>
      <c r="B852" s="15" t="s">
        <v>3734</v>
      </c>
      <c r="C852" s="16" t="s">
        <v>3757</v>
      </c>
      <c r="D852" s="28"/>
      <c r="E852" s="27" t="s">
        <v>6950</v>
      </c>
      <c r="F852" s="16" t="s">
        <v>6951</v>
      </c>
      <c r="G852" s="8">
        <v>45</v>
      </c>
      <c r="H852" s="8"/>
      <c r="I852" s="8"/>
      <c r="J852" s="27" t="s">
        <v>2335</v>
      </c>
      <c r="K852" s="29" t="s">
        <v>6952</v>
      </c>
      <c r="L852" s="29"/>
      <c r="M852" s="68">
        <v>1</v>
      </c>
      <c r="N852" s="68" t="s">
        <v>6726</v>
      </c>
    </row>
    <row r="853" spans="1:14" ht="14.25" x14ac:dyDescent="0.2">
      <c r="A853" s="14" t="s">
        <v>3045</v>
      </c>
      <c r="B853" s="15" t="s">
        <v>3740</v>
      </c>
      <c r="C853" s="16" t="s">
        <v>6924</v>
      </c>
      <c r="D853" s="16"/>
      <c r="E853" s="27" t="s">
        <v>6925</v>
      </c>
      <c r="F853" s="16" t="s">
        <v>6926</v>
      </c>
      <c r="G853" s="8">
        <v>8</v>
      </c>
      <c r="H853" s="8"/>
      <c r="I853" s="8"/>
      <c r="J853" s="27" t="s">
        <v>6927</v>
      </c>
      <c r="K853" s="29" t="s">
        <v>6928</v>
      </c>
      <c r="L853" s="29"/>
      <c r="M853" s="68">
        <v>1</v>
      </c>
      <c r="N853" s="68" t="s">
        <v>6726</v>
      </c>
    </row>
    <row r="854" spans="1:14" ht="14.25" x14ac:dyDescent="0.2">
      <c r="A854" s="11" t="s">
        <v>3045</v>
      </c>
      <c r="B854" s="12" t="s">
        <v>5073</v>
      </c>
      <c r="C854" s="13" t="s">
        <v>3754</v>
      </c>
      <c r="D854" s="13" t="s">
        <v>3761</v>
      </c>
      <c r="E854" s="29" t="s">
        <v>6720</v>
      </c>
      <c r="F854" s="13" t="s">
        <v>6721</v>
      </c>
      <c r="G854" s="8"/>
      <c r="H854" s="8">
        <v>3</v>
      </c>
      <c r="I854" s="8"/>
      <c r="J854" s="29" t="s">
        <v>4829</v>
      </c>
      <c r="K854" s="29" t="s">
        <v>6722</v>
      </c>
      <c r="L854" s="29"/>
      <c r="M854" s="68">
        <v>1</v>
      </c>
      <c r="N854" s="68" t="s">
        <v>3051</v>
      </c>
    </row>
    <row r="855" spans="1:14" ht="14.25" x14ac:dyDescent="0.2">
      <c r="A855" s="11" t="s">
        <v>3045</v>
      </c>
      <c r="B855" s="12" t="s">
        <v>3723</v>
      </c>
      <c r="C855" s="13" t="s">
        <v>3757</v>
      </c>
      <c r="D855" s="13" t="s">
        <v>3754</v>
      </c>
      <c r="E855" s="29" t="s">
        <v>6749</v>
      </c>
      <c r="F855" s="13" t="s">
        <v>6750</v>
      </c>
      <c r="G855" s="8">
        <v>80</v>
      </c>
      <c r="H855" s="8"/>
      <c r="I855" s="8"/>
      <c r="J855" s="29" t="s">
        <v>1271</v>
      </c>
      <c r="K855" s="29" t="s">
        <v>6751</v>
      </c>
      <c r="L855" s="29"/>
      <c r="M855" s="68">
        <v>1</v>
      </c>
      <c r="N855" s="68" t="s">
        <v>5254</v>
      </c>
    </row>
    <row r="856" spans="1:14" ht="14.25" x14ac:dyDescent="0.2">
      <c r="A856" s="11" t="s">
        <v>3045</v>
      </c>
      <c r="B856" s="12" t="s">
        <v>7778</v>
      </c>
      <c r="C856" s="13" t="s">
        <v>3754</v>
      </c>
      <c r="D856" s="13" t="s">
        <v>3754</v>
      </c>
      <c r="E856" s="29" t="s">
        <v>3046</v>
      </c>
      <c r="F856" s="13" t="s">
        <v>3047</v>
      </c>
      <c r="G856" s="8"/>
      <c r="H856" s="8">
        <v>9</v>
      </c>
      <c r="I856" s="8">
        <v>10</v>
      </c>
      <c r="J856" s="29" t="s">
        <v>1261</v>
      </c>
      <c r="K856" s="29" t="s">
        <v>3048</v>
      </c>
      <c r="L856" s="29"/>
      <c r="M856" s="68">
        <v>1</v>
      </c>
      <c r="N856" s="68" t="s">
        <v>2619</v>
      </c>
    </row>
    <row r="857" spans="1:14" ht="14.25" x14ac:dyDescent="0.2">
      <c r="A857" s="14" t="s">
        <v>3045</v>
      </c>
      <c r="B857" s="15" t="s">
        <v>5542</v>
      </c>
      <c r="C857" s="16" t="s">
        <v>3754</v>
      </c>
      <c r="D857" s="16" t="s">
        <v>3754</v>
      </c>
      <c r="E857" s="27" t="s">
        <v>6941</v>
      </c>
      <c r="F857" s="16" t="s">
        <v>6942</v>
      </c>
      <c r="G857" s="8">
        <v>7</v>
      </c>
      <c r="H857" s="8">
        <v>9</v>
      </c>
      <c r="I857" s="8"/>
      <c r="J857" s="27" t="s">
        <v>7319</v>
      </c>
      <c r="K857" s="29" t="s">
        <v>6943</v>
      </c>
      <c r="L857" s="29"/>
      <c r="M857" s="68">
        <v>1</v>
      </c>
      <c r="N857" s="68" t="s">
        <v>6726</v>
      </c>
    </row>
    <row r="858" spans="1:14" ht="14.25" x14ac:dyDescent="0.2">
      <c r="A858" s="11" t="s">
        <v>3045</v>
      </c>
      <c r="B858" s="12" t="s">
        <v>7779</v>
      </c>
      <c r="C858" s="16" t="s">
        <v>3761</v>
      </c>
      <c r="D858" s="13" t="s">
        <v>3754</v>
      </c>
      <c r="E858" s="29" t="s">
        <v>6752</v>
      </c>
      <c r="F858" s="13" t="s">
        <v>6753</v>
      </c>
      <c r="G858" s="8">
        <v>39</v>
      </c>
      <c r="H858" s="8"/>
      <c r="I858" s="8"/>
      <c r="J858" s="29" t="s">
        <v>1264</v>
      </c>
      <c r="K858" s="29" t="s">
        <v>1512</v>
      </c>
      <c r="L858" s="29"/>
      <c r="M858" s="68">
        <v>1</v>
      </c>
      <c r="N858" s="68" t="s">
        <v>5254</v>
      </c>
    </row>
    <row r="859" spans="1:14" ht="14.25" x14ac:dyDescent="0.2">
      <c r="A859" s="14" t="s">
        <v>6046</v>
      </c>
      <c r="B859" s="15" t="s">
        <v>6057</v>
      </c>
      <c r="C859" s="16" t="s">
        <v>3754</v>
      </c>
      <c r="D859" s="16" t="s">
        <v>3761</v>
      </c>
      <c r="E859" s="27" t="s">
        <v>6058</v>
      </c>
      <c r="F859" s="16" t="s">
        <v>6059</v>
      </c>
      <c r="G859" s="8">
        <v>19</v>
      </c>
      <c r="H859" s="8"/>
      <c r="I859" s="8"/>
      <c r="J859" s="27" t="s">
        <v>1264</v>
      </c>
      <c r="K859" s="27" t="s">
        <v>4962</v>
      </c>
      <c r="L859" s="29"/>
      <c r="M859" s="68">
        <v>1</v>
      </c>
      <c r="N859" s="68" t="s">
        <v>6778</v>
      </c>
    </row>
    <row r="860" spans="1:14" ht="14.25" x14ac:dyDescent="0.2">
      <c r="A860" s="14" t="s">
        <v>6046</v>
      </c>
      <c r="B860" s="15" t="s">
        <v>4685</v>
      </c>
      <c r="C860" s="16" t="s">
        <v>3757</v>
      </c>
      <c r="D860" s="16" t="s">
        <v>3761</v>
      </c>
      <c r="E860" s="27" t="s">
        <v>5908</v>
      </c>
      <c r="F860" s="16" t="s">
        <v>5909</v>
      </c>
      <c r="G860" s="8">
        <v>51</v>
      </c>
      <c r="H860" s="8"/>
      <c r="I860" s="8"/>
      <c r="J860" s="27" t="s">
        <v>5910</v>
      </c>
      <c r="K860" s="27" t="s">
        <v>5911</v>
      </c>
      <c r="L860" s="29"/>
      <c r="M860" s="68">
        <v>1</v>
      </c>
      <c r="N860" s="68" t="s">
        <v>6778</v>
      </c>
    </row>
    <row r="861" spans="1:14" ht="14.25" x14ac:dyDescent="0.2">
      <c r="A861" s="14" t="s">
        <v>6046</v>
      </c>
      <c r="B861" s="15" t="s">
        <v>6048</v>
      </c>
      <c r="C861" s="16" t="s">
        <v>3754</v>
      </c>
      <c r="D861" s="13" t="s">
        <v>3754</v>
      </c>
      <c r="E861" s="27" t="s">
        <v>6049</v>
      </c>
      <c r="F861" s="16" t="s">
        <v>6047</v>
      </c>
      <c r="G861" s="8">
        <v>25</v>
      </c>
      <c r="H861" s="8"/>
      <c r="I861" s="8"/>
      <c r="J861" s="27" t="s">
        <v>1264</v>
      </c>
      <c r="K861" s="27" t="s">
        <v>3148</v>
      </c>
      <c r="L861" s="29"/>
      <c r="M861" s="68">
        <v>1</v>
      </c>
      <c r="N861" s="68" t="s">
        <v>6778</v>
      </c>
    </row>
    <row r="862" spans="1:14" ht="14.25" x14ac:dyDescent="0.2">
      <c r="A862" s="14" t="s">
        <v>6046</v>
      </c>
      <c r="B862" s="15" t="s">
        <v>4799</v>
      </c>
      <c r="C862" s="16" t="s">
        <v>3754</v>
      </c>
      <c r="D862" s="16" t="s">
        <v>3761</v>
      </c>
      <c r="E862" s="27">
        <v>1855</v>
      </c>
      <c r="F862" s="16" t="s">
        <v>6047</v>
      </c>
      <c r="G862" s="8"/>
      <c r="H862" s="8">
        <v>8</v>
      </c>
      <c r="I862" s="8"/>
      <c r="J862" s="27" t="s">
        <v>6050</v>
      </c>
      <c r="K862" s="27" t="s">
        <v>3148</v>
      </c>
      <c r="L862" s="29"/>
      <c r="M862" s="68">
        <v>1</v>
      </c>
      <c r="N862" s="68" t="s">
        <v>6778</v>
      </c>
    </row>
    <row r="863" spans="1:14" ht="14.25" x14ac:dyDescent="0.2">
      <c r="A863" s="14" t="s">
        <v>6046</v>
      </c>
      <c r="B863" s="15" t="s">
        <v>3746</v>
      </c>
      <c r="C863" s="16" t="s">
        <v>3754</v>
      </c>
      <c r="D863" s="16" t="s">
        <v>6073</v>
      </c>
      <c r="E863" s="27" t="s">
        <v>6074</v>
      </c>
      <c r="F863" s="16" t="s">
        <v>6075</v>
      </c>
      <c r="G863" s="8">
        <v>29</v>
      </c>
      <c r="H863" s="8"/>
      <c r="I863" s="8"/>
      <c r="J863" s="27" t="s">
        <v>1264</v>
      </c>
      <c r="K863" s="27" t="s">
        <v>1954</v>
      </c>
      <c r="L863" s="29"/>
      <c r="M863" s="68">
        <v>1</v>
      </c>
      <c r="N863" s="68" t="s">
        <v>6778</v>
      </c>
    </row>
    <row r="864" spans="1:14" ht="14.25" x14ac:dyDescent="0.2">
      <c r="A864" s="14" t="s">
        <v>6046</v>
      </c>
      <c r="B864" s="15" t="s">
        <v>1445</v>
      </c>
      <c r="C864" s="16" t="s">
        <v>3754</v>
      </c>
      <c r="D864" s="16" t="s">
        <v>3761</v>
      </c>
      <c r="E864" s="27">
        <v>1860</v>
      </c>
      <c r="F864" s="16" t="s">
        <v>6047</v>
      </c>
      <c r="G864" s="8">
        <v>7</v>
      </c>
      <c r="H864" s="8"/>
      <c r="I864" s="8"/>
      <c r="J864" s="27" t="s">
        <v>1264</v>
      </c>
      <c r="K864" s="27" t="s">
        <v>3148</v>
      </c>
      <c r="L864" s="29"/>
      <c r="M864" s="68">
        <v>1</v>
      </c>
      <c r="N864" s="68" t="s">
        <v>6778</v>
      </c>
    </row>
    <row r="865" spans="1:14" ht="14.25" x14ac:dyDescent="0.2">
      <c r="A865" s="14" t="s">
        <v>3103</v>
      </c>
      <c r="B865" s="15" t="s">
        <v>3735</v>
      </c>
      <c r="C865" s="16" t="s">
        <v>3757</v>
      </c>
      <c r="D865" s="16" t="s">
        <v>3761</v>
      </c>
      <c r="E865" s="27" t="s">
        <v>3104</v>
      </c>
      <c r="F865" s="16" t="s">
        <v>3105</v>
      </c>
      <c r="G865" s="8">
        <v>42</v>
      </c>
      <c r="H865" s="8"/>
      <c r="I865" s="8"/>
      <c r="J865" s="27" t="s">
        <v>4742</v>
      </c>
      <c r="K865" s="27" t="s">
        <v>1283</v>
      </c>
      <c r="L865" s="29"/>
      <c r="M865" s="68">
        <v>1</v>
      </c>
      <c r="N865" s="68" t="s">
        <v>6778</v>
      </c>
    </row>
    <row r="866" spans="1:14" ht="14.25" x14ac:dyDescent="0.2">
      <c r="A866" s="14" t="s">
        <v>6084</v>
      </c>
      <c r="B866" s="15" t="s">
        <v>4685</v>
      </c>
      <c r="C866" s="16" t="s">
        <v>3757</v>
      </c>
      <c r="D866" s="16" t="s">
        <v>3761</v>
      </c>
      <c r="E866" s="27" t="s">
        <v>5900</v>
      </c>
      <c r="F866" s="16" t="s">
        <v>5901</v>
      </c>
      <c r="G866" s="8">
        <v>62</v>
      </c>
      <c r="H866" s="8"/>
      <c r="I866" s="8"/>
      <c r="J866" s="27" t="s">
        <v>2989</v>
      </c>
      <c r="K866" s="27" t="s">
        <v>3675</v>
      </c>
      <c r="L866" s="29"/>
      <c r="M866" s="68">
        <v>1</v>
      </c>
      <c r="N866" s="68" t="s">
        <v>6778</v>
      </c>
    </row>
    <row r="867" spans="1:14" ht="14.25" x14ac:dyDescent="0.2">
      <c r="A867" s="14" t="s">
        <v>6084</v>
      </c>
      <c r="B867" s="15" t="s">
        <v>6085</v>
      </c>
      <c r="C867" s="16" t="s">
        <v>3754</v>
      </c>
      <c r="D867" s="16" t="s">
        <v>3761</v>
      </c>
      <c r="E867" s="27" t="s">
        <v>6086</v>
      </c>
      <c r="F867" s="16" t="s">
        <v>6087</v>
      </c>
      <c r="G867" s="8">
        <v>2</v>
      </c>
      <c r="H867" s="8">
        <v>4</v>
      </c>
      <c r="I867" s="8"/>
      <c r="J867" s="27" t="s">
        <v>4790</v>
      </c>
      <c r="K867" s="27" t="s">
        <v>6088</v>
      </c>
      <c r="L867" s="29"/>
      <c r="M867" s="68">
        <v>1</v>
      </c>
      <c r="N867" s="68" t="s">
        <v>6778</v>
      </c>
    </row>
    <row r="868" spans="1:14" ht="14.25" x14ac:dyDescent="0.2">
      <c r="A868" s="14" t="s">
        <v>6084</v>
      </c>
      <c r="B868" s="15" t="s">
        <v>3733</v>
      </c>
      <c r="C868" s="16" t="s">
        <v>3757</v>
      </c>
      <c r="D868" s="16" t="s">
        <v>3761</v>
      </c>
      <c r="E868" s="27" t="s">
        <v>5902</v>
      </c>
      <c r="F868" s="16" t="s">
        <v>5901</v>
      </c>
      <c r="G868" s="8">
        <v>60</v>
      </c>
      <c r="H868" s="8"/>
      <c r="I868" s="8"/>
      <c r="J868" s="27" t="s">
        <v>5903</v>
      </c>
      <c r="K868" s="45" t="s">
        <v>6571</v>
      </c>
      <c r="L868" s="61"/>
      <c r="M868" s="68">
        <v>1</v>
      </c>
      <c r="N868" s="68" t="s">
        <v>6778</v>
      </c>
    </row>
    <row r="869" spans="1:14" ht="14.25" x14ac:dyDescent="0.2">
      <c r="A869" s="17" t="s">
        <v>1809</v>
      </c>
      <c r="B869" s="18" t="s">
        <v>4685</v>
      </c>
      <c r="C869" s="19" t="s">
        <v>3754</v>
      </c>
      <c r="D869" s="19" t="s">
        <v>1960</v>
      </c>
      <c r="E869" s="46" t="s">
        <v>6083</v>
      </c>
      <c r="F869" s="19"/>
      <c r="G869" s="8">
        <v>6</v>
      </c>
      <c r="H869" s="8">
        <v>3</v>
      </c>
      <c r="I869" s="8"/>
      <c r="J869" s="45"/>
      <c r="K869" s="45" t="s">
        <v>3445</v>
      </c>
      <c r="L869" s="61"/>
      <c r="M869" s="68">
        <v>1</v>
      </c>
      <c r="N869" s="68" t="s">
        <v>6778</v>
      </c>
    </row>
    <row r="870" spans="1:14" ht="14.25" x14ac:dyDescent="0.2">
      <c r="A870" s="17" t="s">
        <v>3110</v>
      </c>
      <c r="B870" s="18" t="s">
        <v>6053</v>
      </c>
      <c r="C870" s="19" t="s">
        <v>3754</v>
      </c>
      <c r="D870" s="19" t="s">
        <v>6054</v>
      </c>
      <c r="E870" s="45" t="s">
        <v>6055</v>
      </c>
      <c r="F870" s="19"/>
      <c r="G870" s="8">
        <v>45</v>
      </c>
      <c r="H870" s="8"/>
      <c r="I870" s="8"/>
      <c r="J870" s="45" t="s">
        <v>6056</v>
      </c>
      <c r="K870" s="45" t="s">
        <v>6789</v>
      </c>
      <c r="L870" s="61"/>
      <c r="M870" s="68">
        <v>1</v>
      </c>
      <c r="N870" s="68" t="s">
        <v>6778</v>
      </c>
    </row>
    <row r="871" spans="1:14" ht="14.25" x14ac:dyDescent="0.2">
      <c r="A871" s="14" t="s">
        <v>3110</v>
      </c>
      <c r="B871" s="15" t="s">
        <v>5029</v>
      </c>
      <c r="C871" s="16" t="s">
        <v>8621</v>
      </c>
      <c r="D871" s="16" t="s">
        <v>3761</v>
      </c>
      <c r="E871" s="27" t="s">
        <v>6033</v>
      </c>
      <c r="F871" s="16" t="s">
        <v>6034</v>
      </c>
      <c r="G871" s="8">
        <v>28</v>
      </c>
      <c r="H871" s="8"/>
      <c r="I871" s="8"/>
      <c r="J871" s="27" t="s">
        <v>4742</v>
      </c>
      <c r="K871" s="27" t="s">
        <v>6035</v>
      </c>
      <c r="L871" s="29"/>
      <c r="M871" s="68">
        <v>1</v>
      </c>
      <c r="N871" s="68" t="s">
        <v>6778</v>
      </c>
    </row>
    <row r="872" spans="1:14" ht="14.25" x14ac:dyDescent="0.2">
      <c r="A872" s="14" t="s">
        <v>6076</v>
      </c>
      <c r="B872" s="15" t="s">
        <v>6080</v>
      </c>
      <c r="C872" s="16" t="s">
        <v>3754</v>
      </c>
      <c r="D872" s="16" t="s">
        <v>3761</v>
      </c>
      <c r="E872" s="27" t="s">
        <v>6081</v>
      </c>
      <c r="F872" s="16" t="s">
        <v>6082</v>
      </c>
      <c r="G872" s="8">
        <v>16</v>
      </c>
      <c r="H872" s="8"/>
      <c r="I872" s="8"/>
      <c r="J872" s="27" t="s">
        <v>3453</v>
      </c>
      <c r="K872" s="27" t="s">
        <v>3339</v>
      </c>
      <c r="L872" s="29"/>
      <c r="M872" s="68">
        <v>1</v>
      </c>
      <c r="N872" s="68" t="s">
        <v>6778</v>
      </c>
    </row>
    <row r="873" spans="1:14" ht="14.25" x14ac:dyDescent="0.2">
      <c r="A873" s="14" t="s">
        <v>6076</v>
      </c>
      <c r="B873" s="15" t="s">
        <v>6077</v>
      </c>
      <c r="C873" s="16" t="s">
        <v>3757</v>
      </c>
      <c r="D873" s="16" t="s">
        <v>1943</v>
      </c>
      <c r="E873" s="27" t="s">
        <v>6078</v>
      </c>
      <c r="F873" s="16" t="s">
        <v>6079</v>
      </c>
      <c r="G873" s="8">
        <v>36</v>
      </c>
      <c r="H873" s="8"/>
      <c r="I873" s="8"/>
      <c r="J873" s="27" t="s">
        <v>1264</v>
      </c>
      <c r="K873" s="27" t="s">
        <v>3318</v>
      </c>
      <c r="L873" s="29"/>
      <c r="M873" s="68">
        <v>1</v>
      </c>
      <c r="N873" s="68" t="s">
        <v>6778</v>
      </c>
    </row>
    <row r="874" spans="1:14" ht="14.25" x14ac:dyDescent="0.2">
      <c r="A874" s="14" t="s">
        <v>6051</v>
      </c>
      <c r="B874" s="15" t="s">
        <v>3734</v>
      </c>
      <c r="C874" s="16" t="s">
        <v>3757</v>
      </c>
      <c r="D874" s="16" t="s">
        <v>3761</v>
      </c>
      <c r="E874" s="27">
        <v>1867</v>
      </c>
      <c r="F874" s="16" t="s">
        <v>2344</v>
      </c>
      <c r="G874" s="8">
        <v>22</v>
      </c>
      <c r="H874" s="8"/>
      <c r="I874" s="8"/>
      <c r="J874" s="27" t="s">
        <v>1264</v>
      </c>
      <c r="K874" s="27" t="s">
        <v>2345</v>
      </c>
      <c r="L874" s="29"/>
      <c r="M874" s="68">
        <v>1</v>
      </c>
      <c r="N874" s="68" t="s">
        <v>6778</v>
      </c>
    </row>
    <row r="875" spans="1:14" ht="14.25" x14ac:dyDescent="0.2">
      <c r="A875" s="14" t="s">
        <v>6051</v>
      </c>
      <c r="B875" s="15" t="s">
        <v>4685</v>
      </c>
      <c r="C875" s="16" t="s">
        <v>3757</v>
      </c>
      <c r="D875" s="16" t="s">
        <v>3425</v>
      </c>
      <c r="E875" s="27" t="s">
        <v>6060</v>
      </c>
      <c r="F875" s="16" t="s">
        <v>3768</v>
      </c>
      <c r="G875" s="8">
        <v>34</v>
      </c>
      <c r="H875" s="8"/>
      <c r="I875" s="8"/>
      <c r="J875" s="27" t="s">
        <v>6061</v>
      </c>
      <c r="K875" s="27" t="s">
        <v>6062</v>
      </c>
      <c r="L875" s="29"/>
      <c r="M875" s="68">
        <v>1</v>
      </c>
      <c r="N875" s="68" t="s">
        <v>6778</v>
      </c>
    </row>
    <row r="876" spans="1:14" ht="14.25" x14ac:dyDescent="0.2">
      <c r="A876" s="14" t="s">
        <v>6051</v>
      </c>
      <c r="B876" s="15" t="s">
        <v>3740</v>
      </c>
      <c r="C876" s="16" t="s">
        <v>3757</v>
      </c>
      <c r="D876" s="16" t="s">
        <v>3761</v>
      </c>
      <c r="E876" s="27">
        <v>1861</v>
      </c>
      <c r="F876" s="16" t="s">
        <v>6052</v>
      </c>
      <c r="G876" s="8">
        <v>19</v>
      </c>
      <c r="H876" s="8">
        <v>6</v>
      </c>
      <c r="I876" s="8"/>
      <c r="J876" s="27" t="s">
        <v>1264</v>
      </c>
      <c r="K876" s="27" t="s">
        <v>2345</v>
      </c>
      <c r="L876" s="29"/>
      <c r="M876" s="68">
        <v>1</v>
      </c>
      <c r="N876" s="68" t="s">
        <v>6778</v>
      </c>
    </row>
    <row r="877" spans="1:14" ht="28.5" x14ac:dyDescent="0.2">
      <c r="A877" s="14" t="s">
        <v>6051</v>
      </c>
      <c r="B877" s="15" t="s">
        <v>2094</v>
      </c>
      <c r="C877" s="16" t="s">
        <v>3757</v>
      </c>
      <c r="D877" s="16" t="s">
        <v>3761</v>
      </c>
      <c r="E877" s="27" t="s">
        <v>6706</v>
      </c>
      <c r="F877" s="16" t="s">
        <v>6052</v>
      </c>
      <c r="G877" s="8">
        <v>16</v>
      </c>
      <c r="H877" s="8"/>
      <c r="I877" s="8"/>
      <c r="J877" s="27" t="s">
        <v>1264</v>
      </c>
      <c r="K877" s="27" t="s">
        <v>2345</v>
      </c>
      <c r="L877" s="29" t="s">
        <v>6700</v>
      </c>
      <c r="M877" s="68">
        <v>1</v>
      </c>
      <c r="N877" s="68" t="s">
        <v>6778</v>
      </c>
    </row>
    <row r="878" spans="1:14" ht="14.25" x14ac:dyDescent="0.2">
      <c r="A878" s="14" t="s">
        <v>6067</v>
      </c>
      <c r="B878" s="15" t="s">
        <v>1432</v>
      </c>
      <c r="C878" s="16" t="s">
        <v>3754</v>
      </c>
      <c r="D878" s="16"/>
      <c r="E878" s="27" t="s">
        <v>6071</v>
      </c>
      <c r="F878" s="16" t="s">
        <v>6069</v>
      </c>
      <c r="G878" s="8">
        <v>24</v>
      </c>
      <c r="H878" s="8">
        <v>4</v>
      </c>
      <c r="I878" s="8"/>
      <c r="J878" s="27" t="s">
        <v>1264</v>
      </c>
      <c r="K878" s="27" t="s">
        <v>6072</v>
      </c>
      <c r="L878" s="29"/>
      <c r="M878" s="68">
        <v>1</v>
      </c>
      <c r="N878" s="68" t="s">
        <v>6778</v>
      </c>
    </row>
    <row r="879" spans="1:14" ht="14.25" x14ac:dyDescent="0.2">
      <c r="A879" s="14" t="s">
        <v>6067</v>
      </c>
      <c r="B879" s="15" t="s">
        <v>4581</v>
      </c>
      <c r="C879" s="16" t="s">
        <v>3754</v>
      </c>
      <c r="D879" s="16" t="s">
        <v>3761</v>
      </c>
      <c r="E879" s="27" t="s">
        <v>6068</v>
      </c>
      <c r="F879" s="16" t="s">
        <v>6069</v>
      </c>
      <c r="G879" s="8"/>
      <c r="H879" s="8">
        <v>4</v>
      </c>
      <c r="I879" s="8"/>
      <c r="J879" s="27" t="s">
        <v>1412</v>
      </c>
      <c r="K879" s="27" t="s">
        <v>6070</v>
      </c>
      <c r="L879" s="29"/>
      <c r="M879" s="68">
        <v>1</v>
      </c>
      <c r="N879" s="68" t="s">
        <v>6778</v>
      </c>
    </row>
    <row r="880" spans="1:14" ht="14.25" x14ac:dyDescent="0.2">
      <c r="A880" s="14" t="s">
        <v>6063</v>
      </c>
      <c r="B880" s="15" t="s">
        <v>5904</v>
      </c>
      <c r="C880" s="16" t="s">
        <v>3754</v>
      </c>
      <c r="D880" s="16" t="s">
        <v>3761</v>
      </c>
      <c r="E880" s="27" t="s">
        <v>5905</v>
      </c>
      <c r="F880" s="16" t="s">
        <v>5906</v>
      </c>
      <c r="G880" s="8"/>
      <c r="H880" s="8"/>
      <c r="I880" s="8">
        <v>1</v>
      </c>
      <c r="J880" s="27" t="s">
        <v>1277</v>
      </c>
      <c r="K880" s="27" t="s">
        <v>5907</v>
      </c>
      <c r="L880" s="29"/>
      <c r="M880" s="68">
        <v>1</v>
      </c>
      <c r="N880" s="68" t="s">
        <v>6778</v>
      </c>
    </row>
    <row r="881" spans="1:14" ht="14.25" x14ac:dyDescent="0.2">
      <c r="A881" s="14" t="s">
        <v>6063</v>
      </c>
      <c r="B881" s="15" t="s">
        <v>4701</v>
      </c>
      <c r="C881" s="16" t="s">
        <v>3757</v>
      </c>
      <c r="D881" s="16"/>
      <c r="E881" s="27" t="s">
        <v>6064</v>
      </c>
      <c r="F881" s="16" t="s">
        <v>6065</v>
      </c>
      <c r="G881" s="8">
        <v>64</v>
      </c>
      <c r="H881" s="8"/>
      <c r="I881" s="8"/>
      <c r="J881" s="27" t="s">
        <v>1264</v>
      </c>
      <c r="K881" s="27" t="s">
        <v>6066</v>
      </c>
      <c r="L881" s="29"/>
      <c r="M881" s="68">
        <v>1</v>
      </c>
      <c r="N881" s="68" t="s">
        <v>6778</v>
      </c>
    </row>
    <row r="882" spans="1:14" ht="14.25" x14ac:dyDescent="0.2">
      <c r="A882" s="14" t="s">
        <v>6042</v>
      </c>
      <c r="B882" s="15" t="s">
        <v>1809</v>
      </c>
      <c r="C882" s="16" t="s">
        <v>3757</v>
      </c>
      <c r="D882" s="16" t="s">
        <v>3761</v>
      </c>
      <c r="E882" s="27" t="s">
        <v>6043</v>
      </c>
      <c r="F882" s="16" t="s">
        <v>6044</v>
      </c>
      <c r="G882" s="8">
        <v>67</v>
      </c>
      <c r="H882" s="8"/>
      <c r="I882" s="8"/>
      <c r="J882" s="27" t="s">
        <v>1271</v>
      </c>
      <c r="K882" s="27" t="s">
        <v>6045</v>
      </c>
      <c r="L882" s="29"/>
      <c r="M882" s="68">
        <v>1</v>
      </c>
      <c r="N882" s="68" t="s">
        <v>6778</v>
      </c>
    </row>
    <row r="883" spans="1:14" ht="14.25" x14ac:dyDescent="0.2">
      <c r="A883" s="14" t="s">
        <v>2355</v>
      </c>
      <c r="B883" s="15" t="s">
        <v>3732</v>
      </c>
      <c r="C883" s="16" t="s">
        <v>3754</v>
      </c>
      <c r="D883" s="16" t="s">
        <v>3761</v>
      </c>
      <c r="E883" s="27" t="s">
        <v>2356</v>
      </c>
      <c r="F883" s="16" t="s">
        <v>1489</v>
      </c>
      <c r="G883" s="8">
        <v>16</v>
      </c>
      <c r="H883" s="8"/>
      <c r="I883" s="8"/>
      <c r="J883" s="27" t="s">
        <v>1264</v>
      </c>
      <c r="K883" s="27" t="s">
        <v>2357</v>
      </c>
      <c r="L883" s="29"/>
      <c r="M883" s="68">
        <v>1</v>
      </c>
      <c r="N883" s="68" t="s">
        <v>6778</v>
      </c>
    </row>
    <row r="884" spans="1:14" ht="28.5" x14ac:dyDescent="0.2">
      <c r="A884" s="14" t="s">
        <v>2358</v>
      </c>
      <c r="B884" s="15" t="s">
        <v>5020</v>
      </c>
      <c r="C884" s="16" t="s">
        <v>4708</v>
      </c>
      <c r="D884" s="16" t="s">
        <v>3761</v>
      </c>
      <c r="E884" s="27" t="s">
        <v>5896</v>
      </c>
      <c r="F884" s="16" t="s">
        <v>5897</v>
      </c>
      <c r="G884" s="8">
        <v>80</v>
      </c>
      <c r="H884" s="8"/>
      <c r="I884" s="8"/>
      <c r="J884" s="27" t="s">
        <v>1270</v>
      </c>
      <c r="K884" s="27" t="s">
        <v>5898</v>
      </c>
      <c r="L884" s="29" t="s">
        <v>5899</v>
      </c>
      <c r="M884" s="68">
        <v>1</v>
      </c>
      <c r="N884" s="68" t="s">
        <v>6778</v>
      </c>
    </row>
    <row r="885" spans="1:14" ht="28.5" x14ac:dyDescent="0.2">
      <c r="A885" s="14" t="s">
        <v>6089</v>
      </c>
      <c r="B885" s="15" t="s">
        <v>6090</v>
      </c>
      <c r="C885" s="16" t="s">
        <v>8621</v>
      </c>
      <c r="D885" s="16" t="s">
        <v>3761</v>
      </c>
      <c r="E885" s="27" t="s">
        <v>6091</v>
      </c>
      <c r="F885" s="16" t="s">
        <v>2353</v>
      </c>
      <c r="G885" s="8">
        <v>40</v>
      </c>
      <c r="H885" s="8"/>
      <c r="I885" s="8"/>
      <c r="J885" s="27" t="s">
        <v>6164</v>
      </c>
      <c r="K885" s="27" t="s">
        <v>2354</v>
      </c>
      <c r="L885" s="29"/>
      <c r="M885" s="68">
        <v>1</v>
      </c>
      <c r="N885" s="68" t="s">
        <v>6778</v>
      </c>
    </row>
    <row r="886" spans="1:14" ht="14.25" x14ac:dyDescent="0.2">
      <c r="A886" s="14" t="s">
        <v>6036</v>
      </c>
      <c r="B886" s="15" t="s">
        <v>6037</v>
      </c>
      <c r="C886" s="16" t="s">
        <v>3754</v>
      </c>
      <c r="D886" s="16" t="s">
        <v>3761</v>
      </c>
      <c r="E886" s="27" t="s">
        <v>6038</v>
      </c>
      <c r="F886" s="16" t="s">
        <v>6039</v>
      </c>
      <c r="G886" s="8"/>
      <c r="H886" s="8"/>
      <c r="I886" s="8">
        <v>18</v>
      </c>
      <c r="J886" s="27" t="s">
        <v>6040</v>
      </c>
      <c r="K886" s="27" t="s">
        <v>6041</v>
      </c>
      <c r="L886" s="29"/>
      <c r="M886" s="68">
        <v>1</v>
      </c>
      <c r="N886" s="68" t="s">
        <v>6778</v>
      </c>
    </row>
    <row r="887" spans="1:14" ht="14.25" x14ac:dyDescent="0.2">
      <c r="A887" s="14" t="s">
        <v>3106</v>
      </c>
      <c r="B887" s="15" t="s">
        <v>3738</v>
      </c>
      <c r="C887" s="16" t="s">
        <v>3757</v>
      </c>
      <c r="D887" s="16" t="s">
        <v>3761</v>
      </c>
      <c r="E887" s="27" t="s">
        <v>3107</v>
      </c>
      <c r="F887" s="16" t="s">
        <v>3108</v>
      </c>
      <c r="G887" s="8">
        <v>48</v>
      </c>
      <c r="H887" s="8"/>
      <c r="I887" s="8"/>
      <c r="J887" s="27" t="s">
        <v>1262</v>
      </c>
      <c r="K887" s="27" t="s">
        <v>3109</v>
      </c>
      <c r="L887" s="29"/>
      <c r="M887" s="68">
        <v>1</v>
      </c>
      <c r="N887" s="68" t="s">
        <v>6778</v>
      </c>
    </row>
    <row r="888" spans="1:14" ht="14.25" x14ac:dyDescent="0.2">
      <c r="A888" s="11" t="s">
        <v>8498</v>
      </c>
      <c r="B888" s="12" t="s">
        <v>4935</v>
      </c>
      <c r="C888" s="13" t="s">
        <v>3754</v>
      </c>
      <c r="D888" s="13" t="s">
        <v>3755</v>
      </c>
      <c r="E888" s="29" t="s">
        <v>5459</v>
      </c>
      <c r="F888" s="13" t="s">
        <v>5460</v>
      </c>
      <c r="G888" s="8">
        <v>14</v>
      </c>
      <c r="H888" s="8"/>
      <c r="I888" s="8"/>
      <c r="J888" s="29" t="s">
        <v>5461</v>
      </c>
      <c r="K888" s="29" t="s">
        <v>6552</v>
      </c>
      <c r="L888" s="29"/>
      <c r="M888" s="68">
        <v>1</v>
      </c>
      <c r="N888" s="68" t="s">
        <v>5390</v>
      </c>
    </row>
    <row r="889" spans="1:14" ht="14.25" x14ac:dyDescent="0.2">
      <c r="A889" s="11" t="s">
        <v>8498</v>
      </c>
      <c r="B889" s="12" t="s">
        <v>4581</v>
      </c>
      <c r="C889" s="13" t="s">
        <v>3754</v>
      </c>
      <c r="D889" s="13" t="s">
        <v>3754</v>
      </c>
      <c r="E889" s="29" t="s">
        <v>8734</v>
      </c>
      <c r="F889" s="13" t="s">
        <v>8735</v>
      </c>
      <c r="G889" s="8">
        <v>2</v>
      </c>
      <c r="H889" s="8">
        <v>2</v>
      </c>
      <c r="I889" s="8"/>
      <c r="J889" s="29" t="s">
        <v>1254</v>
      </c>
      <c r="K889" s="29" t="s">
        <v>8736</v>
      </c>
      <c r="L889" s="29"/>
      <c r="M889" s="68">
        <v>1</v>
      </c>
      <c r="N889" s="68" t="s">
        <v>8714</v>
      </c>
    </row>
    <row r="890" spans="1:14" ht="14.25" x14ac:dyDescent="0.2">
      <c r="A890" s="11" t="s">
        <v>8498</v>
      </c>
      <c r="B890" s="12" t="s">
        <v>4581</v>
      </c>
      <c r="C890" s="13" t="s">
        <v>3768</v>
      </c>
      <c r="D890" s="13" t="s">
        <v>3754</v>
      </c>
      <c r="E890" s="29" t="s">
        <v>8519</v>
      </c>
      <c r="F890" s="13" t="s">
        <v>8520</v>
      </c>
      <c r="G890" s="8">
        <v>28</v>
      </c>
      <c r="H890" s="8"/>
      <c r="I890" s="8"/>
      <c r="J890" s="29" t="s">
        <v>1264</v>
      </c>
      <c r="K890" s="29" t="s">
        <v>8521</v>
      </c>
      <c r="L890" s="29"/>
      <c r="M890" s="68">
        <v>1</v>
      </c>
      <c r="N890" s="68" t="s">
        <v>5912</v>
      </c>
    </row>
    <row r="891" spans="1:14" ht="14.25" x14ac:dyDescent="0.2">
      <c r="A891" s="11" t="s">
        <v>8498</v>
      </c>
      <c r="B891" s="12" t="s">
        <v>3750</v>
      </c>
      <c r="C891" s="13" t="s">
        <v>3754</v>
      </c>
      <c r="D891" s="13" t="s">
        <v>3754</v>
      </c>
      <c r="E891" s="29" t="s">
        <v>8499</v>
      </c>
      <c r="F891" s="13" t="s">
        <v>3754</v>
      </c>
      <c r="G891" s="8">
        <v>20</v>
      </c>
      <c r="H891" s="8">
        <v>6</v>
      </c>
      <c r="I891" s="8"/>
      <c r="J891" s="29" t="s">
        <v>1264</v>
      </c>
      <c r="K891" s="29" t="s">
        <v>4767</v>
      </c>
      <c r="L891" s="29"/>
      <c r="M891" s="68">
        <v>1</v>
      </c>
      <c r="N891" s="68" t="s">
        <v>5912</v>
      </c>
    </row>
    <row r="892" spans="1:14" ht="14.25" x14ac:dyDescent="0.2">
      <c r="A892" s="11" t="s">
        <v>8498</v>
      </c>
      <c r="B892" s="12" t="s">
        <v>1445</v>
      </c>
      <c r="C892" s="13" t="s">
        <v>3754</v>
      </c>
      <c r="D892" s="13" t="s">
        <v>3754</v>
      </c>
      <c r="E892" s="29">
        <v>1867</v>
      </c>
      <c r="F892" s="13" t="s">
        <v>3754</v>
      </c>
      <c r="G892" s="8"/>
      <c r="H892" s="8">
        <v>4</v>
      </c>
      <c r="I892" s="8"/>
      <c r="J892" s="29" t="s">
        <v>5404</v>
      </c>
      <c r="K892" s="109"/>
      <c r="L892" s="29"/>
      <c r="M892" s="68">
        <v>1</v>
      </c>
      <c r="N892" s="68" t="s">
        <v>5390</v>
      </c>
    </row>
    <row r="893" spans="1:14" ht="14.25" x14ac:dyDescent="0.2">
      <c r="A893" s="11" t="s">
        <v>8498</v>
      </c>
      <c r="B893" s="12" t="s">
        <v>3751</v>
      </c>
      <c r="C893" s="13" t="s">
        <v>3754</v>
      </c>
      <c r="D893" s="13" t="s">
        <v>3754</v>
      </c>
      <c r="E893" s="29" t="s">
        <v>1508</v>
      </c>
      <c r="F893" s="13" t="s">
        <v>1663</v>
      </c>
      <c r="G893" s="8"/>
      <c r="H893" s="8">
        <v>6</v>
      </c>
      <c r="I893" s="8"/>
      <c r="J893" s="29" t="s">
        <v>4829</v>
      </c>
      <c r="K893" s="29" t="s">
        <v>1664</v>
      </c>
      <c r="L893" s="29"/>
      <c r="M893" s="68">
        <v>1</v>
      </c>
      <c r="N893" s="68" t="s">
        <v>5390</v>
      </c>
    </row>
    <row r="894" spans="1:14" ht="14.25" x14ac:dyDescent="0.2">
      <c r="A894" s="11" t="s">
        <v>5340</v>
      </c>
      <c r="B894" s="12" t="s">
        <v>3728</v>
      </c>
      <c r="C894" s="13" t="s">
        <v>3757</v>
      </c>
      <c r="D894" s="13" t="s">
        <v>3754</v>
      </c>
      <c r="E894" s="29" t="s">
        <v>5026</v>
      </c>
      <c r="F894" s="13" t="s">
        <v>5350</v>
      </c>
      <c r="G894" s="8">
        <v>50</v>
      </c>
      <c r="H894" s="8"/>
      <c r="I894" s="8"/>
      <c r="J894" s="29" t="s">
        <v>1259</v>
      </c>
      <c r="K894" s="29" t="s">
        <v>5027</v>
      </c>
      <c r="L894" s="29"/>
      <c r="M894" s="68">
        <v>1</v>
      </c>
      <c r="N894" s="68" t="s">
        <v>8827</v>
      </c>
    </row>
    <row r="895" spans="1:14" ht="14.25" x14ac:dyDescent="0.2">
      <c r="A895" s="11" t="s">
        <v>5340</v>
      </c>
      <c r="B895" s="12" t="s">
        <v>3740</v>
      </c>
      <c r="C895" s="13" t="s">
        <v>3757</v>
      </c>
      <c r="D895" s="13" t="s">
        <v>3754</v>
      </c>
      <c r="E895" s="29" t="s">
        <v>5453</v>
      </c>
      <c r="F895" s="13" t="s">
        <v>5457</v>
      </c>
      <c r="G895" s="8">
        <v>74</v>
      </c>
      <c r="H895" s="8"/>
      <c r="I895" s="8"/>
      <c r="J895" s="29" t="s">
        <v>2108</v>
      </c>
      <c r="K895" s="29" t="s">
        <v>5458</v>
      </c>
      <c r="L895" s="29"/>
      <c r="M895" s="68">
        <v>1</v>
      </c>
      <c r="N895" s="68" t="s">
        <v>5390</v>
      </c>
    </row>
    <row r="896" spans="1:14" ht="14.25" x14ac:dyDescent="0.2">
      <c r="A896" s="11" t="s">
        <v>5340</v>
      </c>
      <c r="B896" s="12" t="s">
        <v>3723</v>
      </c>
      <c r="C896" s="13" t="s">
        <v>3754</v>
      </c>
      <c r="D896" s="13"/>
      <c r="E896" s="29" t="s">
        <v>1797</v>
      </c>
      <c r="F896" s="13" t="s">
        <v>5353</v>
      </c>
      <c r="G896" s="8">
        <v>1</v>
      </c>
      <c r="H896" s="8">
        <v>3</v>
      </c>
      <c r="I896" s="8"/>
      <c r="J896" s="29" t="s">
        <v>1258</v>
      </c>
      <c r="K896" s="29"/>
      <c r="L896" s="29"/>
      <c r="M896" s="68">
        <v>1</v>
      </c>
      <c r="N896" s="68" t="s">
        <v>8827</v>
      </c>
    </row>
    <row r="897" spans="1:14" ht="14.25" x14ac:dyDescent="0.2">
      <c r="A897" s="11" t="s">
        <v>5340</v>
      </c>
      <c r="B897" s="12" t="s">
        <v>3746</v>
      </c>
      <c r="C897" s="13" t="s">
        <v>3757</v>
      </c>
      <c r="D897" s="13" t="s">
        <v>3754</v>
      </c>
      <c r="E897" s="29" t="s">
        <v>1660</v>
      </c>
      <c r="F897" s="13" t="s">
        <v>1661</v>
      </c>
      <c r="G897" s="8">
        <v>62</v>
      </c>
      <c r="H897" s="8"/>
      <c r="I897" s="8"/>
      <c r="J897" s="29" t="s">
        <v>1277</v>
      </c>
      <c r="K897" s="29" t="s">
        <v>1662</v>
      </c>
      <c r="L897" s="29"/>
      <c r="M897" s="68">
        <v>1</v>
      </c>
      <c r="N897" s="68" t="s">
        <v>5390</v>
      </c>
    </row>
    <row r="898" spans="1:14" ht="14.25" x14ac:dyDescent="0.2">
      <c r="A898" s="11" t="s">
        <v>5340</v>
      </c>
      <c r="B898" s="12" t="s">
        <v>4701</v>
      </c>
      <c r="C898" s="13" t="s">
        <v>5341</v>
      </c>
      <c r="D898" s="13" t="s">
        <v>3754</v>
      </c>
      <c r="E898" s="29" t="s">
        <v>5342</v>
      </c>
      <c r="F898" s="13" t="s">
        <v>5343</v>
      </c>
      <c r="G898" s="8">
        <v>35</v>
      </c>
      <c r="H898" s="8"/>
      <c r="I898" s="8"/>
      <c r="J898" s="29" t="s">
        <v>1264</v>
      </c>
      <c r="K898" s="29" t="s">
        <v>5344</v>
      </c>
      <c r="L898" s="29"/>
      <c r="M898" s="68">
        <v>1</v>
      </c>
      <c r="N898" s="68" t="s">
        <v>8827</v>
      </c>
    </row>
    <row r="899" spans="1:14" ht="28.5" x14ac:dyDescent="0.2">
      <c r="A899" s="11" t="s">
        <v>1674</v>
      </c>
      <c r="B899" s="12" t="s">
        <v>3728</v>
      </c>
      <c r="C899" s="13" t="s">
        <v>3757</v>
      </c>
      <c r="D899" s="13" t="s">
        <v>3754</v>
      </c>
      <c r="E899" s="29" t="s">
        <v>1675</v>
      </c>
      <c r="F899" s="13" t="s">
        <v>1676</v>
      </c>
      <c r="G899" s="8">
        <v>65</v>
      </c>
      <c r="H899" s="8"/>
      <c r="I899" s="8"/>
      <c r="J899" s="29" t="s">
        <v>1504</v>
      </c>
      <c r="K899" s="29" t="s">
        <v>1677</v>
      </c>
      <c r="L899" s="29"/>
      <c r="M899" s="68">
        <v>1</v>
      </c>
      <c r="N899" s="68" t="s">
        <v>5390</v>
      </c>
    </row>
    <row r="900" spans="1:14" ht="14.25" x14ac:dyDescent="0.2">
      <c r="A900" s="11" t="s">
        <v>1674</v>
      </c>
      <c r="B900" s="12" t="s">
        <v>3732</v>
      </c>
      <c r="C900" s="13" t="s">
        <v>3767</v>
      </c>
      <c r="D900" s="13" t="s">
        <v>3767</v>
      </c>
      <c r="E900" s="29" t="s">
        <v>1536</v>
      </c>
      <c r="F900" s="13" t="s">
        <v>3767</v>
      </c>
      <c r="G900" s="8">
        <v>31</v>
      </c>
      <c r="H900" s="8"/>
      <c r="I900" s="8"/>
      <c r="J900" s="29" t="s">
        <v>1264</v>
      </c>
      <c r="K900" s="29" t="s">
        <v>1689</v>
      </c>
      <c r="L900" s="29" t="s">
        <v>5019</v>
      </c>
      <c r="M900" s="68">
        <v>1</v>
      </c>
      <c r="N900" s="68" t="s">
        <v>1688</v>
      </c>
    </row>
    <row r="901" spans="1:14" ht="14.25" x14ac:dyDescent="0.2">
      <c r="A901" s="11" t="s">
        <v>4782</v>
      </c>
      <c r="B901" s="12" t="s">
        <v>4703</v>
      </c>
      <c r="C901" s="13" t="s">
        <v>3754</v>
      </c>
      <c r="D901" s="13" t="s">
        <v>3754</v>
      </c>
      <c r="E901" s="29"/>
      <c r="F901" s="13" t="s">
        <v>8516</v>
      </c>
      <c r="G901" s="8">
        <v>4</v>
      </c>
      <c r="H901" s="8"/>
      <c r="I901" s="8"/>
      <c r="J901" s="29" t="s">
        <v>1258</v>
      </c>
      <c r="K901" s="29" t="s">
        <v>5125</v>
      </c>
      <c r="L901" s="29"/>
      <c r="M901" s="68">
        <v>1</v>
      </c>
      <c r="N901" s="68" t="s">
        <v>5912</v>
      </c>
    </row>
    <row r="902" spans="1:14" ht="14.25" x14ac:dyDescent="0.2">
      <c r="A902" s="11" t="s">
        <v>4782</v>
      </c>
      <c r="B902" s="12" t="s">
        <v>4703</v>
      </c>
      <c r="C902" s="13" t="s">
        <v>3757</v>
      </c>
      <c r="D902" s="13" t="s">
        <v>3754</v>
      </c>
      <c r="E902" s="29" t="s">
        <v>5421</v>
      </c>
      <c r="F902" s="13" t="s">
        <v>5422</v>
      </c>
      <c r="G902" s="8">
        <v>62</v>
      </c>
      <c r="H902" s="8"/>
      <c r="I902" s="8"/>
      <c r="J902" s="29" t="s">
        <v>1264</v>
      </c>
      <c r="K902" s="29" t="s">
        <v>5423</v>
      </c>
      <c r="L902" s="29"/>
      <c r="M902" s="68">
        <v>1</v>
      </c>
      <c r="N902" s="68" t="s">
        <v>5390</v>
      </c>
    </row>
    <row r="903" spans="1:14" ht="14.25" x14ac:dyDescent="0.2">
      <c r="A903" s="11" t="s">
        <v>4782</v>
      </c>
      <c r="B903" s="12" t="s">
        <v>3734</v>
      </c>
      <c r="C903" s="13" t="s">
        <v>3757</v>
      </c>
      <c r="D903" s="13" t="s">
        <v>8642</v>
      </c>
      <c r="E903" s="29" t="s">
        <v>1282</v>
      </c>
      <c r="F903" s="13" t="s">
        <v>8511</v>
      </c>
      <c r="G903" s="8">
        <v>56</v>
      </c>
      <c r="H903" s="8"/>
      <c r="I903" s="8"/>
      <c r="J903" s="29" t="s">
        <v>1272</v>
      </c>
      <c r="K903" s="29" t="s">
        <v>5127</v>
      </c>
      <c r="L903" s="29"/>
      <c r="M903" s="68">
        <v>1</v>
      </c>
      <c r="N903" s="68" t="s">
        <v>5912</v>
      </c>
    </row>
    <row r="904" spans="1:14" ht="14.25" x14ac:dyDescent="0.2">
      <c r="A904" s="9" t="s">
        <v>4782</v>
      </c>
      <c r="B904" s="5" t="s">
        <v>8518</v>
      </c>
      <c r="C904" s="10" t="s">
        <v>3754</v>
      </c>
      <c r="D904" s="10" t="s">
        <v>3754</v>
      </c>
      <c r="E904" s="55"/>
      <c r="F904" s="10" t="s">
        <v>8516</v>
      </c>
      <c r="G904" s="8"/>
      <c r="H904" s="8">
        <v>8</v>
      </c>
      <c r="I904" s="8"/>
      <c r="J904" s="55" t="s">
        <v>5234</v>
      </c>
      <c r="K904" s="55" t="s">
        <v>5125</v>
      </c>
      <c r="L904" s="61"/>
      <c r="M904" s="68">
        <v>1</v>
      </c>
      <c r="N904" s="68" t="s">
        <v>5912</v>
      </c>
    </row>
    <row r="905" spans="1:14" ht="14.25" x14ac:dyDescent="0.2">
      <c r="A905" s="9" t="s">
        <v>4782</v>
      </c>
      <c r="B905" s="5" t="s">
        <v>4702</v>
      </c>
      <c r="C905" s="10" t="s">
        <v>3754</v>
      </c>
      <c r="D905" s="10" t="s">
        <v>3754</v>
      </c>
      <c r="E905" s="55"/>
      <c r="F905" s="10" t="s">
        <v>8516</v>
      </c>
      <c r="G905" s="8">
        <v>4</v>
      </c>
      <c r="H905" s="8">
        <v>3</v>
      </c>
      <c r="I905" s="8"/>
      <c r="J905" s="55" t="s">
        <v>4579</v>
      </c>
      <c r="K905" s="55" t="s">
        <v>5125</v>
      </c>
      <c r="L905" s="61"/>
      <c r="M905" s="68">
        <v>1</v>
      </c>
      <c r="N905" s="68" t="s">
        <v>5912</v>
      </c>
    </row>
    <row r="906" spans="1:14" ht="14.25" x14ac:dyDescent="0.2">
      <c r="A906" s="11" t="s">
        <v>4782</v>
      </c>
      <c r="B906" s="12" t="s">
        <v>8770</v>
      </c>
      <c r="C906" s="13" t="s">
        <v>3754</v>
      </c>
      <c r="D906" s="13" t="s">
        <v>3754</v>
      </c>
      <c r="E906" s="29" t="s">
        <v>8771</v>
      </c>
      <c r="F906" s="13" t="s">
        <v>8772</v>
      </c>
      <c r="G906" s="8"/>
      <c r="H906" s="8">
        <v>4</v>
      </c>
      <c r="I906" s="8">
        <v>6</v>
      </c>
      <c r="J906" s="29" t="s">
        <v>4829</v>
      </c>
      <c r="K906" s="29" t="s">
        <v>8773</v>
      </c>
      <c r="L906" s="29"/>
      <c r="M906" s="68">
        <v>1</v>
      </c>
      <c r="N906" s="68" t="s">
        <v>8714</v>
      </c>
    </row>
    <row r="907" spans="1:14" ht="14.25" x14ac:dyDescent="0.2">
      <c r="A907" s="11" t="s">
        <v>4782</v>
      </c>
      <c r="B907" s="12" t="s">
        <v>5712</v>
      </c>
      <c r="C907" s="13" t="s">
        <v>3754</v>
      </c>
      <c r="D907" s="13" t="s">
        <v>3754</v>
      </c>
      <c r="E907" s="29"/>
      <c r="F907" s="13" t="s">
        <v>8516</v>
      </c>
      <c r="G907" s="8">
        <v>1</v>
      </c>
      <c r="H907" s="8">
        <v>4</v>
      </c>
      <c r="I907" s="8"/>
      <c r="J907" s="29" t="s">
        <v>8517</v>
      </c>
      <c r="K907" s="29" t="s">
        <v>5125</v>
      </c>
      <c r="L907" s="29"/>
      <c r="M907" s="68">
        <v>1</v>
      </c>
      <c r="N907" s="68" t="s">
        <v>5912</v>
      </c>
    </row>
    <row r="908" spans="1:14" ht="14.25" x14ac:dyDescent="0.2">
      <c r="A908" s="11" t="s">
        <v>4782</v>
      </c>
      <c r="B908" s="12" t="s">
        <v>4581</v>
      </c>
      <c r="C908" s="13" t="s">
        <v>3757</v>
      </c>
      <c r="D908" s="13" t="s">
        <v>3761</v>
      </c>
      <c r="E908" s="29" t="s">
        <v>8699</v>
      </c>
      <c r="F908" s="13" t="s">
        <v>8700</v>
      </c>
      <c r="G908" s="8">
        <v>73</v>
      </c>
      <c r="H908" s="8"/>
      <c r="I908" s="8"/>
      <c r="J908" s="29" t="s">
        <v>1267</v>
      </c>
      <c r="K908" s="29" t="s">
        <v>5688</v>
      </c>
      <c r="L908" s="29"/>
      <c r="M908" s="68">
        <v>1</v>
      </c>
      <c r="N908" s="68" t="s">
        <v>8553</v>
      </c>
    </row>
    <row r="909" spans="1:14" ht="14.25" x14ac:dyDescent="0.2">
      <c r="A909" s="11" t="s">
        <v>4782</v>
      </c>
      <c r="B909" s="12" t="s">
        <v>4687</v>
      </c>
      <c r="C909" s="13" t="s">
        <v>8579</v>
      </c>
      <c r="D909" s="13" t="s">
        <v>8580</v>
      </c>
      <c r="E909" s="29" t="s">
        <v>8581</v>
      </c>
      <c r="F909" s="13" t="s">
        <v>8582</v>
      </c>
      <c r="G909" s="8">
        <v>7</v>
      </c>
      <c r="H909" s="8"/>
      <c r="I909" s="8"/>
      <c r="J909" s="29" t="s">
        <v>4829</v>
      </c>
      <c r="K909" s="29" t="s">
        <v>8583</v>
      </c>
      <c r="L909" s="29"/>
      <c r="M909" s="68">
        <v>1</v>
      </c>
      <c r="N909" s="68" t="s">
        <v>8553</v>
      </c>
    </row>
    <row r="910" spans="1:14" ht="14.25" x14ac:dyDescent="0.2">
      <c r="A910" s="11" t="s">
        <v>4782</v>
      </c>
      <c r="B910" s="12" t="s">
        <v>3732</v>
      </c>
      <c r="C910" s="13" t="s">
        <v>3754</v>
      </c>
      <c r="D910" s="13" t="s">
        <v>3754</v>
      </c>
      <c r="E910" s="29"/>
      <c r="F910" s="13" t="s">
        <v>3754</v>
      </c>
      <c r="G910" s="8">
        <v>22</v>
      </c>
      <c r="H910" s="8">
        <v>4</v>
      </c>
      <c r="I910" s="8"/>
      <c r="J910" s="29" t="s">
        <v>1554</v>
      </c>
      <c r="K910" s="29" t="s">
        <v>4783</v>
      </c>
      <c r="L910" s="29"/>
      <c r="M910" s="68">
        <v>1</v>
      </c>
      <c r="N910" s="68" t="s">
        <v>5912</v>
      </c>
    </row>
    <row r="911" spans="1:14" ht="14.25" x14ac:dyDescent="0.2">
      <c r="A911" s="11" t="s">
        <v>4782</v>
      </c>
      <c r="B911" s="12" t="s">
        <v>3750</v>
      </c>
      <c r="C911" s="13" t="s">
        <v>3754</v>
      </c>
      <c r="D911" s="13" t="s">
        <v>3754</v>
      </c>
      <c r="E911" s="29"/>
      <c r="F911" s="13" t="s">
        <v>8516</v>
      </c>
      <c r="G911" s="8">
        <v>2</v>
      </c>
      <c r="H911" s="8"/>
      <c r="I911" s="8"/>
      <c r="J911" s="29" t="s">
        <v>1254</v>
      </c>
      <c r="K911" s="29" t="s">
        <v>5125</v>
      </c>
      <c r="L911" s="29"/>
      <c r="M911" s="68">
        <v>1</v>
      </c>
      <c r="N911" s="68" t="s">
        <v>5912</v>
      </c>
    </row>
    <row r="912" spans="1:14" ht="14.25" x14ac:dyDescent="0.2">
      <c r="A912" s="11" t="s">
        <v>4782</v>
      </c>
      <c r="B912" s="12" t="s">
        <v>4693</v>
      </c>
      <c r="C912" s="13" t="s">
        <v>3757</v>
      </c>
      <c r="D912" s="13" t="s">
        <v>3754</v>
      </c>
      <c r="E912" s="29" t="s">
        <v>5309</v>
      </c>
      <c r="F912" s="13" t="s">
        <v>5310</v>
      </c>
      <c r="G912" s="8">
        <v>68</v>
      </c>
      <c r="H912" s="8"/>
      <c r="I912" s="8"/>
      <c r="J912" s="29" t="s">
        <v>1277</v>
      </c>
      <c r="K912" s="29" t="s">
        <v>5311</v>
      </c>
      <c r="L912" s="29"/>
      <c r="M912" s="68">
        <v>1</v>
      </c>
      <c r="N912" s="68" t="s">
        <v>8827</v>
      </c>
    </row>
    <row r="913" spans="1:14" ht="14.25" x14ac:dyDescent="0.2">
      <c r="A913" s="11" t="s">
        <v>4782</v>
      </c>
      <c r="B913" s="12" t="s">
        <v>8576</v>
      </c>
      <c r="C913" s="13" t="s">
        <v>3757</v>
      </c>
      <c r="D913" s="13" t="s">
        <v>3761</v>
      </c>
      <c r="E913" s="29" t="s">
        <v>8577</v>
      </c>
      <c r="F913" s="13" t="s">
        <v>8578</v>
      </c>
      <c r="G913" s="8">
        <v>64</v>
      </c>
      <c r="H913" s="8"/>
      <c r="I913" s="8"/>
      <c r="J913" s="29" t="s">
        <v>1264</v>
      </c>
      <c r="K913" s="29" t="s">
        <v>3060</v>
      </c>
      <c r="L913" s="29"/>
      <c r="M913" s="68">
        <v>1</v>
      </c>
      <c r="N913" s="68" t="s">
        <v>8553</v>
      </c>
    </row>
    <row r="914" spans="1:14" ht="14.25" x14ac:dyDescent="0.2">
      <c r="A914" s="11" t="s">
        <v>4782</v>
      </c>
      <c r="B914" s="12" t="s">
        <v>4900</v>
      </c>
      <c r="C914" s="13" t="s">
        <v>3757</v>
      </c>
      <c r="D914" s="13" t="s">
        <v>3754</v>
      </c>
      <c r="E914" s="29" t="s">
        <v>8503</v>
      </c>
      <c r="F914" s="13" t="s">
        <v>3754</v>
      </c>
      <c r="G914" s="8">
        <v>30</v>
      </c>
      <c r="H914" s="8"/>
      <c r="I914" s="8"/>
      <c r="J914" s="29" t="s">
        <v>1264</v>
      </c>
      <c r="K914" s="29" t="s">
        <v>5119</v>
      </c>
      <c r="L914" s="29"/>
      <c r="M914" s="68">
        <v>1</v>
      </c>
      <c r="N914" s="68" t="s">
        <v>5912</v>
      </c>
    </row>
    <row r="915" spans="1:14" ht="14.25" x14ac:dyDescent="0.2">
      <c r="A915" s="11" t="s">
        <v>4782</v>
      </c>
      <c r="B915" s="12" t="s">
        <v>1543</v>
      </c>
      <c r="C915" s="13" t="s">
        <v>3754</v>
      </c>
      <c r="D915" s="13" t="s">
        <v>3754</v>
      </c>
      <c r="E915" s="29" t="s">
        <v>2500</v>
      </c>
      <c r="F915" s="13" t="s">
        <v>8831</v>
      </c>
      <c r="G915" s="8">
        <v>24</v>
      </c>
      <c r="H915" s="8"/>
      <c r="I915" s="8"/>
      <c r="J915" s="29" t="s">
        <v>1264</v>
      </c>
      <c r="K915" s="29" t="s">
        <v>8832</v>
      </c>
      <c r="L915" s="29"/>
      <c r="M915" s="68">
        <v>1</v>
      </c>
      <c r="N915" s="68" t="s">
        <v>8827</v>
      </c>
    </row>
    <row r="916" spans="1:14" ht="14.25" x14ac:dyDescent="0.2">
      <c r="A916" s="11" t="s">
        <v>4782</v>
      </c>
      <c r="B916" s="12" t="s">
        <v>3733</v>
      </c>
      <c r="C916" s="13" t="s">
        <v>3757</v>
      </c>
      <c r="D916" s="13" t="s">
        <v>3754</v>
      </c>
      <c r="E916" s="29" t="s">
        <v>8528</v>
      </c>
      <c r="F916" s="13" t="s">
        <v>8529</v>
      </c>
      <c r="G916" s="8">
        <v>49</v>
      </c>
      <c r="H916" s="8">
        <v>10</v>
      </c>
      <c r="I916" s="8">
        <v>22</v>
      </c>
      <c r="J916" s="29" t="s">
        <v>1264</v>
      </c>
      <c r="K916" s="29" t="s">
        <v>8530</v>
      </c>
      <c r="L916" s="29"/>
      <c r="M916" s="68">
        <v>1</v>
      </c>
      <c r="N916" s="68" t="s">
        <v>5912</v>
      </c>
    </row>
    <row r="917" spans="1:14" ht="14.25" x14ac:dyDescent="0.2">
      <c r="A917" s="11" t="s">
        <v>4782</v>
      </c>
      <c r="B917" s="12" t="s">
        <v>5358</v>
      </c>
      <c r="C917" s="13" t="s">
        <v>3754</v>
      </c>
      <c r="D917" s="13" t="s">
        <v>3754</v>
      </c>
      <c r="E917" s="29" t="s">
        <v>5359</v>
      </c>
      <c r="F917" s="13" t="s">
        <v>5360</v>
      </c>
      <c r="G917" s="8">
        <v>17</v>
      </c>
      <c r="H917" s="8"/>
      <c r="I917" s="8"/>
      <c r="J917" s="29" t="s">
        <v>5010</v>
      </c>
      <c r="K917" s="29" t="s">
        <v>2889</v>
      </c>
      <c r="L917" s="29"/>
      <c r="M917" s="68">
        <v>1</v>
      </c>
      <c r="N917" s="68" t="s">
        <v>8827</v>
      </c>
    </row>
    <row r="918" spans="1:14" ht="14.25" x14ac:dyDescent="0.2">
      <c r="A918" s="11" t="s">
        <v>4782</v>
      </c>
      <c r="B918" s="12" t="s">
        <v>1445</v>
      </c>
      <c r="C918" s="13" t="s">
        <v>3754</v>
      </c>
      <c r="D918" s="13" t="s">
        <v>3754</v>
      </c>
      <c r="E918" s="29"/>
      <c r="F918" s="13" t="s">
        <v>8516</v>
      </c>
      <c r="G918" s="8">
        <v>1</v>
      </c>
      <c r="H918" s="8">
        <v>9</v>
      </c>
      <c r="I918" s="8"/>
      <c r="J918" s="29" t="s">
        <v>8517</v>
      </c>
      <c r="K918" s="29" t="s">
        <v>5125</v>
      </c>
      <c r="L918" s="29"/>
      <c r="M918" s="68">
        <v>1</v>
      </c>
      <c r="N918" s="68" t="s">
        <v>5912</v>
      </c>
    </row>
    <row r="919" spans="1:14" ht="28.5" x14ac:dyDescent="0.2">
      <c r="A919" s="11" t="s">
        <v>8565</v>
      </c>
      <c r="B919" s="12" t="s">
        <v>8566</v>
      </c>
      <c r="C919" s="13" t="s">
        <v>3757</v>
      </c>
      <c r="D919" s="13" t="s">
        <v>8567</v>
      </c>
      <c r="E919" s="29" t="s">
        <v>2407</v>
      </c>
      <c r="F919" s="13" t="s">
        <v>8568</v>
      </c>
      <c r="G919" s="8">
        <v>54</v>
      </c>
      <c r="H919" s="8"/>
      <c r="I919" s="8"/>
      <c r="J919" s="29" t="s">
        <v>4747</v>
      </c>
      <c r="K919" s="29" t="s">
        <v>4756</v>
      </c>
      <c r="L919" s="29"/>
      <c r="M919" s="68">
        <v>1</v>
      </c>
      <c r="N919" s="68" t="s">
        <v>8553</v>
      </c>
    </row>
    <row r="920" spans="1:14" ht="14.25" x14ac:dyDescent="0.2">
      <c r="A920" s="11" t="s">
        <v>1678</v>
      </c>
      <c r="B920" s="12" t="s">
        <v>1679</v>
      </c>
      <c r="C920" s="13" t="s">
        <v>3754</v>
      </c>
      <c r="D920" s="13" t="s">
        <v>8621</v>
      </c>
      <c r="E920" s="29" t="s">
        <v>3371</v>
      </c>
      <c r="F920" s="13" t="s">
        <v>1680</v>
      </c>
      <c r="G920" s="8">
        <v>14</v>
      </c>
      <c r="H920" s="8"/>
      <c r="I920" s="8"/>
      <c r="J920" s="29" t="s">
        <v>1273</v>
      </c>
      <c r="K920" s="29" t="s">
        <v>6768</v>
      </c>
      <c r="L920" s="29"/>
      <c r="M920" s="68">
        <v>1</v>
      </c>
      <c r="N920" s="68" t="s">
        <v>5390</v>
      </c>
    </row>
    <row r="921" spans="1:14" ht="14.25" x14ac:dyDescent="0.2">
      <c r="A921" s="11" t="s">
        <v>5430</v>
      </c>
      <c r="B921" s="12" t="s">
        <v>4685</v>
      </c>
      <c r="C921" s="13" t="s">
        <v>3754</v>
      </c>
      <c r="D921" s="13" t="s">
        <v>3754</v>
      </c>
      <c r="E921" s="29" t="s">
        <v>60</v>
      </c>
      <c r="F921" s="13" t="s">
        <v>5431</v>
      </c>
      <c r="G921" s="8"/>
      <c r="H921" s="8">
        <v>9</v>
      </c>
      <c r="I921" s="8"/>
      <c r="J921" s="29" t="s">
        <v>4829</v>
      </c>
      <c r="K921" s="29" t="s">
        <v>63</v>
      </c>
      <c r="L921" s="29"/>
      <c r="M921" s="68">
        <v>1</v>
      </c>
      <c r="N921" s="68" t="s">
        <v>5390</v>
      </c>
    </row>
    <row r="922" spans="1:14" ht="14.25" x14ac:dyDescent="0.2">
      <c r="A922" s="11" t="s">
        <v>1955</v>
      </c>
      <c r="B922" s="12" t="s">
        <v>3748</v>
      </c>
      <c r="C922" s="13" t="s">
        <v>3757</v>
      </c>
      <c r="D922" s="13" t="s">
        <v>3761</v>
      </c>
      <c r="E922" s="29" t="s">
        <v>8691</v>
      </c>
      <c r="F922" s="13" t="s">
        <v>2398</v>
      </c>
      <c r="G922" s="8">
        <v>29</v>
      </c>
      <c r="H922" s="8"/>
      <c r="I922" s="8"/>
      <c r="J922" s="29" t="s">
        <v>1264</v>
      </c>
      <c r="K922" s="29" t="s">
        <v>8692</v>
      </c>
      <c r="L922" s="29"/>
      <c r="M922" s="68">
        <v>1</v>
      </c>
      <c r="N922" s="68" t="s">
        <v>8553</v>
      </c>
    </row>
    <row r="923" spans="1:14" ht="14.25" x14ac:dyDescent="0.2">
      <c r="A923" s="11" t="s">
        <v>1955</v>
      </c>
      <c r="B923" s="12" t="s">
        <v>3734</v>
      </c>
      <c r="C923" s="13" t="s">
        <v>3757</v>
      </c>
      <c r="D923" s="13" t="s">
        <v>3754</v>
      </c>
      <c r="E923" s="29" t="s">
        <v>8665</v>
      </c>
      <c r="F923" s="13" t="s">
        <v>8666</v>
      </c>
      <c r="G923" s="8">
        <v>60</v>
      </c>
      <c r="H923" s="8"/>
      <c r="I923" s="8"/>
      <c r="J923" s="29" t="s">
        <v>1264</v>
      </c>
      <c r="K923" s="29" t="s">
        <v>8664</v>
      </c>
      <c r="L923" s="29"/>
      <c r="M923" s="68">
        <v>1</v>
      </c>
      <c r="N923" s="68" t="s">
        <v>8553</v>
      </c>
    </row>
    <row r="924" spans="1:14" ht="14.25" x14ac:dyDescent="0.2">
      <c r="A924" s="11" t="s">
        <v>1955</v>
      </c>
      <c r="B924" s="12" t="s">
        <v>3734</v>
      </c>
      <c r="C924" s="13" t="s">
        <v>3757</v>
      </c>
      <c r="D924" s="13" t="s">
        <v>3754</v>
      </c>
      <c r="E924" s="29" t="s">
        <v>8777</v>
      </c>
      <c r="F924" s="13" t="s">
        <v>8778</v>
      </c>
      <c r="G924" s="8">
        <v>70</v>
      </c>
      <c r="H924" s="8"/>
      <c r="I924" s="8"/>
      <c r="J924" s="29" t="s">
        <v>6573</v>
      </c>
      <c r="K924" s="29" t="s">
        <v>8779</v>
      </c>
      <c r="L924" s="29"/>
      <c r="M924" s="68">
        <v>1</v>
      </c>
      <c r="N924" s="68" t="s">
        <v>8714</v>
      </c>
    </row>
    <row r="925" spans="1:14" ht="14.25" x14ac:dyDescent="0.2">
      <c r="A925" s="11" t="s">
        <v>1955</v>
      </c>
      <c r="B925" s="12" t="s">
        <v>1432</v>
      </c>
      <c r="C925" s="13" t="s">
        <v>3754</v>
      </c>
      <c r="D925" s="13" t="s">
        <v>3761</v>
      </c>
      <c r="E925" s="29" t="s">
        <v>8574</v>
      </c>
      <c r="F925" s="13" t="s">
        <v>3754</v>
      </c>
      <c r="G925" s="8">
        <v>17</v>
      </c>
      <c r="H925" s="8"/>
      <c r="I925" s="8"/>
      <c r="J925" s="29" t="s">
        <v>2989</v>
      </c>
      <c r="K925" s="29" t="s">
        <v>4753</v>
      </c>
      <c r="L925" s="29"/>
      <c r="M925" s="68">
        <v>1</v>
      </c>
      <c r="N925" s="68" t="s">
        <v>8553</v>
      </c>
    </row>
    <row r="926" spans="1:14" ht="28.5" x14ac:dyDescent="0.2">
      <c r="A926" s="11" t="s">
        <v>1955</v>
      </c>
      <c r="B926" s="12" t="s">
        <v>4685</v>
      </c>
      <c r="C926" s="13" t="s">
        <v>3754</v>
      </c>
      <c r="D926" s="13" t="s">
        <v>3761</v>
      </c>
      <c r="E926" s="29" t="s">
        <v>8571</v>
      </c>
      <c r="F926" s="13" t="s">
        <v>3754</v>
      </c>
      <c r="G926" s="8">
        <v>4</v>
      </c>
      <c r="H926" s="8"/>
      <c r="I926" s="8"/>
      <c r="J926" s="29" t="s">
        <v>4747</v>
      </c>
      <c r="K926" s="29" t="s">
        <v>4753</v>
      </c>
      <c r="L926" s="29"/>
      <c r="M926" s="68">
        <v>1</v>
      </c>
      <c r="N926" s="68" t="s">
        <v>8553</v>
      </c>
    </row>
    <row r="927" spans="1:14" ht="14.25" x14ac:dyDescent="0.2">
      <c r="A927" s="11" t="s">
        <v>1955</v>
      </c>
      <c r="B927" s="12" t="s">
        <v>4685</v>
      </c>
      <c r="C927" s="13" t="s">
        <v>3757</v>
      </c>
      <c r="D927" s="13" t="s">
        <v>3754</v>
      </c>
      <c r="E927" s="29" t="s">
        <v>5428</v>
      </c>
      <c r="F927" s="13" t="s">
        <v>4916</v>
      </c>
      <c r="G927" s="8">
        <v>44</v>
      </c>
      <c r="H927" s="8"/>
      <c r="I927" s="8"/>
      <c r="J927" s="29" t="s">
        <v>1264</v>
      </c>
      <c r="K927" s="109" t="s">
        <v>5429</v>
      </c>
      <c r="L927" s="29"/>
      <c r="M927" s="68">
        <v>1</v>
      </c>
      <c r="N927" s="68" t="s">
        <v>5390</v>
      </c>
    </row>
    <row r="928" spans="1:14" ht="42.75" x14ac:dyDescent="0.2">
      <c r="A928" s="11" t="s">
        <v>1955</v>
      </c>
      <c r="B928" s="12" t="s">
        <v>4685</v>
      </c>
      <c r="C928" s="13" t="s">
        <v>3757</v>
      </c>
      <c r="D928" s="13" t="s">
        <v>3761</v>
      </c>
      <c r="E928" s="29" t="s">
        <v>8693</v>
      </c>
      <c r="F928" s="13" t="s">
        <v>1729</v>
      </c>
      <c r="G928" s="8">
        <v>73</v>
      </c>
      <c r="H928" s="8"/>
      <c r="I928" s="8"/>
      <c r="J928" s="29" t="s">
        <v>8694</v>
      </c>
      <c r="K928" s="29" t="s">
        <v>5671</v>
      </c>
      <c r="L928" s="29"/>
      <c r="M928" s="68">
        <v>1</v>
      </c>
      <c r="N928" s="68" t="s">
        <v>8553</v>
      </c>
    </row>
    <row r="929" spans="1:14" ht="14.25" x14ac:dyDescent="0.2">
      <c r="A929" s="11" t="s">
        <v>1955</v>
      </c>
      <c r="B929" s="12" t="s">
        <v>3338</v>
      </c>
      <c r="C929" s="13" t="s">
        <v>3754</v>
      </c>
      <c r="D929" s="13" t="s">
        <v>3754</v>
      </c>
      <c r="E929" s="29" t="s">
        <v>4903</v>
      </c>
      <c r="F929" s="13" t="s">
        <v>8782</v>
      </c>
      <c r="G929" s="8"/>
      <c r="H929" s="8">
        <v>9</v>
      </c>
      <c r="I929" s="8">
        <v>12</v>
      </c>
      <c r="J929" s="29" t="s">
        <v>8783</v>
      </c>
      <c r="K929" s="29" t="s">
        <v>8784</v>
      </c>
      <c r="L929" s="29"/>
      <c r="M929" s="68">
        <v>1</v>
      </c>
      <c r="N929" s="68" t="s">
        <v>8714</v>
      </c>
    </row>
    <row r="930" spans="1:14" ht="14.25" x14ac:dyDescent="0.2">
      <c r="A930" s="11" t="s">
        <v>1955</v>
      </c>
      <c r="B930" s="12" t="s">
        <v>3740</v>
      </c>
      <c r="C930" s="13" t="s">
        <v>3757</v>
      </c>
      <c r="D930" s="13" t="s">
        <v>3754</v>
      </c>
      <c r="E930" s="29" t="s">
        <v>5374</v>
      </c>
      <c r="F930" s="13" t="s">
        <v>5375</v>
      </c>
      <c r="G930" s="8">
        <v>42</v>
      </c>
      <c r="H930" s="8"/>
      <c r="I930" s="8"/>
      <c r="J930" s="29" t="s">
        <v>1264</v>
      </c>
      <c r="K930" s="29" t="s">
        <v>5376</v>
      </c>
      <c r="L930" s="29"/>
      <c r="M930" s="68">
        <v>1</v>
      </c>
      <c r="N930" s="68" t="s">
        <v>8827</v>
      </c>
    </row>
    <row r="931" spans="1:14" ht="14.25" x14ac:dyDescent="0.2">
      <c r="A931" s="11" t="s">
        <v>1955</v>
      </c>
      <c r="B931" s="12" t="s">
        <v>3740</v>
      </c>
      <c r="C931" s="13" t="s">
        <v>5405</v>
      </c>
      <c r="D931" s="13" t="s">
        <v>3754</v>
      </c>
      <c r="E931" s="29" t="s">
        <v>3442</v>
      </c>
      <c r="F931" s="13" t="s">
        <v>2399</v>
      </c>
      <c r="G931" s="8">
        <v>50</v>
      </c>
      <c r="H931" s="8"/>
      <c r="I931" s="8"/>
      <c r="J931" s="29" t="s">
        <v>1264</v>
      </c>
      <c r="K931" s="29" t="s">
        <v>5406</v>
      </c>
      <c r="L931" s="29"/>
      <c r="M931" s="68">
        <v>1</v>
      </c>
      <c r="N931" s="68" t="s">
        <v>5390</v>
      </c>
    </row>
    <row r="932" spans="1:14" ht="28.5" x14ac:dyDescent="0.2">
      <c r="A932" s="11" t="s">
        <v>1955</v>
      </c>
      <c r="B932" s="12" t="s">
        <v>5712</v>
      </c>
      <c r="C932" s="13" t="s">
        <v>3754</v>
      </c>
      <c r="D932" s="13" t="s">
        <v>3761</v>
      </c>
      <c r="E932" s="29" t="s">
        <v>8572</v>
      </c>
      <c r="F932" s="13" t="s">
        <v>3754</v>
      </c>
      <c r="G932" s="8"/>
      <c r="H932" s="8">
        <v>13</v>
      </c>
      <c r="I932" s="8"/>
      <c r="J932" s="29" t="s">
        <v>4747</v>
      </c>
      <c r="K932" s="29" t="s">
        <v>4753</v>
      </c>
      <c r="L932" s="29"/>
      <c r="M932" s="68">
        <v>1</v>
      </c>
      <c r="N932" s="68" t="s">
        <v>8553</v>
      </c>
    </row>
    <row r="933" spans="1:14" ht="14.25" x14ac:dyDescent="0.2">
      <c r="A933" s="11" t="s">
        <v>1955</v>
      </c>
      <c r="B933" s="12" t="s">
        <v>5386</v>
      </c>
      <c r="C933" s="13" t="s">
        <v>3754</v>
      </c>
      <c r="D933" s="13" t="s">
        <v>3754</v>
      </c>
      <c r="E933" s="29" t="s">
        <v>5387</v>
      </c>
      <c r="F933" s="13" t="s">
        <v>5388</v>
      </c>
      <c r="G933" s="8"/>
      <c r="H933" s="8">
        <v>3</v>
      </c>
      <c r="I933" s="8">
        <v>7</v>
      </c>
      <c r="J933" s="29" t="s">
        <v>1412</v>
      </c>
      <c r="K933" s="109" t="s">
        <v>5389</v>
      </c>
      <c r="L933" s="29"/>
      <c r="M933" s="68">
        <v>1</v>
      </c>
      <c r="N933" s="68" t="s">
        <v>8827</v>
      </c>
    </row>
    <row r="934" spans="1:14" ht="14.25" x14ac:dyDescent="0.2">
      <c r="A934" s="11" t="s">
        <v>1955</v>
      </c>
      <c r="B934" s="12" t="s">
        <v>8758</v>
      </c>
      <c r="C934" s="13" t="s">
        <v>3754</v>
      </c>
      <c r="D934" s="13" t="s">
        <v>3754</v>
      </c>
      <c r="E934" s="29" t="s">
        <v>8759</v>
      </c>
      <c r="F934" s="13" t="s">
        <v>8760</v>
      </c>
      <c r="G934" s="8"/>
      <c r="H934" s="8">
        <v>3</v>
      </c>
      <c r="I934" s="8">
        <v>19</v>
      </c>
      <c r="J934" s="29" t="s">
        <v>7319</v>
      </c>
      <c r="K934" s="29" t="s">
        <v>8761</v>
      </c>
      <c r="L934" s="29"/>
      <c r="M934" s="68">
        <v>1</v>
      </c>
      <c r="N934" s="68" t="s">
        <v>8714</v>
      </c>
    </row>
    <row r="935" spans="1:14" ht="14.25" x14ac:dyDescent="0.2">
      <c r="A935" s="9" t="s">
        <v>1955</v>
      </c>
      <c r="B935" s="5" t="s">
        <v>3723</v>
      </c>
      <c r="C935" s="10" t="s">
        <v>3757</v>
      </c>
      <c r="D935" s="10" t="s">
        <v>3754</v>
      </c>
      <c r="E935" s="55" t="s">
        <v>8548</v>
      </c>
      <c r="F935" s="10" t="s">
        <v>8549</v>
      </c>
      <c r="G935" s="8">
        <v>47</v>
      </c>
      <c r="H935" s="8"/>
      <c r="I935" s="8"/>
      <c r="J935" s="55" t="s">
        <v>1259</v>
      </c>
      <c r="K935" s="110" t="s">
        <v>8550</v>
      </c>
      <c r="L935" s="61"/>
      <c r="M935" s="68">
        <v>1</v>
      </c>
      <c r="N935" s="68" t="s">
        <v>5912</v>
      </c>
    </row>
    <row r="936" spans="1:14" ht="14.25" x14ac:dyDescent="0.2">
      <c r="A936" s="9" t="s">
        <v>1955</v>
      </c>
      <c r="B936" s="5" t="s">
        <v>3750</v>
      </c>
      <c r="C936" s="10" t="s">
        <v>3754</v>
      </c>
      <c r="D936" s="10" t="s">
        <v>3754</v>
      </c>
      <c r="E936" s="61" t="s">
        <v>5050</v>
      </c>
      <c r="F936" s="10" t="s">
        <v>5369</v>
      </c>
      <c r="G936" s="8"/>
      <c r="H936" s="8">
        <v>3</v>
      </c>
      <c r="I936" s="8">
        <v>3</v>
      </c>
      <c r="J936" s="55" t="s">
        <v>1958</v>
      </c>
      <c r="K936" s="55" t="s">
        <v>5370</v>
      </c>
      <c r="L936" s="61"/>
      <c r="M936" s="68">
        <v>1</v>
      </c>
      <c r="N936" s="68" t="s">
        <v>8827</v>
      </c>
    </row>
    <row r="937" spans="1:14" ht="14.25" x14ac:dyDescent="0.2">
      <c r="A937" s="11" t="s">
        <v>1955</v>
      </c>
      <c r="B937" s="12" t="s">
        <v>5904</v>
      </c>
      <c r="C937" s="13" t="s">
        <v>3754</v>
      </c>
      <c r="D937" s="13"/>
      <c r="E937" s="29" t="s">
        <v>5322</v>
      </c>
      <c r="F937" s="13" t="s">
        <v>5323</v>
      </c>
      <c r="G937" s="8">
        <v>1</v>
      </c>
      <c r="H937" s="8">
        <v>2</v>
      </c>
      <c r="I937" s="8"/>
      <c r="J937" s="29" t="s">
        <v>4579</v>
      </c>
      <c r="K937" s="29" t="s">
        <v>5324</v>
      </c>
      <c r="L937" s="29"/>
      <c r="M937" s="68">
        <v>1</v>
      </c>
      <c r="N937" s="68" t="s">
        <v>8827</v>
      </c>
    </row>
    <row r="938" spans="1:14" ht="14.25" x14ac:dyDescent="0.2">
      <c r="A938" s="11" t="s">
        <v>1955</v>
      </c>
      <c r="B938" s="12" t="s">
        <v>3746</v>
      </c>
      <c r="C938" s="13" t="s">
        <v>3757</v>
      </c>
      <c r="D938" s="13" t="s">
        <v>3754</v>
      </c>
      <c r="E938" s="29"/>
      <c r="F938" s="13" t="s">
        <v>8663</v>
      </c>
      <c r="G938" s="8">
        <v>50</v>
      </c>
      <c r="H938" s="8"/>
      <c r="I938" s="8"/>
      <c r="J938" s="29" t="s">
        <v>1264</v>
      </c>
      <c r="K938" s="29" t="s">
        <v>8664</v>
      </c>
      <c r="L938" s="29"/>
      <c r="M938" s="68">
        <v>1</v>
      </c>
      <c r="N938" s="68" t="s">
        <v>8553</v>
      </c>
    </row>
    <row r="939" spans="1:14" ht="14.25" x14ac:dyDescent="0.2">
      <c r="A939" s="11" t="s">
        <v>1955</v>
      </c>
      <c r="B939" s="12" t="s">
        <v>4817</v>
      </c>
      <c r="C939" s="13" t="s">
        <v>4712</v>
      </c>
      <c r="D939" s="13" t="s">
        <v>3754</v>
      </c>
      <c r="E939" s="29" t="s">
        <v>8804</v>
      </c>
      <c r="F939" s="13" t="s">
        <v>8760</v>
      </c>
      <c r="G939" s="8">
        <v>35</v>
      </c>
      <c r="H939" s="8"/>
      <c r="I939" s="8"/>
      <c r="J939" s="29" t="s">
        <v>8805</v>
      </c>
      <c r="K939" s="29" t="s">
        <v>8806</v>
      </c>
      <c r="L939" s="29"/>
      <c r="M939" s="68">
        <v>1</v>
      </c>
      <c r="N939" s="68" t="s">
        <v>8714</v>
      </c>
    </row>
    <row r="940" spans="1:14" ht="14.25" x14ac:dyDescent="0.2">
      <c r="A940" s="11" t="s">
        <v>1955</v>
      </c>
      <c r="B940" s="12" t="s">
        <v>1445</v>
      </c>
      <c r="C940" s="13" t="s">
        <v>3754</v>
      </c>
      <c r="D940" s="13" t="s">
        <v>3761</v>
      </c>
      <c r="E940" s="29" t="s">
        <v>8569</v>
      </c>
      <c r="F940" s="13" t="s">
        <v>8570</v>
      </c>
      <c r="G940" s="8">
        <v>24</v>
      </c>
      <c r="H940" s="8">
        <v>6</v>
      </c>
      <c r="I940" s="8"/>
      <c r="J940" s="29" t="s">
        <v>1264</v>
      </c>
      <c r="K940" s="29" t="s">
        <v>4754</v>
      </c>
      <c r="L940" s="29"/>
      <c r="M940" s="68">
        <v>1</v>
      </c>
      <c r="N940" s="68" t="s">
        <v>8553</v>
      </c>
    </row>
    <row r="941" spans="1:14" ht="14.25" x14ac:dyDescent="0.2">
      <c r="A941" s="11" t="s">
        <v>1955</v>
      </c>
      <c r="B941" s="12" t="s">
        <v>3726</v>
      </c>
      <c r="C941" s="13" t="s">
        <v>3757</v>
      </c>
      <c r="D941" s="13" t="s">
        <v>3761</v>
      </c>
      <c r="E941" s="29" t="s">
        <v>8573</v>
      </c>
      <c r="F941" s="13" t="s">
        <v>3754</v>
      </c>
      <c r="G941" s="8">
        <v>49</v>
      </c>
      <c r="H941" s="8"/>
      <c r="I941" s="8"/>
      <c r="J941" s="29" t="s">
        <v>2989</v>
      </c>
      <c r="K941" s="29" t="s">
        <v>4753</v>
      </c>
      <c r="L941" s="29"/>
      <c r="M941" s="68">
        <v>1</v>
      </c>
      <c r="N941" s="68" t="s">
        <v>8553</v>
      </c>
    </row>
    <row r="942" spans="1:14" ht="14.25" x14ac:dyDescent="0.2">
      <c r="A942" s="11" t="s">
        <v>8780</v>
      </c>
      <c r="B942" s="12" t="s">
        <v>3733</v>
      </c>
      <c r="C942" s="13" t="s">
        <v>3754</v>
      </c>
      <c r="D942" s="13" t="s">
        <v>3754</v>
      </c>
      <c r="E942" s="29" t="s">
        <v>6941</v>
      </c>
      <c r="F942" s="13" t="s">
        <v>8781</v>
      </c>
      <c r="G942" s="8">
        <v>1</v>
      </c>
      <c r="H942" s="8">
        <v>8</v>
      </c>
      <c r="I942" s="8">
        <v>10</v>
      </c>
      <c r="J942" s="29" t="s">
        <v>1258</v>
      </c>
      <c r="K942" s="29" t="s">
        <v>8615</v>
      </c>
      <c r="L942" s="29"/>
      <c r="M942" s="68">
        <v>1</v>
      </c>
      <c r="N942" s="68" t="s">
        <v>8714</v>
      </c>
    </row>
    <row r="943" spans="1:14" ht="14.25" x14ac:dyDescent="0.2">
      <c r="A943" s="11" t="s">
        <v>4778</v>
      </c>
      <c r="B943" s="12" t="s">
        <v>3746</v>
      </c>
      <c r="C943" s="13" t="s">
        <v>3757</v>
      </c>
      <c r="D943" s="13" t="s">
        <v>3754</v>
      </c>
      <c r="E943" s="29"/>
      <c r="F943" s="13" t="s">
        <v>3754</v>
      </c>
      <c r="G943" s="8">
        <v>28</v>
      </c>
      <c r="H943" s="8"/>
      <c r="I943" s="8"/>
      <c r="J943" s="29" t="s">
        <v>1572</v>
      </c>
      <c r="K943" s="29" t="s">
        <v>4777</v>
      </c>
      <c r="L943" s="29"/>
      <c r="M943" s="68">
        <v>1</v>
      </c>
      <c r="N943" s="68" t="s">
        <v>5912</v>
      </c>
    </row>
    <row r="944" spans="1:14" ht="14.25" x14ac:dyDescent="0.2">
      <c r="A944" s="11" t="s">
        <v>8656</v>
      </c>
      <c r="B944" s="12" t="s">
        <v>3735</v>
      </c>
      <c r="C944" s="13" t="s">
        <v>3754</v>
      </c>
      <c r="D944" s="13" t="s">
        <v>3761</v>
      </c>
      <c r="E944" s="29" t="s">
        <v>8657</v>
      </c>
      <c r="F944" s="13" t="s">
        <v>8658</v>
      </c>
      <c r="G944" s="8">
        <v>1</v>
      </c>
      <c r="H944" s="8">
        <v>11</v>
      </c>
      <c r="I944" s="8"/>
      <c r="J944" s="29" t="s">
        <v>6927</v>
      </c>
      <c r="K944" s="29" t="s">
        <v>1933</v>
      </c>
      <c r="L944" s="29"/>
      <c r="M944" s="68">
        <v>1</v>
      </c>
      <c r="N944" s="68" t="s">
        <v>8553</v>
      </c>
    </row>
    <row r="945" spans="1:14" ht="14.25" x14ac:dyDescent="0.2">
      <c r="A945" s="11" t="s">
        <v>8554</v>
      </c>
      <c r="B945" s="12" t="s">
        <v>8555</v>
      </c>
      <c r="C945" s="13" t="s">
        <v>3754</v>
      </c>
      <c r="D945" s="13" t="s">
        <v>3761</v>
      </c>
      <c r="E945" s="29" t="s">
        <v>8556</v>
      </c>
      <c r="F945" s="13" t="s">
        <v>8557</v>
      </c>
      <c r="G945" s="8">
        <v>4</v>
      </c>
      <c r="H945" s="8">
        <v>7</v>
      </c>
      <c r="I945" s="8"/>
      <c r="J945" s="29" t="s">
        <v>1261</v>
      </c>
      <c r="K945" s="29" t="s">
        <v>1410</v>
      </c>
      <c r="L945" s="29"/>
      <c r="M945" s="68">
        <v>1</v>
      </c>
      <c r="N945" s="68" t="s">
        <v>8553</v>
      </c>
    </row>
    <row r="946" spans="1:14" ht="14.25" x14ac:dyDescent="0.2">
      <c r="A946" s="11" t="s">
        <v>8554</v>
      </c>
      <c r="B946" s="12" t="s">
        <v>5712</v>
      </c>
      <c r="C946" s="13" t="s">
        <v>3754</v>
      </c>
      <c r="D946" s="13" t="s">
        <v>3754</v>
      </c>
      <c r="E946" s="29" t="s">
        <v>8766</v>
      </c>
      <c r="F946" s="13" t="s">
        <v>8767</v>
      </c>
      <c r="G946" s="8">
        <v>6</v>
      </c>
      <c r="H946" s="8"/>
      <c r="I946" s="8"/>
      <c r="J946" s="29" t="s">
        <v>8768</v>
      </c>
      <c r="K946" s="29" t="s">
        <v>8769</v>
      </c>
      <c r="L946" s="29"/>
      <c r="M946" s="68">
        <v>1</v>
      </c>
      <c r="N946" s="68" t="s">
        <v>8714</v>
      </c>
    </row>
    <row r="947" spans="1:14" ht="14.25" x14ac:dyDescent="0.2">
      <c r="A947" s="11" t="s">
        <v>8684</v>
      </c>
      <c r="B947" s="12" t="s">
        <v>3734</v>
      </c>
      <c r="C947" s="13" t="s">
        <v>3757</v>
      </c>
      <c r="D947" s="13" t="s">
        <v>3754</v>
      </c>
      <c r="E947" s="55" t="s">
        <v>8755</v>
      </c>
      <c r="F947" s="13" t="s">
        <v>8756</v>
      </c>
      <c r="G947" s="8">
        <v>81</v>
      </c>
      <c r="H947" s="8"/>
      <c r="I947" s="8"/>
      <c r="J947" s="29" t="s">
        <v>1271</v>
      </c>
      <c r="K947" s="29" t="s">
        <v>8757</v>
      </c>
      <c r="L947" s="29"/>
      <c r="M947" s="68">
        <v>1</v>
      </c>
      <c r="N947" s="68" t="s">
        <v>8714</v>
      </c>
    </row>
    <row r="948" spans="1:14" ht="14.25" x14ac:dyDescent="0.2">
      <c r="A948" s="11" t="s">
        <v>8684</v>
      </c>
      <c r="B948" s="12" t="s">
        <v>1432</v>
      </c>
      <c r="C948" s="29" t="s">
        <v>3754</v>
      </c>
      <c r="D948" s="13" t="s">
        <v>8689</v>
      </c>
      <c r="E948" s="61"/>
      <c r="F948" s="13" t="s">
        <v>5699</v>
      </c>
      <c r="G948" s="8">
        <v>3</v>
      </c>
      <c r="H948" s="8"/>
      <c r="I948" s="8"/>
      <c r="J948" s="29" t="s">
        <v>1258</v>
      </c>
      <c r="K948" s="29" t="s">
        <v>1440</v>
      </c>
      <c r="L948" s="29"/>
      <c r="M948" s="68">
        <v>1</v>
      </c>
      <c r="N948" s="68" t="s">
        <v>8553</v>
      </c>
    </row>
    <row r="949" spans="1:14" ht="14.25" x14ac:dyDescent="0.2">
      <c r="A949" s="11" t="s">
        <v>8684</v>
      </c>
      <c r="B949" s="12" t="s">
        <v>3724</v>
      </c>
      <c r="C949" s="29" t="s">
        <v>3754</v>
      </c>
      <c r="D949" s="13" t="s">
        <v>3754</v>
      </c>
      <c r="E949" s="29"/>
      <c r="F949" s="13" t="s">
        <v>8690</v>
      </c>
      <c r="G949" s="8"/>
      <c r="H949" s="8">
        <v>11</v>
      </c>
      <c r="I949" s="8"/>
      <c r="J949" s="29" t="s">
        <v>1258</v>
      </c>
      <c r="K949" s="29" t="s">
        <v>1440</v>
      </c>
      <c r="L949" s="29"/>
      <c r="M949" s="68">
        <v>1</v>
      </c>
      <c r="N949" s="68" t="s">
        <v>8553</v>
      </c>
    </row>
    <row r="950" spans="1:14" ht="14.25" x14ac:dyDescent="0.2">
      <c r="A950" s="11" t="s">
        <v>8684</v>
      </c>
      <c r="B950" s="12" t="s">
        <v>4702</v>
      </c>
      <c r="C950" s="13" t="s">
        <v>3757</v>
      </c>
      <c r="D950" s="13" t="s">
        <v>6944</v>
      </c>
      <c r="E950" s="29"/>
      <c r="F950" s="13" t="s">
        <v>6944</v>
      </c>
      <c r="G950" s="8">
        <v>52</v>
      </c>
      <c r="H950" s="8"/>
      <c r="I950" s="8"/>
      <c r="J950" s="29" t="s">
        <v>1264</v>
      </c>
      <c r="K950" s="29" t="s">
        <v>1440</v>
      </c>
      <c r="L950" s="29"/>
      <c r="M950" s="68">
        <v>1</v>
      </c>
      <c r="N950" s="68" t="s">
        <v>8553</v>
      </c>
    </row>
    <row r="951" spans="1:14" ht="14.25" x14ac:dyDescent="0.2">
      <c r="A951" s="11" t="s">
        <v>8684</v>
      </c>
      <c r="B951" s="12" t="s">
        <v>3740</v>
      </c>
      <c r="C951" s="13" t="s">
        <v>3757</v>
      </c>
      <c r="D951" s="13" t="s">
        <v>3754</v>
      </c>
      <c r="E951" s="29"/>
      <c r="F951" s="13" t="s">
        <v>1541</v>
      </c>
      <c r="G951" s="8">
        <v>26</v>
      </c>
      <c r="H951" s="8"/>
      <c r="I951" s="8"/>
      <c r="J951" s="29" t="s">
        <v>1264</v>
      </c>
      <c r="K951" s="29" t="s">
        <v>1440</v>
      </c>
      <c r="L951" s="29"/>
      <c r="M951" s="68">
        <v>1</v>
      </c>
      <c r="N951" s="68" t="s">
        <v>8553</v>
      </c>
    </row>
    <row r="952" spans="1:14" ht="14.25" x14ac:dyDescent="0.2">
      <c r="A952" s="11" t="s">
        <v>8684</v>
      </c>
      <c r="B952" s="12" t="s">
        <v>5486</v>
      </c>
      <c r="C952" s="29" t="s">
        <v>3754</v>
      </c>
      <c r="D952" s="13" t="s">
        <v>3754</v>
      </c>
      <c r="E952" s="29"/>
      <c r="F952" s="13" t="s">
        <v>8688</v>
      </c>
      <c r="G952" s="8">
        <v>1</v>
      </c>
      <c r="H952" s="8">
        <v>1</v>
      </c>
      <c r="I952" s="8"/>
      <c r="J952" s="29" t="s">
        <v>1258</v>
      </c>
      <c r="K952" s="29" t="s">
        <v>1440</v>
      </c>
      <c r="L952" s="29"/>
      <c r="M952" s="68">
        <v>1</v>
      </c>
      <c r="N952" s="68" t="s">
        <v>8553</v>
      </c>
    </row>
    <row r="953" spans="1:14" ht="14.25" x14ac:dyDescent="0.2">
      <c r="A953" s="11" t="s">
        <v>8684</v>
      </c>
      <c r="B953" s="12" t="s">
        <v>4878</v>
      </c>
      <c r="C953" s="13" t="s">
        <v>3757</v>
      </c>
      <c r="D953" s="13" t="s">
        <v>3754</v>
      </c>
      <c r="E953" s="29"/>
      <c r="F953" s="13" t="s">
        <v>8687</v>
      </c>
      <c r="G953" s="8">
        <v>53</v>
      </c>
      <c r="H953" s="8"/>
      <c r="I953" s="8"/>
      <c r="J953" s="29" t="s">
        <v>7863</v>
      </c>
      <c r="K953" s="29" t="s">
        <v>1440</v>
      </c>
      <c r="L953" s="29"/>
      <c r="M953" s="68">
        <v>1</v>
      </c>
      <c r="N953" s="68" t="s">
        <v>8553</v>
      </c>
    </row>
    <row r="954" spans="1:14" ht="28.5" x14ac:dyDescent="0.2">
      <c r="A954" s="11" t="s">
        <v>8684</v>
      </c>
      <c r="B954" s="12" t="s">
        <v>4877</v>
      </c>
      <c r="C954" s="13" t="s">
        <v>3757</v>
      </c>
      <c r="D954" s="13" t="s">
        <v>3754</v>
      </c>
      <c r="E954" s="29" t="s">
        <v>6709</v>
      </c>
      <c r="F954" s="13" t="s">
        <v>8685</v>
      </c>
      <c r="G954" s="8">
        <v>81</v>
      </c>
      <c r="H954" s="8"/>
      <c r="I954" s="8"/>
      <c r="J954" s="29" t="s">
        <v>8686</v>
      </c>
      <c r="K954" s="29" t="s">
        <v>1440</v>
      </c>
      <c r="L954" s="29" t="s">
        <v>6700</v>
      </c>
      <c r="M954" s="68">
        <v>1</v>
      </c>
      <c r="N954" s="68" t="s">
        <v>8553</v>
      </c>
    </row>
    <row r="955" spans="1:14" ht="14.25" x14ac:dyDescent="0.2">
      <c r="A955" s="11" t="s">
        <v>5304</v>
      </c>
      <c r="B955" s="12" t="s">
        <v>6785</v>
      </c>
      <c r="C955" s="13" t="s">
        <v>3757</v>
      </c>
      <c r="D955" s="13" t="s">
        <v>3754</v>
      </c>
      <c r="E955" s="29" t="s">
        <v>3303</v>
      </c>
      <c r="F955" s="13" t="s">
        <v>5357</v>
      </c>
      <c r="G955" s="8">
        <v>48</v>
      </c>
      <c r="H955" s="8"/>
      <c r="I955" s="8"/>
      <c r="J955" s="29" t="s">
        <v>1259</v>
      </c>
      <c r="K955" s="29" t="s">
        <v>3305</v>
      </c>
      <c r="L955" s="29"/>
      <c r="M955" s="68">
        <v>1</v>
      </c>
      <c r="N955" s="68" t="s">
        <v>8827</v>
      </c>
    </row>
    <row r="956" spans="1:14" ht="14.25" x14ac:dyDescent="0.2">
      <c r="A956" s="11" t="s">
        <v>5304</v>
      </c>
      <c r="B956" s="12" t="s">
        <v>5305</v>
      </c>
      <c r="C956" s="13" t="s">
        <v>3754</v>
      </c>
      <c r="D956" s="13" t="s">
        <v>3754</v>
      </c>
      <c r="E956" s="29" t="s">
        <v>5306</v>
      </c>
      <c r="F956" s="13" t="s">
        <v>5307</v>
      </c>
      <c r="G956" s="8"/>
      <c r="H956" s="8">
        <v>6</v>
      </c>
      <c r="I956" s="8"/>
      <c r="J956" s="29" t="s">
        <v>5308</v>
      </c>
      <c r="K956" s="29" t="s">
        <v>6071</v>
      </c>
      <c r="L956" s="29"/>
      <c r="M956" s="68">
        <v>1</v>
      </c>
      <c r="N956" s="68" t="s">
        <v>8827</v>
      </c>
    </row>
    <row r="957" spans="1:14" ht="14.25" x14ac:dyDescent="0.2">
      <c r="A957" s="11" t="s">
        <v>1667</v>
      </c>
      <c r="B957" s="12" t="s">
        <v>3733</v>
      </c>
      <c r="C957" s="13" t="s">
        <v>3757</v>
      </c>
      <c r="D957" s="13" t="s">
        <v>3754</v>
      </c>
      <c r="E957" s="29" t="s">
        <v>3693</v>
      </c>
      <c r="F957" s="13" t="s">
        <v>1668</v>
      </c>
      <c r="G957" s="8">
        <v>44</v>
      </c>
      <c r="H957" s="8"/>
      <c r="I957" s="8"/>
      <c r="J957" s="29" t="s">
        <v>1669</v>
      </c>
      <c r="K957" s="29" t="s">
        <v>1670</v>
      </c>
      <c r="L957" s="29"/>
      <c r="M957" s="68">
        <v>1</v>
      </c>
      <c r="N957" s="68" t="s">
        <v>5390</v>
      </c>
    </row>
    <row r="958" spans="1:14" ht="14.25" x14ac:dyDescent="0.2">
      <c r="A958" s="11" t="s">
        <v>8790</v>
      </c>
      <c r="B958" s="12" t="s">
        <v>4685</v>
      </c>
      <c r="C958" s="13" t="s">
        <v>3757</v>
      </c>
      <c r="D958" s="13" t="s">
        <v>3754</v>
      </c>
      <c r="E958" s="29" t="s">
        <v>8791</v>
      </c>
      <c r="F958" s="13" t="s">
        <v>8792</v>
      </c>
      <c r="G958" s="8">
        <v>84</v>
      </c>
      <c r="H958" s="8"/>
      <c r="I958" s="8"/>
      <c r="J958" s="29" t="s">
        <v>1271</v>
      </c>
      <c r="K958" s="29" t="s">
        <v>8793</v>
      </c>
      <c r="L958" s="29"/>
      <c r="M958" s="68">
        <v>1</v>
      </c>
      <c r="N958" s="68" t="s">
        <v>8714</v>
      </c>
    </row>
    <row r="959" spans="1:14" ht="14.25" x14ac:dyDescent="0.2">
      <c r="A959" s="11" t="s">
        <v>8790</v>
      </c>
      <c r="B959" s="12" t="s">
        <v>3740</v>
      </c>
      <c r="C959" s="13" t="s">
        <v>3757</v>
      </c>
      <c r="D959" s="13" t="s">
        <v>3754</v>
      </c>
      <c r="E959" s="29" t="s">
        <v>5424</v>
      </c>
      <c r="F959" s="13" t="s">
        <v>5426</v>
      </c>
      <c r="G959" s="8">
        <v>32</v>
      </c>
      <c r="H959" s="8"/>
      <c r="I959" s="8"/>
      <c r="J959" s="29" t="s">
        <v>1264</v>
      </c>
      <c r="K959" s="109" t="s">
        <v>5427</v>
      </c>
      <c r="L959" s="29"/>
      <c r="M959" s="68">
        <v>1</v>
      </c>
      <c r="N959" s="68" t="s">
        <v>5390</v>
      </c>
    </row>
    <row r="960" spans="1:14" ht="14.25" x14ac:dyDescent="0.2">
      <c r="A960" s="11" t="s">
        <v>8671</v>
      </c>
      <c r="B960" s="12" t="s">
        <v>4908</v>
      </c>
      <c r="C960" s="13" t="s">
        <v>3757</v>
      </c>
      <c r="D960" s="13" t="s">
        <v>3761</v>
      </c>
      <c r="E960" s="29" t="s">
        <v>8672</v>
      </c>
      <c r="F960" s="13" t="s">
        <v>8673</v>
      </c>
      <c r="G960" s="8">
        <v>31</v>
      </c>
      <c r="H960" s="8"/>
      <c r="I960" s="8"/>
      <c r="J960" s="29" t="s">
        <v>8674</v>
      </c>
      <c r="K960" s="29" t="s">
        <v>1284</v>
      </c>
      <c r="L960" s="29"/>
      <c r="M960" s="68">
        <v>1</v>
      </c>
      <c r="N960" s="68" t="s">
        <v>8553</v>
      </c>
    </row>
    <row r="961" spans="1:14" ht="14.25" x14ac:dyDescent="0.2">
      <c r="A961" s="11" t="s">
        <v>8707</v>
      </c>
      <c r="B961" s="12" t="s">
        <v>6048</v>
      </c>
      <c r="C961" s="13" t="s">
        <v>3754</v>
      </c>
      <c r="D961" s="13" t="s">
        <v>3761</v>
      </c>
      <c r="E961" s="29" t="s">
        <v>8591</v>
      </c>
      <c r="F961" s="13" t="s">
        <v>8708</v>
      </c>
      <c r="G961" s="8">
        <v>18</v>
      </c>
      <c r="H961" s="8">
        <v>4</v>
      </c>
      <c r="I961" s="8"/>
      <c r="J961" s="29" t="s">
        <v>8624</v>
      </c>
      <c r="K961" s="29" t="s">
        <v>8709</v>
      </c>
      <c r="L961" s="29"/>
      <c r="M961" s="68">
        <v>1</v>
      </c>
      <c r="N961" s="68" t="s">
        <v>8553</v>
      </c>
    </row>
    <row r="962" spans="1:14" ht="14.25" x14ac:dyDescent="0.2">
      <c r="A962" s="11" t="s">
        <v>5454</v>
      </c>
      <c r="B962" s="12" t="s">
        <v>5044</v>
      </c>
      <c r="C962" s="13" t="s">
        <v>3757</v>
      </c>
      <c r="D962" s="13" t="s">
        <v>3754</v>
      </c>
      <c r="E962" s="29" t="s">
        <v>5451</v>
      </c>
      <c r="F962" s="13" t="s">
        <v>5455</v>
      </c>
      <c r="G962" s="8">
        <v>54</v>
      </c>
      <c r="H962" s="8"/>
      <c r="I962" s="8"/>
      <c r="J962" s="29" t="s">
        <v>5152</v>
      </c>
      <c r="K962" s="29" t="s">
        <v>5456</v>
      </c>
      <c r="L962" s="29"/>
      <c r="M962" s="68">
        <v>1</v>
      </c>
      <c r="N962" s="68" t="s">
        <v>5390</v>
      </c>
    </row>
    <row r="963" spans="1:14" ht="14.25" x14ac:dyDescent="0.2">
      <c r="A963" s="11" t="s">
        <v>8491</v>
      </c>
      <c r="B963" s="12" t="s">
        <v>3752</v>
      </c>
      <c r="C963" s="13" t="s">
        <v>3754</v>
      </c>
      <c r="D963" s="13" t="s">
        <v>3754</v>
      </c>
      <c r="E963" s="72"/>
      <c r="F963" s="13" t="s">
        <v>8492</v>
      </c>
      <c r="G963" s="8">
        <v>1</v>
      </c>
      <c r="H963" s="8"/>
      <c r="I963" s="8"/>
      <c r="J963" s="29" t="s">
        <v>4579</v>
      </c>
      <c r="K963" s="29"/>
      <c r="L963" s="29"/>
      <c r="M963" s="68">
        <v>1</v>
      </c>
      <c r="N963" s="68" t="s">
        <v>5912</v>
      </c>
    </row>
    <row r="964" spans="1:14" ht="14.25" x14ac:dyDescent="0.2">
      <c r="A964" s="11" t="s">
        <v>8491</v>
      </c>
      <c r="B964" s="12" t="s">
        <v>8493</v>
      </c>
      <c r="C964" s="13" t="s">
        <v>3754</v>
      </c>
      <c r="D964" s="13" t="s">
        <v>3754</v>
      </c>
      <c r="E964" s="72"/>
      <c r="F964" s="13" t="s">
        <v>1834</v>
      </c>
      <c r="G964" s="8">
        <v>27</v>
      </c>
      <c r="H964" s="8"/>
      <c r="I964" s="8"/>
      <c r="J964" s="29" t="s">
        <v>1264</v>
      </c>
      <c r="K964" s="29" t="s">
        <v>8494</v>
      </c>
      <c r="L964" s="29"/>
      <c r="M964" s="68">
        <v>1</v>
      </c>
      <c r="N964" s="68" t="s">
        <v>5912</v>
      </c>
    </row>
    <row r="965" spans="1:14" ht="14.25" x14ac:dyDescent="0.2">
      <c r="A965" s="11" t="s">
        <v>5371</v>
      </c>
      <c r="B965" s="12" t="s">
        <v>3723</v>
      </c>
      <c r="C965" s="13" t="s">
        <v>3754</v>
      </c>
      <c r="D965" s="13" t="s">
        <v>3754</v>
      </c>
      <c r="E965" s="29" t="s">
        <v>5372</v>
      </c>
      <c r="F965" s="13" t="s">
        <v>5373</v>
      </c>
      <c r="G965" s="8">
        <v>19</v>
      </c>
      <c r="H965" s="8"/>
      <c r="I965" s="8"/>
      <c r="J965" s="29" t="s">
        <v>1264</v>
      </c>
      <c r="K965" s="29" t="s">
        <v>2892</v>
      </c>
      <c r="L965" s="29"/>
      <c r="M965" s="68">
        <v>1</v>
      </c>
      <c r="N965" s="68" t="s">
        <v>8827</v>
      </c>
    </row>
    <row r="966" spans="1:14" ht="14.25" x14ac:dyDescent="0.2">
      <c r="A966" s="11" t="s">
        <v>8747</v>
      </c>
      <c r="B966" s="12" t="s">
        <v>5904</v>
      </c>
      <c r="C966" s="13" t="s">
        <v>3754</v>
      </c>
      <c r="D966" s="13" t="s">
        <v>3754</v>
      </c>
      <c r="E966" s="29" t="s">
        <v>3097</v>
      </c>
      <c r="F966" s="13" t="s">
        <v>8748</v>
      </c>
      <c r="G966" s="8">
        <v>28</v>
      </c>
      <c r="H966" s="8"/>
      <c r="I966" s="8"/>
      <c r="J966" s="29" t="s">
        <v>1264</v>
      </c>
      <c r="K966" s="29" t="s">
        <v>8749</v>
      </c>
      <c r="L966" s="29"/>
      <c r="M966" s="68">
        <v>1</v>
      </c>
      <c r="N966" s="68" t="s">
        <v>8714</v>
      </c>
    </row>
    <row r="967" spans="1:14" ht="14.25" x14ac:dyDescent="0.2">
      <c r="A967" s="11" t="s">
        <v>8747</v>
      </c>
      <c r="B967" s="12" t="s">
        <v>8576</v>
      </c>
      <c r="C967" s="13" t="s">
        <v>3757</v>
      </c>
      <c r="D967" s="13" t="s">
        <v>3754</v>
      </c>
      <c r="E967" s="29" t="s">
        <v>8765</v>
      </c>
      <c r="F967" s="13" t="s">
        <v>8723</v>
      </c>
      <c r="G967" s="8">
        <v>65</v>
      </c>
      <c r="H967" s="8"/>
      <c r="I967" s="8"/>
      <c r="J967" s="29" t="s">
        <v>1266</v>
      </c>
      <c r="K967" s="29" t="s">
        <v>6923</v>
      </c>
      <c r="L967" s="29"/>
      <c r="M967" s="68">
        <v>1</v>
      </c>
      <c r="N967" s="68" t="s">
        <v>8714</v>
      </c>
    </row>
    <row r="968" spans="1:14" ht="14.25" x14ac:dyDescent="0.2">
      <c r="A968" s="11" t="s">
        <v>8747</v>
      </c>
      <c r="B968" s="12" t="s">
        <v>3746</v>
      </c>
      <c r="C968" s="13" t="s">
        <v>3757</v>
      </c>
      <c r="D968" s="13" t="s">
        <v>3754</v>
      </c>
      <c r="E968" s="29" t="s">
        <v>3454</v>
      </c>
      <c r="F968" s="13" t="s">
        <v>5199</v>
      </c>
      <c r="G968" s="8">
        <v>21</v>
      </c>
      <c r="H968" s="8"/>
      <c r="I968" s="8"/>
      <c r="J968" s="29" t="s">
        <v>5152</v>
      </c>
      <c r="K968" s="29" t="s">
        <v>3454</v>
      </c>
      <c r="L968" s="29"/>
      <c r="M968" s="68">
        <v>1</v>
      </c>
      <c r="N968" s="68" t="s">
        <v>5390</v>
      </c>
    </row>
    <row r="969" spans="1:14" ht="14.25" x14ac:dyDescent="0.2">
      <c r="A969" s="11" t="s">
        <v>8747</v>
      </c>
      <c r="B969" s="12" t="s">
        <v>3746</v>
      </c>
      <c r="C969" s="13" t="s">
        <v>3754</v>
      </c>
      <c r="D969" s="13" t="s">
        <v>3754</v>
      </c>
      <c r="E969" s="29" t="s">
        <v>5451</v>
      </c>
      <c r="F969" s="13" t="s">
        <v>5452</v>
      </c>
      <c r="G969" s="8"/>
      <c r="H969" s="8">
        <v>3</v>
      </c>
      <c r="I969" s="8"/>
      <c r="J969" s="29" t="s">
        <v>1258</v>
      </c>
      <c r="K969" s="29" t="s">
        <v>5453</v>
      </c>
      <c r="L969" s="29"/>
      <c r="M969" s="68">
        <v>1</v>
      </c>
      <c r="N969" s="68" t="s">
        <v>5390</v>
      </c>
    </row>
    <row r="970" spans="1:14" ht="14.25" x14ac:dyDescent="0.2">
      <c r="A970" s="11" t="s">
        <v>8659</v>
      </c>
      <c r="B970" s="12" t="s">
        <v>8660</v>
      </c>
      <c r="C970" s="13" t="s">
        <v>3757</v>
      </c>
      <c r="D970" s="13" t="s">
        <v>3754</v>
      </c>
      <c r="E970" s="29" t="s">
        <v>8661</v>
      </c>
      <c r="F970" s="13" t="s">
        <v>8662</v>
      </c>
      <c r="G970" s="8">
        <v>68</v>
      </c>
      <c r="H970" s="8"/>
      <c r="I970" s="8"/>
      <c r="J970" s="29" t="s">
        <v>4738</v>
      </c>
      <c r="K970" s="29" t="s">
        <v>5643</v>
      </c>
      <c r="L970" s="29"/>
      <c r="M970" s="68">
        <v>1</v>
      </c>
      <c r="N970" s="68" t="s">
        <v>8553</v>
      </c>
    </row>
    <row r="971" spans="1:14" ht="14.25" x14ac:dyDescent="0.2">
      <c r="A971" s="11" t="s">
        <v>8659</v>
      </c>
      <c r="B971" s="12" t="s">
        <v>3740</v>
      </c>
      <c r="C971" s="13" t="s">
        <v>3757</v>
      </c>
      <c r="D971" s="13" t="s">
        <v>3754</v>
      </c>
      <c r="E971" s="29" t="s">
        <v>3329</v>
      </c>
      <c r="F971" s="13" t="s">
        <v>5382</v>
      </c>
      <c r="G971" s="8">
        <v>42</v>
      </c>
      <c r="H971" s="8"/>
      <c r="I971" s="8"/>
      <c r="J971" s="29" t="s">
        <v>5383</v>
      </c>
      <c r="K971" s="29" t="s">
        <v>5384</v>
      </c>
      <c r="L971" s="29"/>
      <c r="M971" s="68">
        <v>1</v>
      </c>
      <c r="N971" s="68" t="s">
        <v>8827</v>
      </c>
    </row>
    <row r="972" spans="1:14" ht="14.25" x14ac:dyDescent="0.2">
      <c r="A972" s="11" t="s">
        <v>5380</v>
      </c>
      <c r="B972" s="12" t="s">
        <v>3733</v>
      </c>
      <c r="C972" s="13" t="s">
        <v>3754</v>
      </c>
      <c r="D972" s="13" t="s">
        <v>3754</v>
      </c>
      <c r="E972" s="29" t="s">
        <v>5379</v>
      </c>
      <c r="F972" s="13" t="s">
        <v>4216</v>
      </c>
      <c r="G972" s="8">
        <v>1</v>
      </c>
      <c r="H972" s="8">
        <v>5</v>
      </c>
      <c r="I972" s="8"/>
      <c r="J972" s="29"/>
      <c r="K972" s="29" t="s">
        <v>5381</v>
      </c>
      <c r="L972" s="29"/>
      <c r="M972" s="68">
        <v>1</v>
      </c>
      <c r="N972" s="68" t="s">
        <v>8827</v>
      </c>
    </row>
    <row r="973" spans="1:14" ht="14.25" x14ac:dyDescent="0.2">
      <c r="A973" s="11" t="s">
        <v>8812</v>
      </c>
      <c r="B973" s="12" t="s">
        <v>4685</v>
      </c>
      <c r="C973" s="13" t="s">
        <v>3757</v>
      </c>
      <c r="D973" s="13"/>
      <c r="E973" s="29" t="s">
        <v>2309</v>
      </c>
      <c r="F973" s="13" t="s">
        <v>8817</v>
      </c>
      <c r="G973" s="8">
        <v>79</v>
      </c>
      <c r="H973" s="8"/>
      <c r="I973" s="8"/>
      <c r="J973" s="29" t="s">
        <v>1271</v>
      </c>
      <c r="K973" s="29" t="s">
        <v>8818</v>
      </c>
      <c r="L973" s="29"/>
      <c r="M973" s="68">
        <v>1</v>
      </c>
      <c r="N973" s="68" t="s">
        <v>8714</v>
      </c>
    </row>
    <row r="974" spans="1:14" ht="14.25" x14ac:dyDescent="0.2">
      <c r="A974" s="11" t="s">
        <v>8812</v>
      </c>
      <c r="B974" s="12" t="s">
        <v>3740</v>
      </c>
      <c r="C974" s="13" t="s">
        <v>3757</v>
      </c>
      <c r="D974" s="13" t="s">
        <v>6944</v>
      </c>
      <c r="E974" s="29"/>
      <c r="F974" s="13" t="s">
        <v>8814</v>
      </c>
      <c r="G974" s="8">
        <v>75</v>
      </c>
      <c r="H974" s="8"/>
      <c r="I974" s="8"/>
      <c r="J974" s="29" t="s">
        <v>1271</v>
      </c>
      <c r="K974" s="29" t="s">
        <v>8816</v>
      </c>
      <c r="L974" s="29"/>
      <c r="M974" s="68">
        <v>1</v>
      </c>
      <c r="N974" s="68" t="s">
        <v>8714</v>
      </c>
    </row>
    <row r="975" spans="1:14" ht="14.25" x14ac:dyDescent="0.2">
      <c r="A975" s="11" t="s">
        <v>8812</v>
      </c>
      <c r="B975" s="12" t="s">
        <v>8813</v>
      </c>
      <c r="C975" s="13" t="s">
        <v>3754</v>
      </c>
      <c r="D975" s="13" t="s">
        <v>6944</v>
      </c>
      <c r="E975" s="29"/>
      <c r="F975" s="13" t="s">
        <v>8814</v>
      </c>
      <c r="G975" s="8">
        <v>48</v>
      </c>
      <c r="H975" s="8"/>
      <c r="I975" s="8"/>
      <c r="J975" s="29" t="s">
        <v>6573</v>
      </c>
      <c r="K975" s="29" t="s">
        <v>8815</v>
      </c>
      <c r="L975" s="29"/>
      <c r="M975" s="68">
        <v>1</v>
      </c>
      <c r="N975" s="68" t="s">
        <v>8714</v>
      </c>
    </row>
    <row r="976" spans="1:14" ht="14.25" x14ac:dyDescent="0.2">
      <c r="A976" s="11" t="s">
        <v>5331</v>
      </c>
      <c r="B976" s="12" t="s">
        <v>5332</v>
      </c>
      <c r="C976" s="13" t="s">
        <v>4708</v>
      </c>
      <c r="D976" s="13" t="s">
        <v>3754</v>
      </c>
      <c r="E976" s="29" t="s">
        <v>5333</v>
      </c>
      <c r="F976" s="13" t="s">
        <v>5334</v>
      </c>
      <c r="G976" s="8">
        <v>65</v>
      </c>
      <c r="H976" s="8">
        <v>1</v>
      </c>
      <c r="I976" s="8">
        <v>27</v>
      </c>
      <c r="J976" s="29" t="s">
        <v>1264</v>
      </c>
      <c r="K976" s="55" t="s">
        <v>5335</v>
      </c>
      <c r="L976" s="29"/>
      <c r="M976" s="68">
        <v>1</v>
      </c>
      <c r="N976" s="68" t="s">
        <v>8827</v>
      </c>
    </row>
    <row r="977" spans="1:14" ht="14.25" x14ac:dyDescent="0.2">
      <c r="A977" s="11" t="s">
        <v>4780</v>
      </c>
      <c r="B977" s="12" t="s">
        <v>8500</v>
      </c>
      <c r="C977" s="13" t="s">
        <v>3754</v>
      </c>
      <c r="D977" s="13" t="s">
        <v>3754</v>
      </c>
      <c r="E977" s="29" t="s">
        <v>8501</v>
      </c>
      <c r="F977" s="13" t="s">
        <v>3754</v>
      </c>
      <c r="G977" s="8"/>
      <c r="H977" s="8">
        <v>5</v>
      </c>
      <c r="I977" s="8">
        <v>23</v>
      </c>
      <c r="J977" s="29" t="s">
        <v>5138</v>
      </c>
      <c r="K977" s="29" t="s">
        <v>8502</v>
      </c>
      <c r="L977" s="29"/>
      <c r="M977" s="68">
        <v>1</v>
      </c>
      <c r="N977" s="68" t="s">
        <v>5912</v>
      </c>
    </row>
    <row r="978" spans="1:14" ht="28.5" x14ac:dyDescent="0.2">
      <c r="A978" s="9" t="s">
        <v>4780</v>
      </c>
      <c r="B978" s="5" t="s">
        <v>1809</v>
      </c>
      <c r="C978" s="10" t="s">
        <v>3757</v>
      </c>
      <c r="D978" s="10" t="s">
        <v>3767</v>
      </c>
      <c r="E978" s="61"/>
      <c r="F978" s="10" t="s">
        <v>3767</v>
      </c>
      <c r="G978" s="8">
        <v>36</v>
      </c>
      <c r="H978" s="8"/>
      <c r="I978" s="8"/>
      <c r="J978" s="55" t="s">
        <v>8836</v>
      </c>
      <c r="K978" s="61" t="s">
        <v>8837</v>
      </c>
      <c r="L978" s="61"/>
      <c r="M978" s="68">
        <v>1</v>
      </c>
      <c r="N978" s="68" t="s">
        <v>8827</v>
      </c>
    </row>
    <row r="979" spans="1:14" ht="14.25" x14ac:dyDescent="0.2">
      <c r="A979" s="9" t="s">
        <v>4780</v>
      </c>
      <c r="B979" s="5" t="s">
        <v>4702</v>
      </c>
      <c r="C979" s="10" t="s">
        <v>3754</v>
      </c>
      <c r="D979" s="10" t="s">
        <v>3754</v>
      </c>
      <c r="E979" s="55" t="s">
        <v>8512</v>
      </c>
      <c r="F979" s="10" t="s">
        <v>3754</v>
      </c>
      <c r="G979" s="8">
        <v>3</v>
      </c>
      <c r="H979" s="8"/>
      <c r="I979" s="8"/>
      <c r="J979" s="55" t="s">
        <v>4579</v>
      </c>
      <c r="K979" s="55" t="s">
        <v>8513</v>
      </c>
      <c r="L979" s="61"/>
      <c r="M979" s="68">
        <v>1</v>
      </c>
      <c r="N979" s="68" t="s">
        <v>5912</v>
      </c>
    </row>
    <row r="980" spans="1:14" ht="14.25" x14ac:dyDescent="0.2">
      <c r="A980" s="11" t="s">
        <v>4780</v>
      </c>
      <c r="B980" s="12" t="s">
        <v>1409</v>
      </c>
      <c r="C980" s="13" t="s">
        <v>3754</v>
      </c>
      <c r="D980" s="13" t="s">
        <v>3754</v>
      </c>
      <c r="E980" s="29" t="s">
        <v>8506</v>
      </c>
      <c r="F980" s="13" t="s">
        <v>3754</v>
      </c>
      <c r="G980" s="8">
        <v>3</v>
      </c>
      <c r="H980" s="8">
        <v>7</v>
      </c>
      <c r="I980" s="8"/>
      <c r="J980" s="29" t="s">
        <v>1258</v>
      </c>
      <c r="K980" s="29" t="s">
        <v>8502</v>
      </c>
      <c r="L980" s="29"/>
      <c r="M980" s="68">
        <v>1</v>
      </c>
      <c r="N980" s="68" t="s">
        <v>5912</v>
      </c>
    </row>
    <row r="981" spans="1:14" ht="14.25" x14ac:dyDescent="0.2">
      <c r="A981" s="11" t="s">
        <v>4780</v>
      </c>
      <c r="B981" s="12" t="s">
        <v>3740</v>
      </c>
      <c r="C981" s="13" t="s">
        <v>3754</v>
      </c>
      <c r="D981" s="13" t="s">
        <v>3754</v>
      </c>
      <c r="E981" s="29" t="s">
        <v>5366</v>
      </c>
      <c r="F981" s="13" t="s">
        <v>5367</v>
      </c>
      <c r="G981" s="8">
        <v>27</v>
      </c>
      <c r="H981" s="8" t="s">
        <v>1464</v>
      </c>
      <c r="I981" s="8" t="s">
        <v>1464</v>
      </c>
      <c r="J981" s="29" t="s">
        <v>1270</v>
      </c>
      <c r="K981" s="29" t="s">
        <v>5368</v>
      </c>
      <c r="L981" s="29"/>
      <c r="M981" s="68">
        <v>1</v>
      </c>
      <c r="N981" s="68" t="s">
        <v>8827</v>
      </c>
    </row>
    <row r="982" spans="1:14" ht="14.25" x14ac:dyDescent="0.2">
      <c r="A982" s="11" t="s">
        <v>4780</v>
      </c>
      <c r="B982" s="12" t="s">
        <v>5712</v>
      </c>
      <c r="C982" s="13" t="s">
        <v>1604</v>
      </c>
      <c r="D982" s="13" t="s">
        <v>8584</v>
      </c>
      <c r="E982" s="29" t="s">
        <v>8646</v>
      </c>
      <c r="F982" s="13"/>
      <c r="G982" s="8"/>
      <c r="H982" s="8">
        <v>1</v>
      </c>
      <c r="I982" s="8"/>
      <c r="J982" s="29" t="s">
        <v>4829</v>
      </c>
      <c r="K982" s="29" t="s">
        <v>1929</v>
      </c>
      <c r="L982" s="29"/>
      <c r="M982" s="68">
        <v>1</v>
      </c>
      <c r="N982" s="68" t="s">
        <v>8553</v>
      </c>
    </row>
    <row r="983" spans="1:14" ht="14.25" x14ac:dyDescent="0.2">
      <c r="A983" s="11" t="s">
        <v>4780</v>
      </c>
      <c r="B983" s="12" t="s">
        <v>8507</v>
      </c>
      <c r="C983" s="13" t="s">
        <v>3754</v>
      </c>
      <c r="D983" s="13" t="s">
        <v>3754</v>
      </c>
      <c r="E983" s="29" t="s">
        <v>8508</v>
      </c>
      <c r="F983" s="13" t="s">
        <v>3754</v>
      </c>
      <c r="G983" s="8">
        <v>6</v>
      </c>
      <c r="H983" s="8">
        <v>10</v>
      </c>
      <c r="I983" s="8"/>
      <c r="J983" s="29" t="s">
        <v>1258</v>
      </c>
      <c r="K983" s="29" t="s">
        <v>8502</v>
      </c>
      <c r="L983" s="29"/>
      <c r="M983" s="68">
        <v>1</v>
      </c>
      <c r="N983" s="68" t="s">
        <v>5912</v>
      </c>
    </row>
    <row r="984" spans="1:14" ht="14.25" x14ac:dyDescent="0.2">
      <c r="A984" s="11" t="s">
        <v>8531</v>
      </c>
      <c r="B984" s="12" t="s">
        <v>8532</v>
      </c>
      <c r="C984" s="13" t="s">
        <v>3757</v>
      </c>
      <c r="D984" s="13" t="s">
        <v>3754</v>
      </c>
      <c r="E984" s="29" t="s">
        <v>1829</v>
      </c>
      <c r="F984" s="13" t="s">
        <v>8533</v>
      </c>
      <c r="G984" s="8">
        <v>57</v>
      </c>
      <c r="H984" s="8"/>
      <c r="I984" s="8"/>
      <c r="J984" s="29" t="s">
        <v>1264</v>
      </c>
      <c r="K984" s="29" t="s">
        <v>8534</v>
      </c>
      <c r="L984" s="29"/>
      <c r="M984" s="68">
        <v>1</v>
      </c>
      <c r="N984" s="68" t="s">
        <v>5912</v>
      </c>
    </row>
    <row r="985" spans="1:14" ht="14.25" x14ac:dyDescent="0.2">
      <c r="A985" s="11" t="s">
        <v>4780</v>
      </c>
      <c r="B985" s="12" t="s">
        <v>3750</v>
      </c>
      <c r="C985" s="13" t="s">
        <v>3754</v>
      </c>
      <c r="D985" s="13" t="s">
        <v>3754</v>
      </c>
      <c r="E985" s="29" t="s">
        <v>8515</v>
      </c>
      <c r="F985" s="13" t="s">
        <v>3754</v>
      </c>
      <c r="G985" s="8">
        <v>23</v>
      </c>
      <c r="H985" s="8"/>
      <c r="I985" s="8"/>
      <c r="J985" s="29" t="s">
        <v>1264</v>
      </c>
      <c r="K985" s="29" t="s">
        <v>8513</v>
      </c>
      <c r="L985" s="29"/>
      <c r="M985" s="68">
        <v>1</v>
      </c>
      <c r="N985" s="68" t="s">
        <v>5912</v>
      </c>
    </row>
    <row r="986" spans="1:14" ht="14.25" x14ac:dyDescent="0.2">
      <c r="A986" s="11" t="s">
        <v>4780</v>
      </c>
      <c r="B986" s="12" t="s">
        <v>4701</v>
      </c>
      <c r="C986" s="13" t="s">
        <v>3757</v>
      </c>
      <c r="D986" s="13" t="s">
        <v>3754</v>
      </c>
      <c r="E986" s="29" t="s">
        <v>8514</v>
      </c>
      <c r="F986" s="13" t="s">
        <v>3754</v>
      </c>
      <c r="G986" s="8">
        <v>45</v>
      </c>
      <c r="H986" s="8"/>
      <c r="I986" s="8"/>
      <c r="J986" s="29" t="s">
        <v>1264</v>
      </c>
      <c r="K986" s="29" t="s">
        <v>8513</v>
      </c>
      <c r="L986" s="29"/>
      <c r="M986" s="68">
        <v>1</v>
      </c>
      <c r="N986" s="68" t="s">
        <v>5912</v>
      </c>
    </row>
    <row r="987" spans="1:14" ht="14.25" x14ac:dyDescent="0.2">
      <c r="A987" s="11" t="s">
        <v>4780</v>
      </c>
      <c r="B987" s="12" t="s">
        <v>4701</v>
      </c>
      <c r="C987" s="13" t="s">
        <v>3757</v>
      </c>
      <c r="D987" s="13" t="s">
        <v>3767</v>
      </c>
      <c r="E987" s="29"/>
      <c r="F987" s="13" t="s">
        <v>8678</v>
      </c>
      <c r="G987" s="8">
        <v>70</v>
      </c>
      <c r="H987" s="8"/>
      <c r="I987" s="8"/>
      <c r="J987" s="29" t="s">
        <v>1267</v>
      </c>
      <c r="K987" s="29" t="s">
        <v>1951</v>
      </c>
      <c r="L987" s="29"/>
      <c r="M987" s="68">
        <v>1</v>
      </c>
      <c r="N987" s="68" t="s">
        <v>8553</v>
      </c>
    </row>
    <row r="988" spans="1:14" ht="14.25" x14ac:dyDescent="0.2">
      <c r="A988" s="11" t="s">
        <v>4780</v>
      </c>
      <c r="B988" s="12" t="s">
        <v>7795</v>
      </c>
      <c r="C988" s="13" t="s">
        <v>3757</v>
      </c>
      <c r="D988" s="13" t="s">
        <v>3765</v>
      </c>
      <c r="E988" s="29"/>
      <c r="F988" s="13" t="s">
        <v>3591</v>
      </c>
      <c r="G988" s="8">
        <v>70</v>
      </c>
      <c r="H988" s="8"/>
      <c r="I988" s="8"/>
      <c r="J988" s="29" t="s">
        <v>1267</v>
      </c>
      <c r="K988" s="29" t="s">
        <v>1951</v>
      </c>
      <c r="L988" s="29"/>
      <c r="M988" s="68">
        <v>1</v>
      </c>
      <c r="N988" s="68" t="s">
        <v>2971</v>
      </c>
    </row>
    <row r="989" spans="1:14" ht="14.25" x14ac:dyDescent="0.2">
      <c r="A989" s="11" t="s">
        <v>4780</v>
      </c>
      <c r="B989" s="12" t="s">
        <v>4781</v>
      </c>
      <c r="C989" s="13" t="s">
        <v>3754</v>
      </c>
      <c r="D989" s="13" t="s">
        <v>3754</v>
      </c>
      <c r="E989" s="29"/>
      <c r="F989" s="13" t="s">
        <v>3754</v>
      </c>
      <c r="G989" s="8">
        <v>1</v>
      </c>
      <c r="H989" s="8">
        <v>2</v>
      </c>
      <c r="I989" s="8">
        <v>16</v>
      </c>
      <c r="J989" s="29" t="s">
        <v>5082</v>
      </c>
      <c r="K989" s="29"/>
      <c r="L989" s="29"/>
      <c r="M989" s="68">
        <v>1</v>
      </c>
      <c r="N989" s="68" t="s">
        <v>5912</v>
      </c>
    </row>
    <row r="990" spans="1:14" ht="14.25" x14ac:dyDescent="0.2">
      <c r="A990" s="11" t="s">
        <v>4780</v>
      </c>
      <c r="B990" s="12" t="s">
        <v>3735</v>
      </c>
      <c r="C990" s="13" t="s">
        <v>3757</v>
      </c>
      <c r="D990" s="13"/>
      <c r="E990" s="29" t="s">
        <v>5407</v>
      </c>
      <c r="F990" s="13" t="s">
        <v>5408</v>
      </c>
      <c r="G990" s="8">
        <v>41</v>
      </c>
      <c r="H990" s="8"/>
      <c r="I990" s="8"/>
      <c r="J990" s="29" t="s">
        <v>4751</v>
      </c>
      <c r="K990" s="29" t="s">
        <v>5409</v>
      </c>
      <c r="L990" s="29"/>
      <c r="M990" s="68">
        <v>1</v>
      </c>
      <c r="N990" s="68" t="s">
        <v>5390</v>
      </c>
    </row>
    <row r="991" spans="1:14" ht="14.25" x14ac:dyDescent="0.2">
      <c r="A991" s="11" t="s">
        <v>4780</v>
      </c>
      <c r="B991" s="12" t="s">
        <v>8762</v>
      </c>
      <c r="C991" s="13" t="s">
        <v>3754</v>
      </c>
      <c r="D991" s="13" t="s">
        <v>3754</v>
      </c>
      <c r="E991" s="29" t="s">
        <v>5930</v>
      </c>
      <c r="F991" s="13" t="s">
        <v>8763</v>
      </c>
      <c r="G991" s="8">
        <v>2</v>
      </c>
      <c r="H991" s="8">
        <v>2</v>
      </c>
      <c r="I991" s="8"/>
      <c r="J991" s="29"/>
      <c r="K991" s="29" t="s">
        <v>8764</v>
      </c>
      <c r="L991" s="29"/>
      <c r="M991" s="68">
        <v>1</v>
      </c>
      <c r="N991" s="68" t="s">
        <v>8714</v>
      </c>
    </row>
    <row r="992" spans="1:14" ht="14.25" x14ac:dyDescent="0.2">
      <c r="A992" s="11" t="s">
        <v>4780</v>
      </c>
      <c r="B992" s="12" t="s">
        <v>1445</v>
      </c>
      <c r="C992" s="13" t="s">
        <v>3754</v>
      </c>
      <c r="D992" s="13" t="s">
        <v>3754</v>
      </c>
      <c r="E992" s="29" t="s">
        <v>1665</v>
      </c>
      <c r="F992" s="13" t="s">
        <v>1666</v>
      </c>
      <c r="G992" s="8">
        <v>1</v>
      </c>
      <c r="H992" s="8">
        <v>11</v>
      </c>
      <c r="I992" s="8">
        <v>12</v>
      </c>
      <c r="J992" s="29" t="s">
        <v>6927</v>
      </c>
      <c r="K992" s="29" t="s">
        <v>6745</v>
      </c>
      <c r="L992" s="29"/>
      <c r="M992" s="68">
        <v>1</v>
      </c>
      <c r="N992" s="68" t="s">
        <v>5390</v>
      </c>
    </row>
    <row r="993" spans="1:14" ht="14.25" x14ac:dyDescent="0.2">
      <c r="A993" s="11" t="s">
        <v>4780</v>
      </c>
      <c r="B993" s="12"/>
      <c r="C993" s="13" t="s">
        <v>3754</v>
      </c>
      <c r="D993" s="13" t="s">
        <v>1960</v>
      </c>
      <c r="E993" s="29" t="s">
        <v>8488</v>
      </c>
      <c r="F993" s="13" t="s">
        <v>3767</v>
      </c>
      <c r="G993" s="8">
        <v>34</v>
      </c>
      <c r="H993" s="8"/>
      <c r="I993" s="8"/>
      <c r="J993" s="29" t="s">
        <v>8489</v>
      </c>
      <c r="K993" s="29" t="s">
        <v>8490</v>
      </c>
      <c r="L993" s="29"/>
      <c r="M993" s="68">
        <v>1</v>
      </c>
      <c r="N993" s="68" t="s">
        <v>5912</v>
      </c>
    </row>
    <row r="994" spans="1:14" ht="14.25" x14ac:dyDescent="0.2">
      <c r="A994" s="11" t="s">
        <v>8774</v>
      </c>
      <c r="B994" s="12" t="s">
        <v>3728</v>
      </c>
      <c r="C994" s="13" t="s">
        <v>3754</v>
      </c>
      <c r="D994" s="26" t="s">
        <v>3754</v>
      </c>
      <c r="E994" s="29" t="s">
        <v>3387</v>
      </c>
      <c r="F994" s="13" t="s">
        <v>1687</v>
      </c>
      <c r="G994" s="8">
        <v>3</v>
      </c>
      <c r="H994" s="8"/>
      <c r="I994" s="8"/>
      <c r="J994" s="29" t="s">
        <v>7319</v>
      </c>
      <c r="K994" s="29" t="s">
        <v>3387</v>
      </c>
      <c r="L994" s="29"/>
      <c r="M994" s="68">
        <v>1</v>
      </c>
      <c r="N994" s="68" t="s">
        <v>5390</v>
      </c>
    </row>
    <row r="995" spans="1:14" ht="14.25" x14ac:dyDescent="0.2">
      <c r="A995" s="11" t="s">
        <v>8774</v>
      </c>
      <c r="B995" s="12" t="s">
        <v>3740</v>
      </c>
      <c r="C995" s="13" t="s">
        <v>3757</v>
      </c>
      <c r="D995" s="13" t="s">
        <v>3754</v>
      </c>
      <c r="E995" s="29"/>
      <c r="F995" s="13" t="s">
        <v>8775</v>
      </c>
      <c r="G995" s="8">
        <v>74</v>
      </c>
      <c r="H995" s="8"/>
      <c r="I995" s="8"/>
      <c r="J995" s="29" t="s">
        <v>1264</v>
      </c>
      <c r="K995" s="29" t="s">
        <v>8776</v>
      </c>
      <c r="L995" s="29"/>
      <c r="M995" s="68">
        <v>1</v>
      </c>
      <c r="N995" s="68" t="s">
        <v>8714</v>
      </c>
    </row>
    <row r="996" spans="1:14" ht="28.5" x14ac:dyDescent="0.2">
      <c r="A996" s="11" t="s">
        <v>8535</v>
      </c>
      <c r="B996" s="12" t="s">
        <v>8675</v>
      </c>
      <c r="C996" s="13" t="s">
        <v>3754</v>
      </c>
      <c r="D996" s="13" t="s">
        <v>3761</v>
      </c>
      <c r="E996" s="29" t="s">
        <v>8676</v>
      </c>
      <c r="F996" s="13" t="s">
        <v>4217</v>
      </c>
      <c r="G996" s="8">
        <v>3</v>
      </c>
      <c r="H996" s="8">
        <v>5</v>
      </c>
      <c r="I996" s="8"/>
      <c r="J996" s="29" t="s">
        <v>4747</v>
      </c>
      <c r="K996" s="29" t="s">
        <v>8677</v>
      </c>
      <c r="L996" s="29"/>
      <c r="M996" s="68">
        <v>1</v>
      </c>
      <c r="N996" s="68" t="s">
        <v>8553</v>
      </c>
    </row>
    <row r="997" spans="1:14" ht="14.25" x14ac:dyDescent="0.2">
      <c r="A997" s="11" t="s">
        <v>8535</v>
      </c>
      <c r="B997" s="12" t="s">
        <v>3752</v>
      </c>
      <c r="C997" s="13" t="s">
        <v>3757</v>
      </c>
      <c r="D997" s="13" t="s">
        <v>5397</v>
      </c>
      <c r="E997" s="29" t="s">
        <v>5398</v>
      </c>
      <c r="F997" s="13" t="s">
        <v>1563</v>
      </c>
      <c r="G997" s="8">
        <v>40</v>
      </c>
      <c r="H997" s="8"/>
      <c r="I997" s="8"/>
      <c r="J997" s="29" t="s">
        <v>1264</v>
      </c>
      <c r="K997" s="29" t="s">
        <v>5399</v>
      </c>
      <c r="L997" s="29"/>
      <c r="M997" s="68">
        <v>1</v>
      </c>
      <c r="N997" s="68" t="s">
        <v>5390</v>
      </c>
    </row>
    <row r="998" spans="1:14" ht="14.25" x14ac:dyDescent="0.2">
      <c r="A998" s="11" t="s">
        <v>8535</v>
      </c>
      <c r="B998" s="12" t="s">
        <v>8536</v>
      </c>
      <c r="C998" s="13" t="s">
        <v>3754</v>
      </c>
      <c r="D998" s="13" t="s">
        <v>3754</v>
      </c>
      <c r="E998" s="29" t="s">
        <v>8537</v>
      </c>
      <c r="F998" s="13" t="s">
        <v>8538</v>
      </c>
      <c r="G998" s="8">
        <v>10</v>
      </c>
      <c r="H998" s="8">
        <v>5</v>
      </c>
      <c r="I998" s="8"/>
      <c r="J998" s="29" t="s">
        <v>8539</v>
      </c>
      <c r="K998" s="29" t="s">
        <v>4761</v>
      </c>
      <c r="L998" s="29"/>
      <c r="M998" s="68">
        <v>1</v>
      </c>
      <c r="N998" s="68" t="s">
        <v>5912</v>
      </c>
    </row>
    <row r="999" spans="1:14" ht="14.25" x14ac:dyDescent="0.2">
      <c r="A999" s="11" t="s">
        <v>8535</v>
      </c>
      <c r="B999" s="12" t="s">
        <v>8545</v>
      </c>
      <c r="C999" s="13" t="s">
        <v>3757</v>
      </c>
      <c r="D999" s="13" t="s">
        <v>3754</v>
      </c>
      <c r="E999" s="29" t="s">
        <v>8546</v>
      </c>
      <c r="F999" s="13" t="s">
        <v>8547</v>
      </c>
      <c r="G999" s="8">
        <v>39</v>
      </c>
      <c r="H999" s="8"/>
      <c r="I999" s="8"/>
      <c r="J999" s="29" t="s">
        <v>4751</v>
      </c>
      <c r="K999" s="29" t="s">
        <v>4761</v>
      </c>
      <c r="L999" s="29"/>
      <c r="M999" s="68">
        <v>1</v>
      </c>
      <c r="N999" s="68" t="s">
        <v>5912</v>
      </c>
    </row>
    <row r="1000" spans="1:14" ht="14.25" x14ac:dyDescent="0.2">
      <c r="A1000" s="11" t="s">
        <v>8535</v>
      </c>
      <c r="B1000" s="12" t="s">
        <v>4908</v>
      </c>
      <c r="C1000" s="13" t="s">
        <v>3754</v>
      </c>
      <c r="D1000" s="13" t="s">
        <v>3754</v>
      </c>
      <c r="E1000" s="29" t="s">
        <v>8540</v>
      </c>
      <c r="F1000" s="13" t="s">
        <v>8541</v>
      </c>
      <c r="G1000" s="8">
        <v>2</v>
      </c>
      <c r="H1000" s="8">
        <v>6</v>
      </c>
      <c r="I1000" s="8"/>
      <c r="J1000" s="29" t="s">
        <v>8542</v>
      </c>
      <c r="K1000" s="29" t="s">
        <v>4761</v>
      </c>
      <c r="L1000" s="29"/>
      <c r="M1000" s="68">
        <v>1</v>
      </c>
      <c r="N1000" s="68" t="s">
        <v>5912</v>
      </c>
    </row>
    <row r="1001" spans="1:14" ht="14.25" x14ac:dyDescent="0.2">
      <c r="A1001" s="11" t="s">
        <v>8535</v>
      </c>
      <c r="B1001" s="12" t="s">
        <v>4702</v>
      </c>
      <c r="C1001" s="13" t="s">
        <v>3754</v>
      </c>
      <c r="D1001" s="13" t="s">
        <v>3754</v>
      </c>
      <c r="E1001" s="29" t="s">
        <v>2905</v>
      </c>
      <c r="F1001" s="13" t="s">
        <v>1563</v>
      </c>
      <c r="G1001" s="8"/>
      <c r="H1001" s="8"/>
      <c r="I1001" s="8">
        <v>6</v>
      </c>
      <c r="J1001" s="29" t="s">
        <v>5391</v>
      </c>
      <c r="K1001" s="29" t="s">
        <v>2907</v>
      </c>
      <c r="L1001" s="29"/>
      <c r="M1001" s="68">
        <v>1</v>
      </c>
      <c r="N1001" s="68" t="s">
        <v>5390</v>
      </c>
    </row>
    <row r="1002" spans="1:14" ht="14.25" x14ac:dyDescent="0.2">
      <c r="A1002" s="11" t="s">
        <v>8535</v>
      </c>
      <c r="B1002" s="12" t="s">
        <v>4685</v>
      </c>
      <c r="C1002" s="13" t="s">
        <v>3754</v>
      </c>
      <c r="D1002" s="13" t="s">
        <v>3761</v>
      </c>
      <c r="E1002" s="29" t="s">
        <v>8575</v>
      </c>
      <c r="F1002" s="13" t="s">
        <v>3772</v>
      </c>
      <c r="G1002" s="8">
        <v>21</v>
      </c>
      <c r="H1002" s="8"/>
      <c r="I1002" s="8"/>
      <c r="J1002" s="29" t="s">
        <v>1264</v>
      </c>
      <c r="K1002" s="29" t="s">
        <v>1283</v>
      </c>
      <c r="L1002" s="29"/>
      <c r="M1002" s="68">
        <v>1</v>
      </c>
      <c r="N1002" s="68" t="s">
        <v>8553</v>
      </c>
    </row>
    <row r="1003" spans="1:14" ht="14.25" x14ac:dyDescent="0.2">
      <c r="A1003" s="11" t="s">
        <v>8535</v>
      </c>
      <c r="B1003" s="12" t="s">
        <v>3740</v>
      </c>
      <c r="C1003" s="13" t="s">
        <v>3754</v>
      </c>
      <c r="D1003" s="13" t="s">
        <v>3754</v>
      </c>
      <c r="E1003" s="29" t="s">
        <v>1681</v>
      </c>
      <c r="F1003" s="13" t="s">
        <v>1682</v>
      </c>
      <c r="G1003" s="8">
        <v>20</v>
      </c>
      <c r="H1003" s="8"/>
      <c r="I1003" s="8"/>
      <c r="J1003" s="29" t="s">
        <v>1683</v>
      </c>
      <c r="K1003" s="29" t="s">
        <v>1684</v>
      </c>
      <c r="L1003" s="29"/>
      <c r="M1003" s="68">
        <v>1</v>
      </c>
      <c r="N1003" s="68" t="s">
        <v>5390</v>
      </c>
    </row>
    <row r="1004" spans="1:14" ht="14.25" x14ac:dyDescent="0.2">
      <c r="A1004" s="11" t="s">
        <v>8535</v>
      </c>
      <c r="B1004" s="12" t="s">
        <v>3740</v>
      </c>
      <c r="C1004" s="13" t="s">
        <v>3754</v>
      </c>
      <c r="D1004" s="13" t="s">
        <v>3754</v>
      </c>
      <c r="E1004" s="29" t="s">
        <v>8551</v>
      </c>
      <c r="F1004" s="13" t="s">
        <v>8552</v>
      </c>
      <c r="G1004" s="8">
        <v>30</v>
      </c>
      <c r="H1004" s="8"/>
      <c r="I1004" s="8"/>
      <c r="J1004" s="29" t="s">
        <v>1264</v>
      </c>
      <c r="K1004" s="29" t="s">
        <v>1283</v>
      </c>
      <c r="L1004" s="29"/>
      <c r="M1004" s="68">
        <v>1</v>
      </c>
      <c r="N1004" s="68" t="s">
        <v>5912</v>
      </c>
    </row>
    <row r="1005" spans="1:14" ht="14.25" x14ac:dyDescent="0.2">
      <c r="A1005" s="11" t="s">
        <v>8535</v>
      </c>
      <c r="B1005" s="12" t="s">
        <v>3732</v>
      </c>
      <c r="C1005" s="13" t="s">
        <v>3757</v>
      </c>
      <c r="D1005" s="13" t="s">
        <v>3754</v>
      </c>
      <c r="E1005" s="29" t="s">
        <v>6695</v>
      </c>
      <c r="F1005" s="13" t="s">
        <v>5418</v>
      </c>
      <c r="G1005" s="8">
        <v>45</v>
      </c>
      <c r="H1005" s="8"/>
      <c r="I1005" s="8"/>
      <c r="J1005" s="29" t="s">
        <v>1277</v>
      </c>
      <c r="K1005" s="29" t="s">
        <v>6695</v>
      </c>
      <c r="L1005" s="29"/>
      <c r="M1005" s="68">
        <v>1</v>
      </c>
      <c r="N1005" s="68" t="s">
        <v>5390</v>
      </c>
    </row>
    <row r="1006" spans="1:14" ht="28.5" x14ac:dyDescent="0.2">
      <c r="A1006" s="11" t="s">
        <v>5465</v>
      </c>
      <c r="B1006" s="12" t="s">
        <v>3723</v>
      </c>
      <c r="C1006" s="13" t="s">
        <v>3754</v>
      </c>
      <c r="D1006" s="13" t="s">
        <v>3754</v>
      </c>
      <c r="E1006" s="29" t="s">
        <v>5466</v>
      </c>
      <c r="F1006" s="13" t="s">
        <v>1657</v>
      </c>
      <c r="G1006" s="8">
        <v>30</v>
      </c>
      <c r="H1006" s="8"/>
      <c r="I1006" s="8"/>
      <c r="J1006" s="29" t="s">
        <v>1658</v>
      </c>
      <c r="K1006" s="29" t="s">
        <v>1659</v>
      </c>
      <c r="L1006" s="29"/>
      <c r="M1006" s="68">
        <v>1</v>
      </c>
      <c r="N1006" s="68" t="s">
        <v>5390</v>
      </c>
    </row>
    <row r="1007" spans="1:14" ht="14.25" x14ac:dyDescent="0.2">
      <c r="A1007" s="11" t="s">
        <v>8535</v>
      </c>
      <c r="B1007" s="12" t="s">
        <v>3750</v>
      </c>
      <c r="C1007" s="13" t="s">
        <v>3757</v>
      </c>
      <c r="D1007" s="13" t="s">
        <v>3754</v>
      </c>
      <c r="E1007" s="29" t="s">
        <v>8543</v>
      </c>
      <c r="F1007" s="13" t="s">
        <v>8544</v>
      </c>
      <c r="G1007" s="8">
        <v>63</v>
      </c>
      <c r="H1007" s="8"/>
      <c r="I1007" s="8"/>
      <c r="J1007" s="29" t="s">
        <v>4809</v>
      </c>
      <c r="K1007" s="29" t="s">
        <v>4761</v>
      </c>
      <c r="L1007" s="29"/>
      <c r="M1007" s="68">
        <v>1</v>
      </c>
      <c r="N1007" s="68" t="s">
        <v>5912</v>
      </c>
    </row>
    <row r="1008" spans="1:14" ht="14.25" x14ac:dyDescent="0.2">
      <c r="A1008" s="11" t="s">
        <v>8535</v>
      </c>
      <c r="B1008" s="12" t="s">
        <v>8616</v>
      </c>
      <c r="C1008" s="13" t="s">
        <v>3754</v>
      </c>
      <c r="D1008" s="13" t="s">
        <v>3754</v>
      </c>
      <c r="E1008" s="29" t="s">
        <v>8828</v>
      </c>
      <c r="F1008" s="13" t="s">
        <v>7462</v>
      </c>
      <c r="G1008" s="8">
        <v>38</v>
      </c>
      <c r="H1008" s="8"/>
      <c r="I1008" s="8"/>
      <c r="J1008" s="29" t="s">
        <v>8829</v>
      </c>
      <c r="K1008" s="29" t="s">
        <v>8830</v>
      </c>
      <c r="L1008" s="29"/>
      <c r="M1008" s="68">
        <v>1</v>
      </c>
      <c r="N1008" s="68" t="s">
        <v>8827</v>
      </c>
    </row>
    <row r="1009" spans="1:14" ht="14.25" x14ac:dyDescent="0.2">
      <c r="A1009" s="11" t="s">
        <v>8535</v>
      </c>
      <c r="B1009" s="12" t="s">
        <v>3733</v>
      </c>
      <c r="C1009" s="13" t="s">
        <v>3757</v>
      </c>
      <c r="D1009" s="13" t="s">
        <v>3767</v>
      </c>
      <c r="E1009" s="29" t="s">
        <v>5419</v>
      </c>
      <c r="F1009" s="13" t="s">
        <v>5420</v>
      </c>
      <c r="G1009" s="8">
        <v>75</v>
      </c>
      <c r="H1009" s="8"/>
      <c r="I1009" s="8"/>
      <c r="J1009" s="29" t="s">
        <v>1264</v>
      </c>
      <c r="K1009" s="29" t="s">
        <v>5419</v>
      </c>
      <c r="L1009" s="29"/>
      <c r="M1009" s="68">
        <v>1</v>
      </c>
      <c r="N1009" s="68" t="s">
        <v>5390</v>
      </c>
    </row>
    <row r="1010" spans="1:14" ht="14.25" x14ac:dyDescent="0.2">
      <c r="A1010" s="11" t="s">
        <v>8667</v>
      </c>
      <c r="B1010" s="12" t="s">
        <v>3740</v>
      </c>
      <c r="C1010" s="13" t="s">
        <v>3754</v>
      </c>
      <c r="D1010" s="13" t="s">
        <v>3761</v>
      </c>
      <c r="E1010" s="29" t="s">
        <v>8669</v>
      </c>
      <c r="F1010" s="13" t="s">
        <v>8670</v>
      </c>
      <c r="G1010" s="8">
        <v>21</v>
      </c>
      <c r="H1010" s="8">
        <v>6</v>
      </c>
      <c r="I1010" s="8"/>
      <c r="J1010" s="29"/>
      <c r="K1010" s="29" t="s">
        <v>5650</v>
      </c>
      <c r="L1010" s="29"/>
      <c r="M1010" s="68">
        <v>1</v>
      </c>
      <c r="N1010" s="68" t="s">
        <v>8553</v>
      </c>
    </row>
    <row r="1011" spans="1:14" ht="14.25" x14ac:dyDescent="0.2">
      <c r="A1011" s="11" t="s">
        <v>8667</v>
      </c>
      <c r="B1011" s="12" t="s">
        <v>4900</v>
      </c>
      <c r="C1011" s="13" t="s">
        <v>3757</v>
      </c>
      <c r="D1011" s="13" t="s">
        <v>3754</v>
      </c>
      <c r="E1011" s="29" t="s">
        <v>5395</v>
      </c>
      <c r="F1011" s="13" t="s">
        <v>3754</v>
      </c>
      <c r="G1011" s="8">
        <v>24</v>
      </c>
      <c r="H1011" s="8">
        <v>3</v>
      </c>
      <c r="I1011" s="8"/>
      <c r="J1011" s="29" t="s">
        <v>1264</v>
      </c>
      <c r="K1011" s="29" t="s">
        <v>5396</v>
      </c>
      <c r="L1011" s="29"/>
      <c r="M1011" s="68">
        <v>1</v>
      </c>
      <c r="N1011" s="68" t="s">
        <v>5390</v>
      </c>
    </row>
    <row r="1012" spans="1:14" ht="14.25" x14ac:dyDescent="0.2">
      <c r="A1012" s="11" t="s">
        <v>8667</v>
      </c>
      <c r="B1012" s="12" t="s">
        <v>4701</v>
      </c>
      <c r="C1012" s="13" t="s">
        <v>3757</v>
      </c>
      <c r="D1012" s="13" t="s">
        <v>2100</v>
      </c>
      <c r="E1012" s="29"/>
      <c r="F1012" s="13" t="s">
        <v>8668</v>
      </c>
      <c r="G1012" s="8">
        <v>62</v>
      </c>
      <c r="H1012" s="8"/>
      <c r="I1012" s="8"/>
      <c r="J1012" s="29" t="s">
        <v>1277</v>
      </c>
      <c r="K1012" s="29" t="s">
        <v>5650</v>
      </c>
      <c r="L1012" s="29"/>
      <c r="M1012" s="68">
        <v>1</v>
      </c>
      <c r="N1012" s="68" t="s">
        <v>8553</v>
      </c>
    </row>
    <row r="1013" spans="1:14" ht="14.25" x14ac:dyDescent="0.2">
      <c r="A1013" s="11" t="s">
        <v>5410</v>
      </c>
      <c r="B1013" s="12" t="s">
        <v>5411</v>
      </c>
      <c r="C1013" s="13" t="s">
        <v>3754</v>
      </c>
      <c r="D1013" s="13" t="s">
        <v>3754</v>
      </c>
      <c r="E1013" s="29" t="s">
        <v>5409</v>
      </c>
      <c r="F1013" s="13" t="s">
        <v>5412</v>
      </c>
      <c r="G1013" s="8">
        <v>1</v>
      </c>
      <c r="H1013" s="8">
        <v>4</v>
      </c>
      <c r="I1013" s="8"/>
      <c r="J1013" s="29" t="s">
        <v>4829</v>
      </c>
      <c r="K1013" s="29" t="s">
        <v>5413</v>
      </c>
      <c r="L1013" s="29"/>
      <c r="M1013" s="68">
        <v>1</v>
      </c>
      <c r="N1013" s="68" t="s">
        <v>5390</v>
      </c>
    </row>
    <row r="1014" spans="1:14" ht="14.25" x14ac:dyDescent="0.2">
      <c r="A1014" s="11" t="s">
        <v>8679</v>
      </c>
      <c r="B1014" s="12" t="s">
        <v>5073</v>
      </c>
      <c r="C1014" s="13" t="s">
        <v>3754</v>
      </c>
      <c r="D1014" s="13" t="s">
        <v>3754</v>
      </c>
      <c r="E1014" s="29">
        <v>1870</v>
      </c>
      <c r="F1014" s="13" t="s">
        <v>8683</v>
      </c>
      <c r="G1014" s="8"/>
      <c r="H1014" s="8">
        <v>7</v>
      </c>
      <c r="I1014" s="8"/>
      <c r="J1014" s="29" t="s">
        <v>4829</v>
      </c>
      <c r="K1014" s="29" t="s">
        <v>8682</v>
      </c>
      <c r="L1014" s="29"/>
      <c r="M1014" s="68">
        <v>1</v>
      </c>
      <c r="N1014" s="68" t="s">
        <v>8553</v>
      </c>
    </row>
    <row r="1015" spans="1:14" ht="14.25" x14ac:dyDescent="0.2">
      <c r="A1015" s="11" t="s">
        <v>8679</v>
      </c>
      <c r="B1015" s="12" t="s">
        <v>4581</v>
      </c>
      <c r="C1015" s="13" t="s">
        <v>3757</v>
      </c>
      <c r="D1015" s="13" t="s">
        <v>3754</v>
      </c>
      <c r="E1015" s="29">
        <v>1866</v>
      </c>
      <c r="F1015" s="13" t="s">
        <v>8680</v>
      </c>
      <c r="G1015" s="8">
        <v>18</v>
      </c>
      <c r="H1015" s="8">
        <v>9</v>
      </c>
      <c r="I1015" s="8"/>
      <c r="J1015" s="29" t="s">
        <v>8681</v>
      </c>
      <c r="K1015" s="29" t="s">
        <v>8682</v>
      </c>
      <c r="L1015" s="29"/>
      <c r="M1015" s="68">
        <v>1</v>
      </c>
      <c r="N1015" s="68" t="s">
        <v>8553</v>
      </c>
    </row>
    <row r="1016" spans="1:14" ht="14.25" x14ac:dyDescent="0.2">
      <c r="A1016" s="11" t="s">
        <v>8679</v>
      </c>
      <c r="B1016" s="12" t="s">
        <v>3723</v>
      </c>
      <c r="C1016" s="13" t="s">
        <v>3757</v>
      </c>
      <c r="D1016" s="13" t="s">
        <v>3754</v>
      </c>
      <c r="E1016" s="29" t="s">
        <v>8730</v>
      </c>
      <c r="F1016" s="13" t="s">
        <v>8731</v>
      </c>
      <c r="G1016" s="8">
        <v>65</v>
      </c>
      <c r="H1016" s="8"/>
      <c r="I1016" s="8"/>
      <c r="J1016" s="29" t="s">
        <v>8732</v>
      </c>
      <c r="K1016" s="29" t="s">
        <v>8733</v>
      </c>
      <c r="L1016" s="29"/>
      <c r="M1016" s="68">
        <v>1</v>
      </c>
      <c r="N1016" s="68" t="s">
        <v>8714</v>
      </c>
    </row>
    <row r="1017" spans="1:14" ht="14.25" x14ac:dyDescent="0.2">
      <c r="A1017" s="11" t="s">
        <v>8558</v>
      </c>
      <c r="B1017" s="12" t="s">
        <v>3752</v>
      </c>
      <c r="C1017" s="13" t="s">
        <v>3757</v>
      </c>
      <c r="D1017" s="13" t="s">
        <v>3761</v>
      </c>
      <c r="E1017" s="29" t="s">
        <v>8559</v>
      </c>
      <c r="F1017" s="13" t="s">
        <v>8560</v>
      </c>
      <c r="G1017" s="8">
        <v>38</v>
      </c>
      <c r="H1017" s="8"/>
      <c r="I1017" s="8"/>
      <c r="J1017" s="29" t="s">
        <v>8624</v>
      </c>
      <c r="K1017" s="29" t="s">
        <v>8561</v>
      </c>
      <c r="L1017" s="29"/>
      <c r="M1017" s="68">
        <v>1</v>
      </c>
      <c r="N1017" s="68" t="s">
        <v>8553</v>
      </c>
    </row>
    <row r="1018" spans="1:14" ht="14.25" x14ac:dyDescent="0.2">
      <c r="A1018" s="11" t="s">
        <v>8558</v>
      </c>
      <c r="B1018" s="12" t="s">
        <v>4908</v>
      </c>
      <c r="C1018" s="13" t="s">
        <v>3757</v>
      </c>
      <c r="D1018" s="13" t="s">
        <v>3765</v>
      </c>
      <c r="E1018" s="29" t="s">
        <v>5392</v>
      </c>
      <c r="F1018" s="13" t="s">
        <v>5393</v>
      </c>
      <c r="G1018" s="8">
        <v>80</v>
      </c>
      <c r="H1018" s="8"/>
      <c r="I1018" s="8"/>
      <c r="J1018" s="29" t="s">
        <v>2108</v>
      </c>
      <c r="K1018" s="29" t="s">
        <v>5394</v>
      </c>
      <c r="L1018" s="29"/>
      <c r="M1018" s="68">
        <v>1</v>
      </c>
      <c r="N1018" s="68" t="s">
        <v>5390</v>
      </c>
    </row>
    <row r="1019" spans="1:14" ht="14.25" x14ac:dyDescent="0.2">
      <c r="A1019" s="11" t="s">
        <v>8558</v>
      </c>
      <c r="B1019" s="12" t="s">
        <v>5400</v>
      </c>
      <c r="C1019" s="13" t="s">
        <v>3754</v>
      </c>
      <c r="D1019" s="13" t="s">
        <v>3754</v>
      </c>
      <c r="E1019" s="29" t="s">
        <v>5401</v>
      </c>
      <c r="F1019" s="13" t="s">
        <v>5402</v>
      </c>
      <c r="G1019" s="8">
        <v>15</v>
      </c>
      <c r="H1019" s="8">
        <v>7</v>
      </c>
      <c r="I1019" s="8"/>
      <c r="J1019" s="29" t="s">
        <v>5152</v>
      </c>
      <c r="K1019" s="29" t="s">
        <v>5403</v>
      </c>
      <c r="L1019" s="29"/>
      <c r="M1019" s="68">
        <v>1</v>
      </c>
      <c r="N1019" s="68" t="s">
        <v>5390</v>
      </c>
    </row>
    <row r="1020" spans="1:14" ht="14.25" x14ac:dyDescent="0.2">
      <c r="A1020" s="11" t="s">
        <v>8695</v>
      </c>
      <c r="B1020" s="5" t="s">
        <v>4685</v>
      </c>
      <c r="C1020" s="13" t="s">
        <v>3757</v>
      </c>
      <c r="D1020" s="13" t="s">
        <v>3754</v>
      </c>
      <c r="E1020" s="29" t="s">
        <v>5312</v>
      </c>
      <c r="F1020" s="13" t="s">
        <v>5313</v>
      </c>
      <c r="G1020" s="8">
        <v>32</v>
      </c>
      <c r="H1020" s="8"/>
      <c r="I1020" s="8"/>
      <c r="J1020" s="29" t="s">
        <v>1264</v>
      </c>
      <c r="K1020" s="29" t="s">
        <v>5314</v>
      </c>
      <c r="L1020" s="61"/>
      <c r="M1020" s="68">
        <v>1</v>
      </c>
      <c r="N1020" s="68" t="s">
        <v>8827</v>
      </c>
    </row>
    <row r="1021" spans="1:14" ht="14.25" x14ac:dyDescent="0.2">
      <c r="A1021" s="9" t="s">
        <v>8695</v>
      </c>
      <c r="B1021" s="5" t="s">
        <v>1428</v>
      </c>
      <c r="C1021" s="21" t="s">
        <v>3757</v>
      </c>
      <c r="D1021" s="10" t="s">
        <v>3754</v>
      </c>
      <c r="E1021" s="55" t="s">
        <v>8696</v>
      </c>
      <c r="F1021" s="10" t="s">
        <v>8697</v>
      </c>
      <c r="G1021" s="8">
        <v>69</v>
      </c>
      <c r="H1021" s="8"/>
      <c r="I1021" s="8"/>
      <c r="J1021" s="55" t="s">
        <v>8698</v>
      </c>
      <c r="K1021" s="55" t="s">
        <v>8682</v>
      </c>
      <c r="L1021" s="61"/>
      <c r="M1021" s="68">
        <v>1</v>
      </c>
      <c r="N1021" s="68" t="s">
        <v>8553</v>
      </c>
    </row>
    <row r="1022" spans="1:14" ht="14.25" x14ac:dyDescent="0.2">
      <c r="A1022" s="9" t="s">
        <v>8509</v>
      </c>
      <c r="B1022" s="5" t="s">
        <v>3734</v>
      </c>
      <c r="C1022" s="10" t="s">
        <v>3757</v>
      </c>
      <c r="D1022" s="10" t="s">
        <v>4721</v>
      </c>
      <c r="E1022" s="61" t="s">
        <v>8510</v>
      </c>
      <c r="F1022" s="10" t="s">
        <v>3754</v>
      </c>
      <c r="G1022" s="8">
        <v>54</v>
      </c>
      <c r="H1022" s="8"/>
      <c r="I1022" s="8"/>
      <c r="J1022" s="55" t="s">
        <v>1928</v>
      </c>
      <c r="K1022" s="55" t="s">
        <v>5127</v>
      </c>
      <c r="L1022" s="61"/>
      <c r="M1022" s="68">
        <v>1</v>
      </c>
      <c r="N1022" s="68" t="s">
        <v>5912</v>
      </c>
    </row>
    <row r="1023" spans="1:14" ht="14.25" x14ac:dyDescent="0.2">
      <c r="A1023" s="11" t="s">
        <v>8509</v>
      </c>
      <c r="B1023" s="12" t="s">
        <v>4702</v>
      </c>
      <c r="C1023" s="13" t="s">
        <v>3754</v>
      </c>
      <c r="D1023" s="13" t="s">
        <v>3754</v>
      </c>
      <c r="E1023" s="29" t="s">
        <v>8752</v>
      </c>
      <c r="F1023" s="13" t="s">
        <v>8753</v>
      </c>
      <c r="G1023" s="8"/>
      <c r="H1023" s="8">
        <v>2</v>
      </c>
      <c r="I1023" s="8"/>
      <c r="J1023" s="29" t="s">
        <v>4829</v>
      </c>
      <c r="K1023" s="29" t="s">
        <v>8754</v>
      </c>
      <c r="L1023" s="29"/>
      <c r="M1023" s="68">
        <v>1</v>
      </c>
      <c r="N1023" s="68" t="s">
        <v>8714</v>
      </c>
    </row>
    <row r="1024" spans="1:14" ht="14.25" x14ac:dyDescent="0.2">
      <c r="A1024" s="11" t="s">
        <v>8509</v>
      </c>
      <c r="B1024" s="12" t="s">
        <v>4581</v>
      </c>
      <c r="C1024" s="13" t="s">
        <v>3757</v>
      </c>
      <c r="D1024" s="13" t="s">
        <v>3754</v>
      </c>
      <c r="E1024" s="29" t="s">
        <v>8750</v>
      </c>
      <c r="F1024" s="13" t="s">
        <v>8751</v>
      </c>
      <c r="G1024" s="8">
        <v>68</v>
      </c>
      <c r="H1024" s="8"/>
      <c r="I1024" s="8"/>
      <c r="J1024" s="29" t="s">
        <v>1264</v>
      </c>
      <c r="K1024" s="29" t="s">
        <v>5953</v>
      </c>
      <c r="L1024" s="29"/>
      <c r="M1024" s="68">
        <v>1</v>
      </c>
      <c r="N1024" s="68" t="s">
        <v>8714</v>
      </c>
    </row>
    <row r="1025" spans="1:14" ht="14.25" x14ac:dyDescent="0.2">
      <c r="A1025" s="11" t="s">
        <v>8509</v>
      </c>
      <c r="B1025" s="12"/>
      <c r="C1025" s="13" t="s">
        <v>3754</v>
      </c>
      <c r="D1025" s="13" t="s">
        <v>3754</v>
      </c>
      <c r="E1025" s="29" t="s">
        <v>5432</v>
      </c>
      <c r="F1025" s="13" t="s">
        <v>5433</v>
      </c>
      <c r="G1025" s="8"/>
      <c r="H1025" s="8"/>
      <c r="I1025" s="8">
        <v>2</v>
      </c>
      <c r="J1025" s="29" t="s">
        <v>1277</v>
      </c>
      <c r="K1025" s="29" t="s">
        <v>5432</v>
      </c>
      <c r="L1025" s="29"/>
      <c r="M1025" s="68">
        <v>1</v>
      </c>
      <c r="N1025" s="68" t="s">
        <v>5390</v>
      </c>
    </row>
    <row r="1026" spans="1:14" ht="14.25" x14ac:dyDescent="0.2">
      <c r="A1026" s="11" t="s">
        <v>5442</v>
      </c>
      <c r="B1026" s="12" t="s">
        <v>4685</v>
      </c>
      <c r="C1026" s="13" t="s">
        <v>3757</v>
      </c>
      <c r="D1026" s="13" t="s">
        <v>5443</v>
      </c>
      <c r="E1026" s="29" t="s">
        <v>5444</v>
      </c>
      <c r="F1026" s="13" t="s">
        <v>5445</v>
      </c>
      <c r="G1026" s="8">
        <v>52</v>
      </c>
      <c r="H1026" s="8"/>
      <c r="I1026" s="8"/>
      <c r="J1026" s="29" t="s">
        <v>6522</v>
      </c>
      <c r="K1026" s="29" t="s">
        <v>1467</v>
      </c>
      <c r="L1026" s="29"/>
      <c r="M1026" s="68">
        <v>1</v>
      </c>
      <c r="N1026" s="68" t="s">
        <v>5390</v>
      </c>
    </row>
    <row r="1027" spans="1:14" ht="14.25" x14ac:dyDescent="0.2">
      <c r="A1027" s="11" t="s">
        <v>5442</v>
      </c>
      <c r="B1027" s="12" t="s">
        <v>3723</v>
      </c>
      <c r="C1027" s="13" t="s">
        <v>3757</v>
      </c>
      <c r="D1027" s="13" t="s">
        <v>3754</v>
      </c>
      <c r="E1027" s="29" t="s">
        <v>5462</v>
      </c>
      <c r="F1027" s="13" t="s">
        <v>5463</v>
      </c>
      <c r="G1027" s="8">
        <v>55</v>
      </c>
      <c r="H1027" s="8"/>
      <c r="I1027" s="8"/>
      <c r="J1027" s="29" t="s">
        <v>1270</v>
      </c>
      <c r="K1027" s="29" t="s">
        <v>5464</v>
      </c>
      <c r="L1027" s="29"/>
      <c r="M1027" s="68">
        <v>1</v>
      </c>
      <c r="N1027" s="68" t="s">
        <v>5390</v>
      </c>
    </row>
    <row r="1028" spans="1:14" ht="14.25" x14ac:dyDescent="0.2">
      <c r="A1028" s="11" t="s">
        <v>8739</v>
      </c>
      <c r="B1028" s="12" t="s">
        <v>3740</v>
      </c>
      <c r="C1028" s="13" t="s">
        <v>3757</v>
      </c>
      <c r="D1028" s="13"/>
      <c r="E1028" s="29" t="s">
        <v>8740</v>
      </c>
      <c r="F1028" s="13" t="s">
        <v>8741</v>
      </c>
      <c r="G1028" s="8">
        <v>40</v>
      </c>
      <c r="H1028" s="8"/>
      <c r="I1028" s="8"/>
      <c r="J1028" s="29" t="s">
        <v>1266</v>
      </c>
      <c r="K1028" s="29" t="s">
        <v>8742</v>
      </c>
      <c r="L1028" s="29"/>
      <c r="M1028" s="68">
        <v>1</v>
      </c>
      <c r="N1028" s="68" t="s">
        <v>8714</v>
      </c>
    </row>
    <row r="1029" spans="1:14" ht="14.25" x14ac:dyDescent="0.2">
      <c r="A1029" s="11" t="s">
        <v>8739</v>
      </c>
      <c r="B1029" s="12" t="s">
        <v>3746</v>
      </c>
      <c r="C1029" s="13" t="s">
        <v>3757</v>
      </c>
      <c r="D1029" s="13" t="s">
        <v>3754</v>
      </c>
      <c r="E1029" s="29" t="s">
        <v>5320</v>
      </c>
      <c r="F1029" s="13" t="s">
        <v>2893</v>
      </c>
      <c r="G1029" s="8">
        <v>60</v>
      </c>
      <c r="H1029" s="8"/>
      <c r="I1029" s="8"/>
      <c r="J1029" s="29" t="s">
        <v>1264</v>
      </c>
      <c r="K1029" s="29" t="s">
        <v>5321</v>
      </c>
      <c r="L1029" s="29"/>
      <c r="M1029" s="68">
        <v>1</v>
      </c>
      <c r="N1029" s="68" t="s">
        <v>8827</v>
      </c>
    </row>
    <row r="1030" spans="1:14" ht="14.25" x14ac:dyDescent="0.2">
      <c r="A1030" s="11" t="s">
        <v>8739</v>
      </c>
      <c r="B1030" s="12" t="s">
        <v>4701</v>
      </c>
      <c r="C1030" s="13" t="s">
        <v>3757</v>
      </c>
      <c r="D1030" s="13" t="s">
        <v>3754</v>
      </c>
      <c r="E1030" s="29" t="s">
        <v>5416</v>
      </c>
      <c r="F1030" s="13" t="s">
        <v>5417</v>
      </c>
      <c r="G1030" s="8">
        <v>45</v>
      </c>
      <c r="H1030" s="8"/>
      <c r="I1030" s="8"/>
      <c r="J1030" s="29" t="s">
        <v>1270</v>
      </c>
      <c r="K1030" s="29" t="s">
        <v>5416</v>
      </c>
      <c r="L1030" s="29"/>
      <c r="M1030" s="68">
        <v>1</v>
      </c>
      <c r="N1030" s="68" t="s">
        <v>5390</v>
      </c>
    </row>
    <row r="1031" spans="1:14" ht="14.25" x14ac:dyDescent="0.2">
      <c r="A1031" s="11" t="s">
        <v>8843</v>
      </c>
      <c r="B1031" s="12" t="s">
        <v>8844</v>
      </c>
      <c r="C1031" s="13" t="s">
        <v>3754</v>
      </c>
      <c r="D1031" s="13" t="s">
        <v>3754</v>
      </c>
      <c r="E1031" s="29" t="s">
        <v>6786</v>
      </c>
      <c r="F1031" s="13" t="s">
        <v>8845</v>
      </c>
      <c r="G1031" s="8"/>
      <c r="H1031" s="8"/>
      <c r="I1031" s="8">
        <v>18</v>
      </c>
      <c r="J1031" s="29" t="s">
        <v>5636</v>
      </c>
      <c r="K1031" s="29" t="s">
        <v>8846</v>
      </c>
      <c r="L1031" s="29"/>
      <c r="M1031" s="68">
        <v>1</v>
      </c>
      <c r="N1031" s="68" t="s">
        <v>8827</v>
      </c>
    </row>
    <row r="1032" spans="1:14" ht="14.25" x14ac:dyDescent="0.2">
      <c r="A1032" s="11" t="s">
        <v>4786</v>
      </c>
      <c r="B1032" s="12" t="s">
        <v>1886</v>
      </c>
      <c r="C1032" s="13" t="s">
        <v>3757</v>
      </c>
      <c r="D1032" s="13" t="s">
        <v>3425</v>
      </c>
      <c r="E1032" s="29" t="s">
        <v>8504</v>
      </c>
      <c r="F1032" s="13" t="s">
        <v>6944</v>
      </c>
      <c r="G1032" s="8">
        <v>32</v>
      </c>
      <c r="H1032" s="8"/>
      <c r="I1032" s="8"/>
      <c r="J1032" s="29" t="s">
        <v>1272</v>
      </c>
      <c r="K1032" s="29" t="s">
        <v>5119</v>
      </c>
      <c r="L1032" s="29"/>
      <c r="M1032" s="68">
        <v>1</v>
      </c>
      <c r="N1032" s="68" t="s">
        <v>5912</v>
      </c>
    </row>
    <row r="1033" spans="1:14" ht="14.25" x14ac:dyDescent="0.2">
      <c r="A1033" s="11" t="s">
        <v>4786</v>
      </c>
      <c r="B1033" s="12" t="s">
        <v>3732</v>
      </c>
      <c r="C1033" s="13" t="s">
        <v>3754</v>
      </c>
      <c r="D1033" s="13" t="s">
        <v>3754</v>
      </c>
      <c r="E1033" s="29" t="s">
        <v>4787</v>
      </c>
      <c r="F1033" s="13" t="s">
        <v>8483</v>
      </c>
      <c r="G1033" s="8">
        <v>20</v>
      </c>
      <c r="H1033" s="8"/>
      <c r="I1033" s="8"/>
      <c r="J1033" s="29" t="s">
        <v>7182</v>
      </c>
      <c r="K1033" s="29" t="s">
        <v>8484</v>
      </c>
      <c r="L1033" s="29"/>
      <c r="M1033" s="68">
        <v>1</v>
      </c>
      <c r="N1033" s="68" t="s">
        <v>5912</v>
      </c>
    </row>
    <row r="1034" spans="1:14" ht="14.25" x14ac:dyDescent="0.2">
      <c r="A1034" s="11" t="s">
        <v>4786</v>
      </c>
      <c r="B1034" s="12" t="s">
        <v>3723</v>
      </c>
      <c r="C1034" s="13" t="s">
        <v>3757</v>
      </c>
      <c r="D1034" s="13" t="s">
        <v>3754</v>
      </c>
      <c r="E1034" s="29" t="s">
        <v>3804</v>
      </c>
      <c r="F1034" s="13" t="s">
        <v>2893</v>
      </c>
      <c r="G1034" s="8">
        <v>88</v>
      </c>
      <c r="H1034" s="8"/>
      <c r="I1034" s="8"/>
      <c r="J1034" s="29" t="s">
        <v>1277</v>
      </c>
      <c r="K1034" s="29" t="s">
        <v>8842</v>
      </c>
      <c r="L1034" s="29"/>
      <c r="M1034" s="68">
        <v>1</v>
      </c>
      <c r="N1034" s="68" t="s">
        <v>8827</v>
      </c>
    </row>
    <row r="1035" spans="1:14" ht="14.25" x14ac:dyDescent="0.2">
      <c r="A1035" s="11" t="s">
        <v>4786</v>
      </c>
      <c r="B1035" s="12" t="s">
        <v>8505</v>
      </c>
      <c r="C1035" s="13" t="s">
        <v>3754</v>
      </c>
      <c r="D1035" s="13" t="s">
        <v>3754</v>
      </c>
      <c r="E1035" s="29" t="s">
        <v>8503</v>
      </c>
      <c r="F1035" s="13" t="s">
        <v>3754</v>
      </c>
      <c r="G1035" s="8">
        <v>3</v>
      </c>
      <c r="H1035" s="8">
        <v>1</v>
      </c>
      <c r="I1035" s="8"/>
      <c r="J1035" s="29" t="s">
        <v>1254</v>
      </c>
      <c r="K1035" s="29" t="s">
        <v>5119</v>
      </c>
      <c r="L1035" s="29"/>
      <c r="M1035" s="68">
        <v>1</v>
      </c>
      <c r="N1035" s="68" t="s">
        <v>5912</v>
      </c>
    </row>
    <row r="1036" spans="1:14" ht="14.25" x14ac:dyDescent="0.2">
      <c r="A1036" s="11" t="s">
        <v>8720</v>
      </c>
      <c r="B1036" s="12" t="s">
        <v>5354</v>
      </c>
      <c r="C1036" s="13" t="s">
        <v>3754</v>
      </c>
      <c r="D1036" s="13" t="s">
        <v>3754</v>
      </c>
      <c r="E1036" s="29" t="s">
        <v>2884</v>
      </c>
      <c r="F1036" s="13" t="s">
        <v>5355</v>
      </c>
      <c r="G1036" s="8">
        <v>32</v>
      </c>
      <c r="H1036" s="8"/>
      <c r="I1036" s="8"/>
      <c r="J1036" s="29" t="s">
        <v>1270</v>
      </c>
      <c r="K1036" s="29" t="s">
        <v>5356</v>
      </c>
      <c r="L1036" s="29"/>
      <c r="M1036" s="68">
        <v>1</v>
      </c>
      <c r="N1036" s="68" t="s">
        <v>8827</v>
      </c>
    </row>
    <row r="1037" spans="1:14" ht="14.25" x14ac:dyDescent="0.2">
      <c r="A1037" s="11" t="s">
        <v>8720</v>
      </c>
      <c r="B1037" s="12" t="s">
        <v>8725</v>
      </c>
      <c r="C1037" s="13" t="s">
        <v>3754</v>
      </c>
      <c r="D1037" s="13" t="s">
        <v>3754</v>
      </c>
      <c r="E1037" s="29" t="s">
        <v>8726</v>
      </c>
      <c r="F1037" s="13" t="s">
        <v>8727</v>
      </c>
      <c r="G1037" s="8"/>
      <c r="H1037" s="8">
        <v>3</v>
      </c>
      <c r="I1037" s="8"/>
      <c r="J1037" s="29" t="s">
        <v>1270</v>
      </c>
      <c r="K1037" s="29" t="s">
        <v>8724</v>
      </c>
      <c r="L1037" s="29"/>
      <c r="M1037" s="68">
        <v>1</v>
      </c>
      <c r="N1037" s="68" t="s">
        <v>8714</v>
      </c>
    </row>
    <row r="1038" spans="1:14" ht="14.25" x14ac:dyDescent="0.2">
      <c r="A1038" s="11" t="s">
        <v>8720</v>
      </c>
      <c r="B1038" s="12" t="s">
        <v>8721</v>
      </c>
      <c r="C1038" s="13" t="s">
        <v>3754</v>
      </c>
      <c r="D1038" s="13" t="s">
        <v>3754</v>
      </c>
      <c r="E1038" s="29" t="s">
        <v>8722</v>
      </c>
      <c r="F1038" s="13" t="s">
        <v>8723</v>
      </c>
      <c r="G1038" s="8"/>
      <c r="H1038" s="8">
        <v>7</v>
      </c>
      <c r="I1038" s="8"/>
      <c r="J1038" s="29" t="s">
        <v>4790</v>
      </c>
      <c r="K1038" s="29" t="s">
        <v>8724</v>
      </c>
      <c r="L1038" s="29"/>
      <c r="M1038" s="68">
        <v>1</v>
      </c>
      <c r="N1038" s="68" t="s">
        <v>8714</v>
      </c>
    </row>
    <row r="1039" spans="1:14" ht="14.25" x14ac:dyDescent="0.2">
      <c r="A1039" s="11" t="s">
        <v>8838</v>
      </c>
      <c r="B1039" s="12" t="s">
        <v>3740</v>
      </c>
      <c r="C1039" s="13" t="s">
        <v>3757</v>
      </c>
      <c r="D1039" s="13" t="s">
        <v>3754</v>
      </c>
      <c r="E1039" s="29" t="s">
        <v>8839</v>
      </c>
      <c r="F1039" s="13" t="s">
        <v>8840</v>
      </c>
      <c r="G1039" s="8">
        <v>50</v>
      </c>
      <c r="H1039" s="8"/>
      <c r="I1039" s="8"/>
      <c r="J1039" s="29" t="s">
        <v>1277</v>
      </c>
      <c r="K1039" s="29" t="s">
        <v>8841</v>
      </c>
      <c r="L1039" s="29"/>
      <c r="M1039" s="68">
        <v>1</v>
      </c>
      <c r="N1039" s="68" t="s">
        <v>8827</v>
      </c>
    </row>
    <row r="1040" spans="1:14" ht="14.25" x14ac:dyDescent="0.2">
      <c r="A1040" s="11" t="s">
        <v>8710</v>
      </c>
      <c r="B1040" s="36" t="s">
        <v>3732</v>
      </c>
      <c r="C1040" s="13" t="s">
        <v>4931</v>
      </c>
      <c r="D1040" s="13" t="s">
        <v>8711</v>
      </c>
      <c r="E1040" s="29" t="s">
        <v>8712</v>
      </c>
      <c r="F1040" s="13" t="s">
        <v>4931</v>
      </c>
      <c r="G1040" s="8">
        <v>52</v>
      </c>
      <c r="H1040" s="8"/>
      <c r="I1040" s="8"/>
      <c r="J1040" s="29" t="s">
        <v>8713</v>
      </c>
      <c r="K1040" s="29" t="s">
        <v>5687</v>
      </c>
      <c r="L1040" s="95"/>
      <c r="M1040" s="68">
        <v>1</v>
      </c>
      <c r="N1040" s="68" t="s">
        <v>8553</v>
      </c>
    </row>
    <row r="1041" spans="1:14" ht="14.25" x14ac:dyDescent="0.2">
      <c r="A1041" s="11" t="s">
        <v>8710</v>
      </c>
      <c r="B1041" s="12" t="s">
        <v>3733</v>
      </c>
      <c r="C1041" s="13" t="s">
        <v>3754</v>
      </c>
      <c r="D1041" s="13" t="s">
        <v>3754</v>
      </c>
      <c r="E1041" s="29" t="s">
        <v>5315</v>
      </c>
      <c r="F1041" s="13" t="s">
        <v>5199</v>
      </c>
      <c r="G1041" s="8">
        <v>22</v>
      </c>
      <c r="H1041" s="8"/>
      <c r="I1041" s="8"/>
      <c r="J1041" s="29" t="s">
        <v>1264</v>
      </c>
      <c r="K1041" s="29" t="s">
        <v>5316</v>
      </c>
      <c r="L1041" s="29"/>
      <c r="M1041" s="68">
        <v>1</v>
      </c>
      <c r="N1041" s="68" t="s">
        <v>8827</v>
      </c>
    </row>
    <row r="1042" spans="1:14" ht="14.25" x14ac:dyDescent="0.2">
      <c r="A1042" s="11" t="s">
        <v>5438</v>
      </c>
      <c r="B1042" s="12" t="s">
        <v>3728</v>
      </c>
      <c r="C1042" s="13" t="s">
        <v>3757</v>
      </c>
      <c r="D1042" s="13" t="s">
        <v>3754</v>
      </c>
      <c r="E1042" s="29" t="s">
        <v>5439</v>
      </c>
      <c r="F1042" s="13" t="s">
        <v>5440</v>
      </c>
      <c r="G1042" s="8">
        <v>70</v>
      </c>
      <c r="H1042" s="8"/>
      <c r="I1042" s="8"/>
      <c r="J1042" s="29" t="s">
        <v>2108</v>
      </c>
      <c r="K1042" s="29" t="s">
        <v>5441</v>
      </c>
      <c r="L1042" s="29"/>
      <c r="M1042" s="68">
        <v>1</v>
      </c>
      <c r="N1042" s="68" t="s">
        <v>5390</v>
      </c>
    </row>
    <row r="1043" spans="1:14" ht="14.25" x14ac:dyDescent="0.2">
      <c r="A1043" s="11" t="s">
        <v>8647</v>
      </c>
      <c r="B1043" s="12" t="s">
        <v>5044</v>
      </c>
      <c r="C1043" s="13" t="s">
        <v>3757</v>
      </c>
      <c r="D1043" s="13" t="s">
        <v>3754</v>
      </c>
      <c r="E1043" s="29" t="s">
        <v>1671</v>
      </c>
      <c r="F1043" s="13" t="s">
        <v>1672</v>
      </c>
      <c r="G1043" s="8">
        <v>71</v>
      </c>
      <c r="H1043" s="8"/>
      <c r="I1043" s="8"/>
      <c r="J1043" s="29" t="s">
        <v>1270</v>
      </c>
      <c r="K1043" s="29" t="s">
        <v>1673</v>
      </c>
      <c r="L1043" s="29"/>
      <c r="M1043" s="68">
        <v>1</v>
      </c>
      <c r="N1043" s="68" t="s">
        <v>5390</v>
      </c>
    </row>
    <row r="1044" spans="1:14" ht="14.25" x14ac:dyDescent="0.2">
      <c r="A1044" s="11" t="s">
        <v>8647</v>
      </c>
      <c r="B1044" s="12" t="s">
        <v>8847</v>
      </c>
      <c r="C1044" s="13" t="s">
        <v>3754</v>
      </c>
      <c r="D1044" s="13" t="s">
        <v>3754</v>
      </c>
      <c r="E1044" s="29" t="s">
        <v>6791</v>
      </c>
      <c r="F1044" s="13" t="s">
        <v>5295</v>
      </c>
      <c r="G1044" s="8">
        <v>1</v>
      </c>
      <c r="H1044" s="8">
        <v>8</v>
      </c>
      <c r="I1044" s="8">
        <v>14</v>
      </c>
      <c r="J1044" s="29" t="s">
        <v>4579</v>
      </c>
      <c r="K1044" s="29" t="s">
        <v>6793</v>
      </c>
      <c r="L1044" s="29"/>
      <c r="M1044" s="68">
        <v>1</v>
      </c>
      <c r="N1044" s="68" t="s">
        <v>8827</v>
      </c>
    </row>
    <row r="1045" spans="1:14" ht="14.25" x14ac:dyDescent="0.2">
      <c r="A1045" s="11" t="s">
        <v>8647</v>
      </c>
      <c r="B1045" s="12" t="s">
        <v>3752</v>
      </c>
      <c r="C1045" s="13" t="s">
        <v>4931</v>
      </c>
      <c r="D1045" s="13" t="s">
        <v>4943</v>
      </c>
      <c r="E1045" s="29" t="s">
        <v>8718</v>
      </c>
      <c r="F1045" s="13" t="s">
        <v>8716</v>
      </c>
      <c r="G1045" s="8">
        <v>8</v>
      </c>
      <c r="H1045" s="8">
        <v>5</v>
      </c>
      <c r="I1045" s="8"/>
      <c r="J1045" s="29" t="s">
        <v>1254</v>
      </c>
      <c r="K1045" s="29" t="s">
        <v>5688</v>
      </c>
      <c r="L1045" s="29"/>
      <c r="M1045" s="68">
        <v>1</v>
      </c>
      <c r="N1045" s="68" t="s">
        <v>8714</v>
      </c>
    </row>
    <row r="1046" spans="1:14" ht="14.25" x14ac:dyDescent="0.2">
      <c r="A1046" s="11" t="s">
        <v>8647</v>
      </c>
      <c r="B1046" s="12" t="s">
        <v>3728</v>
      </c>
      <c r="C1046" s="13" t="s">
        <v>4931</v>
      </c>
      <c r="D1046" s="13" t="s">
        <v>4931</v>
      </c>
      <c r="E1046" s="29" t="s">
        <v>8737</v>
      </c>
      <c r="F1046" s="13" t="s">
        <v>1563</v>
      </c>
      <c r="G1046" s="8"/>
      <c r="H1046" s="8">
        <v>2</v>
      </c>
      <c r="I1046" s="8"/>
      <c r="J1046" s="29" t="s">
        <v>1254</v>
      </c>
      <c r="K1046" s="29" t="s">
        <v>8738</v>
      </c>
      <c r="L1046" s="29"/>
      <c r="M1046" s="68">
        <v>1</v>
      </c>
      <c r="N1046" s="68" t="s">
        <v>8714</v>
      </c>
    </row>
    <row r="1047" spans="1:14" ht="14.25" x14ac:dyDescent="0.2">
      <c r="A1047" s="11" t="s">
        <v>8647</v>
      </c>
      <c r="B1047" s="12" t="s">
        <v>4702</v>
      </c>
      <c r="C1047" s="13" t="s">
        <v>3757</v>
      </c>
      <c r="D1047" s="13" t="s">
        <v>3754</v>
      </c>
      <c r="E1047" s="109" t="s">
        <v>3331</v>
      </c>
      <c r="F1047" s="13" t="s">
        <v>5385</v>
      </c>
      <c r="G1047" s="8">
        <v>75</v>
      </c>
      <c r="H1047" s="8"/>
      <c r="I1047" s="8"/>
      <c r="J1047" s="29" t="s">
        <v>4738</v>
      </c>
      <c r="K1047" s="109" t="s">
        <v>3333</v>
      </c>
      <c r="L1047" s="29"/>
      <c r="M1047" s="68">
        <v>1</v>
      </c>
      <c r="N1047" s="68" t="s">
        <v>8827</v>
      </c>
    </row>
    <row r="1048" spans="1:14" ht="14.25" x14ac:dyDescent="0.2">
      <c r="A1048" s="11" t="s">
        <v>8647</v>
      </c>
      <c r="B1048" s="12" t="s">
        <v>1685</v>
      </c>
      <c r="C1048" s="13" t="s">
        <v>3754</v>
      </c>
      <c r="D1048" s="13" t="s">
        <v>3754</v>
      </c>
      <c r="E1048" s="29" t="s">
        <v>1684</v>
      </c>
      <c r="F1048" s="13" t="s">
        <v>1686</v>
      </c>
      <c r="G1048" s="8"/>
      <c r="H1048" s="8">
        <v>9</v>
      </c>
      <c r="I1048" s="8">
        <v>11</v>
      </c>
      <c r="J1048" s="29" t="s">
        <v>1277</v>
      </c>
      <c r="K1048" s="29" t="s">
        <v>1532</v>
      </c>
      <c r="L1048" s="29"/>
      <c r="M1048" s="68">
        <v>1</v>
      </c>
      <c r="N1048" s="68" t="s">
        <v>5390</v>
      </c>
    </row>
    <row r="1049" spans="1:14" ht="14.25" x14ac:dyDescent="0.2">
      <c r="A1049" s="11" t="s">
        <v>8647</v>
      </c>
      <c r="B1049" s="12" t="s">
        <v>4687</v>
      </c>
      <c r="C1049" s="13" t="s">
        <v>3754</v>
      </c>
      <c r="D1049" s="13" t="s">
        <v>3754</v>
      </c>
      <c r="E1049" s="29" t="s">
        <v>5328</v>
      </c>
      <c r="F1049" s="13" t="s">
        <v>5329</v>
      </c>
      <c r="G1049" s="8">
        <v>2</v>
      </c>
      <c r="H1049" s="8">
        <v>8</v>
      </c>
      <c r="I1049" s="8"/>
      <c r="J1049" s="29" t="s">
        <v>1264</v>
      </c>
      <c r="K1049" s="29" t="s">
        <v>5330</v>
      </c>
      <c r="L1049" s="29"/>
      <c r="M1049" s="68">
        <v>1</v>
      </c>
      <c r="N1049" s="68" t="s">
        <v>8827</v>
      </c>
    </row>
    <row r="1050" spans="1:14" ht="14.25" x14ac:dyDescent="0.2">
      <c r="A1050" s="11" t="s">
        <v>8647</v>
      </c>
      <c r="B1050" s="12" t="s">
        <v>8819</v>
      </c>
      <c r="C1050" s="13" t="s">
        <v>4931</v>
      </c>
      <c r="D1050" s="13" t="s">
        <v>4931</v>
      </c>
      <c r="E1050" s="29" t="s">
        <v>8820</v>
      </c>
      <c r="F1050" s="13" t="s">
        <v>8821</v>
      </c>
      <c r="G1050" s="8"/>
      <c r="H1050" s="8">
        <v>8</v>
      </c>
      <c r="I1050" s="8"/>
      <c r="J1050" s="29" t="s">
        <v>5082</v>
      </c>
      <c r="K1050" s="29" t="s">
        <v>8822</v>
      </c>
      <c r="L1050" s="29"/>
      <c r="M1050" s="68">
        <v>1</v>
      </c>
      <c r="N1050" s="68" t="s">
        <v>8714</v>
      </c>
    </row>
    <row r="1051" spans="1:14" ht="14.25" x14ac:dyDescent="0.2">
      <c r="A1051" s="11" t="s">
        <v>8647</v>
      </c>
      <c r="B1051" s="12" t="s">
        <v>3732</v>
      </c>
      <c r="C1051" s="13" t="s">
        <v>3757</v>
      </c>
      <c r="D1051" s="13" t="s">
        <v>3754</v>
      </c>
      <c r="E1051" s="29" t="s">
        <v>5064</v>
      </c>
      <c r="F1051" s="13" t="s">
        <v>5414</v>
      </c>
      <c r="G1051" s="8">
        <v>22</v>
      </c>
      <c r="H1051" s="8"/>
      <c r="I1051" s="8"/>
      <c r="J1051" s="29" t="s">
        <v>5415</v>
      </c>
      <c r="K1051" s="29" t="s">
        <v>5064</v>
      </c>
      <c r="L1051" s="29"/>
      <c r="M1051" s="68">
        <v>1</v>
      </c>
      <c r="N1051" s="68" t="s">
        <v>5390</v>
      </c>
    </row>
    <row r="1052" spans="1:14" ht="14.25" x14ac:dyDescent="0.2">
      <c r="A1052" s="11" t="s">
        <v>8647</v>
      </c>
      <c r="B1052" s="12" t="s">
        <v>3723</v>
      </c>
      <c r="C1052" s="13" t="s">
        <v>3754</v>
      </c>
      <c r="D1052" s="13" t="s">
        <v>3754</v>
      </c>
      <c r="E1052" s="29" t="s">
        <v>3149</v>
      </c>
      <c r="F1052" s="13" t="s">
        <v>8798</v>
      </c>
      <c r="G1052" s="8">
        <v>22</v>
      </c>
      <c r="H1052" s="8">
        <v>3</v>
      </c>
      <c r="I1052" s="8"/>
      <c r="J1052" s="29" t="s">
        <v>8799</v>
      </c>
      <c r="K1052" s="29" t="s">
        <v>8787</v>
      </c>
      <c r="L1052" s="29"/>
      <c r="M1052" s="68">
        <v>1</v>
      </c>
      <c r="N1052" s="68" t="s">
        <v>8714</v>
      </c>
    </row>
    <row r="1053" spans="1:14" ht="14.25" x14ac:dyDescent="0.2">
      <c r="A1053" s="11" t="s">
        <v>8647</v>
      </c>
      <c r="B1053" s="12" t="s">
        <v>3723</v>
      </c>
      <c r="C1053" s="13" t="s">
        <v>3757</v>
      </c>
      <c r="D1053" s="13" t="s">
        <v>3754</v>
      </c>
      <c r="E1053" s="29" t="s">
        <v>5317</v>
      </c>
      <c r="F1053" s="13" t="s">
        <v>5318</v>
      </c>
      <c r="G1053" s="8">
        <v>73</v>
      </c>
      <c r="H1053" s="8"/>
      <c r="I1053" s="8"/>
      <c r="J1053" s="29" t="s">
        <v>1271</v>
      </c>
      <c r="K1053" s="29" t="s">
        <v>5319</v>
      </c>
      <c r="L1053" s="29"/>
      <c r="M1053" s="68">
        <v>1</v>
      </c>
      <c r="N1053" s="68" t="s">
        <v>8827</v>
      </c>
    </row>
    <row r="1054" spans="1:14" ht="14.25" x14ac:dyDescent="0.2">
      <c r="A1054" s="11" t="s">
        <v>8647</v>
      </c>
      <c r="B1054" s="12" t="s">
        <v>3723</v>
      </c>
      <c r="C1054" s="13" t="s">
        <v>3757</v>
      </c>
      <c r="D1054" s="13" t="s">
        <v>3754</v>
      </c>
      <c r="E1054" s="29" t="s">
        <v>5448</v>
      </c>
      <c r="F1054" s="13" t="s">
        <v>5449</v>
      </c>
      <c r="G1054" s="8">
        <v>75</v>
      </c>
      <c r="H1054" s="8"/>
      <c r="I1054" s="8"/>
      <c r="J1054" s="29" t="s">
        <v>1277</v>
      </c>
      <c r="K1054" s="29" t="s">
        <v>5450</v>
      </c>
      <c r="L1054" s="29"/>
      <c r="M1054" s="68">
        <v>1</v>
      </c>
      <c r="N1054" s="68" t="s">
        <v>5390</v>
      </c>
    </row>
    <row r="1055" spans="1:14" ht="14.25" x14ac:dyDescent="0.2">
      <c r="A1055" s="11" t="s">
        <v>8647</v>
      </c>
      <c r="B1055" s="12" t="s">
        <v>3750</v>
      </c>
      <c r="C1055" s="13" t="s">
        <v>4931</v>
      </c>
      <c r="D1055" s="13" t="s">
        <v>4931</v>
      </c>
      <c r="E1055" s="29" t="s">
        <v>8715</v>
      </c>
      <c r="F1055" s="13" t="s">
        <v>8716</v>
      </c>
      <c r="G1055" s="8">
        <v>4</v>
      </c>
      <c r="H1055" s="8">
        <v>6</v>
      </c>
      <c r="I1055" s="8"/>
      <c r="J1055" s="29" t="s">
        <v>1254</v>
      </c>
      <c r="K1055" s="29" t="s">
        <v>8717</v>
      </c>
      <c r="L1055" s="29"/>
      <c r="M1055" s="68">
        <v>1</v>
      </c>
      <c r="N1055" s="68" t="s">
        <v>8714</v>
      </c>
    </row>
    <row r="1056" spans="1:14" ht="14.25" x14ac:dyDescent="0.2">
      <c r="A1056" s="11" t="s">
        <v>8647</v>
      </c>
      <c r="B1056" s="12" t="s">
        <v>4701</v>
      </c>
      <c r="C1056" s="13" t="s">
        <v>3757</v>
      </c>
      <c r="D1056" s="13" t="s">
        <v>3754</v>
      </c>
      <c r="E1056" s="29" t="s">
        <v>8800</v>
      </c>
      <c r="F1056" s="13" t="s">
        <v>8801</v>
      </c>
      <c r="G1056" s="8">
        <v>40</v>
      </c>
      <c r="H1056" s="8"/>
      <c r="I1056" s="8"/>
      <c r="J1056" s="29" t="s">
        <v>8802</v>
      </c>
      <c r="K1056" s="29" t="s">
        <v>8803</v>
      </c>
      <c r="L1056" s="29"/>
      <c r="M1056" s="68">
        <v>1</v>
      </c>
      <c r="N1056" s="68" t="s">
        <v>8714</v>
      </c>
    </row>
    <row r="1057" spans="1:14" ht="14.25" x14ac:dyDescent="0.2">
      <c r="A1057" s="11" t="s">
        <v>8647</v>
      </c>
      <c r="B1057" s="12" t="s">
        <v>3733</v>
      </c>
      <c r="C1057" s="13" t="s">
        <v>4931</v>
      </c>
      <c r="D1057" s="13" t="s">
        <v>6833</v>
      </c>
      <c r="E1057" s="29"/>
      <c r="F1057" s="13"/>
      <c r="G1057" s="8">
        <v>5</v>
      </c>
      <c r="H1057" s="8">
        <v>5</v>
      </c>
      <c r="I1057" s="8"/>
      <c r="J1057" s="29" t="s">
        <v>4829</v>
      </c>
      <c r="K1057" s="29" t="s">
        <v>8719</v>
      </c>
      <c r="L1057" s="29"/>
      <c r="M1057" s="68">
        <v>1</v>
      </c>
      <c r="N1057" s="68" t="s">
        <v>8714</v>
      </c>
    </row>
    <row r="1058" spans="1:14" ht="14.25" x14ac:dyDescent="0.2">
      <c r="A1058" s="11" t="s">
        <v>8647</v>
      </c>
      <c r="B1058" s="12" t="s">
        <v>8648</v>
      </c>
      <c r="C1058" s="13" t="s">
        <v>3757</v>
      </c>
      <c r="D1058" s="13" t="s">
        <v>3761</v>
      </c>
      <c r="E1058" s="29" t="s">
        <v>8649</v>
      </c>
      <c r="F1058" s="13" t="s">
        <v>8650</v>
      </c>
      <c r="G1058" s="8">
        <v>72</v>
      </c>
      <c r="H1058" s="8"/>
      <c r="I1058" s="8"/>
      <c r="J1058" s="29" t="s">
        <v>1272</v>
      </c>
      <c r="K1058" s="29" t="s">
        <v>8651</v>
      </c>
      <c r="L1058" s="29"/>
      <c r="M1058" s="68">
        <v>1</v>
      </c>
      <c r="N1058" s="68" t="s">
        <v>8553</v>
      </c>
    </row>
    <row r="1059" spans="1:14" ht="14.25" x14ac:dyDescent="0.2">
      <c r="A1059" s="11" t="s">
        <v>5296</v>
      </c>
      <c r="B1059" s="12" t="s">
        <v>3746</v>
      </c>
      <c r="C1059" s="13" t="s">
        <v>3757</v>
      </c>
      <c r="D1059" s="13" t="s">
        <v>3754</v>
      </c>
      <c r="E1059" s="29" t="s">
        <v>5297</v>
      </c>
      <c r="F1059" s="13" t="s">
        <v>5298</v>
      </c>
      <c r="G1059" s="8">
        <v>62</v>
      </c>
      <c r="H1059" s="8"/>
      <c r="I1059" s="8"/>
      <c r="J1059" s="29" t="s">
        <v>1277</v>
      </c>
      <c r="K1059" s="29" t="s">
        <v>5299</v>
      </c>
      <c r="L1059" s="29"/>
      <c r="M1059" s="68">
        <v>1</v>
      </c>
      <c r="N1059" s="68" t="s">
        <v>8827</v>
      </c>
    </row>
    <row r="1060" spans="1:14" ht="14.25" x14ac:dyDescent="0.2">
      <c r="A1060" s="11" t="s">
        <v>8701</v>
      </c>
      <c r="B1060" s="12" t="s">
        <v>3734</v>
      </c>
      <c r="C1060" s="13" t="s">
        <v>3757</v>
      </c>
      <c r="D1060" s="13" t="s">
        <v>3761</v>
      </c>
      <c r="E1060" s="29" t="s">
        <v>8702</v>
      </c>
      <c r="F1060" s="13" t="s">
        <v>8703</v>
      </c>
      <c r="G1060" s="8">
        <v>84</v>
      </c>
      <c r="H1060" s="8"/>
      <c r="I1060" s="8"/>
      <c r="J1060" s="29" t="s">
        <v>1259</v>
      </c>
      <c r="K1060" s="29" t="s">
        <v>8704</v>
      </c>
      <c r="L1060" s="29"/>
      <c r="M1060" s="68">
        <v>1</v>
      </c>
      <c r="N1060" s="68" t="s">
        <v>8553</v>
      </c>
    </row>
    <row r="1061" spans="1:14" ht="14.25" x14ac:dyDescent="0.2">
      <c r="A1061" s="11" t="s">
        <v>8701</v>
      </c>
      <c r="B1061" s="12" t="s">
        <v>4908</v>
      </c>
      <c r="C1061" s="13" t="s">
        <v>3757</v>
      </c>
      <c r="D1061" s="13" t="s">
        <v>3754</v>
      </c>
      <c r="E1061" s="29" t="s">
        <v>5377</v>
      </c>
      <c r="F1061" s="13" t="s">
        <v>5378</v>
      </c>
      <c r="G1061" s="8">
        <v>65</v>
      </c>
      <c r="H1061" s="8"/>
      <c r="I1061" s="8"/>
      <c r="J1061" s="29" t="s">
        <v>1264</v>
      </c>
      <c r="K1061" s="29" t="s">
        <v>5379</v>
      </c>
      <c r="L1061" s="29"/>
      <c r="M1061" s="68">
        <v>1</v>
      </c>
      <c r="N1061" s="68" t="s">
        <v>8827</v>
      </c>
    </row>
    <row r="1062" spans="1:14" ht="14.25" x14ac:dyDescent="0.2">
      <c r="A1062" s="11" t="s">
        <v>8701</v>
      </c>
      <c r="B1062" s="12" t="s">
        <v>3740</v>
      </c>
      <c r="C1062" s="13" t="s">
        <v>3757</v>
      </c>
      <c r="D1062" s="13" t="s">
        <v>3754</v>
      </c>
      <c r="E1062" s="29" t="s">
        <v>1469</v>
      </c>
      <c r="F1062" s="13" t="s">
        <v>5446</v>
      </c>
      <c r="G1062" s="8">
        <v>34</v>
      </c>
      <c r="H1062" s="8"/>
      <c r="I1062" s="8"/>
      <c r="J1062" s="29" t="s">
        <v>1264</v>
      </c>
      <c r="K1062" s="29" t="s">
        <v>5447</v>
      </c>
      <c r="L1062" s="29"/>
      <c r="M1062" s="68">
        <v>1</v>
      </c>
      <c r="N1062" s="68" t="s">
        <v>5390</v>
      </c>
    </row>
    <row r="1063" spans="1:14" ht="14.25" x14ac:dyDescent="0.2">
      <c r="A1063" s="11" t="s">
        <v>8701</v>
      </c>
      <c r="B1063" s="12" t="s">
        <v>8705</v>
      </c>
      <c r="C1063" s="13" t="s">
        <v>3757</v>
      </c>
      <c r="D1063" s="13" t="s">
        <v>3754</v>
      </c>
      <c r="E1063" s="55"/>
      <c r="F1063" s="13" t="s">
        <v>8703</v>
      </c>
      <c r="G1063" s="8">
        <v>29</v>
      </c>
      <c r="H1063" s="8"/>
      <c r="I1063" s="8"/>
      <c r="J1063" s="29"/>
      <c r="K1063" s="29" t="s">
        <v>8706</v>
      </c>
      <c r="L1063" s="29"/>
      <c r="M1063" s="68">
        <v>1</v>
      </c>
      <c r="N1063" s="68" t="s">
        <v>8553</v>
      </c>
    </row>
    <row r="1064" spans="1:14" ht="14.25" x14ac:dyDescent="0.2">
      <c r="A1064" s="9" t="s">
        <v>5336</v>
      </c>
      <c r="B1064" s="5" t="s">
        <v>3746</v>
      </c>
      <c r="C1064" s="10" t="s">
        <v>3757</v>
      </c>
      <c r="D1064" s="10" t="s">
        <v>3754</v>
      </c>
      <c r="E1064" s="55" t="s">
        <v>5337</v>
      </c>
      <c r="F1064" s="10" t="s">
        <v>5338</v>
      </c>
      <c r="G1064" s="8">
        <v>48</v>
      </c>
      <c r="H1064" s="8"/>
      <c r="I1064" s="8"/>
      <c r="J1064" s="55" t="s">
        <v>2894</v>
      </c>
      <c r="K1064" s="55" t="s">
        <v>5339</v>
      </c>
      <c r="L1064" s="61"/>
      <c r="M1064" s="68">
        <v>1</v>
      </c>
      <c r="N1064" s="68" t="s">
        <v>8827</v>
      </c>
    </row>
    <row r="1065" spans="1:14" ht="14.25" x14ac:dyDescent="0.2">
      <c r="A1065" s="9" t="s">
        <v>8743</v>
      </c>
      <c r="B1065" s="5" t="s">
        <v>4685</v>
      </c>
      <c r="C1065" s="10" t="s">
        <v>3754</v>
      </c>
      <c r="D1065" s="10" t="s">
        <v>3754</v>
      </c>
      <c r="E1065" s="61" t="s">
        <v>8807</v>
      </c>
      <c r="F1065" s="10" t="s">
        <v>8808</v>
      </c>
      <c r="G1065" s="8"/>
      <c r="H1065" s="8"/>
      <c r="I1065" s="8">
        <v>5</v>
      </c>
      <c r="J1065" s="55"/>
      <c r="K1065" s="55" t="s">
        <v>8809</v>
      </c>
      <c r="L1065" s="61"/>
      <c r="M1065" s="68">
        <v>1</v>
      </c>
      <c r="N1065" s="68" t="s">
        <v>8714</v>
      </c>
    </row>
    <row r="1066" spans="1:14" ht="14.25" x14ac:dyDescent="0.2">
      <c r="A1066" s="11" t="s">
        <v>8743</v>
      </c>
      <c r="B1066" s="12" t="s">
        <v>5073</v>
      </c>
      <c r="C1066" s="13" t="s">
        <v>3754</v>
      </c>
      <c r="D1066" s="13"/>
      <c r="E1066" s="29" t="s">
        <v>8744</v>
      </c>
      <c r="F1066" s="13" t="s">
        <v>8745</v>
      </c>
      <c r="G1066" s="8">
        <v>1</v>
      </c>
      <c r="H1066" s="8">
        <v>2</v>
      </c>
      <c r="I1066" s="8">
        <v>14</v>
      </c>
      <c r="J1066" s="29" t="s">
        <v>2097</v>
      </c>
      <c r="K1066" s="29" t="s">
        <v>8746</v>
      </c>
      <c r="L1066" s="29"/>
      <c r="M1066" s="68">
        <v>1</v>
      </c>
      <c r="N1066" s="68" t="s">
        <v>8714</v>
      </c>
    </row>
    <row r="1067" spans="1:14" ht="14.25" x14ac:dyDescent="0.2">
      <c r="A1067" s="11" t="s">
        <v>8743</v>
      </c>
      <c r="B1067" s="12" t="s">
        <v>5351</v>
      </c>
      <c r="C1067" s="13" t="s">
        <v>3754</v>
      </c>
      <c r="D1067" s="13"/>
      <c r="E1067" s="29" t="s">
        <v>5352</v>
      </c>
      <c r="F1067" s="13" t="s">
        <v>4218</v>
      </c>
      <c r="G1067" s="8"/>
      <c r="H1067" s="8">
        <v>1</v>
      </c>
      <c r="I1067" s="8">
        <v>14</v>
      </c>
      <c r="J1067" s="29" t="s">
        <v>1258</v>
      </c>
      <c r="K1067" s="29"/>
      <c r="L1067" s="29"/>
      <c r="M1067" s="68">
        <v>1</v>
      </c>
      <c r="N1067" s="68" t="s">
        <v>8827</v>
      </c>
    </row>
    <row r="1068" spans="1:14" ht="14.25" x14ac:dyDescent="0.2">
      <c r="A1068" s="11" t="s">
        <v>8522</v>
      </c>
      <c r="B1068" s="12" t="s">
        <v>8523</v>
      </c>
      <c r="C1068" s="13" t="s">
        <v>3754</v>
      </c>
      <c r="D1068" s="13" t="s">
        <v>3754</v>
      </c>
      <c r="E1068" s="29" t="s">
        <v>8524</v>
      </c>
      <c r="F1068" s="13" t="s">
        <v>8525</v>
      </c>
      <c r="G1068" s="8">
        <v>6</v>
      </c>
      <c r="H1068" s="8"/>
      <c r="I1068" s="8">
        <v>18</v>
      </c>
      <c r="J1068" s="29" t="s">
        <v>8526</v>
      </c>
      <c r="K1068" s="29" t="s">
        <v>8527</v>
      </c>
      <c r="L1068" s="29"/>
      <c r="M1068" s="68">
        <v>1</v>
      </c>
      <c r="N1068" s="68" t="s">
        <v>5912</v>
      </c>
    </row>
    <row r="1069" spans="1:14" ht="14.25" x14ac:dyDescent="0.2">
      <c r="A1069" s="11" t="s">
        <v>5434</v>
      </c>
      <c r="B1069" s="12" t="s">
        <v>5435</v>
      </c>
      <c r="C1069" s="13" t="s">
        <v>4712</v>
      </c>
      <c r="D1069" s="13" t="s">
        <v>3754</v>
      </c>
      <c r="E1069" s="29" t="s">
        <v>5436</v>
      </c>
      <c r="F1069" s="13" t="s">
        <v>5437</v>
      </c>
      <c r="G1069" s="8">
        <v>52</v>
      </c>
      <c r="H1069" s="8"/>
      <c r="I1069" s="8"/>
      <c r="J1069" s="29" t="s">
        <v>1264</v>
      </c>
      <c r="K1069" s="29" t="s">
        <v>5248</v>
      </c>
      <c r="L1069" s="29"/>
      <c r="M1069" s="68">
        <v>1</v>
      </c>
      <c r="N1069" s="68" t="s">
        <v>5390</v>
      </c>
    </row>
    <row r="1070" spans="1:14" ht="14.25" x14ac:dyDescent="0.2">
      <c r="A1070" s="11" t="s">
        <v>4776</v>
      </c>
      <c r="B1070" s="12" t="s">
        <v>3734</v>
      </c>
      <c r="C1070" s="13" t="s">
        <v>3757</v>
      </c>
      <c r="D1070" s="13" t="s">
        <v>3754</v>
      </c>
      <c r="E1070" s="29" t="s">
        <v>5984</v>
      </c>
      <c r="F1070" s="13" t="s">
        <v>8788</v>
      </c>
      <c r="G1070" s="8">
        <v>80</v>
      </c>
      <c r="H1070" s="8"/>
      <c r="I1070" s="8"/>
      <c r="J1070" s="29" t="s">
        <v>1259</v>
      </c>
      <c r="K1070" s="29" t="s">
        <v>8789</v>
      </c>
      <c r="L1070" s="29"/>
      <c r="M1070" s="68">
        <v>1</v>
      </c>
      <c r="N1070" s="68" t="s">
        <v>8714</v>
      </c>
    </row>
    <row r="1071" spans="1:14" ht="14.25" x14ac:dyDescent="0.2">
      <c r="A1071" s="11" t="s">
        <v>4776</v>
      </c>
      <c r="B1071" s="12" t="s">
        <v>1809</v>
      </c>
      <c r="C1071" s="13" t="s">
        <v>3754</v>
      </c>
      <c r="D1071" s="13" t="s">
        <v>3754</v>
      </c>
      <c r="E1071" s="29"/>
      <c r="F1071" s="13" t="s">
        <v>3754</v>
      </c>
      <c r="G1071" s="8">
        <v>6</v>
      </c>
      <c r="H1071" s="8"/>
      <c r="I1071" s="8"/>
      <c r="J1071" s="29" t="s">
        <v>1254</v>
      </c>
      <c r="K1071" s="29" t="s">
        <v>4777</v>
      </c>
      <c r="L1071" s="29"/>
      <c r="M1071" s="68">
        <v>1</v>
      </c>
      <c r="N1071" s="68" t="s">
        <v>5912</v>
      </c>
    </row>
    <row r="1072" spans="1:14" ht="14.25" x14ac:dyDescent="0.2">
      <c r="A1072" s="11" t="s">
        <v>4776</v>
      </c>
      <c r="B1072" s="12" t="s">
        <v>1809</v>
      </c>
      <c r="C1072" s="13" t="s">
        <v>3757</v>
      </c>
      <c r="D1072" s="13" t="s">
        <v>3754</v>
      </c>
      <c r="E1072" s="29" t="s">
        <v>4784</v>
      </c>
      <c r="F1072" s="13" t="s">
        <v>3754</v>
      </c>
      <c r="G1072" s="8">
        <v>82</v>
      </c>
      <c r="H1072" s="8"/>
      <c r="I1072" s="8"/>
      <c r="J1072" s="29"/>
      <c r="K1072" s="29" t="s">
        <v>4785</v>
      </c>
      <c r="L1072" s="29"/>
      <c r="M1072" s="68">
        <v>1</v>
      </c>
      <c r="N1072" s="68" t="s">
        <v>5912</v>
      </c>
    </row>
    <row r="1073" spans="1:14" ht="14.25" x14ac:dyDescent="0.2">
      <c r="A1073" s="11" t="s">
        <v>4776</v>
      </c>
      <c r="B1073" s="12" t="s">
        <v>4685</v>
      </c>
      <c r="C1073" s="13" t="s">
        <v>3754</v>
      </c>
      <c r="D1073" s="13" t="s">
        <v>3754</v>
      </c>
      <c r="E1073" s="29" t="s">
        <v>4779</v>
      </c>
      <c r="F1073" s="13" t="s">
        <v>3754</v>
      </c>
      <c r="G1073" s="8">
        <v>25</v>
      </c>
      <c r="H1073" s="8">
        <v>5</v>
      </c>
      <c r="I1073" s="8"/>
      <c r="J1073" s="29" t="s">
        <v>1264</v>
      </c>
      <c r="K1073" s="29" t="s">
        <v>4777</v>
      </c>
      <c r="L1073" s="29"/>
      <c r="M1073" s="68">
        <v>1</v>
      </c>
      <c r="N1073" s="68" t="s">
        <v>5912</v>
      </c>
    </row>
    <row r="1074" spans="1:14" ht="14.25" x14ac:dyDescent="0.2">
      <c r="A1074" s="11" t="s">
        <v>4776</v>
      </c>
      <c r="B1074" s="12" t="s">
        <v>3740</v>
      </c>
      <c r="C1074" s="13" t="s">
        <v>3757</v>
      </c>
      <c r="D1074" s="13" t="s">
        <v>3754</v>
      </c>
      <c r="E1074" s="29"/>
      <c r="F1074" s="13" t="s">
        <v>8728</v>
      </c>
      <c r="G1074" s="8">
        <v>50</v>
      </c>
      <c r="H1074" s="8"/>
      <c r="I1074" s="8"/>
      <c r="J1074" s="29" t="s">
        <v>2894</v>
      </c>
      <c r="K1074" s="29" t="s">
        <v>8729</v>
      </c>
      <c r="L1074" s="29"/>
      <c r="M1074" s="68">
        <v>1</v>
      </c>
      <c r="N1074" s="68" t="s">
        <v>8714</v>
      </c>
    </row>
    <row r="1075" spans="1:14" ht="14.25" x14ac:dyDescent="0.2">
      <c r="A1075" s="11" t="s">
        <v>4776</v>
      </c>
      <c r="B1075" s="12" t="s">
        <v>4795</v>
      </c>
      <c r="C1075" s="13" t="s">
        <v>3757</v>
      </c>
      <c r="D1075" s="13" t="s">
        <v>3754</v>
      </c>
      <c r="E1075" s="29"/>
      <c r="F1075" s="13" t="s">
        <v>3754</v>
      </c>
      <c r="G1075" s="8">
        <v>7</v>
      </c>
      <c r="H1075" s="8">
        <v>6</v>
      </c>
      <c r="I1075" s="8"/>
      <c r="J1075" s="29" t="s">
        <v>1254</v>
      </c>
      <c r="K1075" s="29" t="s">
        <v>4777</v>
      </c>
      <c r="L1075" s="29"/>
      <c r="M1075" s="68">
        <v>1</v>
      </c>
      <c r="N1075" s="68" t="s">
        <v>5912</v>
      </c>
    </row>
    <row r="1076" spans="1:14" ht="14.25" x14ac:dyDescent="0.2">
      <c r="A1076" s="11" t="s">
        <v>8495</v>
      </c>
      <c r="B1076" s="12" t="s">
        <v>3732</v>
      </c>
      <c r="C1076" s="13" t="s">
        <v>3754</v>
      </c>
      <c r="D1076" s="13" t="s">
        <v>3754</v>
      </c>
      <c r="E1076" s="29" t="s">
        <v>8496</v>
      </c>
      <c r="F1076" s="21" t="s">
        <v>3754</v>
      </c>
      <c r="G1076" s="8">
        <v>32</v>
      </c>
      <c r="H1076" s="8"/>
      <c r="I1076" s="8"/>
      <c r="J1076" s="29" t="s">
        <v>1264</v>
      </c>
      <c r="K1076" s="29" t="s">
        <v>8497</v>
      </c>
      <c r="L1076" s="29"/>
      <c r="M1076" s="68">
        <v>1</v>
      </c>
      <c r="N1076" s="68" t="s">
        <v>5912</v>
      </c>
    </row>
    <row r="1077" spans="1:14" ht="14.25" x14ac:dyDescent="0.2">
      <c r="A1077" s="11" t="s">
        <v>8485</v>
      </c>
      <c r="B1077" s="12" t="s">
        <v>3728</v>
      </c>
      <c r="C1077" s="13" t="s">
        <v>3757</v>
      </c>
      <c r="D1077" s="13" t="s">
        <v>3754</v>
      </c>
      <c r="E1077" s="29" t="s">
        <v>2917</v>
      </c>
      <c r="F1077" s="13" t="s">
        <v>8810</v>
      </c>
      <c r="G1077" s="8">
        <v>66</v>
      </c>
      <c r="H1077" s="8"/>
      <c r="I1077" s="8"/>
      <c r="J1077" s="29" t="s">
        <v>1271</v>
      </c>
      <c r="K1077" s="29" t="s">
        <v>8811</v>
      </c>
      <c r="L1077" s="29"/>
      <c r="M1077" s="68">
        <v>1</v>
      </c>
      <c r="N1077" s="68" t="s">
        <v>8714</v>
      </c>
    </row>
    <row r="1078" spans="1:14" ht="14.25" x14ac:dyDescent="0.2">
      <c r="A1078" s="11" t="s">
        <v>8485</v>
      </c>
      <c r="B1078" s="12" t="s">
        <v>3738</v>
      </c>
      <c r="C1078" s="13" t="s">
        <v>3754</v>
      </c>
      <c r="D1078" s="13" t="s">
        <v>6826</v>
      </c>
      <c r="E1078" s="29" t="s">
        <v>8486</v>
      </c>
      <c r="F1078" s="13" t="s">
        <v>3754</v>
      </c>
      <c r="G1078" s="8">
        <v>25</v>
      </c>
      <c r="H1078" s="8"/>
      <c r="I1078" s="8"/>
      <c r="J1078" s="29" t="s">
        <v>8487</v>
      </c>
      <c r="K1078" s="29" t="s">
        <v>8486</v>
      </c>
      <c r="L1078" s="29"/>
      <c r="M1078" s="68">
        <v>1</v>
      </c>
      <c r="N1078" s="68" t="s">
        <v>5912</v>
      </c>
    </row>
    <row r="1079" spans="1:14" ht="14.25" x14ac:dyDescent="0.2">
      <c r="A1079" s="11" t="s">
        <v>8652</v>
      </c>
      <c r="B1079" s="12" t="s">
        <v>3752</v>
      </c>
      <c r="C1079" s="13" t="s">
        <v>3754</v>
      </c>
      <c r="D1079" s="13" t="s">
        <v>3754</v>
      </c>
      <c r="E1079" s="29" t="s">
        <v>8794</v>
      </c>
      <c r="F1079" s="13" t="s">
        <v>8786</v>
      </c>
      <c r="G1079" s="8">
        <v>3</v>
      </c>
      <c r="H1079" s="8">
        <v>4</v>
      </c>
      <c r="I1079" s="8">
        <v>15</v>
      </c>
      <c r="J1079" s="29" t="s">
        <v>8795</v>
      </c>
      <c r="K1079" s="29" t="s">
        <v>8787</v>
      </c>
      <c r="L1079" s="29"/>
      <c r="M1079" s="68">
        <v>1</v>
      </c>
      <c r="N1079" s="68" t="s">
        <v>8714</v>
      </c>
    </row>
    <row r="1080" spans="1:14" ht="14.25" x14ac:dyDescent="0.2">
      <c r="A1080" s="11" t="s">
        <v>8652</v>
      </c>
      <c r="B1080" s="12" t="s">
        <v>3752</v>
      </c>
      <c r="C1080" s="13" t="s">
        <v>3757</v>
      </c>
      <c r="D1080" s="13" t="s">
        <v>3754</v>
      </c>
      <c r="E1080" s="29" t="s">
        <v>5424</v>
      </c>
      <c r="F1080" s="13" t="s">
        <v>5425</v>
      </c>
      <c r="G1080" s="8">
        <v>61</v>
      </c>
      <c r="H1080" s="8"/>
      <c r="I1080" s="8"/>
      <c r="J1080" s="29" t="s">
        <v>1259</v>
      </c>
      <c r="K1080" s="29" t="s">
        <v>5424</v>
      </c>
      <c r="L1080" s="29"/>
      <c r="M1080" s="68">
        <v>1</v>
      </c>
      <c r="N1080" s="68" t="s">
        <v>5390</v>
      </c>
    </row>
    <row r="1081" spans="1:14" ht="14.25" x14ac:dyDescent="0.2">
      <c r="A1081" s="11" t="s">
        <v>8652</v>
      </c>
      <c r="B1081" s="12" t="s">
        <v>1809</v>
      </c>
      <c r="C1081" s="13" t="s">
        <v>3754</v>
      </c>
      <c r="D1081" s="13" t="s">
        <v>3754</v>
      </c>
      <c r="E1081" s="29" t="s">
        <v>8796</v>
      </c>
      <c r="F1081" s="13" t="s">
        <v>8797</v>
      </c>
      <c r="G1081" s="8">
        <v>10</v>
      </c>
      <c r="H1081" s="8">
        <v>7</v>
      </c>
      <c r="I1081" s="8"/>
      <c r="J1081" s="29" t="s">
        <v>4745</v>
      </c>
      <c r="K1081" s="29" t="s">
        <v>8787</v>
      </c>
      <c r="L1081" s="29"/>
      <c r="M1081" s="68">
        <v>1</v>
      </c>
      <c r="N1081" s="68" t="s">
        <v>8714</v>
      </c>
    </row>
    <row r="1082" spans="1:14" ht="14.25" x14ac:dyDescent="0.2">
      <c r="A1082" s="11" t="s">
        <v>8652</v>
      </c>
      <c r="B1082" s="12" t="s">
        <v>1809</v>
      </c>
      <c r="C1082" s="13" t="s">
        <v>3757</v>
      </c>
      <c r="D1082" s="13" t="s">
        <v>3761</v>
      </c>
      <c r="E1082" s="29" t="s">
        <v>8653</v>
      </c>
      <c r="F1082" s="13" t="s">
        <v>8654</v>
      </c>
      <c r="G1082" s="8">
        <v>45</v>
      </c>
      <c r="H1082" s="8"/>
      <c r="I1082" s="8"/>
      <c r="J1082" s="29" t="s">
        <v>1264</v>
      </c>
      <c r="K1082" s="29" t="s">
        <v>8655</v>
      </c>
      <c r="L1082" s="29"/>
      <c r="M1082" s="68">
        <v>1</v>
      </c>
      <c r="N1082" s="68" t="s">
        <v>8553</v>
      </c>
    </row>
    <row r="1083" spans="1:14" ht="14.25" x14ac:dyDescent="0.2">
      <c r="A1083" s="11" t="s">
        <v>8652</v>
      </c>
      <c r="B1083" s="12" t="s">
        <v>5486</v>
      </c>
      <c r="C1083" s="13" t="s">
        <v>3754</v>
      </c>
      <c r="D1083" s="13" t="s">
        <v>3754</v>
      </c>
      <c r="E1083" s="29" t="s">
        <v>8785</v>
      </c>
      <c r="F1083" s="13" t="s">
        <v>8786</v>
      </c>
      <c r="G1083" s="8">
        <v>5</v>
      </c>
      <c r="H1083" s="8">
        <v>4</v>
      </c>
      <c r="I1083" s="8"/>
      <c r="J1083" s="29" t="s">
        <v>1254</v>
      </c>
      <c r="K1083" s="29" t="s">
        <v>8787</v>
      </c>
      <c r="L1083" s="29"/>
      <c r="M1083" s="68">
        <v>1</v>
      </c>
      <c r="N1083" s="68" t="s">
        <v>8714</v>
      </c>
    </row>
    <row r="1084" spans="1:14" ht="14.25" x14ac:dyDescent="0.2">
      <c r="A1084" s="11" t="s">
        <v>5300</v>
      </c>
      <c r="B1084" s="12" t="s">
        <v>5302</v>
      </c>
      <c r="C1084" s="13" t="s">
        <v>3754</v>
      </c>
      <c r="D1084" s="13" t="s">
        <v>3754</v>
      </c>
      <c r="E1084" s="29" t="s">
        <v>5299</v>
      </c>
      <c r="F1084" s="13" t="s">
        <v>5303</v>
      </c>
      <c r="G1084" s="8">
        <v>19</v>
      </c>
      <c r="H1084" s="8">
        <v>10</v>
      </c>
      <c r="I1084" s="8">
        <v>4</v>
      </c>
      <c r="J1084" s="29" t="s">
        <v>1264</v>
      </c>
      <c r="K1084" s="29" t="s">
        <v>6806</v>
      </c>
      <c r="L1084" s="29"/>
      <c r="M1084" s="68">
        <v>1</v>
      </c>
      <c r="N1084" s="68" t="s">
        <v>8827</v>
      </c>
    </row>
    <row r="1085" spans="1:14" ht="42.75" x14ac:dyDescent="0.2">
      <c r="A1085" s="11" t="s">
        <v>5300</v>
      </c>
      <c r="B1085" s="12" t="s">
        <v>3751</v>
      </c>
      <c r="C1085" s="13" t="s">
        <v>3754</v>
      </c>
      <c r="D1085" s="13" t="s">
        <v>3754</v>
      </c>
      <c r="E1085" s="29" t="s">
        <v>5301</v>
      </c>
      <c r="F1085" s="26"/>
      <c r="G1085" s="8"/>
      <c r="H1085" s="8"/>
      <c r="I1085" s="8"/>
      <c r="J1085" s="29"/>
      <c r="K1085" s="29" t="s">
        <v>3815</v>
      </c>
      <c r="L1085" s="29" t="s">
        <v>4874</v>
      </c>
      <c r="M1085" s="68">
        <v>1</v>
      </c>
      <c r="N1085" s="68" t="s">
        <v>8827</v>
      </c>
    </row>
    <row r="1086" spans="1:14" ht="28.5" x14ac:dyDescent="0.2">
      <c r="A1086" s="11" t="s">
        <v>8562</v>
      </c>
      <c r="B1086" s="12" t="s">
        <v>4701</v>
      </c>
      <c r="C1086" s="13" t="s">
        <v>3757</v>
      </c>
      <c r="D1086" s="13" t="s">
        <v>3761</v>
      </c>
      <c r="E1086" s="29" t="s">
        <v>8563</v>
      </c>
      <c r="F1086" s="13" t="s">
        <v>8564</v>
      </c>
      <c r="G1086" s="8">
        <v>60</v>
      </c>
      <c r="H1086" s="8"/>
      <c r="I1086" s="8"/>
      <c r="J1086" s="29" t="s">
        <v>4747</v>
      </c>
      <c r="K1086" s="29" t="s">
        <v>3038</v>
      </c>
      <c r="L1086" s="29"/>
      <c r="M1086" s="68">
        <v>1</v>
      </c>
      <c r="N1086" s="68" t="s">
        <v>8553</v>
      </c>
    </row>
    <row r="1087" spans="1:14" ht="14.25" x14ac:dyDescent="0.2">
      <c r="A1087" s="11" t="s">
        <v>5325</v>
      </c>
      <c r="B1087" s="12" t="s">
        <v>5020</v>
      </c>
      <c r="C1087" s="13" t="s">
        <v>3754</v>
      </c>
      <c r="D1087" s="13"/>
      <c r="E1087" s="29" t="s">
        <v>6070</v>
      </c>
      <c r="F1087" s="13" t="s">
        <v>5326</v>
      </c>
      <c r="G1087" s="8">
        <v>33</v>
      </c>
      <c r="H1087" s="8"/>
      <c r="I1087" s="8"/>
      <c r="J1087" s="29" t="s">
        <v>1264</v>
      </c>
      <c r="K1087" s="29" t="s">
        <v>5327</v>
      </c>
      <c r="L1087" s="29"/>
      <c r="M1087" s="68">
        <v>1</v>
      </c>
      <c r="N1087" s="68" t="s">
        <v>8827</v>
      </c>
    </row>
    <row r="1088" spans="1:14" ht="14.25" x14ac:dyDescent="0.2">
      <c r="A1088" s="11" t="s">
        <v>5361</v>
      </c>
      <c r="B1088" s="12" t="s">
        <v>5362</v>
      </c>
      <c r="C1088" s="13" t="s">
        <v>3757</v>
      </c>
      <c r="D1088" s="13" t="s">
        <v>3754</v>
      </c>
      <c r="E1088" s="29" t="s">
        <v>5363</v>
      </c>
      <c r="F1088" s="13" t="s">
        <v>5364</v>
      </c>
      <c r="G1088" s="8">
        <v>31</v>
      </c>
      <c r="H1088" s="8"/>
      <c r="I1088" s="8"/>
      <c r="J1088" s="29" t="s">
        <v>5010</v>
      </c>
      <c r="K1088" s="29" t="s">
        <v>5365</v>
      </c>
      <c r="L1088" s="29"/>
      <c r="M1088" s="68">
        <v>1</v>
      </c>
      <c r="N1088" s="68" t="s">
        <v>8827</v>
      </c>
    </row>
    <row r="1089" spans="1:14" ht="14.25" x14ac:dyDescent="0.2">
      <c r="A1089" s="11" t="s">
        <v>8823</v>
      </c>
      <c r="B1089" s="12" t="s">
        <v>3724</v>
      </c>
      <c r="C1089" s="13" t="s">
        <v>3754</v>
      </c>
      <c r="D1089" s="13" t="s">
        <v>3754</v>
      </c>
      <c r="E1089" s="29">
        <v>1874</v>
      </c>
      <c r="F1089" s="13" t="s">
        <v>8826</v>
      </c>
      <c r="G1089" s="8">
        <v>2</v>
      </c>
      <c r="H1089" s="8"/>
      <c r="I1089" s="8"/>
      <c r="J1089" s="29" t="s">
        <v>4790</v>
      </c>
      <c r="K1089" s="29" t="s">
        <v>8825</v>
      </c>
      <c r="L1089" s="29"/>
      <c r="M1089" s="68">
        <v>1</v>
      </c>
      <c r="N1089" s="68" t="s">
        <v>8714</v>
      </c>
    </row>
    <row r="1090" spans="1:14" ht="14.25" x14ac:dyDescent="0.2">
      <c r="A1090" s="11" t="s">
        <v>8823</v>
      </c>
      <c r="B1090" s="12" t="s">
        <v>3727</v>
      </c>
      <c r="C1090" s="13" t="s">
        <v>3754</v>
      </c>
      <c r="D1090" s="13" t="s">
        <v>3754</v>
      </c>
      <c r="E1090" s="29">
        <v>1875</v>
      </c>
      <c r="F1090" s="13" t="s">
        <v>8824</v>
      </c>
      <c r="G1090" s="8">
        <v>4</v>
      </c>
      <c r="H1090" s="8"/>
      <c r="I1090" s="8"/>
      <c r="J1090" s="29" t="s">
        <v>1254</v>
      </c>
      <c r="K1090" s="29" t="s">
        <v>8825</v>
      </c>
      <c r="L1090" s="29"/>
      <c r="M1090" s="68">
        <v>1</v>
      </c>
      <c r="N1090" s="68" t="s">
        <v>8714</v>
      </c>
    </row>
    <row r="1091" spans="1:14" ht="14.25" x14ac:dyDescent="0.2">
      <c r="A1091" s="11" t="s">
        <v>8823</v>
      </c>
      <c r="B1091" s="12" t="s">
        <v>4908</v>
      </c>
      <c r="C1091" s="13" t="s">
        <v>3754</v>
      </c>
      <c r="D1091" s="13" t="s">
        <v>3754</v>
      </c>
      <c r="E1091" s="29" t="s">
        <v>8833</v>
      </c>
      <c r="F1091" s="13" t="s">
        <v>4801</v>
      </c>
      <c r="G1091" s="8"/>
      <c r="H1091" s="8"/>
      <c r="I1091" s="8">
        <v>1</v>
      </c>
      <c r="J1091" s="29" t="s">
        <v>1277</v>
      </c>
      <c r="K1091" s="29" t="s">
        <v>8833</v>
      </c>
      <c r="L1091" s="29"/>
      <c r="M1091" s="68">
        <v>1</v>
      </c>
      <c r="N1091" s="68" t="s">
        <v>8827</v>
      </c>
    </row>
    <row r="1092" spans="1:14" ht="14.25" x14ac:dyDescent="0.2">
      <c r="A1092" s="11" t="s">
        <v>8823</v>
      </c>
      <c r="B1092" s="12" t="s">
        <v>3728</v>
      </c>
      <c r="C1092" s="13" t="s">
        <v>3757</v>
      </c>
      <c r="D1092" s="13" t="s">
        <v>3754</v>
      </c>
      <c r="E1092" s="29" t="s">
        <v>2613</v>
      </c>
      <c r="F1092" s="13" t="s">
        <v>4801</v>
      </c>
      <c r="G1092" s="8">
        <v>28</v>
      </c>
      <c r="H1092" s="8"/>
      <c r="I1092" s="8"/>
      <c r="J1092" s="29" t="s">
        <v>8834</v>
      </c>
      <c r="K1092" s="29" t="s">
        <v>8835</v>
      </c>
      <c r="L1092" s="29"/>
      <c r="M1092" s="68">
        <v>1</v>
      </c>
      <c r="N1092" s="68" t="s">
        <v>8827</v>
      </c>
    </row>
    <row r="1093" spans="1:14" ht="14.25" x14ac:dyDescent="0.2">
      <c r="A1093" s="11" t="s">
        <v>8823</v>
      </c>
      <c r="B1093" s="12" t="s">
        <v>3740</v>
      </c>
      <c r="C1093" s="13" t="s">
        <v>3754</v>
      </c>
      <c r="D1093" s="13" t="s">
        <v>3754</v>
      </c>
      <c r="E1093" s="109" t="s">
        <v>2062</v>
      </c>
      <c r="F1093" s="13" t="s">
        <v>8824</v>
      </c>
      <c r="G1093" s="8">
        <v>1</v>
      </c>
      <c r="H1093" s="8">
        <v>9</v>
      </c>
      <c r="I1093" s="8"/>
      <c r="J1093" s="29" t="s">
        <v>4790</v>
      </c>
      <c r="K1093" s="29" t="s">
        <v>8825</v>
      </c>
      <c r="L1093" s="29"/>
      <c r="M1093" s="68">
        <v>1</v>
      </c>
      <c r="N1093" s="68" t="s">
        <v>8714</v>
      </c>
    </row>
    <row r="1094" spans="1:14" ht="14.25" x14ac:dyDescent="0.2">
      <c r="A1094" s="11" t="s">
        <v>8823</v>
      </c>
      <c r="B1094" s="12" t="s">
        <v>5345</v>
      </c>
      <c r="C1094" s="13" t="s">
        <v>3757</v>
      </c>
      <c r="D1094" s="13" t="s">
        <v>3759</v>
      </c>
      <c r="E1094" s="29" t="s">
        <v>5346</v>
      </c>
      <c r="F1094" s="13" t="s">
        <v>5347</v>
      </c>
      <c r="G1094" s="8">
        <v>41</v>
      </c>
      <c r="H1094" s="8"/>
      <c r="I1094" s="8"/>
      <c r="J1094" s="29" t="s">
        <v>1259</v>
      </c>
      <c r="K1094" s="29" t="s">
        <v>5348</v>
      </c>
      <c r="L1094" s="29" t="s">
        <v>5349</v>
      </c>
      <c r="M1094" s="68">
        <v>1</v>
      </c>
      <c r="N1094" s="68" t="s">
        <v>8827</v>
      </c>
    </row>
    <row r="1095" spans="1:14" ht="14.25" x14ac:dyDescent="0.2">
      <c r="A1095" s="14" t="s">
        <v>5509</v>
      </c>
      <c r="B1095" s="12" t="s">
        <v>3748</v>
      </c>
      <c r="C1095" s="16" t="s">
        <v>3757</v>
      </c>
      <c r="D1095" s="16" t="s">
        <v>3754</v>
      </c>
      <c r="E1095" s="27" t="s">
        <v>2955</v>
      </c>
      <c r="F1095" s="16" t="s">
        <v>2293</v>
      </c>
      <c r="G1095" s="8">
        <v>28</v>
      </c>
      <c r="H1095" s="8"/>
      <c r="I1095" s="8"/>
      <c r="J1095" s="27" t="s">
        <v>2956</v>
      </c>
      <c r="K1095" s="27" t="s">
        <v>2352</v>
      </c>
      <c r="L1095" s="29"/>
      <c r="M1095" s="68">
        <v>1</v>
      </c>
      <c r="N1095" s="68" t="s">
        <v>5534</v>
      </c>
    </row>
    <row r="1096" spans="1:14" ht="28.5" x14ac:dyDescent="0.2">
      <c r="A1096" s="11" t="s">
        <v>5509</v>
      </c>
      <c r="B1096" s="12" t="s">
        <v>7006</v>
      </c>
      <c r="C1096" s="13" t="s">
        <v>3757</v>
      </c>
      <c r="D1096" s="13" t="s">
        <v>3754</v>
      </c>
      <c r="E1096" s="29"/>
      <c r="F1096" s="13" t="s">
        <v>3856</v>
      </c>
      <c r="G1096" s="8"/>
      <c r="H1096" s="8"/>
      <c r="I1096" s="8"/>
      <c r="J1096" s="29" t="s">
        <v>3857</v>
      </c>
      <c r="K1096" s="29" t="s">
        <v>6060</v>
      </c>
      <c r="L1096" s="29" t="s">
        <v>3855</v>
      </c>
      <c r="M1096" s="68">
        <v>1</v>
      </c>
      <c r="N1096" s="68" t="s">
        <v>2971</v>
      </c>
    </row>
    <row r="1097" spans="1:14" ht="14.25" x14ac:dyDescent="0.2">
      <c r="A1097" s="14" t="s">
        <v>5509</v>
      </c>
      <c r="B1097" s="12" t="s">
        <v>3734</v>
      </c>
      <c r="C1097" s="16" t="s">
        <v>3757</v>
      </c>
      <c r="D1097" s="16" t="s">
        <v>5548</v>
      </c>
      <c r="E1097" s="27" t="s">
        <v>2953</v>
      </c>
      <c r="F1097" s="16" t="s">
        <v>2954</v>
      </c>
      <c r="G1097" s="8">
        <v>61</v>
      </c>
      <c r="H1097" s="8"/>
      <c r="I1097" s="8"/>
      <c r="J1097" s="27" t="s">
        <v>1267</v>
      </c>
      <c r="K1097" s="27" t="s">
        <v>2352</v>
      </c>
      <c r="L1097" s="29"/>
      <c r="M1097" s="68">
        <v>1</v>
      </c>
      <c r="N1097" s="68" t="s">
        <v>5534</v>
      </c>
    </row>
    <row r="1098" spans="1:14" ht="28.5" x14ac:dyDescent="0.2">
      <c r="A1098" s="11" t="s">
        <v>5509</v>
      </c>
      <c r="B1098" s="12" t="s">
        <v>3724</v>
      </c>
      <c r="C1098" s="13" t="s">
        <v>3757</v>
      </c>
      <c r="D1098" s="13" t="s">
        <v>3761</v>
      </c>
      <c r="E1098" s="29" t="s">
        <v>3878</v>
      </c>
      <c r="F1098" s="13" t="s">
        <v>3879</v>
      </c>
      <c r="G1098" s="8">
        <v>26</v>
      </c>
      <c r="H1098" s="8"/>
      <c r="I1098" s="8"/>
      <c r="J1098" s="29" t="s">
        <v>3880</v>
      </c>
      <c r="K1098" s="29" t="s">
        <v>3881</v>
      </c>
      <c r="L1098" s="29"/>
      <c r="M1098" s="68">
        <v>1</v>
      </c>
      <c r="N1098" s="68" t="s">
        <v>2971</v>
      </c>
    </row>
    <row r="1099" spans="1:14" ht="14.25" x14ac:dyDescent="0.2">
      <c r="A1099" s="11" t="s">
        <v>5509</v>
      </c>
      <c r="B1099" s="12" t="s">
        <v>1837</v>
      </c>
      <c r="C1099" s="13" t="s">
        <v>3754</v>
      </c>
      <c r="D1099" s="13" t="s">
        <v>3761</v>
      </c>
      <c r="E1099" s="29" t="s">
        <v>710</v>
      </c>
      <c r="F1099" s="13" t="s">
        <v>711</v>
      </c>
      <c r="G1099" s="8"/>
      <c r="H1099" s="8">
        <v>4</v>
      </c>
      <c r="I1099" s="8">
        <v>25</v>
      </c>
      <c r="J1099" s="29" t="s">
        <v>4829</v>
      </c>
      <c r="K1099" s="29" t="s">
        <v>712</v>
      </c>
      <c r="L1099" s="29"/>
      <c r="M1099" s="68">
        <v>1</v>
      </c>
      <c r="N1099" s="68" t="s">
        <v>2971</v>
      </c>
    </row>
    <row r="1100" spans="1:14" ht="14.25" x14ac:dyDescent="0.2">
      <c r="A1100" s="11" t="s">
        <v>5509</v>
      </c>
      <c r="B1100" s="12" t="s">
        <v>5510</v>
      </c>
      <c r="C1100" s="13" t="s">
        <v>3757</v>
      </c>
      <c r="D1100" s="13" t="s">
        <v>3754</v>
      </c>
      <c r="E1100" s="29" t="s">
        <v>5511</v>
      </c>
      <c r="F1100" s="13" t="s">
        <v>5512</v>
      </c>
      <c r="G1100" s="8">
        <v>76</v>
      </c>
      <c r="H1100" s="8" t="s">
        <v>1464</v>
      </c>
      <c r="I1100" s="8"/>
      <c r="J1100" s="29" t="s">
        <v>1277</v>
      </c>
      <c r="K1100" s="29" t="s">
        <v>5513</v>
      </c>
      <c r="L1100" s="29"/>
      <c r="M1100" s="68">
        <v>1</v>
      </c>
      <c r="N1100" s="68" t="s">
        <v>1690</v>
      </c>
    </row>
    <row r="1101" spans="1:14" ht="28.5" x14ac:dyDescent="0.2">
      <c r="A1101" s="11" t="s">
        <v>5509</v>
      </c>
      <c r="B1101" s="12" t="s">
        <v>5149</v>
      </c>
      <c r="C1101" s="13" t="s">
        <v>3754</v>
      </c>
      <c r="D1101" s="13" t="s">
        <v>3754</v>
      </c>
      <c r="E1101" s="29"/>
      <c r="F1101" s="13" t="s">
        <v>3858</v>
      </c>
      <c r="G1101" s="8"/>
      <c r="H1101" s="8"/>
      <c r="I1101" s="8"/>
      <c r="J1101" s="29" t="s">
        <v>3859</v>
      </c>
      <c r="K1101" s="29" t="s">
        <v>6060</v>
      </c>
      <c r="L1101" s="29" t="s">
        <v>3855</v>
      </c>
      <c r="M1101" s="68">
        <v>1</v>
      </c>
      <c r="N1101" s="68" t="s">
        <v>2971</v>
      </c>
    </row>
    <row r="1102" spans="1:14" ht="28.5" x14ac:dyDescent="0.2">
      <c r="A1102" s="11" t="s">
        <v>5509</v>
      </c>
      <c r="B1102" s="12" t="s">
        <v>5149</v>
      </c>
      <c r="C1102" s="13" t="s">
        <v>3754</v>
      </c>
      <c r="D1102" s="13" t="s">
        <v>3754</v>
      </c>
      <c r="E1102" s="29"/>
      <c r="F1102" s="13" t="s">
        <v>3858</v>
      </c>
      <c r="G1102" s="8"/>
      <c r="H1102" s="8"/>
      <c r="I1102" s="8"/>
      <c r="J1102" s="29" t="s">
        <v>3860</v>
      </c>
      <c r="K1102" s="29" t="s">
        <v>6060</v>
      </c>
      <c r="L1102" s="29" t="s">
        <v>3855</v>
      </c>
      <c r="M1102" s="68">
        <v>1</v>
      </c>
      <c r="N1102" s="68" t="s">
        <v>2971</v>
      </c>
    </row>
    <row r="1103" spans="1:14" ht="14.25" x14ac:dyDescent="0.2">
      <c r="A1103" s="11" t="s">
        <v>5509</v>
      </c>
      <c r="B1103" s="12" t="s">
        <v>5073</v>
      </c>
      <c r="C1103" s="13" t="s">
        <v>3754</v>
      </c>
      <c r="D1103" s="13" t="s">
        <v>3761</v>
      </c>
      <c r="E1103" s="29" t="s">
        <v>1025</v>
      </c>
      <c r="F1103" s="13" t="s">
        <v>1026</v>
      </c>
      <c r="G1103" s="8">
        <v>5</v>
      </c>
      <c r="H1103" s="8">
        <v>8</v>
      </c>
      <c r="I1103" s="8"/>
      <c r="J1103" s="29" t="s">
        <v>1277</v>
      </c>
      <c r="K1103" s="29" t="s">
        <v>6737</v>
      </c>
      <c r="L1103" s="29"/>
      <c r="M1103" s="68">
        <v>1</v>
      </c>
      <c r="N1103" s="68" t="s">
        <v>5177</v>
      </c>
    </row>
    <row r="1104" spans="1:14" ht="28.5" x14ac:dyDescent="0.2">
      <c r="A1104" s="11" t="s">
        <v>5509</v>
      </c>
      <c r="B1104" s="12" t="s">
        <v>5025</v>
      </c>
      <c r="C1104" s="13" t="s">
        <v>3757</v>
      </c>
      <c r="D1104" s="13" t="s">
        <v>3761</v>
      </c>
      <c r="E1104" s="29" t="s">
        <v>1464</v>
      </c>
      <c r="F1104" s="13" t="s">
        <v>5661</v>
      </c>
      <c r="G1104" s="8"/>
      <c r="H1104" s="8"/>
      <c r="I1104" s="8"/>
      <c r="J1104" s="29" t="s">
        <v>3854</v>
      </c>
      <c r="K1104" s="29" t="s">
        <v>6060</v>
      </c>
      <c r="L1104" s="29" t="s">
        <v>3855</v>
      </c>
      <c r="M1104" s="68">
        <v>1</v>
      </c>
      <c r="N1104" s="68" t="s">
        <v>2971</v>
      </c>
    </row>
    <row r="1105" spans="1:14" ht="14.25" x14ac:dyDescent="0.2">
      <c r="A1105" s="11" t="s">
        <v>5492</v>
      </c>
      <c r="B1105" s="12" t="s">
        <v>4685</v>
      </c>
      <c r="C1105" s="13" t="s">
        <v>5269</v>
      </c>
      <c r="D1105" s="13" t="s">
        <v>3754</v>
      </c>
      <c r="E1105" s="61" t="s">
        <v>5493</v>
      </c>
      <c r="F1105" s="13" t="s">
        <v>5494</v>
      </c>
      <c r="G1105" s="8">
        <v>22</v>
      </c>
      <c r="H1105" s="8"/>
      <c r="I1105" s="8"/>
      <c r="J1105" s="29" t="s">
        <v>4745</v>
      </c>
      <c r="K1105" s="55" t="s">
        <v>5495</v>
      </c>
      <c r="L1105" s="29"/>
      <c r="M1105" s="68">
        <v>1</v>
      </c>
      <c r="N1105" s="68" t="s">
        <v>1690</v>
      </c>
    </row>
    <row r="1106" spans="1:14" ht="14.25" x14ac:dyDescent="0.2">
      <c r="A1106" s="11" t="s">
        <v>5496</v>
      </c>
      <c r="B1106" s="12" t="s">
        <v>3727</v>
      </c>
      <c r="C1106" s="13" t="s">
        <v>3757</v>
      </c>
      <c r="D1106" s="13" t="s">
        <v>3754</v>
      </c>
      <c r="E1106" s="29" t="s">
        <v>5497</v>
      </c>
      <c r="F1106" s="13" t="s">
        <v>5498</v>
      </c>
      <c r="G1106" s="8">
        <v>28</v>
      </c>
      <c r="H1106" s="8">
        <v>7</v>
      </c>
      <c r="I1106" s="8"/>
      <c r="J1106" s="29" t="s">
        <v>5010</v>
      </c>
      <c r="K1106" s="61" t="s">
        <v>1914</v>
      </c>
      <c r="L1106" s="29"/>
      <c r="M1106" s="68">
        <v>1</v>
      </c>
      <c r="N1106" s="68" t="s">
        <v>1690</v>
      </c>
    </row>
    <row r="1107" spans="1:14" ht="14.25" x14ac:dyDescent="0.2">
      <c r="A1107" s="9" t="s">
        <v>1712</v>
      </c>
      <c r="B1107" s="5" t="s">
        <v>4685</v>
      </c>
      <c r="C1107" s="10" t="s">
        <v>3757</v>
      </c>
      <c r="D1107" s="10"/>
      <c r="E1107" s="61" t="s">
        <v>1713</v>
      </c>
      <c r="F1107" s="10" t="s">
        <v>3754</v>
      </c>
      <c r="G1107" s="8">
        <v>68</v>
      </c>
      <c r="H1107" s="8"/>
      <c r="I1107" s="8"/>
      <c r="J1107" s="55" t="s">
        <v>1264</v>
      </c>
      <c r="K1107" s="55" t="s">
        <v>8494</v>
      </c>
      <c r="L1107" s="61"/>
      <c r="M1107" s="68">
        <v>1</v>
      </c>
      <c r="N1107" s="68" t="s">
        <v>1690</v>
      </c>
    </row>
    <row r="1108" spans="1:14" ht="14.25" x14ac:dyDescent="0.2">
      <c r="A1108" s="30" t="s">
        <v>5539</v>
      </c>
      <c r="B1108" s="5" t="s">
        <v>1886</v>
      </c>
      <c r="C1108" s="10" t="s">
        <v>3757</v>
      </c>
      <c r="D1108" s="10" t="s">
        <v>3761</v>
      </c>
      <c r="E1108" s="61" t="s">
        <v>5169</v>
      </c>
      <c r="F1108" s="21" t="s">
        <v>5170</v>
      </c>
      <c r="G1108" s="8">
        <v>71</v>
      </c>
      <c r="H1108" s="8"/>
      <c r="I1108" s="8"/>
      <c r="J1108" s="55" t="s">
        <v>1271</v>
      </c>
      <c r="K1108" s="61" t="s">
        <v>3458</v>
      </c>
      <c r="L1108" s="61"/>
      <c r="M1108" s="68">
        <v>1</v>
      </c>
      <c r="N1108" s="68" t="s">
        <v>2971</v>
      </c>
    </row>
    <row r="1109" spans="1:14" ht="14.25" x14ac:dyDescent="0.2">
      <c r="A1109" s="37" t="s">
        <v>5539</v>
      </c>
      <c r="B1109" s="38" t="s">
        <v>3746</v>
      </c>
      <c r="C1109" s="10" t="s">
        <v>3757</v>
      </c>
      <c r="D1109" s="39" t="s">
        <v>3761</v>
      </c>
      <c r="E1109" s="29" t="s">
        <v>1024</v>
      </c>
      <c r="F1109" s="39" t="s">
        <v>6696</v>
      </c>
      <c r="G1109" s="8">
        <v>65</v>
      </c>
      <c r="H1109" s="8"/>
      <c r="I1109" s="8"/>
      <c r="J1109" s="84" t="s">
        <v>3679</v>
      </c>
      <c r="K1109" s="29" t="s">
        <v>6570</v>
      </c>
      <c r="L1109" s="29"/>
      <c r="M1109" s="68">
        <v>1</v>
      </c>
      <c r="N1109" s="68" t="s">
        <v>5177</v>
      </c>
    </row>
    <row r="1110" spans="1:14" ht="14.25" x14ac:dyDescent="0.2">
      <c r="A1110" s="40" t="s">
        <v>5539</v>
      </c>
      <c r="B1110" s="38" t="s">
        <v>4701</v>
      </c>
      <c r="C1110" s="19" t="s">
        <v>3757</v>
      </c>
      <c r="D1110" s="41" t="s">
        <v>3761</v>
      </c>
      <c r="E1110" s="27" t="s">
        <v>1464</v>
      </c>
      <c r="F1110" s="41" t="s">
        <v>5540</v>
      </c>
      <c r="G1110" s="8">
        <v>23</v>
      </c>
      <c r="H1110" s="8"/>
      <c r="I1110" s="8"/>
      <c r="J1110" s="53" t="s">
        <v>1264</v>
      </c>
      <c r="K1110" s="27" t="s">
        <v>5541</v>
      </c>
      <c r="L1110" s="29"/>
      <c r="M1110" s="68">
        <v>1</v>
      </c>
      <c r="N1110" s="68" t="s">
        <v>5534</v>
      </c>
    </row>
    <row r="1111" spans="1:14" ht="14.25" x14ac:dyDescent="0.2">
      <c r="A1111" s="37" t="s">
        <v>5539</v>
      </c>
      <c r="B1111" s="38" t="s">
        <v>1445</v>
      </c>
      <c r="C1111" s="10" t="s">
        <v>3754</v>
      </c>
      <c r="D1111" s="39" t="s">
        <v>3761</v>
      </c>
      <c r="E1111" s="29" t="s">
        <v>996</v>
      </c>
      <c r="F1111" s="39" t="s">
        <v>997</v>
      </c>
      <c r="G1111" s="8">
        <v>26</v>
      </c>
      <c r="H1111" s="8"/>
      <c r="I1111" s="8"/>
      <c r="J1111" s="84" t="s">
        <v>998</v>
      </c>
      <c r="K1111" s="29" t="s">
        <v>999</v>
      </c>
      <c r="L1111" s="29"/>
      <c r="M1111" s="68">
        <v>1</v>
      </c>
      <c r="N1111" s="68" t="s">
        <v>5177</v>
      </c>
    </row>
    <row r="1112" spans="1:14" ht="28.5" x14ac:dyDescent="0.2">
      <c r="A1112" s="40" t="s">
        <v>1182</v>
      </c>
      <c r="B1112" s="38" t="s">
        <v>3744</v>
      </c>
      <c r="C1112" s="19" t="s">
        <v>3754</v>
      </c>
      <c r="D1112" s="41" t="s">
        <v>5548</v>
      </c>
      <c r="E1112" s="27" t="s">
        <v>1183</v>
      </c>
      <c r="F1112" s="41" t="s">
        <v>1184</v>
      </c>
      <c r="G1112" s="8">
        <v>12</v>
      </c>
      <c r="H1112" s="8">
        <v>10</v>
      </c>
      <c r="I1112" s="8"/>
      <c r="J1112" s="53" t="s">
        <v>8620</v>
      </c>
      <c r="K1112" s="27" t="s">
        <v>1185</v>
      </c>
      <c r="L1112" s="29"/>
      <c r="M1112" s="68">
        <v>1</v>
      </c>
      <c r="N1112" s="68" t="s">
        <v>5534</v>
      </c>
    </row>
    <row r="1113" spans="1:14" ht="14.25" x14ac:dyDescent="0.2">
      <c r="A1113" s="37" t="s">
        <v>8112</v>
      </c>
      <c r="B1113" s="38" t="s">
        <v>8113</v>
      </c>
      <c r="C1113" s="10" t="s">
        <v>3754</v>
      </c>
      <c r="D1113" s="39" t="s">
        <v>3761</v>
      </c>
      <c r="E1113" s="29" t="s">
        <v>8114</v>
      </c>
      <c r="F1113" s="39" t="s">
        <v>8115</v>
      </c>
      <c r="G1113" s="8">
        <v>8</v>
      </c>
      <c r="H1113" s="8">
        <v>5</v>
      </c>
      <c r="I1113" s="8"/>
      <c r="J1113" s="84" t="s">
        <v>1264</v>
      </c>
      <c r="K1113" s="29" t="s">
        <v>8116</v>
      </c>
      <c r="L1113" s="29"/>
      <c r="M1113" s="68">
        <v>1</v>
      </c>
      <c r="N1113" s="68" t="s">
        <v>5177</v>
      </c>
    </row>
    <row r="1114" spans="1:14" ht="14.25" x14ac:dyDescent="0.2">
      <c r="A1114" s="37" t="s">
        <v>5530</v>
      </c>
      <c r="B1114" s="38" t="s">
        <v>4685</v>
      </c>
      <c r="C1114" s="10" t="s">
        <v>3754</v>
      </c>
      <c r="D1114" s="39" t="s">
        <v>3754</v>
      </c>
      <c r="E1114" s="29" t="s">
        <v>5531</v>
      </c>
      <c r="F1114" s="39" t="s">
        <v>5532</v>
      </c>
      <c r="G1114" s="8"/>
      <c r="H1114" s="8">
        <v>2</v>
      </c>
      <c r="I1114" s="8">
        <v>19</v>
      </c>
      <c r="J1114" s="84" t="s">
        <v>1264</v>
      </c>
      <c r="K1114" s="55" t="s">
        <v>5533</v>
      </c>
      <c r="L1114" s="29"/>
      <c r="M1114" s="68">
        <v>1</v>
      </c>
      <c r="N1114" s="68" t="s">
        <v>1690</v>
      </c>
    </row>
    <row r="1115" spans="1:14" ht="14.25" x14ac:dyDescent="0.2">
      <c r="A1115" s="37" t="s">
        <v>1004</v>
      </c>
      <c r="B1115" s="38" t="s">
        <v>1809</v>
      </c>
      <c r="C1115" s="10" t="s">
        <v>3754</v>
      </c>
      <c r="D1115" s="39" t="s">
        <v>3761</v>
      </c>
      <c r="E1115" s="29" t="s">
        <v>1005</v>
      </c>
      <c r="F1115" s="39" t="s">
        <v>1006</v>
      </c>
      <c r="G1115" s="8">
        <v>2</v>
      </c>
      <c r="H1115" s="8">
        <v>7</v>
      </c>
      <c r="I1115" s="8"/>
      <c r="J1115" s="84" t="s">
        <v>1277</v>
      </c>
      <c r="K1115" s="29" t="s">
        <v>1007</v>
      </c>
      <c r="L1115" s="29"/>
      <c r="M1115" s="68">
        <v>1</v>
      </c>
      <c r="N1115" s="68" t="s">
        <v>5177</v>
      </c>
    </row>
    <row r="1116" spans="1:14" ht="14.25" x14ac:dyDescent="0.2">
      <c r="A1116" s="37" t="s">
        <v>8105</v>
      </c>
      <c r="B1116" s="38" t="s">
        <v>4685</v>
      </c>
      <c r="C1116" s="10" t="s">
        <v>3757</v>
      </c>
      <c r="D1116" s="39" t="s">
        <v>3754</v>
      </c>
      <c r="E1116" s="29" t="s">
        <v>8107</v>
      </c>
      <c r="F1116" s="39" t="s">
        <v>8108</v>
      </c>
      <c r="G1116" s="8">
        <v>70</v>
      </c>
      <c r="H1116" s="8" t="s">
        <v>1464</v>
      </c>
      <c r="I1116" s="8"/>
      <c r="J1116" s="84" t="s">
        <v>1271</v>
      </c>
      <c r="K1116" s="29" t="s">
        <v>5217</v>
      </c>
      <c r="L1116" s="29"/>
      <c r="M1116" s="68">
        <v>1</v>
      </c>
      <c r="N1116" s="68" t="s">
        <v>1690</v>
      </c>
    </row>
    <row r="1117" spans="1:14" ht="14.25" x14ac:dyDescent="0.2">
      <c r="A1117" s="37" t="s">
        <v>8105</v>
      </c>
      <c r="B1117" s="38" t="s">
        <v>3733</v>
      </c>
      <c r="C1117" s="10" t="s">
        <v>3757</v>
      </c>
      <c r="D1117" s="39" t="s">
        <v>3761</v>
      </c>
      <c r="E1117" s="29"/>
      <c r="F1117" s="39" t="s">
        <v>8106</v>
      </c>
      <c r="G1117" s="8">
        <v>38</v>
      </c>
      <c r="H1117" s="8"/>
      <c r="I1117" s="8"/>
      <c r="J1117" s="84" t="s">
        <v>4734</v>
      </c>
      <c r="K1117" s="29" t="s">
        <v>1283</v>
      </c>
      <c r="L1117" s="29"/>
      <c r="M1117" s="68">
        <v>1</v>
      </c>
      <c r="N1117" s="68" t="s">
        <v>1690</v>
      </c>
    </row>
    <row r="1118" spans="1:14" ht="14.25" x14ac:dyDescent="0.2">
      <c r="A1118" s="40" t="s">
        <v>1186</v>
      </c>
      <c r="B1118" s="38" t="s">
        <v>1935</v>
      </c>
      <c r="C1118" s="19" t="s">
        <v>1509</v>
      </c>
      <c r="D1118" s="41" t="s">
        <v>5548</v>
      </c>
      <c r="E1118" s="27" t="s">
        <v>1194</v>
      </c>
      <c r="F1118" s="41" t="s">
        <v>1195</v>
      </c>
      <c r="G1118" s="8">
        <v>31</v>
      </c>
      <c r="H1118" s="8"/>
      <c r="I1118" s="8"/>
      <c r="J1118" s="53" t="s">
        <v>1196</v>
      </c>
      <c r="K1118" s="27" t="s">
        <v>6731</v>
      </c>
      <c r="L1118" s="29"/>
      <c r="M1118" s="68">
        <v>1</v>
      </c>
      <c r="N1118" s="68" t="s">
        <v>5534</v>
      </c>
    </row>
    <row r="1119" spans="1:14" ht="14.25" x14ac:dyDescent="0.2">
      <c r="A1119" s="40" t="s">
        <v>1186</v>
      </c>
      <c r="B1119" s="38" t="s">
        <v>1189</v>
      </c>
      <c r="C1119" s="19" t="s">
        <v>3754</v>
      </c>
      <c r="D1119" s="41" t="s">
        <v>5548</v>
      </c>
      <c r="E1119" s="27" t="s">
        <v>1190</v>
      </c>
      <c r="F1119" s="41" t="s">
        <v>1188</v>
      </c>
      <c r="G1119" s="8"/>
      <c r="H1119" s="8"/>
      <c r="I1119" s="8">
        <v>21</v>
      </c>
      <c r="J1119" s="53"/>
      <c r="K1119" s="27" t="s">
        <v>4577</v>
      </c>
      <c r="L1119" s="29"/>
      <c r="M1119" s="68">
        <v>1</v>
      </c>
      <c r="N1119" s="68" t="s">
        <v>5534</v>
      </c>
    </row>
    <row r="1120" spans="1:14" ht="14.25" x14ac:dyDescent="0.2">
      <c r="A1120" s="37" t="s">
        <v>1186</v>
      </c>
      <c r="B1120" s="38" t="s">
        <v>3740</v>
      </c>
      <c r="C1120" s="10" t="s">
        <v>3754</v>
      </c>
      <c r="D1120" s="39" t="s">
        <v>3761</v>
      </c>
      <c r="E1120" s="29" t="s">
        <v>1038</v>
      </c>
      <c r="F1120" s="39" t="s">
        <v>1039</v>
      </c>
      <c r="G1120" s="8">
        <v>50</v>
      </c>
      <c r="H1120" s="8"/>
      <c r="I1120" s="8"/>
      <c r="J1120" s="84" t="s">
        <v>1264</v>
      </c>
      <c r="K1120" s="29" t="s">
        <v>1309</v>
      </c>
      <c r="L1120" s="29"/>
      <c r="M1120" s="68">
        <v>1</v>
      </c>
      <c r="N1120" s="68" t="s">
        <v>5177</v>
      </c>
    </row>
    <row r="1121" spans="1:14" ht="14.25" x14ac:dyDescent="0.2">
      <c r="A1121" s="40" t="s">
        <v>1186</v>
      </c>
      <c r="B1121" s="38" t="s">
        <v>3723</v>
      </c>
      <c r="C1121" s="19" t="s">
        <v>3757</v>
      </c>
      <c r="D1121" s="41" t="s">
        <v>5548</v>
      </c>
      <c r="E1121" s="27" t="s">
        <v>2946</v>
      </c>
      <c r="F1121" s="41" t="s">
        <v>2947</v>
      </c>
      <c r="G1121" s="8">
        <v>30</v>
      </c>
      <c r="H1121" s="8"/>
      <c r="I1121" s="8"/>
      <c r="J1121" s="53" t="s">
        <v>2948</v>
      </c>
      <c r="K1121" s="27" t="s">
        <v>2949</v>
      </c>
      <c r="L1121" s="29"/>
      <c r="M1121" s="68">
        <v>1</v>
      </c>
      <c r="N1121" s="68" t="s">
        <v>5534</v>
      </c>
    </row>
    <row r="1122" spans="1:14" ht="14.25" x14ac:dyDescent="0.2">
      <c r="A1122" s="40" t="s">
        <v>1186</v>
      </c>
      <c r="B1122" s="38" t="s">
        <v>5904</v>
      </c>
      <c r="C1122" s="19" t="s">
        <v>3754</v>
      </c>
      <c r="D1122" s="41" t="s">
        <v>5548</v>
      </c>
      <c r="E1122" s="27" t="s">
        <v>1187</v>
      </c>
      <c r="F1122" s="41" t="s">
        <v>1188</v>
      </c>
      <c r="G1122" s="8">
        <v>25</v>
      </c>
      <c r="H1122" s="8"/>
      <c r="I1122" s="8"/>
      <c r="J1122" s="53" t="s">
        <v>2335</v>
      </c>
      <c r="K1122" s="27" t="s">
        <v>6045</v>
      </c>
      <c r="L1122" s="29"/>
      <c r="M1122" s="68">
        <v>1</v>
      </c>
      <c r="N1122" s="68" t="s">
        <v>5534</v>
      </c>
    </row>
    <row r="1123" spans="1:14" ht="14.25" x14ac:dyDescent="0.2">
      <c r="A1123" s="37" t="s">
        <v>1186</v>
      </c>
      <c r="B1123" s="38" t="s">
        <v>4701</v>
      </c>
      <c r="C1123" s="10" t="s">
        <v>3757</v>
      </c>
      <c r="D1123" s="39" t="s">
        <v>3761</v>
      </c>
      <c r="E1123" s="29" t="s">
        <v>7441</v>
      </c>
      <c r="F1123" s="39" t="s">
        <v>7442</v>
      </c>
      <c r="G1123" s="8">
        <v>25</v>
      </c>
      <c r="H1123" s="8"/>
      <c r="I1123" s="8"/>
      <c r="J1123" s="84" t="s">
        <v>5945</v>
      </c>
      <c r="K1123" s="29">
        <v>1878</v>
      </c>
      <c r="L1123" s="29"/>
      <c r="M1123" s="68">
        <v>1</v>
      </c>
      <c r="N1123" s="68" t="s">
        <v>2971</v>
      </c>
    </row>
    <row r="1124" spans="1:14" ht="14.25" x14ac:dyDescent="0.2">
      <c r="A1124" s="40" t="s">
        <v>1186</v>
      </c>
      <c r="B1124" s="38" t="s">
        <v>4846</v>
      </c>
      <c r="C1124" s="19" t="s">
        <v>3754</v>
      </c>
      <c r="D1124" s="41" t="s">
        <v>5548</v>
      </c>
      <c r="E1124" s="27" t="s">
        <v>4847</v>
      </c>
      <c r="F1124" s="41" t="s">
        <v>4848</v>
      </c>
      <c r="G1124" s="8"/>
      <c r="H1124" s="8">
        <v>7</v>
      </c>
      <c r="I1124" s="8">
        <v>19</v>
      </c>
      <c r="J1124" s="53" t="s">
        <v>4829</v>
      </c>
      <c r="K1124" s="27" t="s">
        <v>4849</v>
      </c>
      <c r="L1124" s="29"/>
      <c r="M1124" s="68">
        <v>1</v>
      </c>
      <c r="N1124" s="68" t="s">
        <v>5534</v>
      </c>
    </row>
    <row r="1125" spans="1:14" ht="14.25" x14ac:dyDescent="0.2">
      <c r="A1125" s="37" t="s">
        <v>5178</v>
      </c>
      <c r="B1125" s="38" t="s">
        <v>3751</v>
      </c>
      <c r="C1125" s="10" t="s">
        <v>3754</v>
      </c>
      <c r="D1125" s="39" t="s">
        <v>3761</v>
      </c>
      <c r="E1125" s="29" t="s">
        <v>5179</v>
      </c>
      <c r="F1125" s="39" t="s">
        <v>5180</v>
      </c>
      <c r="G1125" s="8">
        <v>9</v>
      </c>
      <c r="H1125" s="8">
        <v>8</v>
      </c>
      <c r="I1125" s="8"/>
      <c r="J1125" s="84" t="s">
        <v>1270</v>
      </c>
      <c r="K1125" s="61" t="s">
        <v>5181</v>
      </c>
      <c r="L1125" s="29"/>
      <c r="M1125" s="68">
        <v>1</v>
      </c>
      <c r="N1125" s="68" t="s">
        <v>5177</v>
      </c>
    </row>
    <row r="1126" spans="1:14" ht="14.25" x14ac:dyDescent="0.2">
      <c r="A1126" s="37" t="s">
        <v>5522</v>
      </c>
      <c r="B1126" s="38" t="s">
        <v>3744</v>
      </c>
      <c r="C1126" s="21" t="s">
        <v>1509</v>
      </c>
      <c r="D1126" s="39" t="s">
        <v>1943</v>
      </c>
      <c r="E1126" s="29" t="s">
        <v>1021</v>
      </c>
      <c r="F1126" s="39" t="s">
        <v>1022</v>
      </c>
      <c r="G1126" s="8">
        <v>20</v>
      </c>
      <c r="H1126" s="8"/>
      <c r="I1126" s="8"/>
      <c r="J1126" s="84" t="s">
        <v>1264</v>
      </c>
      <c r="K1126" s="55" t="s">
        <v>1023</v>
      </c>
      <c r="L1126" s="29"/>
      <c r="M1126" s="68">
        <v>1</v>
      </c>
      <c r="N1126" s="68" t="s">
        <v>5177</v>
      </c>
    </row>
    <row r="1127" spans="1:14" ht="14.25" x14ac:dyDescent="0.2">
      <c r="A1127" s="37" t="s">
        <v>5522</v>
      </c>
      <c r="B1127" s="38" t="s">
        <v>3734</v>
      </c>
      <c r="C1127" s="10" t="s">
        <v>3757</v>
      </c>
      <c r="D1127" s="39" t="s">
        <v>3754</v>
      </c>
      <c r="E1127" s="29" t="s">
        <v>5527</v>
      </c>
      <c r="F1127" s="39" t="s">
        <v>2400</v>
      </c>
      <c r="G1127" s="8">
        <v>54</v>
      </c>
      <c r="H1127" s="8" t="s">
        <v>1464</v>
      </c>
      <c r="I1127" s="8" t="s">
        <v>1464</v>
      </c>
      <c r="J1127" s="84" t="s">
        <v>1272</v>
      </c>
      <c r="K1127" s="29" t="s">
        <v>5526</v>
      </c>
      <c r="L1127" s="29"/>
      <c r="M1127" s="68">
        <v>1</v>
      </c>
      <c r="N1127" s="68" t="s">
        <v>1690</v>
      </c>
    </row>
    <row r="1128" spans="1:14" ht="14.25" x14ac:dyDescent="0.2">
      <c r="A1128" s="37" t="s">
        <v>5522</v>
      </c>
      <c r="B1128" s="38" t="s">
        <v>5523</v>
      </c>
      <c r="C1128" s="10" t="s">
        <v>3754</v>
      </c>
      <c r="D1128" s="39" t="s">
        <v>3754</v>
      </c>
      <c r="E1128" s="29" t="s">
        <v>5524</v>
      </c>
      <c r="F1128" s="39" t="s">
        <v>5525</v>
      </c>
      <c r="G1128" s="8">
        <v>1</v>
      </c>
      <c r="H1128" s="8"/>
      <c r="I1128" s="8"/>
      <c r="J1128" s="84" t="s">
        <v>4734</v>
      </c>
      <c r="K1128" s="29" t="s">
        <v>5526</v>
      </c>
      <c r="L1128" s="29"/>
      <c r="M1128" s="68">
        <v>1</v>
      </c>
      <c r="N1128" s="68" t="s">
        <v>1690</v>
      </c>
    </row>
    <row r="1129" spans="1:14" ht="14.25" x14ac:dyDescent="0.2">
      <c r="A1129" s="40" t="s">
        <v>5574</v>
      </c>
      <c r="B1129" s="38" t="s">
        <v>5575</v>
      </c>
      <c r="C1129" s="19" t="s">
        <v>3754</v>
      </c>
      <c r="D1129" s="41" t="s">
        <v>5548</v>
      </c>
      <c r="E1129" s="27" t="s">
        <v>1168</v>
      </c>
      <c r="F1129" s="41" t="s">
        <v>1169</v>
      </c>
      <c r="G1129" s="8">
        <v>2</v>
      </c>
      <c r="H1129" s="8">
        <v>6</v>
      </c>
      <c r="I1129" s="8"/>
      <c r="J1129" s="53" t="s">
        <v>1958</v>
      </c>
      <c r="K1129" s="27" t="s">
        <v>1783</v>
      </c>
      <c r="L1129" s="29"/>
      <c r="M1129" s="68">
        <v>1</v>
      </c>
      <c r="N1129" s="68" t="s">
        <v>5534</v>
      </c>
    </row>
    <row r="1130" spans="1:14" ht="14.25" x14ac:dyDescent="0.2">
      <c r="A1130" s="37" t="s">
        <v>3839</v>
      </c>
      <c r="B1130" s="38" t="s">
        <v>5020</v>
      </c>
      <c r="C1130" s="10" t="s">
        <v>3754</v>
      </c>
      <c r="D1130" s="39" t="s">
        <v>3761</v>
      </c>
      <c r="E1130" s="29" t="s">
        <v>3840</v>
      </c>
      <c r="F1130" s="39" t="s">
        <v>3841</v>
      </c>
      <c r="G1130" s="8">
        <v>52</v>
      </c>
      <c r="H1130" s="8"/>
      <c r="I1130" s="8"/>
      <c r="J1130" s="84" t="s">
        <v>3842</v>
      </c>
      <c r="K1130" s="29" t="s">
        <v>3838</v>
      </c>
      <c r="L1130" s="29"/>
      <c r="M1130" s="68">
        <v>1</v>
      </c>
      <c r="N1130" s="68" t="s">
        <v>2971</v>
      </c>
    </row>
    <row r="1131" spans="1:14" ht="14.25" x14ac:dyDescent="0.2">
      <c r="A1131" s="37" t="s">
        <v>1724</v>
      </c>
      <c r="B1131" s="38" t="s">
        <v>3734</v>
      </c>
      <c r="C1131" s="10" t="s">
        <v>3757</v>
      </c>
      <c r="D1131" s="39" t="s">
        <v>3754</v>
      </c>
      <c r="E1131" s="29" t="s">
        <v>1727</v>
      </c>
      <c r="F1131" s="39" t="s">
        <v>8094</v>
      </c>
      <c r="G1131" s="8">
        <v>35</v>
      </c>
      <c r="H1131" s="8"/>
      <c r="I1131" s="8"/>
      <c r="J1131" s="84" t="s">
        <v>1264</v>
      </c>
      <c r="K1131" s="29" t="s">
        <v>4759</v>
      </c>
      <c r="L1131" s="29"/>
      <c r="M1131" s="68">
        <v>1</v>
      </c>
      <c r="N1131" s="68" t="s">
        <v>1690</v>
      </c>
    </row>
    <row r="1132" spans="1:14" ht="14.25" x14ac:dyDescent="0.2">
      <c r="A1132" s="40" t="s">
        <v>1724</v>
      </c>
      <c r="B1132" s="38" t="s">
        <v>1432</v>
      </c>
      <c r="C1132" s="19" t="s">
        <v>3757</v>
      </c>
      <c r="D1132" s="41" t="s">
        <v>5548</v>
      </c>
      <c r="E1132" s="27" t="s">
        <v>4592</v>
      </c>
      <c r="F1132" s="41" t="s">
        <v>4593</v>
      </c>
      <c r="G1132" s="8">
        <v>56</v>
      </c>
      <c r="H1132" s="8"/>
      <c r="I1132" s="8"/>
      <c r="J1132" s="53" t="s">
        <v>4746</v>
      </c>
      <c r="K1132" s="27" t="s">
        <v>8599</v>
      </c>
      <c r="L1132" s="29"/>
      <c r="M1132" s="68">
        <v>1</v>
      </c>
      <c r="N1132" s="68" t="s">
        <v>5534</v>
      </c>
    </row>
    <row r="1133" spans="1:14" ht="14.25" x14ac:dyDescent="0.2">
      <c r="A1133" s="40" t="s">
        <v>1724</v>
      </c>
      <c r="B1133" s="38" t="s">
        <v>2055</v>
      </c>
      <c r="C1133" s="19" t="s">
        <v>3754</v>
      </c>
      <c r="D1133" s="41" t="s">
        <v>5548</v>
      </c>
      <c r="E1133" s="27" t="s">
        <v>1197</v>
      </c>
      <c r="F1133" s="41" t="s">
        <v>1169</v>
      </c>
      <c r="G1133" s="8"/>
      <c r="H1133" s="8">
        <v>1</v>
      </c>
      <c r="I1133" s="8">
        <v>13</v>
      </c>
      <c r="J1133" s="53" t="s">
        <v>1270</v>
      </c>
      <c r="K1133" s="27" t="s">
        <v>1198</v>
      </c>
      <c r="L1133" s="29"/>
      <c r="M1133" s="68">
        <v>1</v>
      </c>
      <c r="N1133" s="68" t="s">
        <v>5534</v>
      </c>
    </row>
    <row r="1134" spans="1:14" ht="14.25" x14ac:dyDescent="0.2">
      <c r="A1134" s="37" t="s">
        <v>1724</v>
      </c>
      <c r="B1134" s="38" t="s">
        <v>3738</v>
      </c>
      <c r="C1134" s="10" t="s">
        <v>3757</v>
      </c>
      <c r="D1134" s="39" t="s">
        <v>3754</v>
      </c>
      <c r="E1134" s="29" t="s">
        <v>1725</v>
      </c>
      <c r="F1134" s="39" t="s">
        <v>1726</v>
      </c>
      <c r="G1134" s="8">
        <v>44</v>
      </c>
      <c r="H1134" s="8"/>
      <c r="I1134" s="8"/>
      <c r="J1134" s="84" t="s">
        <v>1264</v>
      </c>
      <c r="K1134" s="29" t="s">
        <v>4759</v>
      </c>
      <c r="L1134" s="29"/>
      <c r="M1134" s="68">
        <v>1</v>
      </c>
      <c r="N1134" s="68" t="s">
        <v>1690</v>
      </c>
    </row>
    <row r="1135" spans="1:14" ht="14.25" x14ac:dyDescent="0.2">
      <c r="A1135" s="37" t="s">
        <v>5489</v>
      </c>
      <c r="B1135" s="38" t="s">
        <v>3740</v>
      </c>
      <c r="C1135" s="10" t="s">
        <v>3757</v>
      </c>
      <c r="D1135" s="39" t="s">
        <v>3754</v>
      </c>
      <c r="E1135" s="29" t="s">
        <v>5490</v>
      </c>
      <c r="F1135" s="39" t="s">
        <v>5491</v>
      </c>
      <c r="G1135" s="8">
        <v>80</v>
      </c>
      <c r="H1135" s="8"/>
      <c r="I1135" s="8"/>
      <c r="J1135" s="84" t="s">
        <v>1271</v>
      </c>
      <c r="K1135" s="29" t="s">
        <v>1860</v>
      </c>
      <c r="L1135" s="29"/>
      <c r="M1135" s="68">
        <v>1</v>
      </c>
      <c r="N1135" s="68" t="s">
        <v>1690</v>
      </c>
    </row>
    <row r="1136" spans="1:14" ht="14.25" x14ac:dyDescent="0.2">
      <c r="A1136" s="37" t="s">
        <v>5489</v>
      </c>
      <c r="B1136" s="38" t="s">
        <v>1543</v>
      </c>
      <c r="C1136" s="10" t="s">
        <v>3757</v>
      </c>
      <c r="D1136" s="39" t="s">
        <v>3761</v>
      </c>
      <c r="E1136" s="29" t="s">
        <v>3871</v>
      </c>
      <c r="F1136" s="39" t="s">
        <v>3872</v>
      </c>
      <c r="G1136" s="8">
        <v>50</v>
      </c>
      <c r="H1136" s="8"/>
      <c r="I1136" s="8"/>
      <c r="J1136" s="84" t="s">
        <v>1270</v>
      </c>
      <c r="K1136" s="29" t="s">
        <v>3873</v>
      </c>
      <c r="L1136" s="29"/>
      <c r="M1136" s="68">
        <v>1</v>
      </c>
      <c r="N1136" s="68" t="s">
        <v>2971</v>
      </c>
    </row>
    <row r="1137" spans="1:14" ht="14.25" x14ac:dyDescent="0.2">
      <c r="A1137" s="37" t="s">
        <v>4001</v>
      </c>
      <c r="B1137" s="38" t="s">
        <v>3723</v>
      </c>
      <c r="C1137" s="10" t="s">
        <v>3754</v>
      </c>
      <c r="D1137" s="39" t="s">
        <v>3761</v>
      </c>
      <c r="E1137" s="29" t="s">
        <v>4002</v>
      </c>
      <c r="F1137" s="39" t="s">
        <v>4003</v>
      </c>
      <c r="G1137" s="8">
        <v>34</v>
      </c>
      <c r="H1137" s="8"/>
      <c r="I1137" s="8"/>
      <c r="J1137" s="84" t="s">
        <v>5010</v>
      </c>
      <c r="K1137" s="29" t="s">
        <v>5907</v>
      </c>
      <c r="L1137" s="29"/>
      <c r="M1137" s="68">
        <v>1</v>
      </c>
      <c r="N1137" s="68" t="s">
        <v>5177</v>
      </c>
    </row>
    <row r="1138" spans="1:14" ht="14.25" x14ac:dyDescent="0.2">
      <c r="A1138" s="40" t="s">
        <v>4588</v>
      </c>
      <c r="B1138" s="38" t="s">
        <v>3740</v>
      </c>
      <c r="C1138" s="19" t="s">
        <v>3754</v>
      </c>
      <c r="D1138" s="41" t="s">
        <v>5548</v>
      </c>
      <c r="E1138" s="27" t="s">
        <v>4589</v>
      </c>
      <c r="F1138" s="41" t="s">
        <v>4590</v>
      </c>
      <c r="G1138" s="8"/>
      <c r="H1138" s="8">
        <v>8</v>
      </c>
      <c r="I1138" s="8"/>
      <c r="J1138" s="53" t="s">
        <v>4829</v>
      </c>
      <c r="K1138" s="27" t="s">
        <v>4591</v>
      </c>
      <c r="L1138" s="29"/>
      <c r="M1138" s="68">
        <v>1</v>
      </c>
      <c r="N1138" s="68" t="s">
        <v>5534</v>
      </c>
    </row>
    <row r="1139" spans="1:14" ht="14.25" x14ac:dyDescent="0.2">
      <c r="A1139" s="37" t="s">
        <v>8095</v>
      </c>
      <c r="B1139" s="38" t="s">
        <v>3995</v>
      </c>
      <c r="C1139" s="10" t="s">
        <v>3754</v>
      </c>
      <c r="D1139" s="39" t="s">
        <v>3761</v>
      </c>
      <c r="E1139" s="29" t="s">
        <v>3996</v>
      </c>
      <c r="F1139" s="39" t="s">
        <v>3997</v>
      </c>
      <c r="G1139" s="8">
        <v>2</v>
      </c>
      <c r="H1139" s="8">
        <v>6</v>
      </c>
      <c r="I1139" s="8">
        <v>18</v>
      </c>
      <c r="J1139" s="84" t="s">
        <v>1258</v>
      </c>
      <c r="K1139" s="29" t="s">
        <v>6766</v>
      </c>
      <c r="L1139" s="29"/>
      <c r="M1139" s="68">
        <v>1</v>
      </c>
      <c r="N1139" s="68" t="s">
        <v>5177</v>
      </c>
    </row>
    <row r="1140" spans="1:14" ht="14.25" x14ac:dyDescent="0.2">
      <c r="A1140" s="37" t="s">
        <v>8095</v>
      </c>
      <c r="B1140" s="38" t="s">
        <v>3729</v>
      </c>
      <c r="C1140" s="10" t="s">
        <v>3757</v>
      </c>
      <c r="D1140" s="39" t="s">
        <v>3754</v>
      </c>
      <c r="E1140" s="29" t="s">
        <v>1636</v>
      </c>
      <c r="F1140" s="39" t="s">
        <v>8096</v>
      </c>
      <c r="G1140" s="8">
        <v>65</v>
      </c>
      <c r="H1140" s="8"/>
      <c r="I1140" s="8"/>
      <c r="J1140" s="84" t="s">
        <v>2894</v>
      </c>
      <c r="K1140" s="29" t="s">
        <v>8097</v>
      </c>
      <c r="L1140" s="29"/>
      <c r="M1140" s="68">
        <v>1</v>
      </c>
      <c r="N1140" s="68" t="s">
        <v>1690</v>
      </c>
    </row>
    <row r="1141" spans="1:14" ht="14.25" x14ac:dyDescent="0.2">
      <c r="A1141" s="40" t="s">
        <v>5553</v>
      </c>
      <c r="B1141" s="38" t="s">
        <v>3723</v>
      </c>
      <c r="C1141" s="19" t="s">
        <v>3754</v>
      </c>
      <c r="D1141" s="41" t="s">
        <v>5548</v>
      </c>
      <c r="E1141" s="27" t="s">
        <v>5554</v>
      </c>
      <c r="F1141" s="41" t="s">
        <v>5555</v>
      </c>
      <c r="G1141" s="8">
        <v>3</v>
      </c>
      <c r="H1141" s="8">
        <v>3</v>
      </c>
      <c r="I1141" s="8"/>
      <c r="J1141" s="53" t="s">
        <v>5556</v>
      </c>
      <c r="K1141" s="27" t="s">
        <v>5557</v>
      </c>
      <c r="L1141" s="29"/>
      <c r="M1141" s="68">
        <v>1</v>
      </c>
      <c r="N1141" s="68" t="s">
        <v>5534</v>
      </c>
    </row>
    <row r="1142" spans="1:14" ht="14.25" x14ac:dyDescent="0.2">
      <c r="A1142" s="37" t="s">
        <v>5553</v>
      </c>
      <c r="B1142" s="38" t="s">
        <v>3723</v>
      </c>
      <c r="C1142" s="10" t="s">
        <v>3757</v>
      </c>
      <c r="D1142" s="39" t="s">
        <v>3761</v>
      </c>
      <c r="E1142" s="29" t="s">
        <v>3837</v>
      </c>
      <c r="F1142" s="39" t="s">
        <v>2293</v>
      </c>
      <c r="G1142" s="8">
        <v>66</v>
      </c>
      <c r="H1142" s="8"/>
      <c r="I1142" s="8"/>
      <c r="J1142" s="84" t="s">
        <v>1271</v>
      </c>
      <c r="K1142" s="29" t="s">
        <v>3838</v>
      </c>
      <c r="L1142" s="29"/>
      <c r="M1142" s="68">
        <v>1</v>
      </c>
      <c r="N1142" s="68" t="s">
        <v>2971</v>
      </c>
    </row>
    <row r="1143" spans="1:14" ht="14.25" x14ac:dyDescent="0.2">
      <c r="A1143" s="40" t="s">
        <v>5553</v>
      </c>
      <c r="B1143" s="38" t="s">
        <v>5904</v>
      </c>
      <c r="C1143" s="19" t="s">
        <v>3761</v>
      </c>
      <c r="D1143" s="41" t="s">
        <v>5558</v>
      </c>
      <c r="E1143" s="27" t="s">
        <v>5559</v>
      </c>
      <c r="F1143" s="41" t="s">
        <v>5560</v>
      </c>
      <c r="G1143" s="8">
        <v>5</v>
      </c>
      <c r="H1143" s="8"/>
      <c r="I1143" s="8"/>
      <c r="J1143" s="53" t="s">
        <v>5561</v>
      </c>
      <c r="K1143" s="27" t="s">
        <v>5557</v>
      </c>
      <c r="L1143" s="29"/>
      <c r="M1143" s="68">
        <v>1</v>
      </c>
      <c r="N1143" s="68" t="s">
        <v>5534</v>
      </c>
    </row>
    <row r="1144" spans="1:14" ht="14.25" x14ac:dyDescent="0.2">
      <c r="A1144" s="40" t="s">
        <v>5553</v>
      </c>
      <c r="B1144" s="38" t="s">
        <v>5562</v>
      </c>
      <c r="C1144" s="19" t="s">
        <v>3754</v>
      </c>
      <c r="D1144" s="41" t="s">
        <v>5548</v>
      </c>
      <c r="E1144" s="27" t="s">
        <v>5563</v>
      </c>
      <c r="F1144" s="41" t="s">
        <v>5564</v>
      </c>
      <c r="G1144" s="8">
        <v>1</v>
      </c>
      <c r="H1144" s="8">
        <v>6</v>
      </c>
      <c r="I1144" s="8"/>
      <c r="J1144" s="53" t="s">
        <v>5565</v>
      </c>
      <c r="K1144" s="27" t="s">
        <v>5557</v>
      </c>
      <c r="L1144" s="29"/>
      <c r="M1144" s="68">
        <v>1</v>
      </c>
      <c r="N1144" s="68" t="s">
        <v>5534</v>
      </c>
    </row>
    <row r="1145" spans="1:14" ht="14.25" x14ac:dyDescent="0.2">
      <c r="A1145" s="37" t="s">
        <v>5553</v>
      </c>
      <c r="B1145" s="38" t="s">
        <v>7435</v>
      </c>
      <c r="C1145" s="10" t="s">
        <v>3757</v>
      </c>
      <c r="D1145" s="39" t="s">
        <v>3761</v>
      </c>
      <c r="E1145" s="29" t="s">
        <v>7436</v>
      </c>
      <c r="F1145" s="39" t="s">
        <v>7437</v>
      </c>
      <c r="G1145" s="8">
        <v>39</v>
      </c>
      <c r="H1145" s="8"/>
      <c r="I1145" s="8"/>
      <c r="J1145" s="84" t="s">
        <v>1264</v>
      </c>
      <c r="K1145" s="29" t="s">
        <v>7438</v>
      </c>
      <c r="L1145" s="29"/>
      <c r="M1145" s="68">
        <v>1</v>
      </c>
      <c r="N1145" s="68" t="s">
        <v>2971</v>
      </c>
    </row>
    <row r="1146" spans="1:14" ht="14.25" x14ac:dyDescent="0.2">
      <c r="A1146" s="37" t="s">
        <v>2965</v>
      </c>
      <c r="B1146" s="38" t="s">
        <v>4908</v>
      </c>
      <c r="C1146" s="10" t="s">
        <v>3754</v>
      </c>
      <c r="D1146" s="39" t="s">
        <v>3761</v>
      </c>
      <c r="E1146" s="29" t="s">
        <v>5166</v>
      </c>
      <c r="F1146" s="39" t="s">
        <v>5167</v>
      </c>
      <c r="G1146" s="8">
        <v>25</v>
      </c>
      <c r="H1146" s="8"/>
      <c r="I1146" s="8"/>
      <c r="J1146" s="84" t="s">
        <v>1264</v>
      </c>
      <c r="K1146" s="29" t="s">
        <v>5168</v>
      </c>
      <c r="L1146" s="29"/>
      <c r="M1146" s="68">
        <v>1</v>
      </c>
      <c r="N1146" s="68" t="s">
        <v>2971</v>
      </c>
    </row>
    <row r="1147" spans="1:14" ht="14.25" x14ac:dyDescent="0.2">
      <c r="A1147" s="40" t="s">
        <v>2965</v>
      </c>
      <c r="B1147" s="42" t="s">
        <v>1445</v>
      </c>
      <c r="C1147" s="19" t="s">
        <v>3757</v>
      </c>
      <c r="D1147" s="41" t="s">
        <v>5548</v>
      </c>
      <c r="E1147" s="27" t="s">
        <v>2508</v>
      </c>
      <c r="F1147" s="41" t="s">
        <v>2966</v>
      </c>
      <c r="G1147" s="8">
        <v>61</v>
      </c>
      <c r="H1147" s="8"/>
      <c r="I1147" s="8"/>
      <c r="J1147" s="53" t="s">
        <v>1277</v>
      </c>
      <c r="K1147" s="27" t="s">
        <v>2967</v>
      </c>
      <c r="L1147" s="95"/>
      <c r="M1147" s="68">
        <v>1</v>
      </c>
      <c r="N1147" s="68" t="s">
        <v>5534</v>
      </c>
    </row>
    <row r="1148" spans="1:14" ht="14.25" x14ac:dyDescent="0.2">
      <c r="A1148" s="37" t="s">
        <v>1000</v>
      </c>
      <c r="B1148" s="38" t="s">
        <v>3748</v>
      </c>
      <c r="C1148" s="10" t="s">
        <v>3754</v>
      </c>
      <c r="D1148" s="39" t="s">
        <v>6551</v>
      </c>
      <c r="E1148" s="29" t="s">
        <v>1001</v>
      </c>
      <c r="F1148" s="39" t="s">
        <v>1002</v>
      </c>
      <c r="G1148" s="8">
        <v>48</v>
      </c>
      <c r="H1148" s="8"/>
      <c r="I1148" s="8"/>
      <c r="J1148" s="84" t="s">
        <v>1003</v>
      </c>
      <c r="K1148" s="29" t="s">
        <v>6534</v>
      </c>
      <c r="L1148" s="29"/>
      <c r="M1148" s="68">
        <v>1</v>
      </c>
      <c r="N1148" s="68" t="s">
        <v>5177</v>
      </c>
    </row>
    <row r="1149" spans="1:14" ht="14.25" x14ac:dyDescent="0.2">
      <c r="A1149" s="37" t="s">
        <v>1716</v>
      </c>
      <c r="B1149" s="38" t="s">
        <v>5044</v>
      </c>
      <c r="C1149" s="10" t="s">
        <v>5182</v>
      </c>
      <c r="D1149" s="10" t="s">
        <v>3765</v>
      </c>
      <c r="E1149" s="29" t="s">
        <v>5183</v>
      </c>
      <c r="F1149" s="39" t="s">
        <v>5184</v>
      </c>
      <c r="G1149" s="8">
        <v>46</v>
      </c>
      <c r="H1149" s="8"/>
      <c r="I1149" s="8"/>
      <c r="J1149" s="84" t="s">
        <v>5185</v>
      </c>
      <c r="K1149" s="29" t="s">
        <v>3471</v>
      </c>
      <c r="L1149" s="29"/>
      <c r="M1149" s="68">
        <v>1</v>
      </c>
      <c r="N1149" s="68" t="s">
        <v>5177</v>
      </c>
    </row>
    <row r="1150" spans="1:14" ht="14.25" x14ac:dyDescent="0.2">
      <c r="A1150" s="9" t="s">
        <v>1716</v>
      </c>
      <c r="B1150" s="5" t="s">
        <v>3723</v>
      </c>
      <c r="C1150" s="10" t="s">
        <v>3757</v>
      </c>
      <c r="D1150" s="10" t="s">
        <v>1960</v>
      </c>
      <c r="E1150" s="61" t="s">
        <v>1717</v>
      </c>
      <c r="F1150" s="10" t="s">
        <v>3767</v>
      </c>
      <c r="G1150" s="8">
        <v>68</v>
      </c>
      <c r="H1150" s="8"/>
      <c r="I1150" s="8"/>
      <c r="J1150" s="55" t="s">
        <v>4738</v>
      </c>
      <c r="K1150" s="55" t="s">
        <v>1718</v>
      </c>
      <c r="L1150" s="61"/>
      <c r="M1150" s="68">
        <v>1</v>
      </c>
      <c r="N1150" s="68" t="s">
        <v>1690</v>
      </c>
    </row>
    <row r="1151" spans="1:14" ht="14.25" x14ac:dyDescent="0.2">
      <c r="A1151" s="30" t="s">
        <v>1716</v>
      </c>
      <c r="B1151" s="5" t="s">
        <v>4701</v>
      </c>
      <c r="C1151" s="10" t="s">
        <v>3757</v>
      </c>
      <c r="D1151" s="21"/>
      <c r="E1151" s="55" t="s">
        <v>3843</v>
      </c>
      <c r="F1151" s="21" t="s">
        <v>3844</v>
      </c>
      <c r="G1151" s="8">
        <v>75</v>
      </c>
      <c r="H1151" s="8">
        <v>9</v>
      </c>
      <c r="I1151" s="8"/>
      <c r="J1151" s="55" t="s">
        <v>3845</v>
      </c>
      <c r="K1151" s="55" t="s">
        <v>3846</v>
      </c>
      <c r="L1151" s="61"/>
      <c r="M1151" s="68">
        <v>1</v>
      </c>
      <c r="N1151" s="68" t="s">
        <v>2971</v>
      </c>
    </row>
    <row r="1152" spans="1:14" ht="28.5" x14ac:dyDescent="0.2">
      <c r="A1152" s="11" t="s">
        <v>3605</v>
      </c>
      <c r="B1152" s="12" t="s">
        <v>3740</v>
      </c>
      <c r="C1152" s="10" t="s">
        <v>3757</v>
      </c>
      <c r="D1152" s="13" t="s">
        <v>3761</v>
      </c>
      <c r="E1152" s="29" t="s">
        <v>8117</v>
      </c>
      <c r="F1152" s="13" t="s">
        <v>8118</v>
      </c>
      <c r="G1152" s="8">
        <v>49</v>
      </c>
      <c r="H1152" s="8"/>
      <c r="I1152" s="8"/>
      <c r="J1152" s="29" t="s">
        <v>1658</v>
      </c>
      <c r="K1152" s="29" t="s">
        <v>65</v>
      </c>
      <c r="L1152" s="29"/>
      <c r="M1152" s="68">
        <v>1</v>
      </c>
      <c r="N1152" s="68" t="s">
        <v>5177</v>
      </c>
    </row>
    <row r="1153" spans="1:14" ht="14.25" x14ac:dyDescent="0.2">
      <c r="A1153" s="9" t="s">
        <v>3605</v>
      </c>
      <c r="B1153" s="5" t="s">
        <v>3723</v>
      </c>
      <c r="C1153" s="10" t="s">
        <v>3757</v>
      </c>
      <c r="D1153" s="10" t="s">
        <v>3761</v>
      </c>
      <c r="E1153" s="55" t="s">
        <v>1032</v>
      </c>
      <c r="F1153" s="10" t="s">
        <v>1033</v>
      </c>
      <c r="G1153" s="8">
        <v>48</v>
      </c>
      <c r="H1153" s="8"/>
      <c r="I1153" s="8"/>
      <c r="J1153" s="55" t="s">
        <v>1277</v>
      </c>
      <c r="K1153" s="55" t="s">
        <v>3689</v>
      </c>
      <c r="L1153" s="61"/>
      <c r="M1153" s="68">
        <v>1</v>
      </c>
      <c r="N1153" s="68" t="s">
        <v>5177</v>
      </c>
    </row>
    <row r="1154" spans="1:14" ht="14.25" x14ac:dyDescent="0.2">
      <c r="A1154" s="9" t="s">
        <v>3605</v>
      </c>
      <c r="B1154" s="5" t="s">
        <v>3746</v>
      </c>
      <c r="C1154" s="10" t="s">
        <v>3757</v>
      </c>
      <c r="D1154" s="10" t="s">
        <v>3761</v>
      </c>
      <c r="E1154" s="61" t="s">
        <v>3606</v>
      </c>
      <c r="F1154" s="10" t="s">
        <v>3607</v>
      </c>
      <c r="G1154" s="8">
        <v>50</v>
      </c>
      <c r="H1154" s="8"/>
      <c r="I1154" s="8"/>
      <c r="J1154" s="55" t="s">
        <v>1270</v>
      </c>
      <c r="K1154" s="55" t="s">
        <v>3608</v>
      </c>
      <c r="L1154" s="61"/>
      <c r="M1154" s="68">
        <v>1</v>
      </c>
      <c r="N1154" s="68" t="s">
        <v>2971</v>
      </c>
    </row>
    <row r="1155" spans="1:14" ht="14.25" x14ac:dyDescent="0.2">
      <c r="A1155" s="11" t="s">
        <v>3602</v>
      </c>
      <c r="B1155" s="12" t="s">
        <v>4685</v>
      </c>
      <c r="C1155" s="10" t="s">
        <v>3757</v>
      </c>
      <c r="D1155" s="13" t="s">
        <v>3761</v>
      </c>
      <c r="E1155" s="29" t="s">
        <v>3603</v>
      </c>
      <c r="F1155" s="13" t="s">
        <v>3604</v>
      </c>
      <c r="G1155" s="8">
        <v>52</v>
      </c>
      <c r="H1155" s="8"/>
      <c r="I1155" s="8"/>
      <c r="J1155" s="29" t="s">
        <v>1264</v>
      </c>
      <c r="K1155" s="29" t="s">
        <v>3326</v>
      </c>
      <c r="L1155" s="29"/>
      <c r="M1155" s="68">
        <v>1</v>
      </c>
      <c r="N1155" s="68" t="s">
        <v>2971</v>
      </c>
    </row>
    <row r="1156" spans="1:14" ht="14.25" x14ac:dyDescent="0.2">
      <c r="A1156" s="11" t="s">
        <v>3852</v>
      </c>
      <c r="B1156" s="12" t="s">
        <v>4701</v>
      </c>
      <c r="C1156" s="21" t="s">
        <v>3757</v>
      </c>
      <c r="D1156" s="13" t="s">
        <v>3765</v>
      </c>
      <c r="E1156" s="29"/>
      <c r="F1156" s="13" t="s">
        <v>3853</v>
      </c>
      <c r="G1156" s="8">
        <v>80</v>
      </c>
      <c r="H1156" s="8"/>
      <c r="I1156" s="8"/>
      <c r="J1156" s="29" t="s">
        <v>1271</v>
      </c>
      <c r="K1156" s="29" t="s">
        <v>2618</v>
      </c>
      <c r="L1156" s="29"/>
      <c r="M1156" s="68">
        <v>1</v>
      </c>
      <c r="N1156" s="68" t="s">
        <v>2971</v>
      </c>
    </row>
    <row r="1157" spans="1:14" ht="14.25" x14ac:dyDescent="0.2">
      <c r="A1157" s="11" t="s">
        <v>8098</v>
      </c>
      <c r="B1157" s="12" t="s">
        <v>4880</v>
      </c>
      <c r="C1157" s="10" t="s">
        <v>3757</v>
      </c>
      <c r="D1157" s="13" t="s">
        <v>3761</v>
      </c>
      <c r="E1157" s="29" t="s">
        <v>7443</v>
      </c>
      <c r="F1157" s="13" t="s">
        <v>7444</v>
      </c>
      <c r="G1157" s="8">
        <v>53</v>
      </c>
      <c r="H1157" s="8"/>
      <c r="I1157" s="8"/>
      <c r="J1157" s="29" t="s">
        <v>1264</v>
      </c>
      <c r="K1157" s="29" t="s">
        <v>7445</v>
      </c>
      <c r="L1157" s="29"/>
      <c r="M1157" s="68">
        <v>1</v>
      </c>
      <c r="N1157" s="68" t="s">
        <v>2971</v>
      </c>
    </row>
    <row r="1158" spans="1:14" ht="14.25" x14ac:dyDescent="0.2">
      <c r="A1158" s="14" t="s">
        <v>8098</v>
      </c>
      <c r="B1158" s="12" t="s">
        <v>3732</v>
      </c>
      <c r="C1158" s="20" t="s">
        <v>3757</v>
      </c>
      <c r="D1158" s="16" t="s">
        <v>2929</v>
      </c>
      <c r="E1158" s="27" t="s">
        <v>2933</v>
      </c>
      <c r="F1158" s="16" t="s">
        <v>2934</v>
      </c>
      <c r="G1158" s="8">
        <v>55</v>
      </c>
      <c r="H1158" s="8"/>
      <c r="I1158" s="8"/>
      <c r="J1158" s="27" t="s">
        <v>3453</v>
      </c>
      <c r="K1158" s="27" t="s">
        <v>6015</v>
      </c>
      <c r="L1158" s="29"/>
      <c r="M1158" s="68">
        <v>1</v>
      </c>
      <c r="N1158" s="68" t="s">
        <v>5534</v>
      </c>
    </row>
    <row r="1159" spans="1:14" ht="14.25" x14ac:dyDescent="0.2">
      <c r="A1159" s="11" t="s">
        <v>8098</v>
      </c>
      <c r="B1159" s="12" t="s">
        <v>5057</v>
      </c>
      <c r="C1159" s="10" t="s">
        <v>3768</v>
      </c>
      <c r="D1159" s="13" t="s">
        <v>3754</v>
      </c>
      <c r="E1159" s="29" t="s">
        <v>8104</v>
      </c>
      <c r="F1159" s="13" t="s">
        <v>8100</v>
      </c>
      <c r="G1159" s="8">
        <v>34</v>
      </c>
      <c r="H1159" s="8"/>
      <c r="I1159" s="8"/>
      <c r="J1159" s="29" t="s">
        <v>1264</v>
      </c>
      <c r="K1159" s="29" t="s">
        <v>8103</v>
      </c>
      <c r="L1159" s="29"/>
      <c r="M1159" s="68">
        <v>1</v>
      </c>
      <c r="N1159" s="68" t="s">
        <v>1690</v>
      </c>
    </row>
    <row r="1160" spans="1:14" ht="14.25" x14ac:dyDescent="0.2">
      <c r="A1160" s="11" t="s">
        <v>8098</v>
      </c>
      <c r="B1160" s="12" t="s">
        <v>5057</v>
      </c>
      <c r="C1160" s="10" t="s">
        <v>3754</v>
      </c>
      <c r="D1160" s="13" t="s">
        <v>8099</v>
      </c>
      <c r="E1160" s="29" t="s">
        <v>8099</v>
      </c>
      <c r="F1160" s="13" t="s">
        <v>8100</v>
      </c>
      <c r="G1160" s="8">
        <v>35</v>
      </c>
      <c r="H1160" s="8"/>
      <c r="I1160" s="8"/>
      <c r="J1160" s="29" t="s">
        <v>1264</v>
      </c>
      <c r="K1160" s="29" t="s">
        <v>8101</v>
      </c>
      <c r="L1160" s="29"/>
      <c r="M1160" s="68">
        <v>1</v>
      </c>
      <c r="N1160" s="68" t="s">
        <v>1690</v>
      </c>
    </row>
    <row r="1161" spans="1:14" ht="14.25" x14ac:dyDescent="0.2">
      <c r="A1161" s="11" t="s">
        <v>8098</v>
      </c>
      <c r="B1161" s="12" t="s">
        <v>3746</v>
      </c>
      <c r="C1161" s="10" t="s">
        <v>3754</v>
      </c>
      <c r="D1161" s="13" t="s">
        <v>3754</v>
      </c>
      <c r="E1161" s="29" t="s">
        <v>8102</v>
      </c>
      <c r="F1161" s="13" t="s">
        <v>8100</v>
      </c>
      <c r="G1161" s="8">
        <v>35</v>
      </c>
      <c r="H1161" s="8"/>
      <c r="I1161" s="8"/>
      <c r="J1161" s="29"/>
      <c r="K1161" s="29" t="s">
        <v>8103</v>
      </c>
      <c r="L1161" s="29"/>
      <c r="M1161" s="68">
        <v>1</v>
      </c>
      <c r="N1161" s="68" t="s">
        <v>1690</v>
      </c>
    </row>
    <row r="1162" spans="1:14" ht="14.25" x14ac:dyDescent="0.2">
      <c r="A1162" s="11" t="s">
        <v>3874</v>
      </c>
      <c r="B1162" s="12" t="s">
        <v>3875</v>
      </c>
      <c r="C1162" s="10" t="s">
        <v>3754</v>
      </c>
      <c r="D1162" s="13" t="s">
        <v>3761</v>
      </c>
      <c r="E1162" s="29" t="s">
        <v>1464</v>
      </c>
      <c r="F1162" s="13" t="s">
        <v>3876</v>
      </c>
      <c r="G1162" s="8">
        <v>5</v>
      </c>
      <c r="H1162" s="8">
        <v>3</v>
      </c>
      <c r="I1162" s="8">
        <v>13</v>
      </c>
      <c r="J1162" s="29" t="s">
        <v>1258</v>
      </c>
      <c r="K1162" s="29" t="s">
        <v>3877</v>
      </c>
      <c r="L1162" s="29"/>
      <c r="M1162" s="68">
        <v>1</v>
      </c>
      <c r="N1162" s="68" t="s">
        <v>2971</v>
      </c>
    </row>
    <row r="1163" spans="1:14" ht="14.25" x14ac:dyDescent="0.2">
      <c r="A1163" s="11" t="s">
        <v>3874</v>
      </c>
      <c r="B1163" s="12" t="s">
        <v>3882</v>
      </c>
      <c r="C1163" s="21" t="s">
        <v>3754</v>
      </c>
      <c r="D1163" s="13" t="s">
        <v>3761</v>
      </c>
      <c r="E1163" s="29" t="s">
        <v>7420</v>
      </c>
      <c r="F1163" s="13" t="s">
        <v>3876</v>
      </c>
      <c r="G1163" s="8">
        <v>1</v>
      </c>
      <c r="H1163" s="8">
        <v>8</v>
      </c>
      <c r="I1163" s="8">
        <v>15</v>
      </c>
      <c r="J1163" s="29" t="s">
        <v>1258</v>
      </c>
      <c r="K1163" s="29" t="s">
        <v>7421</v>
      </c>
      <c r="L1163" s="29"/>
      <c r="M1163" s="68">
        <v>1</v>
      </c>
      <c r="N1163" s="68" t="s">
        <v>2971</v>
      </c>
    </row>
    <row r="1164" spans="1:14" ht="14.25" x14ac:dyDescent="0.2">
      <c r="A1164" s="14" t="s">
        <v>2957</v>
      </c>
      <c r="B1164" s="12" t="s">
        <v>1413</v>
      </c>
      <c r="C1164" s="19" t="s">
        <v>3754</v>
      </c>
      <c r="D1164" s="16" t="s">
        <v>3754</v>
      </c>
      <c r="E1164" s="27"/>
      <c r="F1164" s="16" t="s">
        <v>5675</v>
      </c>
      <c r="G1164" s="8"/>
      <c r="H1164" s="8">
        <v>2</v>
      </c>
      <c r="I1164" s="8">
        <v>21</v>
      </c>
      <c r="J1164" s="27" t="s">
        <v>4829</v>
      </c>
      <c r="K1164" s="27" t="s">
        <v>2958</v>
      </c>
      <c r="L1164" s="29"/>
      <c r="M1164" s="68">
        <v>1</v>
      </c>
      <c r="N1164" s="68" t="s">
        <v>5534</v>
      </c>
    </row>
    <row r="1165" spans="1:14" ht="14.25" x14ac:dyDescent="0.2">
      <c r="A1165" s="11" t="s">
        <v>1691</v>
      </c>
      <c r="B1165" s="12" t="s">
        <v>3748</v>
      </c>
      <c r="C1165" s="10" t="s">
        <v>3767</v>
      </c>
      <c r="D1165" s="13"/>
      <c r="E1165" s="29" t="s">
        <v>8194</v>
      </c>
      <c r="F1165" s="13" t="s">
        <v>1960</v>
      </c>
      <c r="G1165" s="8">
        <v>13</v>
      </c>
      <c r="H1165" s="8">
        <v>4</v>
      </c>
      <c r="I1165" s="8"/>
      <c r="J1165" s="29" t="s">
        <v>1264</v>
      </c>
      <c r="K1165" s="29"/>
      <c r="L1165" s="29"/>
      <c r="M1165" s="68">
        <v>1</v>
      </c>
      <c r="N1165" s="68" t="s">
        <v>1690</v>
      </c>
    </row>
    <row r="1166" spans="1:14" ht="14.25" x14ac:dyDescent="0.2">
      <c r="A1166" s="11" t="s">
        <v>1691</v>
      </c>
      <c r="B1166" s="12" t="s">
        <v>3734</v>
      </c>
      <c r="C1166" s="10" t="s">
        <v>3757</v>
      </c>
      <c r="D1166" s="13" t="s">
        <v>3761</v>
      </c>
      <c r="E1166" s="29" t="s">
        <v>1045</v>
      </c>
      <c r="F1166" s="13" t="s">
        <v>1046</v>
      </c>
      <c r="G1166" s="8">
        <v>75</v>
      </c>
      <c r="H1166" s="8">
        <v>7</v>
      </c>
      <c r="I1166" s="8"/>
      <c r="J1166" s="29" t="s">
        <v>1271</v>
      </c>
      <c r="K1166" s="29" t="s">
        <v>1347</v>
      </c>
      <c r="L1166" s="29"/>
      <c r="M1166" s="68">
        <v>1</v>
      </c>
      <c r="N1166" s="68" t="s">
        <v>5177</v>
      </c>
    </row>
    <row r="1167" spans="1:14" ht="14.25" x14ac:dyDescent="0.2">
      <c r="A1167" s="11" t="s">
        <v>1691</v>
      </c>
      <c r="B1167" s="12" t="s">
        <v>3728</v>
      </c>
      <c r="C1167" s="10" t="s">
        <v>3754</v>
      </c>
      <c r="D1167" s="13" t="s">
        <v>3768</v>
      </c>
      <c r="E1167" s="29" t="s">
        <v>1692</v>
      </c>
      <c r="F1167" s="13" t="s">
        <v>3768</v>
      </c>
      <c r="G1167" s="8">
        <v>1</v>
      </c>
      <c r="H1167" s="8"/>
      <c r="I1167" s="8"/>
      <c r="J1167" s="29" t="s">
        <v>1693</v>
      </c>
      <c r="K1167" s="29" t="s">
        <v>1694</v>
      </c>
      <c r="L1167" s="29"/>
      <c r="M1167" s="68">
        <v>1</v>
      </c>
      <c r="N1167" s="68" t="s">
        <v>1690</v>
      </c>
    </row>
    <row r="1168" spans="1:14" ht="14.25" x14ac:dyDescent="0.2">
      <c r="A1168" s="11" t="s">
        <v>1691</v>
      </c>
      <c r="B1168" s="12" t="s">
        <v>1696</v>
      </c>
      <c r="C1168" s="10" t="s">
        <v>3768</v>
      </c>
      <c r="D1168" s="13" t="s">
        <v>3768</v>
      </c>
      <c r="E1168" s="29" t="s">
        <v>1374</v>
      </c>
      <c r="F1168" s="13" t="s">
        <v>3768</v>
      </c>
      <c r="G1168" s="8">
        <v>3</v>
      </c>
      <c r="H1168" s="8" t="s">
        <v>1464</v>
      </c>
      <c r="I1168" s="8" t="s">
        <v>1464</v>
      </c>
      <c r="J1168" s="29" t="s">
        <v>1697</v>
      </c>
      <c r="K1168" s="29" t="s">
        <v>1698</v>
      </c>
      <c r="L1168" s="29"/>
      <c r="M1168" s="68">
        <v>1</v>
      </c>
      <c r="N1168" s="68" t="s">
        <v>1690</v>
      </c>
    </row>
    <row r="1169" spans="1:14" ht="14.25" x14ac:dyDescent="0.2">
      <c r="A1169" s="11" t="s">
        <v>1691</v>
      </c>
      <c r="B1169" s="12" t="s">
        <v>3740</v>
      </c>
      <c r="C1169" s="10" t="s">
        <v>3757</v>
      </c>
      <c r="D1169" s="13" t="s">
        <v>3765</v>
      </c>
      <c r="E1169" s="29"/>
      <c r="F1169" s="13" t="s">
        <v>5499</v>
      </c>
      <c r="G1169" s="8">
        <v>39</v>
      </c>
      <c r="H1169" s="8">
        <v>7</v>
      </c>
      <c r="I1169" s="8"/>
      <c r="J1169" s="29" t="s">
        <v>1264</v>
      </c>
      <c r="K1169" s="29" t="s">
        <v>5500</v>
      </c>
      <c r="L1169" s="29"/>
      <c r="M1169" s="68">
        <v>1</v>
      </c>
      <c r="N1169" s="68" t="s">
        <v>1690</v>
      </c>
    </row>
    <row r="1170" spans="1:14" ht="14.25" x14ac:dyDescent="0.2">
      <c r="A1170" s="11" t="s">
        <v>1691</v>
      </c>
      <c r="B1170" s="12" t="s">
        <v>5712</v>
      </c>
      <c r="C1170" s="10" t="s">
        <v>3754</v>
      </c>
      <c r="D1170" s="13" t="s">
        <v>3761</v>
      </c>
      <c r="E1170" s="29" t="s">
        <v>993</v>
      </c>
      <c r="F1170" s="13" t="s">
        <v>994</v>
      </c>
      <c r="G1170" s="8">
        <v>37</v>
      </c>
      <c r="H1170" s="8"/>
      <c r="I1170" s="8"/>
      <c r="J1170" s="29" t="s">
        <v>1264</v>
      </c>
      <c r="K1170" s="29" t="s">
        <v>995</v>
      </c>
      <c r="L1170" s="29"/>
      <c r="M1170" s="68">
        <v>1</v>
      </c>
      <c r="N1170" s="68" t="s">
        <v>5177</v>
      </c>
    </row>
    <row r="1171" spans="1:14" ht="14.25" x14ac:dyDescent="0.2">
      <c r="A1171" s="11" t="s">
        <v>1691</v>
      </c>
      <c r="B1171" s="12" t="s">
        <v>3732</v>
      </c>
      <c r="C1171" s="10" t="s">
        <v>3754</v>
      </c>
      <c r="D1171" s="13" t="s">
        <v>3754</v>
      </c>
      <c r="E1171" s="29" t="s">
        <v>1703</v>
      </c>
      <c r="F1171" s="13" t="s">
        <v>1704</v>
      </c>
      <c r="G1171" s="8">
        <v>34</v>
      </c>
      <c r="H1171" s="8"/>
      <c r="I1171" s="8"/>
      <c r="J1171" s="29" t="s">
        <v>4738</v>
      </c>
      <c r="K1171" s="29" t="s">
        <v>1280</v>
      </c>
      <c r="L1171" s="29"/>
      <c r="M1171" s="68">
        <v>1</v>
      </c>
      <c r="N1171" s="68" t="s">
        <v>1690</v>
      </c>
    </row>
    <row r="1172" spans="1:14" ht="14.25" x14ac:dyDescent="0.2">
      <c r="A1172" s="11" t="s">
        <v>1691</v>
      </c>
      <c r="B1172" s="12" t="s">
        <v>3732</v>
      </c>
      <c r="C1172" s="10" t="s">
        <v>3757</v>
      </c>
      <c r="D1172" s="13" t="s">
        <v>3761</v>
      </c>
      <c r="E1172" s="29" t="s">
        <v>3599</v>
      </c>
      <c r="F1172" s="13" t="s">
        <v>3600</v>
      </c>
      <c r="G1172" s="8">
        <v>80</v>
      </c>
      <c r="H1172" s="8"/>
      <c r="I1172" s="8"/>
      <c r="J1172" s="29" t="s">
        <v>1271</v>
      </c>
      <c r="K1172" s="29" t="s">
        <v>3601</v>
      </c>
      <c r="L1172" s="29"/>
      <c r="M1172" s="68">
        <v>1</v>
      </c>
      <c r="N1172" s="68" t="s">
        <v>2971</v>
      </c>
    </row>
    <row r="1173" spans="1:14" ht="14.25" x14ac:dyDescent="0.2">
      <c r="A1173" s="11" t="s">
        <v>1691</v>
      </c>
      <c r="B1173" s="12" t="s">
        <v>1699</v>
      </c>
      <c r="C1173" s="10" t="s">
        <v>3768</v>
      </c>
      <c r="D1173" s="13" t="s">
        <v>3768</v>
      </c>
      <c r="E1173" s="29" t="s">
        <v>1700</v>
      </c>
      <c r="F1173" s="13" t="s">
        <v>3768</v>
      </c>
      <c r="G1173" s="8" t="s">
        <v>1464</v>
      </c>
      <c r="H1173" s="8">
        <v>4</v>
      </c>
      <c r="I1173" s="8">
        <v>11</v>
      </c>
      <c r="J1173" s="29" t="s">
        <v>5082</v>
      </c>
      <c r="K1173" s="29" t="s">
        <v>1698</v>
      </c>
      <c r="L1173" s="29"/>
      <c r="M1173" s="68">
        <v>1</v>
      </c>
      <c r="N1173" s="68" t="s">
        <v>1690</v>
      </c>
    </row>
    <row r="1174" spans="1:14" ht="14.25" x14ac:dyDescent="0.2">
      <c r="A1174" s="11" t="s">
        <v>1691</v>
      </c>
      <c r="B1174" s="12" t="s">
        <v>3723</v>
      </c>
      <c r="C1174" s="10" t="s">
        <v>3757</v>
      </c>
      <c r="D1174" s="13" t="s">
        <v>3761</v>
      </c>
      <c r="E1174" s="29" t="s">
        <v>7433</v>
      </c>
      <c r="F1174" s="13" t="s">
        <v>68</v>
      </c>
      <c r="G1174" s="8">
        <v>70</v>
      </c>
      <c r="H1174" s="8"/>
      <c r="I1174" s="8"/>
      <c r="J1174" s="29" t="s">
        <v>1259</v>
      </c>
      <c r="K1174" s="29" t="s">
        <v>7434</v>
      </c>
      <c r="L1174" s="29"/>
      <c r="M1174" s="68">
        <v>1</v>
      </c>
      <c r="N1174" s="68" t="s">
        <v>2971</v>
      </c>
    </row>
    <row r="1175" spans="1:14" ht="14.25" x14ac:dyDescent="0.2">
      <c r="A1175" s="11" t="s">
        <v>1691</v>
      </c>
      <c r="B1175" s="12" t="s">
        <v>5920</v>
      </c>
      <c r="C1175" s="10" t="s">
        <v>3754</v>
      </c>
      <c r="D1175" s="13" t="s">
        <v>3768</v>
      </c>
      <c r="E1175" s="29" t="s">
        <v>1695</v>
      </c>
      <c r="F1175" s="13" t="s">
        <v>3768</v>
      </c>
      <c r="G1175" s="8">
        <v>7</v>
      </c>
      <c r="H1175" s="8">
        <v>1</v>
      </c>
      <c r="I1175" s="8"/>
      <c r="J1175" s="29" t="s">
        <v>1259</v>
      </c>
      <c r="K1175" s="29" t="s">
        <v>1694</v>
      </c>
      <c r="L1175" s="29"/>
      <c r="M1175" s="68">
        <v>1</v>
      </c>
      <c r="N1175" s="68" t="s">
        <v>1690</v>
      </c>
    </row>
    <row r="1176" spans="1:14" ht="14.25" x14ac:dyDescent="0.2">
      <c r="A1176" s="11" t="s">
        <v>1691</v>
      </c>
      <c r="B1176" s="12" t="s">
        <v>8616</v>
      </c>
      <c r="C1176" s="10" t="s">
        <v>3757</v>
      </c>
      <c r="D1176" s="13" t="s">
        <v>3761</v>
      </c>
      <c r="E1176" s="29" t="s">
        <v>3849</v>
      </c>
      <c r="F1176" s="13" t="s">
        <v>3850</v>
      </c>
      <c r="G1176" s="8">
        <v>77</v>
      </c>
      <c r="H1176" s="8"/>
      <c r="I1176" s="8"/>
      <c r="J1176" s="29" t="s">
        <v>4737</v>
      </c>
      <c r="K1176" s="29" t="s">
        <v>3851</v>
      </c>
      <c r="L1176" s="29"/>
      <c r="M1176" s="68">
        <v>1</v>
      </c>
      <c r="N1176" s="68" t="s">
        <v>2971</v>
      </c>
    </row>
    <row r="1177" spans="1:14" ht="14.25" x14ac:dyDescent="0.2">
      <c r="A1177" s="11" t="s">
        <v>1040</v>
      </c>
      <c r="B1177" s="12" t="s">
        <v>1041</v>
      </c>
      <c r="C1177" s="10" t="s">
        <v>3757</v>
      </c>
      <c r="D1177" s="13" t="s">
        <v>3761</v>
      </c>
      <c r="E1177" s="29" t="s">
        <v>1042</v>
      </c>
      <c r="F1177" s="13" t="s">
        <v>1043</v>
      </c>
      <c r="G1177" s="8">
        <v>45</v>
      </c>
      <c r="H1177" s="8"/>
      <c r="I1177" s="8"/>
      <c r="J1177" s="29" t="s">
        <v>1264</v>
      </c>
      <c r="K1177" s="29" t="s">
        <v>1044</v>
      </c>
      <c r="L1177" s="29"/>
      <c r="M1177" s="68">
        <v>1</v>
      </c>
      <c r="N1177" s="68" t="s">
        <v>5177</v>
      </c>
    </row>
    <row r="1178" spans="1:14" ht="14.25" x14ac:dyDescent="0.2">
      <c r="A1178" s="11" t="s">
        <v>3998</v>
      </c>
      <c r="B1178" s="12" t="s">
        <v>3723</v>
      </c>
      <c r="C1178" s="10" t="s">
        <v>3754</v>
      </c>
      <c r="D1178" s="13" t="s">
        <v>3761</v>
      </c>
      <c r="E1178" s="29" t="s">
        <v>3999</v>
      </c>
      <c r="F1178" s="13" t="s">
        <v>4000</v>
      </c>
      <c r="G1178" s="8"/>
      <c r="H1178" s="8">
        <v>6</v>
      </c>
      <c r="I1178" s="8">
        <v>13</v>
      </c>
      <c r="J1178" s="29" t="s">
        <v>4750</v>
      </c>
      <c r="K1178" s="29" t="s">
        <v>3367</v>
      </c>
      <c r="L1178" s="29"/>
      <c r="M1178" s="68">
        <v>1</v>
      </c>
      <c r="N1178" s="68" t="s">
        <v>5177</v>
      </c>
    </row>
    <row r="1179" spans="1:14" ht="14.25" x14ac:dyDescent="0.2">
      <c r="A1179" s="11" t="s">
        <v>5218</v>
      </c>
      <c r="B1179" s="12" t="s">
        <v>3727</v>
      </c>
      <c r="C1179" s="10" t="s">
        <v>3754</v>
      </c>
      <c r="D1179" s="13" t="s">
        <v>3761</v>
      </c>
      <c r="E1179" s="29"/>
      <c r="F1179" s="13" t="s">
        <v>6708</v>
      </c>
      <c r="G1179" s="8" t="s">
        <v>1464</v>
      </c>
      <c r="H1179" s="8">
        <v>9</v>
      </c>
      <c r="I1179" s="8"/>
      <c r="J1179" s="29" t="s">
        <v>4745</v>
      </c>
      <c r="K1179" s="29" t="s">
        <v>5221</v>
      </c>
      <c r="L1179" s="29"/>
      <c r="M1179" s="68">
        <v>1</v>
      </c>
      <c r="N1179" s="68" t="s">
        <v>1690</v>
      </c>
    </row>
    <row r="1180" spans="1:14" ht="14.25" x14ac:dyDescent="0.2">
      <c r="A1180" s="11" t="s">
        <v>5218</v>
      </c>
      <c r="B1180" s="12" t="s">
        <v>1886</v>
      </c>
      <c r="C1180" s="10" t="s">
        <v>5219</v>
      </c>
      <c r="D1180" s="13" t="s">
        <v>3754</v>
      </c>
      <c r="E1180" s="29" t="s">
        <v>5220</v>
      </c>
      <c r="F1180" s="13" t="s">
        <v>6708</v>
      </c>
      <c r="G1180" s="8">
        <v>15</v>
      </c>
      <c r="H1180" s="8">
        <v>4</v>
      </c>
      <c r="I1180" s="8"/>
      <c r="J1180" s="29" t="s">
        <v>1264</v>
      </c>
      <c r="K1180" s="29" t="s">
        <v>5221</v>
      </c>
      <c r="L1180" s="29"/>
      <c r="M1180" s="68">
        <v>1</v>
      </c>
      <c r="N1180" s="68" t="s">
        <v>1690</v>
      </c>
    </row>
    <row r="1181" spans="1:14" ht="14.25" x14ac:dyDescent="0.2">
      <c r="A1181" s="11" t="s">
        <v>1701</v>
      </c>
      <c r="B1181" s="12" t="s">
        <v>3732</v>
      </c>
      <c r="C1181" s="21" t="s">
        <v>3757</v>
      </c>
      <c r="D1181" s="13" t="s">
        <v>3761</v>
      </c>
      <c r="E1181" s="29" t="s">
        <v>1015</v>
      </c>
      <c r="F1181" s="13" t="s">
        <v>1016</v>
      </c>
      <c r="G1181" s="8">
        <v>76</v>
      </c>
      <c r="H1181" s="8"/>
      <c r="I1181" s="8"/>
      <c r="J1181" s="29" t="s">
        <v>1271</v>
      </c>
      <c r="K1181" s="29" t="s">
        <v>1017</v>
      </c>
      <c r="L1181" s="29"/>
      <c r="M1181" s="68">
        <v>1</v>
      </c>
      <c r="N1181" s="68" t="s">
        <v>5177</v>
      </c>
    </row>
    <row r="1182" spans="1:14" ht="14.25" x14ac:dyDescent="0.2">
      <c r="A1182" s="11" t="s">
        <v>1701</v>
      </c>
      <c r="B1182" s="12" t="s">
        <v>4701</v>
      </c>
      <c r="C1182" s="10" t="s">
        <v>3757</v>
      </c>
      <c r="D1182" s="13" t="s">
        <v>3754</v>
      </c>
      <c r="E1182" s="29"/>
      <c r="F1182" s="13" t="s">
        <v>3754</v>
      </c>
      <c r="G1182" s="8">
        <v>25</v>
      </c>
      <c r="H1182" s="8">
        <v>2</v>
      </c>
      <c r="I1182" s="8"/>
      <c r="J1182" s="29" t="s">
        <v>1264</v>
      </c>
      <c r="K1182" s="29" t="s">
        <v>1702</v>
      </c>
      <c r="L1182" s="29"/>
      <c r="M1182" s="68">
        <v>1</v>
      </c>
      <c r="N1182" s="68" t="s">
        <v>1690</v>
      </c>
    </row>
    <row r="1183" spans="1:14" ht="14.25" x14ac:dyDescent="0.2">
      <c r="A1183" s="11" t="s">
        <v>1701</v>
      </c>
      <c r="B1183" s="12" t="s">
        <v>1445</v>
      </c>
      <c r="C1183" s="10" t="s">
        <v>3757</v>
      </c>
      <c r="D1183" s="13" t="s">
        <v>3761</v>
      </c>
      <c r="E1183" s="29" t="s">
        <v>3596</v>
      </c>
      <c r="F1183" s="13" t="s">
        <v>3597</v>
      </c>
      <c r="G1183" s="8">
        <v>70</v>
      </c>
      <c r="H1183" s="8"/>
      <c r="I1183" s="8"/>
      <c r="J1183" s="29" t="s">
        <v>1271</v>
      </c>
      <c r="K1183" s="29" t="s">
        <v>3598</v>
      </c>
      <c r="L1183" s="29"/>
      <c r="M1183" s="68">
        <v>1</v>
      </c>
      <c r="N1183" s="68" t="s">
        <v>2971</v>
      </c>
    </row>
    <row r="1184" spans="1:14" ht="14.25" x14ac:dyDescent="0.2">
      <c r="A1184" s="11" t="s">
        <v>3992</v>
      </c>
      <c r="B1184" s="12" t="s">
        <v>3728</v>
      </c>
      <c r="C1184" s="21" t="s">
        <v>3757</v>
      </c>
      <c r="D1184" s="13" t="s">
        <v>3761</v>
      </c>
      <c r="E1184" s="29" t="s">
        <v>3993</v>
      </c>
      <c r="F1184" s="13" t="s">
        <v>3994</v>
      </c>
      <c r="G1184" s="8">
        <v>72</v>
      </c>
      <c r="H1184" s="8"/>
      <c r="I1184" s="8"/>
      <c r="J1184" s="29" t="s">
        <v>1271</v>
      </c>
      <c r="K1184" s="29" t="s">
        <v>1675</v>
      </c>
      <c r="L1184" s="29"/>
      <c r="M1184" s="68">
        <v>1</v>
      </c>
      <c r="N1184" s="68" t="s">
        <v>5177</v>
      </c>
    </row>
    <row r="1185" spans="1:14" ht="14.25" x14ac:dyDescent="0.2">
      <c r="A1185" s="11" t="s">
        <v>3863</v>
      </c>
      <c r="B1185" s="12" t="s">
        <v>3732</v>
      </c>
      <c r="C1185" s="10" t="s">
        <v>3754</v>
      </c>
      <c r="D1185" s="13" t="s">
        <v>3761</v>
      </c>
      <c r="E1185" s="29" t="s">
        <v>3864</v>
      </c>
      <c r="F1185" s="13" t="s">
        <v>3865</v>
      </c>
      <c r="G1185" s="8">
        <v>22</v>
      </c>
      <c r="H1185" s="8"/>
      <c r="I1185" s="8"/>
      <c r="J1185" s="29" t="s">
        <v>1264</v>
      </c>
      <c r="K1185" s="29" t="s">
        <v>3866</v>
      </c>
      <c r="L1185" s="29"/>
      <c r="M1185" s="68">
        <v>1</v>
      </c>
      <c r="N1185" s="68" t="s">
        <v>2971</v>
      </c>
    </row>
    <row r="1186" spans="1:14" ht="14.25" x14ac:dyDescent="0.2">
      <c r="A1186" s="11" t="s">
        <v>3592</v>
      </c>
      <c r="B1186" s="12" t="s">
        <v>4004</v>
      </c>
      <c r="C1186" s="10" t="s">
        <v>3754</v>
      </c>
      <c r="D1186" s="13" t="s">
        <v>3761</v>
      </c>
      <c r="E1186" s="29" t="s">
        <v>4005</v>
      </c>
      <c r="F1186" s="13" t="s">
        <v>3594</v>
      </c>
      <c r="G1186" s="8">
        <v>19</v>
      </c>
      <c r="H1186" s="8"/>
      <c r="I1186" s="8"/>
      <c r="J1186" s="29" t="s">
        <v>1264</v>
      </c>
      <c r="K1186" s="29" t="s">
        <v>5911</v>
      </c>
      <c r="L1186" s="29"/>
      <c r="M1186" s="68">
        <v>1</v>
      </c>
      <c r="N1186" s="68" t="s">
        <v>5177</v>
      </c>
    </row>
    <row r="1187" spans="1:14" ht="14.25" x14ac:dyDescent="0.2">
      <c r="A1187" s="11" t="s">
        <v>3592</v>
      </c>
      <c r="B1187" s="12" t="s">
        <v>1047</v>
      </c>
      <c r="C1187" s="10" t="s">
        <v>3754</v>
      </c>
      <c r="D1187" s="13" t="s">
        <v>3761</v>
      </c>
      <c r="E1187" s="29" t="s">
        <v>1048</v>
      </c>
      <c r="F1187" s="13" t="s">
        <v>3594</v>
      </c>
      <c r="G1187" s="8">
        <v>32</v>
      </c>
      <c r="H1187" s="8"/>
      <c r="I1187" s="8"/>
      <c r="J1187" s="29" t="s">
        <v>1264</v>
      </c>
      <c r="K1187" s="29" t="s">
        <v>1310</v>
      </c>
      <c r="L1187" s="29"/>
      <c r="M1187" s="68">
        <v>1</v>
      </c>
      <c r="N1187" s="68" t="s">
        <v>5177</v>
      </c>
    </row>
    <row r="1188" spans="1:14" ht="14.25" x14ac:dyDescent="0.2">
      <c r="A1188" s="11" t="s">
        <v>3592</v>
      </c>
      <c r="B1188" s="12" t="s">
        <v>4701</v>
      </c>
      <c r="C1188" s="10" t="s">
        <v>3757</v>
      </c>
      <c r="D1188" s="13" t="s">
        <v>3761</v>
      </c>
      <c r="E1188" s="29" t="s">
        <v>3593</v>
      </c>
      <c r="F1188" s="13" t="s">
        <v>3594</v>
      </c>
      <c r="G1188" s="8">
        <v>70</v>
      </c>
      <c r="H1188" s="8"/>
      <c r="I1188" s="8"/>
      <c r="J1188" s="29" t="s">
        <v>1277</v>
      </c>
      <c r="K1188" s="29" t="s">
        <v>3595</v>
      </c>
      <c r="L1188" s="29"/>
      <c r="M1188" s="68">
        <v>1</v>
      </c>
      <c r="N1188" s="68" t="s">
        <v>2971</v>
      </c>
    </row>
    <row r="1189" spans="1:14" ht="14.25" x14ac:dyDescent="0.2">
      <c r="A1189" s="14" t="s">
        <v>5222</v>
      </c>
      <c r="B1189" s="12" t="s">
        <v>1432</v>
      </c>
      <c r="C1189" s="19" t="s">
        <v>3754</v>
      </c>
      <c r="D1189" s="16" t="s">
        <v>5548</v>
      </c>
      <c r="E1189" s="27" t="s">
        <v>5568</v>
      </c>
      <c r="F1189" s="16" t="s">
        <v>5569</v>
      </c>
      <c r="G1189" s="8">
        <v>36</v>
      </c>
      <c r="H1189" s="8"/>
      <c r="I1189" s="8"/>
      <c r="J1189" s="27" t="s">
        <v>1272</v>
      </c>
      <c r="K1189" s="27" t="s">
        <v>1783</v>
      </c>
      <c r="L1189" s="29"/>
      <c r="M1189" s="68">
        <v>1</v>
      </c>
      <c r="N1189" s="68" t="s">
        <v>5534</v>
      </c>
    </row>
    <row r="1190" spans="1:14" ht="14.25" x14ac:dyDescent="0.2">
      <c r="A1190" s="14" t="s">
        <v>5222</v>
      </c>
      <c r="B1190" s="12" t="s">
        <v>1432</v>
      </c>
      <c r="C1190" s="20" t="s">
        <v>3757</v>
      </c>
      <c r="D1190" s="16" t="s">
        <v>5536</v>
      </c>
      <c r="E1190" s="27" t="s">
        <v>5566</v>
      </c>
      <c r="F1190" s="16" t="s">
        <v>5567</v>
      </c>
      <c r="G1190" s="8">
        <v>82</v>
      </c>
      <c r="H1190" s="8"/>
      <c r="I1190" s="8"/>
      <c r="J1190" s="27" t="s">
        <v>1271</v>
      </c>
      <c r="K1190" s="27" t="s">
        <v>1783</v>
      </c>
      <c r="L1190" s="29"/>
      <c r="M1190" s="68">
        <v>1</v>
      </c>
      <c r="N1190" s="68" t="s">
        <v>5534</v>
      </c>
    </row>
    <row r="1191" spans="1:14" ht="14.25" x14ac:dyDescent="0.2">
      <c r="A1191" s="14" t="s">
        <v>5222</v>
      </c>
      <c r="B1191" s="12" t="s">
        <v>5570</v>
      </c>
      <c r="C1191" s="19" t="s">
        <v>3754</v>
      </c>
      <c r="D1191" s="16" t="s">
        <v>5548</v>
      </c>
      <c r="E1191" s="27" t="s">
        <v>5571</v>
      </c>
      <c r="F1191" s="16" t="s">
        <v>5572</v>
      </c>
      <c r="G1191" s="8">
        <v>40</v>
      </c>
      <c r="H1191" s="8"/>
      <c r="I1191" s="8"/>
      <c r="J1191" s="27" t="s">
        <v>2335</v>
      </c>
      <c r="K1191" s="27" t="s">
        <v>1783</v>
      </c>
      <c r="L1191" s="29"/>
      <c r="M1191" s="68">
        <v>1</v>
      </c>
      <c r="N1191" s="68" t="s">
        <v>5534</v>
      </c>
    </row>
    <row r="1192" spans="1:14" ht="28.5" x14ac:dyDescent="0.2">
      <c r="A1192" s="14" t="s">
        <v>5222</v>
      </c>
      <c r="B1192" s="12" t="s">
        <v>1177</v>
      </c>
      <c r="C1192" s="19" t="s">
        <v>3754</v>
      </c>
      <c r="D1192" s="16" t="s">
        <v>1178</v>
      </c>
      <c r="E1192" s="27" t="s">
        <v>1179</v>
      </c>
      <c r="F1192" s="16" t="s">
        <v>1180</v>
      </c>
      <c r="G1192" s="8">
        <v>1</v>
      </c>
      <c r="H1192" s="8">
        <v>10</v>
      </c>
      <c r="I1192" s="8">
        <v>3</v>
      </c>
      <c r="J1192" s="27" t="s">
        <v>1181</v>
      </c>
      <c r="K1192" s="27" t="s">
        <v>8738</v>
      </c>
      <c r="L1192" s="29"/>
      <c r="M1192" s="68">
        <v>1</v>
      </c>
      <c r="N1192" s="68" t="s">
        <v>5534</v>
      </c>
    </row>
    <row r="1193" spans="1:14" ht="14.25" x14ac:dyDescent="0.2">
      <c r="A1193" s="11" t="s">
        <v>5222</v>
      </c>
      <c r="B1193" s="12" t="s">
        <v>3740</v>
      </c>
      <c r="C1193" s="10" t="s">
        <v>5223</v>
      </c>
      <c r="D1193" s="13" t="s">
        <v>2096</v>
      </c>
      <c r="E1193" s="29" t="s">
        <v>5224</v>
      </c>
      <c r="F1193" s="13" t="s">
        <v>6031</v>
      </c>
      <c r="G1193" s="8">
        <v>14</v>
      </c>
      <c r="H1193" s="8"/>
      <c r="I1193" s="8"/>
      <c r="J1193" s="29" t="s">
        <v>1272</v>
      </c>
      <c r="K1193" s="29" t="s">
        <v>5221</v>
      </c>
      <c r="L1193" s="29"/>
      <c r="M1193" s="68">
        <v>1</v>
      </c>
      <c r="N1193" s="68" t="s">
        <v>1690</v>
      </c>
    </row>
    <row r="1194" spans="1:14" ht="14.25" x14ac:dyDescent="0.2">
      <c r="A1194" s="11" t="s">
        <v>5222</v>
      </c>
      <c r="B1194" s="36" t="s">
        <v>3746</v>
      </c>
      <c r="C1194" s="10" t="s">
        <v>3754</v>
      </c>
      <c r="D1194" s="13" t="s">
        <v>3761</v>
      </c>
      <c r="E1194" s="29" t="s">
        <v>5174</v>
      </c>
      <c r="F1194" s="13" t="s">
        <v>5175</v>
      </c>
      <c r="G1194" s="8">
        <v>19</v>
      </c>
      <c r="H1194" s="8">
        <v>9</v>
      </c>
      <c r="I1194" s="8"/>
      <c r="J1194" s="29" t="s">
        <v>5176</v>
      </c>
      <c r="K1194" s="29" t="s">
        <v>3478</v>
      </c>
      <c r="L1194" s="95"/>
      <c r="M1194" s="68">
        <v>1</v>
      </c>
      <c r="N1194" s="68" t="s">
        <v>2971</v>
      </c>
    </row>
    <row r="1195" spans="1:14" ht="14.25" x14ac:dyDescent="0.2">
      <c r="A1195" s="11" t="s">
        <v>5222</v>
      </c>
      <c r="B1195" s="12" t="s">
        <v>4701</v>
      </c>
      <c r="C1195" s="10" t="s">
        <v>3754</v>
      </c>
      <c r="D1195" s="13" t="s">
        <v>3754</v>
      </c>
      <c r="E1195" s="29" t="s">
        <v>5528</v>
      </c>
      <c r="F1195" s="13" t="s">
        <v>4943</v>
      </c>
      <c r="G1195" s="8">
        <v>6</v>
      </c>
      <c r="H1195" s="8">
        <v>6</v>
      </c>
      <c r="I1195" s="8">
        <v>24</v>
      </c>
      <c r="J1195" s="29" t="s">
        <v>1254</v>
      </c>
      <c r="K1195" s="29" t="s">
        <v>5529</v>
      </c>
      <c r="L1195" s="29"/>
      <c r="M1195" s="68">
        <v>1</v>
      </c>
      <c r="N1195" s="68" t="s">
        <v>1690</v>
      </c>
    </row>
    <row r="1196" spans="1:14" ht="14.25" x14ac:dyDescent="0.2">
      <c r="A1196" s="17" t="s">
        <v>2968</v>
      </c>
      <c r="B1196" s="5" t="s">
        <v>3738</v>
      </c>
      <c r="C1196" s="19" t="s">
        <v>3757</v>
      </c>
      <c r="D1196" s="19" t="s">
        <v>5548</v>
      </c>
      <c r="E1196" s="45" t="s">
        <v>5573</v>
      </c>
      <c r="F1196" s="19" t="s">
        <v>5567</v>
      </c>
      <c r="G1196" s="8">
        <v>78</v>
      </c>
      <c r="H1196" s="8"/>
      <c r="I1196" s="8"/>
      <c r="J1196" s="45" t="s">
        <v>2894</v>
      </c>
      <c r="K1196" s="45" t="s">
        <v>1783</v>
      </c>
      <c r="L1196" s="61"/>
      <c r="M1196" s="68">
        <v>1</v>
      </c>
      <c r="N1196" s="68" t="s">
        <v>5534</v>
      </c>
    </row>
    <row r="1197" spans="1:14" ht="14.25" x14ac:dyDescent="0.2">
      <c r="A1197" s="9" t="s">
        <v>7422</v>
      </c>
      <c r="B1197" s="5" t="s">
        <v>3724</v>
      </c>
      <c r="C1197" s="21" t="s">
        <v>3754</v>
      </c>
      <c r="D1197" s="10" t="s">
        <v>3761</v>
      </c>
      <c r="E1197" s="61" t="s">
        <v>7423</v>
      </c>
      <c r="F1197" s="21" t="s">
        <v>8723</v>
      </c>
      <c r="G1197" s="8">
        <v>2</v>
      </c>
      <c r="H1197" s="8">
        <v>9</v>
      </c>
      <c r="I1197" s="8"/>
      <c r="J1197" s="55" t="s">
        <v>4579</v>
      </c>
      <c r="K1197" s="61" t="s">
        <v>7424</v>
      </c>
      <c r="L1197" s="61"/>
      <c r="M1197" s="68">
        <v>1</v>
      </c>
      <c r="N1197" s="68" t="s">
        <v>2971</v>
      </c>
    </row>
    <row r="1198" spans="1:14" ht="14.25" x14ac:dyDescent="0.2">
      <c r="A1198" s="11" t="s">
        <v>7422</v>
      </c>
      <c r="B1198" s="12" t="s">
        <v>3740</v>
      </c>
      <c r="C1198" s="10" t="s">
        <v>3757</v>
      </c>
      <c r="D1198" s="13" t="s">
        <v>3761</v>
      </c>
      <c r="E1198" s="29" t="s">
        <v>7439</v>
      </c>
      <c r="F1198" s="13" t="s">
        <v>7440</v>
      </c>
      <c r="G1198" s="8">
        <v>67</v>
      </c>
      <c r="H1198" s="8"/>
      <c r="I1198" s="8"/>
      <c r="J1198" s="29" t="s">
        <v>1267</v>
      </c>
      <c r="K1198" s="29" t="s">
        <v>6874</v>
      </c>
      <c r="L1198" s="29"/>
      <c r="M1198" s="68">
        <v>1</v>
      </c>
      <c r="N1198" s="68" t="s">
        <v>2971</v>
      </c>
    </row>
    <row r="1199" spans="1:14" ht="14.25" x14ac:dyDescent="0.2">
      <c r="A1199" s="11" t="s">
        <v>2928</v>
      </c>
      <c r="B1199" s="12" t="s">
        <v>1809</v>
      </c>
      <c r="C1199" s="10" t="s">
        <v>3757</v>
      </c>
      <c r="D1199" s="13" t="s">
        <v>3761</v>
      </c>
      <c r="E1199" s="29" t="s">
        <v>3613</v>
      </c>
      <c r="F1199" s="13" t="s">
        <v>708</v>
      </c>
      <c r="G1199" s="8">
        <v>38</v>
      </c>
      <c r="H1199" s="8"/>
      <c r="I1199" s="8"/>
      <c r="J1199" s="29" t="s">
        <v>1264</v>
      </c>
      <c r="K1199" s="29" t="s">
        <v>709</v>
      </c>
      <c r="L1199" s="29"/>
      <c r="M1199" s="68">
        <v>1</v>
      </c>
      <c r="N1199" s="68" t="s">
        <v>2971</v>
      </c>
    </row>
    <row r="1200" spans="1:14" ht="14.25" x14ac:dyDescent="0.2">
      <c r="A1200" s="14" t="s">
        <v>2928</v>
      </c>
      <c r="B1200" s="12" t="s">
        <v>4908</v>
      </c>
      <c r="C1200" s="19" t="s">
        <v>3754</v>
      </c>
      <c r="D1200" s="16" t="s">
        <v>5548</v>
      </c>
      <c r="E1200" s="27" t="s">
        <v>2959</v>
      </c>
      <c r="F1200" s="16" t="s">
        <v>2960</v>
      </c>
      <c r="G1200" s="8">
        <v>38</v>
      </c>
      <c r="H1200" s="8"/>
      <c r="I1200" s="8"/>
      <c r="J1200" s="27" t="s">
        <v>4738</v>
      </c>
      <c r="K1200" s="27" t="s">
        <v>2073</v>
      </c>
      <c r="L1200" s="29"/>
      <c r="M1200" s="68">
        <v>1</v>
      </c>
      <c r="N1200" s="68" t="s">
        <v>5534</v>
      </c>
    </row>
    <row r="1201" spans="1:14" ht="14.25" x14ac:dyDescent="0.2">
      <c r="A1201" s="14" t="s">
        <v>2928</v>
      </c>
      <c r="B1201" s="12" t="s">
        <v>4701</v>
      </c>
      <c r="C1201" s="19" t="s">
        <v>3757</v>
      </c>
      <c r="D1201" s="16" t="s">
        <v>2929</v>
      </c>
      <c r="E1201" s="27" t="s">
        <v>2930</v>
      </c>
      <c r="F1201" s="16" t="s">
        <v>2931</v>
      </c>
      <c r="G1201" s="8">
        <v>50</v>
      </c>
      <c r="H1201" s="8"/>
      <c r="I1201" s="8"/>
      <c r="J1201" s="27" t="s">
        <v>1088</v>
      </c>
      <c r="K1201" s="27" t="s">
        <v>2932</v>
      </c>
      <c r="L1201" s="29"/>
      <c r="M1201" s="68">
        <v>1</v>
      </c>
      <c r="N1201" s="68" t="s">
        <v>5534</v>
      </c>
    </row>
    <row r="1202" spans="1:14" ht="14.25" x14ac:dyDescent="0.2">
      <c r="A1202" s="11" t="s">
        <v>2928</v>
      </c>
      <c r="B1202" s="12" t="s">
        <v>3733</v>
      </c>
      <c r="C1202" s="10" t="s">
        <v>3757</v>
      </c>
      <c r="D1202" s="13" t="s">
        <v>3761</v>
      </c>
      <c r="E1202" s="29" t="s">
        <v>8109</v>
      </c>
      <c r="F1202" s="13" t="s">
        <v>8110</v>
      </c>
      <c r="G1202" s="8">
        <v>65</v>
      </c>
      <c r="H1202" s="8"/>
      <c r="I1202" s="8"/>
      <c r="J1202" s="29" t="s">
        <v>1259</v>
      </c>
      <c r="K1202" s="29" t="s">
        <v>8111</v>
      </c>
      <c r="L1202" s="29"/>
      <c r="M1202" s="68">
        <v>1</v>
      </c>
      <c r="N1202" s="68" t="s">
        <v>5177</v>
      </c>
    </row>
    <row r="1203" spans="1:14" ht="14.25" x14ac:dyDescent="0.2">
      <c r="A1203" s="11" t="s">
        <v>1409</v>
      </c>
      <c r="B1203" s="12" t="s">
        <v>5044</v>
      </c>
      <c r="C1203" s="10" t="s">
        <v>3757</v>
      </c>
      <c r="D1203" s="13" t="s">
        <v>4716</v>
      </c>
      <c r="E1203" s="29" t="s">
        <v>7425</v>
      </c>
      <c r="F1203" s="13" t="s">
        <v>7426</v>
      </c>
      <c r="G1203" s="8">
        <v>78</v>
      </c>
      <c r="H1203" s="8"/>
      <c r="I1203" s="8"/>
      <c r="J1203" s="29" t="s">
        <v>1259</v>
      </c>
      <c r="K1203" s="29" t="s">
        <v>7427</v>
      </c>
      <c r="L1203" s="29"/>
      <c r="M1203" s="68">
        <v>1</v>
      </c>
      <c r="N1203" s="68" t="s">
        <v>2971</v>
      </c>
    </row>
    <row r="1204" spans="1:14" ht="14.25" x14ac:dyDescent="0.2">
      <c r="A1204" s="11" t="s">
        <v>1409</v>
      </c>
      <c r="B1204" s="12" t="s">
        <v>1432</v>
      </c>
      <c r="C1204" s="10" t="s">
        <v>3754</v>
      </c>
      <c r="D1204" s="13" t="s">
        <v>3754</v>
      </c>
      <c r="E1204" s="29" t="s">
        <v>5514</v>
      </c>
      <c r="F1204" s="13" t="s">
        <v>5515</v>
      </c>
      <c r="G1204" s="8"/>
      <c r="H1204" s="8">
        <v>6</v>
      </c>
      <c r="I1204" s="8"/>
      <c r="J1204" s="29" t="s">
        <v>4790</v>
      </c>
      <c r="K1204" s="29" t="s">
        <v>5516</v>
      </c>
      <c r="L1204" s="29"/>
      <c r="M1204" s="68">
        <v>1</v>
      </c>
      <c r="N1204" s="68" t="s">
        <v>1690</v>
      </c>
    </row>
    <row r="1205" spans="1:14" ht="14.25" x14ac:dyDescent="0.2">
      <c r="A1205" s="11" t="s">
        <v>1409</v>
      </c>
      <c r="B1205" s="12" t="s">
        <v>1879</v>
      </c>
      <c r="C1205" s="21" t="s">
        <v>1052</v>
      </c>
      <c r="D1205" s="13" t="s">
        <v>3765</v>
      </c>
      <c r="E1205" s="29" t="s">
        <v>1053</v>
      </c>
      <c r="F1205" s="13" t="s">
        <v>1054</v>
      </c>
      <c r="G1205" s="8">
        <v>41</v>
      </c>
      <c r="H1205" s="8"/>
      <c r="I1205" s="8"/>
      <c r="J1205" s="29" t="s">
        <v>1259</v>
      </c>
      <c r="K1205" s="29" t="s">
        <v>3991</v>
      </c>
      <c r="L1205" s="29"/>
      <c r="M1205" s="68">
        <v>1</v>
      </c>
      <c r="N1205" s="68" t="s">
        <v>5177</v>
      </c>
    </row>
    <row r="1206" spans="1:14" ht="14.25" x14ac:dyDescent="0.2">
      <c r="A1206" s="11" t="s">
        <v>1409</v>
      </c>
      <c r="B1206" s="12" t="s">
        <v>1569</v>
      </c>
      <c r="C1206" s="10" t="s">
        <v>3757</v>
      </c>
      <c r="D1206" s="13" t="s">
        <v>3754</v>
      </c>
      <c r="E1206" s="29" t="s">
        <v>5518</v>
      </c>
      <c r="F1206" s="13" t="s">
        <v>5519</v>
      </c>
      <c r="G1206" s="8">
        <v>29</v>
      </c>
      <c r="H1206" s="8"/>
      <c r="I1206" s="8" t="s">
        <v>1464</v>
      </c>
      <c r="J1206" s="29" t="s">
        <v>1264</v>
      </c>
      <c r="K1206" s="29" t="s">
        <v>5516</v>
      </c>
      <c r="L1206" s="29"/>
      <c r="M1206" s="68">
        <v>1</v>
      </c>
      <c r="N1206" s="68" t="s">
        <v>1690</v>
      </c>
    </row>
    <row r="1207" spans="1:14" ht="14.25" x14ac:dyDescent="0.2">
      <c r="A1207" s="11" t="s">
        <v>1409</v>
      </c>
      <c r="B1207" s="12" t="s">
        <v>4685</v>
      </c>
      <c r="C1207" s="10" t="s">
        <v>1705</v>
      </c>
      <c r="D1207" s="13" t="s">
        <v>1960</v>
      </c>
      <c r="E1207" s="29" t="s">
        <v>1706</v>
      </c>
      <c r="F1207" s="13" t="s">
        <v>3767</v>
      </c>
      <c r="G1207" s="8">
        <v>27</v>
      </c>
      <c r="H1207" s="8" t="s">
        <v>1464</v>
      </c>
      <c r="I1207" s="8"/>
      <c r="J1207" s="29" t="s">
        <v>1264</v>
      </c>
      <c r="K1207" s="29" t="s">
        <v>4773</v>
      </c>
      <c r="L1207" s="29"/>
      <c r="M1207" s="68">
        <v>1</v>
      </c>
      <c r="N1207" s="68" t="s">
        <v>1690</v>
      </c>
    </row>
    <row r="1208" spans="1:14" ht="14.25" x14ac:dyDescent="0.2">
      <c r="A1208" s="11" t="s">
        <v>1409</v>
      </c>
      <c r="B1208" s="12" t="s">
        <v>3740</v>
      </c>
      <c r="C1208" s="10" t="s">
        <v>3754</v>
      </c>
      <c r="D1208" s="13" t="s">
        <v>3761</v>
      </c>
      <c r="E1208" s="29" t="s">
        <v>1012</v>
      </c>
      <c r="F1208" s="13" t="s">
        <v>1013</v>
      </c>
      <c r="G1208" s="8"/>
      <c r="H1208" s="8">
        <v>2</v>
      </c>
      <c r="I1208" s="8">
        <v>20</v>
      </c>
      <c r="J1208" s="29" t="s">
        <v>1258</v>
      </c>
      <c r="K1208" s="29" t="s">
        <v>1014</v>
      </c>
      <c r="L1208" s="29"/>
      <c r="M1208" s="68">
        <v>1</v>
      </c>
      <c r="N1208" s="68" t="s">
        <v>5177</v>
      </c>
    </row>
    <row r="1209" spans="1:14" ht="14.25" x14ac:dyDescent="0.2">
      <c r="A1209" s="11" t="s">
        <v>1409</v>
      </c>
      <c r="B1209" s="12" t="s">
        <v>5073</v>
      </c>
      <c r="C1209" s="10" t="s">
        <v>3754</v>
      </c>
      <c r="D1209" s="13" t="s">
        <v>3754</v>
      </c>
      <c r="E1209" s="29" t="s">
        <v>5520</v>
      </c>
      <c r="F1209" s="13" t="s">
        <v>5521</v>
      </c>
      <c r="G1209" s="8" t="s">
        <v>1464</v>
      </c>
      <c r="H1209" s="8"/>
      <c r="I1209" s="8">
        <v>4</v>
      </c>
      <c r="J1209" s="29" t="s">
        <v>1258</v>
      </c>
      <c r="K1209" s="29" t="s">
        <v>5516</v>
      </c>
      <c r="L1209" s="29"/>
      <c r="M1209" s="68">
        <v>1</v>
      </c>
      <c r="N1209" s="68" t="s">
        <v>1690</v>
      </c>
    </row>
    <row r="1210" spans="1:14" ht="14.25" x14ac:dyDescent="0.2">
      <c r="A1210" s="11" t="s">
        <v>1409</v>
      </c>
      <c r="B1210" s="12" t="s">
        <v>5517</v>
      </c>
      <c r="C1210" s="10" t="s">
        <v>4712</v>
      </c>
      <c r="D1210" s="13" t="s">
        <v>3754</v>
      </c>
      <c r="E1210" s="29" t="s">
        <v>3086</v>
      </c>
      <c r="F1210" s="13" t="s">
        <v>5515</v>
      </c>
      <c r="G1210" s="8" t="s">
        <v>1464</v>
      </c>
      <c r="H1210" s="8">
        <v>4</v>
      </c>
      <c r="I1210" s="8"/>
      <c r="J1210" s="29" t="s">
        <v>1272</v>
      </c>
      <c r="K1210" s="29" t="s">
        <v>5516</v>
      </c>
      <c r="L1210" s="29"/>
      <c r="M1210" s="68">
        <v>1</v>
      </c>
      <c r="N1210" s="68" t="s">
        <v>1690</v>
      </c>
    </row>
    <row r="1211" spans="1:14" ht="14.25" x14ac:dyDescent="0.2">
      <c r="A1211" s="11" t="s">
        <v>3867</v>
      </c>
      <c r="B1211" s="12" t="s">
        <v>3740</v>
      </c>
      <c r="C1211" s="10" t="s">
        <v>3754</v>
      </c>
      <c r="D1211" s="13" t="s">
        <v>3761</v>
      </c>
      <c r="E1211" s="29" t="s">
        <v>715</v>
      </c>
      <c r="F1211" s="13" t="s">
        <v>716</v>
      </c>
      <c r="G1211" s="8">
        <v>19</v>
      </c>
      <c r="H1211" s="8"/>
      <c r="I1211" s="8"/>
      <c r="J1211" s="29" t="s">
        <v>1264</v>
      </c>
      <c r="K1211" s="29" t="s">
        <v>5392</v>
      </c>
      <c r="L1211" s="29"/>
      <c r="M1211" s="68">
        <v>1</v>
      </c>
      <c r="N1211" s="68" t="s">
        <v>2971</v>
      </c>
    </row>
    <row r="1212" spans="1:14" ht="14.25" x14ac:dyDescent="0.2">
      <c r="A1212" s="11" t="s">
        <v>3867</v>
      </c>
      <c r="B1212" s="12" t="s">
        <v>3723</v>
      </c>
      <c r="C1212" s="10" t="s">
        <v>3754</v>
      </c>
      <c r="D1212" s="13" t="s">
        <v>3761</v>
      </c>
      <c r="E1212" s="29" t="s">
        <v>713</v>
      </c>
      <c r="F1212" s="13" t="s">
        <v>714</v>
      </c>
      <c r="G1212" s="8">
        <v>32</v>
      </c>
      <c r="H1212" s="8"/>
      <c r="I1212" s="8"/>
      <c r="J1212" s="29" t="s">
        <v>1264</v>
      </c>
      <c r="K1212" s="29" t="s">
        <v>3420</v>
      </c>
      <c r="L1212" s="29"/>
      <c r="M1212" s="68">
        <v>1</v>
      </c>
      <c r="N1212" s="68" t="s">
        <v>2971</v>
      </c>
    </row>
    <row r="1213" spans="1:14" ht="14.25" x14ac:dyDescent="0.2">
      <c r="A1213" s="11" t="s">
        <v>3867</v>
      </c>
      <c r="B1213" s="12" t="s">
        <v>5920</v>
      </c>
      <c r="C1213" s="10" t="s">
        <v>1509</v>
      </c>
      <c r="D1213" s="13" t="s">
        <v>3761</v>
      </c>
      <c r="E1213" s="29" t="s">
        <v>3868</v>
      </c>
      <c r="F1213" s="13" t="s">
        <v>3869</v>
      </c>
      <c r="G1213" s="8">
        <v>38</v>
      </c>
      <c r="H1213" s="8"/>
      <c r="I1213" s="8"/>
      <c r="J1213" s="29" t="s">
        <v>1259</v>
      </c>
      <c r="K1213" s="29" t="s">
        <v>3870</v>
      </c>
      <c r="L1213" s="29"/>
      <c r="M1213" s="68">
        <v>1</v>
      </c>
      <c r="N1213" s="68" t="s">
        <v>2971</v>
      </c>
    </row>
    <row r="1214" spans="1:14" ht="14.25" x14ac:dyDescent="0.2">
      <c r="A1214" s="11" t="s">
        <v>5171</v>
      </c>
      <c r="B1214" s="12" t="s">
        <v>3740</v>
      </c>
      <c r="C1214" s="10" t="s">
        <v>3757</v>
      </c>
      <c r="D1214" s="13" t="s">
        <v>3761</v>
      </c>
      <c r="E1214" s="29" t="s">
        <v>5172</v>
      </c>
      <c r="F1214" s="13" t="s">
        <v>5173</v>
      </c>
      <c r="G1214" s="8">
        <v>61</v>
      </c>
      <c r="H1214" s="8"/>
      <c r="I1214" s="8"/>
      <c r="J1214" s="29" t="s">
        <v>1264</v>
      </c>
      <c r="K1214" s="29" t="s">
        <v>5416</v>
      </c>
      <c r="L1214" s="29"/>
      <c r="M1214" s="68">
        <v>1</v>
      </c>
      <c r="N1214" s="68" t="s">
        <v>2971</v>
      </c>
    </row>
    <row r="1215" spans="1:14" ht="14.25" x14ac:dyDescent="0.2">
      <c r="A1215" s="11" t="s">
        <v>5171</v>
      </c>
      <c r="B1215" s="12" t="s">
        <v>1018</v>
      </c>
      <c r="C1215" s="10" t="s">
        <v>3767</v>
      </c>
      <c r="D1215" s="13" t="s">
        <v>3765</v>
      </c>
      <c r="E1215" s="29" t="s">
        <v>1019</v>
      </c>
      <c r="F1215" s="13" t="s">
        <v>1020</v>
      </c>
      <c r="G1215" s="8">
        <v>12</v>
      </c>
      <c r="H1215" s="8">
        <v>4</v>
      </c>
      <c r="I1215" s="8">
        <v>0</v>
      </c>
      <c r="J1215" s="29" t="s">
        <v>1254</v>
      </c>
      <c r="K1215" s="29" t="s">
        <v>3663</v>
      </c>
      <c r="L1215" s="29"/>
      <c r="M1215" s="68">
        <v>1</v>
      </c>
      <c r="N1215" s="68" t="s">
        <v>5177</v>
      </c>
    </row>
    <row r="1216" spans="1:14" ht="14.25" x14ac:dyDescent="0.2">
      <c r="A1216" s="14" t="s">
        <v>5501</v>
      </c>
      <c r="B1216" s="12" t="s">
        <v>5535</v>
      </c>
      <c r="C1216" s="19" t="s">
        <v>3757</v>
      </c>
      <c r="D1216" s="16" t="s">
        <v>5536</v>
      </c>
      <c r="E1216" s="27" t="s">
        <v>5537</v>
      </c>
      <c r="F1216" s="16" t="s">
        <v>5538</v>
      </c>
      <c r="G1216" s="8">
        <v>34</v>
      </c>
      <c r="H1216" s="8"/>
      <c r="I1216" s="8"/>
      <c r="J1216" s="27" t="s">
        <v>1264</v>
      </c>
      <c r="K1216" s="27" t="s">
        <v>5640</v>
      </c>
      <c r="L1216" s="29"/>
      <c r="M1216" s="68">
        <v>1</v>
      </c>
      <c r="N1216" s="68" t="s">
        <v>5534</v>
      </c>
    </row>
    <row r="1217" spans="1:14" ht="14.25" x14ac:dyDescent="0.2">
      <c r="A1217" s="11" t="s">
        <v>5501</v>
      </c>
      <c r="B1217" s="12" t="s">
        <v>5904</v>
      </c>
      <c r="C1217" s="10" t="s">
        <v>3754</v>
      </c>
      <c r="D1217" s="13" t="s">
        <v>3754</v>
      </c>
      <c r="E1217" s="29" t="s">
        <v>5502</v>
      </c>
      <c r="F1217" s="13" t="s">
        <v>5503</v>
      </c>
      <c r="G1217" s="8">
        <v>7</v>
      </c>
      <c r="H1217" s="8">
        <v>3</v>
      </c>
      <c r="I1217" s="8"/>
      <c r="J1217" s="29" t="s">
        <v>5504</v>
      </c>
      <c r="K1217" s="29" t="s">
        <v>1956</v>
      </c>
      <c r="L1217" s="29"/>
      <c r="M1217" s="68">
        <v>1</v>
      </c>
      <c r="N1217" s="68" t="s">
        <v>1690</v>
      </c>
    </row>
    <row r="1218" spans="1:14" ht="14.25" x14ac:dyDescent="0.2">
      <c r="A1218" s="11" t="s">
        <v>1034</v>
      </c>
      <c r="B1218" s="12" t="s">
        <v>3723</v>
      </c>
      <c r="C1218" s="10" t="s">
        <v>8621</v>
      </c>
      <c r="D1218" s="13" t="s">
        <v>3761</v>
      </c>
      <c r="E1218" s="29" t="s">
        <v>1035</v>
      </c>
      <c r="F1218" s="13" t="s">
        <v>1036</v>
      </c>
      <c r="G1218" s="8">
        <v>27</v>
      </c>
      <c r="H1218" s="8">
        <v>10</v>
      </c>
      <c r="I1218" s="8"/>
      <c r="J1218" s="29" t="s">
        <v>1264</v>
      </c>
      <c r="K1218" s="29" t="s">
        <v>1037</v>
      </c>
      <c r="L1218" s="29"/>
      <c r="M1218" s="68">
        <v>1</v>
      </c>
      <c r="N1218" s="68" t="s">
        <v>5177</v>
      </c>
    </row>
    <row r="1219" spans="1:14" ht="14.25" x14ac:dyDescent="0.2">
      <c r="A1219" s="11" t="s">
        <v>2938</v>
      </c>
      <c r="B1219" s="12" t="s">
        <v>5020</v>
      </c>
      <c r="C1219" s="10" t="s">
        <v>3754</v>
      </c>
      <c r="D1219" s="13" t="s">
        <v>3761</v>
      </c>
      <c r="E1219" s="29" t="s">
        <v>1030</v>
      </c>
      <c r="F1219" s="13" t="s">
        <v>1031</v>
      </c>
      <c r="G1219" s="8">
        <v>4</v>
      </c>
      <c r="H1219" s="8">
        <v>11</v>
      </c>
      <c r="I1219" s="8"/>
      <c r="J1219" s="29" t="s">
        <v>4579</v>
      </c>
      <c r="K1219" s="29" t="s">
        <v>6738</v>
      </c>
      <c r="L1219" s="29"/>
      <c r="M1219" s="68">
        <v>1</v>
      </c>
      <c r="N1219" s="68" t="s">
        <v>5177</v>
      </c>
    </row>
    <row r="1220" spans="1:14" ht="14.25" x14ac:dyDescent="0.2">
      <c r="A1220" s="14" t="s">
        <v>2938</v>
      </c>
      <c r="B1220" s="12" t="s">
        <v>2961</v>
      </c>
      <c r="C1220" s="19" t="s">
        <v>3757</v>
      </c>
      <c r="D1220" s="16" t="s">
        <v>5548</v>
      </c>
      <c r="E1220" s="27" t="s">
        <v>2962</v>
      </c>
      <c r="F1220" s="16" t="s">
        <v>2963</v>
      </c>
      <c r="G1220" s="8">
        <v>22</v>
      </c>
      <c r="H1220" s="8">
        <v>4</v>
      </c>
      <c r="I1220" s="8"/>
      <c r="J1220" s="27" t="s">
        <v>4738</v>
      </c>
      <c r="K1220" s="27" t="s">
        <v>2964</v>
      </c>
      <c r="L1220" s="29"/>
      <c r="M1220" s="68">
        <v>1</v>
      </c>
      <c r="N1220" s="68" t="s">
        <v>5534</v>
      </c>
    </row>
    <row r="1221" spans="1:14" ht="14.25" x14ac:dyDescent="0.2">
      <c r="A1221" s="14" t="s">
        <v>2938</v>
      </c>
      <c r="B1221" s="12" t="s">
        <v>1879</v>
      </c>
      <c r="C1221" s="19" t="s">
        <v>3754</v>
      </c>
      <c r="D1221" s="16" t="s">
        <v>5548</v>
      </c>
      <c r="E1221" s="27" t="s">
        <v>2939</v>
      </c>
      <c r="F1221" s="16" t="s">
        <v>2940</v>
      </c>
      <c r="G1221" s="8">
        <v>21</v>
      </c>
      <c r="H1221" s="8">
        <v>7</v>
      </c>
      <c r="I1221" s="8">
        <v>3</v>
      </c>
      <c r="J1221" s="27" t="s">
        <v>1264</v>
      </c>
      <c r="K1221" s="27" t="s">
        <v>2941</v>
      </c>
      <c r="L1221" s="29"/>
      <c r="M1221" s="68">
        <v>1</v>
      </c>
      <c r="N1221" s="68" t="s">
        <v>5534</v>
      </c>
    </row>
    <row r="1222" spans="1:14" ht="14.25" x14ac:dyDescent="0.2">
      <c r="A1222" s="11" t="s">
        <v>2938</v>
      </c>
      <c r="B1222" s="12" t="s">
        <v>3733</v>
      </c>
      <c r="C1222" s="10" t="s">
        <v>3754</v>
      </c>
      <c r="D1222" s="13" t="s">
        <v>3761</v>
      </c>
      <c r="E1222" s="29" t="s">
        <v>1027</v>
      </c>
      <c r="F1222" s="13" t="s">
        <v>1028</v>
      </c>
      <c r="G1222" s="8">
        <v>31</v>
      </c>
      <c r="H1222" s="8"/>
      <c r="I1222" s="8"/>
      <c r="J1222" s="29" t="s">
        <v>1264</v>
      </c>
      <c r="K1222" s="29" t="s">
        <v>1029</v>
      </c>
      <c r="L1222" s="29"/>
      <c r="M1222" s="68">
        <v>1</v>
      </c>
      <c r="N1222" s="68" t="s">
        <v>5177</v>
      </c>
    </row>
    <row r="1223" spans="1:14" ht="14.25" x14ac:dyDescent="0.2">
      <c r="A1223" s="11" t="s">
        <v>1049</v>
      </c>
      <c r="B1223" s="12" t="s">
        <v>3740</v>
      </c>
      <c r="C1223" s="10" t="s">
        <v>3757</v>
      </c>
      <c r="D1223" s="13" t="s">
        <v>3761</v>
      </c>
      <c r="E1223" s="29" t="s">
        <v>1050</v>
      </c>
      <c r="F1223" s="13" t="s">
        <v>1051</v>
      </c>
      <c r="G1223" s="8">
        <v>65</v>
      </c>
      <c r="H1223" s="8"/>
      <c r="I1223" s="8"/>
      <c r="J1223" s="29" t="s">
        <v>1277</v>
      </c>
      <c r="K1223" s="29" t="s">
        <v>6752</v>
      </c>
      <c r="L1223" s="29"/>
      <c r="M1223" s="68">
        <v>1</v>
      </c>
      <c r="N1223" s="68" t="s">
        <v>5177</v>
      </c>
    </row>
    <row r="1224" spans="1:14" ht="14.25" x14ac:dyDescent="0.2">
      <c r="A1224" s="14" t="s">
        <v>2942</v>
      </c>
      <c r="B1224" s="12" t="s">
        <v>2943</v>
      </c>
      <c r="C1224" s="19" t="s">
        <v>3754</v>
      </c>
      <c r="D1224" s="16" t="s">
        <v>5548</v>
      </c>
      <c r="E1224" s="27" t="s">
        <v>2944</v>
      </c>
      <c r="F1224" s="16" t="s">
        <v>1171</v>
      </c>
      <c r="G1224" s="8"/>
      <c r="H1224" s="8">
        <v>9</v>
      </c>
      <c r="I1224" s="8">
        <v>14</v>
      </c>
      <c r="J1224" s="27" t="s">
        <v>4829</v>
      </c>
      <c r="K1224" s="27" t="s">
        <v>2945</v>
      </c>
      <c r="L1224" s="29"/>
      <c r="M1224" s="68">
        <v>1</v>
      </c>
      <c r="N1224" s="68" t="s">
        <v>5534</v>
      </c>
    </row>
    <row r="1225" spans="1:14" ht="14.25" x14ac:dyDescent="0.2">
      <c r="A1225" s="14" t="s">
        <v>5546</v>
      </c>
      <c r="B1225" s="12" t="s">
        <v>3740</v>
      </c>
      <c r="C1225" s="19" t="s">
        <v>3754</v>
      </c>
      <c r="D1225" s="16" t="s">
        <v>5548</v>
      </c>
      <c r="E1225" s="27" t="s">
        <v>1170</v>
      </c>
      <c r="F1225" s="16" t="s">
        <v>1171</v>
      </c>
      <c r="G1225" s="8"/>
      <c r="H1225" s="8">
        <v>9</v>
      </c>
      <c r="I1225" s="8"/>
      <c r="J1225" s="27" t="s">
        <v>1172</v>
      </c>
      <c r="K1225" s="27" t="s">
        <v>6722</v>
      </c>
      <c r="L1225" s="29"/>
      <c r="M1225" s="68">
        <v>1</v>
      </c>
      <c r="N1225" s="68" t="s">
        <v>5534</v>
      </c>
    </row>
    <row r="1226" spans="1:14" ht="14.25" x14ac:dyDescent="0.2">
      <c r="A1226" s="14" t="s">
        <v>5546</v>
      </c>
      <c r="B1226" s="12" t="s">
        <v>5547</v>
      </c>
      <c r="C1226" s="19" t="s">
        <v>3754</v>
      </c>
      <c r="D1226" s="16" t="s">
        <v>5548</v>
      </c>
      <c r="E1226" s="27" t="s">
        <v>5549</v>
      </c>
      <c r="F1226" s="16" t="s">
        <v>5550</v>
      </c>
      <c r="G1226" s="8">
        <v>4</v>
      </c>
      <c r="H1226" s="8">
        <v>10</v>
      </c>
      <c r="I1226" s="8"/>
      <c r="J1226" s="27" t="s">
        <v>5551</v>
      </c>
      <c r="K1226" s="27" t="s">
        <v>5552</v>
      </c>
      <c r="L1226" s="29"/>
      <c r="M1226" s="68">
        <v>1</v>
      </c>
      <c r="N1226" s="68" t="s">
        <v>5534</v>
      </c>
    </row>
    <row r="1227" spans="1:14" ht="14.25" x14ac:dyDescent="0.2">
      <c r="A1227" s="11" t="s">
        <v>4006</v>
      </c>
      <c r="B1227" s="12" t="s">
        <v>3734</v>
      </c>
      <c r="C1227" s="10" t="s">
        <v>3757</v>
      </c>
      <c r="D1227" s="13" t="s">
        <v>3761</v>
      </c>
      <c r="E1227" s="29" t="s">
        <v>4007</v>
      </c>
      <c r="F1227" s="13" t="s">
        <v>4008</v>
      </c>
      <c r="G1227" s="8">
        <v>90</v>
      </c>
      <c r="H1227" s="8"/>
      <c r="I1227" s="8"/>
      <c r="J1227" s="29" t="s">
        <v>1271</v>
      </c>
      <c r="K1227" s="29" t="s">
        <v>3383</v>
      </c>
      <c r="L1227" s="29"/>
      <c r="M1227" s="68">
        <v>1</v>
      </c>
      <c r="N1227" s="68" t="s">
        <v>5177</v>
      </c>
    </row>
    <row r="1228" spans="1:14" ht="14.25" x14ac:dyDescent="0.2">
      <c r="A1228" s="11" t="s">
        <v>3609</v>
      </c>
      <c r="B1228" s="12" t="s">
        <v>3740</v>
      </c>
      <c r="C1228" s="21" t="s">
        <v>3754</v>
      </c>
      <c r="D1228" s="13" t="s">
        <v>3761</v>
      </c>
      <c r="E1228" s="29" t="s">
        <v>3610</v>
      </c>
      <c r="F1228" s="13" t="s">
        <v>3611</v>
      </c>
      <c r="G1228" s="8">
        <v>33</v>
      </c>
      <c r="H1228" s="8"/>
      <c r="I1228" s="8"/>
      <c r="J1228" s="29" t="s">
        <v>1264</v>
      </c>
      <c r="K1228" s="29" t="s">
        <v>3612</v>
      </c>
      <c r="L1228" s="29"/>
      <c r="M1228" s="68">
        <v>1</v>
      </c>
      <c r="N1228" s="68" t="s">
        <v>2971</v>
      </c>
    </row>
    <row r="1229" spans="1:14" ht="14.25" x14ac:dyDescent="0.2">
      <c r="A1229" s="14" t="s">
        <v>2950</v>
      </c>
      <c r="B1229" s="12" t="s">
        <v>3732</v>
      </c>
      <c r="C1229" s="19" t="s">
        <v>3754</v>
      </c>
      <c r="D1229" s="16" t="s">
        <v>5548</v>
      </c>
      <c r="E1229" s="27" t="s">
        <v>2951</v>
      </c>
      <c r="F1229" s="16" t="s">
        <v>2952</v>
      </c>
      <c r="G1229" s="8">
        <v>4</v>
      </c>
      <c r="H1229" s="8"/>
      <c r="I1229" s="8"/>
      <c r="J1229" s="27" t="s">
        <v>7319</v>
      </c>
      <c r="K1229" s="27" t="s">
        <v>2345</v>
      </c>
      <c r="L1229" s="29"/>
      <c r="M1229" s="68">
        <v>1</v>
      </c>
      <c r="N1229" s="68" t="s">
        <v>5534</v>
      </c>
    </row>
    <row r="1230" spans="1:14" ht="14.25" x14ac:dyDescent="0.2">
      <c r="A1230" s="14" t="s">
        <v>1191</v>
      </c>
      <c r="B1230" s="12" t="s">
        <v>3740</v>
      </c>
      <c r="C1230" s="19" t="s">
        <v>3754</v>
      </c>
      <c r="D1230" s="16" t="s">
        <v>5548</v>
      </c>
      <c r="E1230" s="27" t="s">
        <v>1192</v>
      </c>
      <c r="F1230" s="16" t="s">
        <v>1193</v>
      </c>
      <c r="G1230" s="8"/>
      <c r="H1230" s="8"/>
      <c r="I1230" s="8">
        <v>1</v>
      </c>
      <c r="J1230" s="27"/>
      <c r="K1230" s="27" t="s">
        <v>1192</v>
      </c>
      <c r="L1230" s="29"/>
      <c r="M1230" s="68">
        <v>1</v>
      </c>
      <c r="N1230" s="68" t="s">
        <v>5534</v>
      </c>
    </row>
    <row r="1231" spans="1:14" ht="14.25" x14ac:dyDescent="0.2">
      <c r="A1231" s="11" t="s">
        <v>7428</v>
      </c>
      <c r="B1231" s="12" t="s">
        <v>5057</v>
      </c>
      <c r="C1231" s="10" t="s">
        <v>3754</v>
      </c>
      <c r="D1231" s="13"/>
      <c r="E1231" s="29" t="s">
        <v>7429</v>
      </c>
      <c r="F1231" s="13" t="s">
        <v>7430</v>
      </c>
      <c r="G1231" s="8">
        <v>14</v>
      </c>
      <c r="H1231" s="8">
        <v>6</v>
      </c>
      <c r="I1231" s="8">
        <v>17</v>
      </c>
      <c r="J1231" s="29" t="s">
        <v>7431</v>
      </c>
      <c r="K1231" s="29" t="s">
        <v>7432</v>
      </c>
      <c r="L1231" s="29"/>
      <c r="M1231" s="68">
        <v>1</v>
      </c>
      <c r="N1231" s="68" t="s">
        <v>2971</v>
      </c>
    </row>
    <row r="1232" spans="1:14" ht="14.25" x14ac:dyDescent="0.2">
      <c r="A1232" s="11" t="s">
        <v>1008</v>
      </c>
      <c r="B1232" s="12" t="s">
        <v>1422</v>
      </c>
      <c r="C1232" s="10" t="s">
        <v>3757</v>
      </c>
      <c r="D1232" s="13" t="s">
        <v>3761</v>
      </c>
      <c r="E1232" s="29" t="s">
        <v>1009</v>
      </c>
      <c r="F1232" s="13" t="s">
        <v>1010</v>
      </c>
      <c r="G1232" s="8">
        <v>50</v>
      </c>
      <c r="H1232" s="8"/>
      <c r="I1232" s="8"/>
      <c r="J1232" s="29" t="s">
        <v>1264</v>
      </c>
      <c r="K1232" s="29" t="s">
        <v>1011</v>
      </c>
      <c r="L1232" s="29"/>
      <c r="M1232" s="68">
        <v>1</v>
      </c>
      <c r="N1232" s="68" t="s">
        <v>5177</v>
      </c>
    </row>
    <row r="1233" spans="1:14" ht="14.25" x14ac:dyDescent="0.2">
      <c r="A1233" s="11" t="s">
        <v>1714</v>
      </c>
      <c r="B1233" s="12" t="s">
        <v>3728</v>
      </c>
      <c r="C1233" s="21" t="s">
        <v>3757</v>
      </c>
      <c r="D1233" s="13"/>
      <c r="E1233" s="29" t="s">
        <v>1715</v>
      </c>
      <c r="F1233" s="13" t="s">
        <v>3754</v>
      </c>
      <c r="G1233" s="8">
        <v>50</v>
      </c>
      <c r="H1233" s="8"/>
      <c r="I1233" s="8"/>
      <c r="J1233" s="29" t="s">
        <v>1264</v>
      </c>
      <c r="K1233" s="29" t="s">
        <v>1383</v>
      </c>
      <c r="L1233" s="29"/>
      <c r="M1233" s="68">
        <v>1</v>
      </c>
      <c r="N1233" s="68" t="s">
        <v>1690</v>
      </c>
    </row>
    <row r="1234" spans="1:14" ht="14.25" x14ac:dyDescent="0.2">
      <c r="A1234" s="11" t="s">
        <v>1710</v>
      </c>
      <c r="B1234" s="12" t="s">
        <v>1711</v>
      </c>
      <c r="C1234" s="21" t="s">
        <v>3754</v>
      </c>
      <c r="D1234" s="13" t="s">
        <v>4717</v>
      </c>
      <c r="E1234" s="29"/>
      <c r="F1234" s="13" t="s">
        <v>3754</v>
      </c>
      <c r="G1234" s="8">
        <v>1</v>
      </c>
      <c r="H1234" s="8">
        <v>3</v>
      </c>
      <c r="I1234" s="8"/>
      <c r="J1234" s="29" t="s">
        <v>1412</v>
      </c>
      <c r="K1234" s="29" t="s">
        <v>8494</v>
      </c>
      <c r="L1234" s="29"/>
      <c r="M1234" s="68">
        <v>1</v>
      </c>
      <c r="N1234" s="68" t="s">
        <v>1690</v>
      </c>
    </row>
    <row r="1235" spans="1:14" ht="14.25" x14ac:dyDescent="0.2">
      <c r="A1235" s="14" t="s">
        <v>5225</v>
      </c>
      <c r="B1235" s="12" t="s">
        <v>8507</v>
      </c>
      <c r="C1235" s="19" t="s">
        <v>3754</v>
      </c>
      <c r="D1235" s="16" t="s">
        <v>5548</v>
      </c>
      <c r="E1235" s="27" t="s">
        <v>2925</v>
      </c>
      <c r="F1235" s="16" t="s">
        <v>2924</v>
      </c>
      <c r="G1235" s="8">
        <v>1</v>
      </c>
      <c r="H1235" s="8">
        <v>1</v>
      </c>
      <c r="I1235" s="8"/>
      <c r="J1235" s="27" t="s">
        <v>4829</v>
      </c>
      <c r="K1235" s="27" t="s">
        <v>5972</v>
      </c>
      <c r="L1235" s="29"/>
      <c r="M1235" s="68">
        <v>1</v>
      </c>
      <c r="N1235" s="68" t="s">
        <v>5534</v>
      </c>
    </row>
    <row r="1236" spans="1:14" ht="14.25" x14ac:dyDescent="0.2">
      <c r="A1236" s="11" t="s">
        <v>5225</v>
      </c>
      <c r="B1236" s="12" t="s">
        <v>4982</v>
      </c>
      <c r="C1236" s="21" t="s">
        <v>3754</v>
      </c>
      <c r="D1236" s="13" t="s">
        <v>1464</v>
      </c>
      <c r="E1236" s="29" t="s">
        <v>3847</v>
      </c>
      <c r="F1236" s="13" t="s">
        <v>5675</v>
      </c>
      <c r="G1236" s="8"/>
      <c r="H1236" s="8">
        <v>5</v>
      </c>
      <c r="I1236" s="8"/>
      <c r="J1236" s="29" t="s">
        <v>1254</v>
      </c>
      <c r="K1236" s="29" t="s">
        <v>3848</v>
      </c>
      <c r="L1236" s="29"/>
      <c r="M1236" s="68">
        <v>1</v>
      </c>
      <c r="N1236" s="68" t="s">
        <v>2971</v>
      </c>
    </row>
    <row r="1237" spans="1:14" ht="14.25" x14ac:dyDescent="0.2">
      <c r="A1237" s="11" t="s">
        <v>5225</v>
      </c>
      <c r="B1237" s="12" t="s">
        <v>5226</v>
      </c>
      <c r="C1237" s="10" t="s">
        <v>3754</v>
      </c>
      <c r="D1237" s="13" t="s">
        <v>3754</v>
      </c>
      <c r="E1237" s="29" t="s">
        <v>5488</v>
      </c>
      <c r="F1237" s="13" t="s">
        <v>5675</v>
      </c>
      <c r="G1237" s="8">
        <v>23</v>
      </c>
      <c r="H1237" s="8"/>
      <c r="I1237" s="8"/>
      <c r="J1237" s="29" t="s">
        <v>1264</v>
      </c>
      <c r="K1237" s="29" t="s">
        <v>1860</v>
      </c>
      <c r="L1237" s="29"/>
      <c r="M1237" s="68">
        <v>1</v>
      </c>
      <c r="N1237" s="68" t="s">
        <v>1690</v>
      </c>
    </row>
    <row r="1238" spans="1:14" ht="14.25" x14ac:dyDescent="0.2">
      <c r="A1238" s="11" t="s">
        <v>5225</v>
      </c>
      <c r="B1238" s="5" t="s">
        <v>8616</v>
      </c>
      <c r="C1238" s="10" t="s">
        <v>3754</v>
      </c>
      <c r="D1238" s="13"/>
      <c r="E1238" s="29" t="s">
        <v>3834</v>
      </c>
      <c r="F1238" s="13" t="s">
        <v>3835</v>
      </c>
      <c r="G1238" s="8">
        <v>1</v>
      </c>
      <c r="H1238" s="8">
        <v>6</v>
      </c>
      <c r="I1238" s="8"/>
      <c r="J1238" s="29" t="s">
        <v>7319</v>
      </c>
      <c r="K1238" s="29" t="s">
        <v>3836</v>
      </c>
      <c r="L1238" s="61"/>
      <c r="M1238" s="68">
        <v>1</v>
      </c>
      <c r="N1238" s="68" t="s">
        <v>2971</v>
      </c>
    </row>
    <row r="1239" spans="1:14" ht="14.25" x14ac:dyDescent="0.2">
      <c r="A1239" s="9" t="s">
        <v>5225</v>
      </c>
      <c r="B1239" s="5" t="s">
        <v>3747</v>
      </c>
      <c r="C1239" s="10" t="s">
        <v>3754</v>
      </c>
      <c r="D1239" s="10" t="s">
        <v>3761</v>
      </c>
      <c r="E1239" s="55" t="s">
        <v>8119</v>
      </c>
      <c r="F1239" s="10" t="s">
        <v>8120</v>
      </c>
      <c r="G1239" s="8">
        <v>32</v>
      </c>
      <c r="H1239" s="8"/>
      <c r="I1239" s="8"/>
      <c r="J1239" s="55" t="s">
        <v>1272</v>
      </c>
      <c r="K1239" s="55" t="s">
        <v>8121</v>
      </c>
      <c r="L1239" s="61"/>
      <c r="M1239" s="68">
        <v>1</v>
      </c>
      <c r="N1239" s="68" t="s">
        <v>5177</v>
      </c>
    </row>
    <row r="1240" spans="1:14" ht="14.25" x14ac:dyDescent="0.2">
      <c r="A1240" s="17" t="s">
        <v>5225</v>
      </c>
      <c r="B1240" s="5" t="s">
        <v>3751</v>
      </c>
      <c r="C1240" s="19" t="s">
        <v>3754</v>
      </c>
      <c r="D1240" s="19" t="s">
        <v>5548</v>
      </c>
      <c r="E1240" s="45" t="s">
        <v>2923</v>
      </c>
      <c r="F1240" s="19" t="s">
        <v>2924</v>
      </c>
      <c r="G1240" s="8"/>
      <c r="H1240" s="8">
        <v>2</v>
      </c>
      <c r="I1240" s="8"/>
      <c r="J1240" s="45" t="s">
        <v>4748</v>
      </c>
      <c r="K1240" s="45" t="s">
        <v>5972</v>
      </c>
      <c r="L1240" s="61"/>
      <c r="M1240" s="68">
        <v>1</v>
      </c>
      <c r="N1240" s="68" t="s">
        <v>5534</v>
      </c>
    </row>
    <row r="1241" spans="1:14" ht="14.25" x14ac:dyDescent="0.2">
      <c r="A1241" s="14" t="s">
        <v>2970</v>
      </c>
      <c r="B1241" s="12" t="s">
        <v>2969</v>
      </c>
      <c r="C1241" s="19" t="s">
        <v>3757</v>
      </c>
      <c r="D1241" s="16" t="s">
        <v>5548</v>
      </c>
      <c r="E1241" s="27" t="s">
        <v>2926</v>
      </c>
      <c r="F1241" s="16" t="s">
        <v>2924</v>
      </c>
      <c r="G1241" s="8">
        <v>40</v>
      </c>
      <c r="H1241" s="8"/>
      <c r="I1241" s="8"/>
      <c r="J1241" s="27" t="s">
        <v>5010</v>
      </c>
      <c r="K1241" s="27" t="s">
        <v>2927</v>
      </c>
      <c r="L1241" s="29"/>
      <c r="M1241" s="68">
        <v>1</v>
      </c>
      <c r="N1241" s="68" t="s">
        <v>5534</v>
      </c>
    </row>
    <row r="1242" spans="1:14" ht="14.25" x14ac:dyDescent="0.2">
      <c r="A1242" s="14" t="s">
        <v>1719</v>
      </c>
      <c r="B1242" s="12" t="s">
        <v>4684</v>
      </c>
      <c r="C1242" s="19" t="s">
        <v>3757</v>
      </c>
      <c r="D1242" s="16" t="s">
        <v>5548</v>
      </c>
      <c r="E1242" s="27" t="s">
        <v>8600</v>
      </c>
      <c r="F1242" s="16" t="s">
        <v>5544</v>
      </c>
      <c r="G1242" s="8">
        <v>74</v>
      </c>
      <c r="H1242" s="8"/>
      <c r="I1242" s="8"/>
      <c r="J1242" s="27" t="s">
        <v>4844</v>
      </c>
      <c r="K1242" s="27" t="s">
        <v>4845</v>
      </c>
      <c r="L1242" s="29"/>
      <c r="M1242" s="68">
        <v>1</v>
      </c>
      <c r="N1242" s="68" t="s">
        <v>5534</v>
      </c>
    </row>
    <row r="1243" spans="1:14" ht="14.25" x14ac:dyDescent="0.2">
      <c r="A1243" s="14" t="s">
        <v>1719</v>
      </c>
      <c r="B1243" s="12" t="s">
        <v>4908</v>
      </c>
      <c r="C1243" s="19" t="s">
        <v>3757</v>
      </c>
      <c r="D1243" s="16" t="s">
        <v>5548</v>
      </c>
      <c r="E1243" s="27" t="s">
        <v>2935</v>
      </c>
      <c r="F1243" s="16" t="s">
        <v>2936</v>
      </c>
      <c r="G1243" s="8">
        <v>72</v>
      </c>
      <c r="H1243" s="8"/>
      <c r="I1243" s="8"/>
      <c r="J1243" s="27" t="s">
        <v>1271</v>
      </c>
      <c r="K1243" s="27" t="s">
        <v>2937</v>
      </c>
      <c r="L1243" s="29"/>
      <c r="M1243" s="68">
        <v>1</v>
      </c>
      <c r="N1243" s="68" t="s">
        <v>5534</v>
      </c>
    </row>
    <row r="1244" spans="1:14" ht="14.25" x14ac:dyDescent="0.2">
      <c r="A1244" s="11" t="s">
        <v>1719</v>
      </c>
      <c r="B1244" s="12" t="s">
        <v>5920</v>
      </c>
      <c r="C1244" s="10" t="s">
        <v>4884</v>
      </c>
      <c r="D1244" s="13" t="s">
        <v>3761</v>
      </c>
      <c r="E1244" s="29" t="s">
        <v>3861</v>
      </c>
      <c r="F1244" s="13" t="s">
        <v>8533</v>
      </c>
      <c r="G1244" s="8">
        <v>30</v>
      </c>
      <c r="H1244" s="8"/>
      <c r="I1244" s="8"/>
      <c r="J1244" s="29" t="s">
        <v>1264</v>
      </c>
      <c r="K1244" s="29" t="s">
        <v>3862</v>
      </c>
      <c r="L1244" s="29"/>
      <c r="M1244" s="68">
        <v>1</v>
      </c>
      <c r="N1244" s="68" t="s">
        <v>2971</v>
      </c>
    </row>
    <row r="1245" spans="1:14" ht="28.5" x14ac:dyDescent="0.2">
      <c r="A1245" s="11" t="s">
        <v>1719</v>
      </c>
      <c r="B1245" s="12" t="s">
        <v>1720</v>
      </c>
      <c r="C1245" s="10" t="s">
        <v>3758</v>
      </c>
      <c r="D1245" s="13" t="s">
        <v>3761</v>
      </c>
      <c r="E1245" s="29"/>
      <c r="F1245" s="13" t="s">
        <v>1721</v>
      </c>
      <c r="G1245" s="8">
        <v>25</v>
      </c>
      <c r="H1245" s="8"/>
      <c r="I1245" s="8"/>
      <c r="J1245" s="29" t="s">
        <v>1722</v>
      </c>
      <c r="K1245" s="29" t="s">
        <v>1723</v>
      </c>
      <c r="L1245" s="29"/>
      <c r="M1245" s="68">
        <v>1</v>
      </c>
      <c r="N1245" s="68" t="s">
        <v>1690</v>
      </c>
    </row>
    <row r="1246" spans="1:14" ht="14.25" x14ac:dyDescent="0.2">
      <c r="A1246" s="14" t="s">
        <v>1719</v>
      </c>
      <c r="B1246" s="12" t="s">
        <v>5542</v>
      </c>
      <c r="C1246" s="19" t="s">
        <v>3758</v>
      </c>
      <c r="D1246" s="16" t="s">
        <v>5536</v>
      </c>
      <c r="E1246" s="27" t="s">
        <v>5543</v>
      </c>
      <c r="F1246" s="16" t="s">
        <v>5544</v>
      </c>
      <c r="G1246" s="8">
        <v>30</v>
      </c>
      <c r="H1246" s="8"/>
      <c r="I1246" s="8"/>
      <c r="J1246" s="27" t="s">
        <v>1472</v>
      </c>
      <c r="K1246" s="27" t="s">
        <v>5545</v>
      </c>
      <c r="L1246" s="29"/>
      <c r="M1246" s="68">
        <v>1</v>
      </c>
      <c r="N1246" s="68" t="s">
        <v>5534</v>
      </c>
    </row>
    <row r="1247" spans="1:14" ht="14.25" x14ac:dyDescent="0.2">
      <c r="A1247" s="11" t="s">
        <v>1707</v>
      </c>
      <c r="B1247" s="12" t="s">
        <v>2094</v>
      </c>
      <c r="C1247" s="10" t="s">
        <v>3767</v>
      </c>
      <c r="D1247" s="13"/>
      <c r="E1247" s="29" t="s">
        <v>1708</v>
      </c>
      <c r="F1247" s="13" t="s">
        <v>1960</v>
      </c>
      <c r="G1247" s="8">
        <v>2</v>
      </c>
      <c r="H1247" s="8">
        <v>10</v>
      </c>
      <c r="I1247" s="8"/>
      <c r="J1247" s="29" t="s">
        <v>6040</v>
      </c>
      <c r="K1247" s="29" t="s">
        <v>1709</v>
      </c>
      <c r="L1247" s="29"/>
      <c r="M1247" s="68">
        <v>1</v>
      </c>
      <c r="N1247" s="68" t="s">
        <v>1690</v>
      </c>
    </row>
    <row r="1248" spans="1:14" ht="14.25" x14ac:dyDescent="0.2">
      <c r="A1248" s="11" t="s">
        <v>5505</v>
      </c>
      <c r="B1248" s="12" t="s">
        <v>5506</v>
      </c>
      <c r="C1248" s="10" t="s">
        <v>3754</v>
      </c>
      <c r="D1248" s="13" t="s">
        <v>5507</v>
      </c>
      <c r="E1248" s="29"/>
      <c r="F1248" s="13" t="s">
        <v>5508</v>
      </c>
      <c r="G1248" s="8">
        <v>2</v>
      </c>
      <c r="H1248" s="8">
        <v>8</v>
      </c>
      <c r="I1248" s="8"/>
      <c r="J1248" s="29" t="s">
        <v>4748</v>
      </c>
      <c r="K1248" s="29" t="s">
        <v>1429</v>
      </c>
      <c r="L1248" s="29"/>
      <c r="M1248" s="68">
        <v>1</v>
      </c>
      <c r="N1248" s="68" t="s">
        <v>1690</v>
      </c>
    </row>
    <row r="1249" spans="1:14" ht="14.25" x14ac:dyDescent="0.2">
      <c r="A1249" s="14" t="s">
        <v>1173</v>
      </c>
      <c r="B1249" s="12" t="s">
        <v>1174</v>
      </c>
      <c r="C1249" s="19" t="s">
        <v>3754</v>
      </c>
      <c r="D1249" s="16" t="s">
        <v>5548</v>
      </c>
      <c r="E1249" s="27" t="s">
        <v>1175</v>
      </c>
      <c r="F1249" s="16" t="s">
        <v>1176</v>
      </c>
      <c r="G1249" s="8">
        <v>58</v>
      </c>
      <c r="H1249" s="8"/>
      <c r="I1249" s="8"/>
      <c r="J1249" s="27" t="s">
        <v>1272</v>
      </c>
      <c r="K1249" s="27" t="s">
        <v>3085</v>
      </c>
      <c r="L1249" s="29"/>
      <c r="M1249" s="68">
        <v>1</v>
      </c>
      <c r="N1249" s="68" t="s">
        <v>5534</v>
      </c>
    </row>
    <row r="1250" spans="1:14" ht="14.25" x14ac:dyDescent="0.2">
      <c r="A1250" s="11" t="s">
        <v>2268</v>
      </c>
      <c r="B1250" s="12" t="s">
        <v>1177</v>
      </c>
      <c r="C1250" s="10" t="s">
        <v>3754</v>
      </c>
      <c r="D1250" s="13" t="s">
        <v>3754</v>
      </c>
      <c r="E1250" s="29" t="s">
        <v>2269</v>
      </c>
      <c r="F1250" s="13" t="s">
        <v>2270</v>
      </c>
      <c r="G1250" s="21" t="s">
        <v>1464</v>
      </c>
      <c r="H1250" s="21"/>
      <c r="I1250" s="21">
        <v>21</v>
      </c>
      <c r="J1250" s="29" t="s">
        <v>2271</v>
      </c>
      <c r="K1250" s="29" t="s">
        <v>5335</v>
      </c>
      <c r="L1250" s="95"/>
      <c r="M1250" s="68">
        <v>1</v>
      </c>
      <c r="N1250" s="68" t="s">
        <v>2154</v>
      </c>
    </row>
    <row r="1251" spans="1:14" ht="14.25" x14ac:dyDescent="0.2">
      <c r="A1251" s="14" t="s">
        <v>2273</v>
      </c>
      <c r="B1251" s="15" t="s">
        <v>1432</v>
      </c>
      <c r="C1251" s="19" t="s">
        <v>3757</v>
      </c>
      <c r="D1251" s="28"/>
      <c r="E1251" s="27" t="s">
        <v>5021</v>
      </c>
      <c r="F1251" s="16" t="s">
        <v>6195</v>
      </c>
      <c r="G1251" s="8">
        <v>34</v>
      </c>
      <c r="H1251" s="8"/>
      <c r="I1251" s="8"/>
      <c r="J1251" s="27" t="s">
        <v>1264</v>
      </c>
      <c r="K1251" s="27"/>
      <c r="L1251" s="29"/>
      <c r="M1251" s="68">
        <v>1</v>
      </c>
      <c r="N1251" s="68" t="s">
        <v>2272</v>
      </c>
    </row>
    <row r="1252" spans="1:14" ht="14.25" x14ac:dyDescent="0.2">
      <c r="A1252" s="14" t="s">
        <v>2563</v>
      </c>
      <c r="B1252" s="15" t="s">
        <v>3740</v>
      </c>
      <c r="C1252" s="19" t="s">
        <v>3757</v>
      </c>
      <c r="D1252" s="13" t="s">
        <v>3754</v>
      </c>
      <c r="E1252" s="27" t="s">
        <v>1482</v>
      </c>
      <c r="F1252" s="16" t="s">
        <v>2564</v>
      </c>
      <c r="G1252" s="8">
        <v>42</v>
      </c>
      <c r="H1252" s="8"/>
      <c r="I1252" s="8"/>
      <c r="J1252" s="27" t="s">
        <v>1264</v>
      </c>
      <c r="K1252" s="27" t="s">
        <v>1490</v>
      </c>
      <c r="L1252" s="29"/>
      <c r="M1252" s="68">
        <v>1</v>
      </c>
      <c r="N1252" s="68" t="s">
        <v>2560</v>
      </c>
    </row>
    <row r="1253" spans="1:14" ht="14.25" x14ac:dyDescent="0.2">
      <c r="A1253" s="14" t="s">
        <v>4010</v>
      </c>
      <c r="B1253" s="15" t="s">
        <v>4011</v>
      </c>
      <c r="C1253" s="19" t="s">
        <v>3757</v>
      </c>
      <c r="D1253" s="13" t="s">
        <v>4012</v>
      </c>
      <c r="E1253" s="27"/>
      <c r="F1253" s="16" t="s">
        <v>3754</v>
      </c>
      <c r="G1253" s="8">
        <v>68</v>
      </c>
      <c r="H1253" s="8"/>
      <c r="I1253" s="8"/>
      <c r="J1253" s="27" t="s">
        <v>1264</v>
      </c>
      <c r="K1253" s="29" t="s">
        <v>4013</v>
      </c>
      <c r="L1253" s="27"/>
      <c r="M1253" s="68">
        <v>1</v>
      </c>
      <c r="N1253" s="68" t="s">
        <v>4009</v>
      </c>
    </row>
    <row r="1254" spans="1:14" ht="14.25" x14ac:dyDescent="0.2">
      <c r="A1254" s="14" t="s">
        <v>4010</v>
      </c>
      <c r="B1254" s="15" t="s">
        <v>4685</v>
      </c>
      <c r="C1254" s="19" t="s">
        <v>3754</v>
      </c>
      <c r="D1254" s="13"/>
      <c r="E1254" s="27" t="s">
        <v>4081</v>
      </c>
      <c r="F1254" s="16" t="s">
        <v>3754</v>
      </c>
      <c r="G1254" s="8">
        <v>42</v>
      </c>
      <c r="H1254" s="8"/>
      <c r="I1254" s="8"/>
      <c r="J1254" s="27" t="s">
        <v>1264</v>
      </c>
      <c r="K1254" s="29"/>
      <c r="L1254" s="27"/>
      <c r="M1254" s="68">
        <v>1</v>
      </c>
      <c r="N1254" s="68" t="s">
        <v>4009</v>
      </c>
    </row>
    <row r="1255" spans="1:14" ht="14.25" x14ac:dyDescent="0.2">
      <c r="A1255" s="43" t="s">
        <v>4010</v>
      </c>
      <c r="B1255" s="44" t="s">
        <v>3740</v>
      </c>
      <c r="C1255" s="45" t="s">
        <v>3757</v>
      </c>
      <c r="D1255" s="27" t="s">
        <v>3754</v>
      </c>
      <c r="E1255" s="29" t="s">
        <v>965</v>
      </c>
      <c r="F1255" s="27" t="s">
        <v>960</v>
      </c>
      <c r="G1255" s="8">
        <v>54</v>
      </c>
      <c r="H1255" s="8">
        <v>4</v>
      </c>
      <c r="I1255" s="8">
        <v>17</v>
      </c>
      <c r="J1255" s="27" t="s">
        <v>1267</v>
      </c>
      <c r="K1255" s="29" t="s">
        <v>4754</v>
      </c>
      <c r="L1255" s="96"/>
      <c r="M1255" s="68">
        <v>1</v>
      </c>
      <c r="N1255" s="68" t="s">
        <v>947</v>
      </c>
    </row>
    <row r="1256" spans="1:14" ht="14.25" x14ac:dyDescent="0.2">
      <c r="A1256" s="14" t="s">
        <v>4010</v>
      </c>
      <c r="B1256" s="15" t="s">
        <v>3723</v>
      </c>
      <c r="C1256" s="19" t="s">
        <v>3757</v>
      </c>
      <c r="D1256" s="13" t="s">
        <v>3754</v>
      </c>
      <c r="E1256" s="27" t="s">
        <v>2549</v>
      </c>
      <c r="F1256" s="16" t="s">
        <v>960</v>
      </c>
      <c r="G1256" s="8">
        <v>71</v>
      </c>
      <c r="H1256" s="8"/>
      <c r="I1256" s="8"/>
      <c r="J1256" s="27" t="s">
        <v>1259</v>
      </c>
      <c r="K1256" s="27" t="s">
        <v>2550</v>
      </c>
      <c r="L1256" s="29"/>
      <c r="M1256" s="68">
        <v>1</v>
      </c>
      <c r="N1256" s="68" t="s">
        <v>2272</v>
      </c>
    </row>
    <row r="1257" spans="1:14" ht="14.25" x14ac:dyDescent="0.2">
      <c r="A1257" s="11" t="s">
        <v>5777</v>
      </c>
      <c r="B1257" s="12" t="s">
        <v>3740</v>
      </c>
      <c r="C1257" s="10" t="s">
        <v>3757</v>
      </c>
      <c r="D1257" s="13" t="s">
        <v>3754</v>
      </c>
      <c r="E1257" s="29" t="s">
        <v>1753</v>
      </c>
      <c r="F1257" s="13" t="s">
        <v>3754</v>
      </c>
      <c r="G1257" s="21">
        <v>45</v>
      </c>
      <c r="H1257" s="21"/>
      <c r="I1257" s="21"/>
      <c r="J1257" s="29" t="s">
        <v>1754</v>
      </c>
      <c r="K1257" s="29" t="s">
        <v>8625</v>
      </c>
      <c r="L1257" s="29"/>
      <c r="M1257" s="68">
        <v>1</v>
      </c>
      <c r="N1257" s="68" t="s">
        <v>4286</v>
      </c>
    </row>
    <row r="1258" spans="1:14" ht="14.25" x14ac:dyDescent="0.2">
      <c r="A1258" s="11" t="s">
        <v>5777</v>
      </c>
      <c r="B1258" s="12" t="s">
        <v>5778</v>
      </c>
      <c r="C1258" s="10" t="s">
        <v>3757</v>
      </c>
      <c r="D1258" s="13" t="s">
        <v>3761</v>
      </c>
      <c r="E1258" s="29" t="s">
        <v>5779</v>
      </c>
      <c r="F1258" s="13" t="s">
        <v>5207</v>
      </c>
      <c r="G1258" s="21">
        <v>65</v>
      </c>
      <c r="H1258" s="21"/>
      <c r="I1258" s="21"/>
      <c r="J1258" s="29" t="s">
        <v>6573</v>
      </c>
      <c r="K1258" s="29" t="s">
        <v>5780</v>
      </c>
      <c r="L1258" s="29"/>
      <c r="M1258" s="68">
        <v>1</v>
      </c>
      <c r="N1258" s="68" t="s">
        <v>4286</v>
      </c>
    </row>
    <row r="1259" spans="1:14" ht="14.25" x14ac:dyDescent="0.2">
      <c r="A1259" s="14" t="s">
        <v>4037</v>
      </c>
      <c r="B1259" s="15" t="s">
        <v>3727</v>
      </c>
      <c r="C1259" s="19" t="s">
        <v>3757</v>
      </c>
      <c r="D1259" s="13" t="s">
        <v>3754</v>
      </c>
      <c r="E1259" s="27" t="s">
        <v>2584</v>
      </c>
      <c r="F1259" s="16" t="s">
        <v>2893</v>
      </c>
      <c r="G1259" s="8">
        <v>67</v>
      </c>
      <c r="H1259" s="8"/>
      <c r="I1259" s="8"/>
      <c r="J1259" s="27" t="s">
        <v>1271</v>
      </c>
      <c r="K1259" s="27" t="s">
        <v>3670</v>
      </c>
      <c r="L1259" s="29"/>
      <c r="M1259" s="68">
        <v>1</v>
      </c>
      <c r="N1259" s="68" t="s">
        <v>2560</v>
      </c>
    </row>
    <row r="1260" spans="1:14" ht="14.25" x14ac:dyDescent="0.2">
      <c r="A1260" s="14" t="s">
        <v>4037</v>
      </c>
      <c r="B1260" s="15" t="s">
        <v>4684</v>
      </c>
      <c r="C1260" s="19" t="s">
        <v>3757</v>
      </c>
      <c r="D1260" s="13" t="s">
        <v>3754</v>
      </c>
      <c r="E1260" s="27" t="s">
        <v>4038</v>
      </c>
      <c r="F1260" s="16" t="s">
        <v>3754</v>
      </c>
      <c r="G1260" s="8">
        <v>28</v>
      </c>
      <c r="H1260" s="8"/>
      <c r="I1260" s="8"/>
      <c r="J1260" s="27" t="s">
        <v>1264</v>
      </c>
      <c r="K1260" s="27" t="s">
        <v>4038</v>
      </c>
      <c r="L1260" s="27"/>
      <c r="M1260" s="68">
        <v>1</v>
      </c>
      <c r="N1260" s="68" t="s">
        <v>4009</v>
      </c>
    </row>
    <row r="1261" spans="1:14" ht="14.25" x14ac:dyDescent="0.2">
      <c r="A1261" s="43" t="s">
        <v>8092</v>
      </c>
      <c r="B1261" s="44" t="s">
        <v>8093</v>
      </c>
      <c r="C1261" s="46" t="s">
        <v>3754</v>
      </c>
      <c r="D1261" s="27" t="s">
        <v>3754</v>
      </c>
      <c r="E1261" s="29" t="s">
        <v>5215</v>
      </c>
      <c r="F1261" s="27" t="s">
        <v>5216</v>
      </c>
      <c r="G1261" s="8">
        <v>2</v>
      </c>
      <c r="H1261" s="8"/>
      <c r="I1261" s="8"/>
      <c r="J1261" s="27" t="s">
        <v>1264</v>
      </c>
      <c r="K1261" s="29" t="s">
        <v>1440</v>
      </c>
      <c r="L1261" s="96"/>
      <c r="M1261" s="68">
        <v>1</v>
      </c>
      <c r="N1261" s="68" t="s">
        <v>947</v>
      </c>
    </row>
    <row r="1262" spans="1:14" ht="14.25" x14ac:dyDescent="0.2">
      <c r="A1262" s="43" t="s">
        <v>8092</v>
      </c>
      <c r="B1262" s="44" t="s">
        <v>5787</v>
      </c>
      <c r="C1262" s="45" t="s">
        <v>3754</v>
      </c>
      <c r="D1262" s="27" t="s">
        <v>3754</v>
      </c>
      <c r="E1262" s="29"/>
      <c r="F1262" s="27" t="s">
        <v>5216</v>
      </c>
      <c r="G1262" s="8"/>
      <c r="H1262" s="8">
        <v>7</v>
      </c>
      <c r="I1262" s="8"/>
      <c r="J1262" s="27" t="s">
        <v>1264</v>
      </c>
      <c r="K1262" s="29" t="s">
        <v>1440</v>
      </c>
      <c r="L1262" s="96"/>
      <c r="M1262" s="68">
        <v>1</v>
      </c>
      <c r="N1262" s="68" t="s">
        <v>947</v>
      </c>
    </row>
    <row r="1263" spans="1:14" ht="14.25" x14ac:dyDescent="0.2">
      <c r="A1263" s="14" t="s">
        <v>4053</v>
      </c>
      <c r="B1263" s="15" t="s">
        <v>4908</v>
      </c>
      <c r="C1263" s="19" t="s">
        <v>3757</v>
      </c>
      <c r="D1263" s="13" t="s">
        <v>3754</v>
      </c>
      <c r="E1263" s="27">
        <v>1848</v>
      </c>
      <c r="F1263" s="16" t="s">
        <v>3754</v>
      </c>
      <c r="G1263" s="8">
        <v>34</v>
      </c>
      <c r="H1263" s="8"/>
      <c r="I1263" s="8"/>
      <c r="J1263" s="27" t="s">
        <v>2335</v>
      </c>
      <c r="K1263" s="27" t="s">
        <v>4769</v>
      </c>
      <c r="L1263" s="27"/>
      <c r="M1263" s="68">
        <v>1</v>
      </c>
      <c r="N1263" s="68" t="s">
        <v>4009</v>
      </c>
    </row>
    <row r="1264" spans="1:14" ht="14.25" x14ac:dyDescent="0.2">
      <c r="A1264" s="11" t="s">
        <v>4053</v>
      </c>
      <c r="B1264" s="12" t="s">
        <v>3723</v>
      </c>
      <c r="C1264" s="10" t="s">
        <v>3757</v>
      </c>
      <c r="D1264" s="34" t="s">
        <v>3754</v>
      </c>
      <c r="E1264" s="27" t="s">
        <v>3149</v>
      </c>
      <c r="F1264" s="13"/>
      <c r="G1264" s="21">
        <v>33</v>
      </c>
      <c r="H1264" s="21"/>
      <c r="I1264" s="21"/>
      <c r="J1264" s="29" t="s">
        <v>8795</v>
      </c>
      <c r="K1264" s="29" t="s">
        <v>3151</v>
      </c>
      <c r="L1264" s="29"/>
      <c r="M1264" s="68">
        <v>1</v>
      </c>
      <c r="N1264" s="68" t="s">
        <v>4286</v>
      </c>
    </row>
    <row r="1265" spans="1:14" ht="14.25" x14ac:dyDescent="0.2">
      <c r="A1265" s="11" t="s">
        <v>4053</v>
      </c>
      <c r="B1265" s="12" t="s">
        <v>3738</v>
      </c>
      <c r="C1265" s="10" t="s">
        <v>3767</v>
      </c>
      <c r="D1265" s="34" t="s">
        <v>3754</v>
      </c>
      <c r="E1265" s="27" t="s">
        <v>2141</v>
      </c>
      <c r="F1265" s="13" t="s">
        <v>2142</v>
      </c>
      <c r="G1265" s="21"/>
      <c r="H1265" s="21">
        <v>5</v>
      </c>
      <c r="I1265" s="21"/>
      <c r="J1265" s="29" t="s">
        <v>4829</v>
      </c>
      <c r="K1265" s="29" t="s">
        <v>4898</v>
      </c>
      <c r="L1265" s="29"/>
      <c r="M1265" s="68">
        <v>1</v>
      </c>
      <c r="N1265" s="68" t="s">
        <v>4286</v>
      </c>
    </row>
    <row r="1266" spans="1:14" ht="14.25" x14ac:dyDescent="0.2">
      <c r="A1266" s="11" t="s">
        <v>2216</v>
      </c>
      <c r="B1266" s="12" t="s">
        <v>1648</v>
      </c>
      <c r="C1266" s="10" t="s">
        <v>3767</v>
      </c>
      <c r="D1266" s="13" t="s">
        <v>3767</v>
      </c>
      <c r="E1266" s="29" t="s">
        <v>2217</v>
      </c>
      <c r="F1266" s="13" t="s">
        <v>2218</v>
      </c>
      <c r="G1266" s="21">
        <v>30</v>
      </c>
      <c r="H1266" s="21"/>
      <c r="I1266" s="21"/>
      <c r="J1266" s="29" t="s">
        <v>1272</v>
      </c>
      <c r="K1266" s="29" t="s">
        <v>5309</v>
      </c>
      <c r="L1266" s="29"/>
      <c r="M1266" s="68">
        <v>1</v>
      </c>
      <c r="N1266" s="68" t="s">
        <v>2154</v>
      </c>
    </row>
    <row r="1267" spans="1:14" ht="14.25" x14ac:dyDescent="0.2">
      <c r="A1267" s="14" t="s">
        <v>4062</v>
      </c>
      <c r="B1267" s="15" t="s">
        <v>3748</v>
      </c>
      <c r="C1267" s="19" t="s">
        <v>3757</v>
      </c>
      <c r="D1267" s="13" t="s">
        <v>3754</v>
      </c>
      <c r="E1267" s="27" t="s">
        <v>4065</v>
      </c>
      <c r="F1267" s="16" t="s">
        <v>3754</v>
      </c>
      <c r="G1267" s="8">
        <v>29</v>
      </c>
      <c r="H1267" s="8"/>
      <c r="I1267" s="8"/>
      <c r="J1267" s="27" t="s">
        <v>1264</v>
      </c>
      <c r="K1267" s="29" t="s">
        <v>4064</v>
      </c>
      <c r="L1267" s="27"/>
      <c r="M1267" s="68">
        <v>1</v>
      </c>
      <c r="N1267" s="68" t="s">
        <v>4009</v>
      </c>
    </row>
    <row r="1268" spans="1:14" ht="14.25" x14ac:dyDescent="0.2">
      <c r="A1268" s="14" t="s">
        <v>4062</v>
      </c>
      <c r="B1268" s="15" t="s">
        <v>3735</v>
      </c>
      <c r="C1268" s="19" t="s">
        <v>3757</v>
      </c>
      <c r="D1268" s="13" t="s">
        <v>3754</v>
      </c>
      <c r="E1268" s="72" t="s">
        <v>4063</v>
      </c>
      <c r="F1268" s="16" t="s">
        <v>3754</v>
      </c>
      <c r="G1268" s="8">
        <v>37</v>
      </c>
      <c r="H1268" s="8"/>
      <c r="I1268" s="8"/>
      <c r="J1268" s="27" t="s">
        <v>1257</v>
      </c>
      <c r="K1268" s="29" t="s">
        <v>4064</v>
      </c>
      <c r="L1268" s="27"/>
      <c r="M1268" s="68">
        <v>1</v>
      </c>
      <c r="N1268" s="68" t="s">
        <v>4009</v>
      </c>
    </row>
    <row r="1269" spans="1:14" ht="14.25" x14ac:dyDescent="0.2">
      <c r="A1269" s="14" t="s">
        <v>4044</v>
      </c>
      <c r="B1269" s="15" t="s">
        <v>3727</v>
      </c>
      <c r="C1269" s="19" t="s">
        <v>3757</v>
      </c>
      <c r="D1269" s="13" t="s">
        <v>3754</v>
      </c>
      <c r="E1269" s="27" t="s">
        <v>8502</v>
      </c>
      <c r="F1269" s="16" t="s">
        <v>3754</v>
      </c>
      <c r="G1269" s="8">
        <v>67</v>
      </c>
      <c r="H1269" s="8"/>
      <c r="I1269" s="8"/>
      <c r="J1269" s="27" t="s">
        <v>1272</v>
      </c>
      <c r="K1269" s="29" t="s">
        <v>4068</v>
      </c>
      <c r="L1269" s="27"/>
      <c r="M1269" s="68">
        <v>1</v>
      </c>
      <c r="N1269" s="68" t="s">
        <v>4009</v>
      </c>
    </row>
    <row r="1270" spans="1:14" ht="14.25" x14ac:dyDescent="0.2">
      <c r="A1270" s="14" t="s">
        <v>4044</v>
      </c>
      <c r="B1270" s="15" t="s">
        <v>4045</v>
      </c>
      <c r="C1270" s="19" t="s">
        <v>3757</v>
      </c>
      <c r="D1270" s="13"/>
      <c r="E1270" s="27" t="s">
        <v>4046</v>
      </c>
      <c r="F1270" s="16" t="s">
        <v>3754</v>
      </c>
      <c r="G1270" s="8">
        <v>21</v>
      </c>
      <c r="H1270" s="8"/>
      <c r="I1270" s="8"/>
      <c r="J1270" s="27" t="s">
        <v>1264</v>
      </c>
      <c r="K1270" s="29" t="s">
        <v>4047</v>
      </c>
      <c r="L1270" s="27"/>
      <c r="M1270" s="68">
        <v>1</v>
      </c>
      <c r="N1270" s="68" t="s">
        <v>4009</v>
      </c>
    </row>
    <row r="1271" spans="1:14" ht="14.25" x14ac:dyDescent="0.2">
      <c r="A1271" s="14" t="s">
        <v>4076</v>
      </c>
      <c r="B1271" s="15" t="s">
        <v>7780</v>
      </c>
      <c r="C1271" s="19" t="s">
        <v>3761</v>
      </c>
      <c r="D1271" s="13" t="s">
        <v>3754</v>
      </c>
      <c r="E1271" s="27" t="s">
        <v>6748</v>
      </c>
      <c r="F1271" s="16" t="s">
        <v>2597</v>
      </c>
      <c r="G1271" s="8"/>
      <c r="H1271" s="8">
        <v>4</v>
      </c>
      <c r="I1271" s="8">
        <v>3</v>
      </c>
      <c r="J1271" s="27" t="s">
        <v>2595</v>
      </c>
      <c r="K1271" s="27" t="s">
        <v>2598</v>
      </c>
      <c r="L1271" s="29"/>
      <c r="M1271" s="68">
        <v>1</v>
      </c>
      <c r="N1271" s="68" t="s">
        <v>2560</v>
      </c>
    </row>
    <row r="1272" spans="1:14" ht="14.25" x14ac:dyDescent="0.2">
      <c r="A1272" s="11" t="s">
        <v>4076</v>
      </c>
      <c r="B1272" s="12" t="s">
        <v>1477</v>
      </c>
      <c r="C1272" s="10" t="s">
        <v>3757</v>
      </c>
      <c r="D1272" s="13" t="s">
        <v>3754</v>
      </c>
      <c r="E1272" s="29" t="s">
        <v>8586</v>
      </c>
      <c r="F1272" s="13" t="s">
        <v>2261</v>
      </c>
      <c r="G1272" s="21">
        <v>25</v>
      </c>
      <c r="H1272" s="21"/>
      <c r="I1272" s="21"/>
      <c r="J1272" s="29" t="s">
        <v>1264</v>
      </c>
      <c r="K1272" s="29" t="s">
        <v>2262</v>
      </c>
      <c r="L1272" s="29"/>
      <c r="M1272" s="68">
        <v>1</v>
      </c>
      <c r="N1272" s="68" t="s">
        <v>2154</v>
      </c>
    </row>
    <row r="1273" spans="1:14" ht="14.25" x14ac:dyDescent="0.2">
      <c r="A1273" s="14" t="s">
        <v>4076</v>
      </c>
      <c r="B1273" s="15" t="s">
        <v>3723</v>
      </c>
      <c r="C1273" s="19" t="s">
        <v>3757</v>
      </c>
      <c r="D1273" s="13" t="s">
        <v>3754</v>
      </c>
      <c r="E1273" s="27" t="s">
        <v>4077</v>
      </c>
      <c r="F1273" s="16" t="s">
        <v>3754</v>
      </c>
      <c r="G1273" s="8">
        <v>40</v>
      </c>
      <c r="H1273" s="8"/>
      <c r="I1273" s="8"/>
      <c r="J1273" s="27" t="s">
        <v>1261</v>
      </c>
      <c r="K1273" s="27" t="s">
        <v>5131</v>
      </c>
      <c r="L1273" s="27"/>
      <c r="M1273" s="68">
        <v>1</v>
      </c>
      <c r="N1273" s="68" t="s">
        <v>4009</v>
      </c>
    </row>
    <row r="1274" spans="1:14" ht="14.25" x14ac:dyDescent="0.2">
      <c r="A1274" s="14" t="s">
        <v>4076</v>
      </c>
      <c r="B1274" s="15" t="s">
        <v>3723</v>
      </c>
      <c r="C1274" s="19" t="s">
        <v>3761</v>
      </c>
      <c r="D1274" s="13" t="s">
        <v>3754</v>
      </c>
      <c r="E1274" s="27" t="s">
        <v>2598</v>
      </c>
      <c r="F1274" s="16" t="s">
        <v>2599</v>
      </c>
      <c r="G1274" s="8"/>
      <c r="H1274" s="8">
        <v>7</v>
      </c>
      <c r="I1274" s="8"/>
      <c r="J1274" s="27" t="s">
        <v>2595</v>
      </c>
      <c r="K1274" s="27" t="s">
        <v>2600</v>
      </c>
      <c r="L1274" s="29"/>
      <c r="M1274" s="68">
        <v>1</v>
      </c>
      <c r="N1274" s="68" t="s">
        <v>2560</v>
      </c>
    </row>
    <row r="1275" spans="1:14" ht="14.25" x14ac:dyDescent="0.2">
      <c r="A1275" s="43" t="s">
        <v>939</v>
      </c>
      <c r="B1275" s="44" t="s">
        <v>948</v>
      </c>
      <c r="C1275" s="45" t="s">
        <v>3754</v>
      </c>
      <c r="D1275" s="27" t="s">
        <v>3754</v>
      </c>
      <c r="E1275" s="29"/>
      <c r="F1275" s="27" t="s">
        <v>6716</v>
      </c>
      <c r="G1275" s="8"/>
      <c r="H1275" s="8"/>
      <c r="I1275" s="8"/>
      <c r="J1275" s="27"/>
      <c r="K1275" s="29" t="s">
        <v>943</v>
      </c>
      <c r="L1275" s="96"/>
      <c r="M1275" s="68">
        <v>1</v>
      </c>
      <c r="N1275" s="68" t="s">
        <v>947</v>
      </c>
    </row>
    <row r="1276" spans="1:14" ht="14.25" x14ac:dyDescent="0.2">
      <c r="A1276" s="43" t="s">
        <v>939</v>
      </c>
      <c r="B1276" s="44" t="s">
        <v>953</v>
      </c>
      <c r="C1276" s="45" t="s">
        <v>3757</v>
      </c>
      <c r="D1276" s="27" t="s">
        <v>3754</v>
      </c>
      <c r="E1276" s="29" t="s">
        <v>4043</v>
      </c>
      <c r="F1276" s="27" t="s">
        <v>954</v>
      </c>
      <c r="G1276" s="8">
        <v>41</v>
      </c>
      <c r="H1276" s="8"/>
      <c r="I1276" s="8"/>
      <c r="J1276" s="27" t="s">
        <v>1264</v>
      </c>
      <c r="K1276" s="29" t="s">
        <v>943</v>
      </c>
      <c r="L1276" s="96"/>
      <c r="M1276" s="68">
        <v>1</v>
      </c>
      <c r="N1276" s="68" t="s">
        <v>947</v>
      </c>
    </row>
    <row r="1277" spans="1:14" ht="14.25" x14ac:dyDescent="0.2">
      <c r="A1277" s="43" t="s">
        <v>939</v>
      </c>
      <c r="B1277" s="44" t="s">
        <v>4685</v>
      </c>
      <c r="C1277" s="45" t="s">
        <v>3757</v>
      </c>
      <c r="D1277" s="27" t="s">
        <v>3754</v>
      </c>
      <c r="E1277" s="29" t="s">
        <v>949</v>
      </c>
      <c r="F1277" s="27" t="s">
        <v>950</v>
      </c>
      <c r="G1277" s="8">
        <v>76</v>
      </c>
      <c r="H1277" s="8"/>
      <c r="I1277" s="8"/>
      <c r="J1277" s="27" t="s">
        <v>1271</v>
      </c>
      <c r="K1277" s="29" t="s">
        <v>943</v>
      </c>
      <c r="L1277" s="96"/>
      <c r="M1277" s="68">
        <v>1</v>
      </c>
      <c r="N1277" s="68" t="s">
        <v>947</v>
      </c>
    </row>
    <row r="1278" spans="1:14" ht="14.25" x14ac:dyDescent="0.2">
      <c r="A1278" s="14" t="s">
        <v>939</v>
      </c>
      <c r="B1278" s="15" t="s">
        <v>940</v>
      </c>
      <c r="C1278" s="19" t="s">
        <v>3754</v>
      </c>
      <c r="D1278" s="13" t="s">
        <v>3754</v>
      </c>
      <c r="E1278" s="27" t="s">
        <v>941</v>
      </c>
      <c r="F1278" s="16" t="s">
        <v>942</v>
      </c>
      <c r="G1278" s="8">
        <v>1</v>
      </c>
      <c r="H1278" s="8">
        <v>1</v>
      </c>
      <c r="I1278" s="8"/>
      <c r="J1278" s="27" t="s">
        <v>4790</v>
      </c>
      <c r="K1278" s="29" t="s">
        <v>943</v>
      </c>
      <c r="L1278" s="27"/>
      <c r="M1278" s="68">
        <v>1</v>
      </c>
      <c r="N1278" s="68" t="s">
        <v>4009</v>
      </c>
    </row>
    <row r="1279" spans="1:14" ht="14.25" x14ac:dyDescent="0.2">
      <c r="A1279" s="11" t="s">
        <v>939</v>
      </c>
      <c r="B1279" s="12" t="s">
        <v>3740</v>
      </c>
      <c r="C1279" s="10" t="s">
        <v>3757</v>
      </c>
      <c r="D1279" s="13" t="s">
        <v>3754</v>
      </c>
      <c r="E1279" s="29" t="s">
        <v>2193</v>
      </c>
      <c r="F1279" s="13" t="s">
        <v>2194</v>
      </c>
      <c r="G1279" s="21">
        <v>61</v>
      </c>
      <c r="H1279" s="21"/>
      <c r="I1279" s="21"/>
      <c r="J1279" s="29" t="s">
        <v>1271</v>
      </c>
      <c r="K1279" s="29" t="s">
        <v>3848</v>
      </c>
      <c r="L1279" s="29"/>
      <c r="M1279" s="68">
        <v>1</v>
      </c>
      <c r="N1279" s="68" t="s">
        <v>2154</v>
      </c>
    </row>
    <row r="1280" spans="1:14" ht="14.25" x14ac:dyDescent="0.2">
      <c r="A1280" s="14" t="s">
        <v>939</v>
      </c>
      <c r="B1280" s="15" t="s">
        <v>944</v>
      </c>
      <c r="C1280" s="19" t="s">
        <v>3754</v>
      </c>
      <c r="D1280" s="13" t="s">
        <v>3754</v>
      </c>
      <c r="E1280" s="27"/>
      <c r="F1280" s="16" t="s">
        <v>945</v>
      </c>
      <c r="G1280" s="8"/>
      <c r="H1280" s="8"/>
      <c r="I1280" s="8"/>
      <c r="J1280" s="27"/>
      <c r="K1280" s="29" t="s">
        <v>943</v>
      </c>
      <c r="L1280" s="27"/>
      <c r="M1280" s="68">
        <v>1</v>
      </c>
      <c r="N1280" s="68" t="s">
        <v>4009</v>
      </c>
    </row>
    <row r="1281" spans="1:14" ht="14.25" x14ac:dyDescent="0.2">
      <c r="A1281" s="14" t="s">
        <v>939</v>
      </c>
      <c r="B1281" s="18" t="s">
        <v>946</v>
      </c>
      <c r="C1281" s="19" t="s">
        <v>3754</v>
      </c>
      <c r="D1281" s="13" t="s">
        <v>3754</v>
      </c>
      <c r="E1281" s="27"/>
      <c r="F1281" s="16"/>
      <c r="G1281" s="8"/>
      <c r="H1281" s="8"/>
      <c r="I1281" s="8"/>
      <c r="J1281" s="27"/>
      <c r="K1281" s="29" t="s">
        <v>943</v>
      </c>
      <c r="L1281" s="46"/>
      <c r="M1281" s="68">
        <v>1</v>
      </c>
      <c r="N1281" s="68" t="s">
        <v>4009</v>
      </c>
    </row>
    <row r="1282" spans="1:14" ht="14.25" x14ac:dyDescent="0.2">
      <c r="A1282" s="47" t="s">
        <v>939</v>
      </c>
      <c r="B1282" s="48" t="s">
        <v>4701</v>
      </c>
      <c r="C1282" s="45" t="s">
        <v>3757</v>
      </c>
      <c r="D1282" s="46" t="s">
        <v>3754</v>
      </c>
      <c r="E1282" s="61" t="s">
        <v>951</v>
      </c>
      <c r="F1282" s="45" t="s">
        <v>952</v>
      </c>
      <c r="G1282" s="8">
        <v>45</v>
      </c>
      <c r="H1282" s="8"/>
      <c r="I1282" s="8"/>
      <c r="J1282" s="45" t="s">
        <v>1259</v>
      </c>
      <c r="K1282" s="61" t="s">
        <v>943</v>
      </c>
      <c r="L1282" s="97"/>
      <c r="M1282" s="68">
        <v>1</v>
      </c>
      <c r="N1282" s="68" t="s">
        <v>947</v>
      </c>
    </row>
    <row r="1283" spans="1:14" ht="14.25" x14ac:dyDescent="0.2">
      <c r="A1283" s="9" t="s">
        <v>2186</v>
      </c>
      <c r="B1283" s="5" t="s">
        <v>3746</v>
      </c>
      <c r="C1283" s="10" t="s">
        <v>3754</v>
      </c>
      <c r="D1283" s="10" t="s">
        <v>3754</v>
      </c>
      <c r="E1283" s="61" t="s">
        <v>1464</v>
      </c>
      <c r="F1283" s="10" t="s">
        <v>2187</v>
      </c>
      <c r="G1283" s="21">
        <v>1</v>
      </c>
      <c r="H1283" s="21">
        <v>4</v>
      </c>
      <c r="I1283" s="21"/>
      <c r="J1283" s="55"/>
      <c r="K1283" s="55" t="s">
        <v>2188</v>
      </c>
      <c r="L1283" s="61"/>
      <c r="M1283" s="68">
        <v>1</v>
      </c>
      <c r="N1283" s="68" t="s">
        <v>2154</v>
      </c>
    </row>
    <row r="1284" spans="1:14" ht="14.25" x14ac:dyDescent="0.2">
      <c r="A1284" s="43" t="s">
        <v>973</v>
      </c>
      <c r="B1284" s="44" t="s">
        <v>3732</v>
      </c>
      <c r="C1284" s="45" t="s">
        <v>3754</v>
      </c>
      <c r="D1284" s="27" t="s">
        <v>3754</v>
      </c>
      <c r="E1284" s="29" t="s">
        <v>1406</v>
      </c>
      <c r="F1284" s="27" t="s">
        <v>974</v>
      </c>
      <c r="G1284" s="8">
        <v>2</v>
      </c>
      <c r="H1284" s="8">
        <v>8</v>
      </c>
      <c r="I1284" s="8">
        <v>26</v>
      </c>
      <c r="J1284" s="27" t="s">
        <v>1261</v>
      </c>
      <c r="K1284" s="29" t="s">
        <v>3048</v>
      </c>
      <c r="L1284" s="96"/>
      <c r="M1284" s="68">
        <v>1</v>
      </c>
      <c r="N1284" s="68" t="s">
        <v>947</v>
      </c>
    </row>
    <row r="1285" spans="1:14" ht="14.25" x14ac:dyDescent="0.2">
      <c r="A1285" s="43" t="s">
        <v>973</v>
      </c>
      <c r="B1285" s="44" t="s">
        <v>3723</v>
      </c>
      <c r="C1285" s="45" t="s">
        <v>3754</v>
      </c>
      <c r="D1285" s="27" t="s">
        <v>3754</v>
      </c>
      <c r="E1285" s="29" t="s">
        <v>3036</v>
      </c>
      <c r="F1285" s="27" t="s">
        <v>974</v>
      </c>
      <c r="G1285" s="8">
        <v>2</v>
      </c>
      <c r="H1285" s="8">
        <v>11</v>
      </c>
      <c r="I1285" s="8">
        <v>28</v>
      </c>
      <c r="J1285" s="27" t="s">
        <v>1261</v>
      </c>
      <c r="K1285" s="29" t="s">
        <v>3048</v>
      </c>
      <c r="L1285" s="96"/>
      <c r="M1285" s="68">
        <v>1</v>
      </c>
      <c r="N1285" s="68" t="s">
        <v>947</v>
      </c>
    </row>
    <row r="1286" spans="1:14" ht="14.25" x14ac:dyDescent="0.2">
      <c r="A1286" s="14" t="s">
        <v>1142</v>
      </c>
      <c r="B1286" s="15" t="s">
        <v>6470</v>
      </c>
      <c r="C1286" s="19" t="s">
        <v>3757</v>
      </c>
      <c r="D1286" s="16" t="s">
        <v>1652</v>
      </c>
      <c r="E1286" s="27" t="s">
        <v>1143</v>
      </c>
      <c r="F1286" s="16" t="s">
        <v>1144</v>
      </c>
      <c r="G1286" s="8">
        <v>35</v>
      </c>
      <c r="H1286" s="8"/>
      <c r="I1286" s="8"/>
      <c r="J1286" s="27" t="s">
        <v>5010</v>
      </c>
      <c r="K1286" s="27" t="s">
        <v>1145</v>
      </c>
      <c r="L1286" s="29"/>
      <c r="M1286" s="68">
        <v>1</v>
      </c>
      <c r="N1286" s="68" t="s">
        <v>2560</v>
      </c>
    </row>
    <row r="1287" spans="1:14" ht="14.25" x14ac:dyDescent="0.2">
      <c r="A1287" s="14" t="s">
        <v>1142</v>
      </c>
      <c r="B1287" s="15" t="s">
        <v>4982</v>
      </c>
      <c r="C1287" s="45" t="s">
        <v>3767</v>
      </c>
      <c r="D1287" s="13" t="s">
        <v>3767</v>
      </c>
      <c r="E1287" s="27" t="s">
        <v>1156</v>
      </c>
      <c r="F1287" s="16" t="s">
        <v>1157</v>
      </c>
      <c r="G1287" s="8">
        <v>5</v>
      </c>
      <c r="H1287" s="8"/>
      <c r="I1287" s="8"/>
      <c r="J1287" s="27" t="s">
        <v>1258</v>
      </c>
      <c r="K1287" s="27" t="s">
        <v>6770</v>
      </c>
      <c r="L1287" s="29"/>
      <c r="M1287" s="68">
        <v>1</v>
      </c>
      <c r="N1287" s="68" t="s">
        <v>2560</v>
      </c>
    </row>
    <row r="1288" spans="1:14" ht="14.25" x14ac:dyDescent="0.2">
      <c r="A1288" s="11" t="s">
        <v>5766</v>
      </c>
      <c r="B1288" s="12" t="s">
        <v>3739</v>
      </c>
      <c r="C1288" s="10" t="s">
        <v>3757</v>
      </c>
      <c r="D1288" s="13" t="s">
        <v>8621</v>
      </c>
      <c r="E1288" s="29" t="s">
        <v>3097</v>
      </c>
      <c r="F1288" s="13" t="s">
        <v>5293</v>
      </c>
      <c r="G1288" s="21">
        <v>52</v>
      </c>
      <c r="H1288" s="21"/>
      <c r="I1288" s="21"/>
      <c r="J1288" s="29" t="s">
        <v>2894</v>
      </c>
      <c r="K1288" s="29" t="s">
        <v>5935</v>
      </c>
      <c r="L1288" s="29"/>
      <c r="M1288" s="68">
        <v>1</v>
      </c>
      <c r="N1288" s="68" t="s">
        <v>4286</v>
      </c>
    </row>
    <row r="1289" spans="1:14" ht="14.25" x14ac:dyDescent="0.2">
      <c r="A1289" s="14" t="s">
        <v>2225</v>
      </c>
      <c r="B1289" s="15" t="s">
        <v>1528</v>
      </c>
      <c r="C1289" s="19" t="s">
        <v>3757</v>
      </c>
      <c r="D1289" s="13" t="s">
        <v>3754</v>
      </c>
      <c r="E1289" s="27" t="s">
        <v>6763</v>
      </c>
      <c r="F1289" s="16" t="s">
        <v>1140</v>
      </c>
      <c r="G1289" s="8">
        <v>63</v>
      </c>
      <c r="H1289" s="8"/>
      <c r="I1289" s="8"/>
      <c r="J1289" s="27" t="s">
        <v>4738</v>
      </c>
      <c r="K1289" s="27" t="s">
        <v>1141</v>
      </c>
      <c r="L1289" s="29"/>
      <c r="M1289" s="68">
        <v>1</v>
      </c>
      <c r="N1289" s="68" t="s">
        <v>2560</v>
      </c>
    </row>
    <row r="1290" spans="1:14" ht="14.25" x14ac:dyDescent="0.2">
      <c r="A1290" s="11" t="s">
        <v>2225</v>
      </c>
      <c r="B1290" s="12" t="s">
        <v>2226</v>
      </c>
      <c r="C1290" s="21" t="s">
        <v>2227</v>
      </c>
      <c r="D1290" s="13" t="s">
        <v>3754</v>
      </c>
      <c r="E1290" s="29" t="s">
        <v>2228</v>
      </c>
      <c r="F1290" s="13" t="s">
        <v>2229</v>
      </c>
      <c r="G1290" s="21">
        <v>21</v>
      </c>
      <c r="H1290" s="21"/>
      <c r="I1290" s="21"/>
      <c r="J1290" s="29" t="s">
        <v>1264</v>
      </c>
      <c r="K1290" s="29" t="s">
        <v>2230</v>
      </c>
      <c r="L1290" s="29"/>
      <c r="M1290" s="68">
        <v>1</v>
      </c>
      <c r="N1290" s="68" t="s">
        <v>2154</v>
      </c>
    </row>
    <row r="1291" spans="1:14" ht="14.25" x14ac:dyDescent="0.2">
      <c r="A1291" s="11" t="s">
        <v>5767</v>
      </c>
      <c r="B1291" s="12" t="s">
        <v>1428</v>
      </c>
      <c r="C1291" s="10" t="s">
        <v>3757</v>
      </c>
      <c r="D1291" s="13" t="s">
        <v>3754</v>
      </c>
      <c r="E1291" s="29">
        <v>1858</v>
      </c>
      <c r="F1291" s="13" t="s">
        <v>7873</v>
      </c>
      <c r="G1291" s="21">
        <v>90</v>
      </c>
      <c r="H1291" s="21"/>
      <c r="I1291" s="21"/>
      <c r="J1291" s="29" t="s">
        <v>1271</v>
      </c>
      <c r="K1291" s="29" t="s">
        <v>4585</v>
      </c>
      <c r="L1291" s="29"/>
      <c r="M1291" s="68">
        <v>1</v>
      </c>
      <c r="N1291" s="68" t="s">
        <v>4286</v>
      </c>
    </row>
    <row r="1292" spans="1:14" ht="14.25" x14ac:dyDescent="0.2">
      <c r="A1292" s="11" t="s">
        <v>5775</v>
      </c>
      <c r="B1292" s="12" t="s">
        <v>3732</v>
      </c>
      <c r="C1292" s="10" t="s">
        <v>3757</v>
      </c>
      <c r="D1292" s="13" t="s">
        <v>3754</v>
      </c>
      <c r="E1292" s="29" t="s">
        <v>1464</v>
      </c>
      <c r="F1292" s="13" t="s">
        <v>5776</v>
      </c>
      <c r="G1292" s="21">
        <v>56</v>
      </c>
      <c r="H1292" s="21"/>
      <c r="I1292" s="21"/>
      <c r="J1292" s="29" t="s">
        <v>1267</v>
      </c>
      <c r="K1292" s="29" t="s">
        <v>8613</v>
      </c>
      <c r="L1292" s="29"/>
      <c r="M1292" s="68">
        <v>1</v>
      </c>
      <c r="N1292" s="68" t="s">
        <v>4286</v>
      </c>
    </row>
    <row r="1293" spans="1:14" ht="14.25" x14ac:dyDescent="0.2">
      <c r="A1293" s="14" t="s">
        <v>4284</v>
      </c>
      <c r="B1293" s="15" t="s">
        <v>4908</v>
      </c>
      <c r="C1293" s="19" t="s">
        <v>3757</v>
      </c>
      <c r="D1293" s="16" t="s">
        <v>2565</v>
      </c>
      <c r="E1293" s="27" t="s">
        <v>2566</v>
      </c>
      <c r="F1293" s="16" t="s">
        <v>1533</v>
      </c>
      <c r="G1293" s="8">
        <v>65</v>
      </c>
      <c r="H1293" s="8"/>
      <c r="I1293" s="8"/>
      <c r="J1293" s="27" t="s">
        <v>1572</v>
      </c>
      <c r="K1293" s="27" t="s">
        <v>2567</v>
      </c>
      <c r="L1293" s="29"/>
      <c r="M1293" s="68">
        <v>1</v>
      </c>
      <c r="N1293" s="68" t="s">
        <v>2560</v>
      </c>
    </row>
    <row r="1294" spans="1:14" ht="14.25" x14ac:dyDescent="0.2">
      <c r="A1294" s="11" t="s">
        <v>4284</v>
      </c>
      <c r="B1294" s="12" t="s">
        <v>3740</v>
      </c>
      <c r="C1294" s="10" t="s">
        <v>3757</v>
      </c>
      <c r="D1294" s="13" t="s">
        <v>3754</v>
      </c>
      <c r="E1294" s="29" t="s">
        <v>1464</v>
      </c>
      <c r="F1294" s="13" t="s">
        <v>1766</v>
      </c>
      <c r="G1294" s="21">
        <v>57</v>
      </c>
      <c r="H1294" s="21"/>
      <c r="I1294" s="21"/>
      <c r="J1294" s="29" t="s">
        <v>1270</v>
      </c>
      <c r="K1294" s="29" t="s">
        <v>1767</v>
      </c>
      <c r="L1294" s="29"/>
      <c r="M1294" s="68">
        <v>1</v>
      </c>
      <c r="N1294" s="68" t="s">
        <v>4286</v>
      </c>
    </row>
    <row r="1295" spans="1:14" ht="28.5" x14ac:dyDescent="0.2">
      <c r="A1295" s="11" t="s">
        <v>4284</v>
      </c>
      <c r="B1295" s="12" t="s">
        <v>3732</v>
      </c>
      <c r="C1295" s="10" t="s">
        <v>3757</v>
      </c>
      <c r="D1295" s="23"/>
      <c r="E1295" s="29" t="s">
        <v>1756</v>
      </c>
      <c r="F1295" s="13" t="s">
        <v>1755</v>
      </c>
      <c r="G1295" s="21">
        <v>65</v>
      </c>
      <c r="H1295" s="21"/>
      <c r="I1295" s="21"/>
      <c r="J1295" s="29" t="s">
        <v>1266</v>
      </c>
      <c r="K1295" s="29" t="s">
        <v>1756</v>
      </c>
      <c r="L1295" s="29" t="s">
        <v>6704</v>
      </c>
      <c r="M1295" s="68">
        <v>1</v>
      </c>
      <c r="N1295" s="68" t="s">
        <v>4286</v>
      </c>
    </row>
    <row r="1296" spans="1:14" ht="14.25" x14ac:dyDescent="0.2">
      <c r="A1296" s="11" t="s">
        <v>4284</v>
      </c>
      <c r="B1296" s="12" t="s">
        <v>3746</v>
      </c>
      <c r="C1296" s="10" t="s">
        <v>3754</v>
      </c>
      <c r="D1296" s="13" t="s">
        <v>3754</v>
      </c>
      <c r="E1296" s="29" t="s">
        <v>1760</v>
      </c>
      <c r="F1296" s="13" t="s">
        <v>1761</v>
      </c>
      <c r="G1296" s="21">
        <v>21</v>
      </c>
      <c r="H1296" s="21"/>
      <c r="I1296" s="21"/>
      <c r="J1296" s="29" t="s">
        <v>1264</v>
      </c>
      <c r="K1296" s="29" t="s">
        <v>1762</v>
      </c>
      <c r="L1296" s="29"/>
      <c r="M1296" s="68">
        <v>1</v>
      </c>
      <c r="N1296" s="68" t="s">
        <v>4286</v>
      </c>
    </row>
    <row r="1297" spans="1:14" ht="14.25" x14ac:dyDescent="0.2">
      <c r="A1297" s="11" t="s">
        <v>4284</v>
      </c>
      <c r="B1297" s="12" t="s">
        <v>3746</v>
      </c>
      <c r="C1297" s="10" t="s">
        <v>3754</v>
      </c>
      <c r="D1297" s="13" t="s">
        <v>3761</v>
      </c>
      <c r="E1297" s="29" t="s">
        <v>1760</v>
      </c>
      <c r="F1297" s="13" t="s">
        <v>1761</v>
      </c>
      <c r="G1297" s="21">
        <v>21</v>
      </c>
      <c r="H1297" s="21"/>
      <c r="I1297" s="21"/>
      <c r="J1297" s="29" t="s">
        <v>1264</v>
      </c>
      <c r="K1297" s="29" t="s">
        <v>2181</v>
      </c>
      <c r="L1297" s="29"/>
      <c r="M1297" s="68">
        <v>1</v>
      </c>
      <c r="N1297" s="68" t="s">
        <v>2154</v>
      </c>
    </row>
    <row r="1298" spans="1:14" ht="14.25" x14ac:dyDescent="0.2">
      <c r="A1298" s="43" t="s">
        <v>4284</v>
      </c>
      <c r="B1298" s="44" t="s">
        <v>4701</v>
      </c>
      <c r="C1298" s="45" t="s">
        <v>3757</v>
      </c>
      <c r="D1298" s="27" t="s">
        <v>3754</v>
      </c>
      <c r="E1298" s="29" t="s">
        <v>4821</v>
      </c>
      <c r="F1298" s="27" t="s">
        <v>4285</v>
      </c>
      <c r="G1298" s="8">
        <v>44</v>
      </c>
      <c r="H1298" s="8"/>
      <c r="I1298" s="8"/>
      <c r="J1298" s="27" t="s">
        <v>5283</v>
      </c>
      <c r="K1298" s="29" t="s">
        <v>4825</v>
      </c>
      <c r="L1298" s="96"/>
      <c r="M1298" s="68">
        <v>1</v>
      </c>
      <c r="N1298" s="68" t="s">
        <v>947</v>
      </c>
    </row>
    <row r="1299" spans="1:14" ht="14.25" x14ac:dyDescent="0.2">
      <c r="A1299" s="14" t="s">
        <v>4058</v>
      </c>
      <c r="B1299" s="15" t="s">
        <v>3740</v>
      </c>
      <c r="C1299" s="19" t="s">
        <v>3757</v>
      </c>
      <c r="D1299" s="13" t="s">
        <v>3754</v>
      </c>
      <c r="E1299" s="27" t="s">
        <v>4059</v>
      </c>
      <c r="F1299" s="16" t="s">
        <v>3754</v>
      </c>
      <c r="G1299" s="8">
        <v>62</v>
      </c>
      <c r="H1299" s="8"/>
      <c r="I1299" s="8"/>
      <c r="J1299" s="27" t="s">
        <v>2989</v>
      </c>
      <c r="K1299" s="29" t="s">
        <v>4060</v>
      </c>
      <c r="L1299" s="27"/>
      <c r="M1299" s="68">
        <v>1</v>
      </c>
      <c r="N1299" s="68" t="s">
        <v>4009</v>
      </c>
    </row>
    <row r="1300" spans="1:14" ht="14.25" x14ac:dyDescent="0.2">
      <c r="A1300" s="14" t="s">
        <v>3984</v>
      </c>
      <c r="B1300" s="15" t="s">
        <v>3740</v>
      </c>
      <c r="C1300" s="19" t="s">
        <v>3761</v>
      </c>
      <c r="D1300" s="13" t="s">
        <v>3754</v>
      </c>
      <c r="E1300" s="27" t="s">
        <v>6771</v>
      </c>
      <c r="F1300" s="16" t="s">
        <v>3467</v>
      </c>
      <c r="G1300" s="8">
        <v>47</v>
      </c>
      <c r="H1300" s="8"/>
      <c r="I1300" s="8"/>
      <c r="J1300" s="27" t="s">
        <v>1264</v>
      </c>
      <c r="K1300" s="27" t="s">
        <v>3380</v>
      </c>
      <c r="L1300" s="29"/>
      <c r="M1300" s="68">
        <v>1</v>
      </c>
      <c r="N1300" s="68" t="s">
        <v>2560</v>
      </c>
    </row>
    <row r="1301" spans="1:14" ht="14.25" x14ac:dyDescent="0.2">
      <c r="A1301" s="43" t="s">
        <v>3984</v>
      </c>
      <c r="B1301" s="44" t="s">
        <v>3985</v>
      </c>
      <c r="C1301" s="45" t="s">
        <v>3754</v>
      </c>
      <c r="D1301" s="27" t="s">
        <v>3754</v>
      </c>
      <c r="E1301" s="29" t="s">
        <v>3986</v>
      </c>
      <c r="F1301" s="27" t="s">
        <v>711</v>
      </c>
      <c r="G1301" s="8">
        <v>1</v>
      </c>
      <c r="H1301" s="8">
        <v>10</v>
      </c>
      <c r="I1301" s="8">
        <v>21</v>
      </c>
      <c r="J1301" s="27" t="s">
        <v>6927</v>
      </c>
      <c r="K1301" s="29" t="s">
        <v>3987</v>
      </c>
      <c r="L1301" s="96"/>
      <c r="M1301" s="68">
        <v>1</v>
      </c>
      <c r="N1301" s="68" t="s">
        <v>947</v>
      </c>
    </row>
    <row r="1302" spans="1:14" ht="14.25" x14ac:dyDescent="0.2">
      <c r="A1302" s="43" t="s">
        <v>3984</v>
      </c>
      <c r="B1302" s="44" t="s">
        <v>4581</v>
      </c>
      <c r="C1302" s="45" t="s">
        <v>3754</v>
      </c>
      <c r="D1302" s="27" t="s">
        <v>3754</v>
      </c>
      <c r="E1302" s="29" t="s">
        <v>3988</v>
      </c>
      <c r="F1302" s="27" t="s">
        <v>711</v>
      </c>
      <c r="G1302" s="8"/>
      <c r="H1302" s="8"/>
      <c r="I1302" s="8"/>
      <c r="J1302" s="27"/>
      <c r="K1302" s="29" t="s">
        <v>3987</v>
      </c>
      <c r="L1302" s="96"/>
      <c r="M1302" s="68">
        <v>1</v>
      </c>
      <c r="N1302" s="68" t="s">
        <v>947</v>
      </c>
    </row>
    <row r="1303" spans="1:14" ht="14.25" x14ac:dyDescent="0.2">
      <c r="A1303" s="11" t="s">
        <v>927</v>
      </c>
      <c r="B1303" s="12" t="s">
        <v>1432</v>
      </c>
      <c r="C1303" s="10" t="s">
        <v>3757</v>
      </c>
      <c r="D1303" s="13" t="s">
        <v>3754</v>
      </c>
      <c r="E1303" s="29" t="s">
        <v>3754</v>
      </c>
      <c r="F1303" s="13" t="s">
        <v>5781</v>
      </c>
      <c r="G1303" s="21">
        <v>87</v>
      </c>
      <c r="H1303" s="21"/>
      <c r="I1303" s="21"/>
      <c r="J1303" s="29" t="s">
        <v>2351</v>
      </c>
      <c r="K1303" s="29" t="s">
        <v>5780</v>
      </c>
      <c r="L1303" s="29"/>
      <c r="M1303" s="68">
        <v>1</v>
      </c>
      <c r="N1303" s="68" t="s">
        <v>4286</v>
      </c>
    </row>
    <row r="1304" spans="1:14" ht="14.25" x14ac:dyDescent="0.2">
      <c r="A1304" s="11" t="s">
        <v>927</v>
      </c>
      <c r="B1304" s="12" t="s">
        <v>1886</v>
      </c>
      <c r="C1304" s="10" t="s">
        <v>3757</v>
      </c>
      <c r="D1304" s="13" t="s">
        <v>3754</v>
      </c>
      <c r="E1304" s="29" t="s">
        <v>2174</v>
      </c>
      <c r="F1304" s="13" t="s">
        <v>2175</v>
      </c>
      <c r="G1304" s="21">
        <v>47</v>
      </c>
      <c r="H1304" s="21"/>
      <c r="I1304" s="21"/>
      <c r="J1304" s="29" t="s">
        <v>4737</v>
      </c>
      <c r="K1304" s="29" t="s">
        <v>2176</v>
      </c>
      <c r="L1304" s="29"/>
      <c r="M1304" s="68">
        <v>1</v>
      </c>
      <c r="N1304" s="68" t="s">
        <v>2154</v>
      </c>
    </row>
    <row r="1305" spans="1:14" ht="14.25" x14ac:dyDescent="0.2">
      <c r="A1305" s="11" t="s">
        <v>927</v>
      </c>
      <c r="B1305" s="12" t="s">
        <v>3740</v>
      </c>
      <c r="C1305" s="10" t="s">
        <v>3757</v>
      </c>
      <c r="D1305" s="13"/>
      <c r="E1305" s="29" t="s">
        <v>2177</v>
      </c>
      <c r="F1305" s="13" t="s">
        <v>2178</v>
      </c>
      <c r="G1305" s="21">
        <v>55</v>
      </c>
      <c r="H1305" s="21"/>
      <c r="I1305" s="21"/>
      <c r="J1305" s="29" t="s">
        <v>1265</v>
      </c>
      <c r="K1305" s="29"/>
      <c r="L1305" s="29"/>
      <c r="M1305" s="68">
        <v>1</v>
      </c>
      <c r="N1305" s="68" t="s">
        <v>2154</v>
      </c>
    </row>
    <row r="1306" spans="1:14" ht="14.25" x14ac:dyDescent="0.2">
      <c r="A1306" s="14" t="s">
        <v>927</v>
      </c>
      <c r="B1306" s="15" t="s">
        <v>5073</v>
      </c>
      <c r="C1306" s="19" t="s">
        <v>3754</v>
      </c>
      <c r="D1306" s="13" t="s">
        <v>3754</v>
      </c>
      <c r="E1306" s="27" t="s">
        <v>928</v>
      </c>
      <c r="F1306" s="16" t="s">
        <v>929</v>
      </c>
      <c r="G1306" s="8">
        <v>22</v>
      </c>
      <c r="H1306" s="8">
        <v>11</v>
      </c>
      <c r="I1306" s="8"/>
      <c r="J1306" s="27" t="s">
        <v>1264</v>
      </c>
      <c r="K1306" s="27" t="s">
        <v>930</v>
      </c>
      <c r="L1306" s="27"/>
      <c r="M1306" s="68">
        <v>1</v>
      </c>
      <c r="N1306" s="68" t="s">
        <v>4009</v>
      </c>
    </row>
    <row r="1307" spans="1:14" ht="14.25" x14ac:dyDescent="0.2">
      <c r="A1307" s="14" t="s">
        <v>927</v>
      </c>
      <c r="B1307" s="15" t="s">
        <v>4982</v>
      </c>
      <c r="C1307" s="19" t="s">
        <v>3761</v>
      </c>
      <c r="D1307" s="13" t="s">
        <v>3754</v>
      </c>
      <c r="E1307" s="27" t="s">
        <v>1455</v>
      </c>
      <c r="F1307" s="16" t="s">
        <v>2551</v>
      </c>
      <c r="G1307" s="8">
        <v>32</v>
      </c>
      <c r="H1307" s="8"/>
      <c r="I1307" s="8"/>
      <c r="J1307" s="27" t="s">
        <v>1264</v>
      </c>
      <c r="K1307" s="27" t="s">
        <v>1306</v>
      </c>
      <c r="L1307" s="29"/>
      <c r="M1307" s="68">
        <v>1</v>
      </c>
      <c r="N1307" s="68" t="s">
        <v>2272</v>
      </c>
    </row>
    <row r="1308" spans="1:14" ht="14.25" x14ac:dyDescent="0.2">
      <c r="A1308" s="14" t="s">
        <v>927</v>
      </c>
      <c r="B1308" s="15" t="s">
        <v>1711</v>
      </c>
      <c r="C1308" s="19" t="s">
        <v>3757</v>
      </c>
      <c r="D1308" s="13" t="s">
        <v>3754</v>
      </c>
      <c r="E1308" s="27" t="s">
        <v>6980</v>
      </c>
      <c r="F1308" s="16" t="s">
        <v>2568</v>
      </c>
      <c r="G1308" s="8">
        <v>49</v>
      </c>
      <c r="H1308" s="8"/>
      <c r="I1308" s="8"/>
      <c r="J1308" s="27" t="s">
        <v>1264</v>
      </c>
      <c r="K1308" s="27" t="s">
        <v>6542</v>
      </c>
      <c r="L1308" s="29"/>
      <c r="M1308" s="68">
        <v>1</v>
      </c>
      <c r="N1308" s="68" t="s">
        <v>2560</v>
      </c>
    </row>
    <row r="1309" spans="1:14" ht="14.25" x14ac:dyDescent="0.2">
      <c r="A1309" s="43" t="s">
        <v>927</v>
      </c>
      <c r="B1309" s="44" t="s">
        <v>4701</v>
      </c>
      <c r="C1309" s="45" t="s">
        <v>3757</v>
      </c>
      <c r="D1309" s="27" t="s">
        <v>3754</v>
      </c>
      <c r="E1309" s="29" t="s">
        <v>1771</v>
      </c>
      <c r="F1309" s="27" t="s">
        <v>4282</v>
      </c>
      <c r="G1309" s="8">
        <v>58</v>
      </c>
      <c r="H1309" s="8"/>
      <c r="I1309" s="8"/>
      <c r="J1309" s="27" t="s">
        <v>1946</v>
      </c>
      <c r="K1309" s="29" t="s">
        <v>4283</v>
      </c>
      <c r="L1309" s="96"/>
      <c r="M1309" s="68">
        <v>1</v>
      </c>
      <c r="N1309" s="68" t="s">
        <v>947</v>
      </c>
    </row>
    <row r="1310" spans="1:14" ht="14.25" x14ac:dyDescent="0.2">
      <c r="A1310" s="11" t="s">
        <v>927</v>
      </c>
      <c r="B1310" s="12" t="s">
        <v>8813</v>
      </c>
      <c r="C1310" s="21" t="s">
        <v>3754</v>
      </c>
      <c r="D1310" s="13" t="s">
        <v>3754</v>
      </c>
      <c r="E1310" s="29" t="s">
        <v>2149</v>
      </c>
      <c r="F1310" s="13" t="s">
        <v>2150</v>
      </c>
      <c r="G1310" s="21">
        <v>26</v>
      </c>
      <c r="H1310" s="21"/>
      <c r="I1310" s="21"/>
      <c r="J1310" s="29" t="s">
        <v>1264</v>
      </c>
      <c r="K1310" s="29" t="s">
        <v>2151</v>
      </c>
      <c r="L1310" s="29"/>
      <c r="M1310" s="68">
        <v>1</v>
      </c>
      <c r="N1310" s="68" t="s">
        <v>4286</v>
      </c>
    </row>
    <row r="1311" spans="1:14" ht="14.25" x14ac:dyDescent="0.2">
      <c r="A1311" s="11" t="s">
        <v>975</v>
      </c>
      <c r="B1311" s="12" t="s">
        <v>3727</v>
      </c>
      <c r="C1311" s="10" t="s">
        <v>3754</v>
      </c>
      <c r="D1311" s="13" t="s">
        <v>3754</v>
      </c>
      <c r="E1311" s="29">
        <v>1854</v>
      </c>
      <c r="F1311" s="13" t="s">
        <v>2152</v>
      </c>
      <c r="G1311" s="21">
        <v>1</v>
      </c>
      <c r="H1311" s="21">
        <v>6</v>
      </c>
      <c r="I1311" s="21"/>
      <c r="J1311" s="29"/>
      <c r="K1311" s="29" t="s">
        <v>2328</v>
      </c>
      <c r="L1311" s="29"/>
      <c r="M1311" s="68">
        <v>1</v>
      </c>
      <c r="N1311" s="68" t="s">
        <v>4286</v>
      </c>
    </row>
    <row r="1312" spans="1:14" ht="14.25" x14ac:dyDescent="0.2">
      <c r="A1312" s="14" t="s">
        <v>975</v>
      </c>
      <c r="B1312" s="15" t="s">
        <v>3727</v>
      </c>
      <c r="C1312" s="19" t="s">
        <v>3757</v>
      </c>
      <c r="D1312" s="13" t="s">
        <v>3754</v>
      </c>
      <c r="E1312" s="27" t="s">
        <v>2540</v>
      </c>
      <c r="F1312" s="16" t="s">
        <v>2541</v>
      </c>
      <c r="G1312" s="8">
        <v>75</v>
      </c>
      <c r="H1312" s="8"/>
      <c r="I1312" s="8"/>
      <c r="J1312" s="27" t="s">
        <v>1271</v>
      </c>
      <c r="K1312" s="27" t="s">
        <v>32</v>
      </c>
      <c r="L1312" s="29"/>
      <c r="M1312" s="68">
        <v>1</v>
      </c>
      <c r="N1312" s="68" t="s">
        <v>2272</v>
      </c>
    </row>
    <row r="1313" spans="1:14" ht="14.25" x14ac:dyDescent="0.2">
      <c r="A1313" s="11" t="s">
        <v>975</v>
      </c>
      <c r="B1313" s="12" t="s">
        <v>3728</v>
      </c>
      <c r="C1313" s="10" t="s">
        <v>3757</v>
      </c>
      <c r="D1313" s="13" t="s">
        <v>3754</v>
      </c>
      <c r="E1313" s="29">
        <v>1863</v>
      </c>
      <c r="F1313" s="13" t="s">
        <v>2152</v>
      </c>
      <c r="G1313" s="21">
        <v>45</v>
      </c>
      <c r="H1313" s="21"/>
      <c r="I1313" s="21"/>
      <c r="J1313" s="29" t="s">
        <v>1255</v>
      </c>
      <c r="K1313" s="29" t="s">
        <v>2328</v>
      </c>
      <c r="L1313" s="29"/>
      <c r="M1313" s="68">
        <v>1</v>
      </c>
      <c r="N1313" s="68" t="s">
        <v>4286</v>
      </c>
    </row>
    <row r="1314" spans="1:14" ht="14.25" x14ac:dyDescent="0.2">
      <c r="A1314" s="11" t="s">
        <v>975</v>
      </c>
      <c r="B1314" s="12" t="s">
        <v>2153</v>
      </c>
      <c r="C1314" s="10" t="s">
        <v>3754</v>
      </c>
      <c r="D1314" s="13" t="s">
        <v>3754</v>
      </c>
      <c r="E1314" s="29" t="s">
        <v>8820</v>
      </c>
      <c r="F1314" s="13" t="s">
        <v>3160</v>
      </c>
      <c r="G1314" s="21">
        <v>3</v>
      </c>
      <c r="H1314" s="21">
        <v>9</v>
      </c>
      <c r="I1314" s="21"/>
      <c r="J1314" s="29" t="s">
        <v>2132</v>
      </c>
      <c r="K1314" s="29" t="s">
        <v>8822</v>
      </c>
      <c r="L1314" s="29"/>
      <c r="M1314" s="68">
        <v>1</v>
      </c>
      <c r="N1314" s="68" t="s">
        <v>4286</v>
      </c>
    </row>
    <row r="1315" spans="1:14" ht="14.25" x14ac:dyDescent="0.2">
      <c r="A1315" s="43" t="s">
        <v>975</v>
      </c>
      <c r="B1315" s="44" t="s">
        <v>976</v>
      </c>
      <c r="C1315" s="45" t="s">
        <v>3757</v>
      </c>
      <c r="D1315" s="27" t="s">
        <v>3754</v>
      </c>
      <c r="E1315" s="29" t="s">
        <v>977</v>
      </c>
      <c r="F1315" s="27" t="s">
        <v>978</v>
      </c>
      <c r="G1315" s="8">
        <v>25</v>
      </c>
      <c r="H1315" s="8">
        <v>8</v>
      </c>
      <c r="I1315" s="8">
        <v>26</v>
      </c>
      <c r="J1315" s="27" t="s">
        <v>979</v>
      </c>
      <c r="K1315" s="29" t="s">
        <v>980</v>
      </c>
      <c r="L1315" s="96"/>
      <c r="M1315" s="68">
        <v>1</v>
      </c>
      <c r="N1315" s="68" t="s">
        <v>947</v>
      </c>
    </row>
    <row r="1316" spans="1:14" ht="14.25" x14ac:dyDescent="0.2">
      <c r="A1316" s="14" t="s">
        <v>2591</v>
      </c>
      <c r="B1316" s="15" t="s">
        <v>8302</v>
      </c>
      <c r="C1316" s="20" t="s">
        <v>3761</v>
      </c>
      <c r="D1316" s="13" t="s">
        <v>3754</v>
      </c>
      <c r="E1316" s="27" t="s">
        <v>2592</v>
      </c>
      <c r="F1316" s="16" t="s">
        <v>2593</v>
      </c>
      <c r="G1316" s="8">
        <v>23</v>
      </c>
      <c r="H1316" s="8">
        <v>3</v>
      </c>
      <c r="I1316" s="8"/>
      <c r="J1316" s="27" t="s">
        <v>1272</v>
      </c>
      <c r="K1316" s="27" t="s">
        <v>1491</v>
      </c>
      <c r="L1316" s="29"/>
      <c r="M1316" s="68">
        <v>1</v>
      </c>
      <c r="N1316" s="68" t="s">
        <v>2560</v>
      </c>
    </row>
    <row r="1317" spans="1:14" ht="14.25" x14ac:dyDescent="0.2">
      <c r="A1317" s="49" t="s">
        <v>4031</v>
      </c>
      <c r="B1317" s="48" t="s">
        <v>5073</v>
      </c>
      <c r="C1317" s="45" t="s">
        <v>3754</v>
      </c>
      <c r="D1317" s="45" t="s">
        <v>3754</v>
      </c>
      <c r="E1317" s="61" t="s">
        <v>1855</v>
      </c>
      <c r="F1317" s="46" t="s">
        <v>3978</v>
      </c>
      <c r="G1317" s="8">
        <v>26</v>
      </c>
      <c r="H1317" s="8">
        <v>3</v>
      </c>
      <c r="I1317" s="8"/>
      <c r="J1317" s="45" t="s">
        <v>3979</v>
      </c>
      <c r="K1317" s="55" t="s">
        <v>3980</v>
      </c>
      <c r="L1317" s="97"/>
      <c r="M1317" s="68">
        <v>1</v>
      </c>
      <c r="N1317" s="68" t="s">
        <v>947</v>
      </c>
    </row>
    <row r="1318" spans="1:14" ht="14.25" x14ac:dyDescent="0.2">
      <c r="A1318" s="17" t="s">
        <v>4031</v>
      </c>
      <c r="B1318" s="18" t="s">
        <v>4032</v>
      </c>
      <c r="C1318" s="19" t="s">
        <v>3757</v>
      </c>
      <c r="D1318" s="10" t="s">
        <v>3768</v>
      </c>
      <c r="E1318" s="45" t="s">
        <v>4033</v>
      </c>
      <c r="F1318" s="19" t="s">
        <v>3768</v>
      </c>
      <c r="G1318" s="8">
        <v>32</v>
      </c>
      <c r="H1318" s="8"/>
      <c r="I1318" s="8"/>
      <c r="J1318" s="45" t="s">
        <v>2989</v>
      </c>
      <c r="K1318" s="55" t="s">
        <v>4034</v>
      </c>
      <c r="L1318" s="46"/>
      <c r="M1318" s="68">
        <v>1</v>
      </c>
      <c r="N1318" s="68" t="s">
        <v>4009</v>
      </c>
    </row>
    <row r="1319" spans="1:14" ht="14.25" x14ac:dyDescent="0.2">
      <c r="A1319" s="14" t="s">
        <v>6244</v>
      </c>
      <c r="B1319" s="15" t="s">
        <v>3732</v>
      </c>
      <c r="C1319" s="19" t="s">
        <v>3757</v>
      </c>
      <c r="D1319" s="16" t="s">
        <v>6245</v>
      </c>
      <c r="E1319" s="27" t="s">
        <v>6243</v>
      </c>
      <c r="F1319" s="16" t="s">
        <v>6246</v>
      </c>
      <c r="G1319" s="8">
        <v>47</v>
      </c>
      <c r="H1319" s="8"/>
      <c r="I1319" s="8"/>
      <c r="J1319" s="27" t="s">
        <v>6247</v>
      </c>
      <c r="K1319" s="27" t="s">
        <v>6248</v>
      </c>
      <c r="L1319" s="29"/>
      <c r="M1319" s="68">
        <v>1</v>
      </c>
      <c r="N1319" s="68" t="s">
        <v>2272</v>
      </c>
    </row>
    <row r="1320" spans="1:14" ht="14.25" x14ac:dyDescent="0.2">
      <c r="A1320" s="11" t="s">
        <v>5788</v>
      </c>
      <c r="B1320" s="12" t="s">
        <v>2159</v>
      </c>
      <c r="C1320" s="10" t="s">
        <v>3754</v>
      </c>
      <c r="D1320" s="13" t="s">
        <v>3754</v>
      </c>
      <c r="E1320" s="29">
        <v>1863</v>
      </c>
      <c r="F1320" s="13" t="s">
        <v>2160</v>
      </c>
      <c r="G1320" s="21">
        <v>2</v>
      </c>
      <c r="H1320" s="21"/>
      <c r="I1320" s="21"/>
      <c r="J1320" s="29" t="s">
        <v>2161</v>
      </c>
      <c r="K1320" s="29" t="s">
        <v>2162</v>
      </c>
      <c r="L1320" s="29"/>
      <c r="M1320" s="68">
        <v>1</v>
      </c>
      <c r="N1320" s="68" t="s">
        <v>2154</v>
      </c>
    </row>
    <row r="1321" spans="1:14" ht="14.25" x14ac:dyDescent="0.2">
      <c r="A1321" s="11" t="s">
        <v>5788</v>
      </c>
      <c r="B1321" s="12" t="s">
        <v>3338</v>
      </c>
      <c r="C1321" s="10" t="s">
        <v>3754</v>
      </c>
      <c r="D1321" s="13" t="s">
        <v>3754</v>
      </c>
      <c r="E1321" s="29" t="s">
        <v>5768</v>
      </c>
      <c r="F1321" s="13" t="s">
        <v>5769</v>
      </c>
      <c r="G1321" s="21">
        <v>19</v>
      </c>
      <c r="H1321" s="21"/>
      <c r="I1321" s="21"/>
      <c r="J1321" s="29" t="s">
        <v>5945</v>
      </c>
      <c r="K1321" s="29" t="s">
        <v>5770</v>
      </c>
      <c r="L1321" s="29"/>
      <c r="M1321" s="68">
        <v>1</v>
      </c>
      <c r="N1321" s="68" t="s">
        <v>4286</v>
      </c>
    </row>
    <row r="1322" spans="1:14" ht="14.25" x14ac:dyDescent="0.2">
      <c r="A1322" s="43" t="s">
        <v>5788</v>
      </c>
      <c r="B1322" s="44" t="s">
        <v>1422</v>
      </c>
      <c r="C1322" s="45" t="s">
        <v>3754</v>
      </c>
      <c r="D1322" s="27" t="s">
        <v>3754</v>
      </c>
      <c r="E1322" s="29" t="s">
        <v>5650</v>
      </c>
      <c r="F1322" s="27" t="s">
        <v>5789</v>
      </c>
      <c r="G1322" s="8">
        <v>38</v>
      </c>
      <c r="H1322" s="8"/>
      <c r="I1322" s="8"/>
      <c r="J1322" s="27" t="s">
        <v>1266</v>
      </c>
      <c r="K1322" s="29" t="s">
        <v>5790</v>
      </c>
      <c r="L1322" s="96"/>
      <c r="M1322" s="68">
        <v>1</v>
      </c>
      <c r="N1322" s="68" t="s">
        <v>947</v>
      </c>
    </row>
    <row r="1323" spans="1:14" ht="14.25" x14ac:dyDescent="0.2">
      <c r="A1323" s="11" t="s">
        <v>5788</v>
      </c>
      <c r="B1323" s="12" t="s">
        <v>3723</v>
      </c>
      <c r="C1323" s="10" t="s">
        <v>4302</v>
      </c>
      <c r="D1323" s="13" t="s">
        <v>3754</v>
      </c>
      <c r="E1323" s="29" t="s">
        <v>8749</v>
      </c>
      <c r="F1323" s="13" t="s">
        <v>4303</v>
      </c>
      <c r="G1323" s="21">
        <v>20</v>
      </c>
      <c r="H1323" s="21"/>
      <c r="I1323" s="21"/>
      <c r="J1323" s="29" t="s">
        <v>1264</v>
      </c>
      <c r="K1323" s="29" t="s">
        <v>4304</v>
      </c>
      <c r="L1323" s="29"/>
      <c r="M1323" s="68">
        <v>1</v>
      </c>
      <c r="N1323" s="68" t="s">
        <v>4286</v>
      </c>
    </row>
    <row r="1324" spans="1:14" ht="28.5" x14ac:dyDescent="0.2">
      <c r="A1324" s="11" t="s">
        <v>5788</v>
      </c>
      <c r="B1324" s="12" t="s">
        <v>3733</v>
      </c>
      <c r="C1324" s="10" t="s">
        <v>3757</v>
      </c>
      <c r="D1324" s="13" t="s">
        <v>7175</v>
      </c>
      <c r="E1324" s="29" t="s">
        <v>2143</v>
      </c>
      <c r="F1324" s="13" t="s">
        <v>3768</v>
      </c>
      <c r="G1324" s="21">
        <v>51</v>
      </c>
      <c r="H1324" s="21"/>
      <c r="I1324" s="21"/>
      <c r="J1324" s="29" t="s">
        <v>2333</v>
      </c>
      <c r="K1324" s="29" t="s">
        <v>1296</v>
      </c>
      <c r="L1324" s="29"/>
      <c r="M1324" s="68">
        <v>1</v>
      </c>
      <c r="N1324" s="68" t="s">
        <v>4286</v>
      </c>
    </row>
    <row r="1325" spans="1:14" ht="14.25" x14ac:dyDescent="0.2">
      <c r="A1325" s="11" t="s">
        <v>4305</v>
      </c>
      <c r="B1325" s="12" t="s">
        <v>4306</v>
      </c>
      <c r="C1325" s="10" t="s">
        <v>1509</v>
      </c>
      <c r="D1325" s="13" t="s">
        <v>3754</v>
      </c>
      <c r="E1325" s="29" t="s">
        <v>6920</v>
      </c>
      <c r="F1325" s="13" t="s">
        <v>4307</v>
      </c>
      <c r="G1325" s="21">
        <v>39</v>
      </c>
      <c r="H1325" s="21"/>
      <c r="I1325" s="21"/>
      <c r="J1325" s="29" t="s">
        <v>1264</v>
      </c>
      <c r="K1325" s="29" t="s">
        <v>1329</v>
      </c>
      <c r="L1325" s="29"/>
      <c r="M1325" s="68">
        <v>1</v>
      </c>
      <c r="N1325" s="68" t="s">
        <v>4286</v>
      </c>
    </row>
    <row r="1326" spans="1:14" ht="14.25" x14ac:dyDescent="0.2">
      <c r="A1326" s="14" t="s">
        <v>4072</v>
      </c>
      <c r="B1326" s="15" t="s">
        <v>4073</v>
      </c>
      <c r="C1326" s="19" t="s">
        <v>3754</v>
      </c>
      <c r="D1326" s="13" t="s">
        <v>3754</v>
      </c>
      <c r="E1326" s="27" t="s">
        <v>4074</v>
      </c>
      <c r="F1326" s="16" t="s">
        <v>3754</v>
      </c>
      <c r="G1326" s="8">
        <v>20</v>
      </c>
      <c r="H1326" s="8"/>
      <c r="I1326" s="8"/>
      <c r="J1326" s="27" t="s">
        <v>4075</v>
      </c>
      <c r="K1326" s="29" t="s">
        <v>5125</v>
      </c>
      <c r="L1326" s="27"/>
      <c r="M1326" s="68">
        <v>1</v>
      </c>
      <c r="N1326" s="68" t="s">
        <v>4009</v>
      </c>
    </row>
    <row r="1327" spans="1:14" ht="14.25" x14ac:dyDescent="0.2">
      <c r="A1327" s="14" t="s">
        <v>4072</v>
      </c>
      <c r="B1327" s="15" t="s">
        <v>3728</v>
      </c>
      <c r="C1327" s="20" t="s">
        <v>3761</v>
      </c>
      <c r="D1327" s="13" t="s">
        <v>3754</v>
      </c>
      <c r="E1327" s="27" t="s">
        <v>2574</v>
      </c>
      <c r="F1327" s="16" t="s">
        <v>2575</v>
      </c>
      <c r="G1327" s="8">
        <v>40</v>
      </c>
      <c r="H1327" s="8"/>
      <c r="I1327" s="8"/>
      <c r="J1327" s="27" t="s">
        <v>2576</v>
      </c>
      <c r="K1327" s="27" t="s">
        <v>2577</v>
      </c>
      <c r="L1327" s="29"/>
      <c r="M1327" s="68">
        <v>1</v>
      </c>
      <c r="N1327" s="68" t="s">
        <v>2560</v>
      </c>
    </row>
    <row r="1328" spans="1:14" ht="14.25" x14ac:dyDescent="0.2">
      <c r="A1328" s="14" t="s">
        <v>6219</v>
      </c>
      <c r="B1328" s="15" t="s">
        <v>8576</v>
      </c>
      <c r="C1328" s="20" t="s">
        <v>3757</v>
      </c>
      <c r="D1328" s="13" t="s">
        <v>3754</v>
      </c>
      <c r="E1328" s="27" t="s">
        <v>6221</v>
      </c>
      <c r="F1328" s="16" t="s">
        <v>6222</v>
      </c>
      <c r="G1328" s="8">
        <v>65</v>
      </c>
      <c r="H1328" s="8"/>
      <c r="I1328" s="8"/>
      <c r="J1328" s="27" t="s">
        <v>1262</v>
      </c>
      <c r="K1328" s="27" t="s">
        <v>6223</v>
      </c>
      <c r="L1328" s="29"/>
      <c r="M1328" s="68">
        <v>1</v>
      </c>
      <c r="N1328" s="68" t="s">
        <v>2272</v>
      </c>
    </row>
    <row r="1329" spans="1:14" ht="14.25" x14ac:dyDescent="0.2">
      <c r="A1329" s="11" t="s">
        <v>2231</v>
      </c>
      <c r="B1329" s="12" t="s">
        <v>3748</v>
      </c>
      <c r="C1329" s="10" t="s">
        <v>3757</v>
      </c>
      <c r="D1329" s="13" t="s">
        <v>3754</v>
      </c>
      <c r="E1329" s="29" t="s">
        <v>2232</v>
      </c>
      <c r="F1329" s="13" t="s">
        <v>2233</v>
      </c>
      <c r="G1329" s="21">
        <v>73</v>
      </c>
      <c r="H1329" s="21"/>
      <c r="I1329" s="21"/>
      <c r="J1329" s="29" t="s">
        <v>1277</v>
      </c>
      <c r="K1329" s="29" t="s">
        <v>2234</v>
      </c>
      <c r="L1329" s="29"/>
      <c r="M1329" s="68">
        <v>1</v>
      </c>
      <c r="N1329" s="68" t="s">
        <v>2154</v>
      </c>
    </row>
    <row r="1330" spans="1:14" ht="28.5" x14ac:dyDescent="0.2">
      <c r="A1330" s="11" t="s">
        <v>955</v>
      </c>
      <c r="B1330" s="12" t="s">
        <v>1432</v>
      </c>
      <c r="C1330" s="10" t="s">
        <v>5782</v>
      </c>
      <c r="D1330" s="13" t="s">
        <v>3754</v>
      </c>
      <c r="E1330" s="29" t="s">
        <v>5783</v>
      </c>
      <c r="F1330" s="13" t="s">
        <v>5784</v>
      </c>
      <c r="G1330" s="21">
        <v>51</v>
      </c>
      <c r="H1330" s="21"/>
      <c r="I1330" s="21"/>
      <c r="J1330" s="29" t="s">
        <v>1264</v>
      </c>
      <c r="K1330" s="29" t="s">
        <v>5785</v>
      </c>
      <c r="L1330" s="29"/>
      <c r="M1330" s="68">
        <v>1</v>
      </c>
      <c r="N1330" s="68" t="s">
        <v>4286</v>
      </c>
    </row>
    <row r="1331" spans="1:14" ht="14.25" x14ac:dyDescent="0.2">
      <c r="A1331" s="11" t="s">
        <v>955</v>
      </c>
      <c r="B1331" s="12" t="s">
        <v>1432</v>
      </c>
      <c r="C1331" s="10" t="s">
        <v>3757</v>
      </c>
      <c r="D1331" s="13" t="s">
        <v>3754</v>
      </c>
      <c r="E1331" s="27" t="s">
        <v>3167</v>
      </c>
      <c r="F1331" s="13" t="s">
        <v>2144</v>
      </c>
      <c r="G1331" s="21">
        <v>65</v>
      </c>
      <c r="H1331" s="21"/>
      <c r="I1331" s="21"/>
      <c r="J1331" s="29" t="s">
        <v>1264</v>
      </c>
      <c r="K1331" s="29" t="s">
        <v>3169</v>
      </c>
      <c r="L1331" s="29"/>
      <c r="M1331" s="68">
        <v>1</v>
      </c>
      <c r="N1331" s="68" t="s">
        <v>4286</v>
      </c>
    </row>
    <row r="1332" spans="1:14" ht="14.25" x14ac:dyDescent="0.2">
      <c r="A1332" s="11" t="s">
        <v>955</v>
      </c>
      <c r="B1332" s="12" t="s">
        <v>5759</v>
      </c>
      <c r="C1332" s="10" t="s">
        <v>3754</v>
      </c>
      <c r="D1332" s="13" t="s">
        <v>3754</v>
      </c>
      <c r="E1332" s="29" t="s">
        <v>5760</v>
      </c>
      <c r="F1332" s="13" t="s">
        <v>5761</v>
      </c>
      <c r="G1332" s="21">
        <v>27</v>
      </c>
      <c r="H1332" s="21"/>
      <c r="I1332" s="21"/>
      <c r="J1332" s="29" t="s">
        <v>1264</v>
      </c>
      <c r="K1332" s="29" t="s">
        <v>8755</v>
      </c>
      <c r="L1332" s="29"/>
      <c r="M1332" s="68">
        <v>1</v>
      </c>
      <c r="N1332" s="68" t="s">
        <v>4286</v>
      </c>
    </row>
    <row r="1333" spans="1:14" ht="14.25" x14ac:dyDescent="0.2">
      <c r="A1333" s="43" t="s">
        <v>955</v>
      </c>
      <c r="B1333" s="44" t="s">
        <v>3732</v>
      </c>
      <c r="C1333" s="45" t="s">
        <v>3757</v>
      </c>
      <c r="D1333" s="27" t="s">
        <v>956</v>
      </c>
      <c r="E1333" s="29"/>
      <c r="F1333" s="27" t="s">
        <v>6717</v>
      </c>
      <c r="G1333" s="8">
        <v>62</v>
      </c>
      <c r="H1333" s="8"/>
      <c r="I1333" s="8"/>
      <c r="J1333" s="27" t="s">
        <v>1088</v>
      </c>
      <c r="K1333" s="29" t="s">
        <v>957</v>
      </c>
      <c r="L1333" s="96"/>
      <c r="M1333" s="68">
        <v>1</v>
      </c>
      <c r="N1333" s="68" t="s">
        <v>947</v>
      </c>
    </row>
    <row r="1334" spans="1:14" ht="14.25" x14ac:dyDescent="0.2">
      <c r="A1334" s="43" t="s">
        <v>955</v>
      </c>
      <c r="B1334" s="44" t="s">
        <v>4004</v>
      </c>
      <c r="C1334" s="45" t="s">
        <v>3754</v>
      </c>
      <c r="D1334" s="27" t="s">
        <v>3754</v>
      </c>
      <c r="E1334" s="29" t="s">
        <v>4252</v>
      </c>
      <c r="F1334" s="27" t="s">
        <v>4253</v>
      </c>
      <c r="G1334" s="8">
        <v>9</v>
      </c>
      <c r="H1334" s="8">
        <v>7</v>
      </c>
      <c r="I1334" s="8">
        <v>20</v>
      </c>
      <c r="J1334" s="27" t="s">
        <v>4254</v>
      </c>
      <c r="K1334" s="29" t="s">
        <v>5653</v>
      </c>
      <c r="L1334" s="96"/>
      <c r="M1334" s="68">
        <v>1</v>
      </c>
      <c r="N1334" s="68" t="s">
        <v>947</v>
      </c>
    </row>
    <row r="1335" spans="1:14" ht="14.25" x14ac:dyDescent="0.2">
      <c r="A1335" s="14" t="s">
        <v>955</v>
      </c>
      <c r="B1335" s="15" t="s">
        <v>3733</v>
      </c>
      <c r="C1335" s="19" t="s">
        <v>3757</v>
      </c>
      <c r="D1335" s="13" t="s">
        <v>3754</v>
      </c>
      <c r="E1335" s="27" t="s">
        <v>6224</v>
      </c>
      <c r="F1335" s="16" t="s">
        <v>6225</v>
      </c>
      <c r="G1335" s="8">
        <v>63</v>
      </c>
      <c r="H1335" s="8"/>
      <c r="I1335" s="8"/>
      <c r="J1335" s="27" t="s">
        <v>4740</v>
      </c>
      <c r="K1335" s="27" t="s">
        <v>6226</v>
      </c>
      <c r="L1335" s="29"/>
      <c r="M1335" s="68">
        <v>1</v>
      </c>
      <c r="N1335" s="68" t="s">
        <v>2272</v>
      </c>
    </row>
    <row r="1336" spans="1:14" ht="14.25" x14ac:dyDescent="0.2">
      <c r="A1336" s="14" t="s">
        <v>955</v>
      </c>
      <c r="B1336" s="15" t="s">
        <v>3733</v>
      </c>
      <c r="C1336" s="19" t="s">
        <v>3757</v>
      </c>
      <c r="D1336" s="16" t="s">
        <v>6215</v>
      </c>
      <c r="E1336" s="27" t="s">
        <v>6216</v>
      </c>
      <c r="F1336" s="16" t="s">
        <v>6217</v>
      </c>
      <c r="G1336" s="8">
        <v>75</v>
      </c>
      <c r="H1336" s="8"/>
      <c r="I1336" s="8"/>
      <c r="J1336" s="27" t="s">
        <v>1271</v>
      </c>
      <c r="K1336" s="27" t="s">
        <v>6218</v>
      </c>
      <c r="L1336" s="29"/>
      <c r="M1336" s="68">
        <v>1</v>
      </c>
      <c r="N1336" s="68" t="s">
        <v>2272</v>
      </c>
    </row>
    <row r="1337" spans="1:14" ht="14.25" x14ac:dyDescent="0.2">
      <c r="A1337" s="14" t="s">
        <v>4054</v>
      </c>
      <c r="B1337" s="15" t="s">
        <v>3728</v>
      </c>
      <c r="C1337" s="19" t="s">
        <v>3754</v>
      </c>
      <c r="D1337" s="13" t="s">
        <v>3754</v>
      </c>
      <c r="E1337" s="27" t="s">
        <v>4057</v>
      </c>
      <c r="F1337" s="16" t="s">
        <v>3754</v>
      </c>
      <c r="G1337" s="8">
        <v>33</v>
      </c>
      <c r="H1337" s="8"/>
      <c r="I1337" s="8"/>
      <c r="J1337" s="27" t="s">
        <v>1264</v>
      </c>
      <c r="K1337" s="29" t="s">
        <v>4056</v>
      </c>
      <c r="L1337" s="27"/>
      <c r="M1337" s="68">
        <v>1</v>
      </c>
      <c r="N1337" s="68" t="s">
        <v>4009</v>
      </c>
    </row>
    <row r="1338" spans="1:14" ht="14.25" x14ac:dyDescent="0.2">
      <c r="A1338" s="14" t="s">
        <v>4054</v>
      </c>
      <c r="B1338" s="15" t="s">
        <v>3740</v>
      </c>
      <c r="C1338" s="19" t="s">
        <v>3768</v>
      </c>
      <c r="D1338" s="13" t="s">
        <v>1539</v>
      </c>
      <c r="E1338" s="27" t="s">
        <v>4055</v>
      </c>
      <c r="F1338" s="16" t="s">
        <v>3754</v>
      </c>
      <c r="G1338" s="8">
        <v>29</v>
      </c>
      <c r="H1338" s="8"/>
      <c r="I1338" s="8"/>
      <c r="J1338" s="27" t="s">
        <v>1264</v>
      </c>
      <c r="K1338" s="29" t="s">
        <v>4056</v>
      </c>
      <c r="L1338" s="27"/>
      <c r="M1338" s="68">
        <v>1</v>
      </c>
      <c r="N1338" s="68" t="s">
        <v>4009</v>
      </c>
    </row>
    <row r="1339" spans="1:14" ht="14.25" x14ac:dyDescent="0.2">
      <c r="A1339" s="14" t="s">
        <v>1146</v>
      </c>
      <c r="B1339" s="15" t="s">
        <v>3732</v>
      </c>
      <c r="C1339" s="19" t="s">
        <v>3757</v>
      </c>
      <c r="D1339" s="13" t="s">
        <v>3754</v>
      </c>
      <c r="E1339" s="27" t="s">
        <v>1147</v>
      </c>
      <c r="F1339" s="16" t="s">
        <v>1148</v>
      </c>
      <c r="G1339" s="8">
        <v>49</v>
      </c>
      <c r="H1339" s="8"/>
      <c r="I1339" s="8"/>
      <c r="J1339" s="27" t="s">
        <v>1277</v>
      </c>
      <c r="K1339" s="27" t="s">
        <v>1149</v>
      </c>
      <c r="L1339" s="29"/>
      <c r="M1339" s="68">
        <v>1</v>
      </c>
      <c r="N1339" s="68" t="s">
        <v>2560</v>
      </c>
    </row>
    <row r="1340" spans="1:14" ht="14.25" x14ac:dyDescent="0.2">
      <c r="A1340" s="11" t="s">
        <v>2210</v>
      </c>
      <c r="B1340" s="12" t="s">
        <v>1837</v>
      </c>
      <c r="C1340" s="10" t="s">
        <v>3754</v>
      </c>
      <c r="D1340" s="13" t="s">
        <v>3754</v>
      </c>
      <c r="E1340" s="29" t="s">
        <v>6823</v>
      </c>
      <c r="F1340" s="13" t="s">
        <v>2219</v>
      </c>
      <c r="G1340" s="21">
        <v>29</v>
      </c>
      <c r="H1340" s="21"/>
      <c r="I1340" s="21"/>
      <c r="J1340" s="29" t="s">
        <v>1264</v>
      </c>
      <c r="K1340" s="29" t="s">
        <v>2220</v>
      </c>
      <c r="L1340" s="29"/>
      <c r="M1340" s="68">
        <v>1</v>
      </c>
      <c r="N1340" s="68" t="s">
        <v>2154</v>
      </c>
    </row>
    <row r="1341" spans="1:14" ht="28.5" x14ac:dyDescent="0.2">
      <c r="A1341" s="11" t="s">
        <v>2210</v>
      </c>
      <c r="B1341" s="12" t="s">
        <v>2211</v>
      </c>
      <c r="C1341" s="21" t="s">
        <v>3758</v>
      </c>
      <c r="D1341" s="13" t="s">
        <v>3754</v>
      </c>
      <c r="E1341" s="29" t="s">
        <v>2212</v>
      </c>
      <c r="F1341" s="13" t="s">
        <v>2213</v>
      </c>
      <c r="G1341" s="21">
        <v>65</v>
      </c>
      <c r="H1341" s="21"/>
      <c r="I1341" s="21"/>
      <c r="J1341" s="29" t="s">
        <v>2214</v>
      </c>
      <c r="K1341" s="29" t="s">
        <v>2215</v>
      </c>
      <c r="L1341" s="29"/>
      <c r="M1341" s="68">
        <v>1</v>
      </c>
      <c r="N1341" s="68" t="s">
        <v>2154</v>
      </c>
    </row>
    <row r="1342" spans="1:14" ht="14.25" x14ac:dyDescent="0.2">
      <c r="A1342" s="14" t="s">
        <v>2210</v>
      </c>
      <c r="B1342" s="15" t="s">
        <v>7751</v>
      </c>
      <c r="C1342" s="19" t="s">
        <v>3761</v>
      </c>
      <c r="D1342" s="13" t="s">
        <v>3754</v>
      </c>
      <c r="E1342" s="27" t="s">
        <v>2525</v>
      </c>
      <c r="F1342" s="16" t="s">
        <v>2526</v>
      </c>
      <c r="G1342" s="8">
        <v>38</v>
      </c>
      <c r="H1342" s="8"/>
      <c r="I1342" s="8"/>
      <c r="J1342" s="27" t="s">
        <v>1277</v>
      </c>
      <c r="K1342" s="27" t="s">
        <v>6684</v>
      </c>
      <c r="L1342" s="29"/>
      <c r="M1342" s="68">
        <v>1</v>
      </c>
      <c r="N1342" s="68" t="s">
        <v>2272</v>
      </c>
    </row>
    <row r="1343" spans="1:14" ht="14.25" x14ac:dyDescent="0.2">
      <c r="A1343" s="14" t="s">
        <v>2210</v>
      </c>
      <c r="B1343" s="15" t="s">
        <v>3723</v>
      </c>
      <c r="C1343" s="19" t="s">
        <v>3757</v>
      </c>
      <c r="D1343" s="13" t="s">
        <v>3754</v>
      </c>
      <c r="E1343" s="46" t="s">
        <v>6197</v>
      </c>
      <c r="F1343" s="16" t="s">
        <v>6198</v>
      </c>
      <c r="G1343" s="8">
        <v>58</v>
      </c>
      <c r="H1343" s="8"/>
      <c r="I1343" s="8"/>
      <c r="J1343" s="27" t="s">
        <v>1266</v>
      </c>
      <c r="K1343" s="27"/>
      <c r="L1343" s="29"/>
      <c r="M1343" s="68">
        <v>1</v>
      </c>
      <c r="N1343" s="68" t="s">
        <v>2272</v>
      </c>
    </row>
    <row r="1344" spans="1:14" ht="14.25" x14ac:dyDescent="0.2">
      <c r="A1344" s="14" t="s">
        <v>2210</v>
      </c>
      <c r="B1344" s="15" t="s">
        <v>3733</v>
      </c>
      <c r="C1344" s="19" t="s">
        <v>3757</v>
      </c>
      <c r="D1344" s="13" t="s">
        <v>3754</v>
      </c>
      <c r="E1344" s="46" t="s">
        <v>2537</v>
      </c>
      <c r="F1344" s="16" t="s">
        <v>2538</v>
      </c>
      <c r="G1344" s="8">
        <v>42</v>
      </c>
      <c r="H1344" s="8"/>
      <c r="I1344" s="8"/>
      <c r="J1344" s="27" t="s">
        <v>1264</v>
      </c>
      <c r="K1344" s="27" t="s">
        <v>2539</v>
      </c>
      <c r="L1344" s="29"/>
      <c r="M1344" s="68">
        <v>1</v>
      </c>
      <c r="N1344" s="68" t="s">
        <v>2272</v>
      </c>
    </row>
    <row r="1345" spans="1:14" ht="14.25" x14ac:dyDescent="0.2">
      <c r="A1345" s="14" t="s">
        <v>2210</v>
      </c>
      <c r="B1345" s="15" t="s">
        <v>3733</v>
      </c>
      <c r="C1345" s="19" t="s">
        <v>3757</v>
      </c>
      <c r="D1345" s="13" t="s">
        <v>3754</v>
      </c>
      <c r="E1345" s="27" t="s">
        <v>2589</v>
      </c>
      <c r="F1345" s="16" t="s">
        <v>2590</v>
      </c>
      <c r="G1345" s="8">
        <v>50</v>
      </c>
      <c r="H1345" s="8"/>
      <c r="I1345" s="8"/>
      <c r="J1345" s="27" t="s">
        <v>1264</v>
      </c>
      <c r="K1345" s="27" t="s">
        <v>2589</v>
      </c>
      <c r="L1345" s="29"/>
      <c r="M1345" s="68">
        <v>1</v>
      </c>
      <c r="N1345" s="68" t="s">
        <v>2560</v>
      </c>
    </row>
    <row r="1346" spans="1:14" ht="14.25" x14ac:dyDescent="0.2">
      <c r="A1346" s="14" t="s">
        <v>6207</v>
      </c>
      <c r="B1346" s="15" t="s">
        <v>4908</v>
      </c>
      <c r="C1346" s="19" t="s">
        <v>3757</v>
      </c>
      <c r="D1346" s="13" t="s">
        <v>3754</v>
      </c>
      <c r="E1346" s="27" t="s">
        <v>6208</v>
      </c>
      <c r="F1346" s="16" t="s">
        <v>6209</v>
      </c>
      <c r="G1346" s="8">
        <v>69</v>
      </c>
      <c r="H1346" s="8"/>
      <c r="I1346" s="8"/>
      <c r="J1346" s="27" t="s">
        <v>1271</v>
      </c>
      <c r="K1346" s="27" t="s">
        <v>6210</v>
      </c>
      <c r="L1346" s="29"/>
      <c r="M1346" s="68">
        <v>1</v>
      </c>
      <c r="N1346" s="68" t="s">
        <v>2272</v>
      </c>
    </row>
    <row r="1347" spans="1:14" ht="14.25" x14ac:dyDescent="0.2">
      <c r="A1347" s="14" t="s">
        <v>6207</v>
      </c>
      <c r="B1347" s="15" t="s">
        <v>1879</v>
      </c>
      <c r="C1347" s="20" t="s">
        <v>3761</v>
      </c>
      <c r="D1347" s="13" t="s">
        <v>3754</v>
      </c>
      <c r="E1347" s="27" t="s">
        <v>2582</v>
      </c>
      <c r="F1347" s="16" t="s">
        <v>2538</v>
      </c>
      <c r="G1347" s="8">
        <v>20</v>
      </c>
      <c r="H1347" s="8"/>
      <c r="I1347" s="8"/>
      <c r="J1347" s="27" t="s">
        <v>1264</v>
      </c>
      <c r="K1347" s="27" t="s">
        <v>2583</v>
      </c>
      <c r="L1347" s="29"/>
      <c r="M1347" s="68">
        <v>1</v>
      </c>
      <c r="N1347" s="68" t="s">
        <v>2560</v>
      </c>
    </row>
    <row r="1348" spans="1:14" ht="14.25" x14ac:dyDescent="0.2">
      <c r="A1348" s="14" t="s">
        <v>2542</v>
      </c>
      <c r="B1348" s="15" t="s">
        <v>3723</v>
      </c>
      <c r="C1348" s="19" t="s">
        <v>3757</v>
      </c>
      <c r="D1348" s="13" t="s">
        <v>3754</v>
      </c>
      <c r="E1348" s="27" t="s">
        <v>717</v>
      </c>
      <c r="F1348" s="16" t="s">
        <v>2543</v>
      </c>
      <c r="G1348" s="8">
        <v>64</v>
      </c>
      <c r="H1348" s="8"/>
      <c r="I1348" s="8"/>
      <c r="J1348" s="27" t="s">
        <v>1259</v>
      </c>
      <c r="K1348" s="27" t="s">
        <v>2544</v>
      </c>
      <c r="L1348" s="29"/>
      <c r="M1348" s="68">
        <v>1</v>
      </c>
      <c r="N1348" s="68" t="s">
        <v>2272</v>
      </c>
    </row>
    <row r="1349" spans="1:14" ht="14.25" x14ac:dyDescent="0.2">
      <c r="A1349" s="14" t="s">
        <v>6255</v>
      </c>
      <c r="B1349" s="15" t="s">
        <v>5020</v>
      </c>
      <c r="C1349" s="19" t="s">
        <v>3758</v>
      </c>
      <c r="D1349" s="13" t="s">
        <v>3754</v>
      </c>
      <c r="E1349" s="27" t="s">
        <v>5399</v>
      </c>
      <c r="F1349" s="16" t="s">
        <v>6256</v>
      </c>
      <c r="G1349" s="8">
        <v>66</v>
      </c>
      <c r="H1349" s="8"/>
      <c r="I1349" s="8"/>
      <c r="J1349" s="27" t="s">
        <v>1264</v>
      </c>
      <c r="K1349" s="27" t="s">
        <v>2517</v>
      </c>
      <c r="L1349" s="29"/>
      <c r="M1349" s="68">
        <v>1</v>
      </c>
      <c r="N1349" s="68" t="s">
        <v>2272</v>
      </c>
    </row>
    <row r="1350" spans="1:14" ht="14.25" x14ac:dyDescent="0.2">
      <c r="A1350" s="14" t="s">
        <v>4022</v>
      </c>
      <c r="B1350" s="15" t="s">
        <v>3748</v>
      </c>
      <c r="C1350" s="19" t="s">
        <v>3757</v>
      </c>
      <c r="D1350" s="13" t="s">
        <v>1960</v>
      </c>
      <c r="E1350" s="27" t="s">
        <v>4024</v>
      </c>
      <c r="F1350" s="16" t="s">
        <v>3767</v>
      </c>
      <c r="G1350" s="8">
        <v>84</v>
      </c>
      <c r="H1350" s="8"/>
      <c r="I1350" s="8"/>
      <c r="J1350" s="27" t="s">
        <v>1271</v>
      </c>
      <c r="K1350" s="27" t="s">
        <v>4023</v>
      </c>
      <c r="L1350" s="27"/>
      <c r="M1350" s="68">
        <v>1</v>
      </c>
      <c r="N1350" s="68" t="s">
        <v>4009</v>
      </c>
    </row>
    <row r="1351" spans="1:14" ht="14.25" x14ac:dyDescent="0.2">
      <c r="A1351" s="43" t="s">
        <v>4022</v>
      </c>
      <c r="B1351" s="44" t="s">
        <v>3989</v>
      </c>
      <c r="C1351" s="45" t="s">
        <v>3767</v>
      </c>
      <c r="D1351" s="27" t="s">
        <v>3767</v>
      </c>
      <c r="E1351" s="29" t="s">
        <v>3990</v>
      </c>
      <c r="F1351" s="27" t="s">
        <v>3767</v>
      </c>
      <c r="G1351" s="8">
        <v>19</v>
      </c>
      <c r="H1351" s="8"/>
      <c r="I1351" s="8"/>
      <c r="J1351" s="27" t="s">
        <v>8084</v>
      </c>
      <c r="K1351" s="29" t="s">
        <v>8085</v>
      </c>
      <c r="L1351" s="96"/>
      <c r="M1351" s="68">
        <v>1</v>
      </c>
      <c r="N1351" s="68" t="s">
        <v>947</v>
      </c>
    </row>
    <row r="1352" spans="1:14" ht="14.25" x14ac:dyDescent="0.2">
      <c r="A1352" s="14" t="s">
        <v>4022</v>
      </c>
      <c r="B1352" s="15" t="s">
        <v>1879</v>
      </c>
      <c r="C1352" s="45" t="s">
        <v>3767</v>
      </c>
      <c r="D1352" s="13" t="s">
        <v>3765</v>
      </c>
      <c r="E1352" s="27" t="s">
        <v>2528</v>
      </c>
      <c r="F1352" s="16" t="s">
        <v>2529</v>
      </c>
      <c r="G1352" s="8"/>
      <c r="H1352" s="8"/>
      <c r="I1352" s="8">
        <v>3</v>
      </c>
      <c r="J1352" s="27" t="s">
        <v>1277</v>
      </c>
      <c r="K1352" s="27" t="s">
        <v>8862</v>
      </c>
      <c r="L1352" s="29"/>
      <c r="M1352" s="68">
        <v>1</v>
      </c>
      <c r="N1352" s="68" t="s">
        <v>2272</v>
      </c>
    </row>
    <row r="1353" spans="1:14" ht="14.25" x14ac:dyDescent="0.2">
      <c r="A1353" s="43" t="s">
        <v>4022</v>
      </c>
      <c r="B1353" s="44" t="s">
        <v>4685</v>
      </c>
      <c r="C1353" s="45" t="s">
        <v>3767</v>
      </c>
      <c r="D1353" s="27" t="s">
        <v>6826</v>
      </c>
      <c r="E1353" s="29" t="s">
        <v>8088</v>
      </c>
      <c r="F1353" s="27" t="s">
        <v>3767</v>
      </c>
      <c r="G1353" s="8">
        <v>24</v>
      </c>
      <c r="H1353" s="8"/>
      <c r="I1353" s="8"/>
      <c r="J1353" s="27" t="s">
        <v>5461</v>
      </c>
      <c r="K1353" s="29"/>
      <c r="L1353" s="96"/>
      <c r="M1353" s="68">
        <v>1</v>
      </c>
      <c r="N1353" s="68" t="s">
        <v>947</v>
      </c>
    </row>
    <row r="1354" spans="1:14" ht="14.25" x14ac:dyDescent="0.2">
      <c r="A1354" s="14" t="s">
        <v>4022</v>
      </c>
      <c r="B1354" s="15" t="s">
        <v>4685</v>
      </c>
      <c r="C1354" s="19" t="s">
        <v>3757</v>
      </c>
      <c r="D1354" s="13"/>
      <c r="E1354" s="27" t="s">
        <v>4048</v>
      </c>
      <c r="F1354" s="16" t="s">
        <v>3767</v>
      </c>
      <c r="G1354" s="8">
        <v>26</v>
      </c>
      <c r="H1354" s="8"/>
      <c r="I1354" s="8"/>
      <c r="J1354" s="27"/>
      <c r="K1354" s="29"/>
      <c r="L1354" s="27"/>
      <c r="M1354" s="68">
        <v>1</v>
      </c>
      <c r="N1354" s="68" t="s">
        <v>4009</v>
      </c>
    </row>
    <row r="1355" spans="1:14" ht="28.5" x14ac:dyDescent="0.2">
      <c r="A1355" s="43" t="s">
        <v>4022</v>
      </c>
      <c r="B1355" s="44" t="s">
        <v>6710</v>
      </c>
      <c r="C1355" s="45" t="s">
        <v>3767</v>
      </c>
      <c r="D1355" s="27" t="s">
        <v>4260</v>
      </c>
      <c r="E1355" s="29" t="s">
        <v>2671</v>
      </c>
      <c r="F1355" s="27" t="s">
        <v>4261</v>
      </c>
      <c r="G1355" s="8">
        <v>39</v>
      </c>
      <c r="H1355" s="8"/>
      <c r="I1355" s="8"/>
      <c r="J1355" s="27" t="s">
        <v>1264</v>
      </c>
      <c r="K1355" s="29" t="s">
        <v>5703</v>
      </c>
      <c r="L1355" s="96" t="s">
        <v>6700</v>
      </c>
      <c r="M1355" s="68">
        <v>1</v>
      </c>
      <c r="N1355" s="68" t="s">
        <v>947</v>
      </c>
    </row>
    <row r="1356" spans="1:14" ht="14.25" x14ac:dyDescent="0.2">
      <c r="A1356" s="11" t="s">
        <v>4022</v>
      </c>
      <c r="B1356" s="12" t="s">
        <v>5073</v>
      </c>
      <c r="C1356" s="10" t="s">
        <v>3767</v>
      </c>
      <c r="D1356" s="13" t="s">
        <v>3767</v>
      </c>
      <c r="E1356" s="29" t="s">
        <v>2202</v>
      </c>
      <c r="F1356" s="13" t="s">
        <v>2203</v>
      </c>
      <c r="G1356" s="21">
        <v>19</v>
      </c>
      <c r="H1356" s="21"/>
      <c r="I1356" s="21"/>
      <c r="J1356" s="29" t="s">
        <v>1264</v>
      </c>
      <c r="K1356" s="29" t="s">
        <v>6786</v>
      </c>
      <c r="L1356" s="29"/>
      <c r="M1356" s="68">
        <v>1</v>
      </c>
      <c r="N1356" s="68" t="s">
        <v>2154</v>
      </c>
    </row>
    <row r="1357" spans="1:14" ht="14.25" x14ac:dyDescent="0.2">
      <c r="A1357" s="43" t="s">
        <v>4022</v>
      </c>
      <c r="B1357" s="44" t="s">
        <v>8086</v>
      </c>
      <c r="C1357" s="45" t="s">
        <v>3757</v>
      </c>
      <c r="D1357" s="27" t="s">
        <v>3767</v>
      </c>
      <c r="E1357" s="29" t="s">
        <v>8087</v>
      </c>
      <c r="F1357" s="27" t="s">
        <v>3767</v>
      </c>
      <c r="G1357" s="8">
        <v>48</v>
      </c>
      <c r="H1357" s="8"/>
      <c r="I1357" s="8"/>
      <c r="J1357" s="27" t="s">
        <v>1264</v>
      </c>
      <c r="K1357" s="29"/>
      <c r="L1357" s="96"/>
      <c r="M1357" s="68">
        <v>1</v>
      </c>
      <c r="N1357" s="68" t="s">
        <v>947</v>
      </c>
    </row>
    <row r="1358" spans="1:14" ht="14.25" x14ac:dyDescent="0.2">
      <c r="A1358" s="14" t="s">
        <v>4022</v>
      </c>
      <c r="B1358" s="15" t="s">
        <v>3741</v>
      </c>
      <c r="C1358" s="10" t="s">
        <v>3767</v>
      </c>
      <c r="D1358" s="13" t="s">
        <v>3767</v>
      </c>
      <c r="E1358" s="27" t="s">
        <v>1390</v>
      </c>
      <c r="F1358" s="16" t="s">
        <v>3767</v>
      </c>
      <c r="G1358" s="8">
        <v>24</v>
      </c>
      <c r="H1358" s="8"/>
      <c r="I1358" s="8"/>
      <c r="J1358" s="27" t="s">
        <v>1264</v>
      </c>
      <c r="K1358" s="29" t="s">
        <v>4023</v>
      </c>
      <c r="L1358" s="27"/>
      <c r="M1358" s="68">
        <v>1</v>
      </c>
      <c r="N1358" s="68" t="s">
        <v>4009</v>
      </c>
    </row>
    <row r="1359" spans="1:14" ht="14.25" x14ac:dyDescent="0.2">
      <c r="A1359" s="43" t="s">
        <v>4022</v>
      </c>
      <c r="B1359" s="44" t="s">
        <v>4875</v>
      </c>
      <c r="C1359" s="45" t="s">
        <v>3767</v>
      </c>
      <c r="D1359" s="27" t="s">
        <v>8090</v>
      </c>
      <c r="E1359" s="29" t="s">
        <v>8091</v>
      </c>
      <c r="F1359" s="27" t="s">
        <v>3767</v>
      </c>
      <c r="G1359" s="8">
        <v>27</v>
      </c>
      <c r="H1359" s="8"/>
      <c r="I1359" s="8"/>
      <c r="J1359" s="27"/>
      <c r="K1359" s="29"/>
      <c r="L1359" s="96"/>
      <c r="M1359" s="68">
        <v>1</v>
      </c>
      <c r="N1359" s="68" t="s">
        <v>947</v>
      </c>
    </row>
    <row r="1360" spans="1:14" ht="14.25" x14ac:dyDescent="0.2">
      <c r="A1360" s="47" t="s">
        <v>4022</v>
      </c>
      <c r="B1360" s="48" t="s">
        <v>4876</v>
      </c>
      <c r="C1360" s="45" t="s">
        <v>3757</v>
      </c>
      <c r="D1360" s="46" t="s">
        <v>3767</v>
      </c>
      <c r="E1360" s="55" t="s">
        <v>8089</v>
      </c>
      <c r="F1360" s="45" t="s">
        <v>3767</v>
      </c>
      <c r="G1360" s="8">
        <v>51</v>
      </c>
      <c r="H1360" s="8"/>
      <c r="I1360" s="8"/>
      <c r="J1360" s="45" t="s">
        <v>1259</v>
      </c>
      <c r="K1360" s="55"/>
      <c r="L1360" s="97"/>
      <c r="M1360" s="68">
        <v>1</v>
      </c>
      <c r="N1360" s="68" t="s">
        <v>947</v>
      </c>
    </row>
    <row r="1361" spans="1:14" ht="14.25" x14ac:dyDescent="0.2">
      <c r="A1361" s="17" t="s">
        <v>6237</v>
      </c>
      <c r="B1361" s="18" t="s">
        <v>5073</v>
      </c>
      <c r="C1361" s="20" t="s">
        <v>3761</v>
      </c>
      <c r="D1361" s="10" t="s">
        <v>3754</v>
      </c>
      <c r="E1361" s="46" t="s">
        <v>3404</v>
      </c>
      <c r="F1361" s="19" t="s">
        <v>6238</v>
      </c>
      <c r="G1361" s="8">
        <v>6</v>
      </c>
      <c r="H1361" s="8">
        <v>10</v>
      </c>
      <c r="I1361" s="8"/>
      <c r="J1361" s="45" t="s">
        <v>1254</v>
      </c>
      <c r="K1361" s="46" t="s">
        <v>6239</v>
      </c>
      <c r="L1361" s="61"/>
      <c r="M1361" s="68">
        <v>1</v>
      </c>
      <c r="N1361" s="68" t="s">
        <v>2272</v>
      </c>
    </row>
    <row r="1362" spans="1:14" ht="14.25" x14ac:dyDescent="0.2">
      <c r="A1362" s="40" t="s">
        <v>6237</v>
      </c>
      <c r="B1362" s="50" t="s">
        <v>3751</v>
      </c>
      <c r="C1362" s="19" t="s">
        <v>3761</v>
      </c>
      <c r="D1362" s="39" t="s">
        <v>3754</v>
      </c>
      <c r="E1362" s="27" t="s">
        <v>2579</v>
      </c>
      <c r="F1362" s="41" t="s">
        <v>2580</v>
      </c>
      <c r="G1362" s="8">
        <v>1</v>
      </c>
      <c r="H1362" s="8">
        <v>6</v>
      </c>
      <c r="I1362" s="8">
        <v>14</v>
      </c>
      <c r="J1362" s="53" t="s">
        <v>1277</v>
      </c>
      <c r="K1362" s="27" t="s">
        <v>2581</v>
      </c>
      <c r="L1362" s="84"/>
      <c r="M1362" s="68">
        <v>1</v>
      </c>
      <c r="N1362" s="68" t="s">
        <v>2560</v>
      </c>
    </row>
    <row r="1363" spans="1:14" ht="14.25" x14ac:dyDescent="0.2">
      <c r="A1363" s="40" t="s">
        <v>4016</v>
      </c>
      <c r="B1363" s="50" t="s">
        <v>3732</v>
      </c>
      <c r="C1363" s="19" t="s">
        <v>3761</v>
      </c>
      <c r="D1363" s="39" t="s">
        <v>3754</v>
      </c>
      <c r="E1363" s="27" t="s">
        <v>5050</v>
      </c>
      <c r="F1363" s="41" t="s">
        <v>6211</v>
      </c>
      <c r="G1363" s="8">
        <v>5</v>
      </c>
      <c r="H1363" s="8">
        <v>1</v>
      </c>
      <c r="I1363" s="8"/>
      <c r="J1363" s="53" t="s">
        <v>7319</v>
      </c>
      <c r="K1363" s="27" t="s">
        <v>5370</v>
      </c>
      <c r="L1363" s="84"/>
      <c r="M1363" s="68">
        <v>1</v>
      </c>
      <c r="N1363" s="68" t="s">
        <v>2272</v>
      </c>
    </row>
    <row r="1364" spans="1:14" ht="14.25" x14ac:dyDescent="0.2">
      <c r="A1364" s="40" t="s">
        <v>4016</v>
      </c>
      <c r="B1364" s="50" t="s">
        <v>3732</v>
      </c>
      <c r="C1364" s="19" t="s">
        <v>3757</v>
      </c>
      <c r="D1364" s="39" t="s">
        <v>1907</v>
      </c>
      <c r="E1364" s="27" t="s">
        <v>4035</v>
      </c>
      <c r="F1364" s="41"/>
      <c r="G1364" s="8">
        <v>32</v>
      </c>
      <c r="H1364" s="8"/>
      <c r="I1364" s="8"/>
      <c r="J1364" s="53" t="s">
        <v>4748</v>
      </c>
      <c r="K1364" s="27" t="s">
        <v>4036</v>
      </c>
      <c r="L1364" s="53"/>
      <c r="M1364" s="68">
        <v>1</v>
      </c>
      <c r="N1364" s="68" t="s">
        <v>4009</v>
      </c>
    </row>
    <row r="1365" spans="1:14" ht="14.25" x14ac:dyDescent="0.2">
      <c r="A1365" s="40" t="s">
        <v>4016</v>
      </c>
      <c r="B1365" s="50" t="s">
        <v>4900</v>
      </c>
      <c r="C1365" s="19" t="s">
        <v>3757</v>
      </c>
      <c r="D1365" s="39" t="s">
        <v>3754</v>
      </c>
      <c r="E1365" s="27"/>
      <c r="F1365" s="41" t="s">
        <v>3754</v>
      </c>
      <c r="G1365" s="8">
        <v>72</v>
      </c>
      <c r="H1365" s="8"/>
      <c r="I1365" s="8"/>
      <c r="J1365" s="53" t="s">
        <v>1264</v>
      </c>
      <c r="K1365" s="29" t="s">
        <v>2639</v>
      </c>
      <c r="L1365" s="53"/>
      <c r="M1365" s="68">
        <v>1</v>
      </c>
      <c r="N1365" s="68" t="s">
        <v>4009</v>
      </c>
    </row>
    <row r="1366" spans="1:14" ht="14.25" x14ac:dyDescent="0.2">
      <c r="A1366" s="40" t="s">
        <v>2236</v>
      </c>
      <c r="B1366" s="50" t="s">
        <v>3746</v>
      </c>
      <c r="C1366" s="19" t="s">
        <v>3761</v>
      </c>
      <c r="D1366" s="39" t="s">
        <v>3754</v>
      </c>
      <c r="E1366" s="27" t="s">
        <v>1158</v>
      </c>
      <c r="F1366" s="41" t="s">
        <v>1162</v>
      </c>
      <c r="G1366" s="8">
        <v>2</v>
      </c>
      <c r="H1366" s="8">
        <v>3</v>
      </c>
      <c r="I1366" s="8">
        <v>22</v>
      </c>
      <c r="J1366" s="53" t="s">
        <v>1254</v>
      </c>
      <c r="K1366" s="27" t="s">
        <v>1163</v>
      </c>
      <c r="L1366" s="84"/>
      <c r="M1366" s="68">
        <v>1</v>
      </c>
      <c r="N1366" s="68" t="s">
        <v>2560</v>
      </c>
    </row>
    <row r="1367" spans="1:14" ht="14.25" x14ac:dyDescent="0.2">
      <c r="A1367" s="37" t="s">
        <v>2236</v>
      </c>
      <c r="B1367" s="38" t="s">
        <v>3746</v>
      </c>
      <c r="C1367" s="21" t="s">
        <v>3754</v>
      </c>
      <c r="D1367" s="39" t="s">
        <v>3754</v>
      </c>
      <c r="E1367" s="29" t="s">
        <v>2237</v>
      </c>
      <c r="F1367" s="39" t="s">
        <v>2238</v>
      </c>
      <c r="G1367" s="21">
        <v>23</v>
      </c>
      <c r="H1367" s="21"/>
      <c r="I1367" s="21"/>
      <c r="J1367" s="84" t="s">
        <v>1264</v>
      </c>
      <c r="K1367" s="29" t="s">
        <v>5013</v>
      </c>
      <c r="L1367" s="84"/>
      <c r="M1367" s="68">
        <v>1</v>
      </c>
      <c r="N1367" s="68" t="s">
        <v>2154</v>
      </c>
    </row>
    <row r="1368" spans="1:14" ht="14.25" x14ac:dyDescent="0.2">
      <c r="A1368" s="40" t="s">
        <v>2236</v>
      </c>
      <c r="B1368" s="50" t="s">
        <v>3746</v>
      </c>
      <c r="C1368" s="19" t="s">
        <v>3757</v>
      </c>
      <c r="D1368" s="39" t="s">
        <v>3754</v>
      </c>
      <c r="E1368" s="27" t="s">
        <v>2562</v>
      </c>
      <c r="F1368" s="41" t="s">
        <v>3047</v>
      </c>
      <c r="G1368" s="8">
        <v>65</v>
      </c>
      <c r="H1368" s="8"/>
      <c r="I1368" s="8"/>
      <c r="J1368" s="53" t="s">
        <v>1264</v>
      </c>
      <c r="K1368" s="27" t="s">
        <v>2562</v>
      </c>
      <c r="L1368" s="84"/>
      <c r="M1368" s="68">
        <v>1</v>
      </c>
      <c r="N1368" s="68" t="s">
        <v>2560</v>
      </c>
    </row>
    <row r="1369" spans="1:14" ht="14.25" x14ac:dyDescent="0.2">
      <c r="A1369" s="37" t="s">
        <v>4287</v>
      </c>
      <c r="B1369" s="38" t="s">
        <v>1432</v>
      </c>
      <c r="C1369" s="10" t="s">
        <v>3757</v>
      </c>
      <c r="D1369" s="39" t="s">
        <v>3754</v>
      </c>
      <c r="E1369" s="29" t="s">
        <v>7464</v>
      </c>
      <c r="F1369" s="39" t="s">
        <v>4288</v>
      </c>
      <c r="G1369" s="21">
        <v>27</v>
      </c>
      <c r="H1369" s="21"/>
      <c r="I1369" s="21"/>
      <c r="J1369" s="84" t="s">
        <v>2335</v>
      </c>
      <c r="K1369" s="29" t="s">
        <v>7464</v>
      </c>
      <c r="L1369" s="84"/>
      <c r="M1369" s="68">
        <v>1</v>
      </c>
      <c r="N1369" s="68" t="s">
        <v>4286</v>
      </c>
    </row>
    <row r="1370" spans="1:14" ht="14.25" x14ac:dyDescent="0.2">
      <c r="A1370" s="51" t="s">
        <v>4275</v>
      </c>
      <c r="B1370" s="52" t="s">
        <v>3734</v>
      </c>
      <c r="C1370" s="45" t="s">
        <v>3757</v>
      </c>
      <c r="D1370" s="53" t="s">
        <v>3754</v>
      </c>
      <c r="E1370" s="29" t="s">
        <v>4276</v>
      </c>
      <c r="F1370" s="53" t="s">
        <v>4277</v>
      </c>
      <c r="G1370" s="8">
        <v>65</v>
      </c>
      <c r="H1370" s="8"/>
      <c r="I1370" s="8"/>
      <c r="J1370" s="53" t="s">
        <v>2097</v>
      </c>
      <c r="K1370" s="29" t="s">
        <v>4805</v>
      </c>
      <c r="L1370" s="98"/>
      <c r="M1370" s="68">
        <v>1</v>
      </c>
      <c r="N1370" s="68" t="s">
        <v>947</v>
      </c>
    </row>
    <row r="1371" spans="1:14" ht="14.25" x14ac:dyDescent="0.2">
      <c r="A1371" s="40" t="s">
        <v>6249</v>
      </c>
      <c r="B1371" s="50" t="s">
        <v>3740</v>
      </c>
      <c r="C1371" s="19" t="s">
        <v>3757</v>
      </c>
      <c r="D1371" s="39" t="s">
        <v>3754</v>
      </c>
      <c r="E1371" s="27" t="s">
        <v>6250</v>
      </c>
      <c r="F1371" s="41" t="s">
        <v>3459</v>
      </c>
      <c r="G1371" s="8">
        <v>57</v>
      </c>
      <c r="H1371" s="8"/>
      <c r="I1371" s="8"/>
      <c r="J1371" s="53" t="s">
        <v>1264</v>
      </c>
      <c r="K1371" s="27" t="s">
        <v>2911</v>
      </c>
      <c r="L1371" s="84"/>
      <c r="M1371" s="68">
        <v>1</v>
      </c>
      <c r="N1371" s="68" t="s">
        <v>2272</v>
      </c>
    </row>
    <row r="1372" spans="1:14" ht="14.25" x14ac:dyDescent="0.2">
      <c r="A1372" s="37" t="s">
        <v>2138</v>
      </c>
      <c r="B1372" s="38" t="s">
        <v>2139</v>
      </c>
      <c r="C1372" s="10" t="s">
        <v>3757</v>
      </c>
      <c r="D1372" s="54" t="s">
        <v>3754</v>
      </c>
      <c r="E1372" s="27" t="s">
        <v>8800</v>
      </c>
      <c r="F1372" s="39" t="s">
        <v>2140</v>
      </c>
      <c r="G1372" s="21">
        <v>27</v>
      </c>
      <c r="H1372" s="21"/>
      <c r="I1372" s="21"/>
      <c r="J1372" s="84" t="s">
        <v>1264</v>
      </c>
      <c r="K1372" s="29" t="s">
        <v>8803</v>
      </c>
      <c r="L1372" s="84"/>
      <c r="M1372" s="68">
        <v>1</v>
      </c>
      <c r="N1372" s="68" t="s">
        <v>4286</v>
      </c>
    </row>
    <row r="1373" spans="1:14" ht="14.25" x14ac:dyDescent="0.2">
      <c r="A1373" s="37" t="s">
        <v>2138</v>
      </c>
      <c r="B1373" s="38" t="s">
        <v>3723</v>
      </c>
      <c r="C1373" s="10" t="s">
        <v>3754</v>
      </c>
      <c r="D1373" s="39" t="s">
        <v>3754</v>
      </c>
      <c r="E1373" s="29" t="s">
        <v>2266</v>
      </c>
      <c r="F1373" s="39" t="s">
        <v>2267</v>
      </c>
      <c r="G1373" s="21">
        <v>34</v>
      </c>
      <c r="H1373" s="21"/>
      <c r="I1373" s="21"/>
      <c r="J1373" s="84" t="s">
        <v>1264</v>
      </c>
      <c r="K1373" s="29" t="s">
        <v>5335</v>
      </c>
      <c r="L1373" s="84"/>
      <c r="M1373" s="68">
        <v>1</v>
      </c>
      <c r="N1373" s="68" t="s">
        <v>2154</v>
      </c>
    </row>
    <row r="1374" spans="1:14" ht="14.25" x14ac:dyDescent="0.2">
      <c r="A1374" s="40" t="s">
        <v>1879</v>
      </c>
      <c r="B1374" s="50" t="s">
        <v>3727</v>
      </c>
      <c r="C1374" s="20" t="s">
        <v>3757</v>
      </c>
      <c r="D1374" s="39" t="s">
        <v>3754</v>
      </c>
      <c r="E1374" s="27" t="s">
        <v>8857</v>
      </c>
      <c r="F1374" s="41" t="s">
        <v>2527</v>
      </c>
      <c r="G1374" s="8">
        <v>51</v>
      </c>
      <c r="H1374" s="8"/>
      <c r="I1374" s="8"/>
      <c r="J1374" s="53" t="s">
        <v>5945</v>
      </c>
      <c r="K1374" s="27" t="s">
        <v>8859</v>
      </c>
      <c r="L1374" s="84"/>
      <c r="M1374" s="68">
        <v>1</v>
      </c>
      <c r="N1374" s="68" t="s">
        <v>2272</v>
      </c>
    </row>
    <row r="1375" spans="1:14" ht="14.25" x14ac:dyDescent="0.2">
      <c r="A1375" s="40" t="s">
        <v>1879</v>
      </c>
      <c r="B1375" s="50" t="s">
        <v>4702</v>
      </c>
      <c r="C1375" s="21" t="s">
        <v>3767</v>
      </c>
      <c r="D1375" s="39" t="s">
        <v>3767</v>
      </c>
      <c r="E1375" s="27" t="s">
        <v>4025</v>
      </c>
      <c r="F1375" s="41" t="s">
        <v>3767</v>
      </c>
      <c r="G1375" s="8">
        <v>4</v>
      </c>
      <c r="H1375" s="8">
        <v>2</v>
      </c>
      <c r="I1375" s="8"/>
      <c r="J1375" s="53" t="s">
        <v>1277</v>
      </c>
      <c r="K1375" s="29" t="s">
        <v>4026</v>
      </c>
      <c r="L1375" s="53"/>
      <c r="M1375" s="68">
        <v>1</v>
      </c>
      <c r="N1375" s="68" t="s">
        <v>4009</v>
      </c>
    </row>
    <row r="1376" spans="1:14" ht="14.25" x14ac:dyDescent="0.2">
      <c r="A1376" s="40" t="s">
        <v>1879</v>
      </c>
      <c r="B1376" s="50"/>
      <c r="C1376" s="10" t="s">
        <v>3767</v>
      </c>
      <c r="D1376" s="39" t="s">
        <v>3767</v>
      </c>
      <c r="E1376" s="27" t="s">
        <v>4027</v>
      </c>
      <c r="F1376" s="41" t="s">
        <v>3767</v>
      </c>
      <c r="G1376" s="8">
        <v>1</v>
      </c>
      <c r="H1376" s="8">
        <v>8</v>
      </c>
      <c r="I1376" s="8"/>
      <c r="J1376" s="53" t="s">
        <v>1277</v>
      </c>
      <c r="K1376" s="29" t="s">
        <v>4026</v>
      </c>
      <c r="L1376" s="53"/>
      <c r="M1376" s="68">
        <v>1</v>
      </c>
      <c r="N1376" s="68" t="s">
        <v>4009</v>
      </c>
    </row>
    <row r="1377" spans="1:14" ht="14.25" x14ac:dyDescent="0.2">
      <c r="A1377" s="40" t="s">
        <v>1879</v>
      </c>
      <c r="B1377" s="50"/>
      <c r="C1377" s="10" t="s">
        <v>3767</v>
      </c>
      <c r="D1377" s="39" t="s">
        <v>3767</v>
      </c>
      <c r="E1377" s="27" t="s">
        <v>4028</v>
      </c>
      <c r="F1377" s="41" t="s">
        <v>3767</v>
      </c>
      <c r="G1377" s="8"/>
      <c r="H1377" s="8"/>
      <c r="I1377" s="8">
        <v>5</v>
      </c>
      <c r="J1377" s="53" t="s">
        <v>1277</v>
      </c>
      <c r="K1377" s="29" t="s">
        <v>4026</v>
      </c>
      <c r="L1377" s="53"/>
      <c r="M1377" s="68">
        <v>1</v>
      </c>
      <c r="N1377" s="68" t="s">
        <v>4009</v>
      </c>
    </row>
    <row r="1378" spans="1:14" ht="14.25" x14ac:dyDescent="0.2">
      <c r="A1378" s="40" t="s">
        <v>4078</v>
      </c>
      <c r="B1378" s="50" t="s">
        <v>1432</v>
      </c>
      <c r="C1378" s="19" t="s">
        <v>4931</v>
      </c>
      <c r="D1378" s="39"/>
      <c r="E1378" s="27" t="s">
        <v>4079</v>
      </c>
      <c r="F1378" s="41" t="s">
        <v>5699</v>
      </c>
      <c r="G1378" s="8">
        <v>45</v>
      </c>
      <c r="H1378" s="8"/>
      <c r="I1378" s="8"/>
      <c r="J1378" s="53" t="s">
        <v>1264</v>
      </c>
      <c r="K1378" s="27" t="s">
        <v>4080</v>
      </c>
      <c r="L1378" s="53"/>
      <c r="M1378" s="68">
        <v>1</v>
      </c>
      <c r="N1378" s="68" t="s">
        <v>4009</v>
      </c>
    </row>
    <row r="1379" spans="1:14" ht="14.25" x14ac:dyDescent="0.2">
      <c r="A1379" s="40" t="s">
        <v>4039</v>
      </c>
      <c r="B1379" s="50" t="s">
        <v>4040</v>
      </c>
      <c r="C1379" s="19" t="s">
        <v>4889</v>
      </c>
      <c r="D1379" s="39"/>
      <c r="E1379" s="27" t="s">
        <v>4041</v>
      </c>
      <c r="F1379" s="41" t="s">
        <v>6944</v>
      </c>
      <c r="G1379" s="8"/>
      <c r="H1379" s="8">
        <v>7</v>
      </c>
      <c r="I1379" s="8">
        <v>10</v>
      </c>
      <c r="J1379" s="53" t="s">
        <v>4790</v>
      </c>
      <c r="K1379" s="27" t="s">
        <v>4041</v>
      </c>
      <c r="L1379" s="53"/>
      <c r="M1379" s="68">
        <v>1</v>
      </c>
      <c r="N1379" s="68" t="s">
        <v>4009</v>
      </c>
    </row>
    <row r="1380" spans="1:14" ht="14.25" x14ac:dyDescent="0.2">
      <c r="A1380" s="40" t="s">
        <v>2530</v>
      </c>
      <c r="B1380" s="50" t="s">
        <v>5712</v>
      </c>
      <c r="C1380" s="19" t="s">
        <v>2531</v>
      </c>
      <c r="D1380" s="39" t="s">
        <v>3754</v>
      </c>
      <c r="E1380" s="27" t="s">
        <v>2532</v>
      </c>
      <c r="F1380" s="41" t="s">
        <v>2533</v>
      </c>
      <c r="G1380" s="8">
        <v>60</v>
      </c>
      <c r="H1380" s="8"/>
      <c r="I1380" s="8"/>
      <c r="J1380" s="53" t="s">
        <v>1272</v>
      </c>
      <c r="K1380" s="27" t="s">
        <v>5423</v>
      </c>
      <c r="L1380" s="84"/>
      <c r="M1380" s="68">
        <v>1</v>
      </c>
      <c r="N1380" s="68" t="s">
        <v>2272</v>
      </c>
    </row>
    <row r="1381" spans="1:14" ht="14.25" x14ac:dyDescent="0.2">
      <c r="A1381" s="37" t="s">
        <v>5762</v>
      </c>
      <c r="B1381" s="38" t="s">
        <v>1809</v>
      </c>
      <c r="C1381" s="10" t="s">
        <v>5763</v>
      </c>
      <c r="D1381" s="39" t="s">
        <v>3754</v>
      </c>
      <c r="E1381" s="29" t="s">
        <v>5764</v>
      </c>
      <c r="F1381" s="39" t="s">
        <v>5765</v>
      </c>
      <c r="G1381" s="21">
        <v>30</v>
      </c>
      <c r="H1381" s="21"/>
      <c r="I1381" s="21"/>
      <c r="J1381" s="84" t="s">
        <v>1264</v>
      </c>
      <c r="K1381" s="29" t="s">
        <v>5930</v>
      </c>
      <c r="L1381" s="84"/>
      <c r="M1381" s="68">
        <v>1</v>
      </c>
      <c r="N1381" s="68" t="s">
        <v>4286</v>
      </c>
    </row>
    <row r="1382" spans="1:14" ht="14.25" x14ac:dyDescent="0.2">
      <c r="A1382" s="40" t="s">
        <v>2557</v>
      </c>
      <c r="B1382" s="50" t="s">
        <v>1879</v>
      </c>
      <c r="C1382" s="19" t="s">
        <v>3761</v>
      </c>
      <c r="D1382" s="39" t="s">
        <v>3754</v>
      </c>
      <c r="E1382" s="27" t="s">
        <v>1665</v>
      </c>
      <c r="F1382" s="41" t="s">
        <v>994</v>
      </c>
      <c r="G1382" s="8">
        <v>2</v>
      </c>
      <c r="H1382" s="8">
        <v>8</v>
      </c>
      <c r="I1382" s="8"/>
      <c r="J1382" s="53" t="s">
        <v>2595</v>
      </c>
      <c r="K1382" s="27" t="s">
        <v>2596</v>
      </c>
      <c r="L1382" s="84"/>
      <c r="M1382" s="68">
        <v>1</v>
      </c>
      <c r="N1382" s="68" t="s">
        <v>2560</v>
      </c>
    </row>
    <row r="1383" spans="1:14" ht="14.25" x14ac:dyDescent="0.2">
      <c r="A1383" s="40" t="s">
        <v>2557</v>
      </c>
      <c r="B1383" s="50" t="s">
        <v>5647</v>
      </c>
      <c r="C1383" s="19" t="s">
        <v>3761</v>
      </c>
      <c r="D1383" s="39" t="s">
        <v>3754</v>
      </c>
      <c r="E1383" s="27" t="s">
        <v>2558</v>
      </c>
      <c r="F1383" s="41" t="s">
        <v>2559</v>
      </c>
      <c r="G1383" s="8">
        <v>34</v>
      </c>
      <c r="H1383" s="8">
        <v>10</v>
      </c>
      <c r="I1383" s="8"/>
      <c r="J1383" s="53" t="s">
        <v>1264</v>
      </c>
      <c r="K1383" s="27" t="s">
        <v>1473</v>
      </c>
      <c r="L1383" s="99"/>
      <c r="M1383" s="68">
        <v>1</v>
      </c>
      <c r="N1383" s="68" t="s">
        <v>2272</v>
      </c>
    </row>
    <row r="1384" spans="1:14" ht="14.25" x14ac:dyDescent="0.2">
      <c r="A1384" s="37" t="s">
        <v>5772</v>
      </c>
      <c r="B1384" s="38" t="s">
        <v>5471</v>
      </c>
      <c r="C1384" s="10" t="s">
        <v>3754</v>
      </c>
      <c r="D1384" s="39"/>
      <c r="E1384" s="29" t="s">
        <v>2179</v>
      </c>
      <c r="F1384" s="39" t="s">
        <v>4943</v>
      </c>
      <c r="G1384" s="21"/>
      <c r="H1384" s="21">
        <v>4</v>
      </c>
      <c r="I1384" s="21"/>
      <c r="J1384" s="84" t="s">
        <v>2169</v>
      </c>
      <c r="K1384" s="29" t="s">
        <v>4945</v>
      </c>
      <c r="L1384" s="84"/>
      <c r="M1384" s="68">
        <v>1</v>
      </c>
      <c r="N1384" s="68" t="s">
        <v>2154</v>
      </c>
    </row>
    <row r="1385" spans="1:14" ht="14.25" x14ac:dyDescent="0.2">
      <c r="A1385" s="37" t="s">
        <v>5772</v>
      </c>
      <c r="B1385" s="38" t="s">
        <v>3752</v>
      </c>
      <c r="C1385" s="10" t="s">
        <v>3754</v>
      </c>
      <c r="D1385" s="39"/>
      <c r="E1385" s="29" t="s">
        <v>2180</v>
      </c>
      <c r="F1385" s="39" t="s">
        <v>4943</v>
      </c>
      <c r="G1385" s="21"/>
      <c r="H1385" s="21">
        <v>1</v>
      </c>
      <c r="I1385" s="21"/>
      <c r="J1385" s="84" t="s">
        <v>4748</v>
      </c>
      <c r="K1385" s="29" t="s">
        <v>4945</v>
      </c>
      <c r="L1385" s="84"/>
      <c r="M1385" s="68">
        <v>1</v>
      </c>
      <c r="N1385" s="68" t="s">
        <v>2154</v>
      </c>
    </row>
    <row r="1386" spans="1:14" ht="28.5" x14ac:dyDescent="0.2">
      <c r="A1386" s="40" t="s">
        <v>5772</v>
      </c>
      <c r="B1386" s="50" t="s">
        <v>3723</v>
      </c>
      <c r="C1386" s="19" t="s">
        <v>3757</v>
      </c>
      <c r="D1386" s="39" t="s">
        <v>3754</v>
      </c>
      <c r="E1386" s="27" t="s">
        <v>6212</v>
      </c>
      <c r="F1386" s="41" t="s">
        <v>6213</v>
      </c>
      <c r="G1386" s="8">
        <v>73</v>
      </c>
      <c r="H1386" s="8"/>
      <c r="I1386" s="8"/>
      <c r="J1386" s="53" t="s">
        <v>1271</v>
      </c>
      <c r="K1386" s="27" t="s">
        <v>6214</v>
      </c>
      <c r="L1386" s="84" t="s">
        <v>6975</v>
      </c>
      <c r="M1386" s="68">
        <v>1</v>
      </c>
      <c r="N1386" s="68" t="s">
        <v>2272</v>
      </c>
    </row>
    <row r="1387" spans="1:14" ht="14.25" x14ac:dyDescent="0.2">
      <c r="A1387" s="37" t="s">
        <v>5772</v>
      </c>
      <c r="B1387" s="38" t="s">
        <v>3733</v>
      </c>
      <c r="C1387" s="10" t="s">
        <v>3754</v>
      </c>
      <c r="D1387" s="39" t="s">
        <v>3754</v>
      </c>
      <c r="E1387" s="29">
        <v>1871</v>
      </c>
      <c r="F1387" s="39" t="s">
        <v>5773</v>
      </c>
      <c r="G1387" s="21">
        <v>2</v>
      </c>
      <c r="H1387" s="21"/>
      <c r="I1387" s="21"/>
      <c r="J1387" s="84" t="s">
        <v>4745</v>
      </c>
      <c r="K1387" s="29" t="s">
        <v>5774</v>
      </c>
      <c r="L1387" s="84"/>
      <c r="M1387" s="68">
        <v>1</v>
      </c>
      <c r="N1387" s="68" t="s">
        <v>4286</v>
      </c>
    </row>
    <row r="1388" spans="1:14" ht="14.25" x14ac:dyDescent="0.2">
      <c r="A1388" s="40" t="s">
        <v>5772</v>
      </c>
      <c r="B1388" s="50" t="s">
        <v>3733</v>
      </c>
      <c r="C1388" s="19" t="s">
        <v>3757</v>
      </c>
      <c r="D1388" s="39" t="s">
        <v>3754</v>
      </c>
      <c r="E1388" s="27" t="s">
        <v>2534</v>
      </c>
      <c r="F1388" s="41" t="s">
        <v>2535</v>
      </c>
      <c r="G1388" s="8">
        <v>36</v>
      </c>
      <c r="H1388" s="8"/>
      <c r="I1388" s="8"/>
      <c r="J1388" s="53" t="s">
        <v>1264</v>
      </c>
      <c r="K1388" s="27" t="s">
        <v>2536</v>
      </c>
      <c r="L1388" s="84"/>
      <c r="M1388" s="68">
        <v>1</v>
      </c>
      <c r="N1388" s="68" t="s">
        <v>2272</v>
      </c>
    </row>
    <row r="1389" spans="1:14" ht="14.25" x14ac:dyDescent="0.2">
      <c r="A1389" s="37" t="s">
        <v>4017</v>
      </c>
      <c r="B1389" s="38" t="s">
        <v>4292</v>
      </c>
      <c r="C1389" s="10" t="s">
        <v>3754</v>
      </c>
      <c r="D1389" s="39" t="s">
        <v>3754</v>
      </c>
      <c r="E1389" s="29" t="s">
        <v>4293</v>
      </c>
      <c r="F1389" s="39" t="s">
        <v>4294</v>
      </c>
      <c r="G1389" s="21">
        <v>49</v>
      </c>
      <c r="H1389" s="21"/>
      <c r="I1389" s="21"/>
      <c r="J1389" s="84" t="s">
        <v>1264</v>
      </c>
      <c r="K1389" s="29" t="s">
        <v>4295</v>
      </c>
      <c r="L1389" s="84"/>
      <c r="M1389" s="68">
        <v>1</v>
      </c>
      <c r="N1389" s="68" t="s">
        <v>4286</v>
      </c>
    </row>
    <row r="1390" spans="1:14" ht="28.5" x14ac:dyDescent="0.2">
      <c r="A1390" s="40" t="s">
        <v>4017</v>
      </c>
      <c r="B1390" s="50" t="s">
        <v>4021</v>
      </c>
      <c r="C1390" s="19" t="s">
        <v>3757</v>
      </c>
      <c r="D1390" s="39" t="s">
        <v>3754</v>
      </c>
      <c r="E1390" s="27" t="s">
        <v>6711</v>
      </c>
      <c r="F1390" s="41" t="s">
        <v>3754</v>
      </c>
      <c r="G1390" s="8">
        <v>72</v>
      </c>
      <c r="H1390" s="8"/>
      <c r="I1390" s="8"/>
      <c r="J1390" s="53" t="s">
        <v>1277</v>
      </c>
      <c r="K1390" s="29" t="s">
        <v>4019</v>
      </c>
      <c r="L1390" s="53" t="s">
        <v>6712</v>
      </c>
      <c r="M1390" s="68">
        <v>1</v>
      </c>
      <c r="N1390" s="68" t="s">
        <v>4009</v>
      </c>
    </row>
    <row r="1391" spans="1:14" ht="14.25" x14ac:dyDescent="0.2">
      <c r="A1391" s="37" t="s">
        <v>4017</v>
      </c>
      <c r="B1391" s="38" t="s">
        <v>4685</v>
      </c>
      <c r="C1391" s="10" t="s">
        <v>3757</v>
      </c>
      <c r="D1391" s="39" t="s">
        <v>3754</v>
      </c>
      <c r="E1391" s="29" t="s">
        <v>1300</v>
      </c>
      <c r="F1391" s="39" t="s">
        <v>69</v>
      </c>
      <c r="G1391" s="21">
        <v>60</v>
      </c>
      <c r="H1391" s="21"/>
      <c r="I1391" s="21"/>
      <c r="J1391" s="84" t="s">
        <v>4737</v>
      </c>
      <c r="K1391" s="29" t="s">
        <v>2155</v>
      </c>
      <c r="L1391" s="84"/>
      <c r="M1391" s="68">
        <v>1</v>
      </c>
      <c r="N1391" s="68" t="s">
        <v>2154</v>
      </c>
    </row>
    <row r="1392" spans="1:14" ht="14.25" x14ac:dyDescent="0.2">
      <c r="A1392" s="37" t="s">
        <v>4017</v>
      </c>
      <c r="B1392" s="38" t="s">
        <v>2200</v>
      </c>
      <c r="C1392" s="10" t="s">
        <v>3754</v>
      </c>
      <c r="D1392" s="39" t="s">
        <v>3754</v>
      </c>
      <c r="E1392" s="29" t="s">
        <v>3801</v>
      </c>
      <c r="F1392" s="39" t="s">
        <v>2201</v>
      </c>
      <c r="G1392" s="21"/>
      <c r="H1392" s="21"/>
      <c r="I1392" s="21">
        <v>4</v>
      </c>
      <c r="J1392" s="84" t="s">
        <v>5636</v>
      </c>
      <c r="K1392" s="29" t="s">
        <v>8841</v>
      </c>
      <c r="L1392" s="84"/>
      <c r="M1392" s="68">
        <v>1</v>
      </c>
      <c r="N1392" s="68" t="s">
        <v>2154</v>
      </c>
    </row>
    <row r="1393" spans="1:14" ht="14.25" x14ac:dyDescent="0.2">
      <c r="A1393" s="37" t="s">
        <v>4017</v>
      </c>
      <c r="B1393" s="38" t="s">
        <v>5029</v>
      </c>
      <c r="C1393" s="55" t="s">
        <v>3754</v>
      </c>
      <c r="D1393" s="39" t="s">
        <v>3754</v>
      </c>
      <c r="E1393" s="29" t="s">
        <v>2221</v>
      </c>
      <c r="F1393" s="39" t="s">
        <v>2222</v>
      </c>
      <c r="G1393" s="21">
        <v>19</v>
      </c>
      <c r="H1393" s="21"/>
      <c r="I1393" s="21"/>
      <c r="J1393" s="84" t="s">
        <v>2223</v>
      </c>
      <c r="K1393" s="29" t="s">
        <v>2224</v>
      </c>
      <c r="L1393" s="84"/>
      <c r="M1393" s="68">
        <v>1</v>
      </c>
      <c r="N1393" s="68" t="s">
        <v>2154</v>
      </c>
    </row>
    <row r="1394" spans="1:14" ht="14.25" x14ac:dyDescent="0.2">
      <c r="A1394" s="40" t="s">
        <v>4017</v>
      </c>
      <c r="B1394" s="50" t="s">
        <v>2094</v>
      </c>
      <c r="C1394" s="19" t="s">
        <v>3761</v>
      </c>
      <c r="D1394" s="39" t="s">
        <v>3754</v>
      </c>
      <c r="E1394" s="27" t="s">
        <v>5441</v>
      </c>
      <c r="F1394" s="41" t="s">
        <v>2552</v>
      </c>
      <c r="G1394" s="8">
        <v>27</v>
      </c>
      <c r="H1394" s="8">
        <v>8</v>
      </c>
      <c r="I1394" s="8"/>
      <c r="J1394" s="53" t="s">
        <v>4732</v>
      </c>
      <c r="K1394" s="27" t="s">
        <v>2553</v>
      </c>
      <c r="L1394" s="84"/>
      <c r="M1394" s="68">
        <v>1</v>
      </c>
      <c r="N1394" s="68" t="s">
        <v>2272</v>
      </c>
    </row>
    <row r="1395" spans="1:14" ht="14.25" x14ac:dyDescent="0.2">
      <c r="A1395" s="40" t="s">
        <v>4017</v>
      </c>
      <c r="B1395" s="50" t="s">
        <v>3723</v>
      </c>
      <c r="C1395" s="19" t="s">
        <v>3754</v>
      </c>
      <c r="D1395" s="39" t="s">
        <v>3754</v>
      </c>
      <c r="E1395" s="27" t="s">
        <v>4018</v>
      </c>
      <c r="F1395" s="41" t="s">
        <v>3754</v>
      </c>
      <c r="G1395" s="8">
        <v>17</v>
      </c>
      <c r="H1395" s="8">
        <v>3</v>
      </c>
      <c r="I1395" s="8"/>
      <c r="J1395" s="53" t="s">
        <v>2097</v>
      </c>
      <c r="K1395" s="29" t="s">
        <v>4019</v>
      </c>
      <c r="L1395" s="53"/>
      <c r="M1395" s="68">
        <v>1</v>
      </c>
      <c r="N1395" s="68" t="s">
        <v>4009</v>
      </c>
    </row>
    <row r="1396" spans="1:14" ht="14.25" x14ac:dyDescent="0.2">
      <c r="A1396" s="40" t="s">
        <v>4017</v>
      </c>
      <c r="B1396" s="50" t="s">
        <v>3746</v>
      </c>
      <c r="C1396" s="19" t="s">
        <v>3761</v>
      </c>
      <c r="D1396" s="39" t="s">
        <v>3754</v>
      </c>
      <c r="E1396" s="27" t="s">
        <v>6251</v>
      </c>
      <c r="F1396" s="41" t="s">
        <v>6252</v>
      </c>
      <c r="G1396" s="8">
        <v>28</v>
      </c>
      <c r="H1396" s="8"/>
      <c r="I1396" s="8"/>
      <c r="J1396" s="53" t="s">
        <v>1264</v>
      </c>
      <c r="K1396" s="27" t="s">
        <v>6253</v>
      </c>
      <c r="L1396" s="84"/>
      <c r="M1396" s="68">
        <v>1</v>
      </c>
      <c r="N1396" s="68" t="s">
        <v>2272</v>
      </c>
    </row>
    <row r="1397" spans="1:14" ht="28.5" x14ac:dyDescent="0.2">
      <c r="A1397" s="40" t="s">
        <v>4017</v>
      </c>
      <c r="B1397" s="50" t="s">
        <v>8705</v>
      </c>
      <c r="C1397" s="19" t="s">
        <v>4020</v>
      </c>
      <c r="D1397" s="39" t="s">
        <v>3754</v>
      </c>
      <c r="E1397" s="27" t="s">
        <v>6713</v>
      </c>
      <c r="F1397" s="41" t="s">
        <v>3754</v>
      </c>
      <c r="G1397" s="8">
        <v>49</v>
      </c>
      <c r="H1397" s="8"/>
      <c r="I1397" s="8"/>
      <c r="J1397" s="53" t="s">
        <v>4739</v>
      </c>
      <c r="K1397" s="29" t="s">
        <v>4019</v>
      </c>
      <c r="L1397" s="53" t="s">
        <v>6712</v>
      </c>
      <c r="M1397" s="68">
        <v>1</v>
      </c>
      <c r="N1397" s="68" t="s">
        <v>4009</v>
      </c>
    </row>
    <row r="1398" spans="1:14" ht="14.25" x14ac:dyDescent="0.2">
      <c r="A1398" s="40" t="s">
        <v>5791</v>
      </c>
      <c r="B1398" s="50" t="s">
        <v>7750</v>
      </c>
      <c r="C1398" s="19" t="s">
        <v>3761</v>
      </c>
      <c r="D1398" s="39" t="s">
        <v>3754</v>
      </c>
      <c r="E1398" s="27" t="s">
        <v>5352</v>
      </c>
      <c r="F1398" s="41" t="s">
        <v>6196</v>
      </c>
      <c r="G1398" s="8">
        <v>4</v>
      </c>
      <c r="H1398" s="8">
        <v>5</v>
      </c>
      <c r="I1398" s="8"/>
      <c r="J1398" s="53" t="s">
        <v>1277</v>
      </c>
      <c r="K1398" s="27"/>
      <c r="L1398" s="84"/>
      <c r="M1398" s="68">
        <v>1</v>
      </c>
      <c r="N1398" s="68" t="s">
        <v>2272</v>
      </c>
    </row>
    <row r="1399" spans="1:14" ht="14.25" x14ac:dyDescent="0.2">
      <c r="A1399" s="40" t="s">
        <v>5791</v>
      </c>
      <c r="B1399" s="50" t="s">
        <v>1432</v>
      </c>
      <c r="C1399" s="19" t="s">
        <v>3761</v>
      </c>
      <c r="D1399" s="39" t="s">
        <v>3754</v>
      </c>
      <c r="E1399" s="27" t="s">
        <v>4983</v>
      </c>
      <c r="F1399" s="41" t="s">
        <v>2250</v>
      </c>
      <c r="G1399" s="8">
        <v>36</v>
      </c>
      <c r="H1399" s="8"/>
      <c r="I1399" s="8"/>
      <c r="J1399" s="53" t="s">
        <v>1264</v>
      </c>
      <c r="K1399" s="27" t="s">
        <v>4985</v>
      </c>
      <c r="L1399" s="84"/>
      <c r="M1399" s="68">
        <v>1</v>
      </c>
      <c r="N1399" s="68" t="s">
        <v>2272</v>
      </c>
    </row>
    <row r="1400" spans="1:14" ht="14.25" x14ac:dyDescent="0.2">
      <c r="A1400" s="51" t="s">
        <v>5791</v>
      </c>
      <c r="B1400" s="52" t="s">
        <v>4908</v>
      </c>
      <c r="C1400" s="45" t="s">
        <v>3754</v>
      </c>
      <c r="D1400" s="53" t="s">
        <v>3754</v>
      </c>
      <c r="E1400" s="29" t="s">
        <v>8664</v>
      </c>
      <c r="F1400" s="53" t="s">
        <v>4247</v>
      </c>
      <c r="G1400" s="8">
        <v>53</v>
      </c>
      <c r="H1400" s="8"/>
      <c r="I1400" s="8"/>
      <c r="J1400" s="53" t="s">
        <v>4746</v>
      </c>
      <c r="K1400" s="29" t="s">
        <v>5516</v>
      </c>
      <c r="L1400" s="98"/>
      <c r="M1400" s="68">
        <v>1</v>
      </c>
      <c r="N1400" s="68" t="s">
        <v>947</v>
      </c>
    </row>
    <row r="1401" spans="1:14" ht="14.25" x14ac:dyDescent="0.2">
      <c r="A1401" s="37" t="s">
        <v>5791</v>
      </c>
      <c r="B1401" s="38" t="s">
        <v>4685</v>
      </c>
      <c r="C1401" s="10" t="s">
        <v>5699</v>
      </c>
      <c r="D1401" s="39"/>
      <c r="E1401" s="29" t="s">
        <v>5352</v>
      </c>
      <c r="F1401" s="39" t="s">
        <v>5699</v>
      </c>
      <c r="G1401" s="21"/>
      <c r="H1401" s="21">
        <v>11</v>
      </c>
      <c r="I1401" s="21"/>
      <c r="J1401" s="84" t="s">
        <v>1258</v>
      </c>
      <c r="K1401" s="29" t="s">
        <v>2235</v>
      </c>
      <c r="L1401" s="84"/>
      <c r="M1401" s="68">
        <v>1</v>
      </c>
      <c r="N1401" s="68" t="s">
        <v>2154</v>
      </c>
    </row>
    <row r="1402" spans="1:14" ht="14.25" x14ac:dyDescent="0.2">
      <c r="A1402" s="51" t="s">
        <v>5791</v>
      </c>
      <c r="B1402" s="52" t="s">
        <v>3733</v>
      </c>
      <c r="C1402" s="45" t="s">
        <v>3757</v>
      </c>
      <c r="D1402" s="53" t="s">
        <v>3754</v>
      </c>
      <c r="E1402" s="29" t="s">
        <v>4244</v>
      </c>
      <c r="F1402" s="53" t="s">
        <v>4245</v>
      </c>
      <c r="G1402" s="8">
        <v>75</v>
      </c>
      <c r="H1402" s="8">
        <v>9</v>
      </c>
      <c r="I1402" s="8">
        <v>3</v>
      </c>
      <c r="J1402" s="53" t="s">
        <v>1507</v>
      </c>
      <c r="K1402" s="29" t="s">
        <v>4246</v>
      </c>
      <c r="L1402" s="98"/>
      <c r="M1402" s="68">
        <v>1</v>
      </c>
      <c r="N1402" s="68" t="s">
        <v>947</v>
      </c>
    </row>
    <row r="1403" spans="1:14" ht="14.25" x14ac:dyDescent="0.2">
      <c r="A1403" s="9" t="s">
        <v>5791</v>
      </c>
      <c r="B1403" s="5" t="s">
        <v>1445</v>
      </c>
      <c r="C1403" s="10" t="s">
        <v>3757</v>
      </c>
      <c r="D1403" s="10" t="s">
        <v>3754</v>
      </c>
      <c r="E1403" s="61" t="s">
        <v>2249</v>
      </c>
      <c r="F1403" s="10" t="s">
        <v>2250</v>
      </c>
      <c r="G1403" s="21">
        <v>79</v>
      </c>
      <c r="H1403" s="21"/>
      <c r="I1403" s="21"/>
      <c r="J1403" s="55" t="s">
        <v>1277</v>
      </c>
      <c r="K1403" s="55" t="s">
        <v>2251</v>
      </c>
      <c r="L1403" s="61"/>
      <c r="M1403" s="68">
        <v>1</v>
      </c>
      <c r="N1403" s="68" t="s">
        <v>2154</v>
      </c>
    </row>
    <row r="1404" spans="1:14" ht="14.25" x14ac:dyDescent="0.2">
      <c r="A1404" s="17" t="s">
        <v>2569</v>
      </c>
      <c r="B1404" s="18" t="s">
        <v>2570</v>
      </c>
      <c r="C1404" s="19" t="s">
        <v>2571</v>
      </c>
      <c r="D1404" s="10" t="s">
        <v>3754</v>
      </c>
      <c r="E1404" s="45" t="s">
        <v>6543</v>
      </c>
      <c r="F1404" s="19" t="s">
        <v>2572</v>
      </c>
      <c r="G1404" s="8">
        <v>73</v>
      </c>
      <c r="H1404" s="8"/>
      <c r="I1404" s="8"/>
      <c r="J1404" s="45" t="s">
        <v>4746</v>
      </c>
      <c r="K1404" s="45" t="s">
        <v>2573</v>
      </c>
      <c r="L1404" s="61"/>
      <c r="M1404" s="68">
        <v>1</v>
      </c>
      <c r="N1404" s="68" t="s">
        <v>2560</v>
      </c>
    </row>
    <row r="1405" spans="1:14" ht="14.25" x14ac:dyDescent="0.2">
      <c r="A1405" s="43" t="s">
        <v>4281</v>
      </c>
      <c r="B1405" s="44" t="s">
        <v>4701</v>
      </c>
      <c r="C1405" s="45" t="s">
        <v>3757</v>
      </c>
      <c r="D1405" s="27" t="s">
        <v>3754</v>
      </c>
      <c r="E1405" s="29" t="s">
        <v>4278</v>
      </c>
      <c r="F1405" s="27" t="s">
        <v>4812</v>
      </c>
      <c r="G1405" s="26">
        <v>35</v>
      </c>
      <c r="H1405" s="26"/>
      <c r="I1405" s="26"/>
      <c r="J1405" s="27" t="s">
        <v>1264</v>
      </c>
      <c r="K1405" s="29" t="s">
        <v>4280</v>
      </c>
      <c r="L1405" s="96"/>
      <c r="M1405" s="68">
        <v>1</v>
      </c>
      <c r="N1405" s="68" t="s">
        <v>947</v>
      </c>
    </row>
    <row r="1406" spans="1:14" ht="14.25" x14ac:dyDescent="0.2">
      <c r="A1406" s="11" t="s">
        <v>2163</v>
      </c>
      <c r="B1406" s="12" t="s">
        <v>3733</v>
      </c>
      <c r="C1406" s="10" t="s">
        <v>3754</v>
      </c>
      <c r="D1406" s="13" t="s">
        <v>3754</v>
      </c>
      <c r="E1406" s="29" t="s">
        <v>2164</v>
      </c>
      <c r="F1406" s="13" t="s">
        <v>2165</v>
      </c>
      <c r="G1406" s="13">
        <v>37</v>
      </c>
      <c r="H1406" s="13"/>
      <c r="I1406" s="13"/>
      <c r="J1406" s="29" t="s">
        <v>1266</v>
      </c>
      <c r="K1406" s="29" t="s">
        <v>2166</v>
      </c>
      <c r="L1406" s="29"/>
      <c r="M1406" s="68">
        <v>1</v>
      </c>
      <c r="N1406" s="68" t="s">
        <v>2154</v>
      </c>
    </row>
    <row r="1407" spans="1:14" ht="14.25" x14ac:dyDescent="0.2">
      <c r="A1407" s="11" t="s">
        <v>4289</v>
      </c>
      <c r="B1407" s="12" t="s">
        <v>3739</v>
      </c>
      <c r="C1407" s="21" t="s">
        <v>3757</v>
      </c>
      <c r="D1407" s="13" t="s">
        <v>3754</v>
      </c>
      <c r="E1407" s="29" t="s">
        <v>2156</v>
      </c>
      <c r="F1407" s="13" t="s">
        <v>2157</v>
      </c>
      <c r="G1407" s="13">
        <v>73</v>
      </c>
      <c r="H1407" s="13"/>
      <c r="I1407" s="13"/>
      <c r="J1407" s="29" t="s">
        <v>1259</v>
      </c>
      <c r="K1407" s="29" t="s">
        <v>2158</v>
      </c>
      <c r="L1407" s="29"/>
      <c r="M1407" s="68">
        <v>1</v>
      </c>
      <c r="N1407" s="68" t="s">
        <v>2154</v>
      </c>
    </row>
    <row r="1408" spans="1:14" ht="14.25" x14ac:dyDescent="0.2">
      <c r="A1408" s="11" t="s">
        <v>4289</v>
      </c>
      <c r="B1408" s="12" t="s">
        <v>3733</v>
      </c>
      <c r="C1408" s="10" t="s">
        <v>3757</v>
      </c>
      <c r="D1408" s="13" t="s">
        <v>3754</v>
      </c>
      <c r="E1408" s="29" t="s">
        <v>4290</v>
      </c>
      <c r="F1408" s="13" t="s">
        <v>4291</v>
      </c>
      <c r="G1408" s="13">
        <v>70</v>
      </c>
      <c r="H1408" s="13"/>
      <c r="I1408" s="13"/>
      <c r="J1408" s="29" t="s">
        <v>4746</v>
      </c>
      <c r="K1408" s="29" t="s">
        <v>8773</v>
      </c>
      <c r="L1408" s="29"/>
      <c r="M1408" s="68">
        <v>1</v>
      </c>
      <c r="N1408" s="68" t="s">
        <v>4286</v>
      </c>
    </row>
    <row r="1409" spans="1:14" ht="14.25" x14ac:dyDescent="0.2">
      <c r="A1409" s="14" t="s">
        <v>1136</v>
      </c>
      <c r="B1409" s="15" t="s">
        <v>468</v>
      </c>
      <c r="C1409" s="19" t="s">
        <v>3757</v>
      </c>
      <c r="D1409" s="13" t="s">
        <v>3754</v>
      </c>
      <c r="E1409" s="27" t="s">
        <v>3347</v>
      </c>
      <c r="F1409" s="16" t="s">
        <v>1137</v>
      </c>
      <c r="G1409" s="26">
        <v>49</v>
      </c>
      <c r="H1409" s="26"/>
      <c r="I1409" s="26"/>
      <c r="J1409" s="27" t="s">
        <v>1138</v>
      </c>
      <c r="K1409" s="27" t="s">
        <v>1139</v>
      </c>
      <c r="L1409" s="29"/>
      <c r="M1409" s="68">
        <v>1</v>
      </c>
      <c r="N1409" s="68" t="s">
        <v>2560</v>
      </c>
    </row>
    <row r="1410" spans="1:14" ht="14.25" x14ac:dyDescent="0.2">
      <c r="A1410" s="11" t="s">
        <v>2182</v>
      </c>
      <c r="B1410" s="12" t="s">
        <v>2183</v>
      </c>
      <c r="C1410" s="10" t="s">
        <v>3754</v>
      </c>
      <c r="D1410" s="13" t="s">
        <v>3754</v>
      </c>
      <c r="E1410" s="29" t="s">
        <v>2184</v>
      </c>
      <c r="F1410" s="13" t="s">
        <v>2185</v>
      </c>
      <c r="G1410" s="13"/>
      <c r="H1410" s="13">
        <v>3</v>
      </c>
      <c r="I1410" s="13">
        <v>25</v>
      </c>
      <c r="J1410" s="29" t="s">
        <v>1412</v>
      </c>
      <c r="K1410" s="29" t="s">
        <v>2184</v>
      </c>
      <c r="L1410" s="29"/>
      <c r="M1410" s="68">
        <v>1</v>
      </c>
      <c r="N1410" s="68" t="s">
        <v>2154</v>
      </c>
    </row>
    <row r="1411" spans="1:14" ht="14.25" x14ac:dyDescent="0.2">
      <c r="A1411" s="11" t="s">
        <v>4255</v>
      </c>
      <c r="B1411" s="12" t="s">
        <v>3752</v>
      </c>
      <c r="C1411" s="10" t="s">
        <v>3757</v>
      </c>
      <c r="D1411" s="13" t="s">
        <v>3754</v>
      </c>
      <c r="E1411" s="29" t="s">
        <v>8742</v>
      </c>
      <c r="F1411" s="13" t="s">
        <v>4299</v>
      </c>
      <c r="G1411" s="13">
        <v>62</v>
      </c>
      <c r="H1411" s="13"/>
      <c r="I1411" s="13"/>
      <c r="J1411" s="29" t="s">
        <v>4300</v>
      </c>
      <c r="K1411" s="29" t="s">
        <v>4301</v>
      </c>
      <c r="L1411" s="29"/>
      <c r="M1411" s="68">
        <v>1</v>
      </c>
      <c r="N1411" s="68" t="s">
        <v>4286</v>
      </c>
    </row>
    <row r="1412" spans="1:14" ht="14.25" x14ac:dyDescent="0.2">
      <c r="A1412" s="11" t="s">
        <v>4255</v>
      </c>
      <c r="B1412" s="12" t="s">
        <v>2239</v>
      </c>
      <c r="C1412" s="10" t="s">
        <v>3754</v>
      </c>
      <c r="D1412" s="13" t="s">
        <v>3754</v>
      </c>
      <c r="E1412" s="29" t="s">
        <v>2240</v>
      </c>
      <c r="F1412" s="13" t="s">
        <v>4258</v>
      </c>
      <c r="G1412" s="13">
        <v>24</v>
      </c>
      <c r="H1412" s="13">
        <v>3</v>
      </c>
      <c r="I1412" s="13"/>
      <c r="J1412" s="29" t="s">
        <v>1264</v>
      </c>
      <c r="K1412" s="29" t="s">
        <v>3829</v>
      </c>
      <c r="L1412" s="29"/>
      <c r="M1412" s="68">
        <v>1</v>
      </c>
      <c r="N1412" s="68" t="s">
        <v>2154</v>
      </c>
    </row>
    <row r="1413" spans="1:14" ht="14.25" x14ac:dyDescent="0.2">
      <c r="A1413" s="11" t="s">
        <v>4255</v>
      </c>
      <c r="B1413" s="12" t="s">
        <v>4581</v>
      </c>
      <c r="C1413" s="10" t="s">
        <v>3757</v>
      </c>
      <c r="D1413" s="13" t="s">
        <v>3754</v>
      </c>
      <c r="E1413" s="29" t="s">
        <v>7424</v>
      </c>
      <c r="F1413" s="13" t="s">
        <v>2256</v>
      </c>
      <c r="G1413" s="13">
        <v>70</v>
      </c>
      <c r="H1413" s="13"/>
      <c r="I1413" s="13"/>
      <c r="J1413" s="29" t="s">
        <v>1271</v>
      </c>
      <c r="K1413" s="29" t="s">
        <v>2257</v>
      </c>
      <c r="L1413" s="29"/>
      <c r="M1413" s="68">
        <v>1</v>
      </c>
      <c r="N1413" s="68" t="s">
        <v>2154</v>
      </c>
    </row>
    <row r="1414" spans="1:14" ht="14.25" x14ac:dyDescent="0.2">
      <c r="A1414" s="14" t="s">
        <v>4255</v>
      </c>
      <c r="B1414" s="15" t="s">
        <v>3750</v>
      </c>
      <c r="C1414" s="19" t="s">
        <v>3761</v>
      </c>
      <c r="D1414" s="13" t="s">
        <v>3754</v>
      </c>
      <c r="E1414" s="27"/>
      <c r="F1414" s="16" t="s">
        <v>3978</v>
      </c>
      <c r="G1414" s="26">
        <v>1</v>
      </c>
      <c r="H1414" s="26">
        <v>1</v>
      </c>
      <c r="I1414" s="26"/>
      <c r="J1414" s="27" t="s">
        <v>4790</v>
      </c>
      <c r="K1414" s="27" t="s">
        <v>2524</v>
      </c>
      <c r="L1414" s="29"/>
      <c r="M1414" s="68">
        <v>1</v>
      </c>
      <c r="N1414" s="68" t="s">
        <v>2272</v>
      </c>
    </row>
    <row r="1415" spans="1:14" ht="14.25" x14ac:dyDescent="0.2">
      <c r="A1415" s="11" t="s">
        <v>4255</v>
      </c>
      <c r="B1415" s="12" t="s">
        <v>1757</v>
      </c>
      <c r="C1415" s="10" t="s">
        <v>3754</v>
      </c>
      <c r="D1415" s="13" t="s">
        <v>3754</v>
      </c>
      <c r="E1415" s="29" t="s">
        <v>8637</v>
      </c>
      <c r="F1415" s="13" t="s">
        <v>1758</v>
      </c>
      <c r="G1415" s="13">
        <v>6</v>
      </c>
      <c r="H1415" s="13">
        <v>9</v>
      </c>
      <c r="I1415" s="13"/>
      <c r="J1415" s="29"/>
      <c r="K1415" s="29" t="s">
        <v>1759</v>
      </c>
      <c r="L1415" s="29"/>
      <c r="M1415" s="68">
        <v>1</v>
      </c>
      <c r="N1415" s="68" t="s">
        <v>4286</v>
      </c>
    </row>
    <row r="1416" spans="1:14" ht="14.25" x14ac:dyDescent="0.2">
      <c r="A1416" s="11" t="s">
        <v>4255</v>
      </c>
      <c r="B1416" s="12" t="s">
        <v>4701</v>
      </c>
      <c r="C1416" s="10" t="s">
        <v>3757</v>
      </c>
      <c r="D1416" s="13" t="s">
        <v>3754</v>
      </c>
      <c r="E1416" s="29" t="s">
        <v>2245</v>
      </c>
      <c r="F1416" s="13" t="s">
        <v>2246</v>
      </c>
      <c r="G1416" s="13">
        <v>35</v>
      </c>
      <c r="H1416" s="13"/>
      <c r="I1416" s="13"/>
      <c r="J1416" s="29" t="s">
        <v>2247</v>
      </c>
      <c r="K1416" s="29" t="s">
        <v>2248</v>
      </c>
      <c r="L1416" s="29"/>
      <c r="M1416" s="68">
        <v>1</v>
      </c>
      <c r="N1416" s="68" t="s">
        <v>2154</v>
      </c>
    </row>
    <row r="1417" spans="1:14" ht="14.25" x14ac:dyDescent="0.2">
      <c r="A1417" s="14" t="s">
        <v>4255</v>
      </c>
      <c r="B1417" s="15" t="s">
        <v>3733</v>
      </c>
      <c r="C1417" s="19" t="s">
        <v>3761</v>
      </c>
      <c r="D1417" s="13" t="s">
        <v>3754</v>
      </c>
      <c r="E1417" s="27" t="s">
        <v>6240</v>
      </c>
      <c r="F1417" s="16" t="s">
        <v>6241</v>
      </c>
      <c r="G1417" s="26">
        <v>33</v>
      </c>
      <c r="H1417" s="26"/>
      <c r="I1417" s="26"/>
      <c r="J1417" s="27" t="s">
        <v>6242</v>
      </c>
      <c r="K1417" s="27" t="s">
        <v>6243</v>
      </c>
      <c r="L1417" s="29"/>
      <c r="M1417" s="68">
        <v>1</v>
      </c>
      <c r="N1417" s="68" t="s">
        <v>2272</v>
      </c>
    </row>
    <row r="1418" spans="1:14" ht="14.25" x14ac:dyDescent="0.2">
      <c r="A1418" s="43" t="s">
        <v>4255</v>
      </c>
      <c r="B1418" s="44" t="s">
        <v>4256</v>
      </c>
      <c r="C1418" s="45" t="s">
        <v>3754</v>
      </c>
      <c r="D1418" s="27" t="s">
        <v>3754</v>
      </c>
      <c r="E1418" s="29" t="s">
        <v>4257</v>
      </c>
      <c r="F1418" s="27" t="s">
        <v>4258</v>
      </c>
      <c r="G1418" s="26"/>
      <c r="H1418" s="26">
        <v>9</v>
      </c>
      <c r="I1418" s="26">
        <v>8</v>
      </c>
      <c r="J1418" s="27" t="s">
        <v>4259</v>
      </c>
      <c r="K1418" s="29" t="s">
        <v>1956</v>
      </c>
      <c r="L1418" s="96"/>
      <c r="M1418" s="68">
        <v>1</v>
      </c>
      <c r="N1418" s="68" t="s">
        <v>947</v>
      </c>
    </row>
    <row r="1419" spans="1:14" ht="14.25" x14ac:dyDescent="0.2">
      <c r="A1419" s="11" t="s">
        <v>2146</v>
      </c>
      <c r="B1419" s="12" t="s">
        <v>8660</v>
      </c>
      <c r="C1419" s="10" t="s">
        <v>3757</v>
      </c>
      <c r="D1419" s="13" t="s">
        <v>3754</v>
      </c>
      <c r="E1419" s="29" t="s">
        <v>2147</v>
      </c>
      <c r="F1419" s="13" t="s">
        <v>2148</v>
      </c>
      <c r="G1419" s="13">
        <v>61</v>
      </c>
      <c r="H1419" s="13"/>
      <c r="I1419" s="13"/>
      <c r="J1419" s="29" t="s">
        <v>1259</v>
      </c>
      <c r="K1419" s="29" t="s">
        <v>4928</v>
      </c>
      <c r="L1419" s="29"/>
      <c r="M1419" s="68">
        <v>1</v>
      </c>
      <c r="N1419" s="68" t="s">
        <v>4286</v>
      </c>
    </row>
    <row r="1420" spans="1:14" ht="14.25" x14ac:dyDescent="0.2">
      <c r="A1420" s="14" t="s">
        <v>2146</v>
      </c>
      <c r="B1420" s="15" t="s">
        <v>3729</v>
      </c>
      <c r="C1420" s="19" t="s">
        <v>3757</v>
      </c>
      <c r="D1420" s="13" t="s">
        <v>3754</v>
      </c>
      <c r="E1420" s="27" t="s">
        <v>6254</v>
      </c>
      <c r="F1420" s="16" t="s">
        <v>2299</v>
      </c>
      <c r="G1420" s="26">
        <v>40</v>
      </c>
      <c r="H1420" s="26"/>
      <c r="I1420" s="26"/>
      <c r="J1420" s="27" t="s">
        <v>1264</v>
      </c>
      <c r="K1420" s="27" t="s">
        <v>3426</v>
      </c>
      <c r="L1420" s="29"/>
      <c r="M1420" s="68">
        <v>1</v>
      </c>
      <c r="N1420" s="68" t="s">
        <v>2272</v>
      </c>
    </row>
    <row r="1421" spans="1:14" ht="14.25" x14ac:dyDescent="0.2">
      <c r="A1421" s="43" t="s">
        <v>4267</v>
      </c>
      <c r="B1421" s="44" t="s">
        <v>5435</v>
      </c>
      <c r="C1421" s="45" t="s">
        <v>3754</v>
      </c>
      <c r="D1421" s="27" t="s">
        <v>3754</v>
      </c>
      <c r="E1421" s="29" t="s">
        <v>4268</v>
      </c>
      <c r="F1421" s="27" t="s">
        <v>4269</v>
      </c>
      <c r="G1421" s="26">
        <v>1</v>
      </c>
      <c r="H1421" s="26">
        <v>10</v>
      </c>
      <c r="I1421" s="26"/>
      <c r="J1421" s="27" t="s">
        <v>6927</v>
      </c>
      <c r="K1421" s="29" t="s">
        <v>4270</v>
      </c>
      <c r="L1421" s="96"/>
      <c r="M1421" s="68">
        <v>1</v>
      </c>
      <c r="N1421" s="68" t="s">
        <v>947</v>
      </c>
    </row>
    <row r="1422" spans="1:14" ht="14.25" x14ac:dyDescent="0.2">
      <c r="A1422" s="14" t="s">
        <v>2603</v>
      </c>
      <c r="B1422" s="15" t="s">
        <v>4690</v>
      </c>
      <c r="C1422" s="19" t="s">
        <v>3757</v>
      </c>
      <c r="D1422" s="13" t="s">
        <v>3754</v>
      </c>
      <c r="E1422" s="27" t="s">
        <v>2602</v>
      </c>
      <c r="F1422" s="16" t="s">
        <v>2604</v>
      </c>
      <c r="G1422" s="26">
        <v>58</v>
      </c>
      <c r="H1422" s="26"/>
      <c r="I1422" s="26"/>
      <c r="J1422" s="27" t="s">
        <v>1264</v>
      </c>
      <c r="K1422" s="27" t="s">
        <v>3345</v>
      </c>
      <c r="L1422" s="29"/>
      <c r="M1422" s="68">
        <v>1</v>
      </c>
      <c r="N1422" s="68" t="s">
        <v>2560</v>
      </c>
    </row>
    <row r="1423" spans="1:14" ht="14.25" x14ac:dyDescent="0.2">
      <c r="A1423" s="14" t="s">
        <v>4069</v>
      </c>
      <c r="B1423" s="15" t="s">
        <v>1445</v>
      </c>
      <c r="C1423" s="19" t="s">
        <v>3757</v>
      </c>
      <c r="D1423" s="13" t="s">
        <v>4070</v>
      </c>
      <c r="E1423" s="27" t="s">
        <v>4071</v>
      </c>
      <c r="F1423" s="16" t="s">
        <v>4070</v>
      </c>
      <c r="G1423" s="26">
        <v>55</v>
      </c>
      <c r="H1423" s="26"/>
      <c r="I1423" s="26"/>
      <c r="J1423" s="27" t="s">
        <v>1265</v>
      </c>
      <c r="K1423" s="27" t="s">
        <v>1656</v>
      </c>
      <c r="L1423" s="27"/>
      <c r="M1423" s="68">
        <v>1</v>
      </c>
      <c r="N1423" s="68" t="s">
        <v>4009</v>
      </c>
    </row>
    <row r="1424" spans="1:14" ht="14.25" x14ac:dyDescent="0.2">
      <c r="A1424" s="11" t="s">
        <v>2241</v>
      </c>
      <c r="B1424" s="12" t="s">
        <v>4292</v>
      </c>
      <c r="C1424" s="10" t="s">
        <v>3754</v>
      </c>
      <c r="D1424" s="13" t="s">
        <v>3754</v>
      </c>
      <c r="E1424" s="29" t="s">
        <v>2242</v>
      </c>
      <c r="F1424" s="13" t="s">
        <v>2243</v>
      </c>
      <c r="G1424" s="13"/>
      <c r="H1424" s="13">
        <v>2</v>
      </c>
      <c r="I1424" s="13">
        <v>6</v>
      </c>
      <c r="J1424" s="29" t="s">
        <v>1412</v>
      </c>
      <c r="K1424" s="29" t="s">
        <v>2244</v>
      </c>
      <c r="L1424" s="29"/>
      <c r="M1424" s="68">
        <v>1</v>
      </c>
      <c r="N1424" s="68" t="s">
        <v>2154</v>
      </c>
    </row>
    <row r="1425" spans="1:14" ht="14.25" x14ac:dyDescent="0.2">
      <c r="A1425" s="14" t="s">
        <v>2241</v>
      </c>
      <c r="B1425" s="15" t="s">
        <v>432</v>
      </c>
      <c r="C1425" s="19" t="s">
        <v>3761</v>
      </c>
      <c r="D1425" s="13" t="s">
        <v>3754</v>
      </c>
      <c r="E1425" s="27" t="s">
        <v>3359</v>
      </c>
      <c r="F1425" s="16" t="s">
        <v>1150</v>
      </c>
      <c r="G1425" s="26"/>
      <c r="H1425" s="26">
        <v>3</v>
      </c>
      <c r="I1425" s="26">
        <v>6</v>
      </c>
      <c r="J1425" s="27" t="s">
        <v>4745</v>
      </c>
      <c r="K1425" s="27" t="s">
        <v>1151</v>
      </c>
      <c r="L1425" s="29"/>
      <c r="M1425" s="68">
        <v>1</v>
      </c>
      <c r="N1425" s="68" t="s">
        <v>2560</v>
      </c>
    </row>
    <row r="1426" spans="1:14" ht="14.25" x14ac:dyDescent="0.2">
      <c r="A1426" s="14" t="s">
        <v>2545</v>
      </c>
      <c r="B1426" s="15" t="s">
        <v>3744</v>
      </c>
      <c r="C1426" s="19" t="s">
        <v>3761</v>
      </c>
      <c r="D1426" s="13" t="s">
        <v>3754</v>
      </c>
      <c r="E1426" s="27" t="s">
        <v>2546</v>
      </c>
      <c r="F1426" s="16" t="s">
        <v>2547</v>
      </c>
      <c r="G1426" s="26"/>
      <c r="H1426" s="26"/>
      <c r="I1426" s="26"/>
      <c r="J1426" s="27"/>
      <c r="K1426" s="27" t="s">
        <v>2548</v>
      </c>
      <c r="L1426" s="29"/>
      <c r="M1426" s="68">
        <v>1</v>
      </c>
      <c r="N1426" s="68" t="s">
        <v>2272</v>
      </c>
    </row>
    <row r="1427" spans="1:14" ht="14.25" x14ac:dyDescent="0.2">
      <c r="A1427" s="43" t="s">
        <v>4271</v>
      </c>
      <c r="B1427" s="44" t="s">
        <v>8612</v>
      </c>
      <c r="C1427" s="45" t="s">
        <v>3754</v>
      </c>
      <c r="D1427" s="27" t="s">
        <v>3754</v>
      </c>
      <c r="E1427" s="29" t="s">
        <v>4272</v>
      </c>
      <c r="F1427" s="27" t="s">
        <v>4273</v>
      </c>
      <c r="G1427" s="26">
        <v>23</v>
      </c>
      <c r="H1427" s="26"/>
      <c r="I1427" s="26"/>
      <c r="J1427" s="27" t="s">
        <v>1265</v>
      </c>
      <c r="K1427" s="29" t="s">
        <v>4274</v>
      </c>
      <c r="L1427" s="96"/>
      <c r="M1427" s="68">
        <v>1</v>
      </c>
      <c r="N1427" s="68" t="s">
        <v>947</v>
      </c>
    </row>
    <row r="1428" spans="1:14" ht="14.25" x14ac:dyDescent="0.2">
      <c r="A1428" s="14" t="s">
        <v>5786</v>
      </c>
      <c r="B1428" s="15" t="s">
        <v>3744</v>
      </c>
      <c r="C1428" s="10" t="s">
        <v>1943</v>
      </c>
      <c r="D1428" s="13" t="s">
        <v>3754</v>
      </c>
      <c r="E1428" s="27" t="s">
        <v>6228</v>
      </c>
      <c r="F1428" s="16" t="s">
        <v>6229</v>
      </c>
      <c r="G1428" s="26">
        <v>28</v>
      </c>
      <c r="H1428" s="26"/>
      <c r="I1428" s="26"/>
      <c r="J1428" s="27" t="s">
        <v>1264</v>
      </c>
      <c r="K1428" s="27" t="s">
        <v>6230</v>
      </c>
      <c r="L1428" s="29"/>
      <c r="M1428" s="68">
        <v>1</v>
      </c>
      <c r="N1428" s="68" t="s">
        <v>2272</v>
      </c>
    </row>
    <row r="1429" spans="1:14" ht="14.25" x14ac:dyDescent="0.2">
      <c r="A1429" s="11" t="s">
        <v>5786</v>
      </c>
      <c r="B1429" s="12" t="s">
        <v>4684</v>
      </c>
      <c r="C1429" s="10" t="s">
        <v>3757</v>
      </c>
      <c r="D1429" s="13" t="s">
        <v>3754</v>
      </c>
      <c r="E1429" s="29" t="s">
        <v>2197</v>
      </c>
      <c r="F1429" s="13" t="s">
        <v>2198</v>
      </c>
      <c r="G1429" s="13">
        <v>32</v>
      </c>
      <c r="H1429" s="13"/>
      <c r="I1429" s="13"/>
      <c r="J1429" s="29" t="s">
        <v>2199</v>
      </c>
      <c r="K1429" s="29" t="s">
        <v>2618</v>
      </c>
      <c r="L1429" s="29"/>
      <c r="M1429" s="68">
        <v>1</v>
      </c>
      <c r="N1429" s="68" t="s">
        <v>2154</v>
      </c>
    </row>
    <row r="1430" spans="1:14" ht="14.25" x14ac:dyDescent="0.2">
      <c r="A1430" s="11" t="s">
        <v>5786</v>
      </c>
      <c r="B1430" s="12" t="s">
        <v>3728</v>
      </c>
      <c r="C1430" s="10" t="s">
        <v>3757</v>
      </c>
      <c r="D1430" s="13" t="s">
        <v>3754</v>
      </c>
      <c r="E1430" s="29" t="s">
        <v>1749</v>
      </c>
      <c r="F1430" s="13" t="s">
        <v>1750</v>
      </c>
      <c r="G1430" s="13">
        <v>47</v>
      </c>
      <c r="H1430" s="13"/>
      <c r="I1430" s="13"/>
      <c r="J1430" s="29" t="s">
        <v>1261</v>
      </c>
      <c r="K1430" s="29" t="s">
        <v>1751</v>
      </c>
      <c r="L1430" s="29"/>
      <c r="M1430" s="68">
        <v>1</v>
      </c>
      <c r="N1430" s="68" t="s">
        <v>4286</v>
      </c>
    </row>
    <row r="1431" spans="1:14" ht="14.25" x14ac:dyDescent="0.2">
      <c r="A1431" s="14" t="s">
        <v>5786</v>
      </c>
      <c r="B1431" s="15" t="s">
        <v>3740</v>
      </c>
      <c r="C1431" s="19" t="s">
        <v>3757</v>
      </c>
      <c r="D1431" s="13" t="s">
        <v>3754</v>
      </c>
      <c r="E1431" s="27" t="s">
        <v>6199</v>
      </c>
      <c r="F1431" s="16" t="s">
        <v>6200</v>
      </c>
      <c r="G1431" s="26">
        <v>59</v>
      </c>
      <c r="H1431" s="26"/>
      <c r="I1431" s="26"/>
      <c r="J1431" s="27" t="s">
        <v>2894</v>
      </c>
      <c r="K1431" s="27" t="s">
        <v>6201</v>
      </c>
      <c r="L1431" s="29"/>
      <c r="M1431" s="68">
        <v>1</v>
      </c>
      <c r="N1431" s="68" t="s">
        <v>2272</v>
      </c>
    </row>
    <row r="1432" spans="1:14" ht="14.25" x14ac:dyDescent="0.2">
      <c r="A1432" s="11" t="s">
        <v>5786</v>
      </c>
      <c r="B1432" s="12" t="s">
        <v>3740</v>
      </c>
      <c r="C1432" s="10" t="s">
        <v>3757</v>
      </c>
      <c r="D1432" s="13" t="s">
        <v>3754</v>
      </c>
      <c r="E1432" s="29" t="s">
        <v>1752</v>
      </c>
      <c r="F1432" s="13" t="s">
        <v>1750</v>
      </c>
      <c r="G1432" s="13">
        <v>62</v>
      </c>
      <c r="H1432" s="13"/>
      <c r="I1432" s="13"/>
      <c r="J1432" s="29" t="s">
        <v>1572</v>
      </c>
      <c r="K1432" s="29" t="s">
        <v>1751</v>
      </c>
      <c r="L1432" s="29"/>
      <c r="M1432" s="68">
        <v>1</v>
      </c>
      <c r="N1432" s="68" t="s">
        <v>4286</v>
      </c>
    </row>
    <row r="1433" spans="1:14" ht="14.25" x14ac:dyDescent="0.2">
      <c r="A1433" s="14" t="s">
        <v>5786</v>
      </c>
      <c r="B1433" s="15" t="s">
        <v>8339</v>
      </c>
      <c r="C1433" s="19" t="s">
        <v>3761</v>
      </c>
      <c r="D1433" s="13" t="s">
        <v>3754</v>
      </c>
      <c r="E1433" s="27" t="s">
        <v>7177</v>
      </c>
      <c r="F1433" s="16" t="s">
        <v>2561</v>
      </c>
      <c r="G1433" s="26">
        <v>28</v>
      </c>
      <c r="H1433" s="26">
        <v>9</v>
      </c>
      <c r="I1433" s="26"/>
      <c r="J1433" s="27" t="s">
        <v>1264</v>
      </c>
      <c r="K1433" s="27" t="s">
        <v>7179</v>
      </c>
      <c r="L1433" s="29"/>
      <c r="M1433" s="68">
        <v>1</v>
      </c>
      <c r="N1433" s="68" t="s">
        <v>2560</v>
      </c>
    </row>
    <row r="1434" spans="1:14" ht="14.25" x14ac:dyDescent="0.2">
      <c r="A1434" s="11" t="s">
        <v>5786</v>
      </c>
      <c r="B1434" s="12" t="s">
        <v>3723</v>
      </c>
      <c r="C1434" s="10" t="s">
        <v>3754</v>
      </c>
      <c r="D1434" s="13" t="s">
        <v>3754</v>
      </c>
      <c r="E1434" s="29" t="s">
        <v>6852</v>
      </c>
      <c r="F1434" s="13" t="s">
        <v>2206</v>
      </c>
      <c r="G1434" s="13">
        <v>30</v>
      </c>
      <c r="H1434" s="13"/>
      <c r="I1434" s="13"/>
      <c r="J1434" s="29" t="s">
        <v>1270</v>
      </c>
      <c r="K1434" s="29" t="s">
        <v>2879</v>
      </c>
      <c r="L1434" s="29"/>
      <c r="M1434" s="68">
        <v>1</v>
      </c>
      <c r="N1434" s="68" t="s">
        <v>2154</v>
      </c>
    </row>
    <row r="1435" spans="1:14" ht="14.25" x14ac:dyDescent="0.2">
      <c r="A1435" s="14" t="s">
        <v>5786</v>
      </c>
      <c r="B1435" s="15" t="s">
        <v>3746</v>
      </c>
      <c r="C1435" s="19" t="s">
        <v>3761</v>
      </c>
      <c r="D1435" s="13" t="s">
        <v>3754</v>
      </c>
      <c r="E1435" s="27" t="s">
        <v>6231</v>
      </c>
      <c r="F1435" s="16" t="s">
        <v>2206</v>
      </c>
      <c r="G1435" s="26">
        <v>32</v>
      </c>
      <c r="H1435" s="26"/>
      <c r="I1435" s="26"/>
      <c r="J1435" s="27" t="s">
        <v>1507</v>
      </c>
      <c r="K1435" s="27" t="s">
        <v>6232</v>
      </c>
      <c r="L1435" s="29"/>
      <c r="M1435" s="68">
        <v>1</v>
      </c>
      <c r="N1435" s="68" t="s">
        <v>2272</v>
      </c>
    </row>
    <row r="1436" spans="1:14" ht="14.25" x14ac:dyDescent="0.2">
      <c r="A1436" s="14" t="s">
        <v>5786</v>
      </c>
      <c r="B1436" s="15" t="s">
        <v>1445</v>
      </c>
      <c r="C1436" s="19" t="s">
        <v>3761</v>
      </c>
      <c r="D1436" s="13" t="s">
        <v>3754</v>
      </c>
      <c r="E1436" s="27" t="s">
        <v>1506</v>
      </c>
      <c r="F1436" s="16" t="s">
        <v>2594</v>
      </c>
      <c r="G1436" s="26"/>
      <c r="H1436" s="26">
        <v>2</v>
      </c>
      <c r="I1436" s="26">
        <v>12</v>
      </c>
      <c r="J1436" s="27" t="s">
        <v>4790</v>
      </c>
      <c r="K1436" s="27" t="s">
        <v>1662</v>
      </c>
      <c r="L1436" s="29"/>
      <c r="M1436" s="68">
        <v>1</v>
      </c>
      <c r="N1436" s="68" t="s">
        <v>2560</v>
      </c>
    </row>
    <row r="1437" spans="1:14" ht="14.25" x14ac:dyDescent="0.2">
      <c r="A1437" s="14" t="s">
        <v>2518</v>
      </c>
      <c r="B1437" s="15" t="s">
        <v>3728</v>
      </c>
      <c r="C1437" s="19" t="s">
        <v>3757</v>
      </c>
      <c r="D1437" s="13" t="s">
        <v>3754</v>
      </c>
      <c r="E1437" s="27"/>
      <c r="F1437" s="16" t="s">
        <v>2519</v>
      </c>
      <c r="G1437" s="26"/>
      <c r="H1437" s="26"/>
      <c r="I1437" s="26"/>
      <c r="J1437" s="27"/>
      <c r="K1437" s="27"/>
      <c r="L1437" s="29"/>
      <c r="M1437" s="68">
        <v>1</v>
      </c>
      <c r="N1437" s="68" t="s">
        <v>2272</v>
      </c>
    </row>
    <row r="1438" spans="1:14" ht="14.25" x14ac:dyDescent="0.2">
      <c r="A1438" s="11" t="s">
        <v>4308</v>
      </c>
      <c r="B1438" s="12" t="s">
        <v>4309</v>
      </c>
      <c r="C1438" s="10" t="s">
        <v>4712</v>
      </c>
      <c r="D1438" s="13" t="s">
        <v>1907</v>
      </c>
      <c r="E1438" s="29" t="s">
        <v>4310</v>
      </c>
      <c r="F1438" s="13" t="s">
        <v>5757</v>
      </c>
      <c r="G1438" s="13">
        <v>64</v>
      </c>
      <c r="H1438" s="13"/>
      <c r="I1438" s="13"/>
      <c r="J1438" s="29" t="s">
        <v>1272</v>
      </c>
      <c r="K1438" s="29" t="s">
        <v>5758</v>
      </c>
      <c r="L1438" s="29"/>
      <c r="M1438" s="68">
        <v>1</v>
      </c>
      <c r="N1438" s="68" t="s">
        <v>4286</v>
      </c>
    </row>
    <row r="1439" spans="1:14" ht="14.25" x14ac:dyDescent="0.2">
      <c r="A1439" s="11" t="s">
        <v>1763</v>
      </c>
      <c r="B1439" s="12" t="s">
        <v>3740</v>
      </c>
      <c r="C1439" s="10" t="s">
        <v>3754</v>
      </c>
      <c r="D1439" s="13" t="s">
        <v>3754</v>
      </c>
      <c r="E1439" s="29" t="s">
        <v>2134</v>
      </c>
      <c r="F1439" s="13" t="s">
        <v>2135</v>
      </c>
      <c r="G1439" s="13">
        <v>4</v>
      </c>
      <c r="H1439" s="13"/>
      <c r="I1439" s="13"/>
      <c r="J1439" s="29" t="s">
        <v>2136</v>
      </c>
      <c r="K1439" s="29" t="s">
        <v>2133</v>
      </c>
      <c r="L1439" s="29"/>
      <c r="M1439" s="68">
        <v>1</v>
      </c>
      <c r="N1439" s="68" t="s">
        <v>4286</v>
      </c>
    </row>
    <row r="1440" spans="1:14" ht="14.25" x14ac:dyDescent="0.2">
      <c r="A1440" s="14" t="s">
        <v>1763</v>
      </c>
      <c r="B1440" s="15" t="s">
        <v>3740</v>
      </c>
      <c r="C1440" s="19" t="s">
        <v>3761</v>
      </c>
      <c r="D1440" s="13" t="s">
        <v>3754</v>
      </c>
      <c r="E1440" s="27" t="s">
        <v>1158</v>
      </c>
      <c r="F1440" s="16" t="s">
        <v>1159</v>
      </c>
      <c r="G1440" s="26"/>
      <c r="H1440" s="26">
        <v>1</v>
      </c>
      <c r="I1440" s="26">
        <v>10</v>
      </c>
      <c r="J1440" s="27" t="s">
        <v>1160</v>
      </c>
      <c r="K1440" s="27" t="s">
        <v>1161</v>
      </c>
      <c r="L1440" s="29"/>
      <c r="M1440" s="68">
        <v>1</v>
      </c>
      <c r="N1440" s="68" t="s">
        <v>2560</v>
      </c>
    </row>
    <row r="1441" spans="1:14" ht="14.25" x14ac:dyDescent="0.2">
      <c r="A1441" s="11" t="s">
        <v>1763</v>
      </c>
      <c r="B1441" s="12" t="s">
        <v>5712</v>
      </c>
      <c r="C1441" s="10" t="s">
        <v>3757</v>
      </c>
      <c r="D1441" s="13" t="s">
        <v>3754</v>
      </c>
      <c r="E1441" s="29" t="s">
        <v>8638</v>
      </c>
      <c r="F1441" s="13" t="s">
        <v>1768</v>
      </c>
      <c r="G1441" s="13">
        <v>57</v>
      </c>
      <c r="H1441" s="13"/>
      <c r="I1441" s="13"/>
      <c r="J1441" s="29" t="s">
        <v>2132</v>
      </c>
      <c r="K1441" s="29" t="s">
        <v>2133</v>
      </c>
      <c r="L1441" s="29"/>
      <c r="M1441" s="68">
        <v>1</v>
      </c>
      <c r="N1441" s="68" t="s">
        <v>4286</v>
      </c>
    </row>
    <row r="1442" spans="1:14" ht="14.25" x14ac:dyDescent="0.2">
      <c r="A1442" s="11" t="s">
        <v>1763</v>
      </c>
      <c r="B1442" s="12" t="s">
        <v>4687</v>
      </c>
      <c r="C1442" s="10" t="s">
        <v>3754</v>
      </c>
      <c r="D1442" s="13" t="s">
        <v>3754</v>
      </c>
      <c r="E1442" s="29">
        <v>1858</v>
      </c>
      <c r="F1442" s="13" t="s">
        <v>1764</v>
      </c>
      <c r="G1442" s="13">
        <v>2</v>
      </c>
      <c r="H1442" s="13"/>
      <c r="I1442" s="13"/>
      <c r="J1442" s="29" t="s">
        <v>1412</v>
      </c>
      <c r="K1442" s="29" t="s">
        <v>1765</v>
      </c>
      <c r="L1442" s="29"/>
      <c r="M1442" s="68">
        <v>1</v>
      </c>
      <c r="N1442" s="68" t="s">
        <v>4286</v>
      </c>
    </row>
    <row r="1443" spans="1:14" ht="14.25" x14ac:dyDescent="0.2">
      <c r="A1443" s="11" t="s">
        <v>2263</v>
      </c>
      <c r="B1443" s="12" t="s">
        <v>3740</v>
      </c>
      <c r="C1443" s="10" t="s">
        <v>3754</v>
      </c>
      <c r="D1443" s="13" t="s">
        <v>3754</v>
      </c>
      <c r="E1443" s="29" t="s">
        <v>2264</v>
      </c>
      <c r="F1443" s="13" t="s">
        <v>2265</v>
      </c>
      <c r="G1443" s="13"/>
      <c r="H1443" s="13"/>
      <c r="I1443" s="13">
        <v>7</v>
      </c>
      <c r="J1443" s="29" t="s">
        <v>1464</v>
      </c>
      <c r="K1443" s="29" t="s">
        <v>2264</v>
      </c>
      <c r="L1443" s="29"/>
      <c r="M1443" s="68">
        <v>1</v>
      </c>
      <c r="N1443" s="68" t="s">
        <v>2154</v>
      </c>
    </row>
    <row r="1444" spans="1:14" ht="14.25" x14ac:dyDescent="0.2">
      <c r="A1444" s="14" t="s">
        <v>2263</v>
      </c>
      <c r="B1444" s="15" t="s">
        <v>7741</v>
      </c>
      <c r="C1444" s="19" t="s">
        <v>3761</v>
      </c>
      <c r="D1444" s="16" t="s">
        <v>6233</v>
      </c>
      <c r="E1444" s="27" t="s">
        <v>6234</v>
      </c>
      <c r="F1444" s="16" t="s">
        <v>6235</v>
      </c>
      <c r="G1444" s="26">
        <v>6</v>
      </c>
      <c r="H1444" s="26">
        <v>6</v>
      </c>
      <c r="I1444" s="26"/>
      <c r="J1444" s="27" t="s">
        <v>4748</v>
      </c>
      <c r="K1444" s="27" t="s">
        <v>6236</v>
      </c>
      <c r="L1444" s="29"/>
      <c r="M1444" s="68">
        <v>1</v>
      </c>
      <c r="N1444" s="68" t="s">
        <v>2272</v>
      </c>
    </row>
    <row r="1445" spans="1:14" ht="14.25" x14ac:dyDescent="0.2">
      <c r="A1445" s="14" t="s">
        <v>2520</v>
      </c>
      <c r="B1445" s="15" t="s">
        <v>3732</v>
      </c>
      <c r="C1445" s="19" t="s">
        <v>3761</v>
      </c>
      <c r="D1445" s="13" t="s">
        <v>3754</v>
      </c>
      <c r="E1445" s="27" t="s">
        <v>8496</v>
      </c>
      <c r="F1445" s="16" t="s">
        <v>2521</v>
      </c>
      <c r="G1445" s="26">
        <v>32</v>
      </c>
      <c r="H1445" s="26"/>
      <c r="I1445" s="26"/>
      <c r="J1445" s="27" t="s">
        <v>1264</v>
      </c>
      <c r="K1445" s="27" t="s">
        <v>8497</v>
      </c>
      <c r="L1445" s="29"/>
      <c r="M1445" s="68">
        <v>1</v>
      </c>
      <c r="N1445" s="68" t="s">
        <v>2272</v>
      </c>
    </row>
    <row r="1446" spans="1:14" ht="14.25" x14ac:dyDescent="0.2">
      <c r="A1446" s="9" t="s">
        <v>4066</v>
      </c>
      <c r="B1446" s="5" t="s">
        <v>5469</v>
      </c>
      <c r="C1446" s="10" t="s">
        <v>3754</v>
      </c>
      <c r="D1446" s="10" t="s">
        <v>3754</v>
      </c>
      <c r="E1446" s="61" t="s">
        <v>2167</v>
      </c>
      <c r="F1446" s="10" t="s">
        <v>2168</v>
      </c>
      <c r="G1446" s="21">
        <v>1</v>
      </c>
      <c r="H1446" s="21">
        <v>7</v>
      </c>
      <c r="I1446" s="21"/>
      <c r="J1446" s="55" t="s">
        <v>2169</v>
      </c>
      <c r="K1446" s="55" t="s">
        <v>2170</v>
      </c>
      <c r="L1446" s="61"/>
      <c r="M1446" s="68">
        <v>1</v>
      </c>
      <c r="N1446" s="68" t="s">
        <v>2154</v>
      </c>
    </row>
    <row r="1447" spans="1:14" ht="14.25" x14ac:dyDescent="0.2">
      <c r="A1447" s="17" t="s">
        <v>4066</v>
      </c>
      <c r="B1447" s="18" t="s">
        <v>7781</v>
      </c>
      <c r="C1447" s="19" t="s">
        <v>3761</v>
      </c>
      <c r="D1447" s="10" t="s">
        <v>3754</v>
      </c>
      <c r="E1447" s="46" t="s">
        <v>1155</v>
      </c>
      <c r="F1447" s="19" t="s">
        <v>1152</v>
      </c>
      <c r="G1447" s="8"/>
      <c r="H1447" s="8">
        <v>10</v>
      </c>
      <c r="I1447" s="8"/>
      <c r="J1447" s="45" t="s">
        <v>7319</v>
      </c>
      <c r="K1447" s="45" t="s">
        <v>3367</v>
      </c>
      <c r="L1447" s="61"/>
      <c r="M1447" s="68">
        <v>1</v>
      </c>
      <c r="N1447" s="68" t="s">
        <v>2560</v>
      </c>
    </row>
    <row r="1448" spans="1:14" ht="14.25" x14ac:dyDescent="0.2">
      <c r="A1448" s="14" t="s">
        <v>4066</v>
      </c>
      <c r="B1448" s="15" t="s">
        <v>3740</v>
      </c>
      <c r="C1448" s="19" t="s">
        <v>3761</v>
      </c>
      <c r="D1448" s="13" t="s">
        <v>3754</v>
      </c>
      <c r="E1448" s="27" t="s">
        <v>1677</v>
      </c>
      <c r="F1448" s="16" t="s">
        <v>1152</v>
      </c>
      <c r="G1448" s="26">
        <v>3</v>
      </c>
      <c r="H1448" s="26">
        <v>5</v>
      </c>
      <c r="I1448" s="26"/>
      <c r="J1448" s="27" t="s">
        <v>1258</v>
      </c>
      <c r="K1448" s="27" t="s">
        <v>1153</v>
      </c>
      <c r="L1448" s="29"/>
      <c r="M1448" s="68">
        <v>1</v>
      </c>
      <c r="N1448" s="68" t="s">
        <v>2560</v>
      </c>
    </row>
    <row r="1449" spans="1:14" ht="14.25" x14ac:dyDescent="0.2">
      <c r="A1449" s="14" t="s">
        <v>4066</v>
      </c>
      <c r="B1449" s="15" t="s">
        <v>3740</v>
      </c>
      <c r="C1449" s="19" t="s">
        <v>3757</v>
      </c>
      <c r="D1449" s="13" t="s">
        <v>3754</v>
      </c>
      <c r="E1449" s="27">
        <v>1836</v>
      </c>
      <c r="F1449" s="16" t="s">
        <v>3754</v>
      </c>
      <c r="G1449" s="26">
        <v>36</v>
      </c>
      <c r="H1449" s="26"/>
      <c r="I1449" s="26"/>
      <c r="J1449" s="27" t="s">
        <v>1641</v>
      </c>
      <c r="K1449" s="29" t="s">
        <v>4067</v>
      </c>
      <c r="L1449" s="27"/>
      <c r="M1449" s="68">
        <v>1</v>
      </c>
      <c r="N1449" s="68" t="s">
        <v>4009</v>
      </c>
    </row>
    <row r="1450" spans="1:14" ht="14.25" x14ac:dyDescent="0.2">
      <c r="A1450" s="14" t="s">
        <v>4066</v>
      </c>
      <c r="B1450" s="15" t="s">
        <v>5523</v>
      </c>
      <c r="C1450" s="19" t="s">
        <v>3761</v>
      </c>
      <c r="D1450" s="13" t="s">
        <v>3754</v>
      </c>
      <c r="E1450" s="27" t="s">
        <v>1154</v>
      </c>
      <c r="F1450" s="16" t="s">
        <v>1152</v>
      </c>
      <c r="G1450" s="26">
        <v>38</v>
      </c>
      <c r="H1450" s="26"/>
      <c r="I1450" s="26"/>
      <c r="J1450" s="27" t="s">
        <v>4738</v>
      </c>
      <c r="K1450" s="27" t="s">
        <v>3367</v>
      </c>
      <c r="L1450" s="29"/>
      <c r="M1450" s="68">
        <v>1</v>
      </c>
      <c r="N1450" s="68" t="s">
        <v>2560</v>
      </c>
    </row>
    <row r="1451" spans="1:14" ht="14.25" x14ac:dyDescent="0.2">
      <c r="A1451" s="14" t="s">
        <v>4066</v>
      </c>
      <c r="B1451" s="15" t="s">
        <v>1422</v>
      </c>
      <c r="C1451" s="19" t="s">
        <v>3754</v>
      </c>
      <c r="D1451" s="13" t="s">
        <v>3754</v>
      </c>
      <c r="E1451" s="29" t="s">
        <v>936</v>
      </c>
      <c r="F1451" s="16" t="s">
        <v>937</v>
      </c>
      <c r="G1451" s="26">
        <v>2</v>
      </c>
      <c r="H1451" s="26">
        <v>7</v>
      </c>
      <c r="I1451" s="26"/>
      <c r="J1451" s="27" t="s">
        <v>1254</v>
      </c>
      <c r="K1451" s="29" t="s">
        <v>938</v>
      </c>
      <c r="L1451" s="27"/>
      <c r="M1451" s="68">
        <v>1</v>
      </c>
      <c r="N1451" s="68" t="s">
        <v>4009</v>
      </c>
    </row>
    <row r="1452" spans="1:14" ht="14.25" x14ac:dyDescent="0.2">
      <c r="A1452" s="11" t="s">
        <v>4029</v>
      </c>
      <c r="B1452" s="12" t="s">
        <v>1432</v>
      </c>
      <c r="C1452" s="10" t="s">
        <v>3754</v>
      </c>
      <c r="D1452" s="34" t="s">
        <v>3754</v>
      </c>
      <c r="E1452" s="27" t="s">
        <v>2137</v>
      </c>
      <c r="F1452" s="13" t="s">
        <v>4266</v>
      </c>
      <c r="G1452" s="13">
        <v>20</v>
      </c>
      <c r="H1452" s="13">
        <v>5</v>
      </c>
      <c r="I1452" s="13"/>
      <c r="J1452" s="29" t="s">
        <v>2335</v>
      </c>
      <c r="K1452" s="29" t="s">
        <v>3149</v>
      </c>
      <c r="L1452" s="29"/>
      <c r="M1452" s="68">
        <v>1</v>
      </c>
      <c r="N1452" s="68" t="s">
        <v>4286</v>
      </c>
    </row>
    <row r="1453" spans="1:14" ht="14.25" x14ac:dyDescent="0.2">
      <c r="A1453" s="14" t="s">
        <v>4029</v>
      </c>
      <c r="B1453" s="15" t="s">
        <v>8616</v>
      </c>
      <c r="C1453" s="19" t="s">
        <v>3757</v>
      </c>
      <c r="D1453" s="13" t="s">
        <v>3754</v>
      </c>
      <c r="E1453" s="27" t="s">
        <v>4783</v>
      </c>
      <c r="F1453" s="16" t="s">
        <v>3754</v>
      </c>
      <c r="G1453" s="26">
        <v>53</v>
      </c>
      <c r="H1453" s="26"/>
      <c r="I1453" s="26"/>
      <c r="J1453" s="27" t="s">
        <v>4738</v>
      </c>
      <c r="K1453" s="29" t="s">
        <v>4030</v>
      </c>
      <c r="L1453" s="27"/>
      <c r="M1453" s="68">
        <v>1</v>
      </c>
      <c r="N1453" s="68" t="s">
        <v>4009</v>
      </c>
    </row>
    <row r="1454" spans="1:14" ht="14.25" x14ac:dyDescent="0.2">
      <c r="A1454" s="43" t="s">
        <v>4029</v>
      </c>
      <c r="B1454" s="44" t="s">
        <v>4701</v>
      </c>
      <c r="C1454" s="45" t="s">
        <v>3757</v>
      </c>
      <c r="D1454" s="27" t="s">
        <v>3754</v>
      </c>
      <c r="E1454" s="29"/>
      <c r="F1454" s="27" t="s">
        <v>4266</v>
      </c>
      <c r="G1454" s="26">
        <v>56</v>
      </c>
      <c r="H1454" s="26"/>
      <c r="I1454" s="26"/>
      <c r="J1454" s="27" t="s">
        <v>2867</v>
      </c>
      <c r="K1454" s="29" t="s">
        <v>2675</v>
      </c>
      <c r="L1454" s="96"/>
      <c r="M1454" s="68">
        <v>1</v>
      </c>
      <c r="N1454" s="68" t="s">
        <v>947</v>
      </c>
    </row>
    <row r="1455" spans="1:14" ht="14.25" x14ac:dyDescent="0.2">
      <c r="A1455" s="11" t="s">
        <v>2171</v>
      </c>
      <c r="B1455" s="12" t="s">
        <v>3728</v>
      </c>
      <c r="C1455" s="10" t="s">
        <v>3754</v>
      </c>
      <c r="D1455" s="13" t="s">
        <v>3754</v>
      </c>
      <c r="E1455" s="29" t="s">
        <v>2204</v>
      </c>
      <c r="F1455" s="13" t="s">
        <v>2191</v>
      </c>
      <c r="G1455" s="13">
        <v>27</v>
      </c>
      <c r="H1455" s="13"/>
      <c r="I1455" s="13"/>
      <c r="J1455" s="29" t="s">
        <v>1412</v>
      </c>
      <c r="K1455" s="29" t="s">
        <v>2205</v>
      </c>
      <c r="L1455" s="29"/>
      <c r="M1455" s="68">
        <v>1</v>
      </c>
      <c r="N1455" s="68" t="s">
        <v>2154</v>
      </c>
    </row>
    <row r="1456" spans="1:14" ht="14.25" x14ac:dyDescent="0.2">
      <c r="A1456" s="11" t="s">
        <v>2171</v>
      </c>
      <c r="B1456" s="12" t="s">
        <v>3746</v>
      </c>
      <c r="C1456" s="10" t="s">
        <v>3757</v>
      </c>
      <c r="D1456" s="13" t="s">
        <v>1943</v>
      </c>
      <c r="E1456" s="29" t="s">
        <v>2172</v>
      </c>
      <c r="F1456" s="13" t="s">
        <v>2173</v>
      </c>
      <c r="G1456" s="13">
        <v>46</v>
      </c>
      <c r="H1456" s="13"/>
      <c r="I1456" s="13"/>
      <c r="J1456" s="29" t="s">
        <v>1264</v>
      </c>
      <c r="K1456" s="29" t="s">
        <v>2067</v>
      </c>
      <c r="L1456" s="29"/>
      <c r="M1456" s="68">
        <v>1</v>
      </c>
      <c r="N1456" s="68" t="s">
        <v>2154</v>
      </c>
    </row>
    <row r="1457" spans="1:14" ht="14.25" x14ac:dyDescent="0.2">
      <c r="A1457" s="11" t="s">
        <v>2189</v>
      </c>
      <c r="B1457" s="12" t="s">
        <v>3746</v>
      </c>
      <c r="C1457" s="10" t="s">
        <v>3754</v>
      </c>
      <c r="D1457" s="13" t="s">
        <v>3754</v>
      </c>
      <c r="E1457" s="29" t="s">
        <v>2190</v>
      </c>
      <c r="F1457" s="13" t="s">
        <v>2191</v>
      </c>
      <c r="G1457" s="13"/>
      <c r="H1457" s="13"/>
      <c r="I1457" s="13">
        <v>14</v>
      </c>
      <c r="J1457" s="29" t="s">
        <v>1412</v>
      </c>
      <c r="K1457" s="29" t="s">
        <v>2192</v>
      </c>
      <c r="L1457" s="29"/>
      <c r="M1457" s="68">
        <v>1</v>
      </c>
      <c r="N1457" s="68" t="s">
        <v>2154</v>
      </c>
    </row>
    <row r="1458" spans="1:14" ht="14.25" x14ac:dyDescent="0.2">
      <c r="A1458" s="11" t="s">
        <v>2252</v>
      </c>
      <c r="B1458" s="12" t="s">
        <v>2253</v>
      </c>
      <c r="C1458" s="10" t="s">
        <v>3754</v>
      </c>
      <c r="D1458" s="13" t="s">
        <v>3754</v>
      </c>
      <c r="E1458" s="29" t="s">
        <v>7438</v>
      </c>
      <c r="F1458" s="13" t="s">
        <v>2254</v>
      </c>
      <c r="G1458" s="13">
        <v>5</v>
      </c>
      <c r="H1458" s="13">
        <v>3</v>
      </c>
      <c r="I1458" s="13">
        <v>23</v>
      </c>
      <c r="J1458" s="29" t="s">
        <v>1258</v>
      </c>
      <c r="K1458" s="29" t="s">
        <v>2255</v>
      </c>
      <c r="L1458" s="29"/>
      <c r="M1458" s="68">
        <v>1</v>
      </c>
      <c r="N1458" s="68" t="s">
        <v>2154</v>
      </c>
    </row>
    <row r="1459" spans="1:14" ht="14.25" x14ac:dyDescent="0.2">
      <c r="A1459" s="43" t="s">
        <v>4262</v>
      </c>
      <c r="B1459" s="44" t="s">
        <v>3729</v>
      </c>
      <c r="C1459" s="45" t="s">
        <v>7175</v>
      </c>
      <c r="D1459" s="27" t="s">
        <v>3754</v>
      </c>
      <c r="E1459" s="29" t="s">
        <v>4263</v>
      </c>
      <c r="F1459" s="27" t="s">
        <v>4264</v>
      </c>
      <c r="G1459" s="26">
        <v>87</v>
      </c>
      <c r="H1459" s="26"/>
      <c r="I1459" s="26"/>
      <c r="J1459" s="27" t="s">
        <v>1267</v>
      </c>
      <c r="K1459" s="29" t="s">
        <v>4265</v>
      </c>
      <c r="L1459" s="96"/>
      <c r="M1459" s="68">
        <v>1</v>
      </c>
      <c r="N1459" s="68" t="s">
        <v>947</v>
      </c>
    </row>
    <row r="1460" spans="1:14" ht="14.25" x14ac:dyDescent="0.2">
      <c r="A1460" s="11" t="s">
        <v>2207</v>
      </c>
      <c r="B1460" s="12" t="s">
        <v>1809</v>
      </c>
      <c r="C1460" s="10" t="s">
        <v>3757</v>
      </c>
      <c r="D1460" s="13" t="s">
        <v>3754</v>
      </c>
      <c r="E1460" s="29" t="s">
        <v>2208</v>
      </c>
      <c r="F1460" s="13" t="s">
        <v>5804</v>
      </c>
      <c r="G1460" s="13">
        <v>42</v>
      </c>
      <c r="H1460" s="13"/>
      <c r="I1460" s="13"/>
      <c r="J1460" s="29" t="s">
        <v>4738</v>
      </c>
      <c r="K1460" s="29" t="s">
        <v>2209</v>
      </c>
      <c r="L1460" s="29"/>
      <c r="M1460" s="68">
        <v>1</v>
      </c>
      <c r="N1460" s="68" t="s">
        <v>2154</v>
      </c>
    </row>
    <row r="1461" spans="1:14" ht="14.25" x14ac:dyDescent="0.2">
      <c r="A1461" s="14" t="s">
        <v>2522</v>
      </c>
      <c r="B1461" s="15" t="s">
        <v>3746</v>
      </c>
      <c r="C1461" s="20" t="s">
        <v>3757</v>
      </c>
      <c r="D1461" s="13" t="s">
        <v>3754</v>
      </c>
      <c r="E1461" s="27" t="s">
        <v>2523</v>
      </c>
      <c r="F1461" s="16" t="s">
        <v>972</v>
      </c>
      <c r="G1461" s="26">
        <v>80</v>
      </c>
      <c r="H1461" s="26"/>
      <c r="I1461" s="26"/>
      <c r="J1461" s="27" t="s">
        <v>1271</v>
      </c>
      <c r="K1461" s="27" t="s">
        <v>4754</v>
      </c>
      <c r="L1461" s="29"/>
      <c r="M1461" s="68">
        <v>1</v>
      </c>
      <c r="N1461" s="68" t="s">
        <v>2272</v>
      </c>
    </row>
    <row r="1462" spans="1:14" ht="14.25" x14ac:dyDescent="0.2">
      <c r="A1462" s="14" t="s">
        <v>4014</v>
      </c>
      <c r="B1462" s="15" t="s">
        <v>3743</v>
      </c>
      <c r="C1462" s="20" t="s">
        <v>3757</v>
      </c>
      <c r="D1462" s="13" t="s">
        <v>3754</v>
      </c>
      <c r="E1462" s="27" t="s">
        <v>2630</v>
      </c>
      <c r="F1462" s="16" t="s">
        <v>3754</v>
      </c>
      <c r="G1462" s="26">
        <v>70</v>
      </c>
      <c r="H1462" s="26"/>
      <c r="I1462" s="26"/>
      <c r="J1462" s="27" t="s">
        <v>1266</v>
      </c>
      <c r="K1462" s="27" t="s">
        <v>4015</v>
      </c>
      <c r="L1462" s="27"/>
      <c r="M1462" s="68">
        <v>1</v>
      </c>
      <c r="N1462" s="68" t="s">
        <v>4009</v>
      </c>
    </row>
    <row r="1463" spans="1:14" ht="14.25" x14ac:dyDescent="0.2">
      <c r="A1463" s="43" t="s">
        <v>4014</v>
      </c>
      <c r="B1463" s="44" t="s">
        <v>958</v>
      </c>
      <c r="C1463" s="20" t="s">
        <v>3754</v>
      </c>
      <c r="D1463" s="27" t="s">
        <v>3754</v>
      </c>
      <c r="E1463" s="29" t="s">
        <v>959</v>
      </c>
      <c r="F1463" s="27" t="s">
        <v>960</v>
      </c>
      <c r="G1463" s="26">
        <v>6</v>
      </c>
      <c r="H1463" s="26">
        <v>5</v>
      </c>
      <c r="I1463" s="26"/>
      <c r="J1463" s="27" t="s">
        <v>961</v>
      </c>
      <c r="K1463" s="29" t="s">
        <v>4754</v>
      </c>
      <c r="L1463" s="96"/>
      <c r="M1463" s="68">
        <v>1</v>
      </c>
      <c r="N1463" s="68" t="s">
        <v>947</v>
      </c>
    </row>
    <row r="1464" spans="1:14" ht="14.25" x14ac:dyDescent="0.2">
      <c r="A1464" s="11" t="s">
        <v>4014</v>
      </c>
      <c r="B1464" s="12" t="s">
        <v>4702</v>
      </c>
      <c r="C1464" s="10" t="s">
        <v>3757</v>
      </c>
      <c r="D1464" s="13" t="s">
        <v>3754</v>
      </c>
      <c r="E1464" s="27" t="s">
        <v>492</v>
      </c>
      <c r="F1464" s="13" t="s">
        <v>2145</v>
      </c>
      <c r="G1464" s="13">
        <v>25</v>
      </c>
      <c r="H1464" s="13"/>
      <c r="I1464" s="13"/>
      <c r="J1464" s="29" t="s">
        <v>1264</v>
      </c>
      <c r="K1464" s="29" t="s">
        <v>494</v>
      </c>
      <c r="L1464" s="29"/>
      <c r="M1464" s="68">
        <v>1</v>
      </c>
      <c r="N1464" s="68" t="s">
        <v>4286</v>
      </c>
    </row>
    <row r="1465" spans="1:14" ht="14.25" x14ac:dyDescent="0.2">
      <c r="A1465" s="11" t="s">
        <v>4014</v>
      </c>
      <c r="B1465" s="12" t="s">
        <v>3740</v>
      </c>
      <c r="C1465" s="10" t="s">
        <v>3754</v>
      </c>
      <c r="D1465" s="13" t="s">
        <v>3754</v>
      </c>
      <c r="E1465" s="29" t="s">
        <v>8833</v>
      </c>
      <c r="F1465" s="13" t="s">
        <v>2195</v>
      </c>
      <c r="G1465" s="13">
        <v>2</v>
      </c>
      <c r="H1465" s="13">
        <v>4</v>
      </c>
      <c r="I1465" s="13"/>
      <c r="J1465" s="29" t="s">
        <v>2161</v>
      </c>
      <c r="K1465" s="29" t="s">
        <v>2196</v>
      </c>
      <c r="L1465" s="29"/>
      <c r="M1465" s="68">
        <v>1</v>
      </c>
      <c r="N1465" s="68" t="s">
        <v>2154</v>
      </c>
    </row>
    <row r="1466" spans="1:14" ht="14.25" x14ac:dyDescent="0.2">
      <c r="A1466" s="43" t="s">
        <v>4014</v>
      </c>
      <c r="B1466" s="44" t="s">
        <v>3740</v>
      </c>
      <c r="C1466" s="45" t="s">
        <v>3754</v>
      </c>
      <c r="D1466" s="27" t="s">
        <v>3754</v>
      </c>
      <c r="E1466" s="29" t="s">
        <v>3981</v>
      </c>
      <c r="F1466" s="27" t="s">
        <v>934</v>
      </c>
      <c r="G1466" s="26">
        <v>6</v>
      </c>
      <c r="H1466" s="26">
        <v>6</v>
      </c>
      <c r="I1466" s="26">
        <v>20</v>
      </c>
      <c r="J1466" s="27" t="s">
        <v>3059</v>
      </c>
      <c r="K1466" s="29" t="s">
        <v>1283</v>
      </c>
      <c r="L1466" s="96"/>
      <c r="M1466" s="68">
        <v>1</v>
      </c>
      <c r="N1466" s="68" t="s">
        <v>947</v>
      </c>
    </row>
    <row r="1467" spans="1:14" ht="28.5" x14ac:dyDescent="0.2">
      <c r="A1467" s="43" t="s">
        <v>4014</v>
      </c>
      <c r="B1467" s="44" t="s">
        <v>5073</v>
      </c>
      <c r="C1467" s="19" t="s">
        <v>3754</v>
      </c>
      <c r="D1467" s="27" t="s">
        <v>3754</v>
      </c>
      <c r="E1467" s="29" t="s">
        <v>962</v>
      </c>
      <c r="F1467" s="27" t="s">
        <v>963</v>
      </c>
      <c r="G1467" s="26">
        <v>5</v>
      </c>
      <c r="H1467" s="26">
        <v>4</v>
      </c>
      <c r="I1467" s="26">
        <v>17</v>
      </c>
      <c r="J1467" s="27" t="s">
        <v>964</v>
      </c>
      <c r="K1467" s="29" t="s">
        <v>4754</v>
      </c>
      <c r="L1467" s="96"/>
      <c r="M1467" s="68">
        <v>1</v>
      </c>
      <c r="N1467" s="68" t="s">
        <v>947</v>
      </c>
    </row>
    <row r="1468" spans="1:14" ht="28.5" x14ac:dyDescent="0.2">
      <c r="A1468" s="43" t="s">
        <v>4014</v>
      </c>
      <c r="B1468" s="44" t="s">
        <v>966</v>
      </c>
      <c r="C1468" s="45" t="s">
        <v>3768</v>
      </c>
      <c r="D1468" s="27" t="s">
        <v>3754</v>
      </c>
      <c r="E1468" s="29" t="s">
        <v>967</v>
      </c>
      <c r="F1468" s="27" t="s">
        <v>968</v>
      </c>
      <c r="G1468" s="26">
        <v>28</v>
      </c>
      <c r="H1468" s="26">
        <v>8</v>
      </c>
      <c r="I1468" s="26">
        <v>9</v>
      </c>
      <c r="J1468" s="27" t="s">
        <v>969</v>
      </c>
      <c r="K1468" s="29" t="s">
        <v>4754</v>
      </c>
      <c r="L1468" s="96"/>
      <c r="M1468" s="68">
        <v>1</v>
      </c>
      <c r="N1468" s="68" t="s">
        <v>947</v>
      </c>
    </row>
    <row r="1469" spans="1:14" ht="14.25" x14ac:dyDescent="0.2">
      <c r="A1469" s="11" t="s">
        <v>4014</v>
      </c>
      <c r="B1469" s="12" t="s">
        <v>3732</v>
      </c>
      <c r="C1469" s="10" t="s">
        <v>3754</v>
      </c>
      <c r="D1469" s="13" t="s">
        <v>3754</v>
      </c>
      <c r="E1469" s="29" t="s">
        <v>4296</v>
      </c>
      <c r="F1469" s="13" t="s">
        <v>4297</v>
      </c>
      <c r="G1469" s="13">
        <v>3</v>
      </c>
      <c r="H1469" s="13">
        <v>4</v>
      </c>
      <c r="I1469" s="13">
        <v>20</v>
      </c>
      <c r="J1469" s="29" t="s">
        <v>7319</v>
      </c>
      <c r="K1469" s="29" t="s">
        <v>4298</v>
      </c>
      <c r="L1469" s="29"/>
      <c r="M1469" s="68">
        <v>1</v>
      </c>
      <c r="N1469" s="68" t="s">
        <v>4286</v>
      </c>
    </row>
    <row r="1470" spans="1:14" ht="14.25" x14ac:dyDescent="0.2">
      <c r="A1470" s="14" t="s">
        <v>4014</v>
      </c>
      <c r="B1470" s="15" t="s">
        <v>3732</v>
      </c>
      <c r="C1470" s="19" t="s">
        <v>3757</v>
      </c>
      <c r="D1470" s="13"/>
      <c r="E1470" s="27" t="s">
        <v>4042</v>
      </c>
      <c r="F1470" s="16" t="s">
        <v>3754</v>
      </c>
      <c r="G1470" s="26">
        <v>32</v>
      </c>
      <c r="H1470" s="26"/>
      <c r="I1470" s="26"/>
      <c r="J1470" s="27" t="s">
        <v>2956</v>
      </c>
      <c r="K1470" s="27" t="s">
        <v>4043</v>
      </c>
      <c r="L1470" s="27"/>
      <c r="M1470" s="68">
        <v>1</v>
      </c>
      <c r="N1470" s="68" t="s">
        <v>4009</v>
      </c>
    </row>
    <row r="1471" spans="1:14" ht="14.25" x14ac:dyDescent="0.2">
      <c r="A1471" s="11" t="s">
        <v>4014</v>
      </c>
      <c r="B1471" s="12" t="s">
        <v>3732</v>
      </c>
      <c r="C1471" s="10" t="s">
        <v>3757</v>
      </c>
      <c r="D1471" s="13" t="s">
        <v>1464</v>
      </c>
      <c r="E1471" s="29" t="s">
        <v>8771</v>
      </c>
      <c r="F1471" s="13" t="s">
        <v>5771</v>
      </c>
      <c r="G1471" s="13">
        <v>35</v>
      </c>
      <c r="H1471" s="13"/>
      <c r="I1471" s="13"/>
      <c r="J1471" s="29" t="s">
        <v>1272</v>
      </c>
      <c r="K1471" s="29" t="s">
        <v>8609</v>
      </c>
      <c r="L1471" s="29"/>
      <c r="M1471" s="68">
        <v>1</v>
      </c>
      <c r="N1471" s="68" t="s">
        <v>4286</v>
      </c>
    </row>
    <row r="1472" spans="1:14" ht="14.25" x14ac:dyDescent="0.2">
      <c r="A1472" s="43" t="s">
        <v>4014</v>
      </c>
      <c r="B1472" s="44" t="s">
        <v>3723</v>
      </c>
      <c r="C1472" s="45" t="s">
        <v>3754</v>
      </c>
      <c r="D1472" s="27" t="s">
        <v>3754</v>
      </c>
      <c r="E1472" s="29" t="s">
        <v>3982</v>
      </c>
      <c r="F1472" s="27" t="s">
        <v>3983</v>
      </c>
      <c r="G1472" s="26">
        <v>11</v>
      </c>
      <c r="H1472" s="26">
        <v>29</v>
      </c>
      <c r="I1472" s="26"/>
      <c r="J1472" s="27" t="s">
        <v>4790</v>
      </c>
      <c r="K1472" s="29" t="s">
        <v>1283</v>
      </c>
      <c r="L1472" s="96"/>
      <c r="M1472" s="68">
        <v>1</v>
      </c>
      <c r="N1472" s="68" t="s">
        <v>947</v>
      </c>
    </row>
    <row r="1473" spans="1:14" ht="14.25" x14ac:dyDescent="0.2">
      <c r="A1473" s="14" t="s">
        <v>4014</v>
      </c>
      <c r="B1473" s="15" t="s">
        <v>7782</v>
      </c>
      <c r="C1473" s="19" t="s">
        <v>3761</v>
      </c>
      <c r="D1473" s="16" t="s">
        <v>6204</v>
      </c>
      <c r="E1473" s="27" t="s">
        <v>6205</v>
      </c>
      <c r="F1473" s="16" t="s">
        <v>3034</v>
      </c>
      <c r="G1473" s="26">
        <v>19</v>
      </c>
      <c r="H1473" s="26"/>
      <c r="I1473" s="26"/>
      <c r="J1473" s="27"/>
      <c r="K1473" s="27" t="s">
        <v>6206</v>
      </c>
      <c r="L1473" s="29"/>
      <c r="M1473" s="68">
        <v>1</v>
      </c>
      <c r="N1473" s="68" t="s">
        <v>2272</v>
      </c>
    </row>
    <row r="1474" spans="1:14" ht="14.25" x14ac:dyDescent="0.2">
      <c r="A1474" s="43" t="s">
        <v>4014</v>
      </c>
      <c r="B1474" s="44" t="s">
        <v>1445</v>
      </c>
      <c r="C1474" s="45" t="s">
        <v>4712</v>
      </c>
      <c r="D1474" s="27" t="s">
        <v>3754</v>
      </c>
      <c r="E1474" s="29" t="s">
        <v>4278</v>
      </c>
      <c r="F1474" s="27" t="s">
        <v>4279</v>
      </c>
      <c r="G1474" s="26">
        <v>48</v>
      </c>
      <c r="H1474" s="26"/>
      <c r="I1474" s="26"/>
      <c r="J1474" s="27" t="s">
        <v>1264</v>
      </c>
      <c r="K1474" s="29" t="s">
        <v>4280</v>
      </c>
      <c r="L1474" s="96"/>
      <c r="M1474" s="68">
        <v>1</v>
      </c>
      <c r="N1474" s="68" t="s">
        <v>947</v>
      </c>
    </row>
    <row r="1475" spans="1:14" ht="14.25" x14ac:dyDescent="0.2">
      <c r="A1475" s="43" t="s">
        <v>4014</v>
      </c>
      <c r="B1475" s="44" t="s">
        <v>970</v>
      </c>
      <c r="C1475" s="45" t="s">
        <v>3754</v>
      </c>
      <c r="D1475" s="27" t="s">
        <v>3754</v>
      </c>
      <c r="E1475" s="29" t="s">
        <v>971</v>
      </c>
      <c r="F1475" s="27" t="s">
        <v>972</v>
      </c>
      <c r="G1475" s="26">
        <v>2</v>
      </c>
      <c r="H1475" s="26">
        <v>11</v>
      </c>
      <c r="I1475" s="26">
        <v>28</v>
      </c>
      <c r="J1475" s="27" t="s">
        <v>4734</v>
      </c>
      <c r="K1475" s="29" t="s">
        <v>4754</v>
      </c>
      <c r="L1475" s="96"/>
      <c r="M1475" s="68">
        <v>1</v>
      </c>
      <c r="N1475" s="68" t="s">
        <v>947</v>
      </c>
    </row>
    <row r="1476" spans="1:14" ht="14.25" x14ac:dyDescent="0.2">
      <c r="A1476" s="14" t="s">
        <v>4049</v>
      </c>
      <c r="B1476" s="15" t="s">
        <v>4703</v>
      </c>
      <c r="C1476" s="19" t="s">
        <v>3754</v>
      </c>
      <c r="D1476" s="13" t="s">
        <v>3754</v>
      </c>
      <c r="E1476" s="27" t="s">
        <v>931</v>
      </c>
      <c r="F1476" s="16" t="s">
        <v>932</v>
      </c>
      <c r="G1476" s="26">
        <v>1</v>
      </c>
      <c r="H1476" s="26">
        <v>10</v>
      </c>
      <c r="I1476" s="26">
        <v>23</v>
      </c>
      <c r="J1476" s="27" t="s">
        <v>4579</v>
      </c>
      <c r="K1476" s="27" t="s">
        <v>933</v>
      </c>
      <c r="L1476" s="27"/>
      <c r="M1476" s="68">
        <v>1</v>
      </c>
      <c r="N1476" s="68" t="s">
        <v>4009</v>
      </c>
    </row>
    <row r="1477" spans="1:14" ht="14.25" x14ac:dyDescent="0.2">
      <c r="A1477" s="14" t="s">
        <v>4049</v>
      </c>
      <c r="B1477" s="15" t="s">
        <v>4703</v>
      </c>
      <c r="C1477" s="19" t="s">
        <v>3754</v>
      </c>
      <c r="D1477" s="13" t="s">
        <v>3754</v>
      </c>
      <c r="E1477" s="27" t="s">
        <v>931</v>
      </c>
      <c r="F1477" s="16" t="s">
        <v>934</v>
      </c>
      <c r="G1477" s="26">
        <v>1</v>
      </c>
      <c r="H1477" s="26">
        <v>10</v>
      </c>
      <c r="I1477" s="26">
        <v>23</v>
      </c>
      <c r="J1477" s="27" t="s">
        <v>4579</v>
      </c>
      <c r="K1477" s="27" t="s">
        <v>935</v>
      </c>
      <c r="L1477" s="27"/>
      <c r="M1477" s="68">
        <v>1</v>
      </c>
      <c r="N1477" s="68" t="s">
        <v>4009</v>
      </c>
    </row>
    <row r="1478" spans="1:14" ht="14.25" x14ac:dyDescent="0.2">
      <c r="A1478" s="14" t="s">
        <v>4049</v>
      </c>
      <c r="B1478" s="15" t="s">
        <v>4050</v>
      </c>
      <c r="C1478" s="19" t="s">
        <v>3754</v>
      </c>
      <c r="D1478" s="13" t="s">
        <v>2870</v>
      </c>
      <c r="E1478" s="27" t="s">
        <v>8537</v>
      </c>
      <c r="F1478" s="16" t="s">
        <v>4051</v>
      </c>
      <c r="G1478" s="26">
        <v>3</v>
      </c>
      <c r="H1478" s="26"/>
      <c r="I1478" s="26">
        <v>19</v>
      </c>
      <c r="J1478" s="27" t="s">
        <v>4052</v>
      </c>
      <c r="K1478" s="27" t="s">
        <v>8537</v>
      </c>
      <c r="L1478" s="27"/>
      <c r="M1478" s="68">
        <v>1</v>
      </c>
      <c r="N1478" s="68" t="s">
        <v>4009</v>
      </c>
    </row>
    <row r="1479" spans="1:14" ht="14.25" x14ac:dyDescent="0.2">
      <c r="A1479" s="14" t="s">
        <v>4049</v>
      </c>
      <c r="B1479" s="15" t="s">
        <v>8813</v>
      </c>
      <c r="C1479" s="19" t="s">
        <v>3754</v>
      </c>
      <c r="D1479" s="13" t="s">
        <v>3759</v>
      </c>
      <c r="E1479" s="72"/>
      <c r="F1479" s="16" t="s">
        <v>3754</v>
      </c>
      <c r="G1479" s="26">
        <v>1</v>
      </c>
      <c r="H1479" s="26">
        <v>7</v>
      </c>
      <c r="I1479" s="26"/>
      <c r="J1479" s="27" t="s">
        <v>4052</v>
      </c>
      <c r="K1479" s="29" t="s">
        <v>4061</v>
      </c>
      <c r="L1479" s="27"/>
      <c r="M1479" s="68">
        <v>1</v>
      </c>
      <c r="N1479" s="68" t="s">
        <v>4009</v>
      </c>
    </row>
    <row r="1480" spans="1:14" ht="14.25" x14ac:dyDescent="0.2">
      <c r="A1480" s="11" t="s">
        <v>2258</v>
      </c>
      <c r="B1480" s="12" t="s">
        <v>1809</v>
      </c>
      <c r="C1480" s="10" t="s">
        <v>3754</v>
      </c>
      <c r="D1480" s="13" t="s">
        <v>3754</v>
      </c>
      <c r="E1480" s="29" t="s">
        <v>2259</v>
      </c>
      <c r="F1480" s="13" t="s">
        <v>2260</v>
      </c>
      <c r="G1480" s="13">
        <v>19</v>
      </c>
      <c r="H1480" s="13">
        <v>4</v>
      </c>
      <c r="I1480" s="13"/>
      <c r="J1480" s="29" t="s">
        <v>1264</v>
      </c>
      <c r="K1480" s="29" t="s">
        <v>1464</v>
      </c>
      <c r="L1480" s="29"/>
      <c r="M1480" s="68">
        <v>1</v>
      </c>
      <c r="N1480" s="68" t="s">
        <v>2154</v>
      </c>
    </row>
    <row r="1481" spans="1:14" ht="14.25" x14ac:dyDescent="0.2">
      <c r="A1481" s="14" t="s">
        <v>2554</v>
      </c>
      <c r="B1481" s="15" t="s">
        <v>8813</v>
      </c>
      <c r="C1481" s="19" t="s">
        <v>3761</v>
      </c>
      <c r="D1481" s="13" t="s">
        <v>3754</v>
      </c>
      <c r="E1481" s="27" t="s">
        <v>2555</v>
      </c>
      <c r="F1481" s="16" t="s">
        <v>2556</v>
      </c>
      <c r="G1481" s="26"/>
      <c r="H1481" s="26">
        <v>6</v>
      </c>
      <c r="I1481" s="26"/>
      <c r="J1481" s="27" t="s">
        <v>4829</v>
      </c>
      <c r="K1481" s="27" t="s">
        <v>5444</v>
      </c>
      <c r="L1481" s="29"/>
      <c r="M1481" s="68">
        <v>1</v>
      </c>
      <c r="N1481" s="68" t="s">
        <v>2272</v>
      </c>
    </row>
    <row r="1482" spans="1:14" ht="14.25" x14ac:dyDescent="0.2">
      <c r="A1482" s="14" t="s">
        <v>4248</v>
      </c>
      <c r="B1482" s="15" t="s">
        <v>7158</v>
      </c>
      <c r="C1482" s="19" t="s">
        <v>3761</v>
      </c>
      <c r="D1482" s="13" t="s">
        <v>3754</v>
      </c>
      <c r="E1482" s="27" t="s">
        <v>1310</v>
      </c>
      <c r="F1482" s="16" t="s">
        <v>2601</v>
      </c>
      <c r="G1482" s="26">
        <v>46</v>
      </c>
      <c r="H1482" s="26"/>
      <c r="I1482" s="26"/>
      <c r="J1482" s="27" t="s">
        <v>1507</v>
      </c>
      <c r="K1482" s="27" t="s">
        <v>2602</v>
      </c>
      <c r="L1482" s="29"/>
      <c r="M1482" s="68">
        <v>1</v>
      </c>
      <c r="N1482" s="68" t="s">
        <v>2560</v>
      </c>
    </row>
    <row r="1483" spans="1:14" ht="14.25" x14ac:dyDescent="0.2">
      <c r="A1483" s="14" t="s">
        <v>4248</v>
      </c>
      <c r="B1483" s="15" t="s">
        <v>4872</v>
      </c>
      <c r="C1483" s="19" t="s">
        <v>3768</v>
      </c>
      <c r="D1483" s="16" t="s">
        <v>3768</v>
      </c>
      <c r="E1483" s="27" t="s">
        <v>6197</v>
      </c>
      <c r="F1483" s="16" t="s">
        <v>6202</v>
      </c>
      <c r="G1483" s="26"/>
      <c r="H1483" s="26">
        <v>11</v>
      </c>
      <c r="I1483" s="26"/>
      <c r="J1483" s="27" t="s">
        <v>1412</v>
      </c>
      <c r="K1483" s="27" t="s">
        <v>6203</v>
      </c>
      <c r="L1483" s="29"/>
      <c r="M1483" s="68">
        <v>1</v>
      </c>
      <c r="N1483" s="68" t="s">
        <v>2272</v>
      </c>
    </row>
    <row r="1484" spans="1:14" ht="14.25" x14ac:dyDescent="0.2">
      <c r="A1484" s="43" t="s">
        <v>4248</v>
      </c>
      <c r="B1484" s="44" t="s">
        <v>3740</v>
      </c>
      <c r="C1484" s="45" t="s">
        <v>4717</v>
      </c>
      <c r="D1484" s="27" t="s">
        <v>4249</v>
      </c>
      <c r="E1484" s="29" t="s">
        <v>5637</v>
      </c>
      <c r="F1484" s="27" t="s">
        <v>4250</v>
      </c>
      <c r="G1484" s="26">
        <v>4</v>
      </c>
      <c r="H1484" s="26">
        <v>9</v>
      </c>
      <c r="I1484" s="26">
        <v>10</v>
      </c>
      <c r="J1484" s="27" t="s">
        <v>1259</v>
      </c>
      <c r="K1484" s="29" t="s">
        <v>4251</v>
      </c>
      <c r="L1484" s="96"/>
      <c r="M1484" s="68">
        <v>1</v>
      </c>
      <c r="N1484" s="68" t="s">
        <v>947</v>
      </c>
    </row>
    <row r="1485" spans="1:14" ht="14.25" x14ac:dyDescent="0.2">
      <c r="A1485" s="11" t="s">
        <v>1164</v>
      </c>
      <c r="B1485" s="12" t="s">
        <v>4908</v>
      </c>
      <c r="C1485" s="10" t="s">
        <v>3757</v>
      </c>
      <c r="D1485" s="13" t="s">
        <v>735</v>
      </c>
      <c r="E1485" s="29" t="s">
        <v>6541</v>
      </c>
      <c r="F1485" s="13" t="s">
        <v>1165</v>
      </c>
      <c r="G1485" s="26">
        <v>50</v>
      </c>
      <c r="H1485" s="26"/>
      <c r="I1485" s="26"/>
      <c r="J1485" s="29" t="s">
        <v>1259</v>
      </c>
      <c r="K1485" s="29" t="s">
        <v>1011</v>
      </c>
      <c r="L1485" s="29"/>
      <c r="M1485" s="68">
        <v>1</v>
      </c>
      <c r="N1485" s="68" t="s">
        <v>1166</v>
      </c>
    </row>
    <row r="1486" spans="1:14" ht="28.5" x14ac:dyDescent="0.2">
      <c r="A1486" s="11" t="s">
        <v>6715</v>
      </c>
      <c r="B1486" s="12" t="s">
        <v>6714</v>
      </c>
      <c r="C1486" s="10" t="s">
        <v>1509</v>
      </c>
      <c r="D1486" s="13" t="s">
        <v>3761</v>
      </c>
      <c r="E1486" s="29" t="s">
        <v>7553</v>
      </c>
      <c r="F1486" s="13" t="s">
        <v>3761</v>
      </c>
      <c r="G1486" s="13">
        <v>52</v>
      </c>
      <c r="H1486" s="13"/>
      <c r="I1486" s="13"/>
      <c r="J1486" s="29" t="s">
        <v>1264</v>
      </c>
      <c r="K1486" s="29" t="s">
        <v>1962</v>
      </c>
      <c r="L1486" s="29" t="s">
        <v>6700</v>
      </c>
      <c r="M1486" s="68">
        <v>1</v>
      </c>
      <c r="N1486" s="68" t="s">
        <v>5632</v>
      </c>
    </row>
    <row r="1487" spans="1:14" ht="14.25" x14ac:dyDescent="0.2">
      <c r="A1487" s="14" t="s">
        <v>4685</v>
      </c>
      <c r="B1487" s="15" t="s">
        <v>3740</v>
      </c>
      <c r="C1487" s="19" t="s">
        <v>3754</v>
      </c>
      <c r="D1487" s="16" t="s">
        <v>3754</v>
      </c>
      <c r="E1487" s="27" t="s">
        <v>5599</v>
      </c>
      <c r="F1487" s="16" t="s">
        <v>5600</v>
      </c>
      <c r="G1487" s="26">
        <v>19</v>
      </c>
      <c r="H1487" s="26">
        <v>3</v>
      </c>
      <c r="I1487" s="26"/>
      <c r="J1487" s="27" t="s">
        <v>1264</v>
      </c>
      <c r="K1487" s="27" t="s">
        <v>5624</v>
      </c>
      <c r="L1487" s="27"/>
      <c r="M1487" s="68">
        <v>1</v>
      </c>
      <c r="N1487" s="68" t="s">
        <v>1167</v>
      </c>
    </row>
    <row r="1488" spans="1:14" ht="14.25" x14ac:dyDescent="0.2">
      <c r="A1488" s="11" t="s">
        <v>1968</v>
      </c>
      <c r="B1488" s="12" t="s">
        <v>1969</v>
      </c>
      <c r="C1488" s="21" t="s">
        <v>1509</v>
      </c>
      <c r="D1488" s="13" t="s">
        <v>3761</v>
      </c>
      <c r="E1488" s="29" t="s">
        <v>1970</v>
      </c>
      <c r="F1488" s="13" t="s">
        <v>1971</v>
      </c>
      <c r="G1488" s="13">
        <v>53</v>
      </c>
      <c r="H1488" s="13"/>
      <c r="I1488" s="13"/>
      <c r="J1488" s="29" t="s">
        <v>1264</v>
      </c>
      <c r="K1488" s="29" t="s">
        <v>6897</v>
      </c>
      <c r="L1488" s="61"/>
      <c r="M1488" s="68">
        <v>1</v>
      </c>
      <c r="N1488" s="68" t="s">
        <v>5632</v>
      </c>
    </row>
    <row r="1489" spans="1:14" ht="14.25" x14ac:dyDescent="0.2">
      <c r="A1489" s="17" t="s">
        <v>5615</v>
      </c>
      <c r="B1489" s="18" t="s">
        <v>4871</v>
      </c>
      <c r="C1489" s="20" t="s">
        <v>3757</v>
      </c>
      <c r="D1489" s="19" t="s">
        <v>3754</v>
      </c>
      <c r="E1489" s="45" t="s">
        <v>1145</v>
      </c>
      <c r="F1489" s="19" t="s">
        <v>5616</v>
      </c>
      <c r="G1489" s="8">
        <v>49</v>
      </c>
      <c r="H1489" s="8"/>
      <c r="I1489" s="8"/>
      <c r="J1489" s="45" t="s">
        <v>5631</v>
      </c>
      <c r="K1489" s="45" t="s">
        <v>1515</v>
      </c>
      <c r="L1489" s="46"/>
      <c r="M1489" s="68">
        <v>1</v>
      </c>
      <c r="N1489" s="68" t="s">
        <v>1167</v>
      </c>
    </row>
    <row r="1490" spans="1:14" ht="14.25" x14ac:dyDescent="0.2">
      <c r="A1490" s="17" t="s">
        <v>5612</v>
      </c>
      <c r="B1490" s="18" t="s">
        <v>4870</v>
      </c>
      <c r="C1490" s="19" t="s">
        <v>4712</v>
      </c>
      <c r="D1490" s="19" t="s">
        <v>3754</v>
      </c>
      <c r="E1490" s="45" t="s">
        <v>5613</v>
      </c>
      <c r="F1490" s="19" t="s">
        <v>5614</v>
      </c>
      <c r="G1490" s="8">
        <v>72</v>
      </c>
      <c r="H1490" s="8"/>
      <c r="I1490" s="8"/>
      <c r="J1490" s="45" t="s">
        <v>5945</v>
      </c>
      <c r="K1490" s="45" t="s">
        <v>5630</v>
      </c>
      <c r="L1490" s="46"/>
      <c r="M1490" s="68">
        <v>1</v>
      </c>
      <c r="N1490" s="68" t="s">
        <v>1167</v>
      </c>
    </row>
    <row r="1491" spans="1:14" ht="28.5" x14ac:dyDescent="0.2">
      <c r="A1491" s="14" t="s">
        <v>5579</v>
      </c>
      <c r="B1491" s="15" t="s">
        <v>4869</v>
      </c>
      <c r="C1491" s="19" t="s">
        <v>5675</v>
      </c>
      <c r="D1491" s="16" t="s">
        <v>5580</v>
      </c>
      <c r="E1491" s="27" t="s">
        <v>5581</v>
      </c>
      <c r="F1491" s="16" t="s">
        <v>5675</v>
      </c>
      <c r="G1491" s="8">
        <v>15</v>
      </c>
      <c r="H1491" s="8">
        <v>6</v>
      </c>
      <c r="I1491" s="8"/>
      <c r="J1491" s="27" t="s">
        <v>5618</v>
      </c>
      <c r="K1491" s="27" t="s">
        <v>1431</v>
      </c>
      <c r="L1491" s="27"/>
      <c r="M1491" s="68">
        <v>1</v>
      </c>
      <c r="N1491" s="68" t="s">
        <v>1167</v>
      </c>
    </row>
    <row r="1492" spans="1:14" ht="14.25" x14ac:dyDescent="0.2">
      <c r="A1492" s="14" t="s">
        <v>5579</v>
      </c>
      <c r="B1492" s="15" t="s">
        <v>8616</v>
      </c>
      <c r="C1492" s="19" t="s">
        <v>3757</v>
      </c>
      <c r="D1492" s="16" t="s">
        <v>5675</v>
      </c>
      <c r="E1492" s="27"/>
      <c r="F1492" s="16" t="s">
        <v>5675</v>
      </c>
      <c r="G1492" s="8">
        <v>21</v>
      </c>
      <c r="H1492" s="8"/>
      <c r="I1492" s="8"/>
      <c r="J1492" s="27" t="s">
        <v>4751</v>
      </c>
      <c r="K1492" s="27" t="s">
        <v>1431</v>
      </c>
      <c r="L1492" s="27"/>
      <c r="M1492" s="68">
        <v>1</v>
      </c>
      <c r="N1492" s="68" t="s">
        <v>1167</v>
      </c>
    </row>
    <row r="1493" spans="1:14" ht="14.25" x14ac:dyDescent="0.2">
      <c r="A1493" s="14" t="s">
        <v>5576</v>
      </c>
      <c r="B1493" s="15" t="s">
        <v>3728</v>
      </c>
      <c r="C1493" s="19" t="s">
        <v>3757</v>
      </c>
      <c r="D1493" s="16" t="s">
        <v>3754</v>
      </c>
      <c r="E1493" s="27" t="s">
        <v>5577</v>
      </c>
      <c r="F1493" s="16" t="s">
        <v>5578</v>
      </c>
      <c r="G1493" s="8">
        <v>46</v>
      </c>
      <c r="H1493" s="8"/>
      <c r="I1493" s="8"/>
      <c r="J1493" s="27" t="s">
        <v>5617</v>
      </c>
      <c r="K1493" s="27" t="s">
        <v>3038</v>
      </c>
      <c r="L1493" s="27"/>
      <c r="M1493" s="68">
        <v>1</v>
      </c>
      <c r="N1493" s="68" t="s">
        <v>1167</v>
      </c>
    </row>
    <row r="1494" spans="1:14" ht="14.25" x14ac:dyDescent="0.2">
      <c r="A1494" s="14" t="s">
        <v>5576</v>
      </c>
      <c r="B1494" s="15" t="s">
        <v>4868</v>
      </c>
      <c r="C1494" s="19" t="s">
        <v>3754</v>
      </c>
      <c r="D1494" s="16" t="s">
        <v>3754</v>
      </c>
      <c r="E1494" s="27" t="s">
        <v>3814</v>
      </c>
      <c r="F1494" s="16" t="s">
        <v>5594</v>
      </c>
      <c r="G1494" s="8"/>
      <c r="H1494" s="8">
        <v>2</v>
      </c>
      <c r="I1494" s="8"/>
      <c r="J1494" s="27" t="s">
        <v>4790</v>
      </c>
      <c r="K1494" s="27" t="s">
        <v>3814</v>
      </c>
      <c r="L1494" s="27"/>
      <c r="M1494" s="68">
        <v>1</v>
      </c>
      <c r="N1494" s="68" t="s">
        <v>1167</v>
      </c>
    </row>
    <row r="1495" spans="1:14" ht="14.25" x14ac:dyDescent="0.2">
      <c r="A1495" s="14" t="s">
        <v>5576</v>
      </c>
      <c r="B1495" s="15" t="s">
        <v>1685</v>
      </c>
      <c r="C1495" s="19" t="s">
        <v>3757</v>
      </c>
      <c r="D1495" s="16" t="s">
        <v>3754</v>
      </c>
      <c r="E1495" s="27" t="s">
        <v>2905</v>
      </c>
      <c r="F1495" s="16" t="s">
        <v>5598</v>
      </c>
      <c r="G1495" s="8">
        <v>68</v>
      </c>
      <c r="H1495" s="8"/>
      <c r="I1495" s="8"/>
      <c r="J1495" s="27" t="s">
        <v>1277</v>
      </c>
      <c r="K1495" s="27" t="s">
        <v>2907</v>
      </c>
      <c r="L1495" s="27"/>
      <c r="M1495" s="68">
        <v>1</v>
      </c>
      <c r="N1495" s="68" t="s">
        <v>1167</v>
      </c>
    </row>
    <row r="1496" spans="1:14" ht="14.25" x14ac:dyDescent="0.2">
      <c r="A1496" s="14" t="s">
        <v>5576</v>
      </c>
      <c r="B1496" s="15" t="s">
        <v>4867</v>
      </c>
      <c r="C1496" s="19" t="s">
        <v>3754</v>
      </c>
      <c r="D1496" s="16" t="s">
        <v>3754</v>
      </c>
      <c r="E1496" s="27" t="s">
        <v>5591</v>
      </c>
      <c r="F1496" s="16" t="s">
        <v>5592</v>
      </c>
      <c r="G1496" s="8">
        <v>29</v>
      </c>
      <c r="H1496" s="8"/>
      <c r="I1496" s="8"/>
      <c r="J1496" s="27" t="s">
        <v>1264</v>
      </c>
      <c r="K1496" s="27" t="s">
        <v>5623</v>
      </c>
      <c r="L1496" s="27"/>
      <c r="M1496" s="68">
        <v>1</v>
      </c>
      <c r="N1496" s="68" t="s">
        <v>1167</v>
      </c>
    </row>
    <row r="1497" spans="1:14" ht="14.25" x14ac:dyDescent="0.2">
      <c r="A1497" s="14" t="s">
        <v>5576</v>
      </c>
      <c r="B1497" s="15" t="s">
        <v>4866</v>
      </c>
      <c r="C1497" s="19" t="s">
        <v>3761</v>
      </c>
      <c r="D1497" s="16" t="s">
        <v>3754</v>
      </c>
      <c r="E1497" s="27" t="s">
        <v>5586</v>
      </c>
      <c r="F1497" s="16" t="s">
        <v>3761</v>
      </c>
      <c r="G1497" s="8"/>
      <c r="H1497" s="8"/>
      <c r="I1497" s="8"/>
      <c r="J1497" s="27"/>
      <c r="K1497" s="27" t="s">
        <v>5586</v>
      </c>
      <c r="L1497" s="27"/>
      <c r="M1497" s="68">
        <v>1</v>
      </c>
      <c r="N1497" s="68" t="s">
        <v>1167</v>
      </c>
    </row>
    <row r="1498" spans="1:14" ht="14.25" x14ac:dyDescent="0.2">
      <c r="A1498" s="14" t="s">
        <v>5576</v>
      </c>
      <c r="B1498" s="15" t="s">
        <v>5473</v>
      </c>
      <c r="C1498" s="19" t="s">
        <v>3754</v>
      </c>
      <c r="D1498" s="16" t="s">
        <v>7175</v>
      </c>
      <c r="E1498" s="27" t="s">
        <v>8593</v>
      </c>
      <c r="F1498" s="16" t="s">
        <v>3761</v>
      </c>
      <c r="G1498" s="8">
        <v>25</v>
      </c>
      <c r="H1498" s="8"/>
      <c r="I1498" s="8"/>
      <c r="J1498" s="27" t="s">
        <v>1270</v>
      </c>
      <c r="K1498" s="27" t="s">
        <v>3038</v>
      </c>
      <c r="L1498" s="27"/>
      <c r="M1498" s="68">
        <v>1</v>
      </c>
      <c r="N1498" s="68" t="s">
        <v>1167</v>
      </c>
    </row>
    <row r="1499" spans="1:14" ht="14.25" x14ac:dyDescent="0.2">
      <c r="A1499" s="14" t="s">
        <v>5582</v>
      </c>
      <c r="B1499" s="15" t="s">
        <v>3734</v>
      </c>
      <c r="C1499" s="19" t="s">
        <v>3757</v>
      </c>
      <c r="D1499" s="16" t="s">
        <v>3754</v>
      </c>
      <c r="E1499" s="27" t="s">
        <v>5607</v>
      </c>
      <c r="F1499" s="16" t="s">
        <v>5608</v>
      </c>
      <c r="G1499" s="8">
        <v>60</v>
      </c>
      <c r="H1499" s="8"/>
      <c r="I1499" s="8"/>
      <c r="J1499" s="27" t="s">
        <v>1271</v>
      </c>
      <c r="K1499" s="27" t="s">
        <v>5628</v>
      </c>
      <c r="L1499" s="27"/>
      <c r="M1499" s="68">
        <v>1</v>
      </c>
      <c r="N1499" s="68" t="s">
        <v>1167</v>
      </c>
    </row>
    <row r="1500" spans="1:14" ht="14.25" x14ac:dyDescent="0.2">
      <c r="A1500" s="11" t="s">
        <v>5582</v>
      </c>
      <c r="B1500" s="12" t="s">
        <v>3728</v>
      </c>
      <c r="C1500" s="10" t="s">
        <v>3754</v>
      </c>
      <c r="D1500" s="13" t="s">
        <v>3761</v>
      </c>
      <c r="E1500" s="29" t="s">
        <v>1963</v>
      </c>
      <c r="F1500" s="13" t="s">
        <v>1964</v>
      </c>
      <c r="G1500" s="21" t="s">
        <v>1464</v>
      </c>
      <c r="H1500" s="21"/>
      <c r="I1500" s="21">
        <v>14</v>
      </c>
      <c r="J1500" s="29" t="s">
        <v>1572</v>
      </c>
      <c r="K1500" s="29" t="s">
        <v>4280</v>
      </c>
      <c r="L1500" s="29"/>
      <c r="M1500" s="68">
        <v>1</v>
      </c>
      <c r="N1500" s="68" t="s">
        <v>5632</v>
      </c>
    </row>
    <row r="1501" spans="1:14" ht="14.25" x14ac:dyDescent="0.2">
      <c r="A1501" s="14" t="s">
        <v>5582</v>
      </c>
      <c r="B1501" s="15" t="s">
        <v>8612</v>
      </c>
      <c r="C1501" s="19" t="s">
        <v>3754</v>
      </c>
      <c r="D1501" s="16" t="s">
        <v>3754</v>
      </c>
      <c r="E1501" s="27" t="s">
        <v>5709</v>
      </c>
      <c r="F1501" s="16" t="s">
        <v>5583</v>
      </c>
      <c r="G1501" s="8">
        <v>29</v>
      </c>
      <c r="H1501" s="8"/>
      <c r="I1501" s="8"/>
      <c r="J1501" s="27" t="s">
        <v>1264</v>
      </c>
      <c r="K1501" s="27" t="s">
        <v>5619</v>
      </c>
      <c r="L1501" s="27"/>
      <c r="M1501" s="68">
        <v>1</v>
      </c>
      <c r="N1501" s="68" t="s">
        <v>1167</v>
      </c>
    </row>
    <row r="1502" spans="1:14" ht="14.25" x14ac:dyDescent="0.2">
      <c r="A1502" s="14" t="s">
        <v>5609</v>
      </c>
      <c r="B1502" s="15" t="s">
        <v>4685</v>
      </c>
      <c r="C1502" s="19" t="s">
        <v>3754</v>
      </c>
      <c r="D1502" s="16" t="s">
        <v>3754</v>
      </c>
      <c r="E1502" s="27" t="s">
        <v>5610</v>
      </c>
      <c r="F1502" s="16" t="s">
        <v>5611</v>
      </c>
      <c r="G1502" s="8"/>
      <c r="H1502" s="8"/>
      <c r="I1502" s="8">
        <v>7</v>
      </c>
      <c r="J1502" s="27" t="s">
        <v>1412</v>
      </c>
      <c r="K1502" s="27" t="s">
        <v>5629</v>
      </c>
      <c r="L1502" s="27"/>
      <c r="M1502" s="68">
        <v>1</v>
      </c>
      <c r="N1502" s="68" t="s">
        <v>1167</v>
      </c>
    </row>
    <row r="1503" spans="1:14" ht="14.25" x14ac:dyDescent="0.2">
      <c r="A1503" s="14" t="s">
        <v>5587</v>
      </c>
      <c r="B1503" s="15" t="s">
        <v>3732</v>
      </c>
      <c r="C1503" s="19" t="s">
        <v>3754</v>
      </c>
      <c r="D1503" s="16" t="s">
        <v>3754</v>
      </c>
      <c r="E1503" s="27" t="s">
        <v>3834</v>
      </c>
      <c r="F1503" s="16" t="s">
        <v>5588</v>
      </c>
      <c r="G1503" s="8">
        <v>22</v>
      </c>
      <c r="H1503" s="8"/>
      <c r="I1503" s="8"/>
      <c r="J1503" s="27" t="s">
        <v>1264</v>
      </c>
      <c r="K1503" s="27" t="s">
        <v>5621</v>
      </c>
      <c r="L1503" s="27"/>
      <c r="M1503" s="68">
        <v>1</v>
      </c>
      <c r="N1503" s="68" t="s">
        <v>1167</v>
      </c>
    </row>
    <row r="1504" spans="1:14" ht="14.25" x14ac:dyDescent="0.2">
      <c r="A1504" s="14" t="s">
        <v>5603</v>
      </c>
      <c r="B1504" s="15" t="s">
        <v>3723</v>
      </c>
      <c r="C1504" s="19" t="s">
        <v>3754</v>
      </c>
      <c r="D1504" s="16" t="s">
        <v>3754</v>
      </c>
      <c r="E1504" s="27" t="s">
        <v>5604</v>
      </c>
      <c r="F1504" s="16" t="s">
        <v>5605</v>
      </c>
      <c r="G1504" s="8">
        <v>26</v>
      </c>
      <c r="H1504" s="8"/>
      <c r="I1504" s="8"/>
      <c r="J1504" s="27" t="s">
        <v>1264</v>
      </c>
      <c r="K1504" s="27" t="s">
        <v>5626</v>
      </c>
      <c r="L1504" s="27"/>
      <c r="M1504" s="68">
        <v>1</v>
      </c>
      <c r="N1504" s="68" t="s">
        <v>1167</v>
      </c>
    </row>
    <row r="1505" spans="1:14" ht="14.25" x14ac:dyDescent="0.2">
      <c r="A1505" s="14" t="s">
        <v>5584</v>
      </c>
      <c r="B1505" s="15" t="s">
        <v>3734</v>
      </c>
      <c r="C1505" s="19" t="s">
        <v>3757</v>
      </c>
      <c r="D1505" s="16" t="s">
        <v>3754</v>
      </c>
      <c r="E1505" s="27"/>
      <c r="F1505" s="16" t="s">
        <v>5585</v>
      </c>
      <c r="G1505" s="8">
        <v>79</v>
      </c>
      <c r="H1505" s="8"/>
      <c r="I1505" s="8"/>
      <c r="J1505" s="27" t="s">
        <v>1271</v>
      </c>
      <c r="K1505" s="27" t="s">
        <v>5620</v>
      </c>
      <c r="L1505" s="27"/>
      <c r="M1505" s="68">
        <v>1</v>
      </c>
      <c r="N1505" s="68" t="s">
        <v>1167</v>
      </c>
    </row>
    <row r="1506" spans="1:14" ht="14.25" x14ac:dyDescent="0.2">
      <c r="A1506" s="14" t="s">
        <v>5584</v>
      </c>
      <c r="B1506" s="15" t="s">
        <v>1775</v>
      </c>
      <c r="C1506" s="19" t="s">
        <v>3757</v>
      </c>
      <c r="D1506" s="16" t="s">
        <v>3754</v>
      </c>
      <c r="E1506" s="27" t="s">
        <v>5606</v>
      </c>
      <c r="F1506" s="16" t="s">
        <v>5590</v>
      </c>
      <c r="G1506" s="8">
        <v>58</v>
      </c>
      <c r="H1506" s="8"/>
      <c r="I1506" s="8"/>
      <c r="J1506" s="27" t="s">
        <v>1928</v>
      </c>
      <c r="K1506" s="27" t="s">
        <v>5627</v>
      </c>
      <c r="L1506" s="27"/>
      <c r="M1506" s="68">
        <v>1</v>
      </c>
      <c r="N1506" s="68" t="s">
        <v>1167</v>
      </c>
    </row>
    <row r="1507" spans="1:14" ht="14.25" x14ac:dyDescent="0.2">
      <c r="A1507" s="14" t="s">
        <v>5584</v>
      </c>
      <c r="B1507" s="15" t="s">
        <v>4881</v>
      </c>
      <c r="C1507" s="19" t="s">
        <v>3754</v>
      </c>
      <c r="D1507" s="16" t="s">
        <v>3754</v>
      </c>
      <c r="E1507" s="27" t="s">
        <v>5597</v>
      </c>
      <c r="F1507" s="16" t="s">
        <v>5590</v>
      </c>
      <c r="G1507" s="8">
        <v>25</v>
      </c>
      <c r="H1507" s="8">
        <v>7</v>
      </c>
      <c r="I1507" s="8"/>
      <c r="J1507" s="27" t="s">
        <v>1259</v>
      </c>
      <c r="K1507" s="27" t="s">
        <v>6226</v>
      </c>
      <c r="L1507" s="27"/>
      <c r="M1507" s="68">
        <v>1</v>
      </c>
      <c r="N1507" s="68" t="s">
        <v>1167</v>
      </c>
    </row>
    <row r="1508" spans="1:14" ht="14.25" x14ac:dyDescent="0.2">
      <c r="A1508" s="11" t="s">
        <v>5584</v>
      </c>
      <c r="B1508" s="12" t="s">
        <v>1965</v>
      </c>
      <c r="C1508" s="10" t="s">
        <v>3754</v>
      </c>
      <c r="D1508" s="13" t="s">
        <v>3761</v>
      </c>
      <c r="E1508" s="29" t="s">
        <v>1966</v>
      </c>
      <c r="F1508" s="13" t="s">
        <v>1967</v>
      </c>
      <c r="G1508" s="21"/>
      <c r="H1508" s="21">
        <v>9</v>
      </c>
      <c r="I1508" s="21"/>
      <c r="J1508" s="29" t="s">
        <v>4748</v>
      </c>
      <c r="K1508" s="29" t="s">
        <v>4993</v>
      </c>
      <c r="L1508" s="29"/>
      <c r="M1508" s="68">
        <v>1</v>
      </c>
      <c r="N1508" s="68" t="s">
        <v>5632</v>
      </c>
    </row>
    <row r="1509" spans="1:14" ht="14.25" x14ac:dyDescent="0.2">
      <c r="A1509" s="14" t="s">
        <v>5584</v>
      </c>
      <c r="B1509" s="15" t="s">
        <v>4935</v>
      </c>
      <c r="C1509" s="19" t="s">
        <v>3754</v>
      </c>
      <c r="D1509" s="16" t="s">
        <v>3754</v>
      </c>
      <c r="E1509" s="27" t="s">
        <v>5596</v>
      </c>
      <c r="F1509" s="16" t="s">
        <v>5590</v>
      </c>
      <c r="G1509" s="8">
        <v>23</v>
      </c>
      <c r="H1509" s="8">
        <v>7</v>
      </c>
      <c r="I1509" s="8"/>
      <c r="J1509" s="27" t="s">
        <v>5076</v>
      </c>
      <c r="K1509" s="27" t="s">
        <v>5033</v>
      </c>
      <c r="L1509" s="27"/>
      <c r="M1509" s="68">
        <v>1</v>
      </c>
      <c r="N1509" s="68" t="s">
        <v>1167</v>
      </c>
    </row>
    <row r="1510" spans="1:14" ht="14.25" x14ac:dyDescent="0.2">
      <c r="A1510" s="14" t="s">
        <v>5584</v>
      </c>
      <c r="B1510" s="15" t="s">
        <v>5073</v>
      </c>
      <c r="C1510" s="19" t="s">
        <v>3754</v>
      </c>
      <c r="D1510" s="16" t="s">
        <v>3754</v>
      </c>
      <c r="E1510" s="27" t="s">
        <v>5601</v>
      </c>
      <c r="F1510" s="16" t="s">
        <v>5602</v>
      </c>
      <c r="G1510" s="8">
        <v>24</v>
      </c>
      <c r="H1510" s="8">
        <v>2</v>
      </c>
      <c r="I1510" s="8"/>
      <c r="J1510" s="27" t="s">
        <v>5010</v>
      </c>
      <c r="K1510" s="27" t="s">
        <v>5625</v>
      </c>
      <c r="L1510" s="27"/>
      <c r="M1510" s="68">
        <v>1</v>
      </c>
      <c r="N1510" s="68" t="s">
        <v>1167</v>
      </c>
    </row>
    <row r="1511" spans="1:14" ht="14.25" x14ac:dyDescent="0.2">
      <c r="A1511" s="14" t="s">
        <v>5584</v>
      </c>
      <c r="B1511" s="15" t="s">
        <v>3723</v>
      </c>
      <c r="C1511" s="19" t="s">
        <v>3754</v>
      </c>
      <c r="D1511" s="16" t="s">
        <v>3754</v>
      </c>
      <c r="E1511" s="27" t="s">
        <v>5589</v>
      </c>
      <c r="F1511" s="16" t="s">
        <v>5590</v>
      </c>
      <c r="G1511" s="8">
        <v>1</v>
      </c>
      <c r="H1511" s="8"/>
      <c r="I1511" s="8"/>
      <c r="J1511" s="27" t="s">
        <v>4790</v>
      </c>
      <c r="K1511" s="27" t="s">
        <v>5622</v>
      </c>
      <c r="L1511" s="27"/>
      <c r="M1511" s="68">
        <v>1</v>
      </c>
      <c r="N1511" s="68" t="s">
        <v>1167</v>
      </c>
    </row>
    <row r="1512" spans="1:14" ht="14.25" x14ac:dyDescent="0.2">
      <c r="A1512" s="11" t="s">
        <v>5756</v>
      </c>
      <c r="B1512" s="12" t="s">
        <v>4865</v>
      </c>
      <c r="C1512" s="19" t="s">
        <v>3761</v>
      </c>
      <c r="D1512" s="13" t="s">
        <v>3754</v>
      </c>
      <c r="E1512" s="29" t="s">
        <v>3111</v>
      </c>
      <c r="F1512" s="13" t="s">
        <v>3112</v>
      </c>
      <c r="G1512" s="8">
        <v>2</v>
      </c>
      <c r="H1512" s="8">
        <v>7</v>
      </c>
      <c r="I1512" s="8"/>
      <c r="J1512" s="29" t="s">
        <v>4790</v>
      </c>
      <c r="K1512" s="29" t="s">
        <v>8677</v>
      </c>
      <c r="L1512" s="29"/>
      <c r="M1512" s="68">
        <v>1</v>
      </c>
      <c r="N1512" s="68" t="s">
        <v>5734</v>
      </c>
    </row>
    <row r="1513" spans="1:14" ht="14.25" x14ac:dyDescent="0.2">
      <c r="A1513" s="11" t="s">
        <v>2050</v>
      </c>
      <c r="B1513" s="12" t="s">
        <v>3753</v>
      </c>
      <c r="C1513" s="10" t="s">
        <v>6311</v>
      </c>
      <c r="D1513" s="13" t="s">
        <v>3754</v>
      </c>
      <c r="E1513" s="29" t="s">
        <v>2051</v>
      </c>
      <c r="F1513" s="13" t="s">
        <v>2052</v>
      </c>
      <c r="G1513" s="21">
        <v>47</v>
      </c>
      <c r="H1513" s="21">
        <v>10</v>
      </c>
      <c r="I1513" s="21"/>
      <c r="J1513" s="29" t="s">
        <v>1264</v>
      </c>
      <c r="K1513" s="29" t="s">
        <v>2053</v>
      </c>
      <c r="L1513" s="29"/>
      <c r="M1513" s="68">
        <v>1</v>
      </c>
      <c r="N1513" s="68" t="s">
        <v>1972</v>
      </c>
    </row>
    <row r="1514" spans="1:14" ht="14.25" x14ac:dyDescent="0.2">
      <c r="A1514" s="11" t="s">
        <v>2050</v>
      </c>
      <c r="B1514" s="12" t="s">
        <v>3740</v>
      </c>
      <c r="C1514" s="19" t="s">
        <v>3761</v>
      </c>
      <c r="D1514" s="13" t="s">
        <v>3754</v>
      </c>
      <c r="E1514" s="29" t="s">
        <v>5749</v>
      </c>
      <c r="F1514" s="13" t="s">
        <v>4996</v>
      </c>
      <c r="G1514" s="8">
        <v>16</v>
      </c>
      <c r="H1514" s="8"/>
      <c r="I1514" s="8"/>
      <c r="J1514" s="29" t="s">
        <v>5185</v>
      </c>
      <c r="K1514" s="29" t="s">
        <v>1408</v>
      </c>
      <c r="L1514" s="29"/>
      <c r="M1514" s="68">
        <v>1</v>
      </c>
      <c r="N1514" s="68" t="s">
        <v>5734</v>
      </c>
    </row>
    <row r="1515" spans="1:14" ht="15" x14ac:dyDescent="0.2">
      <c r="A1515" s="56" t="s">
        <v>2050</v>
      </c>
      <c r="B1515" s="57" t="s">
        <v>4864</v>
      </c>
      <c r="C1515" s="55" t="s">
        <v>3754</v>
      </c>
      <c r="D1515" s="29" t="s">
        <v>6524</v>
      </c>
      <c r="E1515" s="29" t="s">
        <v>7434</v>
      </c>
      <c r="F1515" s="29" t="s">
        <v>3279</v>
      </c>
      <c r="G1515" s="8">
        <v>12</v>
      </c>
      <c r="H1515" s="8"/>
      <c r="I1515" s="8"/>
      <c r="J1515" s="29" t="s">
        <v>3280</v>
      </c>
      <c r="K1515" s="103" t="s">
        <v>6906</v>
      </c>
      <c r="L1515" s="58"/>
      <c r="M1515" s="68">
        <v>1</v>
      </c>
      <c r="N1515" s="68" t="s">
        <v>3203</v>
      </c>
    </row>
    <row r="1516" spans="1:14" ht="14.25" x14ac:dyDescent="0.2">
      <c r="A1516" s="11" t="s">
        <v>3926</v>
      </c>
      <c r="B1516" s="12" t="s">
        <v>4863</v>
      </c>
      <c r="C1516" s="10" t="s">
        <v>3757</v>
      </c>
      <c r="D1516" s="13" t="s">
        <v>3754</v>
      </c>
      <c r="E1516" s="29" t="s">
        <v>3927</v>
      </c>
      <c r="F1516" s="13" t="s">
        <v>3928</v>
      </c>
      <c r="G1516" s="8">
        <v>65</v>
      </c>
      <c r="H1516" s="8"/>
      <c r="I1516" s="8"/>
      <c r="J1516" s="29" t="s">
        <v>1277</v>
      </c>
      <c r="K1516" s="29" t="s">
        <v>3929</v>
      </c>
      <c r="L1516" s="29"/>
      <c r="M1516" s="68">
        <v>1</v>
      </c>
      <c r="N1516" s="68" t="s">
        <v>3289</v>
      </c>
    </row>
    <row r="1517" spans="1:14" ht="14.25" x14ac:dyDescent="0.2">
      <c r="A1517" s="11" t="s">
        <v>5887</v>
      </c>
      <c r="B1517" s="12" t="s">
        <v>4862</v>
      </c>
      <c r="C1517" s="19" t="s">
        <v>3761</v>
      </c>
      <c r="D1517" s="13" t="s">
        <v>3754</v>
      </c>
      <c r="E1517" s="29" t="s">
        <v>8759</v>
      </c>
      <c r="F1517" s="13" t="s">
        <v>5873</v>
      </c>
      <c r="G1517" s="8">
        <v>29</v>
      </c>
      <c r="H1517" s="8"/>
      <c r="I1517" s="8"/>
      <c r="J1517" s="29" t="s">
        <v>8489</v>
      </c>
      <c r="K1517" s="29" t="s">
        <v>5888</v>
      </c>
      <c r="L1517" s="29"/>
      <c r="M1517" s="68">
        <v>1</v>
      </c>
      <c r="N1517" s="68" t="s">
        <v>5734</v>
      </c>
    </row>
    <row r="1518" spans="1:14" ht="14.25" x14ac:dyDescent="0.2">
      <c r="A1518" s="11" t="s">
        <v>3888</v>
      </c>
      <c r="B1518" s="12" t="s">
        <v>4908</v>
      </c>
      <c r="C1518" s="10" t="s">
        <v>3757</v>
      </c>
      <c r="D1518" s="13" t="s">
        <v>3754</v>
      </c>
      <c r="E1518" s="29" t="s">
        <v>8860</v>
      </c>
      <c r="F1518" s="13" t="s">
        <v>3889</v>
      </c>
      <c r="G1518" s="8">
        <v>70</v>
      </c>
      <c r="H1518" s="8"/>
      <c r="I1518" s="8"/>
      <c r="J1518" s="29" t="s">
        <v>3204</v>
      </c>
      <c r="K1518" s="29" t="s">
        <v>8862</v>
      </c>
      <c r="L1518" s="29"/>
      <c r="M1518" s="68">
        <v>1</v>
      </c>
      <c r="N1518" s="68" t="s">
        <v>3289</v>
      </c>
    </row>
    <row r="1519" spans="1:14" ht="14.25" x14ac:dyDescent="0.2">
      <c r="A1519" s="11" t="s">
        <v>3888</v>
      </c>
      <c r="B1519" s="12" t="s">
        <v>4883</v>
      </c>
      <c r="C1519" s="10" t="s">
        <v>3757</v>
      </c>
      <c r="D1519" s="13" t="s">
        <v>3754</v>
      </c>
      <c r="E1519" s="29" t="s">
        <v>1478</v>
      </c>
      <c r="F1519" s="13" t="s">
        <v>3913</v>
      </c>
      <c r="G1519" s="8">
        <v>47</v>
      </c>
      <c r="H1519" s="8"/>
      <c r="I1519" s="8"/>
      <c r="J1519" s="29"/>
      <c r="K1519" s="29" t="s">
        <v>1480</v>
      </c>
      <c r="L1519" s="29"/>
      <c r="M1519" s="68">
        <v>1</v>
      </c>
      <c r="N1519" s="68" t="s">
        <v>3289</v>
      </c>
    </row>
    <row r="1520" spans="1:14" ht="14.25" x14ac:dyDescent="0.2">
      <c r="A1520" s="11" t="s">
        <v>1978</v>
      </c>
      <c r="B1520" s="12" t="s">
        <v>3748</v>
      </c>
      <c r="C1520" s="10" t="s">
        <v>3767</v>
      </c>
      <c r="D1520" s="13" t="s">
        <v>3767</v>
      </c>
      <c r="E1520" s="29" t="s">
        <v>2000</v>
      </c>
      <c r="F1520" s="16" t="s">
        <v>3767</v>
      </c>
      <c r="G1520" s="21">
        <v>1</v>
      </c>
      <c r="H1520" s="21">
        <v>3</v>
      </c>
      <c r="I1520" s="21"/>
      <c r="J1520" s="29"/>
      <c r="K1520" s="29" t="s">
        <v>1996</v>
      </c>
      <c r="L1520" s="29"/>
      <c r="M1520" s="68">
        <v>1</v>
      </c>
      <c r="N1520" s="68" t="s">
        <v>1972</v>
      </c>
    </row>
    <row r="1521" spans="1:14" ht="14.25" x14ac:dyDescent="0.2">
      <c r="A1521" s="11" t="s">
        <v>1978</v>
      </c>
      <c r="B1521" s="12" t="s">
        <v>3740</v>
      </c>
      <c r="C1521" s="10" t="s">
        <v>3767</v>
      </c>
      <c r="D1521" s="13" t="s">
        <v>3767</v>
      </c>
      <c r="E1521" s="29" t="s">
        <v>2006</v>
      </c>
      <c r="F1521" s="16" t="s">
        <v>3767</v>
      </c>
      <c r="G1521" s="21"/>
      <c r="H1521" s="21">
        <v>6</v>
      </c>
      <c r="I1521" s="21"/>
      <c r="J1521" s="29" t="s">
        <v>4829</v>
      </c>
      <c r="K1521" s="29" t="s">
        <v>1996</v>
      </c>
      <c r="L1521" s="29"/>
      <c r="M1521" s="68">
        <v>1</v>
      </c>
      <c r="N1521" s="68" t="s">
        <v>1972</v>
      </c>
    </row>
    <row r="1522" spans="1:14" ht="28.5" x14ac:dyDescent="0.2">
      <c r="A1522" s="11" t="s">
        <v>1978</v>
      </c>
      <c r="B1522" s="12" t="s">
        <v>3740</v>
      </c>
      <c r="C1522" s="10" t="s">
        <v>3767</v>
      </c>
      <c r="D1522" s="13" t="s">
        <v>3767</v>
      </c>
      <c r="E1522" s="29" t="s">
        <v>1979</v>
      </c>
      <c r="F1522" s="16" t="s">
        <v>3767</v>
      </c>
      <c r="G1522" s="21"/>
      <c r="H1522" s="21">
        <v>19</v>
      </c>
      <c r="I1522" s="21"/>
      <c r="J1522" s="29" t="s">
        <v>4829</v>
      </c>
      <c r="K1522" s="29" t="s">
        <v>1979</v>
      </c>
      <c r="L1522" s="29" t="s">
        <v>6704</v>
      </c>
      <c r="M1522" s="68">
        <v>1</v>
      </c>
      <c r="N1522" s="68" t="s">
        <v>1972</v>
      </c>
    </row>
    <row r="1523" spans="1:14" ht="14.25" x14ac:dyDescent="0.2">
      <c r="A1523" s="11" t="s">
        <v>1978</v>
      </c>
      <c r="B1523" s="12" t="s">
        <v>3732</v>
      </c>
      <c r="C1523" s="10" t="s">
        <v>3757</v>
      </c>
      <c r="D1523" s="13" t="s">
        <v>1960</v>
      </c>
      <c r="E1523" s="29" t="s">
        <v>1995</v>
      </c>
      <c r="F1523" s="13" t="s">
        <v>1960</v>
      </c>
      <c r="G1523" s="21">
        <v>25</v>
      </c>
      <c r="H1523" s="21"/>
      <c r="I1523" s="21"/>
      <c r="J1523" s="29" t="s">
        <v>1264</v>
      </c>
      <c r="K1523" s="29" t="s">
        <v>1996</v>
      </c>
      <c r="L1523" s="29"/>
      <c r="M1523" s="68">
        <v>1</v>
      </c>
      <c r="N1523" s="68" t="s">
        <v>1972</v>
      </c>
    </row>
    <row r="1524" spans="1:14" ht="14.25" x14ac:dyDescent="0.2">
      <c r="A1524" s="11" t="s">
        <v>1978</v>
      </c>
      <c r="B1524" s="12" t="s">
        <v>3732</v>
      </c>
      <c r="C1524" s="10" t="s">
        <v>3767</v>
      </c>
      <c r="D1524" s="13" t="s">
        <v>3767</v>
      </c>
      <c r="E1524" s="29" t="s">
        <v>1997</v>
      </c>
      <c r="F1524" s="16" t="s">
        <v>3767</v>
      </c>
      <c r="G1524" s="21"/>
      <c r="H1524" s="21">
        <v>4</v>
      </c>
      <c r="I1524" s="21"/>
      <c r="J1524" s="29" t="s">
        <v>1998</v>
      </c>
      <c r="K1524" s="29" t="s">
        <v>1996</v>
      </c>
      <c r="L1524" s="29"/>
      <c r="M1524" s="68">
        <v>1</v>
      </c>
      <c r="N1524" s="68" t="s">
        <v>1972</v>
      </c>
    </row>
    <row r="1525" spans="1:14" ht="14.25" x14ac:dyDescent="0.2">
      <c r="A1525" s="11" t="s">
        <v>1978</v>
      </c>
      <c r="B1525" s="12" t="s">
        <v>2094</v>
      </c>
      <c r="C1525" s="10" t="s">
        <v>3767</v>
      </c>
      <c r="D1525" s="13" t="s">
        <v>3767</v>
      </c>
      <c r="E1525" s="29" t="s">
        <v>2002</v>
      </c>
      <c r="F1525" s="16" t="s">
        <v>3767</v>
      </c>
      <c r="G1525" s="21">
        <v>1</v>
      </c>
      <c r="H1525" s="21">
        <v>8</v>
      </c>
      <c r="I1525" s="21"/>
      <c r="J1525" s="29" t="s">
        <v>7319</v>
      </c>
      <c r="K1525" s="29" t="s">
        <v>1996</v>
      </c>
      <c r="L1525" s="29"/>
      <c r="M1525" s="68">
        <v>1</v>
      </c>
      <c r="N1525" s="68" t="s">
        <v>1972</v>
      </c>
    </row>
    <row r="1526" spans="1:14" ht="14.25" x14ac:dyDescent="0.2">
      <c r="A1526" s="11" t="s">
        <v>1978</v>
      </c>
      <c r="B1526" s="12" t="s">
        <v>2003</v>
      </c>
      <c r="C1526" s="10" t="s">
        <v>2100</v>
      </c>
      <c r="D1526" s="13" t="s">
        <v>2004</v>
      </c>
      <c r="E1526" s="29" t="s">
        <v>2005</v>
      </c>
      <c r="F1526" s="13" t="s">
        <v>2100</v>
      </c>
      <c r="G1526" s="21" t="s">
        <v>1464</v>
      </c>
      <c r="H1526" s="21">
        <v>10</v>
      </c>
      <c r="I1526" s="21">
        <v>10</v>
      </c>
      <c r="J1526" s="29" t="s">
        <v>4790</v>
      </c>
      <c r="K1526" s="29" t="s">
        <v>1996</v>
      </c>
      <c r="L1526" s="29"/>
      <c r="M1526" s="68">
        <v>1</v>
      </c>
      <c r="N1526" s="68" t="s">
        <v>1972</v>
      </c>
    </row>
    <row r="1527" spans="1:14" ht="14.25" x14ac:dyDescent="0.2">
      <c r="A1527" s="11" t="s">
        <v>1978</v>
      </c>
      <c r="B1527" s="12" t="s">
        <v>3723</v>
      </c>
      <c r="C1527" s="10" t="s">
        <v>3767</v>
      </c>
      <c r="D1527" s="13" t="s">
        <v>3767</v>
      </c>
      <c r="E1527" s="29" t="s">
        <v>2001</v>
      </c>
      <c r="F1527" s="16" t="s">
        <v>3767</v>
      </c>
      <c r="G1527" s="21">
        <v>8</v>
      </c>
      <c r="H1527" s="21">
        <v>8</v>
      </c>
      <c r="I1527" s="21"/>
      <c r="J1527" s="29" t="s">
        <v>7319</v>
      </c>
      <c r="K1527" s="29" t="s">
        <v>1996</v>
      </c>
      <c r="L1527" s="29"/>
      <c r="M1527" s="68">
        <v>1</v>
      </c>
      <c r="N1527" s="68" t="s">
        <v>1972</v>
      </c>
    </row>
    <row r="1528" spans="1:14" ht="14.25" x14ac:dyDescent="0.2">
      <c r="A1528" s="11" t="s">
        <v>1978</v>
      </c>
      <c r="B1528" s="12" t="s">
        <v>5904</v>
      </c>
      <c r="C1528" s="10" t="s">
        <v>3767</v>
      </c>
      <c r="D1528" s="13" t="s">
        <v>3767</v>
      </c>
      <c r="E1528" s="29" t="s">
        <v>1999</v>
      </c>
      <c r="F1528" s="13" t="s">
        <v>3767</v>
      </c>
      <c r="G1528" s="21">
        <v>1</v>
      </c>
      <c r="H1528" s="21">
        <v>3</v>
      </c>
      <c r="I1528" s="21"/>
      <c r="J1528" s="29" t="s">
        <v>4790</v>
      </c>
      <c r="K1528" s="29" t="s">
        <v>1996</v>
      </c>
      <c r="L1528" s="29"/>
      <c r="M1528" s="68">
        <v>1</v>
      </c>
      <c r="N1528" s="68" t="s">
        <v>1972</v>
      </c>
    </row>
    <row r="1529" spans="1:14" ht="15" x14ac:dyDescent="0.2">
      <c r="A1529" s="56" t="s">
        <v>3252</v>
      </c>
      <c r="B1529" s="57" t="s">
        <v>7783</v>
      </c>
      <c r="C1529" s="55" t="s">
        <v>3754</v>
      </c>
      <c r="D1529" s="29" t="s">
        <v>3754</v>
      </c>
      <c r="E1529" s="29" t="s">
        <v>2500</v>
      </c>
      <c r="F1529" s="29" t="s">
        <v>3253</v>
      </c>
      <c r="G1529" s="8">
        <v>16</v>
      </c>
      <c r="H1529" s="8"/>
      <c r="I1529" s="8"/>
      <c r="J1529" s="29" t="s">
        <v>3206</v>
      </c>
      <c r="K1529" s="103" t="s">
        <v>3246</v>
      </c>
      <c r="L1529" s="58"/>
      <c r="M1529" s="68">
        <v>1</v>
      </c>
      <c r="N1529" s="68" t="s">
        <v>3203</v>
      </c>
    </row>
    <row r="1530" spans="1:14" ht="15" x14ac:dyDescent="0.2">
      <c r="A1530" s="56" t="s">
        <v>1980</v>
      </c>
      <c r="B1530" s="57" t="s">
        <v>7784</v>
      </c>
      <c r="C1530" s="55" t="s">
        <v>3757</v>
      </c>
      <c r="D1530" s="29" t="s">
        <v>3754</v>
      </c>
      <c r="E1530" s="29" t="s">
        <v>2417</v>
      </c>
      <c r="F1530" s="29" t="s">
        <v>3754</v>
      </c>
      <c r="G1530" s="8">
        <v>30</v>
      </c>
      <c r="H1530" s="8"/>
      <c r="I1530" s="8"/>
      <c r="J1530" s="29" t="s">
        <v>3206</v>
      </c>
      <c r="K1530" s="103" t="s">
        <v>3211</v>
      </c>
      <c r="L1530" s="58"/>
      <c r="M1530" s="68">
        <v>1</v>
      </c>
      <c r="N1530" s="68" t="s">
        <v>3203</v>
      </c>
    </row>
    <row r="1531" spans="1:14" ht="14.25" x14ac:dyDescent="0.2">
      <c r="A1531" s="11" t="s">
        <v>1980</v>
      </c>
      <c r="B1531" s="12" t="s">
        <v>4690</v>
      </c>
      <c r="C1531" s="20" t="s">
        <v>3761</v>
      </c>
      <c r="D1531" s="13" t="s">
        <v>3754</v>
      </c>
      <c r="E1531" s="29" t="s">
        <v>3896</v>
      </c>
      <c r="F1531" s="13" t="s">
        <v>3897</v>
      </c>
      <c r="G1531" s="8">
        <v>20</v>
      </c>
      <c r="H1531" s="8"/>
      <c r="I1531" s="8"/>
      <c r="J1531" s="29" t="s">
        <v>1272</v>
      </c>
      <c r="K1531" s="29" t="s">
        <v>3898</v>
      </c>
      <c r="L1531" s="61"/>
      <c r="M1531" s="68">
        <v>1</v>
      </c>
      <c r="N1531" s="68" t="s">
        <v>3289</v>
      </c>
    </row>
    <row r="1532" spans="1:14" ht="14.25" x14ac:dyDescent="0.2">
      <c r="A1532" s="9" t="s">
        <v>1980</v>
      </c>
      <c r="B1532" s="5" t="s">
        <v>3734</v>
      </c>
      <c r="C1532" s="10" t="s">
        <v>3757</v>
      </c>
      <c r="D1532" s="10" t="s">
        <v>3754</v>
      </c>
      <c r="E1532" s="61" t="s">
        <v>3919</v>
      </c>
      <c r="F1532" s="10" t="s">
        <v>3920</v>
      </c>
      <c r="G1532" s="8">
        <v>76</v>
      </c>
      <c r="H1532" s="8"/>
      <c r="I1532" s="8"/>
      <c r="J1532" s="55" t="s">
        <v>1277</v>
      </c>
      <c r="K1532" s="55" t="s">
        <v>3921</v>
      </c>
      <c r="L1532" s="61"/>
      <c r="M1532" s="68">
        <v>1</v>
      </c>
      <c r="N1532" s="68" t="s">
        <v>3289</v>
      </c>
    </row>
    <row r="1533" spans="1:14" ht="15" x14ac:dyDescent="0.2">
      <c r="A1533" s="59" t="s">
        <v>1980</v>
      </c>
      <c r="B1533" s="60" t="s">
        <v>3728</v>
      </c>
      <c r="C1533" s="55" t="s">
        <v>3757</v>
      </c>
      <c r="D1533" s="55" t="s">
        <v>3754</v>
      </c>
      <c r="E1533" s="61" t="s">
        <v>5261</v>
      </c>
      <c r="F1533" s="61" t="s">
        <v>3260</v>
      </c>
      <c r="G1533" s="8">
        <v>67</v>
      </c>
      <c r="H1533" s="8"/>
      <c r="I1533" s="8"/>
      <c r="J1533" s="55" t="s">
        <v>3261</v>
      </c>
      <c r="K1533" s="104" t="s">
        <v>6799</v>
      </c>
      <c r="L1533" s="62"/>
      <c r="M1533" s="68">
        <v>1</v>
      </c>
      <c r="N1533" s="68" t="s">
        <v>3203</v>
      </c>
    </row>
    <row r="1534" spans="1:14" ht="14.25" x14ac:dyDescent="0.2">
      <c r="A1534" s="11" t="s">
        <v>1980</v>
      </c>
      <c r="B1534" s="12" t="s">
        <v>4702</v>
      </c>
      <c r="C1534" s="10" t="s">
        <v>3757</v>
      </c>
      <c r="D1534" s="13" t="s">
        <v>3754</v>
      </c>
      <c r="E1534" s="29" t="s">
        <v>1464</v>
      </c>
      <c r="F1534" s="13" t="s">
        <v>3754</v>
      </c>
      <c r="G1534" s="21">
        <v>50</v>
      </c>
      <c r="H1534" s="21"/>
      <c r="I1534" s="21"/>
      <c r="J1534" s="29" t="s">
        <v>1928</v>
      </c>
      <c r="K1534" s="29" t="s">
        <v>1981</v>
      </c>
      <c r="L1534" s="29"/>
      <c r="M1534" s="68">
        <v>1</v>
      </c>
      <c r="N1534" s="68" t="s">
        <v>1972</v>
      </c>
    </row>
    <row r="1535" spans="1:14" ht="14.25" x14ac:dyDescent="0.2">
      <c r="A1535" s="11" t="s">
        <v>1980</v>
      </c>
      <c r="B1535" s="12" t="s">
        <v>7753</v>
      </c>
      <c r="C1535" s="10" t="s">
        <v>3757</v>
      </c>
      <c r="D1535" s="13" t="s">
        <v>3754</v>
      </c>
      <c r="E1535" s="29" t="s">
        <v>7186</v>
      </c>
      <c r="F1535" s="13" t="s">
        <v>3914</v>
      </c>
      <c r="G1535" s="8">
        <v>81</v>
      </c>
      <c r="H1535" s="8"/>
      <c r="I1535" s="8"/>
      <c r="J1535" s="29" t="s">
        <v>1271</v>
      </c>
      <c r="K1535" s="29" t="s">
        <v>7188</v>
      </c>
      <c r="L1535" s="29"/>
      <c r="M1535" s="68">
        <v>1</v>
      </c>
      <c r="N1535" s="68" t="s">
        <v>3289</v>
      </c>
    </row>
    <row r="1536" spans="1:14" ht="14.25" x14ac:dyDescent="0.2">
      <c r="A1536" s="11" t="s">
        <v>1980</v>
      </c>
      <c r="B1536" s="12" t="s">
        <v>1428</v>
      </c>
      <c r="C1536" s="19" t="s">
        <v>3761</v>
      </c>
      <c r="D1536" s="13" t="s">
        <v>3754</v>
      </c>
      <c r="E1536" s="29" t="s">
        <v>3430</v>
      </c>
      <c r="F1536" s="13" t="s">
        <v>24</v>
      </c>
      <c r="G1536" s="8">
        <v>30</v>
      </c>
      <c r="H1536" s="8"/>
      <c r="I1536" s="8"/>
      <c r="J1536" s="29" t="s">
        <v>1277</v>
      </c>
      <c r="K1536" s="29" t="s">
        <v>3432</v>
      </c>
      <c r="L1536" s="29"/>
      <c r="M1536" s="68">
        <v>1</v>
      </c>
      <c r="N1536" s="68" t="s">
        <v>3289</v>
      </c>
    </row>
    <row r="1537" spans="1:14" ht="14.25" x14ac:dyDescent="0.2">
      <c r="A1537" s="11" t="s">
        <v>1980</v>
      </c>
      <c r="B1537" s="12" t="s">
        <v>3740</v>
      </c>
      <c r="C1537" s="19" t="s">
        <v>3761</v>
      </c>
      <c r="D1537" s="13" t="s">
        <v>3754</v>
      </c>
      <c r="E1537" s="29" t="s">
        <v>5681</v>
      </c>
      <c r="F1537" s="13" t="s">
        <v>1541</v>
      </c>
      <c r="G1537" s="8">
        <v>5</v>
      </c>
      <c r="H1537" s="8">
        <v>7</v>
      </c>
      <c r="I1537" s="8">
        <v>1</v>
      </c>
      <c r="J1537" s="29" t="s">
        <v>1254</v>
      </c>
      <c r="K1537" s="29" t="s">
        <v>1293</v>
      </c>
      <c r="L1537" s="29"/>
      <c r="M1537" s="68">
        <v>1</v>
      </c>
      <c r="N1537" s="68" t="s">
        <v>5734</v>
      </c>
    </row>
    <row r="1538" spans="1:14" ht="14.25" x14ac:dyDescent="0.2">
      <c r="A1538" s="11" t="s">
        <v>1980</v>
      </c>
      <c r="B1538" s="12" t="s">
        <v>5712</v>
      </c>
      <c r="C1538" s="19" t="s">
        <v>3761</v>
      </c>
      <c r="D1538" s="13" t="s">
        <v>3754</v>
      </c>
      <c r="E1538" s="29" t="s">
        <v>3200</v>
      </c>
      <c r="F1538" s="13" t="s">
        <v>1541</v>
      </c>
      <c r="G1538" s="8">
        <v>3</v>
      </c>
      <c r="H1538" s="8">
        <v>9</v>
      </c>
      <c r="I1538" s="8">
        <v>7</v>
      </c>
      <c r="J1538" s="29" t="s">
        <v>1254</v>
      </c>
      <c r="K1538" s="29" t="s">
        <v>1293</v>
      </c>
      <c r="L1538" s="29"/>
      <c r="M1538" s="68">
        <v>1</v>
      </c>
      <c r="N1538" s="68" t="s">
        <v>5734</v>
      </c>
    </row>
    <row r="1539" spans="1:14" ht="14.25" x14ac:dyDescent="0.2">
      <c r="A1539" s="11" t="s">
        <v>1980</v>
      </c>
      <c r="B1539" s="12" t="s">
        <v>4982</v>
      </c>
      <c r="C1539" s="19" t="s">
        <v>3761</v>
      </c>
      <c r="D1539" s="13" t="s">
        <v>3754</v>
      </c>
      <c r="E1539" s="29" t="s">
        <v>3302</v>
      </c>
      <c r="F1539" s="13" t="s">
        <v>0</v>
      </c>
      <c r="G1539" s="8">
        <v>23</v>
      </c>
      <c r="H1539" s="8"/>
      <c r="I1539" s="8"/>
      <c r="J1539" s="29" t="s">
        <v>3206</v>
      </c>
      <c r="K1539" s="29" t="s">
        <v>1</v>
      </c>
      <c r="L1539" s="29"/>
      <c r="M1539" s="68">
        <v>1</v>
      </c>
      <c r="N1539" s="68" t="s">
        <v>3289</v>
      </c>
    </row>
    <row r="1540" spans="1:14" ht="14.25" x14ac:dyDescent="0.2">
      <c r="A1540" s="11" t="s">
        <v>1980</v>
      </c>
      <c r="B1540" s="12" t="s">
        <v>3723</v>
      </c>
      <c r="C1540" s="10" t="s">
        <v>3757</v>
      </c>
      <c r="D1540" s="13" t="s">
        <v>3754</v>
      </c>
      <c r="E1540" s="29" t="s">
        <v>5716</v>
      </c>
      <c r="F1540" s="13" t="s">
        <v>5717</v>
      </c>
      <c r="G1540" s="21">
        <v>69</v>
      </c>
      <c r="H1540" s="21"/>
      <c r="I1540" s="21"/>
      <c r="J1540" s="29" t="s">
        <v>2894</v>
      </c>
      <c r="K1540" s="29" t="s">
        <v>5718</v>
      </c>
      <c r="L1540" s="29"/>
      <c r="M1540" s="68">
        <v>1</v>
      </c>
      <c r="N1540" s="68" t="s">
        <v>1972</v>
      </c>
    </row>
    <row r="1541" spans="1:14" ht="14.25" x14ac:dyDescent="0.2">
      <c r="A1541" s="11" t="s">
        <v>5864</v>
      </c>
      <c r="B1541" s="12" t="s">
        <v>4685</v>
      </c>
      <c r="C1541" s="10" t="s">
        <v>3757</v>
      </c>
      <c r="D1541" s="13" t="s">
        <v>3754</v>
      </c>
      <c r="E1541" s="29" t="s">
        <v>27</v>
      </c>
      <c r="F1541" s="13" t="s">
        <v>28</v>
      </c>
      <c r="G1541" s="8">
        <v>63</v>
      </c>
      <c r="H1541" s="8"/>
      <c r="I1541" s="8"/>
      <c r="J1541" s="29" t="s">
        <v>3206</v>
      </c>
      <c r="K1541" s="29" t="s">
        <v>6675</v>
      </c>
      <c r="L1541" s="29"/>
      <c r="M1541" s="68">
        <v>1</v>
      </c>
      <c r="N1541" s="68" t="s">
        <v>3289</v>
      </c>
    </row>
    <row r="1542" spans="1:14" ht="14.25" x14ac:dyDescent="0.2">
      <c r="A1542" s="11" t="s">
        <v>5864</v>
      </c>
      <c r="B1542" s="12" t="s">
        <v>3740</v>
      </c>
      <c r="C1542" s="19" t="s">
        <v>3761</v>
      </c>
      <c r="D1542" s="13" t="s">
        <v>3754</v>
      </c>
      <c r="E1542" s="29" t="s">
        <v>3911</v>
      </c>
      <c r="F1542" s="13" t="s">
        <v>28</v>
      </c>
      <c r="G1542" s="8">
        <v>19</v>
      </c>
      <c r="H1542" s="8"/>
      <c r="I1542" s="8"/>
      <c r="J1542" s="29" t="s">
        <v>3206</v>
      </c>
      <c r="K1542" s="29" t="s">
        <v>3912</v>
      </c>
      <c r="L1542" s="29"/>
      <c r="M1542" s="68">
        <v>1</v>
      </c>
      <c r="N1542" s="68" t="s">
        <v>3289</v>
      </c>
    </row>
    <row r="1543" spans="1:14" ht="14.25" x14ac:dyDescent="0.2">
      <c r="A1543" s="11" t="s">
        <v>5864</v>
      </c>
      <c r="B1543" s="12" t="s">
        <v>3723</v>
      </c>
      <c r="C1543" s="10" t="s">
        <v>3757</v>
      </c>
      <c r="D1543" s="13" t="s">
        <v>3754</v>
      </c>
      <c r="E1543" s="29" t="s">
        <v>2699</v>
      </c>
      <c r="F1543" s="13" t="s">
        <v>5865</v>
      </c>
      <c r="G1543" s="8">
        <v>87</v>
      </c>
      <c r="H1543" s="8"/>
      <c r="I1543" s="8"/>
      <c r="J1543" s="29" t="s">
        <v>1271</v>
      </c>
      <c r="K1543" s="29" t="s">
        <v>5866</v>
      </c>
      <c r="L1543" s="29"/>
      <c r="M1543" s="68">
        <v>1</v>
      </c>
      <c r="N1543" s="68" t="s">
        <v>5734</v>
      </c>
    </row>
    <row r="1544" spans="1:14" ht="15" x14ac:dyDescent="0.2">
      <c r="A1544" s="56" t="s">
        <v>5864</v>
      </c>
      <c r="B1544" s="57" t="s">
        <v>7785</v>
      </c>
      <c r="C1544" s="55" t="s">
        <v>3767</v>
      </c>
      <c r="D1544" s="29"/>
      <c r="E1544" s="29" t="s">
        <v>5290</v>
      </c>
      <c r="F1544" s="29" t="s">
        <v>3269</v>
      </c>
      <c r="G1544" s="8">
        <v>2</v>
      </c>
      <c r="H1544" s="8">
        <v>9</v>
      </c>
      <c r="I1544" s="8"/>
      <c r="J1544" s="29" t="s">
        <v>5288</v>
      </c>
      <c r="K1544" s="103" t="s">
        <v>3832</v>
      </c>
      <c r="L1544" s="58"/>
      <c r="M1544" s="68">
        <v>1</v>
      </c>
      <c r="N1544" s="68" t="s">
        <v>3203</v>
      </c>
    </row>
    <row r="1545" spans="1:14" ht="14.25" x14ac:dyDescent="0.2">
      <c r="A1545" s="11" t="s">
        <v>5864</v>
      </c>
      <c r="B1545" s="12" t="s">
        <v>3733</v>
      </c>
      <c r="C1545" s="10" t="s">
        <v>3757</v>
      </c>
      <c r="D1545" s="13" t="s">
        <v>3754</v>
      </c>
      <c r="E1545" s="29" t="s">
        <v>5867</v>
      </c>
      <c r="F1545" s="13" t="s">
        <v>5868</v>
      </c>
      <c r="G1545" s="8">
        <v>56</v>
      </c>
      <c r="H1545" s="8"/>
      <c r="I1545" s="8"/>
      <c r="J1545" s="29" t="s">
        <v>1264</v>
      </c>
      <c r="K1545" s="29" t="s">
        <v>5869</v>
      </c>
      <c r="L1545" s="29"/>
      <c r="M1545" s="68">
        <v>1</v>
      </c>
      <c r="N1545" s="68" t="s">
        <v>5734</v>
      </c>
    </row>
    <row r="1546" spans="1:14" ht="14.25" x14ac:dyDescent="0.2">
      <c r="A1546" s="11" t="s">
        <v>3119</v>
      </c>
      <c r="B1546" s="12" t="s">
        <v>2608</v>
      </c>
      <c r="C1546" s="10" t="s">
        <v>3757</v>
      </c>
      <c r="D1546" s="13" t="s">
        <v>3754</v>
      </c>
      <c r="E1546" s="29" t="s">
        <v>3120</v>
      </c>
      <c r="F1546" s="13" t="s">
        <v>3121</v>
      </c>
      <c r="G1546" s="8">
        <v>69</v>
      </c>
      <c r="H1546" s="8"/>
      <c r="I1546" s="8"/>
      <c r="J1546" s="29" t="s">
        <v>1271</v>
      </c>
      <c r="K1546" s="29" t="s">
        <v>5707</v>
      </c>
      <c r="L1546" s="29"/>
      <c r="M1546" s="68">
        <v>1</v>
      </c>
      <c r="N1546" s="68" t="s">
        <v>5734</v>
      </c>
    </row>
    <row r="1547" spans="1:14" ht="14.25" x14ac:dyDescent="0.2">
      <c r="A1547" s="11" t="s">
        <v>14</v>
      </c>
      <c r="B1547" s="12" t="s">
        <v>7786</v>
      </c>
      <c r="C1547" s="19" t="s">
        <v>3761</v>
      </c>
      <c r="D1547" s="13" t="s">
        <v>3754</v>
      </c>
      <c r="E1547" s="29" t="s">
        <v>2915</v>
      </c>
      <c r="F1547" s="13" t="s">
        <v>15</v>
      </c>
      <c r="G1547" s="8"/>
      <c r="H1547" s="8">
        <v>1</v>
      </c>
      <c r="I1547" s="8">
        <v>7</v>
      </c>
      <c r="J1547" s="29" t="s">
        <v>1277</v>
      </c>
      <c r="K1547" s="29" t="s">
        <v>3410</v>
      </c>
      <c r="L1547" s="29"/>
      <c r="M1547" s="68">
        <v>1</v>
      </c>
      <c r="N1547" s="68" t="s">
        <v>3289</v>
      </c>
    </row>
    <row r="1548" spans="1:14" ht="15" x14ac:dyDescent="0.2">
      <c r="A1548" s="56" t="s">
        <v>3233</v>
      </c>
      <c r="B1548" s="57" t="s">
        <v>7311</v>
      </c>
      <c r="C1548" s="61" t="s">
        <v>3754</v>
      </c>
      <c r="D1548" s="29" t="s">
        <v>3754</v>
      </c>
      <c r="E1548" s="29" t="s">
        <v>2164</v>
      </c>
      <c r="F1548" s="29" t="s">
        <v>3234</v>
      </c>
      <c r="G1548" s="8"/>
      <c r="H1548" s="8">
        <v>10</v>
      </c>
      <c r="I1548" s="8"/>
      <c r="J1548" s="29" t="s">
        <v>3235</v>
      </c>
      <c r="K1548" s="103" t="s">
        <v>2497</v>
      </c>
      <c r="L1548" s="58"/>
      <c r="M1548" s="68">
        <v>1</v>
      </c>
      <c r="N1548" s="68" t="s">
        <v>3203</v>
      </c>
    </row>
    <row r="1549" spans="1:14" ht="14.25" x14ac:dyDescent="0.2">
      <c r="A1549" s="11" t="s">
        <v>3233</v>
      </c>
      <c r="B1549" s="12" t="s">
        <v>3723</v>
      </c>
      <c r="C1549" s="10" t="s">
        <v>3757</v>
      </c>
      <c r="D1549" s="13" t="s">
        <v>6246</v>
      </c>
      <c r="E1549" s="29" t="s">
        <v>3916</v>
      </c>
      <c r="F1549" s="13" t="s">
        <v>3917</v>
      </c>
      <c r="G1549" s="8">
        <v>62</v>
      </c>
      <c r="H1549" s="8"/>
      <c r="I1549" s="8"/>
      <c r="J1549" s="29" t="s">
        <v>1272</v>
      </c>
      <c r="K1549" s="29" t="s">
        <v>3918</v>
      </c>
      <c r="L1549" s="29"/>
      <c r="M1549" s="68">
        <v>1</v>
      </c>
      <c r="N1549" s="68" t="s">
        <v>3289</v>
      </c>
    </row>
    <row r="1550" spans="1:14" ht="14.25" x14ac:dyDescent="0.2">
      <c r="A1550" s="11" t="s">
        <v>3233</v>
      </c>
      <c r="B1550" s="12" t="s">
        <v>7787</v>
      </c>
      <c r="C1550" s="19" t="s">
        <v>3761</v>
      </c>
      <c r="D1550" s="13" t="s">
        <v>3754</v>
      </c>
      <c r="E1550" s="29" t="s">
        <v>109</v>
      </c>
      <c r="F1550" s="13" t="s">
        <v>110</v>
      </c>
      <c r="G1550" s="8"/>
      <c r="H1550" s="8">
        <v>7</v>
      </c>
      <c r="I1550" s="8"/>
      <c r="J1550" s="29" t="s">
        <v>1258</v>
      </c>
      <c r="K1550" s="29" t="s">
        <v>1163</v>
      </c>
      <c r="L1550" s="29" t="s">
        <v>111</v>
      </c>
      <c r="M1550" s="68">
        <v>1</v>
      </c>
      <c r="N1550" s="68" t="s">
        <v>3937</v>
      </c>
    </row>
    <row r="1551" spans="1:14" ht="14.25" x14ac:dyDescent="0.2">
      <c r="A1551" s="11" t="s">
        <v>3290</v>
      </c>
      <c r="B1551" s="12" t="s">
        <v>3727</v>
      </c>
      <c r="C1551" s="19" t="s">
        <v>3761</v>
      </c>
      <c r="D1551" s="13" t="s">
        <v>3754</v>
      </c>
      <c r="E1551" s="29" t="s">
        <v>5703</v>
      </c>
      <c r="F1551" s="13" t="s">
        <v>3291</v>
      </c>
      <c r="G1551" s="8">
        <v>2</v>
      </c>
      <c r="H1551" s="8"/>
      <c r="I1551" s="8"/>
      <c r="J1551" s="29" t="s">
        <v>7319</v>
      </c>
      <c r="K1551" s="29" t="s">
        <v>3292</v>
      </c>
      <c r="L1551" s="29"/>
      <c r="M1551" s="68">
        <v>1</v>
      </c>
      <c r="N1551" s="68" t="s">
        <v>3289</v>
      </c>
    </row>
    <row r="1552" spans="1:14" ht="14.25" x14ac:dyDescent="0.2">
      <c r="A1552" s="11" t="s">
        <v>9</v>
      </c>
      <c r="B1552" s="12" t="s">
        <v>5044</v>
      </c>
      <c r="C1552" s="10" t="s">
        <v>3757</v>
      </c>
      <c r="D1552" s="13" t="s">
        <v>3754</v>
      </c>
      <c r="E1552" s="29" t="s">
        <v>10</v>
      </c>
      <c r="F1552" s="13" t="s">
        <v>11</v>
      </c>
      <c r="G1552" s="8">
        <v>96</v>
      </c>
      <c r="H1552" s="8"/>
      <c r="I1552" s="8"/>
      <c r="J1552" s="29" t="s">
        <v>3308</v>
      </c>
      <c r="K1552" s="29" t="s">
        <v>6234</v>
      </c>
      <c r="L1552" s="29"/>
      <c r="M1552" s="68">
        <v>1</v>
      </c>
      <c r="N1552" s="68" t="s">
        <v>3289</v>
      </c>
    </row>
    <row r="1553" spans="1:14" ht="14.25" x14ac:dyDescent="0.2">
      <c r="A1553" s="11" t="s">
        <v>2017</v>
      </c>
      <c r="B1553" s="12" t="s">
        <v>3734</v>
      </c>
      <c r="C1553" s="10" t="s">
        <v>3757</v>
      </c>
      <c r="D1553" s="13" t="s">
        <v>3754</v>
      </c>
      <c r="E1553" s="29" t="s">
        <v>2018</v>
      </c>
      <c r="F1553" s="13" t="s">
        <v>3754</v>
      </c>
      <c r="G1553" s="21">
        <v>26</v>
      </c>
      <c r="H1553" s="21"/>
      <c r="I1553" s="21"/>
      <c r="J1553" s="29" t="s">
        <v>1264</v>
      </c>
      <c r="K1553" s="29" t="s">
        <v>2019</v>
      </c>
      <c r="L1553" s="29"/>
      <c r="M1553" s="68">
        <v>1</v>
      </c>
      <c r="N1553" s="68" t="s">
        <v>1972</v>
      </c>
    </row>
    <row r="1554" spans="1:14" ht="15" x14ac:dyDescent="0.2">
      <c r="A1554" s="56" t="s">
        <v>2017</v>
      </c>
      <c r="B1554" s="57" t="s">
        <v>3734</v>
      </c>
      <c r="C1554" s="55" t="s">
        <v>3754</v>
      </c>
      <c r="D1554" s="29" t="s">
        <v>3754</v>
      </c>
      <c r="E1554" s="29" t="s">
        <v>2188</v>
      </c>
      <c r="F1554" s="29" t="s">
        <v>3250</v>
      </c>
      <c r="G1554" s="8">
        <v>45</v>
      </c>
      <c r="H1554" s="8"/>
      <c r="I1554" s="8"/>
      <c r="J1554" s="29" t="s">
        <v>3206</v>
      </c>
      <c r="K1554" s="103" t="s">
        <v>3251</v>
      </c>
      <c r="L1554" s="58"/>
      <c r="M1554" s="68">
        <v>1</v>
      </c>
      <c r="N1554" s="68" t="s">
        <v>3203</v>
      </c>
    </row>
    <row r="1555" spans="1:14" ht="14.25" x14ac:dyDescent="0.2">
      <c r="A1555" s="11" t="s">
        <v>2017</v>
      </c>
      <c r="B1555" s="12" t="s">
        <v>7788</v>
      </c>
      <c r="C1555" s="20" t="s">
        <v>3761</v>
      </c>
      <c r="D1555" s="13" t="s">
        <v>3754</v>
      </c>
      <c r="E1555" s="29" t="s">
        <v>3113</v>
      </c>
      <c r="F1555" s="13" t="s">
        <v>3114</v>
      </c>
      <c r="G1555" s="8">
        <v>10</v>
      </c>
      <c r="H1555" s="8">
        <v>7</v>
      </c>
      <c r="I1555" s="8"/>
      <c r="J1555" s="29" t="s">
        <v>1254</v>
      </c>
      <c r="K1555" s="29" t="s">
        <v>3115</v>
      </c>
      <c r="L1555" s="29"/>
      <c r="M1555" s="68">
        <v>1</v>
      </c>
      <c r="N1555" s="68" t="s">
        <v>5734</v>
      </c>
    </row>
    <row r="1556" spans="1:14" ht="28.5" x14ac:dyDescent="0.2">
      <c r="A1556" s="11" t="s">
        <v>2017</v>
      </c>
      <c r="B1556" s="12" t="s">
        <v>3745</v>
      </c>
      <c r="C1556" s="10" t="s">
        <v>3754</v>
      </c>
      <c r="D1556" s="13" t="s">
        <v>3754</v>
      </c>
      <c r="E1556" s="29" t="s">
        <v>1698</v>
      </c>
      <c r="F1556" s="13" t="s">
        <v>3754</v>
      </c>
      <c r="G1556" s="21" t="s">
        <v>1464</v>
      </c>
      <c r="H1556" s="21">
        <v>10</v>
      </c>
      <c r="I1556" s="21"/>
      <c r="J1556" s="29" t="s">
        <v>4747</v>
      </c>
      <c r="K1556" s="29" t="s">
        <v>2024</v>
      </c>
      <c r="L1556" s="29"/>
      <c r="M1556" s="68">
        <v>1</v>
      </c>
      <c r="N1556" s="68" t="s">
        <v>1972</v>
      </c>
    </row>
    <row r="1557" spans="1:14" ht="14.25" x14ac:dyDescent="0.2">
      <c r="A1557" s="11" t="s">
        <v>2017</v>
      </c>
      <c r="B1557" s="12" t="s">
        <v>5435</v>
      </c>
      <c r="C1557" s="10" t="s">
        <v>3754</v>
      </c>
      <c r="D1557" s="13" t="s">
        <v>3754</v>
      </c>
      <c r="E1557" s="29" t="s">
        <v>2048</v>
      </c>
      <c r="F1557" s="13" t="s">
        <v>3754</v>
      </c>
      <c r="G1557" s="21">
        <v>11</v>
      </c>
      <c r="H1557" s="21"/>
      <c r="I1557" s="21">
        <v>20</v>
      </c>
      <c r="J1557" s="29" t="s">
        <v>4790</v>
      </c>
      <c r="K1557" s="29" t="s">
        <v>2049</v>
      </c>
      <c r="L1557" s="29"/>
      <c r="M1557" s="68">
        <v>1</v>
      </c>
      <c r="N1557" s="68" t="s">
        <v>1972</v>
      </c>
    </row>
    <row r="1558" spans="1:14" ht="14.25" x14ac:dyDescent="0.2">
      <c r="A1558" s="11" t="s">
        <v>2017</v>
      </c>
      <c r="B1558" s="12" t="s">
        <v>1569</v>
      </c>
      <c r="C1558" s="10" t="s">
        <v>3754</v>
      </c>
      <c r="D1558" s="13" t="s">
        <v>3754</v>
      </c>
      <c r="E1558" s="29" t="s">
        <v>5713</v>
      </c>
      <c r="F1558" s="13" t="s">
        <v>5714</v>
      </c>
      <c r="G1558" s="21">
        <v>5</v>
      </c>
      <c r="H1558" s="21">
        <v>2</v>
      </c>
      <c r="I1558" s="21">
        <v>14</v>
      </c>
      <c r="J1558" s="29" t="s">
        <v>1254</v>
      </c>
      <c r="K1558" s="29" t="s">
        <v>5715</v>
      </c>
      <c r="L1558" s="29"/>
      <c r="M1558" s="68">
        <v>1</v>
      </c>
      <c r="N1558" s="68" t="s">
        <v>1972</v>
      </c>
    </row>
    <row r="1559" spans="1:14" ht="14.25" x14ac:dyDescent="0.2">
      <c r="A1559" s="11" t="s">
        <v>2017</v>
      </c>
      <c r="B1559" s="12" t="s">
        <v>3740</v>
      </c>
      <c r="C1559" s="10" t="s">
        <v>3757</v>
      </c>
      <c r="D1559" s="13" t="s">
        <v>3754</v>
      </c>
      <c r="E1559" s="29" t="s">
        <v>2046</v>
      </c>
      <c r="F1559" s="13" t="s">
        <v>3754</v>
      </c>
      <c r="G1559" s="21">
        <v>88</v>
      </c>
      <c r="H1559" s="21"/>
      <c r="I1559" s="21"/>
      <c r="J1559" s="29" t="s">
        <v>1271</v>
      </c>
      <c r="K1559" s="29" t="s">
        <v>2047</v>
      </c>
      <c r="L1559" s="29"/>
      <c r="M1559" s="68">
        <v>1</v>
      </c>
      <c r="N1559" s="68" t="s">
        <v>1972</v>
      </c>
    </row>
    <row r="1560" spans="1:14" ht="14.25" x14ac:dyDescent="0.2">
      <c r="A1560" s="11" t="s">
        <v>2017</v>
      </c>
      <c r="B1560" s="12" t="s">
        <v>4581</v>
      </c>
      <c r="C1560" s="10" t="s">
        <v>3757</v>
      </c>
      <c r="D1560" s="13" t="s">
        <v>3754</v>
      </c>
      <c r="E1560" s="29" t="s">
        <v>8592</v>
      </c>
      <c r="F1560" s="13" t="s">
        <v>3193</v>
      </c>
      <c r="G1560" s="8">
        <v>73</v>
      </c>
      <c r="H1560" s="8"/>
      <c r="I1560" s="8"/>
      <c r="J1560" s="29" t="s">
        <v>3769</v>
      </c>
      <c r="K1560" s="29" t="s">
        <v>3194</v>
      </c>
      <c r="L1560" s="29"/>
      <c r="M1560" s="68">
        <v>1</v>
      </c>
      <c r="N1560" s="68" t="s">
        <v>5734</v>
      </c>
    </row>
    <row r="1561" spans="1:14" ht="14.25" x14ac:dyDescent="0.2">
      <c r="A1561" s="11" t="s">
        <v>2017</v>
      </c>
      <c r="B1561" s="12" t="s">
        <v>3732</v>
      </c>
      <c r="C1561" s="10" t="s">
        <v>3757</v>
      </c>
      <c r="D1561" s="13" t="s">
        <v>3754</v>
      </c>
      <c r="E1561" s="29" t="s">
        <v>3</v>
      </c>
      <c r="F1561" s="13" t="s">
        <v>4</v>
      </c>
      <c r="G1561" s="8">
        <v>52</v>
      </c>
      <c r="H1561" s="8"/>
      <c r="I1561" s="8"/>
      <c r="J1561" s="29"/>
      <c r="K1561" s="29" t="s">
        <v>5</v>
      </c>
      <c r="L1561" s="29"/>
      <c r="M1561" s="68">
        <v>1</v>
      </c>
      <c r="N1561" s="68" t="s">
        <v>3289</v>
      </c>
    </row>
    <row r="1562" spans="1:14" ht="14.25" x14ac:dyDescent="0.2">
      <c r="A1562" s="11" t="s">
        <v>2017</v>
      </c>
      <c r="B1562" s="12" t="s">
        <v>3723</v>
      </c>
      <c r="C1562" s="19" t="s">
        <v>3761</v>
      </c>
      <c r="D1562" s="13"/>
      <c r="E1562" s="29" t="s">
        <v>3190</v>
      </c>
      <c r="F1562" s="13" t="s">
        <v>5714</v>
      </c>
      <c r="G1562" s="8"/>
      <c r="H1562" s="8">
        <v>17</v>
      </c>
      <c r="I1562" s="8"/>
      <c r="J1562" s="29" t="s">
        <v>3191</v>
      </c>
      <c r="K1562" s="29" t="s">
        <v>3192</v>
      </c>
      <c r="L1562" s="29"/>
      <c r="M1562" s="68">
        <v>1</v>
      </c>
      <c r="N1562" s="68" t="s">
        <v>5734</v>
      </c>
    </row>
    <row r="1563" spans="1:14" ht="15" x14ac:dyDescent="0.2">
      <c r="A1563" s="56" t="s">
        <v>3219</v>
      </c>
      <c r="B1563" s="57" t="s">
        <v>1432</v>
      </c>
      <c r="C1563" s="61" t="s">
        <v>3757</v>
      </c>
      <c r="D1563" s="29"/>
      <c r="E1563" s="29" t="s">
        <v>7360</v>
      </c>
      <c r="F1563" s="29" t="s">
        <v>3220</v>
      </c>
      <c r="G1563" s="8">
        <v>75</v>
      </c>
      <c r="H1563" s="8"/>
      <c r="I1563" s="8"/>
      <c r="J1563" s="29" t="s">
        <v>3204</v>
      </c>
      <c r="K1563" s="103" t="s">
        <v>3221</v>
      </c>
      <c r="L1563" s="58"/>
      <c r="M1563" s="68">
        <v>1</v>
      </c>
      <c r="N1563" s="68" t="s">
        <v>3203</v>
      </c>
    </row>
    <row r="1564" spans="1:14" ht="15" x14ac:dyDescent="0.2">
      <c r="A1564" s="63" t="s">
        <v>3219</v>
      </c>
      <c r="B1564" s="60" t="s">
        <v>3732</v>
      </c>
      <c r="C1564" s="55" t="s">
        <v>3754</v>
      </c>
      <c r="D1564" s="55" t="s">
        <v>3754</v>
      </c>
      <c r="E1564" s="55" t="s">
        <v>5262</v>
      </c>
      <c r="F1564" s="55" t="s">
        <v>3266</v>
      </c>
      <c r="G1564" s="8">
        <v>1</v>
      </c>
      <c r="H1564" s="8">
        <v>8</v>
      </c>
      <c r="I1564" s="8"/>
      <c r="J1564" s="55" t="s">
        <v>3206</v>
      </c>
      <c r="K1564" s="111" t="s">
        <v>3267</v>
      </c>
      <c r="L1564" s="62"/>
      <c r="M1564" s="68">
        <v>1</v>
      </c>
      <c r="N1564" s="68" t="s">
        <v>3203</v>
      </c>
    </row>
    <row r="1565" spans="1:14" ht="14.25" x14ac:dyDescent="0.2">
      <c r="A1565" s="9" t="s">
        <v>3219</v>
      </c>
      <c r="B1565" s="5" t="s">
        <v>5904</v>
      </c>
      <c r="C1565" s="19" t="s">
        <v>3761</v>
      </c>
      <c r="D1565" s="10" t="s">
        <v>3754</v>
      </c>
      <c r="E1565" s="61" t="s">
        <v>25</v>
      </c>
      <c r="F1565" s="10" t="s">
        <v>26</v>
      </c>
      <c r="G1565" s="8"/>
      <c r="H1565" s="8">
        <v>8</v>
      </c>
      <c r="I1565" s="8"/>
      <c r="J1565" s="55" t="s">
        <v>3206</v>
      </c>
      <c r="K1565" s="55" t="s">
        <v>3434</v>
      </c>
      <c r="L1565" s="61"/>
      <c r="M1565" s="68">
        <v>1</v>
      </c>
      <c r="N1565" s="68" t="s">
        <v>3289</v>
      </c>
    </row>
    <row r="1566" spans="1:14" ht="14.25" x14ac:dyDescent="0.2">
      <c r="A1566" s="11" t="s">
        <v>3930</v>
      </c>
      <c r="B1566" s="12" t="s">
        <v>3723</v>
      </c>
      <c r="C1566" s="10" t="s">
        <v>3757</v>
      </c>
      <c r="D1566" s="13" t="s">
        <v>3754</v>
      </c>
      <c r="E1566" s="29" t="s">
        <v>3931</v>
      </c>
      <c r="F1566" s="13" t="s">
        <v>3932</v>
      </c>
      <c r="G1566" s="8">
        <v>80</v>
      </c>
      <c r="H1566" s="8"/>
      <c r="I1566" s="8"/>
      <c r="J1566" s="29" t="s">
        <v>1277</v>
      </c>
      <c r="K1566" s="29" t="s">
        <v>1505</v>
      </c>
      <c r="L1566" s="29"/>
      <c r="M1566" s="68">
        <v>1</v>
      </c>
      <c r="N1566" s="68" t="s">
        <v>3289</v>
      </c>
    </row>
    <row r="1567" spans="1:14" ht="14.25" x14ac:dyDescent="0.2">
      <c r="A1567" s="9" t="s">
        <v>5861</v>
      </c>
      <c r="B1567" s="5" t="s">
        <v>3739</v>
      </c>
      <c r="C1567" s="10" t="s">
        <v>3757</v>
      </c>
      <c r="D1567" s="21" t="s">
        <v>3754</v>
      </c>
      <c r="E1567" s="61" t="s">
        <v>4591</v>
      </c>
      <c r="F1567" s="10" t="s">
        <v>5863</v>
      </c>
      <c r="G1567" s="8">
        <v>49</v>
      </c>
      <c r="H1567" s="8"/>
      <c r="I1567" s="8"/>
      <c r="J1567" s="55" t="s">
        <v>1264</v>
      </c>
      <c r="K1567" s="55" t="s">
        <v>3196</v>
      </c>
      <c r="L1567" s="61"/>
      <c r="M1567" s="68">
        <v>1</v>
      </c>
      <c r="N1567" s="68" t="s">
        <v>5734</v>
      </c>
    </row>
    <row r="1568" spans="1:14" ht="14.25" x14ac:dyDescent="0.2">
      <c r="A1568" s="9" t="s">
        <v>5861</v>
      </c>
      <c r="B1568" s="5" t="s">
        <v>4701</v>
      </c>
      <c r="C1568" s="21" t="s">
        <v>3757</v>
      </c>
      <c r="D1568" s="10" t="s">
        <v>3754</v>
      </c>
      <c r="E1568" s="61" t="s">
        <v>5862</v>
      </c>
      <c r="F1568" s="10" t="s">
        <v>5863</v>
      </c>
      <c r="G1568" s="8">
        <v>55</v>
      </c>
      <c r="H1568" s="8"/>
      <c r="I1568" s="8"/>
      <c r="J1568" s="55" t="s">
        <v>2989</v>
      </c>
      <c r="K1568" s="55" t="s">
        <v>4825</v>
      </c>
      <c r="L1568" s="61"/>
      <c r="M1568" s="68">
        <v>1</v>
      </c>
      <c r="N1568" s="68" t="s">
        <v>5734</v>
      </c>
    </row>
    <row r="1569" spans="1:14" ht="15" x14ac:dyDescent="0.2">
      <c r="A1569" s="56" t="s">
        <v>3285</v>
      </c>
      <c r="B1569" s="57" t="s">
        <v>207</v>
      </c>
      <c r="C1569" s="55" t="s">
        <v>7735</v>
      </c>
      <c r="D1569" s="29" t="s">
        <v>3754</v>
      </c>
      <c r="E1569" s="29" t="s">
        <v>2412</v>
      </c>
      <c r="F1569" s="29" t="s">
        <v>3286</v>
      </c>
      <c r="G1569" s="8">
        <v>3</v>
      </c>
      <c r="H1569" s="8"/>
      <c r="I1569" s="8"/>
      <c r="J1569" s="29" t="s">
        <v>3287</v>
      </c>
      <c r="K1569" s="103" t="s">
        <v>3288</v>
      </c>
      <c r="L1569" s="58"/>
      <c r="M1569" s="68">
        <v>1</v>
      </c>
      <c r="N1569" s="68" t="s">
        <v>3203</v>
      </c>
    </row>
    <row r="1570" spans="1:14" ht="14.25" x14ac:dyDescent="0.2">
      <c r="A1570" s="11" t="s">
        <v>3285</v>
      </c>
      <c r="B1570" s="12" t="s">
        <v>5073</v>
      </c>
      <c r="C1570" s="19" t="s">
        <v>3761</v>
      </c>
      <c r="D1570" s="13" t="s">
        <v>3754</v>
      </c>
      <c r="E1570" s="29" t="s">
        <v>1506</v>
      </c>
      <c r="F1570" s="13" t="s">
        <v>3935</v>
      </c>
      <c r="G1570" s="8"/>
      <c r="H1570" s="8">
        <v>11</v>
      </c>
      <c r="I1570" s="8"/>
      <c r="J1570" s="29" t="s">
        <v>3936</v>
      </c>
      <c r="K1570" s="29" t="s">
        <v>1346</v>
      </c>
      <c r="L1570" s="95"/>
      <c r="M1570" s="68">
        <v>1</v>
      </c>
      <c r="N1570" s="68" t="s">
        <v>3289</v>
      </c>
    </row>
    <row r="1571" spans="1:14" ht="15" x14ac:dyDescent="0.2">
      <c r="A1571" s="56" t="s">
        <v>1973</v>
      </c>
      <c r="B1571" s="57" t="s">
        <v>7789</v>
      </c>
      <c r="C1571" s="55" t="s">
        <v>3757</v>
      </c>
      <c r="D1571" s="29" t="s">
        <v>3754</v>
      </c>
      <c r="E1571" s="29" t="s">
        <v>6830</v>
      </c>
      <c r="F1571" s="29" t="s">
        <v>3270</v>
      </c>
      <c r="G1571" s="8">
        <v>24</v>
      </c>
      <c r="H1571" s="8"/>
      <c r="I1571" s="8"/>
      <c r="J1571" s="29" t="s">
        <v>3206</v>
      </c>
      <c r="K1571" s="103" t="s">
        <v>3271</v>
      </c>
      <c r="L1571" s="58"/>
      <c r="M1571" s="68">
        <v>1</v>
      </c>
      <c r="N1571" s="68" t="s">
        <v>3203</v>
      </c>
    </row>
    <row r="1572" spans="1:14" ht="28.5" x14ac:dyDescent="0.2">
      <c r="A1572" s="11" t="s">
        <v>1973</v>
      </c>
      <c r="B1572" s="12" t="s">
        <v>5729</v>
      </c>
      <c r="C1572" s="10" t="s">
        <v>3754</v>
      </c>
      <c r="D1572" s="13" t="s">
        <v>3754</v>
      </c>
      <c r="E1572" s="29" t="s">
        <v>1406</v>
      </c>
      <c r="F1572" s="13" t="s">
        <v>5730</v>
      </c>
      <c r="G1572" s="21"/>
      <c r="H1572" s="21">
        <v>6</v>
      </c>
      <c r="I1572" s="21"/>
      <c r="J1572" s="29" t="s">
        <v>5731</v>
      </c>
      <c r="K1572" s="29" t="s">
        <v>3048</v>
      </c>
      <c r="L1572" s="29"/>
      <c r="M1572" s="68">
        <v>1</v>
      </c>
      <c r="N1572" s="68" t="s">
        <v>1972</v>
      </c>
    </row>
    <row r="1573" spans="1:14" ht="15" x14ac:dyDescent="0.2">
      <c r="A1573" s="56" t="s">
        <v>1973</v>
      </c>
      <c r="B1573" s="57" t="s">
        <v>3732</v>
      </c>
      <c r="C1573" s="55" t="s">
        <v>3754</v>
      </c>
      <c r="D1573" s="29" t="s">
        <v>3754</v>
      </c>
      <c r="E1573" s="29" t="s">
        <v>2414</v>
      </c>
      <c r="F1573" s="29" t="s">
        <v>3281</v>
      </c>
      <c r="G1573" s="8">
        <v>1</v>
      </c>
      <c r="H1573" s="8">
        <v>9</v>
      </c>
      <c r="I1573" s="8"/>
      <c r="J1573" s="29" t="s">
        <v>3206</v>
      </c>
      <c r="K1573" s="103" t="s">
        <v>3282</v>
      </c>
      <c r="L1573" s="58"/>
      <c r="M1573" s="68">
        <v>1</v>
      </c>
      <c r="N1573" s="68" t="s">
        <v>3203</v>
      </c>
    </row>
    <row r="1574" spans="1:14" ht="14.25" x14ac:dyDescent="0.2">
      <c r="A1574" s="11" t="s">
        <v>1973</v>
      </c>
      <c r="B1574" s="12" t="s">
        <v>3723</v>
      </c>
      <c r="C1574" s="19" t="s">
        <v>3761</v>
      </c>
      <c r="D1574" s="13" t="s">
        <v>3754</v>
      </c>
      <c r="E1574" s="29" t="s">
        <v>3197</v>
      </c>
      <c r="F1574" s="13" t="s">
        <v>3198</v>
      </c>
      <c r="G1574" s="8"/>
      <c r="H1574" s="8"/>
      <c r="I1574" s="8">
        <v>5</v>
      </c>
      <c r="J1574" s="29" t="s">
        <v>3769</v>
      </c>
      <c r="K1574" s="29" t="s">
        <v>3199</v>
      </c>
      <c r="L1574" s="29"/>
      <c r="M1574" s="68">
        <v>1</v>
      </c>
      <c r="N1574" s="68" t="s">
        <v>5734</v>
      </c>
    </row>
    <row r="1575" spans="1:14" ht="14.25" x14ac:dyDescent="0.2">
      <c r="A1575" s="11" t="s">
        <v>1973</v>
      </c>
      <c r="B1575" s="12" t="s">
        <v>7790</v>
      </c>
      <c r="C1575" s="19" t="s">
        <v>3761</v>
      </c>
      <c r="D1575" s="13" t="s">
        <v>3754</v>
      </c>
      <c r="E1575" s="29"/>
      <c r="F1575" s="13" t="s">
        <v>5755</v>
      </c>
      <c r="G1575" s="8">
        <v>18</v>
      </c>
      <c r="H1575" s="8">
        <v>2</v>
      </c>
      <c r="I1575" s="8"/>
      <c r="J1575" s="29" t="s">
        <v>5945</v>
      </c>
      <c r="K1575" s="29" t="s">
        <v>5643</v>
      </c>
      <c r="L1575" s="29"/>
      <c r="M1575" s="68">
        <v>1</v>
      </c>
      <c r="N1575" s="68" t="s">
        <v>5734</v>
      </c>
    </row>
    <row r="1576" spans="1:14" ht="14.25" x14ac:dyDescent="0.2">
      <c r="A1576" s="11" t="s">
        <v>1973</v>
      </c>
      <c r="B1576" s="12" t="s">
        <v>8616</v>
      </c>
      <c r="C1576" s="10" t="s">
        <v>3757</v>
      </c>
      <c r="D1576" s="13" t="s">
        <v>3754</v>
      </c>
      <c r="E1576" s="29" t="s">
        <v>1330</v>
      </c>
      <c r="F1576" s="13" t="s">
        <v>5885</v>
      </c>
      <c r="G1576" s="8">
        <v>77</v>
      </c>
      <c r="H1576" s="8"/>
      <c r="I1576" s="8"/>
      <c r="J1576" s="29" t="s">
        <v>1271</v>
      </c>
      <c r="K1576" s="29" t="s">
        <v>5886</v>
      </c>
      <c r="L1576" s="29"/>
      <c r="M1576" s="68">
        <v>1</v>
      </c>
      <c r="N1576" s="68" t="s">
        <v>5734</v>
      </c>
    </row>
    <row r="1577" spans="1:14" ht="14.25" x14ac:dyDescent="0.2">
      <c r="A1577" s="11" t="s">
        <v>1973</v>
      </c>
      <c r="B1577" s="12" t="s">
        <v>4701</v>
      </c>
      <c r="C1577" s="10" t="s">
        <v>3757</v>
      </c>
      <c r="D1577" s="13" t="s">
        <v>3754</v>
      </c>
      <c r="E1577" s="29" t="s">
        <v>5882</v>
      </c>
      <c r="F1577" s="13" t="s">
        <v>5883</v>
      </c>
      <c r="G1577" s="8">
        <v>55</v>
      </c>
      <c r="H1577" s="8"/>
      <c r="I1577" s="8"/>
      <c r="J1577" s="29" t="s">
        <v>1264</v>
      </c>
      <c r="K1577" s="29" t="s">
        <v>5884</v>
      </c>
      <c r="L1577" s="29"/>
      <c r="M1577" s="68">
        <v>1</v>
      </c>
      <c r="N1577" s="68" t="s">
        <v>5734</v>
      </c>
    </row>
    <row r="1578" spans="1:14" ht="14.25" x14ac:dyDescent="0.2">
      <c r="A1578" s="11" t="s">
        <v>1973</v>
      </c>
      <c r="B1578" s="12" t="s">
        <v>1445</v>
      </c>
      <c r="C1578" s="21" t="s">
        <v>3768</v>
      </c>
      <c r="D1578" s="13" t="s">
        <v>1974</v>
      </c>
      <c r="E1578" s="29" t="s">
        <v>1975</v>
      </c>
      <c r="F1578" s="13" t="s">
        <v>1974</v>
      </c>
      <c r="G1578" s="21">
        <v>25</v>
      </c>
      <c r="H1578" s="21"/>
      <c r="I1578" s="21"/>
      <c r="J1578" s="29" t="s">
        <v>1976</v>
      </c>
      <c r="K1578" s="29" t="s">
        <v>1977</v>
      </c>
      <c r="L1578" s="29"/>
      <c r="M1578" s="68">
        <v>1</v>
      </c>
      <c r="N1578" s="68" t="s">
        <v>1972</v>
      </c>
    </row>
    <row r="1579" spans="1:14" ht="15" x14ac:dyDescent="0.2">
      <c r="A1579" s="56" t="s">
        <v>2011</v>
      </c>
      <c r="B1579" s="57" t="s">
        <v>3748</v>
      </c>
      <c r="C1579" s="55" t="s">
        <v>3757</v>
      </c>
      <c r="D1579" s="29"/>
      <c r="E1579" s="29" t="s">
        <v>3221</v>
      </c>
      <c r="F1579" s="29" t="s">
        <v>3222</v>
      </c>
      <c r="G1579" s="8">
        <v>77</v>
      </c>
      <c r="H1579" s="8"/>
      <c r="I1579" s="8"/>
      <c r="J1579" s="29" t="s">
        <v>3204</v>
      </c>
      <c r="K1579" s="103" t="s">
        <v>3223</v>
      </c>
      <c r="L1579" s="58"/>
      <c r="M1579" s="68">
        <v>1</v>
      </c>
      <c r="N1579" s="68" t="s">
        <v>3203</v>
      </c>
    </row>
    <row r="1580" spans="1:14" ht="15" x14ac:dyDescent="0.2">
      <c r="A1580" s="56" t="s">
        <v>2011</v>
      </c>
      <c r="B1580" s="57" t="s">
        <v>3734</v>
      </c>
      <c r="C1580" s="55" t="s">
        <v>3754</v>
      </c>
      <c r="D1580" s="29" t="s">
        <v>3754</v>
      </c>
      <c r="E1580" s="29" t="s">
        <v>6022</v>
      </c>
      <c r="F1580" s="29" t="s">
        <v>3230</v>
      </c>
      <c r="G1580" s="8">
        <v>22</v>
      </c>
      <c r="H1580" s="8"/>
      <c r="I1580" s="8"/>
      <c r="J1580" s="29" t="s">
        <v>3231</v>
      </c>
      <c r="K1580" s="103" t="s">
        <v>3232</v>
      </c>
      <c r="L1580" s="58"/>
      <c r="M1580" s="68">
        <v>1</v>
      </c>
      <c r="N1580" s="68" t="s">
        <v>3203</v>
      </c>
    </row>
    <row r="1581" spans="1:14" ht="14.25" x14ac:dyDescent="0.2">
      <c r="A1581" s="11" t="s">
        <v>2011</v>
      </c>
      <c r="B1581" s="12" t="s">
        <v>3734</v>
      </c>
      <c r="C1581" s="21" t="s">
        <v>3757</v>
      </c>
      <c r="D1581" s="13" t="s">
        <v>1960</v>
      </c>
      <c r="E1581" s="29" t="s">
        <v>2012</v>
      </c>
      <c r="F1581" s="13" t="s">
        <v>1960</v>
      </c>
      <c r="G1581" s="21">
        <v>24</v>
      </c>
      <c r="H1581" s="21"/>
      <c r="I1581" s="21"/>
      <c r="J1581" s="29" t="s">
        <v>2335</v>
      </c>
      <c r="K1581" s="29" t="s">
        <v>2013</v>
      </c>
      <c r="L1581" s="29"/>
      <c r="M1581" s="68">
        <v>1</v>
      </c>
      <c r="N1581" s="68" t="s">
        <v>1972</v>
      </c>
    </row>
    <row r="1582" spans="1:14" ht="15" x14ac:dyDescent="0.2">
      <c r="A1582" s="56" t="s">
        <v>2011</v>
      </c>
      <c r="B1582" s="57" t="s">
        <v>3734</v>
      </c>
      <c r="C1582" s="55" t="s">
        <v>3757</v>
      </c>
      <c r="D1582" s="29" t="s">
        <v>3754</v>
      </c>
      <c r="E1582" s="29" t="s">
        <v>537</v>
      </c>
      <c r="F1582" s="29" t="s">
        <v>3754</v>
      </c>
      <c r="G1582" s="8">
        <v>78</v>
      </c>
      <c r="H1582" s="8"/>
      <c r="I1582" s="8"/>
      <c r="J1582" s="29" t="s">
        <v>3204</v>
      </c>
      <c r="K1582" s="103" t="s">
        <v>8640</v>
      </c>
      <c r="L1582" s="58"/>
      <c r="M1582" s="68">
        <v>1</v>
      </c>
      <c r="N1582" s="68" t="s">
        <v>3203</v>
      </c>
    </row>
    <row r="1583" spans="1:14" ht="14.25" x14ac:dyDescent="0.2">
      <c r="A1583" s="11" t="s">
        <v>2011</v>
      </c>
      <c r="B1583" s="12" t="s">
        <v>2014</v>
      </c>
      <c r="C1583" s="21" t="s">
        <v>8621</v>
      </c>
      <c r="D1583" s="13" t="s">
        <v>8621</v>
      </c>
      <c r="E1583" s="29" t="s">
        <v>2015</v>
      </c>
      <c r="F1583" s="13" t="s">
        <v>1907</v>
      </c>
      <c r="G1583" s="21">
        <v>29</v>
      </c>
      <c r="H1583" s="21">
        <v>4</v>
      </c>
      <c r="I1583" s="21"/>
      <c r="J1583" s="29" t="s">
        <v>2016</v>
      </c>
      <c r="K1583" s="29" t="s">
        <v>2013</v>
      </c>
      <c r="L1583" s="29"/>
      <c r="M1583" s="68">
        <v>1</v>
      </c>
      <c r="N1583" s="68" t="s">
        <v>1972</v>
      </c>
    </row>
    <row r="1584" spans="1:14" ht="14.25" x14ac:dyDescent="0.2">
      <c r="A1584" s="11" t="s">
        <v>2011</v>
      </c>
      <c r="B1584" s="12" t="s">
        <v>1432</v>
      </c>
      <c r="C1584" s="10" t="s">
        <v>3757</v>
      </c>
      <c r="D1584" s="13" t="s">
        <v>3754</v>
      </c>
      <c r="E1584" s="29" t="s">
        <v>4573</v>
      </c>
      <c r="F1584" s="13" t="s">
        <v>5881</v>
      </c>
      <c r="G1584" s="8">
        <v>66</v>
      </c>
      <c r="H1584" s="8"/>
      <c r="I1584" s="8"/>
      <c r="J1584" s="29" t="s">
        <v>4746</v>
      </c>
      <c r="K1584" s="29" t="s">
        <v>5880</v>
      </c>
      <c r="L1584" s="29"/>
      <c r="M1584" s="68">
        <v>1</v>
      </c>
      <c r="N1584" s="68" t="s">
        <v>5734</v>
      </c>
    </row>
    <row r="1585" spans="1:14" ht="14.25" x14ac:dyDescent="0.2">
      <c r="A1585" s="11" t="s">
        <v>2011</v>
      </c>
      <c r="B1585" s="12" t="s">
        <v>1809</v>
      </c>
      <c r="C1585" s="19" t="s">
        <v>3761</v>
      </c>
      <c r="D1585" s="13" t="s">
        <v>3754</v>
      </c>
      <c r="E1585" s="29" t="s">
        <v>3387</v>
      </c>
      <c r="F1585" s="13" t="s">
        <v>3923</v>
      </c>
      <c r="G1585" s="8">
        <v>2</v>
      </c>
      <c r="H1585" s="8">
        <v>6</v>
      </c>
      <c r="I1585" s="8"/>
      <c r="J1585" s="29" t="s">
        <v>1258</v>
      </c>
      <c r="K1585" s="29" t="s">
        <v>112</v>
      </c>
      <c r="L1585" s="29" t="s">
        <v>113</v>
      </c>
      <c r="M1585" s="68">
        <v>1</v>
      </c>
      <c r="N1585" s="68" t="s">
        <v>3937</v>
      </c>
    </row>
    <row r="1586" spans="1:14" ht="14.25" x14ac:dyDescent="0.2">
      <c r="A1586" s="11" t="s">
        <v>2011</v>
      </c>
      <c r="B1586" s="12" t="s">
        <v>1809</v>
      </c>
      <c r="C1586" s="10" t="s">
        <v>3757</v>
      </c>
      <c r="D1586" s="13" t="s">
        <v>3754</v>
      </c>
      <c r="E1586" s="29" t="s">
        <v>3922</v>
      </c>
      <c r="F1586" s="13" t="s">
        <v>3923</v>
      </c>
      <c r="G1586" s="8">
        <v>33</v>
      </c>
      <c r="H1586" s="8"/>
      <c r="I1586" s="8"/>
      <c r="J1586" s="29" t="s">
        <v>3206</v>
      </c>
      <c r="K1586" s="29" t="s">
        <v>3924</v>
      </c>
      <c r="L1586" s="29"/>
      <c r="M1586" s="68">
        <v>1</v>
      </c>
      <c r="N1586" s="68" t="s">
        <v>3289</v>
      </c>
    </row>
    <row r="1587" spans="1:14" ht="30" x14ac:dyDescent="0.2">
      <c r="A1587" s="56" t="s">
        <v>2011</v>
      </c>
      <c r="B1587" s="57" t="s">
        <v>8660</v>
      </c>
      <c r="C1587" s="61"/>
      <c r="D1587" s="29"/>
      <c r="E1587" s="29"/>
      <c r="F1587" s="29"/>
      <c r="G1587" s="8"/>
      <c r="H1587" s="8"/>
      <c r="I1587" s="8"/>
      <c r="J1587" s="29"/>
      <c r="K1587" s="103" t="s">
        <v>8081</v>
      </c>
      <c r="L1587" s="58" t="s">
        <v>3278</v>
      </c>
      <c r="M1587" s="68">
        <v>1</v>
      </c>
      <c r="N1587" s="68" t="s">
        <v>3203</v>
      </c>
    </row>
    <row r="1588" spans="1:14" ht="15" x14ac:dyDescent="0.2">
      <c r="A1588" s="56" t="s">
        <v>2011</v>
      </c>
      <c r="B1588" s="57" t="s">
        <v>3728</v>
      </c>
      <c r="C1588" s="55" t="s">
        <v>3757</v>
      </c>
      <c r="D1588" s="29" t="s">
        <v>3754</v>
      </c>
      <c r="E1588" s="29" t="s">
        <v>6837</v>
      </c>
      <c r="F1588" s="29" t="s">
        <v>3274</v>
      </c>
      <c r="G1588" s="8">
        <v>76</v>
      </c>
      <c r="H1588" s="8"/>
      <c r="I1588" s="8"/>
      <c r="J1588" s="29" t="s">
        <v>3204</v>
      </c>
      <c r="K1588" s="103" t="s">
        <v>6839</v>
      </c>
      <c r="L1588" s="58"/>
      <c r="M1588" s="68">
        <v>1</v>
      </c>
      <c r="N1588" s="68" t="s">
        <v>3203</v>
      </c>
    </row>
    <row r="1589" spans="1:14" ht="14.25" x14ac:dyDescent="0.2">
      <c r="A1589" s="11" t="s">
        <v>2011</v>
      </c>
      <c r="B1589" s="12" t="s">
        <v>4685</v>
      </c>
      <c r="C1589" s="10" t="s">
        <v>3757</v>
      </c>
      <c r="D1589" s="13" t="s">
        <v>3754</v>
      </c>
      <c r="E1589" s="29" t="s">
        <v>3125</v>
      </c>
      <c r="F1589" s="13" t="s">
        <v>3126</v>
      </c>
      <c r="G1589" s="8">
        <v>38</v>
      </c>
      <c r="H1589" s="8"/>
      <c r="I1589" s="8"/>
      <c r="J1589" s="29" t="s">
        <v>4738</v>
      </c>
      <c r="K1589" s="29" t="s">
        <v>5552</v>
      </c>
      <c r="L1589" s="29"/>
      <c r="M1589" s="68">
        <v>1</v>
      </c>
      <c r="N1589" s="68" t="s">
        <v>5734</v>
      </c>
    </row>
    <row r="1590" spans="1:14" ht="14.25" x14ac:dyDescent="0.2">
      <c r="A1590" s="11" t="s">
        <v>2011</v>
      </c>
      <c r="B1590" s="12" t="s">
        <v>4685</v>
      </c>
      <c r="C1590" s="10" t="s">
        <v>3757</v>
      </c>
      <c r="D1590" s="13" t="s">
        <v>3754</v>
      </c>
      <c r="E1590" s="29" t="s">
        <v>6547</v>
      </c>
      <c r="F1590" s="13" t="s">
        <v>3915</v>
      </c>
      <c r="G1590" s="8">
        <v>72</v>
      </c>
      <c r="H1590" s="8"/>
      <c r="I1590" s="8"/>
      <c r="J1590" s="29" t="s">
        <v>3308</v>
      </c>
      <c r="K1590" s="29" t="s">
        <v>6549</v>
      </c>
      <c r="L1590" s="29"/>
      <c r="M1590" s="68">
        <v>1</v>
      </c>
      <c r="N1590" s="68" t="s">
        <v>3289</v>
      </c>
    </row>
    <row r="1591" spans="1:14" ht="14.25" x14ac:dyDescent="0.2">
      <c r="A1591" s="9" t="s">
        <v>2011</v>
      </c>
      <c r="B1591" s="5" t="s">
        <v>7791</v>
      </c>
      <c r="C1591" s="19" t="s">
        <v>3761</v>
      </c>
      <c r="D1591" s="10" t="s">
        <v>3754</v>
      </c>
      <c r="E1591" s="61" t="s">
        <v>6663</v>
      </c>
      <c r="F1591" s="10" t="s">
        <v>20</v>
      </c>
      <c r="G1591" s="8">
        <v>22</v>
      </c>
      <c r="H1591" s="8"/>
      <c r="I1591" s="8"/>
      <c r="J1591" s="55" t="s">
        <v>2223</v>
      </c>
      <c r="K1591" s="55" t="s">
        <v>6665</v>
      </c>
      <c r="L1591" s="61"/>
      <c r="M1591" s="68">
        <v>1</v>
      </c>
      <c r="N1591" s="68" t="s">
        <v>3289</v>
      </c>
    </row>
    <row r="1592" spans="1:14" ht="15" x14ac:dyDescent="0.2">
      <c r="A1592" s="63" t="s">
        <v>2011</v>
      </c>
      <c r="B1592" s="60" t="s">
        <v>3740</v>
      </c>
      <c r="C1592" s="55" t="s">
        <v>3754</v>
      </c>
      <c r="D1592" s="55"/>
      <c r="E1592" s="61" t="s">
        <v>278</v>
      </c>
      <c r="F1592" s="55" t="s">
        <v>3217</v>
      </c>
      <c r="G1592" s="8">
        <v>19</v>
      </c>
      <c r="H1592" s="8"/>
      <c r="I1592" s="8"/>
      <c r="J1592" s="55" t="s">
        <v>3206</v>
      </c>
      <c r="K1592" s="111" t="s">
        <v>3218</v>
      </c>
      <c r="L1592" s="62"/>
      <c r="M1592" s="68">
        <v>1</v>
      </c>
      <c r="N1592" s="68" t="s">
        <v>3203</v>
      </c>
    </row>
    <row r="1593" spans="1:14" ht="14.25" x14ac:dyDescent="0.2">
      <c r="A1593" s="11" t="s">
        <v>2011</v>
      </c>
      <c r="B1593" s="12" t="s">
        <v>3740</v>
      </c>
      <c r="C1593" s="19" t="s">
        <v>3761</v>
      </c>
      <c r="D1593" s="13" t="s">
        <v>3754</v>
      </c>
      <c r="E1593" s="29" t="s">
        <v>3946</v>
      </c>
      <c r="F1593" s="13" t="s">
        <v>3947</v>
      </c>
      <c r="G1593" s="26">
        <v>60</v>
      </c>
      <c r="H1593" s="26"/>
      <c r="I1593" s="26"/>
      <c r="J1593" s="29" t="s">
        <v>1267</v>
      </c>
      <c r="K1593" s="29" t="s">
        <v>1145</v>
      </c>
      <c r="L1593" s="29" t="s">
        <v>3948</v>
      </c>
      <c r="M1593" s="68">
        <v>1</v>
      </c>
      <c r="N1593" s="68" t="s">
        <v>3937</v>
      </c>
    </row>
    <row r="1594" spans="1:14" ht="15" x14ac:dyDescent="0.2">
      <c r="A1594" s="56" t="s">
        <v>2011</v>
      </c>
      <c r="B1594" s="57" t="s">
        <v>3740</v>
      </c>
      <c r="C1594" s="61" t="s">
        <v>3754</v>
      </c>
      <c r="D1594" s="29" t="s">
        <v>3754</v>
      </c>
      <c r="E1594" s="29" t="s">
        <v>2848</v>
      </c>
      <c r="F1594" s="29" t="s">
        <v>3275</v>
      </c>
      <c r="G1594" s="26"/>
      <c r="H1594" s="26">
        <v>1</v>
      </c>
      <c r="I1594" s="26"/>
      <c r="J1594" s="29" t="s">
        <v>3276</v>
      </c>
      <c r="K1594" s="103" t="s">
        <v>3277</v>
      </c>
      <c r="L1594" s="58"/>
      <c r="M1594" s="68">
        <v>1</v>
      </c>
      <c r="N1594" s="68" t="s">
        <v>3203</v>
      </c>
    </row>
    <row r="1595" spans="1:14" ht="14.25" x14ac:dyDescent="0.2">
      <c r="A1595" s="11" t="s">
        <v>2011</v>
      </c>
      <c r="B1595" s="12" t="s">
        <v>5029</v>
      </c>
      <c r="C1595" s="13" t="s">
        <v>8621</v>
      </c>
      <c r="D1595" s="13" t="s">
        <v>1464</v>
      </c>
      <c r="E1595" s="29" t="s">
        <v>2027</v>
      </c>
      <c r="F1595" s="13" t="s">
        <v>1960</v>
      </c>
      <c r="G1595" s="13">
        <v>6</v>
      </c>
      <c r="H1595" s="13"/>
      <c r="I1595" s="13">
        <v>10</v>
      </c>
      <c r="J1595" s="29" t="s">
        <v>2028</v>
      </c>
      <c r="K1595" s="29" t="s">
        <v>2027</v>
      </c>
      <c r="L1595" s="29"/>
      <c r="M1595" s="68">
        <v>1</v>
      </c>
      <c r="N1595" s="68" t="s">
        <v>1972</v>
      </c>
    </row>
    <row r="1596" spans="1:14" ht="14.25" x14ac:dyDescent="0.2">
      <c r="A1596" s="11" t="s">
        <v>2011</v>
      </c>
      <c r="B1596" s="12" t="s">
        <v>5517</v>
      </c>
      <c r="C1596" s="16" t="s">
        <v>3761</v>
      </c>
      <c r="D1596" s="13" t="s">
        <v>1557</v>
      </c>
      <c r="E1596" s="29" t="s">
        <v>5889</v>
      </c>
      <c r="F1596" s="13" t="s">
        <v>1557</v>
      </c>
      <c r="G1596" s="26"/>
      <c r="H1596" s="26">
        <v>10</v>
      </c>
      <c r="I1596" s="26"/>
      <c r="J1596" s="29" t="s">
        <v>4579</v>
      </c>
      <c r="K1596" s="29" t="s">
        <v>6730</v>
      </c>
      <c r="L1596" s="29"/>
      <c r="M1596" s="68">
        <v>1</v>
      </c>
      <c r="N1596" s="68" t="s">
        <v>5734</v>
      </c>
    </row>
    <row r="1597" spans="1:14" ht="14.25" x14ac:dyDescent="0.2">
      <c r="A1597" s="9" t="s">
        <v>2011</v>
      </c>
      <c r="B1597" s="5" t="s">
        <v>4687</v>
      </c>
      <c r="C1597" s="13" t="s">
        <v>8621</v>
      </c>
      <c r="D1597" s="10" t="s">
        <v>6227</v>
      </c>
      <c r="E1597" s="55" t="s">
        <v>6</v>
      </c>
      <c r="F1597" s="10" t="s">
        <v>7</v>
      </c>
      <c r="G1597" s="8"/>
      <c r="H1597" s="8">
        <v>6</v>
      </c>
      <c r="I1597" s="8"/>
      <c r="J1597" s="55" t="s">
        <v>8</v>
      </c>
      <c r="K1597" s="61" t="s">
        <v>2907</v>
      </c>
      <c r="L1597" s="61"/>
      <c r="M1597" s="68">
        <v>1</v>
      </c>
      <c r="N1597" s="68" t="s">
        <v>3289</v>
      </c>
    </row>
    <row r="1598" spans="1:14" ht="15" x14ac:dyDescent="0.2">
      <c r="A1598" s="63" t="s">
        <v>2011</v>
      </c>
      <c r="B1598" s="60" t="s">
        <v>3732</v>
      </c>
      <c r="C1598" s="29" t="s">
        <v>3757</v>
      </c>
      <c r="D1598" s="55" t="s">
        <v>3754</v>
      </c>
      <c r="E1598" s="61" t="s">
        <v>2415</v>
      </c>
      <c r="F1598" s="55" t="s">
        <v>3247</v>
      </c>
      <c r="G1598" s="8">
        <v>95</v>
      </c>
      <c r="H1598" s="8"/>
      <c r="I1598" s="8"/>
      <c r="J1598" s="55" t="s">
        <v>3204</v>
      </c>
      <c r="K1598" s="111" t="s">
        <v>2076</v>
      </c>
      <c r="L1598" s="62"/>
      <c r="M1598" s="68">
        <v>1</v>
      </c>
      <c r="N1598" s="68" t="s">
        <v>3203</v>
      </c>
    </row>
    <row r="1599" spans="1:14" ht="14.25" x14ac:dyDescent="0.2">
      <c r="A1599" s="11" t="s">
        <v>2011</v>
      </c>
      <c r="B1599" s="12" t="s">
        <v>7792</v>
      </c>
      <c r="C1599" s="16" t="s">
        <v>3761</v>
      </c>
      <c r="D1599" s="13" t="s">
        <v>3754</v>
      </c>
      <c r="E1599" s="29" t="s">
        <v>3300</v>
      </c>
      <c r="F1599" s="13" t="s">
        <v>3301</v>
      </c>
      <c r="G1599" s="26">
        <v>1</v>
      </c>
      <c r="H1599" s="26">
        <v>8</v>
      </c>
      <c r="I1599" s="26"/>
      <c r="J1599" s="29" t="s">
        <v>1270</v>
      </c>
      <c r="K1599" s="29" t="s">
        <v>3321</v>
      </c>
      <c r="L1599" s="29"/>
      <c r="M1599" s="68">
        <v>1</v>
      </c>
      <c r="N1599" s="68" t="s">
        <v>3289</v>
      </c>
    </row>
    <row r="1600" spans="1:14" ht="14.25" x14ac:dyDescent="0.2">
      <c r="A1600" s="11" t="s">
        <v>2011</v>
      </c>
      <c r="B1600" s="12" t="s">
        <v>3723</v>
      </c>
      <c r="C1600" s="13" t="s">
        <v>3757</v>
      </c>
      <c r="D1600" s="13" t="s">
        <v>1604</v>
      </c>
      <c r="E1600" s="29" t="s">
        <v>1464</v>
      </c>
      <c r="F1600" s="13" t="s">
        <v>2025</v>
      </c>
      <c r="G1600" s="13">
        <v>22</v>
      </c>
      <c r="H1600" s="13">
        <v>6</v>
      </c>
      <c r="I1600" s="13" t="s">
        <v>1464</v>
      </c>
      <c r="J1600" s="29" t="s">
        <v>1264</v>
      </c>
      <c r="K1600" s="29" t="s">
        <v>2026</v>
      </c>
      <c r="L1600" s="29"/>
      <c r="M1600" s="68">
        <v>1</v>
      </c>
      <c r="N1600" s="68" t="s">
        <v>1972</v>
      </c>
    </row>
    <row r="1601" spans="1:14" ht="15" x14ac:dyDescent="0.2">
      <c r="A1601" s="56" t="s">
        <v>2011</v>
      </c>
      <c r="B1601" s="57" t="s">
        <v>3750</v>
      </c>
      <c r="C1601" s="29" t="s">
        <v>3757</v>
      </c>
      <c r="D1601" s="29" t="s">
        <v>3754</v>
      </c>
      <c r="E1601" s="29" t="s">
        <v>2421</v>
      </c>
      <c r="F1601" s="29" t="s">
        <v>3268</v>
      </c>
      <c r="G1601" s="26">
        <v>51</v>
      </c>
      <c r="H1601" s="26"/>
      <c r="I1601" s="26"/>
      <c r="J1601" s="29" t="s">
        <v>3225</v>
      </c>
      <c r="K1601" s="103" t="s">
        <v>3239</v>
      </c>
      <c r="L1601" s="58"/>
      <c r="M1601" s="68">
        <v>1</v>
      </c>
      <c r="N1601" s="68" t="s">
        <v>3203</v>
      </c>
    </row>
    <row r="1602" spans="1:14" ht="15" x14ac:dyDescent="0.2">
      <c r="A1602" s="56" t="s">
        <v>2011</v>
      </c>
      <c r="B1602" s="57" t="s">
        <v>4364</v>
      </c>
      <c r="C1602" s="29" t="s">
        <v>3757</v>
      </c>
      <c r="D1602" s="29"/>
      <c r="E1602" s="29" t="s">
        <v>2413</v>
      </c>
      <c r="F1602" s="29" t="s">
        <v>3215</v>
      </c>
      <c r="G1602" s="26">
        <v>20</v>
      </c>
      <c r="H1602" s="26"/>
      <c r="I1602" s="26"/>
      <c r="J1602" s="29" t="s">
        <v>3206</v>
      </c>
      <c r="K1602" s="103" t="s">
        <v>3216</v>
      </c>
      <c r="L1602" s="58"/>
      <c r="M1602" s="68">
        <v>1</v>
      </c>
      <c r="N1602" s="68" t="s">
        <v>3203</v>
      </c>
    </row>
    <row r="1603" spans="1:14" ht="14.25" x14ac:dyDescent="0.2">
      <c r="A1603" s="11" t="s">
        <v>2011</v>
      </c>
      <c r="B1603" s="12" t="s">
        <v>7793</v>
      </c>
      <c r="C1603" s="16" t="s">
        <v>3761</v>
      </c>
      <c r="D1603" s="13" t="s">
        <v>3754</v>
      </c>
      <c r="E1603" s="29" t="s">
        <v>12</v>
      </c>
      <c r="F1603" s="13" t="s">
        <v>13</v>
      </c>
      <c r="G1603" s="26">
        <v>1</v>
      </c>
      <c r="H1603" s="26">
        <v>5</v>
      </c>
      <c r="I1603" s="26"/>
      <c r="J1603" s="29" t="s">
        <v>1258</v>
      </c>
      <c r="K1603" s="29" t="s">
        <v>3401</v>
      </c>
      <c r="L1603" s="29"/>
      <c r="M1603" s="68">
        <v>1</v>
      </c>
      <c r="N1603" s="68" t="s">
        <v>3289</v>
      </c>
    </row>
    <row r="1604" spans="1:14" ht="14.25" x14ac:dyDescent="0.2">
      <c r="A1604" s="11" t="s">
        <v>2011</v>
      </c>
      <c r="B1604" s="12" t="s">
        <v>7794</v>
      </c>
      <c r="C1604" s="16" t="s">
        <v>3761</v>
      </c>
      <c r="D1604" s="13" t="s">
        <v>3754</v>
      </c>
      <c r="E1604" s="29" t="s">
        <v>21</v>
      </c>
      <c r="F1604" s="13" t="s">
        <v>22</v>
      </c>
      <c r="G1604" s="26"/>
      <c r="H1604" s="26">
        <v>4</v>
      </c>
      <c r="I1604" s="26"/>
      <c r="J1604" s="29" t="s">
        <v>3206</v>
      </c>
      <c r="K1604" s="29" t="s">
        <v>23</v>
      </c>
      <c r="L1604" s="29"/>
      <c r="M1604" s="68">
        <v>1</v>
      </c>
      <c r="N1604" s="68" t="s">
        <v>3289</v>
      </c>
    </row>
    <row r="1605" spans="1:14" ht="14.25" x14ac:dyDescent="0.2">
      <c r="A1605" s="11" t="s">
        <v>2011</v>
      </c>
      <c r="B1605" s="12" t="s">
        <v>8616</v>
      </c>
      <c r="C1605" s="13" t="s">
        <v>3757</v>
      </c>
      <c r="D1605" s="13" t="s">
        <v>3754</v>
      </c>
      <c r="E1605" s="29" t="s">
        <v>1155</v>
      </c>
      <c r="F1605" s="13" t="s">
        <v>7461</v>
      </c>
      <c r="G1605" s="26">
        <v>56</v>
      </c>
      <c r="H1605" s="26"/>
      <c r="I1605" s="26"/>
      <c r="J1605" s="29" t="s">
        <v>3954</v>
      </c>
      <c r="K1605" s="29" t="s">
        <v>6530</v>
      </c>
      <c r="L1605" s="29" t="s">
        <v>3955</v>
      </c>
      <c r="M1605" s="68">
        <v>1</v>
      </c>
      <c r="N1605" s="68" t="s">
        <v>3937</v>
      </c>
    </row>
    <row r="1606" spans="1:14" ht="14.25" x14ac:dyDescent="0.2">
      <c r="A1606" s="11" t="s">
        <v>2011</v>
      </c>
      <c r="B1606" s="12" t="s">
        <v>4701</v>
      </c>
      <c r="C1606" s="13" t="s">
        <v>3757</v>
      </c>
      <c r="D1606" s="13" t="s">
        <v>3201</v>
      </c>
      <c r="E1606" s="29" t="s">
        <v>3202</v>
      </c>
      <c r="F1606" s="13" t="s">
        <v>1541</v>
      </c>
      <c r="G1606" s="26">
        <v>83</v>
      </c>
      <c r="H1606" s="26"/>
      <c r="I1606" s="26"/>
      <c r="J1606" s="29" t="s">
        <v>1259</v>
      </c>
      <c r="K1606" s="29" t="s">
        <v>8779</v>
      </c>
      <c r="L1606" s="95"/>
      <c r="M1606" s="68">
        <v>1</v>
      </c>
      <c r="N1606" s="68" t="s">
        <v>5734</v>
      </c>
    </row>
    <row r="1607" spans="1:14" ht="14.25" x14ac:dyDescent="0.2">
      <c r="A1607" s="11" t="s">
        <v>2011</v>
      </c>
      <c r="B1607" s="12" t="s">
        <v>7795</v>
      </c>
      <c r="C1607" s="13" t="s">
        <v>3757</v>
      </c>
      <c r="D1607" s="13" t="s">
        <v>3754</v>
      </c>
      <c r="E1607" s="29" t="s">
        <v>3899</v>
      </c>
      <c r="F1607" s="13" t="s">
        <v>3900</v>
      </c>
      <c r="G1607" s="26">
        <v>38</v>
      </c>
      <c r="H1607" s="26"/>
      <c r="I1607" s="26"/>
      <c r="J1607" s="29" t="s">
        <v>3901</v>
      </c>
      <c r="K1607" s="29" t="s">
        <v>3902</v>
      </c>
      <c r="L1607" s="29"/>
      <c r="M1607" s="68">
        <v>1</v>
      </c>
      <c r="N1607" s="68" t="s">
        <v>3289</v>
      </c>
    </row>
    <row r="1608" spans="1:14" ht="14.25" x14ac:dyDescent="0.2">
      <c r="A1608" s="11" t="s">
        <v>2011</v>
      </c>
      <c r="B1608" s="12" t="s">
        <v>8612</v>
      </c>
      <c r="C1608" s="13" t="s">
        <v>3757</v>
      </c>
      <c r="D1608" s="13" t="s">
        <v>3754</v>
      </c>
      <c r="E1608" s="29" t="s">
        <v>3331</v>
      </c>
      <c r="F1608" s="13" t="s">
        <v>2</v>
      </c>
      <c r="G1608" s="26">
        <v>59</v>
      </c>
      <c r="H1608" s="26"/>
      <c r="I1608" s="26"/>
      <c r="J1608" s="29" t="s">
        <v>3206</v>
      </c>
      <c r="K1608" s="29" t="s">
        <v>3333</v>
      </c>
      <c r="L1608" s="29"/>
      <c r="M1608" s="68">
        <v>1</v>
      </c>
      <c r="N1608" s="68" t="s">
        <v>3289</v>
      </c>
    </row>
    <row r="1609" spans="1:14" ht="15" x14ac:dyDescent="0.2">
      <c r="A1609" s="56" t="s">
        <v>2011</v>
      </c>
      <c r="B1609" s="57" t="s">
        <v>3733</v>
      </c>
      <c r="C1609" s="29" t="s">
        <v>3757</v>
      </c>
      <c r="D1609" s="29" t="s">
        <v>3240</v>
      </c>
      <c r="E1609" s="29" t="s">
        <v>631</v>
      </c>
      <c r="F1609" s="29" t="s">
        <v>3241</v>
      </c>
      <c r="G1609" s="26">
        <v>68</v>
      </c>
      <c r="H1609" s="26"/>
      <c r="I1609" s="26"/>
      <c r="J1609" s="29"/>
      <c r="K1609" s="103" t="s">
        <v>3242</v>
      </c>
      <c r="L1609" s="58"/>
      <c r="M1609" s="68">
        <v>1</v>
      </c>
      <c r="N1609" s="68" t="s">
        <v>3203</v>
      </c>
    </row>
    <row r="1610" spans="1:14" ht="14.25" x14ac:dyDescent="0.2">
      <c r="A1610" s="11" t="s">
        <v>2011</v>
      </c>
      <c r="B1610" s="12" t="s">
        <v>1445</v>
      </c>
      <c r="C1610" s="13" t="s">
        <v>3754</v>
      </c>
      <c r="D1610" s="13" t="s">
        <v>3754</v>
      </c>
      <c r="E1610" s="29" t="s">
        <v>5719</v>
      </c>
      <c r="F1610" s="13" t="s">
        <v>5720</v>
      </c>
      <c r="G1610" s="13">
        <v>6</v>
      </c>
      <c r="H1610" s="13">
        <v>9</v>
      </c>
      <c r="I1610" s="13"/>
      <c r="J1610" s="29" t="s">
        <v>1259</v>
      </c>
      <c r="K1610" s="29" t="s">
        <v>5721</v>
      </c>
      <c r="L1610" s="29"/>
      <c r="M1610" s="68">
        <v>1</v>
      </c>
      <c r="N1610" s="68" t="s">
        <v>1972</v>
      </c>
    </row>
    <row r="1611" spans="1:14" ht="15" x14ac:dyDescent="0.2">
      <c r="A1611" s="56" t="s">
        <v>2011</v>
      </c>
      <c r="B1611" s="57" t="s">
        <v>1445</v>
      </c>
      <c r="C1611" s="29" t="s">
        <v>3757</v>
      </c>
      <c r="D1611" s="29" t="s">
        <v>3754</v>
      </c>
      <c r="E1611" s="29" t="s">
        <v>6783</v>
      </c>
      <c r="F1611" s="29" t="s">
        <v>1604</v>
      </c>
      <c r="G1611" s="26">
        <v>63</v>
      </c>
      <c r="H1611" s="26"/>
      <c r="I1611" s="26"/>
      <c r="J1611" s="29" t="s">
        <v>3256</v>
      </c>
      <c r="K1611" s="103" t="s">
        <v>2616</v>
      </c>
      <c r="L1611" s="58"/>
      <c r="M1611" s="68">
        <v>1</v>
      </c>
      <c r="N1611" s="68" t="s">
        <v>3203</v>
      </c>
    </row>
    <row r="1612" spans="1:14" ht="15" x14ac:dyDescent="0.2">
      <c r="A1612" s="56" t="s">
        <v>3272</v>
      </c>
      <c r="B1612" s="57" t="s">
        <v>5057</v>
      </c>
      <c r="C1612" s="29" t="s">
        <v>3754</v>
      </c>
      <c r="D1612" s="29" t="s">
        <v>3754</v>
      </c>
      <c r="E1612" s="29" t="s">
        <v>4240</v>
      </c>
      <c r="F1612" s="29" t="s">
        <v>3273</v>
      </c>
      <c r="G1612" s="26">
        <v>10</v>
      </c>
      <c r="H1612" s="26"/>
      <c r="I1612" s="26"/>
      <c r="J1612" s="29" t="s">
        <v>3206</v>
      </c>
      <c r="K1612" s="103" t="s">
        <v>6197</v>
      </c>
      <c r="L1612" s="58"/>
      <c r="M1612" s="68">
        <v>1</v>
      </c>
      <c r="N1612" s="68" t="s">
        <v>3203</v>
      </c>
    </row>
    <row r="1613" spans="1:14" ht="14.25" x14ac:dyDescent="0.2">
      <c r="A1613" s="11" t="s">
        <v>2035</v>
      </c>
      <c r="B1613" s="12" t="s">
        <v>2036</v>
      </c>
      <c r="C1613" s="13" t="s">
        <v>3754</v>
      </c>
      <c r="D1613" s="13" t="s">
        <v>1464</v>
      </c>
      <c r="E1613" s="29" t="s">
        <v>2037</v>
      </c>
      <c r="F1613" s="13" t="s">
        <v>5675</v>
      </c>
      <c r="G1613" s="13"/>
      <c r="H1613" s="13">
        <v>11</v>
      </c>
      <c r="I1613" s="13"/>
      <c r="J1613" s="29" t="s">
        <v>4579</v>
      </c>
      <c r="K1613" s="29" t="s">
        <v>2038</v>
      </c>
      <c r="L1613" s="29"/>
      <c r="M1613" s="68">
        <v>1</v>
      </c>
      <c r="N1613" s="68" t="s">
        <v>1972</v>
      </c>
    </row>
    <row r="1614" spans="1:14" ht="14.25" x14ac:dyDescent="0.2">
      <c r="A1614" s="11" t="s">
        <v>2042</v>
      </c>
      <c r="B1614" s="12" t="s">
        <v>5712</v>
      </c>
      <c r="C1614" s="13" t="s">
        <v>3757</v>
      </c>
      <c r="D1614" s="13" t="s">
        <v>3754</v>
      </c>
      <c r="E1614" s="29" t="s">
        <v>2044</v>
      </c>
      <c r="F1614" s="13" t="s">
        <v>3754</v>
      </c>
      <c r="G1614" s="13">
        <v>19</v>
      </c>
      <c r="H1614" s="13"/>
      <c r="I1614" s="13"/>
      <c r="J1614" s="29" t="s">
        <v>2045</v>
      </c>
      <c r="K1614" s="29" t="s">
        <v>2041</v>
      </c>
      <c r="L1614" s="29"/>
      <c r="M1614" s="68">
        <v>1</v>
      </c>
      <c r="N1614" s="68" t="s">
        <v>1972</v>
      </c>
    </row>
    <row r="1615" spans="1:14" ht="14.25" x14ac:dyDescent="0.2">
      <c r="A1615" s="11" t="s">
        <v>2042</v>
      </c>
      <c r="B1615" s="12" t="s">
        <v>3746</v>
      </c>
      <c r="C1615" s="13" t="s">
        <v>3757</v>
      </c>
      <c r="D1615" s="13" t="s">
        <v>3754</v>
      </c>
      <c r="E1615" s="29" t="s">
        <v>2043</v>
      </c>
      <c r="F1615" s="13" t="s">
        <v>3754</v>
      </c>
      <c r="G1615" s="13">
        <v>19</v>
      </c>
      <c r="H1615" s="13"/>
      <c r="I1615" s="13"/>
      <c r="J1615" s="29" t="s">
        <v>1264</v>
      </c>
      <c r="K1615" s="29" t="s">
        <v>2041</v>
      </c>
      <c r="L1615" s="29"/>
      <c r="M1615" s="68">
        <v>1</v>
      </c>
      <c r="N1615" s="68" t="s">
        <v>1972</v>
      </c>
    </row>
    <row r="1616" spans="1:14" ht="14.25" x14ac:dyDescent="0.2">
      <c r="A1616" s="11" t="s">
        <v>2021</v>
      </c>
      <c r="B1616" s="12" t="s">
        <v>3746</v>
      </c>
      <c r="C1616" s="13" t="s">
        <v>2022</v>
      </c>
      <c r="D1616" s="13" t="s">
        <v>2023</v>
      </c>
      <c r="E1616" s="29" t="s">
        <v>1996</v>
      </c>
      <c r="F1616" s="13" t="s">
        <v>3754</v>
      </c>
      <c r="G1616" s="13">
        <v>31</v>
      </c>
      <c r="H1616" s="13"/>
      <c r="I1616" s="13"/>
      <c r="J1616" s="29" t="s">
        <v>1572</v>
      </c>
      <c r="K1616" s="29" t="s">
        <v>4785</v>
      </c>
      <c r="L1616" s="29"/>
      <c r="M1616" s="68">
        <v>1</v>
      </c>
      <c r="N1616" s="68" t="s">
        <v>1972</v>
      </c>
    </row>
    <row r="1617" spans="1:14" ht="14.25" x14ac:dyDescent="0.2">
      <c r="A1617" s="11" t="s">
        <v>5745</v>
      </c>
      <c r="B1617" s="12" t="s">
        <v>3752</v>
      </c>
      <c r="C1617" s="13" t="s">
        <v>6416</v>
      </c>
      <c r="D1617" s="13"/>
      <c r="E1617" s="29" t="s">
        <v>5747</v>
      </c>
      <c r="F1617" s="13" t="s">
        <v>5748</v>
      </c>
      <c r="G1617" s="26"/>
      <c r="H1617" s="26">
        <v>4</v>
      </c>
      <c r="I1617" s="26">
        <v>21</v>
      </c>
      <c r="J1617" s="29" t="s">
        <v>1985</v>
      </c>
      <c r="K1617" s="29" t="s">
        <v>1889</v>
      </c>
      <c r="L1617" s="29"/>
      <c r="M1617" s="68">
        <v>1</v>
      </c>
      <c r="N1617" s="68" t="s">
        <v>5734</v>
      </c>
    </row>
    <row r="1618" spans="1:14" ht="14.25" x14ac:dyDescent="0.2">
      <c r="A1618" s="11" t="s">
        <v>5745</v>
      </c>
      <c r="B1618" s="12" t="s">
        <v>7796</v>
      </c>
      <c r="C1618" s="13" t="s">
        <v>6416</v>
      </c>
      <c r="D1618" s="13" t="s">
        <v>5746</v>
      </c>
      <c r="E1618" s="29" t="s">
        <v>5890</v>
      </c>
      <c r="F1618" s="13" t="s">
        <v>5963</v>
      </c>
      <c r="G1618" s="26"/>
      <c r="H1618" s="26">
        <v>10</v>
      </c>
      <c r="I1618" s="26">
        <v>2</v>
      </c>
      <c r="J1618" s="29" t="s">
        <v>4790</v>
      </c>
      <c r="K1618" s="29" t="s">
        <v>6923</v>
      </c>
      <c r="L1618" s="29"/>
      <c r="M1618" s="68">
        <v>1</v>
      </c>
      <c r="N1618" s="68" t="s">
        <v>5734</v>
      </c>
    </row>
    <row r="1619" spans="1:14" ht="14.25" x14ac:dyDescent="0.2">
      <c r="A1619" s="11" t="s">
        <v>5745</v>
      </c>
      <c r="B1619" s="12" t="s">
        <v>3728</v>
      </c>
      <c r="C1619" s="16" t="s">
        <v>3761</v>
      </c>
      <c r="D1619" s="13" t="s">
        <v>3754</v>
      </c>
      <c r="E1619" s="29" t="s">
        <v>5872</v>
      </c>
      <c r="F1619" s="13" t="s">
        <v>5873</v>
      </c>
      <c r="G1619" s="26"/>
      <c r="H1619" s="26">
        <v>6</v>
      </c>
      <c r="I1619" s="26">
        <v>19</v>
      </c>
      <c r="J1619" s="29" t="s">
        <v>4748</v>
      </c>
      <c r="K1619" s="29" t="s">
        <v>5874</v>
      </c>
      <c r="L1619" s="29"/>
      <c r="M1619" s="68">
        <v>1</v>
      </c>
      <c r="N1619" s="68" t="s">
        <v>5734</v>
      </c>
    </row>
    <row r="1620" spans="1:14" ht="28.5" x14ac:dyDescent="0.2">
      <c r="A1620" s="11" t="s">
        <v>5894</v>
      </c>
      <c r="B1620" s="12" t="s">
        <v>1569</v>
      </c>
      <c r="C1620" s="16" t="s">
        <v>3761</v>
      </c>
      <c r="D1620" s="13" t="s">
        <v>5895</v>
      </c>
      <c r="E1620" s="29" t="s">
        <v>3187</v>
      </c>
      <c r="F1620" s="13" t="s">
        <v>3188</v>
      </c>
      <c r="G1620" s="26"/>
      <c r="H1620" s="26">
        <v>10</v>
      </c>
      <c r="I1620" s="26"/>
      <c r="J1620" s="29" t="s">
        <v>3189</v>
      </c>
      <c r="K1620" s="29" t="s">
        <v>3187</v>
      </c>
      <c r="L1620" s="29"/>
      <c r="M1620" s="68">
        <v>1</v>
      </c>
      <c r="N1620" s="68" t="s">
        <v>5734</v>
      </c>
    </row>
    <row r="1621" spans="1:14" ht="14.25" x14ac:dyDescent="0.2">
      <c r="A1621" s="11" t="s">
        <v>5732</v>
      </c>
      <c r="B1621" s="12" t="s">
        <v>7797</v>
      </c>
      <c r="C1621" s="16" t="s">
        <v>3761</v>
      </c>
      <c r="D1621" s="13" t="s">
        <v>3754</v>
      </c>
      <c r="E1621" s="29" t="s">
        <v>3933</v>
      </c>
      <c r="F1621" s="13" t="s">
        <v>3934</v>
      </c>
      <c r="G1621" s="26"/>
      <c r="H1621" s="26"/>
      <c r="I1621" s="26"/>
      <c r="J1621" s="29" t="s">
        <v>7319</v>
      </c>
      <c r="K1621" s="29" t="s">
        <v>5466</v>
      </c>
      <c r="L1621" s="29"/>
      <c r="M1621" s="68">
        <v>1</v>
      </c>
      <c r="N1621" s="68" t="s">
        <v>3289</v>
      </c>
    </row>
    <row r="1622" spans="1:14" ht="14.25" x14ac:dyDescent="0.2">
      <c r="A1622" s="11" t="s">
        <v>5732</v>
      </c>
      <c r="B1622" s="12" t="s">
        <v>3748</v>
      </c>
      <c r="C1622" s="13" t="s">
        <v>3757</v>
      </c>
      <c r="D1622" s="13" t="s">
        <v>3754</v>
      </c>
      <c r="E1622" s="29" t="s">
        <v>5738</v>
      </c>
      <c r="F1622" s="13" t="s">
        <v>5736</v>
      </c>
      <c r="G1622" s="26">
        <v>78</v>
      </c>
      <c r="H1622" s="26"/>
      <c r="I1622" s="26"/>
      <c r="J1622" s="29" t="s">
        <v>1271</v>
      </c>
      <c r="K1622" s="29" t="s">
        <v>3987</v>
      </c>
      <c r="L1622" s="29"/>
      <c r="M1622" s="68">
        <v>1</v>
      </c>
      <c r="N1622" s="68" t="s">
        <v>5734</v>
      </c>
    </row>
    <row r="1623" spans="1:14" ht="14.25" x14ac:dyDescent="0.2">
      <c r="A1623" s="11" t="s">
        <v>5732</v>
      </c>
      <c r="B1623" s="12" t="s">
        <v>1432</v>
      </c>
      <c r="C1623" s="16" t="s">
        <v>3761</v>
      </c>
      <c r="D1623" s="13" t="s">
        <v>3754</v>
      </c>
      <c r="E1623" s="29" t="s">
        <v>1149</v>
      </c>
      <c r="F1623" s="13" t="s">
        <v>2299</v>
      </c>
      <c r="G1623" s="26"/>
      <c r="H1623" s="26">
        <v>7</v>
      </c>
      <c r="I1623" s="26">
        <v>3</v>
      </c>
      <c r="J1623" s="29" t="s">
        <v>1277</v>
      </c>
      <c r="K1623" s="29" t="s">
        <v>3949</v>
      </c>
      <c r="L1623" s="29" t="s">
        <v>3950</v>
      </c>
      <c r="M1623" s="68">
        <v>1</v>
      </c>
      <c r="N1623" s="68" t="s">
        <v>3937</v>
      </c>
    </row>
    <row r="1624" spans="1:14" ht="15" x14ac:dyDescent="0.2">
      <c r="A1624" s="56" t="s">
        <v>5732</v>
      </c>
      <c r="B1624" s="57" t="s">
        <v>3740</v>
      </c>
      <c r="C1624" s="29" t="s">
        <v>3757</v>
      </c>
      <c r="D1624" s="29"/>
      <c r="E1624" s="29" t="s">
        <v>5257</v>
      </c>
      <c r="F1624" s="29" t="s">
        <v>3224</v>
      </c>
      <c r="G1624" s="26">
        <v>56</v>
      </c>
      <c r="H1624" s="26"/>
      <c r="I1624" s="26"/>
      <c r="J1624" s="29" t="s">
        <v>3225</v>
      </c>
      <c r="K1624" s="103" t="s">
        <v>3226</v>
      </c>
      <c r="L1624" s="58"/>
      <c r="M1624" s="68">
        <v>1</v>
      </c>
      <c r="N1624" s="68" t="s">
        <v>3203</v>
      </c>
    </row>
    <row r="1625" spans="1:14" ht="14.25" x14ac:dyDescent="0.2">
      <c r="A1625" s="11" t="s">
        <v>5732</v>
      </c>
      <c r="B1625" s="12" t="s">
        <v>4701</v>
      </c>
      <c r="C1625" s="13" t="s">
        <v>3757</v>
      </c>
      <c r="D1625" s="13" t="s">
        <v>3754</v>
      </c>
      <c r="E1625" s="29" t="s">
        <v>5733</v>
      </c>
      <c r="F1625" s="13" t="s">
        <v>5793</v>
      </c>
      <c r="G1625" s="13">
        <v>22</v>
      </c>
      <c r="H1625" s="13" t="s">
        <v>1464</v>
      </c>
      <c r="I1625" s="13"/>
      <c r="J1625" s="29" t="s">
        <v>1264</v>
      </c>
      <c r="K1625" s="29" t="s">
        <v>3987</v>
      </c>
      <c r="L1625" s="95"/>
      <c r="M1625" s="68">
        <v>1</v>
      </c>
      <c r="N1625" s="68" t="s">
        <v>1972</v>
      </c>
    </row>
    <row r="1626" spans="1:14" ht="15" x14ac:dyDescent="0.2">
      <c r="A1626" s="56" t="s">
        <v>5732</v>
      </c>
      <c r="B1626" s="57" t="s">
        <v>1445</v>
      </c>
      <c r="C1626" s="29" t="s">
        <v>3768</v>
      </c>
      <c r="D1626" s="29" t="s">
        <v>1464</v>
      </c>
      <c r="E1626" s="29" t="s">
        <v>5258</v>
      </c>
      <c r="F1626" s="29" t="s">
        <v>3227</v>
      </c>
      <c r="G1626" s="26">
        <v>3</v>
      </c>
      <c r="H1626" s="26">
        <v>10</v>
      </c>
      <c r="I1626" s="26"/>
      <c r="J1626" s="29" t="s">
        <v>5288</v>
      </c>
      <c r="K1626" s="103" t="s">
        <v>3228</v>
      </c>
      <c r="L1626" s="58"/>
      <c r="M1626" s="68">
        <v>1</v>
      </c>
      <c r="N1626" s="68" t="s">
        <v>3203</v>
      </c>
    </row>
    <row r="1627" spans="1:14" ht="14.25" x14ac:dyDescent="0.2">
      <c r="A1627" s="11" t="s">
        <v>5732</v>
      </c>
      <c r="B1627" s="12" t="s">
        <v>1445</v>
      </c>
      <c r="C1627" s="13" t="s">
        <v>3757</v>
      </c>
      <c r="D1627" s="13" t="s">
        <v>3754</v>
      </c>
      <c r="E1627" s="29" t="s">
        <v>5735</v>
      </c>
      <c r="F1627" s="13" t="s">
        <v>5736</v>
      </c>
      <c r="G1627" s="26">
        <v>71</v>
      </c>
      <c r="H1627" s="26"/>
      <c r="I1627" s="26"/>
      <c r="J1627" s="29" t="s">
        <v>5737</v>
      </c>
      <c r="K1627" s="29" t="s">
        <v>3987</v>
      </c>
      <c r="L1627" s="29"/>
      <c r="M1627" s="68">
        <v>1</v>
      </c>
      <c r="N1627" s="68" t="s">
        <v>5734</v>
      </c>
    </row>
    <row r="1628" spans="1:14" ht="14.25" x14ac:dyDescent="0.2">
      <c r="A1628" s="11" t="s">
        <v>2007</v>
      </c>
      <c r="B1628" s="12" t="s">
        <v>6785</v>
      </c>
      <c r="C1628" s="13" t="s">
        <v>3757</v>
      </c>
      <c r="D1628" s="13" t="s">
        <v>3754</v>
      </c>
      <c r="E1628" s="29" t="s">
        <v>2010</v>
      </c>
      <c r="F1628" s="13" t="s">
        <v>3003</v>
      </c>
      <c r="G1628" s="13">
        <v>22</v>
      </c>
      <c r="H1628" s="13"/>
      <c r="I1628" s="13"/>
      <c r="J1628" s="29" t="s">
        <v>1264</v>
      </c>
      <c r="K1628" s="29" t="s">
        <v>2009</v>
      </c>
      <c r="L1628" s="29"/>
      <c r="M1628" s="68">
        <v>1</v>
      </c>
      <c r="N1628" s="68" t="s">
        <v>1972</v>
      </c>
    </row>
    <row r="1629" spans="1:14" ht="15" x14ac:dyDescent="0.2">
      <c r="A1629" s="56" t="s">
        <v>2007</v>
      </c>
      <c r="B1629" s="57" t="s">
        <v>1432</v>
      </c>
      <c r="C1629" s="29" t="s">
        <v>3757</v>
      </c>
      <c r="D1629" s="29" t="s">
        <v>3754</v>
      </c>
      <c r="E1629" s="29" t="s">
        <v>8822</v>
      </c>
      <c r="F1629" s="29" t="s">
        <v>3229</v>
      </c>
      <c r="G1629" s="26">
        <v>26</v>
      </c>
      <c r="H1629" s="26"/>
      <c r="I1629" s="26"/>
      <c r="J1629" s="29" t="s">
        <v>3206</v>
      </c>
      <c r="K1629" s="103" t="s">
        <v>8822</v>
      </c>
      <c r="L1629" s="58"/>
      <c r="M1629" s="68">
        <v>1</v>
      </c>
      <c r="N1629" s="68" t="s">
        <v>3203</v>
      </c>
    </row>
    <row r="1630" spans="1:14" ht="15" x14ac:dyDescent="0.2">
      <c r="A1630" s="56" t="s">
        <v>2007</v>
      </c>
      <c r="B1630" s="57" t="s">
        <v>8660</v>
      </c>
      <c r="C1630" s="29" t="s">
        <v>3757</v>
      </c>
      <c r="D1630" s="29" t="s">
        <v>5695</v>
      </c>
      <c r="E1630" s="29" t="s">
        <v>6024</v>
      </c>
      <c r="F1630" s="29" t="s">
        <v>3754</v>
      </c>
      <c r="G1630" s="26">
        <v>34</v>
      </c>
      <c r="H1630" s="26"/>
      <c r="I1630" s="26"/>
      <c r="J1630" s="29" t="s">
        <v>3206</v>
      </c>
      <c r="K1630" s="103" t="s">
        <v>6024</v>
      </c>
      <c r="L1630" s="58"/>
      <c r="M1630" s="68">
        <v>1</v>
      </c>
      <c r="N1630" s="68" t="s">
        <v>3203</v>
      </c>
    </row>
    <row r="1631" spans="1:14" ht="15" x14ac:dyDescent="0.2">
      <c r="A1631" s="56" t="s">
        <v>2007</v>
      </c>
      <c r="B1631" s="57" t="s">
        <v>7798</v>
      </c>
      <c r="C1631" s="29" t="s">
        <v>3754</v>
      </c>
      <c r="D1631" s="29" t="s">
        <v>3754</v>
      </c>
      <c r="E1631" s="29" t="s">
        <v>8832</v>
      </c>
      <c r="F1631" s="29" t="s">
        <v>3244</v>
      </c>
      <c r="G1631" s="26"/>
      <c r="H1631" s="26">
        <v>8</v>
      </c>
      <c r="I1631" s="26"/>
      <c r="J1631" s="29" t="s">
        <v>3245</v>
      </c>
      <c r="K1631" s="103" t="s">
        <v>3246</v>
      </c>
      <c r="L1631" s="58"/>
      <c r="M1631" s="68">
        <v>1</v>
      </c>
      <c r="N1631" s="68" t="s">
        <v>3203</v>
      </c>
    </row>
    <row r="1632" spans="1:14" ht="14.25" x14ac:dyDescent="0.2">
      <c r="A1632" s="11" t="s">
        <v>2007</v>
      </c>
      <c r="B1632" s="12" t="s">
        <v>4685</v>
      </c>
      <c r="C1632" s="16" t="s">
        <v>3761</v>
      </c>
      <c r="D1632" s="13" t="s">
        <v>3754</v>
      </c>
      <c r="E1632" s="29" t="s">
        <v>3195</v>
      </c>
      <c r="F1632" s="13" t="s">
        <v>5876</v>
      </c>
      <c r="G1632" s="26"/>
      <c r="H1632" s="26">
        <v>3</v>
      </c>
      <c r="I1632" s="26"/>
      <c r="J1632" s="29" t="s">
        <v>1439</v>
      </c>
      <c r="K1632" s="29" t="s">
        <v>3194</v>
      </c>
      <c r="L1632" s="29"/>
      <c r="M1632" s="68">
        <v>1</v>
      </c>
      <c r="N1632" s="68" t="s">
        <v>5734</v>
      </c>
    </row>
    <row r="1633" spans="1:14" ht="28.5" x14ac:dyDescent="0.2">
      <c r="A1633" s="11" t="s">
        <v>2007</v>
      </c>
      <c r="B1633" s="12" t="s">
        <v>7303</v>
      </c>
      <c r="C1633" s="13" t="s">
        <v>3757</v>
      </c>
      <c r="D1633" s="13" t="s">
        <v>5892</v>
      </c>
      <c r="E1633" s="29"/>
      <c r="F1633" s="13" t="s">
        <v>5893</v>
      </c>
      <c r="G1633" s="26">
        <v>37</v>
      </c>
      <c r="H1633" s="26"/>
      <c r="I1633" s="26"/>
      <c r="J1633" s="29" t="s">
        <v>1264</v>
      </c>
      <c r="K1633" s="29" t="s">
        <v>1292</v>
      </c>
      <c r="L1633" s="29"/>
      <c r="M1633" s="68">
        <v>1</v>
      </c>
      <c r="N1633" s="68" t="s">
        <v>5734</v>
      </c>
    </row>
    <row r="1634" spans="1:14" ht="14.25" x14ac:dyDescent="0.2">
      <c r="A1634" s="11" t="s">
        <v>2007</v>
      </c>
      <c r="B1634" s="12" t="s">
        <v>3740</v>
      </c>
      <c r="C1634" s="13" t="s">
        <v>3757</v>
      </c>
      <c r="D1634" s="13" t="s">
        <v>3754</v>
      </c>
      <c r="E1634" s="29" t="s">
        <v>2020</v>
      </c>
      <c r="F1634" s="13" t="s">
        <v>3754</v>
      </c>
      <c r="G1634" s="13">
        <v>65</v>
      </c>
      <c r="H1634" s="13"/>
      <c r="I1634" s="13"/>
      <c r="J1634" s="29" t="s">
        <v>1267</v>
      </c>
      <c r="K1634" s="29" t="s">
        <v>4785</v>
      </c>
      <c r="L1634" s="29"/>
      <c r="M1634" s="68">
        <v>1</v>
      </c>
      <c r="N1634" s="68" t="s">
        <v>1972</v>
      </c>
    </row>
    <row r="1635" spans="1:14" ht="14.25" x14ac:dyDescent="0.2">
      <c r="A1635" s="11" t="s">
        <v>2007</v>
      </c>
      <c r="B1635" s="12" t="s">
        <v>5073</v>
      </c>
      <c r="C1635" s="13" t="s">
        <v>3754</v>
      </c>
      <c r="D1635" s="31" t="s">
        <v>1464</v>
      </c>
      <c r="E1635" s="29" t="s">
        <v>2008</v>
      </c>
      <c r="F1635" s="13" t="s">
        <v>3003</v>
      </c>
      <c r="G1635" s="13">
        <v>18</v>
      </c>
      <c r="H1635" s="13"/>
      <c r="I1635" s="13"/>
      <c r="J1635" s="29" t="s">
        <v>1264</v>
      </c>
      <c r="K1635" s="29" t="s">
        <v>2009</v>
      </c>
      <c r="L1635" s="29"/>
      <c r="M1635" s="68">
        <v>1</v>
      </c>
      <c r="N1635" s="68" t="s">
        <v>1972</v>
      </c>
    </row>
    <row r="1636" spans="1:14" ht="14.25" x14ac:dyDescent="0.2">
      <c r="A1636" s="11" t="s">
        <v>2007</v>
      </c>
      <c r="B1636" s="12" t="s">
        <v>7799</v>
      </c>
      <c r="C1636" s="13" t="s">
        <v>3757</v>
      </c>
      <c r="D1636" s="13" t="s">
        <v>3754</v>
      </c>
      <c r="E1636" s="29" t="s">
        <v>3466</v>
      </c>
      <c r="F1636" s="13" t="s">
        <v>3883</v>
      </c>
      <c r="G1636" s="26">
        <v>60</v>
      </c>
      <c r="H1636" s="26"/>
      <c r="I1636" s="26"/>
      <c r="J1636" s="29" t="s">
        <v>1277</v>
      </c>
      <c r="K1636" s="29" t="s">
        <v>3468</v>
      </c>
      <c r="L1636" s="29"/>
      <c r="M1636" s="68">
        <v>1</v>
      </c>
      <c r="N1636" s="68" t="s">
        <v>3289</v>
      </c>
    </row>
    <row r="1637" spans="1:14" ht="14.25" x14ac:dyDescent="0.2">
      <c r="A1637" s="11" t="s">
        <v>2007</v>
      </c>
      <c r="B1637" s="12" t="s">
        <v>1575</v>
      </c>
      <c r="C1637" s="16" t="s">
        <v>3761</v>
      </c>
      <c r="D1637" s="13" t="s">
        <v>3754</v>
      </c>
      <c r="E1637" s="29" t="s">
        <v>3903</v>
      </c>
      <c r="F1637" s="13" t="s">
        <v>3904</v>
      </c>
      <c r="G1637" s="26">
        <v>45</v>
      </c>
      <c r="H1637" s="26"/>
      <c r="I1637" s="26"/>
      <c r="J1637" s="29" t="s">
        <v>2199</v>
      </c>
      <c r="K1637" s="29" t="s">
        <v>3905</v>
      </c>
      <c r="L1637" s="29"/>
      <c r="M1637" s="68">
        <v>1</v>
      </c>
      <c r="N1637" s="68" t="s">
        <v>3289</v>
      </c>
    </row>
    <row r="1638" spans="1:14" ht="14.25" x14ac:dyDescent="0.2">
      <c r="A1638" s="11" t="s">
        <v>2007</v>
      </c>
      <c r="B1638" s="12" t="s">
        <v>3738</v>
      </c>
      <c r="C1638" s="13" t="s">
        <v>3757</v>
      </c>
      <c r="D1638" s="13" t="s">
        <v>3754</v>
      </c>
      <c r="E1638" s="29" t="s">
        <v>5875</v>
      </c>
      <c r="F1638" s="13" t="s">
        <v>5876</v>
      </c>
      <c r="G1638" s="26">
        <v>74</v>
      </c>
      <c r="H1638" s="26"/>
      <c r="I1638" s="26"/>
      <c r="J1638" s="29" t="s">
        <v>1976</v>
      </c>
      <c r="K1638" s="29" t="s">
        <v>8742</v>
      </c>
      <c r="L1638" s="29"/>
      <c r="M1638" s="68">
        <v>1</v>
      </c>
      <c r="N1638" s="68" t="s">
        <v>5734</v>
      </c>
    </row>
    <row r="1639" spans="1:14" ht="14.25" x14ac:dyDescent="0.2">
      <c r="A1639" s="11" t="s">
        <v>2007</v>
      </c>
      <c r="B1639" s="12" t="s">
        <v>7800</v>
      </c>
      <c r="C1639" s="13" t="s">
        <v>3757</v>
      </c>
      <c r="D1639" s="13" t="s">
        <v>3754</v>
      </c>
      <c r="E1639" s="29" t="s">
        <v>5366</v>
      </c>
      <c r="F1639" s="13" t="s">
        <v>3298</v>
      </c>
      <c r="G1639" s="26">
        <v>65</v>
      </c>
      <c r="H1639" s="26"/>
      <c r="I1639" s="26"/>
      <c r="J1639" s="29" t="s">
        <v>1271</v>
      </c>
      <c r="K1639" s="29" t="s">
        <v>3299</v>
      </c>
      <c r="L1639" s="61"/>
      <c r="M1639" s="68">
        <v>1</v>
      </c>
      <c r="N1639" s="68" t="s">
        <v>3289</v>
      </c>
    </row>
    <row r="1640" spans="1:14" ht="14.25" x14ac:dyDescent="0.2">
      <c r="A1640" s="9" t="s">
        <v>2007</v>
      </c>
      <c r="B1640" s="5" t="s">
        <v>2039</v>
      </c>
      <c r="C1640" s="21" t="s">
        <v>3757</v>
      </c>
      <c r="D1640" s="21" t="s">
        <v>3754</v>
      </c>
      <c r="E1640" s="55" t="s">
        <v>2040</v>
      </c>
      <c r="F1640" s="10" t="s">
        <v>3754</v>
      </c>
      <c r="G1640" s="21">
        <v>28</v>
      </c>
      <c r="H1640" s="21"/>
      <c r="I1640" s="21"/>
      <c r="J1640" s="55" t="s">
        <v>1264</v>
      </c>
      <c r="K1640" s="55" t="s">
        <v>2041</v>
      </c>
      <c r="L1640" s="61"/>
      <c r="M1640" s="68">
        <v>1</v>
      </c>
      <c r="N1640" s="68" t="s">
        <v>1972</v>
      </c>
    </row>
    <row r="1641" spans="1:14" ht="14.25" x14ac:dyDescent="0.2">
      <c r="A1641" s="9" t="s">
        <v>2007</v>
      </c>
      <c r="B1641" s="5" t="s">
        <v>2029</v>
      </c>
      <c r="C1641" s="10" t="s">
        <v>2030</v>
      </c>
      <c r="D1641" s="10" t="s">
        <v>3323</v>
      </c>
      <c r="E1641" s="61" t="s">
        <v>2031</v>
      </c>
      <c r="F1641" s="10" t="s">
        <v>2032</v>
      </c>
      <c r="G1641" s="21">
        <v>30</v>
      </c>
      <c r="H1641" s="21">
        <v>3</v>
      </c>
      <c r="I1641" s="21">
        <v>10</v>
      </c>
      <c r="J1641" s="55" t="s">
        <v>2033</v>
      </c>
      <c r="K1641" s="61" t="s">
        <v>2034</v>
      </c>
      <c r="L1641" s="61"/>
      <c r="M1641" s="68">
        <v>1</v>
      </c>
      <c r="N1641" s="68" t="s">
        <v>1972</v>
      </c>
    </row>
    <row r="1642" spans="1:14" ht="28.5" x14ac:dyDescent="0.2">
      <c r="A1642" s="11" t="s">
        <v>2007</v>
      </c>
      <c r="B1642" s="12" t="s">
        <v>3751</v>
      </c>
      <c r="C1642" s="16" t="s">
        <v>3761</v>
      </c>
      <c r="D1642" s="13" t="s">
        <v>3754</v>
      </c>
      <c r="E1642" s="29" t="s">
        <v>3293</v>
      </c>
      <c r="F1642" s="13" t="s">
        <v>3294</v>
      </c>
      <c r="G1642" s="8"/>
      <c r="H1642" s="8">
        <v>6</v>
      </c>
      <c r="I1642" s="8"/>
      <c r="J1642" s="29" t="s">
        <v>3295</v>
      </c>
      <c r="K1642" s="29" t="s">
        <v>3122</v>
      </c>
      <c r="L1642" s="29"/>
      <c r="M1642" s="68">
        <v>1</v>
      </c>
      <c r="N1642" s="68" t="s">
        <v>3289</v>
      </c>
    </row>
    <row r="1643" spans="1:14" ht="14.25" x14ac:dyDescent="0.2">
      <c r="A1643" s="11" t="s">
        <v>5725</v>
      </c>
      <c r="B1643" s="12" t="s">
        <v>5726</v>
      </c>
      <c r="C1643" s="13" t="s">
        <v>3754</v>
      </c>
      <c r="D1643" s="13" t="s">
        <v>3754</v>
      </c>
      <c r="E1643" s="29" t="s">
        <v>5727</v>
      </c>
      <c r="F1643" s="13" t="s">
        <v>5728</v>
      </c>
      <c r="G1643" s="21"/>
      <c r="H1643" s="21">
        <v>5</v>
      </c>
      <c r="I1643" s="21">
        <v>8</v>
      </c>
      <c r="J1643" s="29" t="s">
        <v>1258</v>
      </c>
      <c r="K1643" s="29" t="s">
        <v>3038</v>
      </c>
      <c r="L1643" s="29"/>
      <c r="M1643" s="68">
        <v>1</v>
      </c>
      <c r="N1643" s="68" t="s">
        <v>1972</v>
      </c>
    </row>
    <row r="1644" spans="1:14" ht="14.25" x14ac:dyDescent="0.2">
      <c r="A1644" s="11" t="s">
        <v>3283</v>
      </c>
      <c r="B1644" s="12" t="s">
        <v>3734</v>
      </c>
      <c r="C1644" s="13" t="s">
        <v>3757</v>
      </c>
      <c r="D1644" s="13" t="s">
        <v>3754</v>
      </c>
      <c r="E1644" s="29" t="s">
        <v>3890</v>
      </c>
      <c r="F1644" s="13" t="s">
        <v>3891</v>
      </c>
      <c r="G1644" s="8">
        <v>46</v>
      </c>
      <c r="H1644" s="8"/>
      <c r="I1644" s="8"/>
      <c r="J1644" s="29" t="s">
        <v>1259</v>
      </c>
      <c r="K1644" s="29" t="s">
        <v>3892</v>
      </c>
      <c r="L1644" s="29"/>
      <c r="M1644" s="68">
        <v>1</v>
      </c>
      <c r="N1644" s="68" t="s">
        <v>3289</v>
      </c>
    </row>
    <row r="1645" spans="1:14" ht="15" x14ac:dyDescent="0.2">
      <c r="A1645" s="56" t="s">
        <v>3283</v>
      </c>
      <c r="B1645" s="57" t="s">
        <v>7801</v>
      </c>
      <c r="C1645" s="29" t="s">
        <v>3757</v>
      </c>
      <c r="D1645" s="29" t="s">
        <v>3754</v>
      </c>
      <c r="E1645" s="29" t="s">
        <v>5006</v>
      </c>
      <c r="F1645" s="29" t="s">
        <v>3284</v>
      </c>
      <c r="G1645" s="8">
        <v>36</v>
      </c>
      <c r="H1645" s="8"/>
      <c r="I1645" s="8"/>
      <c r="J1645" s="29" t="s">
        <v>3206</v>
      </c>
      <c r="K1645" s="103" t="s">
        <v>6914</v>
      </c>
      <c r="L1645" s="58"/>
      <c r="M1645" s="68">
        <v>1</v>
      </c>
      <c r="N1645" s="68" t="s">
        <v>3203</v>
      </c>
    </row>
    <row r="1646" spans="1:14" ht="14.25" x14ac:dyDescent="0.2">
      <c r="A1646" s="11" t="s">
        <v>3283</v>
      </c>
      <c r="B1646" s="12" t="s">
        <v>3733</v>
      </c>
      <c r="C1646" s="13" t="s">
        <v>3757</v>
      </c>
      <c r="D1646" s="13" t="s">
        <v>3754</v>
      </c>
      <c r="E1646" s="29" t="s">
        <v>3886</v>
      </c>
      <c r="F1646" s="13" t="s">
        <v>3686</v>
      </c>
      <c r="G1646" s="8">
        <v>43</v>
      </c>
      <c r="H1646" s="8"/>
      <c r="I1646" s="8"/>
      <c r="J1646" s="29" t="s">
        <v>3887</v>
      </c>
      <c r="K1646" s="29" t="s">
        <v>8855</v>
      </c>
      <c r="L1646" s="29"/>
      <c r="M1646" s="68">
        <v>1</v>
      </c>
      <c r="N1646" s="68" t="s">
        <v>3289</v>
      </c>
    </row>
    <row r="1647" spans="1:14" ht="14.25" x14ac:dyDescent="0.2">
      <c r="A1647" s="11" t="s">
        <v>5739</v>
      </c>
      <c r="B1647" s="12" t="s">
        <v>7802</v>
      </c>
      <c r="C1647" s="16" t="s">
        <v>3761</v>
      </c>
      <c r="D1647" s="13" t="s">
        <v>3754</v>
      </c>
      <c r="E1647" s="29" t="s">
        <v>5740</v>
      </c>
      <c r="F1647" s="13" t="s">
        <v>5741</v>
      </c>
      <c r="G1647" s="8"/>
      <c r="H1647" s="8">
        <v>3</v>
      </c>
      <c r="I1647" s="8">
        <v>9</v>
      </c>
      <c r="J1647" s="29" t="s">
        <v>4829</v>
      </c>
      <c r="K1647" s="29" t="s">
        <v>3066</v>
      </c>
      <c r="L1647" s="29"/>
      <c r="M1647" s="68">
        <v>1</v>
      </c>
      <c r="N1647" s="68" t="s">
        <v>5734</v>
      </c>
    </row>
    <row r="1648" spans="1:14" ht="15" x14ac:dyDescent="0.2">
      <c r="A1648" s="56" t="s">
        <v>5739</v>
      </c>
      <c r="B1648" s="57" t="s">
        <v>4690</v>
      </c>
      <c r="C1648" s="29" t="s">
        <v>3754</v>
      </c>
      <c r="D1648" s="13" t="s">
        <v>3754</v>
      </c>
      <c r="E1648" s="29" t="s">
        <v>3152</v>
      </c>
      <c r="F1648" s="29" t="s">
        <v>3754</v>
      </c>
      <c r="G1648" s="8"/>
      <c r="H1648" s="8">
        <v>2</v>
      </c>
      <c r="I1648" s="8"/>
      <c r="J1648" s="29" t="s">
        <v>3210</v>
      </c>
      <c r="K1648" s="103" t="s">
        <v>3209</v>
      </c>
      <c r="L1648" s="58"/>
      <c r="M1648" s="68">
        <v>1</v>
      </c>
      <c r="N1648" s="68" t="s">
        <v>3203</v>
      </c>
    </row>
    <row r="1649" spans="1:14" ht="14.25" x14ac:dyDescent="0.2">
      <c r="A1649" s="11" t="s">
        <v>5739</v>
      </c>
      <c r="B1649" s="12" t="s">
        <v>7803</v>
      </c>
      <c r="C1649" s="13" t="s">
        <v>3768</v>
      </c>
      <c r="D1649" s="13" t="s">
        <v>5292</v>
      </c>
      <c r="E1649" s="29" t="s">
        <v>3296</v>
      </c>
      <c r="F1649" s="13" t="s">
        <v>3297</v>
      </c>
      <c r="G1649" s="8">
        <v>27</v>
      </c>
      <c r="H1649" s="8"/>
      <c r="I1649" s="8"/>
      <c r="J1649" s="29" t="s">
        <v>3206</v>
      </c>
      <c r="K1649" s="29"/>
      <c r="L1649" s="29"/>
      <c r="M1649" s="68">
        <v>1</v>
      </c>
      <c r="N1649" s="68" t="s">
        <v>3289</v>
      </c>
    </row>
    <row r="1650" spans="1:14" ht="14.25" x14ac:dyDescent="0.2">
      <c r="A1650" s="11" t="s">
        <v>5739</v>
      </c>
      <c r="B1650" s="12" t="s">
        <v>4643</v>
      </c>
      <c r="C1650" s="16" t="s">
        <v>3761</v>
      </c>
      <c r="D1650" s="13" t="s">
        <v>3754</v>
      </c>
      <c r="E1650" s="29" t="s">
        <v>5871</v>
      </c>
      <c r="F1650" s="13" t="s">
        <v>5741</v>
      </c>
      <c r="G1650" s="8"/>
      <c r="H1650" s="8">
        <v>4</v>
      </c>
      <c r="I1650" s="8"/>
      <c r="J1650" s="29" t="s">
        <v>4829</v>
      </c>
      <c r="K1650" s="29"/>
      <c r="L1650" s="29"/>
      <c r="M1650" s="68">
        <v>1</v>
      </c>
      <c r="N1650" s="68" t="s">
        <v>5734</v>
      </c>
    </row>
    <row r="1651" spans="1:14" ht="14.25" x14ac:dyDescent="0.2">
      <c r="A1651" s="11" t="s">
        <v>5739</v>
      </c>
      <c r="B1651" s="12" t="s">
        <v>7804</v>
      </c>
      <c r="C1651" s="16" t="s">
        <v>3761</v>
      </c>
      <c r="D1651" s="13" t="s">
        <v>3754</v>
      </c>
      <c r="E1651" s="29" t="s">
        <v>5870</v>
      </c>
      <c r="F1651" s="13" t="s">
        <v>5741</v>
      </c>
      <c r="G1651" s="8">
        <v>17</v>
      </c>
      <c r="H1651" s="8"/>
      <c r="I1651" s="8"/>
      <c r="J1651" s="29" t="s">
        <v>1264</v>
      </c>
      <c r="K1651" s="29"/>
      <c r="L1651" s="29"/>
      <c r="M1651" s="68">
        <v>1</v>
      </c>
      <c r="N1651" s="68" t="s">
        <v>5734</v>
      </c>
    </row>
    <row r="1652" spans="1:14" ht="14.25" x14ac:dyDescent="0.2">
      <c r="A1652" s="11" t="s">
        <v>3893</v>
      </c>
      <c r="B1652" s="12" t="s">
        <v>3740</v>
      </c>
      <c r="C1652" s="13" t="s">
        <v>3767</v>
      </c>
      <c r="D1652" s="13" t="s">
        <v>3767</v>
      </c>
      <c r="E1652" s="29" t="s">
        <v>3894</v>
      </c>
      <c r="F1652" s="13" t="s">
        <v>3895</v>
      </c>
      <c r="G1652" s="8">
        <v>15</v>
      </c>
      <c r="H1652" s="8"/>
      <c r="I1652" s="8"/>
      <c r="J1652" s="29" t="s">
        <v>1277</v>
      </c>
      <c r="K1652" s="29" t="s">
        <v>5427</v>
      </c>
      <c r="L1652" s="29"/>
      <c r="M1652" s="68">
        <v>1</v>
      </c>
      <c r="N1652" s="68" t="s">
        <v>3289</v>
      </c>
    </row>
    <row r="1653" spans="1:14" ht="14.25" x14ac:dyDescent="0.2">
      <c r="A1653" s="11" t="s">
        <v>5877</v>
      </c>
      <c r="B1653" s="12" t="s">
        <v>3723</v>
      </c>
      <c r="C1653" s="13" t="s">
        <v>3757</v>
      </c>
      <c r="D1653" s="13" t="s">
        <v>3767</v>
      </c>
      <c r="E1653" s="29" t="s">
        <v>4573</v>
      </c>
      <c r="F1653" s="13" t="s">
        <v>5878</v>
      </c>
      <c r="G1653" s="8">
        <v>92</v>
      </c>
      <c r="H1653" s="8"/>
      <c r="I1653" s="8"/>
      <c r="J1653" s="29" t="s">
        <v>5879</v>
      </c>
      <c r="K1653" s="29" t="s">
        <v>5880</v>
      </c>
      <c r="L1653" s="29"/>
      <c r="M1653" s="68">
        <v>1</v>
      </c>
      <c r="N1653" s="68" t="s">
        <v>5734</v>
      </c>
    </row>
    <row r="1654" spans="1:14" ht="14.25" x14ac:dyDescent="0.2">
      <c r="A1654" s="11" t="s">
        <v>3906</v>
      </c>
      <c r="B1654" s="12" t="s">
        <v>7805</v>
      </c>
      <c r="C1654" s="16" t="s">
        <v>3761</v>
      </c>
      <c r="D1654" s="13" t="s">
        <v>3754</v>
      </c>
      <c r="E1654" s="29" t="s">
        <v>3951</v>
      </c>
      <c r="F1654" s="13" t="s">
        <v>1541</v>
      </c>
      <c r="G1654" s="8">
        <v>48</v>
      </c>
      <c r="H1654" s="8"/>
      <c r="I1654" s="8"/>
      <c r="J1654" s="29"/>
      <c r="K1654" s="29" t="s">
        <v>3365</v>
      </c>
      <c r="L1654" s="29" t="s">
        <v>3952</v>
      </c>
      <c r="M1654" s="68">
        <v>1</v>
      </c>
      <c r="N1654" s="68" t="s">
        <v>3937</v>
      </c>
    </row>
    <row r="1655" spans="1:14" ht="14.25" x14ac:dyDescent="0.2">
      <c r="A1655" s="11" t="s">
        <v>3906</v>
      </c>
      <c r="B1655" s="12" t="s">
        <v>3732</v>
      </c>
      <c r="C1655" s="13" t="s">
        <v>3757</v>
      </c>
      <c r="D1655" s="13" t="s">
        <v>3754</v>
      </c>
      <c r="E1655" s="29" t="s">
        <v>3907</v>
      </c>
      <c r="F1655" s="13" t="s">
        <v>3908</v>
      </c>
      <c r="G1655" s="8">
        <v>60</v>
      </c>
      <c r="H1655" s="8"/>
      <c r="I1655" s="8"/>
      <c r="J1655" s="29" t="s">
        <v>3909</v>
      </c>
      <c r="K1655" s="29" t="s">
        <v>3910</v>
      </c>
      <c r="L1655" s="29"/>
      <c r="M1655" s="68">
        <v>1</v>
      </c>
      <c r="N1655" s="68" t="s">
        <v>3289</v>
      </c>
    </row>
    <row r="1656" spans="1:14" ht="14.25" x14ac:dyDescent="0.2">
      <c r="A1656" s="11" t="s">
        <v>3906</v>
      </c>
      <c r="B1656" s="12" t="s">
        <v>4701</v>
      </c>
      <c r="C1656" s="16" t="s">
        <v>3761</v>
      </c>
      <c r="D1656" s="13" t="s">
        <v>3754</v>
      </c>
      <c r="E1656" s="29" t="s">
        <v>3953</v>
      </c>
      <c r="F1656" s="13" t="s">
        <v>1541</v>
      </c>
      <c r="G1656" s="8">
        <v>50</v>
      </c>
      <c r="H1656" s="8"/>
      <c r="I1656" s="8"/>
      <c r="J1656" s="29"/>
      <c r="K1656" s="29" t="s">
        <v>3365</v>
      </c>
      <c r="L1656" s="29" t="s">
        <v>3952</v>
      </c>
      <c r="M1656" s="68">
        <v>1</v>
      </c>
      <c r="N1656" s="68" t="s">
        <v>3937</v>
      </c>
    </row>
    <row r="1657" spans="1:14" ht="14.25" x14ac:dyDescent="0.2">
      <c r="A1657" s="11" t="s">
        <v>3906</v>
      </c>
      <c r="B1657" s="12" t="s">
        <v>5085</v>
      </c>
      <c r="C1657" s="16" t="s">
        <v>3761</v>
      </c>
      <c r="D1657" s="13" t="s">
        <v>3754</v>
      </c>
      <c r="E1657" s="29" t="s">
        <v>1029</v>
      </c>
      <c r="F1657" s="13" t="s">
        <v>3925</v>
      </c>
      <c r="G1657" s="8">
        <v>26</v>
      </c>
      <c r="H1657" s="8"/>
      <c r="I1657" s="8"/>
      <c r="J1657" s="29" t="s">
        <v>3206</v>
      </c>
      <c r="K1657" s="29" t="s">
        <v>1345</v>
      </c>
      <c r="L1657" s="29"/>
      <c r="M1657" s="68">
        <v>1</v>
      </c>
      <c r="N1657" s="68" t="s">
        <v>3289</v>
      </c>
    </row>
    <row r="1658" spans="1:14" ht="14.25" x14ac:dyDescent="0.2">
      <c r="A1658" s="11" t="s">
        <v>3941</v>
      </c>
      <c r="B1658" s="12" t="s">
        <v>3723</v>
      </c>
      <c r="C1658" s="16" t="s">
        <v>3761</v>
      </c>
      <c r="D1658" s="13" t="s">
        <v>3754</v>
      </c>
      <c r="E1658" s="29" t="s">
        <v>3942</v>
      </c>
      <c r="F1658" s="13" t="s">
        <v>3943</v>
      </c>
      <c r="G1658" s="8">
        <v>3</v>
      </c>
      <c r="H1658" s="8">
        <v>11</v>
      </c>
      <c r="I1658" s="8"/>
      <c r="J1658" s="29" t="s">
        <v>1258</v>
      </c>
      <c r="K1658" s="29" t="s">
        <v>3944</v>
      </c>
      <c r="L1658" s="29" t="s">
        <v>3945</v>
      </c>
      <c r="M1658" s="68">
        <v>1</v>
      </c>
      <c r="N1658" s="68" t="s">
        <v>3937</v>
      </c>
    </row>
    <row r="1659" spans="1:14" ht="15" x14ac:dyDescent="0.2">
      <c r="A1659" s="56" t="s">
        <v>3208</v>
      </c>
      <c r="B1659" s="57" t="s">
        <v>3727</v>
      </c>
      <c r="C1659" s="29" t="s">
        <v>3754</v>
      </c>
      <c r="D1659" s="29" t="s">
        <v>3754</v>
      </c>
      <c r="E1659" s="29" t="s">
        <v>3152</v>
      </c>
      <c r="F1659" s="29" t="s">
        <v>3754</v>
      </c>
      <c r="G1659" s="8">
        <v>6</v>
      </c>
      <c r="H1659" s="8">
        <v>8</v>
      </c>
      <c r="I1659" s="8"/>
      <c r="J1659" s="29"/>
      <c r="K1659" s="103" t="s">
        <v>3209</v>
      </c>
      <c r="L1659" s="58"/>
      <c r="M1659" s="68">
        <v>1</v>
      </c>
      <c r="N1659" s="68" t="s">
        <v>3203</v>
      </c>
    </row>
    <row r="1660" spans="1:14" ht="15" x14ac:dyDescent="0.2">
      <c r="A1660" s="56" t="s">
        <v>3208</v>
      </c>
      <c r="B1660" s="57" t="s">
        <v>3733</v>
      </c>
      <c r="C1660" s="29" t="s">
        <v>3757</v>
      </c>
      <c r="D1660" s="29" t="s">
        <v>3754</v>
      </c>
      <c r="E1660" s="29" t="s">
        <v>1301</v>
      </c>
      <c r="F1660" s="29" t="s">
        <v>3257</v>
      </c>
      <c r="G1660" s="8">
        <v>60</v>
      </c>
      <c r="H1660" s="8"/>
      <c r="I1660" s="8"/>
      <c r="J1660" s="29" t="s">
        <v>3258</v>
      </c>
      <c r="K1660" s="103" t="s">
        <v>3259</v>
      </c>
      <c r="L1660" s="58"/>
      <c r="M1660" s="68">
        <v>1</v>
      </c>
      <c r="N1660" s="68" t="s">
        <v>3203</v>
      </c>
    </row>
    <row r="1661" spans="1:14" ht="15" x14ac:dyDescent="0.2">
      <c r="A1661" s="56" t="s">
        <v>3236</v>
      </c>
      <c r="B1661" s="57" t="s">
        <v>3747</v>
      </c>
      <c r="C1661" s="29" t="s">
        <v>3757</v>
      </c>
      <c r="D1661" s="29" t="s">
        <v>3754</v>
      </c>
      <c r="E1661" s="29" t="s">
        <v>2424</v>
      </c>
      <c r="F1661" s="29" t="s">
        <v>3238</v>
      </c>
      <c r="G1661" s="8">
        <v>73</v>
      </c>
      <c r="H1661" s="8"/>
      <c r="I1661" s="8"/>
      <c r="J1661" s="29" t="s">
        <v>3204</v>
      </c>
      <c r="K1661" s="103" t="s">
        <v>3239</v>
      </c>
      <c r="L1661" s="58"/>
      <c r="M1661" s="68">
        <v>1</v>
      </c>
      <c r="N1661" s="68" t="s">
        <v>3203</v>
      </c>
    </row>
    <row r="1662" spans="1:14" ht="15" x14ac:dyDescent="0.2">
      <c r="A1662" s="56" t="s">
        <v>3262</v>
      </c>
      <c r="B1662" s="57" t="s">
        <v>7806</v>
      </c>
      <c r="C1662" s="29" t="s">
        <v>3754</v>
      </c>
      <c r="D1662" s="29" t="s">
        <v>2096</v>
      </c>
      <c r="E1662" s="29" t="s">
        <v>3814</v>
      </c>
      <c r="F1662" s="29" t="s">
        <v>3263</v>
      </c>
      <c r="G1662" s="8">
        <v>21</v>
      </c>
      <c r="H1662" s="8">
        <v>6</v>
      </c>
      <c r="I1662" s="8"/>
      <c r="J1662" s="29" t="s">
        <v>3264</v>
      </c>
      <c r="K1662" s="103" t="s">
        <v>3265</v>
      </c>
      <c r="L1662" s="58" t="s">
        <v>1464</v>
      </c>
      <c r="M1662" s="68">
        <v>1</v>
      </c>
      <c r="N1662" s="68" t="s">
        <v>3203</v>
      </c>
    </row>
    <row r="1663" spans="1:14" ht="14.25" x14ac:dyDescent="0.2">
      <c r="A1663" s="11" t="s">
        <v>29</v>
      </c>
      <c r="B1663" s="12" t="s">
        <v>3740</v>
      </c>
      <c r="C1663" s="13" t="s">
        <v>3757</v>
      </c>
      <c r="D1663" s="13" t="s">
        <v>3754</v>
      </c>
      <c r="E1663" s="29" t="s">
        <v>30</v>
      </c>
      <c r="F1663" s="13" t="s">
        <v>31</v>
      </c>
      <c r="G1663" s="8">
        <v>5</v>
      </c>
      <c r="H1663" s="8"/>
      <c r="I1663" s="8"/>
      <c r="J1663" s="29" t="s">
        <v>6669</v>
      </c>
      <c r="K1663" s="29" t="s">
        <v>5064</v>
      </c>
      <c r="L1663" s="29"/>
      <c r="M1663" s="68">
        <v>1</v>
      </c>
      <c r="N1663" s="68" t="s">
        <v>3289</v>
      </c>
    </row>
    <row r="1664" spans="1:14" ht="14.25" x14ac:dyDescent="0.2">
      <c r="A1664" s="11" t="s">
        <v>5742</v>
      </c>
      <c r="B1664" s="12" t="s">
        <v>5967</v>
      </c>
      <c r="C1664" s="13" t="s">
        <v>3757</v>
      </c>
      <c r="D1664" s="13" t="s">
        <v>3754</v>
      </c>
      <c r="E1664" s="29" t="s">
        <v>3066</v>
      </c>
      <c r="F1664" s="13" t="s">
        <v>5743</v>
      </c>
      <c r="G1664" s="8">
        <v>60</v>
      </c>
      <c r="H1664" s="8"/>
      <c r="I1664" s="8"/>
      <c r="J1664" s="29" t="s">
        <v>1261</v>
      </c>
      <c r="K1664" s="29" t="s">
        <v>5744</v>
      </c>
      <c r="L1664" s="29"/>
      <c r="M1664" s="68">
        <v>1</v>
      </c>
      <c r="N1664" s="68" t="s">
        <v>5734</v>
      </c>
    </row>
    <row r="1665" spans="1:14" ht="28.5" x14ac:dyDescent="0.2">
      <c r="A1665" s="56" t="s">
        <v>3212</v>
      </c>
      <c r="B1665" s="57" t="s">
        <v>6978</v>
      </c>
      <c r="C1665" s="29" t="s">
        <v>3754</v>
      </c>
      <c r="D1665" s="29" t="s">
        <v>3754</v>
      </c>
      <c r="E1665" s="29"/>
      <c r="F1665" s="29" t="s">
        <v>3213</v>
      </c>
      <c r="G1665" s="8">
        <v>20</v>
      </c>
      <c r="H1665" s="8"/>
      <c r="I1665" s="8"/>
      <c r="J1665" s="29" t="s">
        <v>3254</v>
      </c>
      <c r="K1665" s="103" t="s">
        <v>3255</v>
      </c>
      <c r="L1665" s="56" t="s">
        <v>6975</v>
      </c>
      <c r="M1665" s="68">
        <v>1</v>
      </c>
      <c r="N1665" s="68" t="s">
        <v>3203</v>
      </c>
    </row>
    <row r="1666" spans="1:14" ht="15" x14ac:dyDescent="0.2">
      <c r="A1666" s="56" t="s">
        <v>3212</v>
      </c>
      <c r="B1666" s="57" t="s">
        <v>3248</v>
      </c>
      <c r="C1666" s="29" t="s">
        <v>3754</v>
      </c>
      <c r="D1666" s="29" t="s">
        <v>3754</v>
      </c>
      <c r="E1666" s="29" t="s">
        <v>5289</v>
      </c>
      <c r="F1666" s="29" t="s">
        <v>3249</v>
      </c>
      <c r="G1666" s="8"/>
      <c r="H1666" s="8">
        <v>7</v>
      </c>
      <c r="I1666" s="8"/>
      <c r="J1666" s="29" t="s">
        <v>3210</v>
      </c>
      <c r="K1666" s="103" t="s">
        <v>3838</v>
      </c>
      <c r="L1666" s="58"/>
      <c r="M1666" s="68">
        <v>1</v>
      </c>
      <c r="N1666" s="68" t="s">
        <v>3203</v>
      </c>
    </row>
    <row r="1667" spans="1:14" ht="15" x14ac:dyDescent="0.2">
      <c r="A1667" s="56" t="s">
        <v>3212</v>
      </c>
      <c r="B1667" s="57" t="s">
        <v>1801</v>
      </c>
      <c r="C1667" s="29" t="s">
        <v>3754</v>
      </c>
      <c r="D1667" s="29"/>
      <c r="E1667" s="29"/>
      <c r="F1667" s="29" t="s">
        <v>3213</v>
      </c>
      <c r="G1667" s="8"/>
      <c r="H1667" s="8">
        <v>11</v>
      </c>
      <c r="I1667" s="8"/>
      <c r="J1667" s="29" t="s">
        <v>3210</v>
      </c>
      <c r="K1667" s="103" t="s">
        <v>3214</v>
      </c>
      <c r="L1667" s="58"/>
      <c r="M1667" s="68">
        <v>1</v>
      </c>
      <c r="N1667" s="68" t="s">
        <v>3203</v>
      </c>
    </row>
    <row r="1668" spans="1:14" ht="14.25" x14ac:dyDescent="0.2">
      <c r="A1668" s="11" t="s">
        <v>16</v>
      </c>
      <c r="B1668" s="12" t="s">
        <v>5967</v>
      </c>
      <c r="C1668" s="13" t="s">
        <v>3757</v>
      </c>
      <c r="D1668" s="13" t="s">
        <v>3754</v>
      </c>
      <c r="E1668" s="29" t="s">
        <v>17</v>
      </c>
      <c r="F1668" s="13" t="s">
        <v>18</v>
      </c>
      <c r="G1668" s="8">
        <v>50</v>
      </c>
      <c r="H1668" s="8"/>
      <c r="I1668" s="8"/>
      <c r="J1668" s="29" t="s">
        <v>1271</v>
      </c>
      <c r="K1668" s="29" t="s">
        <v>19</v>
      </c>
      <c r="L1668" s="29"/>
      <c r="M1668" s="68">
        <v>1</v>
      </c>
      <c r="N1668" s="68" t="s">
        <v>3289</v>
      </c>
    </row>
    <row r="1669" spans="1:14" ht="14.25" x14ac:dyDescent="0.2">
      <c r="A1669" s="11" t="s">
        <v>5750</v>
      </c>
      <c r="B1669" s="12" t="s">
        <v>3481</v>
      </c>
      <c r="C1669" s="16" t="s">
        <v>3761</v>
      </c>
      <c r="D1669" s="13"/>
      <c r="E1669" s="29" t="s">
        <v>5751</v>
      </c>
      <c r="F1669" s="13" t="s">
        <v>5752</v>
      </c>
      <c r="G1669" s="8">
        <v>31</v>
      </c>
      <c r="H1669" s="8"/>
      <c r="I1669" s="8"/>
      <c r="J1669" s="29" t="s">
        <v>8487</v>
      </c>
      <c r="K1669" s="29" t="s">
        <v>5753</v>
      </c>
      <c r="L1669" s="29"/>
      <c r="M1669" s="68">
        <v>1</v>
      </c>
      <c r="N1669" s="68" t="s">
        <v>5734</v>
      </c>
    </row>
    <row r="1670" spans="1:14" ht="14.25" x14ac:dyDescent="0.2">
      <c r="A1670" s="11" t="s">
        <v>5750</v>
      </c>
      <c r="B1670" s="12" t="s">
        <v>2496</v>
      </c>
      <c r="C1670" s="13" t="s">
        <v>5699</v>
      </c>
      <c r="D1670" s="13" t="s">
        <v>3754</v>
      </c>
      <c r="E1670" s="29" t="s">
        <v>3122</v>
      </c>
      <c r="F1670" s="13" t="s">
        <v>3123</v>
      </c>
      <c r="G1670" s="8">
        <v>2</v>
      </c>
      <c r="H1670" s="8">
        <v>4</v>
      </c>
      <c r="I1670" s="8">
        <v>4</v>
      </c>
      <c r="J1670" s="29" t="s">
        <v>1254</v>
      </c>
      <c r="K1670" s="29" t="s">
        <v>3124</v>
      </c>
      <c r="L1670" s="29"/>
      <c r="M1670" s="68">
        <v>1</v>
      </c>
      <c r="N1670" s="68" t="s">
        <v>5734</v>
      </c>
    </row>
    <row r="1671" spans="1:14" ht="14.25" x14ac:dyDescent="0.2">
      <c r="A1671" s="11" t="s">
        <v>5750</v>
      </c>
      <c r="B1671" s="12" t="s">
        <v>2578</v>
      </c>
      <c r="C1671" s="13" t="s">
        <v>5699</v>
      </c>
      <c r="D1671" s="13" t="s">
        <v>3754</v>
      </c>
      <c r="E1671" s="29" t="s">
        <v>3122</v>
      </c>
      <c r="F1671" s="13" t="s">
        <v>3123</v>
      </c>
      <c r="G1671" s="8">
        <v>2</v>
      </c>
      <c r="H1671" s="8">
        <v>4</v>
      </c>
      <c r="I1671" s="8">
        <v>4</v>
      </c>
      <c r="J1671" s="29" t="s">
        <v>1254</v>
      </c>
      <c r="K1671" s="29" t="s">
        <v>3124</v>
      </c>
      <c r="L1671" s="29"/>
      <c r="M1671" s="68">
        <v>1</v>
      </c>
      <c r="N1671" s="68" t="s">
        <v>5734</v>
      </c>
    </row>
    <row r="1672" spans="1:14" ht="14.25" x14ac:dyDescent="0.2">
      <c r="A1672" s="11" t="s">
        <v>3205</v>
      </c>
      <c r="B1672" s="12" t="s">
        <v>6012</v>
      </c>
      <c r="C1672" s="16" t="s">
        <v>3761</v>
      </c>
      <c r="D1672" s="13" t="s">
        <v>3754</v>
      </c>
      <c r="E1672" s="29" t="s">
        <v>3382</v>
      </c>
      <c r="F1672" s="13" t="s">
        <v>3956</v>
      </c>
      <c r="G1672" s="8">
        <v>28</v>
      </c>
      <c r="H1672" s="8"/>
      <c r="I1672" s="8"/>
      <c r="J1672" s="29" t="s">
        <v>3957</v>
      </c>
      <c r="K1672" s="29" t="s">
        <v>3958</v>
      </c>
      <c r="L1672" s="29" t="s">
        <v>3959</v>
      </c>
      <c r="M1672" s="68">
        <v>1</v>
      </c>
      <c r="N1672" s="68" t="s">
        <v>3937</v>
      </c>
    </row>
    <row r="1673" spans="1:14" ht="15" x14ac:dyDescent="0.2">
      <c r="A1673" s="56" t="s">
        <v>3205</v>
      </c>
      <c r="B1673" s="57" t="s">
        <v>1445</v>
      </c>
      <c r="C1673" s="29" t="s">
        <v>3757</v>
      </c>
      <c r="D1673" s="29" t="s">
        <v>3754</v>
      </c>
      <c r="E1673" s="29" t="s">
        <v>6970</v>
      </c>
      <c r="F1673" s="29" t="s">
        <v>3754</v>
      </c>
      <c r="G1673" s="8">
        <v>65</v>
      </c>
      <c r="H1673" s="8"/>
      <c r="I1673" s="8"/>
      <c r="J1673" s="29" t="s">
        <v>3206</v>
      </c>
      <c r="K1673" s="103" t="s">
        <v>3207</v>
      </c>
      <c r="L1673" s="58"/>
      <c r="M1673" s="68">
        <v>1</v>
      </c>
      <c r="N1673" s="68" t="s">
        <v>3203</v>
      </c>
    </row>
    <row r="1674" spans="1:14" ht="14.25" x14ac:dyDescent="0.2">
      <c r="A1674" s="11" t="s">
        <v>3205</v>
      </c>
      <c r="B1674" s="12"/>
      <c r="C1674" s="13"/>
      <c r="D1674" s="13"/>
      <c r="E1674" s="29"/>
      <c r="F1674" s="13"/>
      <c r="G1674" s="8"/>
      <c r="H1674" s="8"/>
      <c r="I1674" s="8"/>
      <c r="J1674" s="29"/>
      <c r="K1674" s="29"/>
      <c r="L1674" s="29"/>
      <c r="M1674" s="68">
        <v>1</v>
      </c>
      <c r="N1674" s="68" t="s">
        <v>3937</v>
      </c>
    </row>
    <row r="1675" spans="1:14" ht="14.25" x14ac:dyDescent="0.2">
      <c r="A1675" s="11" t="s">
        <v>5722</v>
      </c>
      <c r="B1675" s="12" t="s">
        <v>1445</v>
      </c>
      <c r="C1675" s="13" t="s">
        <v>3768</v>
      </c>
      <c r="D1675" s="13" t="s">
        <v>3754</v>
      </c>
      <c r="E1675" s="29" t="s">
        <v>5723</v>
      </c>
      <c r="F1675" s="13" t="s">
        <v>5675</v>
      </c>
      <c r="G1675" s="21">
        <v>20</v>
      </c>
      <c r="H1675" s="21"/>
      <c r="I1675" s="21"/>
      <c r="J1675" s="29" t="s">
        <v>1261</v>
      </c>
      <c r="K1675" s="29" t="s">
        <v>5724</v>
      </c>
      <c r="L1675" s="29"/>
      <c r="M1675" s="68">
        <v>1</v>
      </c>
      <c r="N1675" s="68" t="s">
        <v>1972</v>
      </c>
    </row>
    <row r="1676" spans="1:14" ht="14.25" x14ac:dyDescent="0.2">
      <c r="A1676" s="11" t="s">
        <v>3884</v>
      </c>
      <c r="B1676" s="12" t="s">
        <v>3733</v>
      </c>
      <c r="C1676" s="13" t="s">
        <v>3757</v>
      </c>
      <c r="D1676" s="13" t="s">
        <v>3754</v>
      </c>
      <c r="E1676" s="29" t="s">
        <v>3468</v>
      </c>
      <c r="F1676" s="13" t="s">
        <v>3885</v>
      </c>
      <c r="G1676" s="8">
        <v>48</v>
      </c>
      <c r="H1676" s="8"/>
      <c r="I1676" s="8"/>
      <c r="J1676" s="29" t="s">
        <v>1277</v>
      </c>
      <c r="K1676" s="29" t="s">
        <v>3886</v>
      </c>
      <c r="L1676" s="29"/>
      <c r="M1676" s="68">
        <v>1</v>
      </c>
      <c r="N1676" s="68" t="s">
        <v>3289</v>
      </c>
    </row>
    <row r="1677" spans="1:14" ht="14.25" x14ac:dyDescent="0.2">
      <c r="A1677" s="11" t="s">
        <v>3938</v>
      </c>
      <c r="B1677" s="12" t="s">
        <v>5712</v>
      </c>
      <c r="C1677" s="13" t="s">
        <v>3757</v>
      </c>
      <c r="D1677" s="13" t="s">
        <v>1960</v>
      </c>
      <c r="E1677" s="29" t="s">
        <v>1346</v>
      </c>
      <c r="F1677" s="13" t="s">
        <v>3939</v>
      </c>
      <c r="G1677" s="8">
        <v>48</v>
      </c>
      <c r="H1677" s="8"/>
      <c r="I1677" s="8"/>
      <c r="J1677" s="29" t="s">
        <v>2948</v>
      </c>
      <c r="K1677" s="29" t="s">
        <v>2600</v>
      </c>
      <c r="L1677" s="29" t="s">
        <v>3940</v>
      </c>
      <c r="M1677" s="68">
        <v>1</v>
      </c>
      <c r="N1677" s="68" t="s">
        <v>3937</v>
      </c>
    </row>
    <row r="1678" spans="1:14" ht="14.25" x14ac:dyDescent="0.2">
      <c r="A1678" s="11" t="s">
        <v>3116</v>
      </c>
      <c r="B1678" s="12" t="s">
        <v>207</v>
      </c>
      <c r="C1678" s="13" t="s">
        <v>4708</v>
      </c>
      <c r="D1678" s="13" t="s">
        <v>3754</v>
      </c>
      <c r="E1678" s="29" t="s">
        <v>5676</v>
      </c>
      <c r="F1678" s="13" t="s">
        <v>3117</v>
      </c>
      <c r="G1678" s="8">
        <v>30</v>
      </c>
      <c r="H1678" s="8">
        <v>3</v>
      </c>
      <c r="I1678" s="8"/>
      <c r="J1678" s="29" t="s">
        <v>1266</v>
      </c>
      <c r="K1678" s="29" t="s">
        <v>3118</v>
      </c>
      <c r="L1678" s="29"/>
      <c r="M1678" s="68">
        <v>1</v>
      </c>
      <c r="N1678" s="68" t="s">
        <v>5734</v>
      </c>
    </row>
    <row r="1679" spans="1:14" ht="14.25" x14ac:dyDescent="0.2">
      <c r="A1679" s="11" t="s">
        <v>2129</v>
      </c>
      <c r="B1679" s="12" t="s">
        <v>7807</v>
      </c>
      <c r="C1679" s="16" t="s">
        <v>3761</v>
      </c>
      <c r="D1679" s="13" t="s">
        <v>3754</v>
      </c>
      <c r="E1679" s="29" t="s">
        <v>5859</v>
      </c>
      <c r="F1679" s="13" t="s">
        <v>2131</v>
      </c>
      <c r="G1679" s="8">
        <v>8</v>
      </c>
      <c r="H1679" s="8"/>
      <c r="I1679" s="8"/>
      <c r="J1679" s="29" t="s">
        <v>5860</v>
      </c>
      <c r="K1679" s="29" t="s">
        <v>4283</v>
      </c>
      <c r="L1679" s="29"/>
      <c r="M1679" s="68">
        <v>1</v>
      </c>
      <c r="N1679" s="68" t="s">
        <v>5734</v>
      </c>
    </row>
    <row r="1680" spans="1:14" ht="14.25" x14ac:dyDescent="0.2">
      <c r="A1680" s="11" t="s">
        <v>2129</v>
      </c>
      <c r="B1680" s="12" t="s">
        <v>7808</v>
      </c>
      <c r="C1680" s="13" t="s">
        <v>4708</v>
      </c>
      <c r="D1680" s="13" t="s">
        <v>3754</v>
      </c>
      <c r="E1680" s="29" t="s">
        <v>2130</v>
      </c>
      <c r="F1680" s="13" t="s">
        <v>2131</v>
      </c>
      <c r="G1680" s="8">
        <v>20</v>
      </c>
      <c r="H1680" s="8"/>
      <c r="I1680" s="8"/>
      <c r="J1680" s="29" t="s">
        <v>1264</v>
      </c>
      <c r="K1680" s="29" t="s">
        <v>4283</v>
      </c>
      <c r="L1680" s="29"/>
      <c r="M1680" s="68">
        <v>1</v>
      </c>
      <c r="N1680" s="68" t="s">
        <v>5734</v>
      </c>
    </row>
    <row r="1681" spans="1:14" ht="14.25" x14ac:dyDescent="0.2">
      <c r="A1681" s="11" t="s">
        <v>1982</v>
      </c>
      <c r="B1681" s="12" t="s">
        <v>1990</v>
      </c>
      <c r="C1681" s="13" t="s">
        <v>4708</v>
      </c>
      <c r="D1681" s="13" t="s">
        <v>3754</v>
      </c>
      <c r="E1681" s="29" t="s">
        <v>1991</v>
      </c>
      <c r="F1681" s="13" t="s">
        <v>3754</v>
      </c>
      <c r="G1681" s="21">
        <v>47</v>
      </c>
      <c r="H1681" s="21"/>
      <c r="I1681" s="21"/>
      <c r="J1681" s="29" t="s">
        <v>1264</v>
      </c>
      <c r="K1681" s="29" t="s">
        <v>1986</v>
      </c>
      <c r="L1681" s="29"/>
      <c r="M1681" s="68">
        <v>1</v>
      </c>
      <c r="N1681" s="68" t="s">
        <v>1972</v>
      </c>
    </row>
    <row r="1682" spans="1:14" ht="14.25" x14ac:dyDescent="0.2">
      <c r="A1682" s="11" t="s">
        <v>1982</v>
      </c>
      <c r="B1682" s="12" t="s">
        <v>3752</v>
      </c>
      <c r="C1682" s="13" t="s">
        <v>3754</v>
      </c>
      <c r="D1682" s="13" t="s">
        <v>3754</v>
      </c>
      <c r="E1682" s="29" t="s">
        <v>1987</v>
      </c>
      <c r="F1682" s="13" t="s">
        <v>3754</v>
      </c>
      <c r="G1682" s="21">
        <v>1</v>
      </c>
      <c r="H1682" s="21"/>
      <c r="I1682" s="21"/>
      <c r="J1682" s="29" t="s">
        <v>4790</v>
      </c>
      <c r="K1682" s="29" t="s">
        <v>1986</v>
      </c>
      <c r="L1682" s="61"/>
      <c r="M1682" s="68">
        <v>1</v>
      </c>
      <c r="N1682" s="68" t="s">
        <v>1972</v>
      </c>
    </row>
    <row r="1683" spans="1:14" ht="14.25" x14ac:dyDescent="0.2">
      <c r="A1683" s="9" t="s">
        <v>1982</v>
      </c>
      <c r="B1683" s="5" t="s">
        <v>1983</v>
      </c>
      <c r="C1683" s="10" t="s">
        <v>4708</v>
      </c>
      <c r="D1683" s="10" t="s">
        <v>3754</v>
      </c>
      <c r="E1683" s="55" t="s">
        <v>1984</v>
      </c>
      <c r="F1683" s="10" t="s">
        <v>3754</v>
      </c>
      <c r="G1683" s="21">
        <v>62</v>
      </c>
      <c r="H1683" s="21"/>
      <c r="I1683" s="21"/>
      <c r="J1683" s="55" t="s">
        <v>1985</v>
      </c>
      <c r="K1683" s="55" t="s">
        <v>1986</v>
      </c>
      <c r="L1683" s="61"/>
      <c r="M1683" s="68">
        <v>1</v>
      </c>
      <c r="N1683" s="68" t="s">
        <v>1972</v>
      </c>
    </row>
    <row r="1684" spans="1:14" ht="14.25" x14ac:dyDescent="0.2">
      <c r="A1684" s="30" t="s">
        <v>1982</v>
      </c>
      <c r="B1684" s="5" t="s">
        <v>1988</v>
      </c>
      <c r="C1684" s="10" t="s">
        <v>3754</v>
      </c>
      <c r="D1684" s="10" t="s">
        <v>3754</v>
      </c>
      <c r="E1684" s="61" t="s">
        <v>1989</v>
      </c>
      <c r="F1684" s="21" t="s">
        <v>3754</v>
      </c>
      <c r="G1684" s="21">
        <v>13</v>
      </c>
      <c r="H1684" s="21"/>
      <c r="I1684" s="21"/>
      <c r="J1684" s="55" t="s">
        <v>5010</v>
      </c>
      <c r="K1684" s="61" t="s">
        <v>1986</v>
      </c>
      <c r="L1684" s="61"/>
      <c r="M1684" s="68">
        <v>1</v>
      </c>
      <c r="N1684" s="68" t="s">
        <v>1972</v>
      </c>
    </row>
    <row r="1685" spans="1:14" ht="28.5" x14ac:dyDescent="0.2">
      <c r="A1685" s="37" t="s">
        <v>1982</v>
      </c>
      <c r="B1685" s="38" t="s">
        <v>1992</v>
      </c>
      <c r="C1685" s="39" t="s">
        <v>3754</v>
      </c>
      <c r="D1685" s="39" t="s">
        <v>3754</v>
      </c>
      <c r="E1685" s="84" t="s">
        <v>1993</v>
      </c>
      <c r="F1685" s="39" t="s">
        <v>3754</v>
      </c>
      <c r="G1685" s="21">
        <v>3</v>
      </c>
      <c r="H1685" s="21"/>
      <c r="I1685" s="21"/>
      <c r="J1685" s="84" t="s">
        <v>1994</v>
      </c>
      <c r="K1685" s="84" t="s">
        <v>1986</v>
      </c>
      <c r="L1685" s="84"/>
      <c r="M1685" s="68">
        <v>1</v>
      </c>
      <c r="N1685" s="68" t="s">
        <v>1972</v>
      </c>
    </row>
    <row r="1686" spans="1:14" ht="14.25" x14ac:dyDescent="0.2">
      <c r="A1686" s="37" t="s">
        <v>4535</v>
      </c>
      <c r="B1686" s="38" t="s">
        <v>4908</v>
      </c>
      <c r="C1686" s="39" t="s">
        <v>3754</v>
      </c>
      <c r="D1686" s="39" t="s">
        <v>3754</v>
      </c>
      <c r="E1686" s="84" t="s">
        <v>3806</v>
      </c>
      <c r="F1686" s="39" t="s">
        <v>4536</v>
      </c>
      <c r="G1686" s="21">
        <v>2</v>
      </c>
      <c r="H1686" s="21">
        <v>6</v>
      </c>
      <c r="I1686" s="21"/>
      <c r="J1686" s="84" t="s">
        <v>1277</v>
      </c>
      <c r="K1686" s="84" t="s">
        <v>2245</v>
      </c>
      <c r="L1686" s="84"/>
      <c r="M1686" s="68">
        <v>1</v>
      </c>
      <c r="N1686" s="68" t="s">
        <v>292</v>
      </c>
    </row>
    <row r="1687" spans="1:14" ht="14.25" x14ac:dyDescent="0.2">
      <c r="A1687" s="40" t="s">
        <v>486</v>
      </c>
      <c r="B1687" s="50" t="s">
        <v>487</v>
      </c>
      <c r="C1687" s="41" t="s">
        <v>3754</v>
      </c>
      <c r="D1687" s="41" t="s">
        <v>3754</v>
      </c>
      <c r="E1687" s="53" t="s">
        <v>488</v>
      </c>
      <c r="F1687" s="41" t="s">
        <v>489</v>
      </c>
      <c r="G1687" s="21">
        <v>1</v>
      </c>
      <c r="H1687" s="21">
        <v>6</v>
      </c>
      <c r="I1687" s="21"/>
      <c r="J1687" s="53" t="s">
        <v>7319</v>
      </c>
      <c r="K1687" s="53" t="s">
        <v>490</v>
      </c>
      <c r="L1687" s="84"/>
      <c r="M1687" s="68">
        <v>1</v>
      </c>
      <c r="N1687" s="68" t="s">
        <v>415</v>
      </c>
    </row>
    <row r="1688" spans="1:14" ht="14.25" x14ac:dyDescent="0.2">
      <c r="A1688" s="37" t="s">
        <v>200</v>
      </c>
      <c r="B1688" s="38" t="s">
        <v>327</v>
      </c>
      <c r="C1688" s="39" t="s">
        <v>3754</v>
      </c>
      <c r="D1688" s="39" t="s">
        <v>1464</v>
      </c>
      <c r="E1688" s="84" t="s">
        <v>328</v>
      </c>
      <c r="F1688" s="39" t="s">
        <v>329</v>
      </c>
      <c r="G1688" s="21">
        <v>25</v>
      </c>
      <c r="H1688" s="21"/>
      <c r="I1688" s="21"/>
      <c r="J1688" s="84" t="s">
        <v>1264</v>
      </c>
      <c r="K1688" s="84" t="s">
        <v>330</v>
      </c>
      <c r="L1688" s="84"/>
      <c r="M1688" s="68">
        <v>1</v>
      </c>
      <c r="N1688" s="68" t="s">
        <v>292</v>
      </c>
    </row>
    <row r="1689" spans="1:14" ht="14.25" x14ac:dyDescent="0.2">
      <c r="A1689" s="40" t="s">
        <v>200</v>
      </c>
      <c r="B1689" s="50" t="s">
        <v>4685</v>
      </c>
      <c r="C1689" s="41" t="s">
        <v>3757</v>
      </c>
      <c r="D1689" s="39" t="s">
        <v>3754</v>
      </c>
      <c r="E1689" s="84" t="s">
        <v>4857</v>
      </c>
      <c r="F1689" s="41" t="s">
        <v>201</v>
      </c>
      <c r="G1689" s="8">
        <v>42</v>
      </c>
      <c r="H1689" s="8"/>
      <c r="I1689" s="8"/>
      <c r="J1689" s="53" t="s">
        <v>4748</v>
      </c>
      <c r="K1689" s="84" t="s">
        <v>199</v>
      </c>
      <c r="L1689" s="53"/>
      <c r="M1689" s="68">
        <v>1</v>
      </c>
      <c r="N1689" s="68" t="s">
        <v>196</v>
      </c>
    </row>
    <row r="1690" spans="1:14" ht="14.25" x14ac:dyDescent="0.2">
      <c r="A1690" s="40" t="s">
        <v>200</v>
      </c>
      <c r="B1690" s="50" t="s">
        <v>4935</v>
      </c>
      <c r="C1690" s="41" t="s">
        <v>3754</v>
      </c>
      <c r="D1690" s="41" t="s">
        <v>3754</v>
      </c>
      <c r="E1690" s="53" t="s">
        <v>420</v>
      </c>
      <c r="F1690" s="41" t="s">
        <v>421</v>
      </c>
      <c r="G1690" s="21">
        <v>26</v>
      </c>
      <c r="H1690" s="21"/>
      <c r="I1690" s="21"/>
      <c r="J1690" s="53" t="s">
        <v>4732</v>
      </c>
      <c r="K1690" s="53" t="s">
        <v>422</v>
      </c>
      <c r="L1690" s="84"/>
      <c r="M1690" s="68">
        <v>1</v>
      </c>
      <c r="N1690" s="68" t="s">
        <v>415</v>
      </c>
    </row>
    <row r="1691" spans="1:14" ht="14.25" x14ac:dyDescent="0.2">
      <c r="A1691" s="40" t="s">
        <v>200</v>
      </c>
      <c r="B1691" s="50" t="s">
        <v>251</v>
      </c>
      <c r="C1691" s="41" t="s">
        <v>3757</v>
      </c>
      <c r="D1691" s="39" t="s">
        <v>3754</v>
      </c>
      <c r="E1691" s="84" t="s">
        <v>6029</v>
      </c>
      <c r="F1691" s="41" t="s">
        <v>252</v>
      </c>
      <c r="G1691" s="8">
        <v>49</v>
      </c>
      <c r="H1691" s="8"/>
      <c r="I1691" s="8"/>
      <c r="J1691" s="53" t="s">
        <v>1264</v>
      </c>
      <c r="K1691" s="84" t="s">
        <v>253</v>
      </c>
      <c r="L1691" s="53"/>
      <c r="M1691" s="68">
        <v>1</v>
      </c>
      <c r="N1691" s="68" t="s">
        <v>196</v>
      </c>
    </row>
    <row r="1692" spans="1:14" ht="14.25" x14ac:dyDescent="0.2">
      <c r="A1692" s="40" t="s">
        <v>200</v>
      </c>
      <c r="B1692" s="50" t="s">
        <v>3723</v>
      </c>
      <c r="C1692" s="41" t="s">
        <v>3754</v>
      </c>
      <c r="D1692" s="39" t="s">
        <v>3754</v>
      </c>
      <c r="E1692" s="84" t="s">
        <v>262</v>
      </c>
      <c r="F1692" s="41" t="s">
        <v>263</v>
      </c>
      <c r="G1692" s="8">
        <v>27</v>
      </c>
      <c r="H1692" s="8"/>
      <c r="I1692" s="8"/>
      <c r="J1692" s="53" t="s">
        <v>1264</v>
      </c>
      <c r="K1692" s="84" t="s">
        <v>264</v>
      </c>
      <c r="L1692" s="53"/>
      <c r="M1692" s="68">
        <v>1</v>
      </c>
      <c r="N1692" s="68" t="s">
        <v>196</v>
      </c>
    </row>
    <row r="1693" spans="1:14" ht="14.25" x14ac:dyDescent="0.2">
      <c r="A1693" s="40" t="s">
        <v>200</v>
      </c>
      <c r="B1693" s="50" t="s">
        <v>4045</v>
      </c>
      <c r="C1693" s="41" t="s">
        <v>3754</v>
      </c>
      <c r="D1693" s="41" t="s">
        <v>3754</v>
      </c>
      <c r="E1693" s="53" t="s">
        <v>2532</v>
      </c>
      <c r="F1693" s="41" t="s">
        <v>423</v>
      </c>
      <c r="G1693" s="21">
        <v>23</v>
      </c>
      <c r="H1693" s="21"/>
      <c r="I1693" s="21"/>
      <c r="J1693" s="53" t="s">
        <v>1270</v>
      </c>
      <c r="K1693" s="53" t="s">
        <v>5416</v>
      </c>
      <c r="L1693" s="84"/>
      <c r="M1693" s="68">
        <v>1</v>
      </c>
      <c r="N1693" s="68" t="s">
        <v>415</v>
      </c>
    </row>
    <row r="1694" spans="1:14" ht="14.25" x14ac:dyDescent="0.2">
      <c r="A1694" s="37" t="s">
        <v>200</v>
      </c>
      <c r="B1694" s="38" t="s">
        <v>348</v>
      </c>
      <c r="C1694" s="39" t="s">
        <v>3754</v>
      </c>
      <c r="D1694" s="39" t="s">
        <v>349</v>
      </c>
      <c r="E1694" s="84" t="s">
        <v>5322</v>
      </c>
      <c r="F1694" s="39" t="s">
        <v>350</v>
      </c>
      <c r="G1694" s="21">
        <v>28</v>
      </c>
      <c r="H1694" s="21"/>
      <c r="I1694" s="21"/>
      <c r="J1694" s="84" t="s">
        <v>1272</v>
      </c>
      <c r="K1694" s="84" t="s">
        <v>351</v>
      </c>
      <c r="L1694" s="84"/>
      <c r="M1694" s="68">
        <v>1</v>
      </c>
      <c r="N1694" s="68" t="s">
        <v>292</v>
      </c>
    </row>
    <row r="1695" spans="1:14" ht="14.25" x14ac:dyDescent="0.2">
      <c r="A1695" s="37" t="s">
        <v>122</v>
      </c>
      <c r="B1695" s="38" t="s">
        <v>3739</v>
      </c>
      <c r="C1695" s="39" t="s">
        <v>3757</v>
      </c>
      <c r="D1695" s="39" t="s">
        <v>123</v>
      </c>
      <c r="E1695" s="84" t="s">
        <v>124</v>
      </c>
      <c r="F1695" s="39" t="s">
        <v>123</v>
      </c>
      <c r="G1695" s="8">
        <v>60</v>
      </c>
      <c r="H1695" s="8"/>
      <c r="I1695" s="8"/>
      <c r="J1695" s="84" t="s">
        <v>1264</v>
      </c>
      <c r="K1695" s="84" t="s">
        <v>4775</v>
      </c>
      <c r="L1695" s="84"/>
      <c r="M1695" s="68">
        <v>1</v>
      </c>
      <c r="N1695" s="68" t="s">
        <v>114</v>
      </c>
    </row>
    <row r="1696" spans="1:14" ht="14.25" x14ac:dyDescent="0.2">
      <c r="A1696" s="37" t="s">
        <v>122</v>
      </c>
      <c r="B1696" s="38" t="s">
        <v>3733</v>
      </c>
      <c r="C1696" s="39" t="s">
        <v>3757</v>
      </c>
      <c r="D1696" s="39" t="s">
        <v>3754</v>
      </c>
      <c r="E1696" s="84">
        <v>1854</v>
      </c>
      <c r="F1696" s="39" t="s">
        <v>341</v>
      </c>
      <c r="G1696" s="21">
        <v>50</v>
      </c>
      <c r="H1696" s="21"/>
      <c r="I1696" s="21"/>
      <c r="J1696" s="84" t="s">
        <v>1257</v>
      </c>
      <c r="K1696" s="84" t="s">
        <v>342</v>
      </c>
      <c r="L1696" s="84"/>
      <c r="M1696" s="68">
        <v>1</v>
      </c>
      <c r="N1696" s="68" t="s">
        <v>292</v>
      </c>
    </row>
    <row r="1697" spans="1:14" ht="14.25" x14ac:dyDescent="0.2">
      <c r="A1697" s="37" t="s">
        <v>156</v>
      </c>
      <c r="B1697" s="38" t="s">
        <v>2094</v>
      </c>
      <c r="C1697" s="39" t="s">
        <v>3754</v>
      </c>
      <c r="D1697" s="39" t="s">
        <v>3754</v>
      </c>
      <c r="E1697" s="84" t="s">
        <v>157</v>
      </c>
      <c r="F1697" s="39" t="s">
        <v>158</v>
      </c>
      <c r="G1697" s="8">
        <v>6</v>
      </c>
      <c r="H1697" s="8">
        <v>3</v>
      </c>
      <c r="I1697" s="8"/>
      <c r="J1697" s="84" t="s">
        <v>4745</v>
      </c>
      <c r="K1697" s="84" t="s">
        <v>5221</v>
      </c>
      <c r="L1697" s="84"/>
      <c r="M1697" s="68">
        <v>1</v>
      </c>
      <c r="N1697" s="68" t="s">
        <v>114</v>
      </c>
    </row>
    <row r="1698" spans="1:14" ht="14.25" x14ac:dyDescent="0.2">
      <c r="A1698" s="37" t="s">
        <v>319</v>
      </c>
      <c r="B1698" s="38" t="s">
        <v>3744</v>
      </c>
      <c r="C1698" s="39" t="s">
        <v>3754</v>
      </c>
      <c r="D1698" s="39" t="s">
        <v>3754</v>
      </c>
      <c r="E1698" s="84" t="s">
        <v>323</v>
      </c>
      <c r="F1698" s="39" t="s">
        <v>324</v>
      </c>
      <c r="G1698" s="21">
        <v>40</v>
      </c>
      <c r="H1698" s="21"/>
      <c r="I1698" s="21"/>
      <c r="J1698" s="84" t="s">
        <v>325</v>
      </c>
      <c r="K1698" s="84" t="s">
        <v>326</v>
      </c>
      <c r="L1698" s="84"/>
      <c r="M1698" s="68">
        <v>1</v>
      </c>
      <c r="N1698" s="68" t="s">
        <v>292</v>
      </c>
    </row>
    <row r="1699" spans="1:14" ht="14.25" x14ac:dyDescent="0.2">
      <c r="A1699" s="37" t="s">
        <v>319</v>
      </c>
      <c r="B1699" s="38" t="s">
        <v>3752</v>
      </c>
      <c r="C1699" s="39" t="s">
        <v>3754</v>
      </c>
      <c r="D1699" s="39" t="s">
        <v>3754</v>
      </c>
      <c r="E1699" s="84" t="s">
        <v>343</v>
      </c>
      <c r="F1699" s="39" t="s">
        <v>344</v>
      </c>
      <c r="G1699" s="21">
        <v>10</v>
      </c>
      <c r="H1699" s="21"/>
      <c r="I1699" s="21"/>
      <c r="J1699" s="84" t="s">
        <v>1264</v>
      </c>
      <c r="K1699" s="84" t="s">
        <v>345</v>
      </c>
      <c r="L1699" s="84"/>
      <c r="M1699" s="68">
        <v>1</v>
      </c>
      <c r="N1699" s="68" t="s">
        <v>292</v>
      </c>
    </row>
    <row r="1700" spans="1:14" ht="14.25" x14ac:dyDescent="0.2">
      <c r="A1700" s="37" t="s">
        <v>319</v>
      </c>
      <c r="B1700" s="38" t="s">
        <v>320</v>
      </c>
      <c r="C1700" s="39" t="s">
        <v>3754</v>
      </c>
      <c r="D1700" s="39" t="s">
        <v>3754</v>
      </c>
      <c r="E1700" s="84" t="s">
        <v>321</v>
      </c>
      <c r="F1700" s="39" t="s">
        <v>1845</v>
      </c>
      <c r="G1700" s="21">
        <v>1</v>
      </c>
      <c r="H1700" s="21">
        <v>1</v>
      </c>
      <c r="I1700" s="21">
        <v>13</v>
      </c>
      <c r="J1700" s="84" t="s">
        <v>1264</v>
      </c>
      <c r="K1700" s="84" t="s">
        <v>321</v>
      </c>
      <c r="L1700" s="84"/>
      <c r="M1700" s="68">
        <v>1</v>
      </c>
      <c r="N1700" s="68" t="s">
        <v>292</v>
      </c>
    </row>
    <row r="1701" spans="1:14" ht="14.25" x14ac:dyDescent="0.2">
      <c r="A1701" s="40" t="s">
        <v>233</v>
      </c>
      <c r="B1701" s="50" t="s">
        <v>3732</v>
      </c>
      <c r="C1701" s="41" t="s">
        <v>3757</v>
      </c>
      <c r="D1701" s="39" t="s">
        <v>3754</v>
      </c>
      <c r="E1701" s="84" t="s">
        <v>5964</v>
      </c>
      <c r="F1701" s="41" t="s">
        <v>234</v>
      </c>
      <c r="G1701" s="8">
        <v>34</v>
      </c>
      <c r="H1701" s="8"/>
      <c r="I1701" s="8"/>
      <c r="J1701" s="53" t="s">
        <v>1272</v>
      </c>
      <c r="K1701" s="84" t="s">
        <v>235</v>
      </c>
      <c r="L1701" s="53"/>
      <c r="M1701" s="68">
        <v>1</v>
      </c>
      <c r="N1701" s="68" t="s">
        <v>196</v>
      </c>
    </row>
    <row r="1702" spans="1:14" ht="14.25" x14ac:dyDescent="0.2">
      <c r="A1702" s="37" t="s">
        <v>115</v>
      </c>
      <c r="B1702" s="38" t="s">
        <v>404</v>
      </c>
      <c r="C1702" s="39" t="s">
        <v>4721</v>
      </c>
      <c r="D1702" s="39" t="s">
        <v>4721</v>
      </c>
      <c r="E1702" s="84" t="s">
        <v>405</v>
      </c>
      <c r="F1702" s="39" t="s">
        <v>406</v>
      </c>
      <c r="G1702" s="21"/>
      <c r="H1702" s="21">
        <v>5</v>
      </c>
      <c r="I1702" s="21"/>
      <c r="J1702" s="84" t="s">
        <v>4829</v>
      </c>
      <c r="K1702" s="84"/>
      <c r="L1702" s="84"/>
      <c r="M1702" s="68">
        <v>1</v>
      </c>
      <c r="N1702" s="68" t="s">
        <v>292</v>
      </c>
    </row>
    <row r="1703" spans="1:14" ht="14.25" x14ac:dyDescent="0.2">
      <c r="A1703" s="40" t="s">
        <v>115</v>
      </c>
      <c r="B1703" s="50" t="s">
        <v>240</v>
      </c>
      <c r="C1703" s="41" t="s">
        <v>3754</v>
      </c>
      <c r="D1703" s="39" t="s">
        <v>3754</v>
      </c>
      <c r="E1703" s="84" t="s">
        <v>241</v>
      </c>
      <c r="F1703" s="41" t="s">
        <v>242</v>
      </c>
      <c r="G1703" s="8">
        <v>27</v>
      </c>
      <c r="H1703" s="8"/>
      <c r="I1703" s="8"/>
      <c r="J1703" s="53" t="s">
        <v>5461</v>
      </c>
      <c r="K1703" s="84" t="s">
        <v>6959</v>
      </c>
      <c r="L1703" s="53"/>
      <c r="M1703" s="68">
        <v>1</v>
      </c>
      <c r="N1703" s="68" t="s">
        <v>196</v>
      </c>
    </row>
    <row r="1704" spans="1:14" ht="14.25" x14ac:dyDescent="0.2">
      <c r="A1704" s="40" t="s">
        <v>115</v>
      </c>
      <c r="B1704" s="50" t="s">
        <v>3740</v>
      </c>
      <c r="C1704" s="41" t="s">
        <v>3754</v>
      </c>
      <c r="D1704" s="41" t="s">
        <v>3754</v>
      </c>
      <c r="E1704" s="53" t="s">
        <v>435</v>
      </c>
      <c r="F1704" s="41" t="s">
        <v>242</v>
      </c>
      <c r="G1704" s="21">
        <v>68</v>
      </c>
      <c r="H1704" s="21"/>
      <c r="I1704" s="21"/>
      <c r="J1704" s="53" t="s">
        <v>2108</v>
      </c>
      <c r="K1704" s="53" t="s">
        <v>436</v>
      </c>
      <c r="L1704" s="84"/>
      <c r="M1704" s="68">
        <v>1</v>
      </c>
      <c r="N1704" s="68" t="s">
        <v>415</v>
      </c>
    </row>
    <row r="1705" spans="1:14" ht="14.25" x14ac:dyDescent="0.2">
      <c r="A1705" s="37" t="s">
        <v>115</v>
      </c>
      <c r="B1705" s="38" t="s">
        <v>5712</v>
      </c>
      <c r="C1705" s="39" t="s">
        <v>3754</v>
      </c>
      <c r="D1705" s="39" t="s">
        <v>3754</v>
      </c>
      <c r="E1705" s="84" t="s">
        <v>3079</v>
      </c>
      <c r="F1705" s="39" t="s">
        <v>182</v>
      </c>
      <c r="G1705" s="8"/>
      <c r="H1705" s="8">
        <v>10</v>
      </c>
      <c r="I1705" s="8">
        <v>15</v>
      </c>
      <c r="J1705" s="84" t="s">
        <v>118</v>
      </c>
      <c r="K1705" s="84" t="s">
        <v>3081</v>
      </c>
      <c r="L1705" s="84"/>
      <c r="M1705" s="68">
        <v>1</v>
      </c>
      <c r="N1705" s="68" t="s">
        <v>114</v>
      </c>
    </row>
    <row r="1706" spans="1:14" ht="14.25" x14ac:dyDescent="0.2">
      <c r="A1706" s="37" t="s">
        <v>115</v>
      </c>
      <c r="B1706" s="38" t="s">
        <v>130</v>
      </c>
      <c r="C1706" s="39" t="s">
        <v>3754</v>
      </c>
      <c r="D1706" s="39"/>
      <c r="E1706" s="84" t="s">
        <v>131</v>
      </c>
      <c r="F1706" s="39" t="s">
        <v>3754</v>
      </c>
      <c r="G1706" s="8">
        <v>29</v>
      </c>
      <c r="H1706" s="8"/>
      <c r="I1706" s="8"/>
      <c r="J1706" s="84" t="s">
        <v>1264</v>
      </c>
      <c r="K1706" s="84" t="s">
        <v>132</v>
      </c>
      <c r="L1706" s="84"/>
      <c r="M1706" s="68">
        <v>1</v>
      </c>
      <c r="N1706" s="68" t="s">
        <v>114</v>
      </c>
    </row>
    <row r="1707" spans="1:14" ht="14.25" x14ac:dyDescent="0.2">
      <c r="A1707" s="37" t="s">
        <v>115</v>
      </c>
      <c r="B1707" s="38" t="s">
        <v>4701</v>
      </c>
      <c r="C1707" s="39" t="s">
        <v>3757</v>
      </c>
      <c r="D1707" s="39" t="s">
        <v>3754</v>
      </c>
      <c r="E1707" s="84"/>
      <c r="F1707" s="39" t="s">
        <v>3754</v>
      </c>
      <c r="G1707" s="8">
        <v>26</v>
      </c>
      <c r="H1707" s="8"/>
      <c r="I1707" s="8"/>
      <c r="J1707" s="84" t="s">
        <v>1264</v>
      </c>
      <c r="K1707" s="84" t="s">
        <v>116</v>
      </c>
      <c r="L1707" s="84"/>
      <c r="M1707" s="68">
        <v>1</v>
      </c>
      <c r="N1707" s="68" t="s">
        <v>114</v>
      </c>
    </row>
    <row r="1708" spans="1:14" ht="14.25" x14ac:dyDescent="0.2">
      <c r="A1708" s="37" t="s">
        <v>115</v>
      </c>
      <c r="B1708" s="38" t="s">
        <v>4942</v>
      </c>
      <c r="C1708" s="39" t="s">
        <v>3754</v>
      </c>
      <c r="D1708" s="39" t="s">
        <v>3754</v>
      </c>
      <c r="E1708" s="84"/>
      <c r="F1708" s="39" t="s">
        <v>3754</v>
      </c>
      <c r="G1708" s="8"/>
      <c r="H1708" s="8"/>
      <c r="I1708" s="8">
        <v>16</v>
      </c>
      <c r="J1708" s="84" t="s">
        <v>120</v>
      </c>
      <c r="K1708" s="84" t="s">
        <v>121</v>
      </c>
      <c r="L1708" s="84"/>
      <c r="M1708" s="68">
        <v>1</v>
      </c>
      <c r="N1708" s="68" t="s">
        <v>114</v>
      </c>
    </row>
    <row r="1709" spans="1:14" ht="14.25" x14ac:dyDescent="0.2">
      <c r="A1709" s="37" t="s">
        <v>159</v>
      </c>
      <c r="B1709" s="38" t="s">
        <v>1809</v>
      </c>
      <c r="C1709" s="39" t="s">
        <v>3754</v>
      </c>
      <c r="D1709" s="39" t="s">
        <v>3754</v>
      </c>
      <c r="E1709" s="84" t="s">
        <v>161</v>
      </c>
      <c r="F1709" s="39" t="s">
        <v>160</v>
      </c>
      <c r="G1709" s="8">
        <v>23</v>
      </c>
      <c r="H1709" s="8"/>
      <c r="I1709" s="8"/>
      <c r="J1709" s="84" t="s">
        <v>1264</v>
      </c>
      <c r="K1709" s="84" t="s">
        <v>8561</v>
      </c>
      <c r="L1709" s="84"/>
      <c r="M1709" s="68">
        <v>1</v>
      </c>
      <c r="N1709" s="68" t="s">
        <v>114</v>
      </c>
    </row>
    <row r="1710" spans="1:14" ht="14.25" x14ac:dyDescent="0.2">
      <c r="A1710" s="37" t="s">
        <v>159</v>
      </c>
      <c r="B1710" s="38" t="s">
        <v>3740</v>
      </c>
      <c r="C1710" s="39" t="s">
        <v>3757</v>
      </c>
      <c r="D1710" s="39" t="s">
        <v>3754</v>
      </c>
      <c r="E1710" s="84"/>
      <c r="F1710" s="39" t="s">
        <v>162</v>
      </c>
      <c r="G1710" s="8">
        <v>27</v>
      </c>
      <c r="H1710" s="8"/>
      <c r="I1710" s="8"/>
      <c r="J1710" s="84" t="s">
        <v>1264</v>
      </c>
      <c r="K1710" s="84" t="s">
        <v>8561</v>
      </c>
      <c r="L1710" s="84"/>
      <c r="M1710" s="68">
        <v>1</v>
      </c>
      <c r="N1710" s="68" t="s">
        <v>114</v>
      </c>
    </row>
    <row r="1711" spans="1:14" ht="14.25" x14ac:dyDescent="0.2">
      <c r="A1711" s="37" t="s">
        <v>159</v>
      </c>
      <c r="B1711" s="38" t="s">
        <v>3723</v>
      </c>
      <c r="C1711" s="39" t="s">
        <v>3757</v>
      </c>
      <c r="D1711" s="39" t="s">
        <v>3754</v>
      </c>
      <c r="E1711" s="84" t="s">
        <v>165</v>
      </c>
      <c r="F1711" s="39" t="s">
        <v>166</v>
      </c>
      <c r="G1711" s="8">
        <v>28</v>
      </c>
      <c r="H1711" s="8">
        <v>6</v>
      </c>
      <c r="I1711" s="8"/>
      <c r="J1711" s="84" t="s">
        <v>1264</v>
      </c>
      <c r="K1711" s="84" t="s">
        <v>8561</v>
      </c>
      <c r="L1711" s="84"/>
      <c r="M1711" s="68">
        <v>1</v>
      </c>
      <c r="N1711" s="68" t="s">
        <v>114</v>
      </c>
    </row>
    <row r="1712" spans="1:14" ht="14.25" x14ac:dyDescent="0.2">
      <c r="A1712" s="37" t="s">
        <v>159</v>
      </c>
      <c r="B1712" s="38" t="s">
        <v>167</v>
      </c>
      <c r="C1712" s="39" t="s">
        <v>3754</v>
      </c>
      <c r="D1712" s="39" t="s">
        <v>3754</v>
      </c>
      <c r="E1712" s="84" t="s">
        <v>168</v>
      </c>
      <c r="F1712" s="39" t="s">
        <v>160</v>
      </c>
      <c r="G1712" s="8">
        <v>2</v>
      </c>
      <c r="H1712" s="8"/>
      <c r="I1712" s="8"/>
      <c r="J1712" s="84" t="s">
        <v>1258</v>
      </c>
      <c r="K1712" s="84" t="s">
        <v>8561</v>
      </c>
      <c r="L1712" s="84"/>
      <c r="M1712" s="68">
        <v>1</v>
      </c>
      <c r="N1712" s="68" t="s">
        <v>114</v>
      </c>
    </row>
    <row r="1713" spans="1:14" ht="14.25" x14ac:dyDescent="0.2">
      <c r="A1713" s="37" t="s">
        <v>159</v>
      </c>
      <c r="B1713" s="38" t="s">
        <v>1445</v>
      </c>
      <c r="C1713" s="39" t="s">
        <v>3754</v>
      </c>
      <c r="D1713" s="39" t="s">
        <v>3754</v>
      </c>
      <c r="E1713" s="84">
        <v>1845</v>
      </c>
      <c r="F1713" s="39" t="s">
        <v>160</v>
      </c>
      <c r="G1713" s="8">
        <v>1</v>
      </c>
      <c r="H1713" s="8"/>
      <c r="I1713" s="8"/>
      <c r="J1713" s="84" t="s">
        <v>1261</v>
      </c>
      <c r="K1713" s="84" t="s">
        <v>8561</v>
      </c>
      <c r="L1713" s="84"/>
      <c r="M1713" s="68">
        <v>1</v>
      </c>
      <c r="N1713" s="68" t="s">
        <v>114</v>
      </c>
    </row>
    <row r="1714" spans="1:14" ht="14.25" x14ac:dyDescent="0.2">
      <c r="A1714" s="37" t="s">
        <v>159</v>
      </c>
      <c r="B1714" s="38" t="s">
        <v>1445</v>
      </c>
      <c r="C1714" s="39" t="s">
        <v>3754</v>
      </c>
      <c r="D1714" s="39" t="s">
        <v>3754</v>
      </c>
      <c r="E1714" s="84">
        <v>1845</v>
      </c>
      <c r="F1714" s="39" t="s">
        <v>160</v>
      </c>
      <c r="G1714" s="8">
        <v>5</v>
      </c>
      <c r="H1714" s="8"/>
      <c r="I1714" s="8"/>
      <c r="J1714" s="84" t="s">
        <v>1261</v>
      </c>
      <c r="K1714" s="84" t="s">
        <v>8561</v>
      </c>
      <c r="L1714" s="84"/>
      <c r="M1714" s="68">
        <v>1</v>
      </c>
      <c r="N1714" s="68" t="s">
        <v>114</v>
      </c>
    </row>
    <row r="1715" spans="1:14" ht="14.25" x14ac:dyDescent="0.2">
      <c r="A1715" s="37" t="s">
        <v>159</v>
      </c>
      <c r="B1715" s="38" t="s">
        <v>1445</v>
      </c>
      <c r="C1715" s="39" t="s">
        <v>3757</v>
      </c>
      <c r="D1715" s="39" t="s">
        <v>3754</v>
      </c>
      <c r="E1715" s="84" t="s">
        <v>163</v>
      </c>
      <c r="F1715" s="39" t="s">
        <v>164</v>
      </c>
      <c r="G1715" s="8">
        <v>68</v>
      </c>
      <c r="H1715" s="8">
        <v>1</v>
      </c>
      <c r="I1715" s="8"/>
      <c r="J1715" s="84" t="s">
        <v>1265</v>
      </c>
      <c r="K1715" s="84" t="s">
        <v>8561</v>
      </c>
      <c r="L1715" s="84"/>
      <c r="M1715" s="68">
        <v>1</v>
      </c>
      <c r="N1715" s="68" t="s">
        <v>114</v>
      </c>
    </row>
    <row r="1716" spans="1:14" ht="14.25" x14ac:dyDescent="0.2">
      <c r="A1716" s="40" t="s">
        <v>117</v>
      </c>
      <c r="B1716" s="50" t="s">
        <v>4882</v>
      </c>
      <c r="C1716" s="41" t="s">
        <v>3754</v>
      </c>
      <c r="D1716" s="39" t="s">
        <v>3754</v>
      </c>
      <c r="E1716" s="84" t="s">
        <v>6961</v>
      </c>
      <c r="F1716" s="41" t="s">
        <v>246</v>
      </c>
      <c r="G1716" s="8"/>
      <c r="H1716" s="8">
        <v>8</v>
      </c>
      <c r="I1716" s="8"/>
      <c r="J1716" s="53"/>
      <c r="K1716" s="84" t="s">
        <v>247</v>
      </c>
      <c r="L1716" s="53"/>
      <c r="M1716" s="68">
        <v>1</v>
      </c>
      <c r="N1716" s="68" t="s">
        <v>196</v>
      </c>
    </row>
    <row r="1717" spans="1:14" ht="14.25" x14ac:dyDescent="0.2">
      <c r="A1717" s="37" t="s">
        <v>117</v>
      </c>
      <c r="B1717" s="38" t="s">
        <v>3740</v>
      </c>
      <c r="C1717" s="39" t="s">
        <v>3754</v>
      </c>
      <c r="D1717" s="39" t="s">
        <v>3754</v>
      </c>
      <c r="E1717" s="84" t="s">
        <v>183</v>
      </c>
      <c r="F1717" s="39" t="s">
        <v>184</v>
      </c>
      <c r="G1717" s="8">
        <v>39</v>
      </c>
      <c r="H1717" s="8"/>
      <c r="I1717" s="8"/>
      <c r="J1717" s="84" t="s">
        <v>1264</v>
      </c>
      <c r="K1717" s="84" t="s">
        <v>185</v>
      </c>
      <c r="L1717" s="84"/>
      <c r="M1717" s="68">
        <v>1</v>
      </c>
      <c r="N1717" s="68" t="s">
        <v>114</v>
      </c>
    </row>
    <row r="1718" spans="1:14" ht="14.25" x14ac:dyDescent="0.2">
      <c r="A1718" s="37" t="s">
        <v>117</v>
      </c>
      <c r="B1718" s="38" t="s">
        <v>3740</v>
      </c>
      <c r="C1718" s="39" t="s">
        <v>3757</v>
      </c>
      <c r="D1718" s="39" t="s">
        <v>3754</v>
      </c>
      <c r="E1718" s="84" t="s">
        <v>145</v>
      </c>
      <c r="F1718" s="39" t="s">
        <v>3754</v>
      </c>
      <c r="G1718" s="8">
        <v>73</v>
      </c>
      <c r="H1718" s="8"/>
      <c r="I1718" s="8"/>
      <c r="J1718" s="84" t="s">
        <v>1264</v>
      </c>
      <c r="K1718" s="84" t="s">
        <v>8513</v>
      </c>
      <c r="L1718" s="84"/>
      <c r="M1718" s="68">
        <v>1</v>
      </c>
      <c r="N1718" s="68" t="s">
        <v>114</v>
      </c>
    </row>
    <row r="1719" spans="1:14" ht="14.25" x14ac:dyDescent="0.2">
      <c r="A1719" s="37" t="s">
        <v>117</v>
      </c>
      <c r="B1719" s="38" t="s">
        <v>3740</v>
      </c>
      <c r="C1719" s="39" t="s">
        <v>3754</v>
      </c>
      <c r="D1719" s="39" t="s">
        <v>148</v>
      </c>
      <c r="E1719" s="84" t="s">
        <v>149</v>
      </c>
      <c r="F1719" s="39"/>
      <c r="G1719" s="8"/>
      <c r="H1719" s="8">
        <v>6</v>
      </c>
      <c r="I1719" s="8"/>
      <c r="J1719" s="84" t="s">
        <v>150</v>
      </c>
      <c r="K1719" s="84" t="s">
        <v>151</v>
      </c>
      <c r="L1719" s="84"/>
      <c r="M1719" s="68">
        <v>1</v>
      </c>
      <c r="N1719" s="68" t="s">
        <v>114</v>
      </c>
    </row>
    <row r="1720" spans="1:14" ht="14.25" x14ac:dyDescent="0.2">
      <c r="A1720" s="37" t="s">
        <v>117</v>
      </c>
      <c r="B1720" s="38" t="s">
        <v>146</v>
      </c>
      <c r="C1720" s="39" t="s">
        <v>3754</v>
      </c>
      <c r="D1720" s="39" t="s">
        <v>3754</v>
      </c>
      <c r="E1720" s="84" t="s">
        <v>147</v>
      </c>
      <c r="F1720" s="39" t="s">
        <v>3754</v>
      </c>
      <c r="G1720" s="8">
        <v>7</v>
      </c>
      <c r="H1720" s="8">
        <v>2</v>
      </c>
      <c r="I1720" s="8"/>
      <c r="J1720" s="84" t="s">
        <v>1254</v>
      </c>
      <c r="K1720" s="84" t="s">
        <v>8513</v>
      </c>
      <c r="L1720" s="84"/>
      <c r="M1720" s="68">
        <v>1</v>
      </c>
      <c r="N1720" s="68" t="s">
        <v>114</v>
      </c>
    </row>
    <row r="1721" spans="1:14" ht="14.25" x14ac:dyDescent="0.2">
      <c r="A1721" s="37" t="s">
        <v>117</v>
      </c>
      <c r="B1721" s="38" t="s">
        <v>4581</v>
      </c>
      <c r="C1721" s="39" t="s">
        <v>3757</v>
      </c>
      <c r="D1721" s="39" t="s">
        <v>3754</v>
      </c>
      <c r="E1721" s="84">
        <v>1862</v>
      </c>
      <c r="F1721" s="39" t="s">
        <v>3754</v>
      </c>
      <c r="G1721" s="8">
        <v>67</v>
      </c>
      <c r="H1721" s="8"/>
      <c r="I1721" s="8"/>
      <c r="J1721" s="84" t="s">
        <v>1265</v>
      </c>
      <c r="K1721" s="84" t="s">
        <v>8513</v>
      </c>
      <c r="L1721" s="84"/>
      <c r="M1721" s="68">
        <v>1</v>
      </c>
      <c r="N1721" s="68" t="s">
        <v>114</v>
      </c>
    </row>
    <row r="1722" spans="1:14" ht="14.25" x14ac:dyDescent="0.2">
      <c r="A1722" s="37" t="s">
        <v>117</v>
      </c>
      <c r="B1722" s="38" t="s">
        <v>143</v>
      </c>
      <c r="C1722" s="39" t="s">
        <v>3754</v>
      </c>
      <c r="D1722" s="39" t="s">
        <v>3754</v>
      </c>
      <c r="E1722" s="84" t="s">
        <v>144</v>
      </c>
      <c r="F1722" s="39" t="s">
        <v>3754</v>
      </c>
      <c r="G1722" s="8">
        <v>2</v>
      </c>
      <c r="H1722" s="8">
        <v>6</v>
      </c>
      <c r="I1722" s="8"/>
      <c r="J1722" s="84" t="s">
        <v>4745</v>
      </c>
      <c r="K1722" s="84" t="s">
        <v>8513</v>
      </c>
      <c r="L1722" s="84"/>
      <c r="M1722" s="68">
        <v>1</v>
      </c>
      <c r="N1722" s="68" t="s">
        <v>114</v>
      </c>
    </row>
    <row r="1723" spans="1:14" ht="14.25" x14ac:dyDescent="0.2">
      <c r="A1723" s="37" t="s">
        <v>117</v>
      </c>
      <c r="B1723" s="38" t="s">
        <v>3723</v>
      </c>
      <c r="C1723" s="39" t="s">
        <v>3757</v>
      </c>
      <c r="D1723" s="39" t="s">
        <v>3754</v>
      </c>
      <c r="E1723" s="84" t="s">
        <v>2015</v>
      </c>
      <c r="F1723" s="39" t="s">
        <v>3754</v>
      </c>
      <c r="G1723" s="8">
        <v>36</v>
      </c>
      <c r="H1723" s="8"/>
      <c r="I1723" s="8"/>
      <c r="J1723" s="84" t="s">
        <v>1264</v>
      </c>
      <c r="K1723" s="84" t="s">
        <v>8502</v>
      </c>
      <c r="L1723" s="84"/>
      <c r="M1723" s="68">
        <v>1</v>
      </c>
      <c r="N1723" s="68" t="s">
        <v>114</v>
      </c>
    </row>
    <row r="1724" spans="1:14" ht="14.25" x14ac:dyDescent="0.2">
      <c r="A1724" s="37" t="s">
        <v>117</v>
      </c>
      <c r="B1724" s="38" t="s">
        <v>3751</v>
      </c>
      <c r="C1724" s="39" t="s">
        <v>3754</v>
      </c>
      <c r="D1724" s="39" t="s">
        <v>3754</v>
      </c>
      <c r="E1724" s="84"/>
      <c r="F1724" s="39" t="s">
        <v>3754</v>
      </c>
      <c r="G1724" s="8"/>
      <c r="H1724" s="8">
        <v>10</v>
      </c>
      <c r="I1724" s="8"/>
      <c r="J1724" s="84" t="s">
        <v>118</v>
      </c>
      <c r="K1724" s="84" t="s">
        <v>119</v>
      </c>
      <c r="L1724" s="84"/>
      <c r="M1724" s="68">
        <v>1</v>
      </c>
      <c r="N1724" s="68" t="s">
        <v>114</v>
      </c>
    </row>
    <row r="1725" spans="1:14" ht="14.25" x14ac:dyDescent="0.2">
      <c r="A1725" s="37" t="s">
        <v>4552</v>
      </c>
      <c r="B1725" s="38" t="s">
        <v>3723</v>
      </c>
      <c r="C1725" s="39" t="s">
        <v>3757</v>
      </c>
      <c r="D1725" s="39" t="s">
        <v>3754</v>
      </c>
      <c r="E1725" s="84" t="s">
        <v>3316</v>
      </c>
      <c r="F1725" s="39" t="s">
        <v>4553</v>
      </c>
      <c r="G1725" s="21">
        <v>30</v>
      </c>
      <c r="H1725" s="21"/>
      <c r="I1725" s="21"/>
      <c r="J1725" s="84" t="s">
        <v>1277</v>
      </c>
      <c r="K1725" s="84" t="s">
        <v>3318</v>
      </c>
      <c r="L1725" s="84"/>
      <c r="M1725" s="68">
        <v>1</v>
      </c>
      <c r="N1725" s="68" t="s">
        <v>292</v>
      </c>
    </row>
    <row r="1726" spans="1:14" ht="14.25" x14ac:dyDescent="0.2">
      <c r="A1726" s="9" t="s">
        <v>305</v>
      </c>
      <c r="B1726" s="5" t="s">
        <v>3728</v>
      </c>
      <c r="C1726" s="21" t="s">
        <v>3757</v>
      </c>
      <c r="D1726" s="10" t="s">
        <v>1464</v>
      </c>
      <c r="E1726" s="55" t="s">
        <v>1970</v>
      </c>
      <c r="F1726" s="10" t="s">
        <v>306</v>
      </c>
      <c r="G1726" s="21">
        <v>80</v>
      </c>
      <c r="H1726" s="21"/>
      <c r="I1726" s="21"/>
      <c r="J1726" s="55" t="s">
        <v>2108</v>
      </c>
      <c r="K1726" s="55" t="s">
        <v>307</v>
      </c>
      <c r="L1726" s="61"/>
      <c r="M1726" s="68">
        <v>1</v>
      </c>
      <c r="N1726" s="68" t="s">
        <v>292</v>
      </c>
    </row>
    <row r="1727" spans="1:14" ht="14.25" x14ac:dyDescent="0.2">
      <c r="A1727" s="9" t="s">
        <v>305</v>
      </c>
      <c r="B1727" s="5" t="s">
        <v>4691</v>
      </c>
      <c r="C1727" s="10" t="s">
        <v>3754</v>
      </c>
      <c r="D1727" s="10" t="s">
        <v>3754</v>
      </c>
      <c r="E1727" s="61" t="s">
        <v>6231</v>
      </c>
      <c r="F1727" s="10" t="s">
        <v>4560</v>
      </c>
      <c r="G1727" s="21">
        <v>32</v>
      </c>
      <c r="H1727" s="21"/>
      <c r="I1727" s="21"/>
      <c r="J1727" s="55" t="s">
        <v>1264</v>
      </c>
      <c r="K1727" s="55" t="s">
        <v>3334</v>
      </c>
      <c r="L1727" s="61"/>
      <c r="M1727" s="68">
        <v>1</v>
      </c>
      <c r="N1727" s="68" t="s">
        <v>292</v>
      </c>
    </row>
    <row r="1728" spans="1:14" ht="14.25" x14ac:dyDescent="0.2">
      <c r="A1728" s="14" t="s">
        <v>305</v>
      </c>
      <c r="B1728" s="15" t="s">
        <v>1177</v>
      </c>
      <c r="C1728" s="16" t="s">
        <v>3754</v>
      </c>
      <c r="D1728" s="16" t="s">
        <v>3754</v>
      </c>
      <c r="E1728" s="27" t="s">
        <v>5401</v>
      </c>
      <c r="F1728" s="16" t="s">
        <v>416</v>
      </c>
      <c r="G1728" s="21">
        <v>16</v>
      </c>
      <c r="H1728" s="21"/>
      <c r="I1728" s="21"/>
      <c r="J1728" s="27" t="s">
        <v>1264</v>
      </c>
      <c r="K1728" s="27" t="s">
        <v>5403</v>
      </c>
      <c r="L1728" s="29"/>
      <c r="M1728" s="68">
        <v>1</v>
      </c>
      <c r="N1728" s="68" t="s">
        <v>415</v>
      </c>
    </row>
    <row r="1729" spans="1:14" ht="14.25" x14ac:dyDescent="0.2">
      <c r="A1729" s="11" t="s">
        <v>189</v>
      </c>
      <c r="B1729" s="12" t="s">
        <v>3744</v>
      </c>
      <c r="C1729" s="13" t="s">
        <v>3754</v>
      </c>
      <c r="D1729" s="13" t="s">
        <v>4070</v>
      </c>
      <c r="E1729" s="29" t="s">
        <v>190</v>
      </c>
      <c r="F1729" s="13" t="s">
        <v>191</v>
      </c>
      <c r="G1729" s="8">
        <v>1</v>
      </c>
      <c r="H1729" s="8">
        <v>4</v>
      </c>
      <c r="I1729" s="8"/>
      <c r="J1729" s="29" t="s">
        <v>118</v>
      </c>
      <c r="K1729" s="29" t="s">
        <v>1410</v>
      </c>
      <c r="L1729" s="29"/>
      <c r="M1729" s="68">
        <v>1</v>
      </c>
      <c r="N1729" s="68" t="s">
        <v>114</v>
      </c>
    </row>
    <row r="1730" spans="1:14" ht="14.25" x14ac:dyDescent="0.2">
      <c r="A1730" s="11" t="s">
        <v>189</v>
      </c>
      <c r="B1730" s="12" t="s">
        <v>3724</v>
      </c>
      <c r="C1730" s="13" t="s">
        <v>4070</v>
      </c>
      <c r="D1730" s="13" t="s">
        <v>4070</v>
      </c>
      <c r="E1730" s="29" t="s">
        <v>1464</v>
      </c>
      <c r="F1730" s="13" t="s">
        <v>308</v>
      </c>
      <c r="G1730" s="21">
        <v>1</v>
      </c>
      <c r="H1730" s="21"/>
      <c r="I1730" s="21"/>
      <c r="J1730" s="29" t="s">
        <v>2097</v>
      </c>
      <c r="K1730" s="29" t="s">
        <v>4958</v>
      </c>
      <c r="L1730" s="29"/>
      <c r="M1730" s="68">
        <v>1</v>
      </c>
      <c r="N1730" s="68" t="s">
        <v>292</v>
      </c>
    </row>
    <row r="1731" spans="1:14" ht="14.25" x14ac:dyDescent="0.2">
      <c r="A1731" s="14" t="s">
        <v>189</v>
      </c>
      <c r="B1731" s="15" t="s">
        <v>1535</v>
      </c>
      <c r="C1731" s="16" t="s">
        <v>4070</v>
      </c>
      <c r="D1731" s="13" t="s">
        <v>4070</v>
      </c>
      <c r="E1731" s="29" t="s">
        <v>6033</v>
      </c>
      <c r="F1731" s="16" t="s">
        <v>213</v>
      </c>
      <c r="G1731" s="8"/>
      <c r="H1731" s="8">
        <v>4</v>
      </c>
      <c r="I1731" s="8"/>
      <c r="J1731" s="27" t="s">
        <v>4829</v>
      </c>
      <c r="K1731" s="29" t="s">
        <v>5875</v>
      </c>
      <c r="L1731" s="27"/>
      <c r="M1731" s="68">
        <v>1</v>
      </c>
      <c r="N1731" s="68" t="s">
        <v>196</v>
      </c>
    </row>
    <row r="1732" spans="1:14" ht="14.25" x14ac:dyDescent="0.2">
      <c r="A1732" s="14" t="s">
        <v>189</v>
      </c>
      <c r="B1732" s="15" t="s">
        <v>5351</v>
      </c>
      <c r="C1732" s="16" t="s">
        <v>4070</v>
      </c>
      <c r="D1732" s="13" t="s">
        <v>4070</v>
      </c>
      <c r="E1732" s="29" t="s">
        <v>230</v>
      </c>
      <c r="F1732" s="16" t="s">
        <v>231</v>
      </c>
      <c r="G1732" s="8"/>
      <c r="H1732" s="8"/>
      <c r="I1732" s="8">
        <v>21</v>
      </c>
      <c r="J1732" s="27" t="s">
        <v>232</v>
      </c>
      <c r="K1732" s="29" t="s">
        <v>5953</v>
      </c>
      <c r="L1732" s="27"/>
      <c r="M1732" s="68">
        <v>1</v>
      </c>
      <c r="N1732" s="68" t="s">
        <v>196</v>
      </c>
    </row>
    <row r="1733" spans="1:14" ht="14.25" x14ac:dyDescent="0.2">
      <c r="A1733" s="14" t="s">
        <v>272</v>
      </c>
      <c r="B1733" s="15" t="s">
        <v>5712</v>
      </c>
      <c r="C1733" s="16" t="s">
        <v>4712</v>
      </c>
      <c r="D1733" s="13" t="s">
        <v>3754</v>
      </c>
      <c r="E1733" s="29" t="s">
        <v>273</v>
      </c>
      <c r="F1733" s="16" t="s">
        <v>3754</v>
      </c>
      <c r="G1733" s="8">
        <v>21</v>
      </c>
      <c r="H1733" s="8"/>
      <c r="I1733" s="8"/>
      <c r="J1733" s="27" t="s">
        <v>5461</v>
      </c>
      <c r="K1733" s="29" t="s">
        <v>274</v>
      </c>
      <c r="L1733" s="27"/>
      <c r="M1733" s="68">
        <v>1</v>
      </c>
      <c r="N1733" s="68" t="s">
        <v>196</v>
      </c>
    </row>
    <row r="1734" spans="1:14" ht="14.25" x14ac:dyDescent="0.2">
      <c r="A1734" s="14" t="s">
        <v>286</v>
      </c>
      <c r="B1734" s="15" t="s">
        <v>287</v>
      </c>
      <c r="C1734" s="16" t="s">
        <v>4712</v>
      </c>
      <c r="D1734" s="13" t="s">
        <v>3754</v>
      </c>
      <c r="E1734" s="109" t="s">
        <v>2156</v>
      </c>
      <c r="F1734" s="16" t="s">
        <v>288</v>
      </c>
      <c r="G1734" s="8">
        <v>1</v>
      </c>
      <c r="H1734" s="8">
        <v>11</v>
      </c>
      <c r="I1734" s="8">
        <v>25</v>
      </c>
      <c r="J1734" s="27" t="s">
        <v>8834</v>
      </c>
      <c r="K1734" s="109" t="s">
        <v>2158</v>
      </c>
      <c r="L1734" s="27"/>
      <c r="M1734" s="68">
        <v>1</v>
      </c>
      <c r="N1734" s="68" t="s">
        <v>196</v>
      </c>
    </row>
    <row r="1735" spans="1:14" ht="14.25" x14ac:dyDescent="0.2">
      <c r="A1735" s="14" t="s">
        <v>279</v>
      </c>
      <c r="B1735" s="15" t="s">
        <v>4581</v>
      </c>
      <c r="C1735" s="16" t="s">
        <v>3757</v>
      </c>
      <c r="D1735" s="13" t="s">
        <v>3754</v>
      </c>
      <c r="E1735" s="29" t="s">
        <v>280</v>
      </c>
      <c r="F1735" s="16" t="s">
        <v>281</v>
      </c>
      <c r="G1735" s="8">
        <v>43</v>
      </c>
      <c r="H1735" s="8"/>
      <c r="I1735" s="8"/>
      <c r="J1735" s="27" t="s">
        <v>4809</v>
      </c>
      <c r="K1735" s="29" t="s">
        <v>282</v>
      </c>
      <c r="L1735" s="27"/>
      <c r="M1735" s="68">
        <v>1</v>
      </c>
      <c r="N1735" s="68" t="s">
        <v>196</v>
      </c>
    </row>
    <row r="1736" spans="1:14" ht="14.25" x14ac:dyDescent="0.2">
      <c r="A1736" s="14" t="s">
        <v>275</v>
      </c>
      <c r="B1736" s="15" t="s">
        <v>3723</v>
      </c>
      <c r="C1736" s="16" t="s">
        <v>3757</v>
      </c>
      <c r="D1736" s="13" t="s">
        <v>3754</v>
      </c>
      <c r="E1736" s="29" t="s">
        <v>276</v>
      </c>
      <c r="F1736" s="16" t="s">
        <v>277</v>
      </c>
      <c r="G1736" s="8">
        <v>58</v>
      </c>
      <c r="H1736" s="8"/>
      <c r="I1736" s="8"/>
      <c r="J1736" s="27" t="s">
        <v>1264</v>
      </c>
      <c r="K1736" s="29" t="s">
        <v>278</v>
      </c>
      <c r="L1736" s="27"/>
      <c r="M1736" s="68">
        <v>1</v>
      </c>
      <c r="N1736" s="68" t="s">
        <v>196</v>
      </c>
    </row>
    <row r="1737" spans="1:14" ht="14.25" x14ac:dyDescent="0.2">
      <c r="A1737" s="14" t="s">
        <v>333</v>
      </c>
      <c r="B1737" s="15" t="s">
        <v>468</v>
      </c>
      <c r="C1737" s="16" t="s">
        <v>3757</v>
      </c>
      <c r="D1737" s="16" t="s">
        <v>3754</v>
      </c>
      <c r="E1737" s="27" t="s">
        <v>5458</v>
      </c>
      <c r="F1737" s="16" t="s">
        <v>466</v>
      </c>
      <c r="G1737" s="21">
        <v>35</v>
      </c>
      <c r="H1737" s="21">
        <v>6</v>
      </c>
      <c r="I1737" s="21"/>
      <c r="J1737" s="27" t="s">
        <v>1264</v>
      </c>
      <c r="K1737" s="27" t="s">
        <v>6981</v>
      </c>
      <c r="L1737" s="29"/>
      <c r="M1737" s="68">
        <v>1</v>
      </c>
      <c r="N1737" s="68" t="s">
        <v>415</v>
      </c>
    </row>
    <row r="1738" spans="1:14" ht="14.25" x14ac:dyDescent="0.2">
      <c r="A1738" s="11" t="s">
        <v>243</v>
      </c>
      <c r="B1738" s="12" t="s">
        <v>334</v>
      </c>
      <c r="C1738" s="13" t="s">
        <v>3754</v>
      </c>
      <c r="D1738" s="13" t="s">
        <v>3754</v>
      </c>
      <c r="E1738" s="29" t="s">
        <v>3823</v>
      </c>
      <c r="F1738" s="13" t="s">
        <v>313</v>
      </c>
      <c r="G1738" s="21">
        <v>25</v>
      </c>
      <c r="H1738" s="21"/>
      <c r="I1738" s="21"/>
      <c r="J1738" s="29" t="s">
        <v>1264</v>
      </c>
      <c r="K1738" s="29" t="s">
        <v>6820</v>
      </c>
      <c r="L1738" s="29"/>
      <c r="M1738" s="68">
        <v>1</v>
      </c>
      <c r="N1738" s="68" t="s">
        <v>292</v>
      </c>
    </row>
    <row r="1739" spans="1:14" ht="14.25" x14ac:dyDescent="0.2">
      <c r="A1739" s="14" t="s">
        <v>243</v>
      </c>
      <c r="B1739" s="15" t="s">
        <v>3733</v>
      </c>
      <c r="C1739" s="16" t="s">
        <v>3757</v>
      </c>
      <c r="D1739" s="13" t="s">
        <v>3754</v>
      </c>
      <c r="E1739" s="29" t="s">
        <v>244</v>
      </c>
      <c r="F1739" s="16" t="s">
        <v>245</v>
      </c>
      <c r="G1739" s="8">
        <v>34</v>
      </c>
      <c r="H1739" s="8"/>
      <c r="I1739" s="8"/>
      <c r="J1739" s="27" t="s">
        <v>1264</v>
      </c>
      <c r="K1739" s="29" t="s">
        <v>8630</v>
      </c>
      <c r="L1739" s="27"/>
      <c r="M1739" s="68">
        <v>1</v>
      </c>
      <c r="N1739" s="68" t="s">
        <v>196</v>
      </c>
    </row>
    <row r="1740" spans="1:14" ht="14.25" x14ac:dyDescent="0.2">
      <c r="A1740" s="11" t="s">
        <v>125</v>
      </c>
      <c r="B1740" s="12" t="s">
        <v>1809</v>
      </c>
      <c r="C1740" s="13" t="s">
        <v>3754</v>
      </c>
      <c r="D1740" s="13" t="s">
        <v>3754</v>
      </c>
      <c r="E1740" s="29" t="s">
        <v>139</v>
      </c>
      <c r="F1740" s="13" t="s">
        <v>3754</v>
      </c>
      <c r="G1740" s="8">
        <v>14</v>
      </c>
      <c r="H1740" s="8"/>
      <c r="I1740" s="8"/>
      <c r="J1740" s="29" t="s">
        <v>1264</v>
      </c>
      <c r="K1740" s="29" t="s">
        <v>4056</v>
      </c>
      <c r="L1740" s="29"/>
      <c r="M1740" s="68">
        <v>1</v>
      </c>
      <c r="N1740" s="68" t="s">
        <v>114</v>
      </c>
    </row>
    <row r="1741" spans="1:14" ht="14.25" x14ac:dyDescent="0.2">
      <c r="A1741" s="11" t="s">
        <v>125</v>
      </c>
      <c r="B1741" s="12" t="s">
        <v>4685</v>
      </c>
      <c r="C1741" s="13" t="s">
        <v>3757</v>
      </c>
      <c r="D1741" s="13" t="s">
        <v>3754</v>
      </c>
      <c r="E1741" s="29" t="s">
        <v>2196</v>
      </c>
      <c r="F1741" s="13" t="s">
        <v>313</v>
      </c>
      <c r="G1741" s="21">
        <v>68</v>
      </c>
      <c r="H1741" s="21"/>
      <c r="I1741" s="21"/>
      <c r="J1741" s="29" t="s">
        <v>1267</v>
      </c>
      <c r="K1741" s="29" t="s">
        <v>2613</v>
      </c>
      <c r="L1741" s="29"/>
      <c r="M1741" s="68">
        <v>1</v>
      </c>
      <c r="N1741" s="68" t="s">
        <v>292</v>
      </c>
    </row>
    <row r="1742" spans="1:14" ht="14.25" x14ac:dyDescent="0.2">
      <c r="A1742" s="11" t="s">
        <v>125</v>
      </c>
      <c r="B1742" s="12" t="s">
        <v>3740</v>
      </c>
      <c r="C1742" s="13" t="s">
        <v>3757</v>
      </c>
      <c r="D1742" s="13"/>
      <c r="E1742" s="29" t="s">
        <v>126</v>
      </c>
      <c r="F1742" s="13" t="s">
        <v>3754</v>
      </c>
      <c r="G1742" s="8">
        <v>78</v>
      </c>
      <c r="H1742" s="8"/>
      <c r="I1742" s="8"/>
      <c r="J1742" s="29" t="s">
        <v>5461</v>
      </c>
      <c r="K1742" s="29" t="s">
        <v>127</v>
      </c>
      <c r="L1742" s="29"/>
      <c r="M1742" s="68">
        <v>1</v>
      </c>
      <c r="N1742" s="68" t="s">
        <v>114</v>
      </c>
    </row>
    <row r="1743" spans="1:14" ht="14.25" x14ac:dyDescent="0.2">
      <c r="A1743" s="11" t="s">
        <v>125</v>
      </c>
      <c r="B1743" s="12" t="s">
        <v>133</v>
      </c>
      <c r="C1743" s="13" t="s">
        <v>3757</v>
      </c>
      <c r="D1743" s="13" t="s">
        <v>3754</v>
      </c>
      <c r="E1743" s="29" t="s">
        <v>134</v>
      </c>
      <c r="F1743" s="13" t="s">
        <v>3754</v>
      </c>
      <c r="G1743" s="8">
        <v>48</v>
      </c>
      <c r="H1743" s="8"/>
      <c r="I1743" s="8"/>
      <c r="J1743" s="29" t="s">
        <v>1264</v>
      </c>
      <c r="K1743" s="29" t="s">
        <v>4056</v>
      </c>
      <c r="L1743" s="29"/>
      <c r="M1743" s="68">
        <v>1</v>
      </c>
      <c r="N1743" s="68" t="s">
        <v>114</v>
      </c>
    </row>
    <row r="1744" spans="1:14" ht="14.25" x14ac:dyDescent="0.2">
      <c r="A1744" s="14" t="s">
        <v>125</v>
      </c>
      <c r="B1744" s="15" t="s">
        <v>3735</v>
      </c>
      <c r="C1744" s="16" t="s">
        <v>3757</v>
      </c>
      <c r="D1744" s="13" t="s">
        <v>3754</v>
      </c>
      <c r="E1744" s="29" t="s">
        <v>248</v>
      </c>
      <c r="F1744" s="16" t="s">
        <v>249</v>
      </c>
      <c r="G1744" s="8">
        <v>73</v>
      </c>
      <c r="H1744" s="8"/>
      <c r="I1744" s="8"/>
      <c r="J1744" s="27" t="s">
        <v>1572</v>
      </c>
      <c r="K1744" s="29" t="s">
        <v>250</v>
      </c>
      <c r="L1744" s="27"/>
      <c r="M1744" s="68">
        <v>1</v>
      </c>
      <c r="N1744" s="68" t="s">
        <v>196</v>
      </c>
    </row>
    <row r="1745" spans="1:14" ht="14.25" x14ac:dyDescent="0.2">
      <c r="A1745" s="14" t="s">
        <v>464</v>
      </c>
      <c r="B1745" s="15" t="s">
        <v>465</v>
      </c>
      <c r="C1745" s="16" t="s">
        <v>3754</v>
      </c>
      <c r="D1745" s="16" t="s">
        <v>3754</v>
      </c>
      <c r="E1745" s="27" t="s">
        <v>6543</v>
      </c>
      <c r="F1745" s="16" t="s">
        <v>466</v>
      </c>
      <c r="G1745" s="21">
        <v>1</v>
      </c>
      <c r="H1745" s="21">
        <v>11</v>
      </c>
      <c r="I1745" s="21">
        <v>18</v>
      </c>
      <c r="J1745" s="27" t="s">
        <v>1277</v>
      </c>
      <c r="K1745" s="27" t="s">
        <v>467</v>
      </c>
      <c r="L1745" s="29"/>
      <c r="M1745" s="68">
        <v>1</v>
      </c>
      <c r="N1745" s="68" t="s">
        <v>415</v>
      </c>
    </row>
    <row r="1746" spans="1:14" ht="14.25" x14ac:dyDescent="0.2">
      <c r="A1746" s="11" t="s">
        <v>4556</v>
      </c>
      <c r="B1746" s="12" t="s">
        <v>1699</v>
      </c>
      <c r="C1746" s="13" t="s">
        <v>3754</v>
      </c>
      <c r="D1746" s="13" t="s">
        <v>3754</v>
      </c>
      <c r="E1746" s="29" t="s">
        <v>5597</v>
      </c>
      <c r="F1746" s="13" t="s">
        <v>2401</v>
      </c>
      <c r="G1746" s="21">
        <v>38</v>
      </c>
      <c r="H1746" s="21"/>
      <c r="I1746" s="21"/>
      <c r="J1746" s="29" t="s">
        <v>1842</v>
      </c>
      <c r="K1746" s="29" t="s">
        <v>4557</v>
      </c>
      <c r="L1746" s="29"/>
      <c r="M1746" s="68">
        <v>1</v>
      </c>
      <c r="N1746" s="68" t="s">
        <v>292</v>
      </c>
    </row>
    <row r="1747" spans="1:14" ht="14.25" x14ac:dyDescent="0.2">
      <c r="A1747" s="11" t="s">
        <v>174</v>
      </c>
      <c r="B1747" s="12" t="s">
        <v>175</v>
      </c>
      <c r="C1747" s="13" t="s">
        <v>3767</v>
      </c>
      <c r="D1747" s="13" t="s">
        <v>3767</v>
      </c>
      <c r="E1747" s="29" t="s">
        <v>1929</v>
      </c>
      <c r="F1747" s="13" t="s">
        <v>176</v>
      </c>
      <c r="G1747" s="8">
        <v>18</v>
      </c>
      <c r="H1747" s="8"/>
      <c r="I1747" s="8">
        <v>16</v>
      </c>
      <c r="J1747" s="29" t="s">
        <v>5461</v>
      </c>
      <c r="K1747" s="29" t="s">
        <v>5643</v>
      </c>
      <c r="L1747" s="29"/>
      <c r="M1747" s="68">
        <v>1</v>
      </c>
      <c r="N1747" s="68" t="s">
        <v>114</v>
      </c>
    </row>
    <row r="1748" spans="1:14" ht="14.25" x14ac:dyDescent="0.2">
      <c r="A1748" s="14" t="s">
        <v>152</v>
      </c>
      <c r="B1748" s="15" t="s">
        <v>3728</v>
      </c>
      <c r="C1748" s="16" t="s">
        <v>3757</v>
      </c>
      <c r="D1748" s="13" t="s">
        <v>3754</v>
      </c>
      <c r="E1748" s="29" t="s">
        <v>8599</v>
      </c>
      <c r="F1748" s="16" t="s">
        <v>218</v>
      </c>
      <c r="G1748" s="8">
        <v>27</v>
      </c>
      <c r="H1748" s="8"/>
      <c r="I1748" s="8"/>
      <c r="J1748" s="27" t="s">
        <v>1264</v>
      </c>
      <c r="K1748" s="29" t="s">
        <v>4845</v>
      </c>
      <c r="L1748" s="27"/>
      <c r="M1748" s="68">
        <v>1</v>
      </c>
      <c r="N1748" s="68" t="s">
        <v>196</v>
      </c>
    </row>
    <row r="1749" spans="1:14" ht="14.25" x14ac:dyDescent="0.2">
      <c r="A1749" s="11" t="s">
        <v>152</v>
      </c>
      <c r="B1749" s="12" t="s">
        <v>3723</v>
      </c>
      <c r="C1749" s="13" t="s">
        <v>3757</v>
      </c>
      <c r="D1749" s="13" t="s">
        <v>3754</v>
      </c>
      <c r="E1749" s="72"/>
      <c r="F1749" s="13" t="s">
        <v>153</v>
      </c>
      <c r="G1749" s="8">
        <v>50</v>
      </c>
      <c r="H1749" s="8"/>
      <c r="I1749" s="8"/>
      <c r="J1749" s="29" t="s">
        <v>1928</v>
      </c>
      <c r="K1749" s="29" t="s">
        <v>3446</v>
      </c>
      <c r="L1749" s="29"/>
      <c r="M1749" s="68">
        <v>1</v>
      </c>
      <c r="N1749" s="68" t="s">
        <v>114</v>
      </c>
    </row>
    <row r="1750" spans="1:14" ht="14.25" x14ac:dyDescent="0.2">
      <c r="A1750" s="14" t="s">
        <v>152</v>
      </c>
      <c r="B1750" s="15" t="s">
        <v>4701</v>
      </c>
      <c r="C1750" s="16" t="s">
        <v>3754</v>
      </c>
      <c r="D1750" s="13" t="s">
        <v>3754</v>
      </c>
      <c r="E1750" s="29" t="s">
        <v>283</v>
      </c>
      <c r="F1750" s="16" t="s">
        <v>218</v>
      </c>
      <c r="G1750" s="8">
        <v>21</v>
      </c>
      <c r="H1750" s="8"/>
      <c r="I1750" s="8"/>
      <c r="J1750" s="27" t="s">
        <v>284</v>
      </c>
      <c r="K1750" s="29" t="s">
        <v>283</v>
      </c>
      <c r="L1750" s="27"/>
      <c r="M1750" s="68">
        <v>1</v>
      </c>
      <c r="N1750" s="68" t="s">
        <v>196</v>
      </c>
    </row>
    <row r="1751" spans="1:14" ht="14.25" x14ac:dyDescent="0.2">
      <c r="A1751" s="14" t="s">
        <v>152</v>
      </c>
      <c r="B1751" s="15" t="s">
        <v>3733</v>
      </c>
      <c r="C1751" s="16" t="s">
        <v>3761</v>
      </c>
      <c r="D1751" s="13" t="s">
        <v>3754</v>
      </c>
      <c r="E1751" s="29" t="s">
        <v>5859</v>
      </c>
      <c r="F1751" s="16" t="s">
        <v>218</v>
      </c>
      <c r="G1751" s="8">
        <v>7</v>
      </c>
      <c r="H1751" s="8"/>
      <c r="I1751" s="8"/>
      <c r="J1751" s="27" t="s">
        <v>6927</v>
      </c>
      <c r="K1751" s="29" t="s">
        <v>6935</v>
      </c>
      <c r="L1751" s="27"/>
      <c r="M1751" s="68">
        <v>1</v>
      </c>
      <c r="N1751" s="68" t="s">
        <v>196</v>
      </c>
    </row>
    <row r="1752" spans="1:14" ht="14.25" x14ac:dyDescent="0.2">
      <c r="A1752" s="14" t="s">
        <v>437</v>
      </c>
      <c r="B1752" s="15" t="s">
        <v>3740</v>
      </c>
      <c r="C1752" s="16" t="s">
        <v>3754</v>
      </c>
      <c r="D1752" s="16" t="s">
        <v>3754</v>
      </c>
      <c r="E1752" s="27" t="s">
        <v>438</v>
      </c>
      <c r="F1752" s="16" t="s">
        <v>439</v>
      </c>
      <c r="G1752" s="21">
        <v>27</v>
      </c>
      <c r="H1752" s="21"/>
      <c r="I1752" s="21"/>
      <c r="J1752" s="27" t="s">
        <v>1264</v>
      </c>
      <c r="K1752" s="27" t="s">
        <v>440</v>
      </c>
      <c r="L1752" s="29"/>
      <c r="M1752" s="68">
        <v>1</v>
      </c>
      <c r="N1752" s="68" t="s">
        <v>415</v>
      </c>
    </row>
    <row r="1753" spans="1:14" ht="14.25" x14ac:dyDescent="0.2">
      <c r="A1753" s="14" t="s">
        <v>254</v>
      </c>
      <c r="B1753" s="15" t="s">
        <v>3744</v>
      </c>
      <c r="C1753" s="16" t="s">
        <v>3757</v>
      </c>
      <c r="D1753" s="13" t="s">
        <v>255</v>
      </c>
      <c r="E1753" s="29" t="s">
        <v>256</v>
      </c>
      <c r="F1753" s="16" t="s">
        <v>6227</v>
      </c>
      <c r="G1753" s="8">
        <v>15</v>
      </c>
      <c r="H1753" s="8"/>
      <c r="I1753" s="8"/>
      <c r="J1753" s="27" t="s">
        <v>1264</v>
      </c>
      <c r="K1753" s="29" t="s">
        <v>257</v>
      </c>
      <c r="L1753" s="27"/>
      <c r="M1753" s="68">
        <v>1</v>
      </c>
      <c r="N1753" s="68" t="s">
        <v>196</v>
      </c>
    </row>
    <row r="1754" spans="1:14" ht="14.25" x14ac:dyDescent="0.2">
      <c r="A1754" s="14" t="s">
        <v>254</v>
      </c>
      <c r="B1754" s="15" t="s">
        <v>1699</v>
      </c>
      <c r="C1754" s="16" t="s">
        <v>3754</v>
      </c>
      <c r="D1754" s="16" t="s">
        <v>3754</v>
      </c>
      <c r="E1754" s="27" t="s">
        <v>3919</v>
      </c>
      <c r="F1754" s="16" t="s">
        <v>474</v>
      </c>
      <c r="G1754" s="21">
        <v>24</v>
      </c>
      <c r="H1754" s="21"/>
      <c r="I1754" s="21"/>
      <c r="J1754" s="27" t="s">
        <v>1261</v>
      </c>
      <c r="K1754" s="27" t="s">
        <v>3921</v>
      </c>
      <c r="L1754" s="29"/>
      <c r="M1754" s="68">
        <v>1</v>
      </c>
      <c r="N1754" s="68" t="s">
        <v>415</v>
      </c>
    </row>
    <row r="1755" spans="1:14" ht="14.25" x14ac:dyDescent="0.2">
      <c r="A1755" s="11" t="s">
        <v>254</v>
      </c>
      <c r="B1755" s="12" t="s">
        <v>3733</v>
      </c>
      <c r="C1755" s="13" t="s">
        <v>3754</v>
      </c>
      <c r="D1755" s="13" t="s">
        <v>3754</v>
      </c>
      <c r="E1755" s="29" t="s">
        <v>335</v>
      </c>
      <c r="F1755" s="13" t="s">
        <v>336</v>
      </c>
      <c r="G1755" s="21">
        <v>27</v>
      </c>
      <c r="H1755" s="21">
        <v>5</v>
      </c>
      <c r="I1755" s="21"/>
      <c r="J1755" s="29" t="s">
        <v>1264</v>
      </c>
      <c r="K1755" s="29" t="s">
        <v>337</v>
      </c>
      <c r="L1755" s="29"/>
      <c r="M1755" s="68">
        <v>1</v>
      </c>
      <c r="N1755" s="68" t="s">
        <v>292</v>
      </c>
    </row>
    <row r="1756" spans="1:14" ht="14.25" x14ac:dyDescent="0.2">
      <c r="A1756" s="14" t="s">
        <v>254</v>
      </c>
      <c r="B1756" s="15" t="s">
        <v>3733</v>
      </c>
      <c r="C1756" s="16" t="s">
        <v>3757</v>
      </c>
      <c r="D1756" s="13" t="s">
        <v>3754</v>
      </c>
      <c r="E1756" s="29" t="s">
        <v>289</v>
      </c>
      <c r="F1756" s="16" t="s">
        <v>290</v>
      </c>
      <c r="G1756" s="8">
        <v>57</v>
      </c>
      <c r="H1756" s="8"/>
      <c r="I1756" s="8"/>
      <c r="J1756" s="27" t="s">
        <v>291</v>
      </c>
      <c r="K1756" s="29" t="s">
        <v>2090</v>
      </c>
      <c r="L1756" s="27"/>
      <c r="M1756" s="68">
        <v>1</v>
      </c>
      <c r="N1756" s="68" t="s">
        <v>196</v>
      </c>
    </row>
    <row r="1757" spans="1:14" ht="14.25" x14ac:dyDescent="0.2">
      <c r="A1757" s="11" t="s">
        <v>4554</v>
      </c>
      <c r="B1757" s="12" t="s">
        <v>3751</v>
      </c>
      <c r="C1757" s="13" t="s">
        <v>3754</v>
      </c>
      <c r="D1757" s="13" t="s">
        <v>3754</v>
      </c>
      <c r="E1757" s="29" t="s">
        <v>3321</v>
      </c>
      <c r="F1757" s="13" t="s">
        <v>4555</v>
      </c>
      <c r="G1757" s="21"/>
      <c r="H1757" s="21">
        <v>2</v>
      </c>
      <c r="I1757" s="21"/>
      <c r="J1757" s="29" t="s">
        <v>1264</v>
      </c>
      <c r="K1757" s="29" t="s">
        <v>3324</v>
      </c>
      <c r="L1757" s="29"/>
      <c r="M1757" s="68">
        <v>1</v>
      </c>
      <c r="N1757" s="68" t="s">
        <v>292</v>
      </c>
    </row>
    <row r="1758" spans="1:14" ht="14.25" x14ac:dyDescent="0.2">
      <c r="A1758" s="11" t="s">
        <v>180</v>
      </c>
      <c r="B1758" s="12" t="s">
        <v>3748</v>
      </c>
      <c r="C1758" s="13" t="s">
        <v>3757</v>
      </c>
      <c r="D1758" s="13" t="s">
        <v>3754</v>
      </c>
      <c r="E1758" s="29" t="s">
        <v>4551</v>
      </c>
      <c r="F1758" s="13" t="s">
        <v>3915</v>
      </c>
      <c r="G1758" s="21">
        <v>72</v>
      </c>
      <c r="H1758" s="21"/>
      <c r="I1758" s="21"/>
      <c r="J1758" s="29" t="s">
        <v>1277</v>
      </c>
      <c r="K1758" s="29" t="s">
        <v>5376</v>
      </c>
      <c r="L1758" s="29"/>
      <c r="M1758" s="68">
        <v>1</v>
      </c>
      <c r="N1758" s="68" t="s">
        <v>292</v>
      </c>
    </row>
    <row r="1759" spans="1:14" ht="14.25" x14ac:dyDescent="0.2">
      <c r="A1759" s="14" t="s">
        <v>180</v>
      </c>
      <c r="B1759" s="15" t="s">
        <v>3728</v>
      </c>
      <c r="C1759" s="16" t="s">
        <v>3754</v>
      </c>
      <c r="D1759" s="13" t="s">
        <v>3754</v>
      </c>
      <c r="E1759" s="29" t="s">
        <v>214</v>
      </c>
      <c r="F1759" s="16" t="s">
        <v>215</v>
      </c>
      <c r="G1759" s="8">
        <v>1</v>
      </c>
      <c r="H1759" s="8">
        <v>11</v>
      </c>
      <c r="I1759" s="8"/>
      <c r="J1759" s="27" t="s">
        <v>5082</v>
      </c>
      <c r="K1759" s="29" t="s">
        <v>4296</v>
      </c>
      <c r="L1759" s="27"/>
      <c r="M1759" s="68"/>
      <c r="N1759" s="68" t="s">
        <v>196</v>
      </c>
    </row>
    <row r="1760" spans="1:14" ht="14.25" x14ac:dyDescent="0.2">
      <c r="A1760" s="14" t="s">
        <v>180</v>
      </c>
      <c r="B1760" s="15" t="s">
        <v>207</v>
      </c>
      <c r="C1760" s="16" t="s">
        <v>3754</v>
      </c>
      <c r="D1760" s="13" t="s">
        <v>3754</v>
      </c>
      <c r="E1760" s="29" t="s">
        <v>208</v>
      </c>
      <c r="F1760" s="16" t="s">
        <v>3915</v>
      </c>
      <c r="G1760" s="8">
        <v>28</v>
      </c>
      <c r="H1760" s="8"/>
      <c r="I1760" s="8"/>
      <c r="J1760" s="27" t="s">
        <v>1264</v>
      </c>
      <c r="K1760" s="29" t="s">
        <v>206</v>
      </c>
      <c r="L1760" s="27"/>
      <c r="M1760" s="68">
        <v>1</v>
      </c>
      <c r="N1760" s="68" t="s">
        <v>196</v>
      </c>
    </row>
    <row r="1761" spans="1:14" ht="14.25" x14ac:dyDescent="0.2">
      <c r="A1761" s="11" t="s">
        <v>180</v>
      </c>
      <c r="B1761" s="12" t="s">
        <v>4681</v>
      </c>
      <c r="C1761" s="13" t="s">
        <v>3754</v>
      </c>
      <c r="D1761" s="13" t="s">
        <v>3754</v>
      </c>
      <c r="E1761" s="29" t="s">
        <v>188</v>
      </c>
      <c r="F1761" s="13" t="s">
        <v>187</v>
      </c>
      <c r="G1761" s="8">
        <v>3</v>
      </c>
      <c r="H1761" s="8">
        <v>6</v>
      </c>
      <c r="I1761" s="8"/>
      <c r="J1761" s="29" t="s">
        <v>1258</v>
      </c>
      <c r="K1761" s="29" t="s">
        <v>1414</v>
      </c>
      <c r="L1761" s="29"/>
      <c r="M1761" s="68">
        <v>1</v>
      </c>
      <c r="N1761" s="68" t="s">
        <v>114</v>
      </c>
    </row>
    <row r="1762" spans="1:14" ht="14.25" x14ac:dyDescent="0.2">
      <c r="A1762" s="14" t="s">
        <v>180</v>
      </c>
      <c r="B1762" s="15" t="s">
        <v>3723</v>
      </c>
      <c r="C1762" s="16" t="s">
        <v>3754</v>
      </c>
      <c r="D1762" s="13" t="s">
        <v>3754</v>
      </c>
      <c r="E1762" s="29" t="s">
        <v>1284</v>
      </c>
      <c r="F1762" s="16" t="s">
        <v>3915</v>
      </c>
      <c r="G1762" s="8">
        <v>22</v>
      </c>
      <c r="H1762" s="8"/>
      <c r="I1762" s="8"/>
      <c r="J1762" s="27" t="s">
        <v>8834</v>
      </c>
      <c r="K1762" s="29" t="s">
        <v>206</v>
      </c>
      <c r="L1762" s="27"/>
      <c r="M1762" s="68">
        <v>1</v>
      </c>
      <c r="N1762" s="68" t="s">
        <v>196</v>
      </c>
    </row>
    <row r="1763" spans="1:14" ht="14.25" x14ac:dyDescent="0.2">
      <c r="A1763" s="11" t="s">
        <v>180</v>
      </c>
      <c r="B1763" s="12" t="s">
        <v>3723</v>
      </c>
      <c r="C1763" s="13" t="s">
        <v>3757</v>
      </c>
      <c r="D1763" s="13" t="s">
        <v>3754</v>
      </c>
      <c r="E1763" s="29" t="s">
        <v>4558</v>
      </c>
      <c r="F1763" s="13" t="s">
        <v>4559</v>
      </c>
      <c r="G1763" s="21">
        <v>45</v>
      </c>
      <c r="H1763" s="21"/>
      <c r="I1763" s="21"/>
      <c r="J1763" s="29" t="s">
        <v>1264</v>
      </c>
      <c r="K1763" s="29" t="s">
        <v>3</v>
      </c>
      <c r="L1763" s="29"/>
      <c r="M1763" s="68">
        <v>1</v>
      </c>
      <c r="N1763" s="68" t="s">
        <v>292</v>
      </c>
    </row>
    <row r="1764" spans="1:14" ht="14.25" x14ac:dyDescent="0.2">
      <c r="A1764" s="11" t="s">
        <v>180</v>
      </c>
      <c r="B1764" s="12" t="s">
        <v>3723</v>
      </c>
      <c r="C1764" s="13" t="s">
        <v>3757</v>
      </c>
      <c r="D1764" s="13" t="s">
        <v>3754</v>
      </c>
      <c r="E1764" s="29">
        <v>1857</v>
      </c>
      <c r="F1764" s="13" t="s">
        <v>181</v>
      </c>
      <c r="G1764" s="8">
        <v>50</v>
      </c>
      <c r="H1764" s="8"/>
      <c r="I1764" s="8"/>
      <c r="J1764" s="29"/>
      <c r="K1764" s="29" t="s">
        <v>5147</v>
      </c>
      <c r="L1764" s="29"/>
      <c r="M1764" s="68">
        <v>1</v>
      </c>
      <c r="N1764" s="68" t="s">
        <v>114</v>
      </c>
    </row>
    <row r="1765" spans="1:14" ht="14.25" x14ac:dyDescent="0.2">
      <c r="A1765" s="11" t="s">
        <v>180</v>
      </c>
      <c r="B1765" s="12" t="s">
        <v>5904</v>
      </c>
      <c r="C1765" s="13" t="s">
        <v>3754</v>
      </c>
      <c r="D1765" s="13" t="s">
        <v>3754</v>
      </c>
      <c r="E1765" s="29" t="s">
        <v>186</v>
      </c>
      <c r="F1765" s="13" t="s">
        <v>187</v>
      </c>
      <c r="G1765" s="8"/>
      <c r="H1765" s="8">
        <v>8</v>
      </c>
      <c r="I1765" s="8"/>
      <c r="J1765" s="29" t="s">
        <v>118</v>
      </c>
      <c r="K1765" s="29" t="s">
        <v>1414</v>
      </c>
      <c r="L1765" s="29"/>
      <c r="M1765" s="68">
        <v>1</v>
      </c>
      <c r="N1765" s="68" t="s">
        <v>114</v>
      </c>
    </row>
    <row r="1766" spans="1:14" ht="14.25" x14ac:dyDescent="0.2">
      <c r="A1766" s="14" t="s">
        <v>180</v>
      </c>
      <c r="B1766" s="15" t="s">
        <v>471</v>
      </c>
      <c r="C1766" s="16" t="s">
        <v>472</v>
      </c>
      <c r="D1766" s="16" t="s">
        <v>3754</v>
      </c>
      <c r="E1766" s="27" t="s">
        <v>6556</v>
      </c>
      <c r="F1766" s="16" t="s">
        <v>443</v>
      </c>
      <c r="G1766" s="21">
        <v>30</v>
      </c>
      <c r="H1766" s="21"/>
      <c r="I1766" s="21"/>
      <c r="J1766" s="27" t="s">
        <v>3679</v>
      </c>
      <c r="K1766" s="27" t="s">
        <v>473</v>
      </c>
      <c r="L1766" s="29"/>
      <c r="M1766" s="68">
        <v>1</v>
      </c>
      <c r="N1766" s="68" t="s">
        <v>415</v>
      </c>
    </row>
    <row r="1767" spans="1:14" ht="14.25" x14ac:dyDescent="0.2">
      <c r="A1767" s="14" t="s">
        <v>180</v>
      </c>
      <c r="B1767" s="15" t="s">
        <v>3733</v>
      </c>
      <c r="C1767" s="16" t="s">
        <v>3757</v>
      </c>
      <c r="D1767" s="13" t="s">
        <v>3754</v>
      </c>
      <c r="E1767" s="29" t="s">
        <v>211</v>
      </c>
      <c r="F1767" s="16" t="s">
        <v>212</v>
      </c>
      <c r="G1767" s="8">
        <v>62</v>
      </c>
      <c r="H1767" s="8"/>
      <c r="I1767" s="8"/>
      <c r="J1767" s="27" t="s">
        <v>1572</v>
      </c>
      <c r="K1767" s="29"/>
      <c r="L1767" s="27"/>
      <c r="M1767" s="68">
        <v>1</v>
      </c>
      <c r="N1767" s="68" t="s">
        <v>196</v>
      </c>
    </row>
    <row r="1768" spans="1:14" ht="14.25" x14ac:dyDescent="0.2">
      <c r="A1768" s="14" t="s">
        <v>180</v>
      </c>
      <c r="B1768" s="15" t="s">
        <v>1602</v>
      </c>
      <c r="C1768" s="16" t="s">
        <v>3754</v>
      </c>
      <c r="D1768" s="13" t="s">
        <v>3754</v>
      </c>
      <c r="E1768" s="29" t="s">
        <v>209</v>
      </c>
      <c r="F1768" s="16" t="s">
        <v>210</v>
      </c>
      <c r="G1768" s="8">
        <v>34</v>
      </c>
      <c r="H1768" s="8"/>
      <c r="I1768" s="8"/>
      <c r="J1768" s="27" t="s">
        <v>1270</v>
      </c>
      <c r="K1768" s="29" t="s">
        <v>209</v>
      </c>
      <c r="L1768" s="46"/>
      <c r="M1768" s="68">
        <v>1</v>
      </c>
      <c r="N1768" s="68" t="s">
        <v>196</v>
      </c>
    </row>
    <row r="1769" spans="1:14" ht="14.25" x14ac:dyDescent="0.2">
      <c r="A1769" s="64" t="s">
        <v>180</v>
      </c>
      <c r="B1769" s="18" t="s">
        <v>483</v>
      </c>
      <c r="C1769" s="19" t="s">
        <v>3754</v>
      </c>
      <c r="D1769" s="20" t="s">
        <v>3754</v>
      </c>
      <c r="E1769" s="45" t="s">
        <v>3354</v>
      </c>
      <c r="F1769" s="20" t="s">
        <v>484</v>
      </c>
      <c r="G1769" s="21">
        <v>4</v>
      </c>
      <c r="H1769" s="21">
        <v>11</v>
      </c>
      <c r="I1769" s="21"/>
      <c r="J1769" s="45" t="s">
        <v>6927</v>
      </c>
      <c r="K1769" s="45" t="s">
        <v>485</v>
      </c>
      <c r="L1769" s="61"/>
      <c r="M1769" s="68">
        <v>1</v>
      </c>
      <c r="N1769" s="68" t="s">
        <v>415</v>
      </c>
    </row>
    <row r="1770" spans="1:14" ht="14.25" x14ac:dyDescent="0.2">
      <c r="A1770" s="9" t="s">
        <v>7809</v>
      </c>
      <c r="B1770" s="5" t="s">
        <v>4537</v>
      </c>
      <c r="C1770" s="10" t="s">
        <v>3757</v>
      </c>
      <c r="D1770" s="10" t="s">
        <v>3754</v>
      </c>
      <c r="E1770" s="55" t="s">
        <v>4538</v>
      </c>
      <c r="F1770" s="10" t="s">
        <v>4539</v>
      </c>
      <c r="G1770" s="21">
        <v>35</v>
      </c>
      <c r="H1770" s="21"/>
      <c r="I1770" s="21"/>
      <c r="J1770" s="55"/>
      <c r="K1770" s="55" t="s">
        <v>4540</v>
      </c>
      <c r="L1770" s="61"/>
      <c r="M1770" s="68">
        <v>1</v>
      </c>
      <c r="N1770" s="68" t="s">
        <v>292</v>
      </c>
    </row>
    <row r="1771" spans="1:14" ht="14.25" x14ac:dyDescent="0.2">
      <c r="A1771" s="14" t="s">
        <v>441</v>
      </c>
      <c r="B1771" s="15" t="s">
        <v>3733</v>
      </c>
      <c r="C1771" s="16" t="s">
        <v>3754</v>
      </c>
      <c r="D1771" s="16" t="s">
        <v>3754</v>
      </c>
      <c r="E1771" s="27" t="s">
        <v>442</v>
      </c>
      <c r="F1771" s="16" t="s">
        <v>443</v>
      </c>
      <c r="G1771" s="21">
        <v>29</v>
      </c>
      <c r="H1771" s="21"/>
      <c r="I1771" s="21"/>
      <c r="J1771" s="27" t="s">
        <v>1264</v>
      </c>
      <c r="K1771" s="27" t="s">
        <v>444</v>
      </c>
      <c r="L1771" s="29"/>
      <c r="M1771" s="68">
        <v>1</v>
      </c>
      <c r="N1771" s="68" t="s">
        <v>415</v>
      </c>
    </row>
    <row r="1772" spans="1:14" ht="14.25" x14ac:dyDescent="0.2">
      <c r="A1772" s="11" t="s">
        <v>299</v>
      </c>
      <c r="B1772" s="12" t="s">
        <v>1620</v>
      </c>
      <c r="C1772" s="29" t="s">
        <v>3754</v>
      </c>
      <c r="D1772" s="13" t="s">
        <v>3754</v>
      </c>
      <c r="E1772" s="29" t="s">
        <v>300</v>
      </c>
      <c r="F1772" s="13" t="s">
        <v>301</v>
      </c>
      <c r="G1772" s="21">
        <v>1</v>
      </c>
      <c r="H1772" s="21">
        <v>7</v>
      </c>
      <c r="I1772" s="21">
        <v>9</v>
      </c>
      <c r="J1772" s="29" t="s">
        <v>5076</v>
      </c>
      <c r="K1772" s="29" t="s">
        <v>8804</v>
      </c>
      <c r="L1772" s="29"/>
      <c r="M1772" s="68">
        <v>1</v>
      </c>
      <c r="N1772" s="68" t="s">
        <v>292</v>
      </c>
    </row>
    <row r="1773" spans="1:14" ht="14.25" x14ac:dyDescent="0.2">
      <c r="A1773" s="11" t="s">
        <v>338</v>
      </c>
      <c r="B1773" s="12" t="s">
        <v>339</v>
      </c>
      <c r="C1773" s="13" t="s">
        <v>3767</v>
      </c>
      <c r="D1773" s="13" t="s">
        <v>3767</v>
      </c>
      <c r="E1773" s="29" t="s">
        <v>340</v>
      </c>
      <c r="F1773" s="13" t="s">
        <v>2402</v>
      </c>
      <c r="G1773" s="21">
        <v>52</v>
      </c>
      <c r="H1773" s="21"/>
      <c r="I1773" s="21"/>
      <c r="J1773" s="29" t="s">
        <v>4735</v>
      </c>
      <c r="K1773" s="29" t="s">
        <v>5330</v>
      </c>
      <c r="L1773" s="29"/>
      <c r="M1773" s="68">
        <v>1</v>
      </c>
      <c r="N1773" s="68" t="s">
        <v>292</v>
      </c>
    </row>
    <row r="1774" spans="1:14" ht="14.25" x14ac:dyDescent="0.2">
      <c r="A1774" s="14" t="s">
        <v>454</v>
      </c>
      <c r="B1774" s="15" t="s">
        <v>455</v>
      </c>
      <c r="C1774" s="16" t="s">
        <v>3767</v>
      </c>
      <c r="D1774" s="16" t="s">
        <v>3767</v>
      </c>
      <c r="E1774" s="27" t="s">
        <v>456</v>
      </c>
      <c r="F1774" s="16" t="s">
        <v>457</v>
      </c>
      <c r="G1774" s="21">
        <v>45</v>
      </c>
      <c r="H1774" s="21"/>
      <c r="I1774" s="21"/>
      <c r="J1774" s="27" t="s">
        <v>5945</v>
      </c>
      <c r="K1774" s="27" t="s">
        <v>6531</v>
      </c>
      <c r="L1774" s="29"/>
      <c r="M1774" s="68">
        <v>1</v>
      </c>
      <c r="N1774" s="68" t="s">
        <v>415</v>
      </c>
    </row>
    <row r="1775" spans="1:14" ht="14.25" x14ac:dyDescent="0.2">
      <c r="A1775" s="11" t="s">
        <v>177</v>
      </c>
      <c r="B1775" s="12" t="s">
        <v>1879</v>
      </c>
      <c r="C1775" s="13" t="s">
        <v>3767</v>
      </c>
      <c r="D1775" s="13" t="s">
        <v>3767</v>
      </c>
      <c r="E1775" s="29" t="s">
        <v>178</v>
      </c>
      <c r="F1775" s="13" t="s">
        <v>176</v>
      </c>
      <c r="G1775" s="8">
        <v>3</v>
      </c>
      <c r="H1775" s="8">
        <v>6</v>
      </c>
      <c r="I1775" s="8">
        <v>15</v>
      </c>
      <c r="J1775" s="29" t="s">
        <v>1254</v>
      </c>
      <c r="K1775" s="29" t="s">
        <v>5643</v>
      </c>
      <c r="L1775" s="29"/>
      <c r="M1775" s="68">
        <v>1</v>
      </c>
      <c r="N1775" s="68" t="s">
        <v>114</v>
      </c>
    </row>
    <row r="1776" spans="1:14" ht="14.25" x14ac:dyDescent="0.2">
      <c r="A1776" s="11" t="s">
        <v>177</v>
      </c>
      <c r="B1776" s="12" t="s">
        <v>5057</v>
      </c>
      <c r="C1776" s="13" t="s">
        <v>3767</v>
      </c>
      <c r="D1776" s="13" t="s">
        <v>3767</v>
      </c>
      <c r="E1776" s="29" t="s">
        <v>179</v>
      </c>
      <c r="F1776" s="13" t="s">
        <v>176</v>
      </c>
      <c r="G1776" s="8">
        <v>15</v>
      </c>
      <c r="H1776" s="8"/>
      <c r="I1776" s="8"/>
      <c r="J1776" s="29" t="s">
        <v>1266</v>
      </c>
      <c r="K1776" s="29" t="s">
        <v>5643</v>
      </c>
      <c r="L1776" s="29"/>
      <c r="M1776" s="68">
        <v>1</v>
      </c>
      <c r="N1776" s="68" t="s">
        <v>114</v>
      </c>
    </row>
    <row r="1777" spans="1:14" ht="14.25" x14ac:dyDescent="0.2">
      <c r="A1777" s="11" t="s">
        <v>411</v>
      </c>
      <c r="B1777" s="12" t="s">
        <v>412</v>
      </c>
      <c r="C1777" s="13" t="s">
        <v>3767</v>
      </c>
      <c r="D1777" s="13" t="s">
        <v>3767</v>
      </c>
      <c r="E1777" s="29" t="s">
        <v>3426</v>
      </c>
      <c r="F1777" s="13" t="s">
        <v>413</v>
      </c>
      <c r="G1777" s="21">
        <v>2</v>
      </c>
      <c r="H1777" s="21">
        <v>8</v>
      </c>
      <c r="I1777" s="21"/>
      <c r="J1777" s="29" t="s">
        <v>6927</v>
      </c>
      <c r="K1777" s="29" t="s">
        <v>414</v>
      </c>
      <c r="L1777" s="95"/>
      <c r="M1777" s="68">
        <v>1</v>
      </c>
      <c r="N1777" s="68" t="s">
        <v>292</v>
      </c>
    </row>
    <row r="1778" spans="1:14" ht="14.25" x14ac:dyDescent="0.2">
      <c r="A1778" s="14" t="s">
        <v>428</v>
      </c>
      <c r="B1778" s="15" t="s">
        <v>4703</v>
      </c>
      <c r="C1778" s="16" t="s">
        <v>3757</v>
      </c>
      <c r="D1778" s="16" t="s">
        <v>3767</v>
      </c>
      <c r="E1778" s="27" t="s">
        <v>429</v>
      </c>
      <c r="F1778" s="16" t="s">
        <v>430</v>
      </c>
      <c r="G1778" s="21">
        <v>80</v>
      </c>
      <c r="H1778" s="21"/>
      <c r="I1778" s="21"/>
      <c r="J1778" s="27" t="s">
        <v>2108</v>
      </c>
      <c r="K1778" s="27" t="s">
        <v>431</v>
      </c>
      <c r="L1778" s="29"/>
      <c r="M1778" s="68">
        <v>1</v>
      </c>
      <c r="N1778" s="68" t="s">
        <v>415</v>
      </c>
    </row>
    <row r="1779" spans="1:14" ht="14.25" x14ac:dyDescent="0.2">
      <c r="A1779" s="14" t="s">
        <v>428</v>
      </c>
      <c r="B1779" s="15" t="s">
        <v>432</v>
      </c>
      <c r="C1779" s="16" t="s">
        <v>3767</v>
      </c>
      <c r="D1779" s="16" t="s">
        <v>3767</v>
      </c>
      <c r="E1779" s="27" t="s">
        <v>433</v>
      </c>
      <c r="F1779" s="16" t="s">
        <v>434</v>
      </c>
      <c r="G1779" s="21">
        <v>5</v>
      </c>
      <c r="H1779" s="21">
        <v>5</v>
      </c>
      <c r="I1779" s="21"/>
      <c r="J1779" s="27" t="s">
        <v>3059</v>
      </c>
      <c r="K1779" s="27" t="s">
        <v>46</v>
      </c>
      <c r="L1779" s="29"/>
      <c r="M1779" s="68">
        <v>1</v>
      </c>
      <c r="N1779" s="68" t="s">
        <v>415</v>
      </c>
    </row>
    <row r="1780" spans="1:14" ht="14.25" x14ac:dyDescent="0.2">
      <c r="A1780" s="14" t="s">
        <v>451</v>
      </c>
      <c r="B1780" s="15" t="s">
        <v>452</v>
      </c>
      <c r="C1780" s="16" t="s">
        <v>3754</v>
      </c>
      <c r="D1780" s="16" t="s">
        <v>3754</v>
      </c>
      <c r="E1780" s="27" t="s">
        <v>1452</v>
      </c>
      <c r="F1780" s="16" t="s">
        <v>453</v>
      </c>
      <c r="G1780" s="21"/>
      <c r="H1780" s="21">
        <v>6</v>
      </c>
      <c r="I1780" s="21"/>
      <c r="J1780" s="27" t="s">
        <v>1277</v>
      </c>
      <c r="K1780" s="27" t="s">
        <v>63</v>
      </c>
      <c r="L1780" s="29"/>
      <c r="M1780" s="68">
        <v>1</v>
      </c>
      <c r="N1780" s="68" t="s">
        <v>415</v>
      </c>
    </row>
    <row r="1781" spans="1:14" ht="14.25" x14ac:dyDescent="0.2">
      <c r="A1781" s="14" t="s">
        <v>458</v>
      </c>
      <c r="B1781" s="15" t="s">
        <v>5435</v>
      </c>
      <c r="C1781" s="16" t="s">
        <v>3757</v>
      </c>
      <c r="D1781" s="16" t="s">
        <v>3754</v>
      </c>
      <c r="E1781" s="27" t="s">
        <v>459</v>
      </c>
      <c r="F1781" s="16" t="s">
        <v>460</v>
      </c>
      <c r="G1781" s="21">
        <v>50</v>
      </c>
      <c r="H1781" s="21"/>
      <c r="I1781" s="21"/>
      <c r="J1781" s="27" t="s">
        <v>1259</v>
      </c>
      <c r="K1781" s="27" t="s">
        <v>461</v>
      </c>
      <c r="L1781" s="29"/>
      <c r="M1781" s="68">
        <v>1</v>
      </c>
      <c r="N1781" s="68" t="s">
        <v>415</v>
      </c>
    </row>
    <row r="1782" spans="1:14" ht="14.25" x14ac:dyDescent="0.2">
      <c r="A1782" s="17" t="s">
        <v>448</v>
      </c>
      <c r="B1782" s="18" t="s">
        <v>4685</v>
      </c>
      <c r="C1782" s="19" t="s">
        <v>3757</v>
      </c>
      <c r="D1782" s="19" t="s">
        <v>3767</v>
      </c>
      <c r="E1782" s="45" t="s">
        <v>449</v>
      </c>
      <c r="F1782" s="19" t="s">
        <v>2403</v>
      </c>
      <c r="G1782" s="21">
        <v>68</v>
      </c>
      <c r="H1782" s="21"/>
      <c r="I1782" s="21"/>
      <c r="J1782" s="45" t="s">
        <v>6573</v>
      </c>
      <c r="K1782" s="45" t="s">
        <v>450</v>
      </c>
      <c r="L1782" s="61"/>
      <c r="M1782" s="68">
        <v>1</v>
      </c>
      <c r="N1782" s="68" t="s">
        <v>415</v>
      </c>
    </row>
    <row r="1783" spans="1:14" ht="14.25" x14ac:dyDescent="0.2">
      <c r="A1783" s="17" t="s">
        <v>268</v>
      </c>
      <c r="B1783" s="18" t="s">
        <v>5904</v>
      </c>
      <c r="C1783" s="19" t="s">
        <v>3754</v>
      </c>
      <c r="D1783" s="10" t="s">
        <v>3754</v>
      </c>
      <c r="E1783" s="55" t="s">
        <v>269</v>
      </c>
      <c r="F1783" s="19" t="s">
        <v>270</v>
      </c>
      <c r="G1783" s="8">
        <v>2</v>
      </c>
      <c r="H1783" s="8">
        <v>2</v>
      </c>
      <c r="I1783" s="8"/>
      <c r="J1783" s="45" t="s">
        <v>4829</v>
      </c>
      <c r="K1783" s="55" t="s">
        <v>271</v>
      </c>
      <c r="L1783" s="46"/>
      <c r="M1783" s="68">
        <v>1</v>
      </c>
      <c r="N1783" s="68" t="s">
        <v>196</v>
      </c>
    </row>
    <row r="1784" spans="1:14" ht="14.25" x14ac:dyDescent="0.2">
      <c r="A1784" s="11" t="s">
        <v>347</v>
      </c>
      <c r="B1784" s="12" t="s">
        <v>3728</v>
      </c>
      <c r="C1784" s="13" t="s">
        <v>3757</v>
      </c>
      <c r="D1784" s="13" t="s">
        <v>3767</v>
      </c>
      <c r="E1784" s="29" t="s">
        <v>5342</v>
      </c>
      <c r="F1784" s="13"/>
      <c r="G1784" s="21">
        <v>70</v>
      </c>
      <c r="H1784" s="21"/>
      <c r="I1784" s="21"/>
      <c r="J1784" s="29" t="s">
        <v>6573</v>
      </c>
      <c r="K1784" s="29" t="s">
        <v>5344</v>
      </c>
      <c r="L1784" s="29"/>
      <c r="M1784" s="68">
        <v>1</v>
      </c>
      <c r="N1784" s="68" t="s">
        <v>292</v>
      </c>
    </row>
    <row r="1785" spans="1:14" ht="14.25" x14ac:dyDescent="0.2">
      <c r="A1785" s="14" t="s">
        <v>4544</v>
      </c>
      <c r="B1785" s="15" t="s">
        <v>3740</v>
      </c>
      <c r="C1785" s="16" t="s">
        <v>3757</v>
      </c>
      <c r="D1785" s="16" t="s">
        <v>3754</v>
      </c>
      <c r="E1785" s="27" t="s">
        <v>6542</v>
      </c>
      <c r="F1785" s="16" t="s">
        <v>462</v>
      </c>
      <c r="G1785" s="21">
        <v>29</v>
      </c>
      <c r="H1785" s="21"/>
      <c r="I1785" s="21"/>
      <c r="J1785" s="27" t="s">
        <v>1255</v>
      </c>
      <c r="K1785" s="27" t="s">
        <v>463</v>
      </c>
      <c r="L1785" s="29"/>
      <c r="M1785" s="68">
        <v>1</v>
      </c>
      <c r="N1785" s="68" t="s">
        <v>415</v>
      </c>
    </row>
    <row r="1786" spans="1:14" ht="14.25" x14ac:dyDescent="0.2">
      <c r="A1786" s="11" t="s">
        <v>4544</v>
      </c>
      <c r="B1786" s="12" t="s">
        <v>3723</v>
      </c>
      <c r="C1786" s="13" t="s">
        <v>3757</v>
      </c>
      <c r="D1786" s="13" t="s">
        <v>3754</v>
      </c>
      <c r="E1786" s="29" t="s">
        <v>4545</v>
      </c>
      <c r="F1786" s="13" t="s">
        <v>4546</v>
      </c>
      <c r="G1786" s="21">
        <v>53</v>
      </c>
      <c r="H1786" s="21"/>
      <c r="I1786" s="21"/>
      <c r="J1786" s="29" t="s">
        <v>1264</v>
      </c>
      <c r="K1786" s="29" t="s">
        <v>5372</v>
      </c>
      <c r="L1786" s="29"/>
      <c r="M1786" s="68">
        <v>1</v>
      </c>
      <c r="N1786" s="68" t="s">
        <v>292</v>
      </c>
    </row>
    <row r="1787" spans="1:14" ht="14.25" x14ac:dyDescent="0.2">
      <c r="A1787" s="14" t="s">
        <v>4544</v>
      </c>
      <c r="B1787" s="15" t="s">
        <v>3733</v>
      </c>
      <c r="C1787" s="16" t="s">
        <v>3754</v>
      </c>
      <c r="D1787" s="16" t="s">
        <v>3754</v>
      </c>
      <c r="E1787" s="27" t="s">
        <v>426</v>
      </c>
      <c r="F1787" s="16" t="s">
        <v>427</v>
      </c>
      <c r="G1787" s="21">
        <v>1</v>
      </c>
      <c r="H1787" s="21">
        <v>8</v>
      </c>
      <c r="I1787" s="21"/>
      <c r="J1787" s="27" t="s">
        <v>1258</v>
      </c>
      <c r="K1787" s="27" t="s">
        <v>2537</v>
      </c>
      <c r="L1787" s="29"/>
      <c r="M1787" s="68">
        <v>1</v>
      </c>
      <c r="N1787" s="68" t="s">
        <v>415</v>
      </c>
    </row>
    <row r="1788" spans="1:14" ht="28.5" x14ac:dyDescent="0.2">
      <c r="A1788" s="14" t="s">
        <v>4544</v>
      </c>
      <c r="B1788" s="15" t="s">
        <v>1445</v>
      </c>
      <c r="C1788" s="16" t="s">
        <v>3754</v>
      </c>
      <c r="D1788" s="16" t="s">
        <v>3754</v>
      </c>
      <c r="E1788" s="27" t="s">
        <v>5188</v>
      </c>
      <c r="F1788" s="16" t="s">
        <v>424</v>
      </c>
      <c r="G1788" s="21">
        <v>18</v>
      </c>
      <c r="H1788" s="21"/>
      <c r="I1788" s="21"/>
      <c r="J1788" s="27" t="s">
        <v>2333</v>
      </c>
      <c r="K1788" s="27" t="s">
        <v>425</v>
      </c>
      <c r="L1788" s="29"/>
      <c r="M1788" s="68">
        <v>1</v>
      </c>
      <c r="N1788" s="68" t="s">
        <v>415</v>
      </c>
    </row>
    <row r="1789" spans="1:14" ht="14.25" x14ac:dyDescent="0.2">
      <c r="A1789" s="11" t="s">
        <v>192</v>
      </c>
      <c r="B1789" s="12"/>
      <c r="C1789" s="13" t="s">
        <v>3754</v>
      </c>
      <c r="D1789" s="13" t="s">
        <v>3754</v>
      </c>
      <c r="E1789" s="29" t="s">
        <v>193</v>
      </c>
      <c r="F1789" s="13" t="s">
        <v>194</v>
      </c>
      <c r="G1789" s="8"/>
      <c r="H1789" s="8">
        <v>8</v>
      </c>
      <c r="I1789" s="8"/>
      <c r="J1789" s="29" t="s">
        <v>4790</v>
      </c>
      <c r="K1789" s="109" t="s">
        <v>195</v>
      </c>
      <c r="L1789" s="29"/>
      <c r="M1789" s="68">
        <v>1</v>
      </c>
      <c r="N1789" s="68" t="s">
        <v>114</v>
      </c>
    </row>
    <row r="1790" spans="1:14" ht="14.25" x14ac:dyDescent="0.2">
      <c r="A1790" s="14" t="s">
        <v>236</v>
      </c>
      <c r="B1790" s="15" t="s">
        <v>237</v>
      </c>
      <c r="C1790" s="16" t="s">
        <v>3757</v>
      </c>
      <c r="D1790" s="13" t="s">
        <v>3754</v>
      </c>
      <c r="E1790" s="29" t="s">
        <v>238</v>
      </c>
      <c r="F1790" s="16" t="s">
        <v>239</v>
      </c>
      <c r="G1790" s="8">
        <v>50</v>
      </c>
      <c r="H1790" s="8"/>
      <c r="I1790" s="8"/>
      <c r="J1790" s="27" t="s">
        <v>1264</v>
      </c>
      <c r="K1790" s="29" t="s">
        <v>6952</v>
      </c>
      <c r="L1790" s="27"/>
      <c r="M1790" s="68">
        <v>1</v>
      </c>
      <c r="N1790" s="68" t="s">
        <v>196</v>
      </c>
    </row>
    <row r="1791" spans="1:14" ht="14.25" x14ac:dyDescent="0.2">
      <c r="A1791" s="11" t="s">
        <v>236</v>
      </c>
      <c r="B1791" s="12" t="s">
        <v>3735</v>
      </c>
      <c r="C1791" s="13" t="s">
        <v>3757</v>
      </c>
      <c r="D1791" s="13" t="s">
        <v>3754</v>
      </c>
      <c r="E1791" s="29" t="s">
        <v>408</v>
      </c>
      <c r="F1791" s="13" t="s">
        <v>409</v>
      </c>
      <c r="G1791" s="21">
        <v>63</v>
      </c>
      <c r="H1791" s="21"/>
      <c r="I1791" s="21"/>
      <c r="J1791" s="29" t="s">
        <v>5152</v>
      </c>
      <c r="K1791" s="29" t="s">
        <v>410</v>
      </c>
      <c r="L1791" s="29"/>
      <c r="M1791" s="68">
        <v>1</v>
      </c>
      <c r="N1791" s="68" t="s">
        <v>292</v>
      </c>
    </row>
    <row r="1792" spans="1:14" ht="14.25" x14ac:dyDescent="0.2">
      <c r="A1792" s="11" t="s">
        <v>309</v>
      </c>
      <c r="B1792" s="12" t="s">
        <v>3740</v>
      </c>
      <c r="C1792" s="13" t="s">
        <v>3757</v>
      </c>
      <c r="D1792" s="13" t="s">
        <v>3754</v>
      </c>
      <c r="E1792" s="29" t="s">
        <v>310</v>
      </c>
      <c r="F1792" s="13" t="s">
        <v>311</v>
      </c>
      <c r="G1792" s="21">
        <v>56</v>
      </c>
      <c r="H1792" s="21"/>
      <c r="I1792" s="21"/>
      <c r="J1792" s="29" t="s">
        <v>4809</v>
      </c>
      <c r="K1792" s="29" t="s">
        <v>312</v>
      </c>
      <c r="L1792" s="29"/>
      <c r="M1792" s="68">
        <v>1</v>
      </c>
      <c r="N1792" s="68" t="s">
        <v>292</v>
      </c>
    </row>
    <row r="1793" spans="1:14" ht="14.25" x14ac:dyDescent="0.2">
      <c r="A1793" s="11" t="s">
        <v>169</v>
      </c>
      <c r="B1793" s="12" t="s">
        <v>3748</v>
      </c>
      <c r="C1793" s="13" t="s">
        <v>3757</v>
      </c>
      <c r="D1793" s="13" t="s">
        <v>3754</v>
      </c>
      <c r="E1793" s="29" t="s">
        <v>170</v>
      </c>
      <c r="F1793" s="13" t="s">
        <v>171</v>
      </c>
      <c r="G1793" s="8">
        <v>75</v>
      </c>
      <c r="H1793" s="8"/>
      <c r="I1793" s="8"/>
      <c r="J1793" s="29" t="s">
        <v>172</v>
      </c>
      <c r="K1793" s="29" t="s">
        <v>173</v>
      </c>
      <c r="L1793" s="29"/>
      <c r="M1793" s="68">
        <v>1</v>
      </c>
      <c r="N1793" s="68" t="s">
        <v>114</v>
      </c>
    </row>
    <row r="1794" spans="1:14" ht="28.5" x14ac:dyDescent="0.2">
      <c r="A1794" s="11" t="s">
        <v>314</v>
      </c>
      <c r="B1794" s="12" t="s">
        <v>3734</v>
      </c>
      <c r="C1794" s="13" t="s">
        <v>3757</v>
      </c>
      <c r="D1794" s="13" t="s">
        <v>3754</v>
      </c>
      <c r="E1794" s="29" t="s">
        <v>315</v>
      </c>
      <c r="F1794" s="13" t="s">
        <v>316</v>
      </c>
      <c r="G1794" s="21">
        <v>45</v>
      </c>
      <c r="H1794" s="21"/>
      <c r="I1794" s="21"/>
      <c r="J1794" s="29" t="s">
        <v>317</v>
      </c>
      <c r="K1794" s="29" t="s">
        <v>318</v>
      </c>
      <c r="L1794" s="29"/>
      <c r="M1794" s="68">
        <v>1</v>
      </c>
      <c r="N1794" s="68" t="s">
        <v>292</v>
      </c>
    </row>
    <row r="1795" spans="1:14" ht="14.25" x14ac:dyDescent="0.2">
      <c r="A1795" s="14" t="s">
        <v>222</v>
      </c>
      <c r="B1795" s="15" t="s">
        <v>1432</v>
      </c>
      <c r="C1795" s="16" t="s">
        <v>3757</v>
      </c>
      <c r="D1795" s="16" t="s">
        <v>3754</v>
      </c>
      <c r="E1795" s="27" t="s">
        <v>445</v>
      </c>
      <c r="F1795" s="16" t="s">
        <v>446</v>
      </c>
      <c r="G1795" s="21">
        <v>30</v>
      </c>
      <c r="H1795" s="21"/>
      <c r="I1795" s="21"/>
      <c r="J1795" s="27" t="s">
        <v>5076</v>
      </c>
      <c r="K1795" s="27" t="s">
        <v>447</v>
      </c>
      <c r="L1795" s="29"/>
      <c r="M1795" s="68">
        <v>1</v>
      </c>
      <c r="N1795" s="68" t="s">
        <v>415</v>
      </c>
    </row>
    <row r="1796" spans="1:14" ht="14.25" x14ac:dyDescent="0.2">
      <c r="A1796" s="14" t="s">
        <v>222</v>
      </c>
      <c r="B1796" s="15" t="s">
        <v>3752</v>
      </c>
      <c r="C1796" s="16" t="s">
        <v>3754</v>
      </c>
      <c r="D1796" s="13" t="s">
        <v>3754</v>
      </c>
      <c r="E1796" s="29" t="s">
        <v>223</v>
      </c>
      <c r="F1796" s="16" t="s">
        <v>224</v>
      </c>
      <c r="G1796" s="8">
        <v>1</v>
      </c>
      <c r="H1796" s="8">
        <v>10</v>
      </c>
      <c r="I1796" s="8"/>
      <c r="J1796" s="27" t="s">
        <v>4829</v>
      </c>
      <c r="K1796" s="29" t="s">
        <v>6730</v>
      </c>
      <c r="L1796" s="27"/>
      <c r="M1796" s="68">
        <v>1</v>
      </c>
      <c r="N1796" s="68" t="s">
        <v>196</v>
      </c>
    </row>
    <row r="1797" spans="1:14" ht="14.25" x14ac:dyDescent="0.2">
      <c r="A1797" s="14" t="s">
        <v>222</v>
      </c>
      <c r="B1797" s="15" t="s">
        <v>3727</v>
      </c>
      <c r="C1797" s="16" t="s">
        <v>3754</v>
      </c>
      <c r="D1797" s="13" t="s">
        <v>3754</v>
      </c>
      <c r="E1797" s="29" t="s">
        <v>225</v>
      </c>
      <c r="F1797" s="16" t="s">
        <v>224</v>
      </c>
      <c r="G1797" s="8">
        <v>12</v>
      </c>
      <c r="H1797" s="8"/>
      <c r="I1797" s="8"/>
      <c r="J1797" s="27" t="s">
        <v>1266</v>
      </c>
      <c r="K1797" s="29" t="s">
        <v>4585</v>
      </c>
      <c r="L1797" s="27"/>
      <c r="M1797" s="68">
        <v>1</v>
      </c>
      <c r="N1797" s="68" t="s">
        <v>196</v>
      </c>
    </row>
    <row r="1798" spans="1:14" ht="14.25" x14ac:dyDescent="0.2">
      <c r="A1798" s="14" t="s">
        <v>222</v>
      </c>
      <c r="B1798" s="15" t="s">
        <v>4702</v>
      </c>
      <c r="C1798" s="16" t="s">
        <v>3754</v>
      </c>
      <c r="D1798" s="13" t="s">
        <v>3754</v>
      </c>
      <c r="E1798" s="29" t="s">
        <v>226</v>
      </c>
      <c r="F1798" s="16" t="s">
        <v>224</v>
      </c>
      <c r="G1798" s="8">
        <v>2</v>
      </c>
      <c r="H1798" s="8">
        <v>2</v>
      </c>
      <c r="I1798" s="8"/>
      <c r="J1798" s="27" t="s">
        <v>6927</v>
      </c>
      <c r="K1798" s="29" t="s">
        <v>4585</v>
      </c>
      <c r="L1798" s="27"/>
      <c r="M1798" s="68">
        <v>1</v>
      </c>
      <c r="N1798" s="68" t="s">
        <v>196</v>
      </c>
    </row>
    <row r="1799" spans="1:14" ht="14.25" x14ac:dyDescent="0.2">
      <c r="A1799" s="14" t="s">
        <v>222</v>
      </c>
      <c r="B1799" s="15" t="s">
        <v>3746</v>
      </c>
      <c r="C1799" s="16" t="s">
        <v>3757</v>
      </c>
      <c r="D1799" s="13" t="s">
        <v>3754</v>
      </c>
      <c r="E1799" s="29" t="s">
        <v>227</v>
      </c>
      <c r="F1799" s="16" t="s">
        <v>228</v>
      </c>
      <c r="G1799" s="8">
        <v>43</v>
      </c>
      <c r="H1799" s="8"/>
      <c r="I1799" s="8"/>
      <c r="J1799" s="27" t="s">
        <v>1259</v>
      </c>
      <c r="K1799" s="29" t="s">
        <v>229</v>
      </c>
      <c r="L1799" s="27"/>
      <c r="M1799" s="68">
        <v>1</v>
      </c>
      <c r="N1799" s="68" t="s">
        <v>196</v>
      </c>
    </row>
    <row r="1800" spans="1:14" ht="14.25" x14ac:dyDescent="0.2">
      <c r="A1800" s="11" t="s">
        <v>135</v>
      </c>
      <c r="B1800" s="12" t="s">
        <v>331</v>
      </c>
      <c r="C1800" s="13" t="s">
        <v>3754</v>
      </c>
      <c r="D1800" s="13" t="s">
        <v>1464</v>
      </c>
      <c r="E1800" s="29" t="s">
        <v>3821</v>
      </c>
      <c r="F1800" s="13" t="s">
        <v>332</v>
      </c>
      <c r="G1800" s="21">
        <v>22</v>
      </c>
      <c r="H1800" s="21"/>
      <c r="I1800" s="21"/>
      <c r="J1800" s="29" t="s">
        <v>1264</v>
      </c>
      <c r="K1800" s="29" t="s">
        <v>5311</v>
      </c>
      <c r="L1800" s="29"/>
      <c r="M1800" s="68">
        <v>1</v>
      </c>
      <c r="N1800" s="68" t="s">
        <v>292</v>
      </c>
    </row>
    <row r="1801" spans="1:14" ht="14.25" x14ac:dyDescent="0.2">
      <c r="A1801" s="11" t="s">
        <v>135</v>
      </c>
      <c r="B1801" s="12" t="s">
        <v>4690</v>
      </c>
      <c r="C1801" s="13" t="s">
        <v>3754</v>
      </c>
      <c r="D1801" s="13" t="s">
        <v>3768</v>
      </c>
      <c r="E1801" s="29" t="s">
        <v>5387</v>
      </c>
      <c r="F1801" s="13" t="s">
        <v>4566</v>
      </c>
      <c r="G1801" s="21">
        <v>2</v>
      </c>
      <c r="H1801" s="21">
        <v>5</v>
      </c>
      <c r="I1801" s="21"/>
      <c r="J1801" s="29" t="s">
        <v>4567</v>
      </c>
      <c r="K1801" s="29" t="s">
        <v>4565</v>
      </c>
      <c r="L1801" s="29"/>
      <c r="M1801" s="68">
        <v>1</v>
      </c>
      <c r="N1801" s="68" t="s">
        <v>292</v>
      </c>
    </row>
    <row r="1802" spans="1:14" ht="14.25" x14ac:dyDescent="0.2">
      <c r="A1802" s="14" t="s">
        <v>135</v>
      </c>
      <c r="B1802" s="15" t="s">
        <v>8675</v>
      </c>
      <c r="C1802" s="16" t="s">
        <v>4721</v>
      </c>
      <c r="D1802" s="13" t="s">
        <v>3754</v>
      </c>
      <c r="E1802" s="29"/>
      <c r="F1802" s="16" t="s">
        <v>3754</v>
      </c>
      <c r="G1802" s="8"/>
      <c r="H1802" s="8"/>
      <c r="I1802" s="8"/>
      <c r="J1802" s="27"/>
      <c r="K1802" s="29" t="s">
        <v>8822</v>
      </c>
      <c r="L1802" s="27"/>
      <c r="M1802" s="68">
        <v>1</v>
      </c>
      <c r="N1802" s="68" t="s">
        <v>196</v>
      </c>
    </row>
    <row r="1803" spans="1:14" ht="14.25" x14ac:dyDescent="0.2">
      <c r="A1803" s="14" t="s">
        <v>135</v>
      </c>
      <c r="B1803" s="15" t="s">
        <v>4703</v>
      </c>
      <c r="C1803" s="16" t="s">
        <v>3757</v>
      </c>
      <c r="D1803" s="13" t="s">
        <v>3754</v>
      </c>
      <c r="E1803" s="55" t="s">
        <v>285</v>
      </c>
      <c r="F1803" s="16" t="s">
        <v>3754</v>
      </c>
      <c r="G1803" s="8">
        <v>34</v>
      </c>
      <c r="H1803" s="8"/>
      <c r="I1803" s="8"/>
      <c r="J1803" s="27"/>
      <c r="K1803" s="29" t="s">
        <v>8822</v>
      </c>
      <c r="L1803" s="27"/>
      <c r="M1803" s="68">
        <v>1</v>
      </c>
      <c r="N1803" s="68" t="s">
        <v>196</v>
      </c>
    </row>
    <row r="1804" spans="1:14" ht="14.25" x14ac:dyDescent="0.2">
      <c r="A1804" s="14" t="s">
        <v>135</v>
      </c>
      <c r="B1804" s="15" t="s">
        <v>1432</v>
      </c>
      <c r="C1804" s="16" t="s">
        <v>3754</v>
      </c>
      <c r="D1804" s="13" t="s">
        <v>3754</v>
      </c>
      <c r="E1804" s="29" t="s">
        <v>204</v>
      </c>
      <c r="F1804" s="16" t="s">
        <v>205</v>
      </c>
      <c r="G1804" s="8">
        <v>3</v>
      </c>
      <c r="H1804" s="8"/>
      <c r="I1804" s="8"/>
      <c r="J1804" s="27"/>
      <c r="K1804" s="29" t="s">
        <v>1337</v>
      </c>
      <c r="L1804" s="27"/>
      <c r="M1804" s="68">
        <v>1</v>
      </c>
      <c r="N1804" s="68" t="s">
        <v>196</v>
      </c>
    </row>
    <row r="1805" spans="1:14" ht="14.25" x14ac:dyDescent="0.2">
      <c r="A1805" s="14" t="s">
        <v>135</v>
      </c>
      <c r="B1805" s="15" t="s">
        <v>1432</v>
      </c>
      <c r="C1805" s="16" t="s">
        <v>3757</v>
      </c>
      <c r="D1805" s="28" t="s">
        <v>1464</v>
      </c>
      <c r="E1805" s="27" t="s">
        <v>418</v>
      </c>
      <c r="F1805" s="16" t="s">
        <v>419</v>
      </c>
      <c r="G1805" s="21">
        <v>33</v>
      </c>
      <c r="H1805" s="21"/>
      <c r="I1805" s="21"/>
      <c r="J1805" s="27" t="s">
        <v>4738</v>
      </c>
      <c r="K1805" s="27" t="s">
        <v>298</v>
      </c>
      <c r="L1805" s="29"/>
      <c r="M1805" s="68">
        <v>1</v>
      </c>
      <c r="N1805" s="68" t="s">
        <v>415</v>
      </c>
    </row>
    <row r="1806" spans="1:14" ht="28.5" x14ac:dyDescent="0.2">
      <c r="A1806" s="11" t="s">
        <v>135</v>
      </c>
      <c r="B1806" s="12" t="s">
        <v>3752</v>
      </c>
      <c r="C1806" s="13" t="s">
        <v>3757</v>
      </c>
      <c r="D1806" s="13" t="s">
        <v>1621</v>
      </c>
      <c r="E1806" s="29" t="s">
        <v>3155</v>
      </c>
      <c r="F1806" s="13" t="s">
        <v>296</v>
      </c>
      <c r="G1806" s="21">
        <v>33</v>
      </c>
      <c r="H1806" s="21"/>
      <c r="I1806" s="21"/>
      <c r="J1806" s="29" t="s">
        <v>297</v>
      </c>
      <c r="K1806" s="29" t="s">
        <v>298</v>
      </c>
      <c r="L1806" s="29"/>
      <c r="M1806" s="68">
        <v>1</v>
      </c>
      <c r="N1806" s="68" t="s">
        <v>292</v>
      </c>
    </row>
    <row r="1807" spans="1:14" ht="14.25" x14ac:dyDescent="0.2">
      <c r="A1807" s="14" t="s">
        <v>135</v>
      </c>
      <c r="B1807" s="15" t="s">
        <v>3724</v>
      </c>
      <c r="C1807" s="16" t="s">
        <v>3757</v>
      </c>
      <c r="D1807" s="16" t="s">
        <v>3754</v>
      </c>
      <c r="E1807" s="27" t="s">
        <v>5464</v>
      </c>
      <c r="F1807" s="16" t="s">
        <v>475</v>
      </c>
      <c r="G1807" s="21">
        <v>28</v>
      </c>
      <c r="H1807" s="21"/>
      <c r="I1807" s="21"/>
      <c r="J1807" s="27" t="s">
        <v>476</v>
      </c>
      <c r="K1807" s="27" t="s">
        <v>477</v>
      </c>
      <c r="L1807" s="29"/>
      <c r="M1807" s="68">
        <v>1</v>
      </c>
      <c r="N1807" s="68" t="s">
        <v>415</v>
      </c>
    </row>
    <row r="1808" spans="1:14" ht="14.25" x14ac:dyDescent="0.2">
      <c r="A1808" s="14" t="s">
        <v>135</v>
      </c>
      <c r="B1808" s="15" t="s">
        <v>265</v>
      </c>
      <c r="C1808" s="16" t="s">
        <v>3754</v>
      </c>
      <c r="D1808" s="13" t="s">
        <v>3754</v>
      </c>
      <c r="E1808" s="29" t="s">
        <v>1767</v>
      </c>
      <c r="F1808" s="16" t="s">
        <v>266</v>
      </c>
      <c r="G1808" s="8">
        <v>1</v>
      </c>
      <c r="H1808" s="8">
        <v>10</v>
      </c>
      <c r="I1808" s="8"/>
      <c r="J1808" s="27" t="s">
        <v>4739</v>
      </c>
      <c r="K1808" s="29" t="s">
        <v>267</v>
      </c>
      <c r="L1808" s="27"/>
      <c r="M1808" s="68">
        <v>1</v>
      </c>
      <c r="N1808" s="68" t="s">
        <v>196</v>
      </c>
    </row>
    <row r="1809" spans="1:14" ht="14.25" x14ac:dyDescent="0.2">
      <c r="A1809" s="11" t="s">
        <v>135</v>
      </c>
      <c r="B1809" s="12" t="s">
        <v>4547</v>
      </c>
      <c r="C1809" s="13" t="s">
        <v>3754</v>
      </c>
      <c r="D1809" s="13" t="s">
        <v>3754</v>
      </c>
      <c r="E1809" s="29" t="s">
        <v>4548</v>
      </c>
      <c r="F1809" s="13" t="s">
        <v>4549</v>
      </c>
      <c r="G1809" s="21">
        <v>28</v>
      </c>
      <c r="H1809" s="21"/>
      <c r="I1809" s="21"/>
      <c r="J1809" s="29" t="s">
        <v>1270</v>
      </c>
      <c r="K1809" s="29" t="s">
        <v>4550</v>
      </c>
      <c r="L1809" s="29"/>
      <c r="M1809" s="68">
        <v>1</v>
      </c>
      <c r="N1809" s="68" t="s">
        <v>292</v>
      </c>
    </row>
    <row r="1810" spans="1:14" ht="14.25" x14ac:dyDescent="0.2">
      <c r="A1810" s="14" t="s">
        <v>135</v>
      </c>
      <c r="B1810" s="15" t="s">
        <v>3728</v>
      </c>
      <c r="C1810" s="16" t="s">
        <v>3754</v>
      </c>
      <c r="D1810" s="13" t="s">
        <v>3754</v>
      </c>
      <c r="E1810" s="29"/>
      <c r="F1810" s="16" t="s">
        <v>203</v>
      </c>
      <c r="G1810" s="8">
        <v>5</v>
      </c>
      <c r="H1810" s="8"/>
      <c r="I1810" s="8"/>
      <c r="J1810" s="27" t="s">
        <v>1258</v>
      </c>
      <c r="K1810" s="29" t="s">
        <v>1337</v>
      </c>
      <c r="L1810" s="27"/>
      <c r="M1810" s="68">
        <v>1</v>
      </c>
      <c r="N1810" s="68" t="s">
        <v>196</v>
      </c>
    </row>
    <row r="1811" spans="1:14" ht="28.5" x14ac:dyDescent="0.2">
      <c r="A1811" s="11" t="s">
        <v>135</v>
      </c>
      <c r="B1811" s="12" t="s">
        <v>140</v>
      </c>
      <c r="C1811" s="13" t="s">
        <v>3754</v>
      </c>
      <c r="D1811" s="13" t="s">
        <v>3754</v>
      </c>
      <c r="E1811" s="29" t="s">
        <v>1642</v>
      </c>
      <c r="F1811" s="13" t="s">
        <v>141</v>
      </c>
      <c r="G1811" s="8">
        <v>21</v>
      </c>
      <c r="H1811" s="8">
        <v>6</v>
      </c>
      <c r="I1811" s="8"/>
      <c r="J1811" s="29" t="s">
        <v>142</v>
      </c>
      <c r="K1811" s="29" t="s">
        <v>8537</v>
      </c>
      <c r="L1811" s="29"/>
      <c r="M1811" s="68">
        <v>1</v>
      </c>
      <c r="N1811" s="68" t="s">
        <v>114</v>
      </c>
    </row>
    <row r="1812" spans="1:14" ht="14.25" x14ac:dyDescent="0.2">
      <c r="A1812" s="11" t="s">
        <v>135</v>
      </c>
      <c r="B1812" s="12" t="s">
        <v>1569</v>
      </c>
      <c r="C1812" s="13" t="s">
        <v>3757</v>
      </c>
      <c r="D1812" s="13" t="s">
        <v>3754</v>
      </c>
      <c r="E1812" s="29" t="s">
        <v>137</v>
      </c>
      <c r="F1812" s="13" t="s">
        <v>3754</v>
      </c>
      <c r="G1812" s="8">
        <v>45</v>
      </c>
      <c r="H1812" s="8"/>
      <c r="I1812" s="8"/>
      <c r="J1812" s="29" t="s">
        <v>1264</v>
      </c>
      <c r="K1812" s="29" t="s">
        <v>2999</v>
      </c>
      <c r="L1812" s="29"/>
      <c r="M1812" s="68">
        <v>1</v>
      </c>
      <c r="N1812" s="68" t="s">
        <v>114</v>
      </c>
    </row>
    <row r="1813" spans="1:14" ht="14.25" x14ac:dyDescent="0.2">
      <c r="A1813" s="14" t="s">
        <v>135</v>
      </c>
      <c r="B1813" s="15" t="s">
        <v>4685</v>
      </c>
      <c r="C1813" s="16" t="s">
        <v>3757</v>
      </c>
      <c r="D1813" s="13" t="s">
        <v>3754</v>
      </c>
      <c r="E1813" s="29" t="s">
        <v>219</v>
      </c>
      <c r="F1813" s="16" t="s">
        <v>220</v>
      </c>
      <c r="G1813" s="8">
        <v>29</v>
      </c>
      <c r="H1813" s="8"/>
      <c r="I1813" s="8"/>
      <c r="J1813" s="27" t="s">
        <v>1264</v>
      </c>
      <c r="K1813" s="29" t="s">
        <v>221</v>
      </c>
      <c r="L1813" s="27"/>
      <c r="M1813" s="68">
        <v>1</v>
      </c>
      <c r="N1813" s="68" t="s">
        <v>196</v>
      </c>
    </row>
    <row r="1814" spans="1:14" ht="14.25" x14ac:dyDescent="0.2">
      <c r="A1814" s="14" t="s">
        <v>135</v>
      </c>
      <c r="B1814" s="15" t="s">
        <v>3740</v>
      </c>
      <c r="C1814" s="16" t="s">
        <v>3754</v>
      </c>
      <c r="D1814" s="16" t="s">
        <v>3754</v>
      </c>
      <c r="E1814" s="27" t="s">
        <v>293</v>
      </c>
      <c r="F1814" s="16" t="s">
        <v>417</v>
      </c>
      <c r="G1814" s="21">
        <v>23</v>
      </c>
      <c r="H1814" s="21"/>
      <c r="I1814" s="21"/>
      <c r="J1814" s="27" t="s">
        <v>1264</v>
      </c>
      <c r="K1814" s="27" t="s">
        <v>295</v>
      </c>
      <c r="L1814" s="29"/>
      <c r="M1814" s="68">
        <v>1</v>
      </c>
      <c r="N1814" s="68" t="s">
        <v>415</v>
      </c>
    </row>
    <row r="1815" spans="1:14" ht="14.25" x14ac:dyDescent="0.2">
      <c r="A1815" s="11" t="s">
        <v>135</v>
      </c>
      <c r="B1815" s="12" t="s">
        <v>3740</v>
      </c>
      <c r="C1815" s="13" t="s">
        <v>3754</v>
      </c>
      <c r="D1815" s="13" t="s">
        <v>3754</v>
      </c>
      <c r="E1815" s="29" t="s">
        <v>293</v>
      </c>
      <c r="F1815" s="13" t="s">
        <v>294</v>
      </c>
      <c r="G1815" s="21">
        <v>23</v>
      </c>
      <c r="H1815" s="21"/>
      <c r="I1815" s="21"/>
      <c r="J1815" s="29" t="s">
        <v>1264</v>
      </c>
      <c r="K1815" s="29" t="s">
        <v>295</v>
      </c>
      <c r="L1815" s="29"/>
      <c r="M1815" s="68">
        <v>1</v>
      </c>
      <c r="N1815" s="68" t="s">
        <v>292</v>
      </c>
    </row>
    <row r="1816" spans="1:14" ht="14.25" x14ac:dyDescent="0.2">
      <c r="A1816" s="14" t="s">
        <v>135</v>
      </c>
      <c r="B1816" s="15" t="s">
        <v>469</v>
      </c>
      <c r="C1816" s="16" t="s">
        <v>3754</v>
      </c>
      <c r="D1816" s="16" t="s">
        <v>3754</v>
      </c>
      <c r="E1816" s="27" t="s">
        <v>5459</v>
      </c>
      <c r="F1816" s="16" t="s">
        <v>470</v>
      </c>
      <c r="G1816" s="21">
        <v>34</v>
      </c>
      <c r="H1816" s="21">
        <v>3</v>
      </c>
      <c r="I1816" s="21"/>
      <c r="J1816" s="27" t="s">
        <v>3679</v>
      </c>
      <c r="K1816" s="27" t="s">
        <v>6552</v>
      </c>
      <c r="L1816" s="29"/>
      <c r="M1816" s="68">
        <v>1</v>
      </c>
      <c r="N1816" s="68" t="s">
        <v>415</v>
      </c>
    </row>
    <row r="1817" spans="1:14" ht="14.25" x14ac:dyDescent="0.2">
      <c r="A1817" s="11" t="s">
        <v>135</v>
      </c>
      <c r="B1817" s="12" t="s">
        <v>1685</v>
      </c>
      <c r="C1817" s="13" t="s">
        <v>3757</v>
      </c>
      <c r="D1817" s="13" t="s">
        <v>3754</v>
      </c>
      <c r="E1817" s="29" t="s">
        <v>4541</v>
      </c>
      <c r="F1817" s="13" t="s">
        <v>332</v>
      </c>
      <c r="G1817" s="21">
        <v>82</v>
      </c>
      <c r="H1817" s="21"/>
      <c r="I1817" s="21"/>
      <c r="J1817" s="29" t="s">
        <v>4542</v>
      </c>
      <c r="K1817" s="29" t="s">
        <v>4543</v>
      </c>
      <c r="L1817" s="29"/>
      <c r="M1817" s="68">
        <v>1</v>
      </c>
      <c r="N1817" s="68" t="s">
        <v>292</v>
      </c>
    </row>
    <row r="1818" spans="1:14" ht="14.25" x14ac:dyDescent="0.2">
      <c r="A1818" s="14" t="s">
        <v>135</v>
      </c>
      <c r="B1818" s="15" t="s">
        <v>7870</v>
      </c>
      <c r="C1818" s="16" t="s">
        <v>3754</v>
      </c>
      <c r="D1818" s="16" t="s">
        <v>3754</v>
      </c>
      <c r="E1818" s="27" t="s">
        <v>1673</v>
      </c>
      <c r="F1818" s="16" t="s">
        <v>2321</v>
      </c>
      <c r="G1818" s="21">
        <v>30</v>
      </c>
      <c r="H1818" s="21"/>
      <c r="I1818" s="21"/>
      <c r="J1818" s="27" t="s">
        <v>482</v>
      </c>
      <c r="K1818" s="27" t="s">
        <v>1143</v>
      </c>
      <c r="L1818" s="29"/>
      <c r="M1818" s="68">
        <v>1</v>
      </c>
      <c r="N1818" s="68" t="s">
        <v>415</v>
      </c>
    </row>
    <row r="1819" spans="1:14" ht="14.25" x14ac:dyDescent="0.2">
      <c r="A1819" s="14" t="s">
        <v>135</v>
      </c>
      <c r="B1819" s="15" t="s">
        <v>4687</v>
      </c>
      <c r="C1819" s="16" t="s">
        <v>3754</v>
      </c>
      <c r="D1819" s="16" t="s">
        <v>3754</v>
      </c>
      <c r="E1819" s="27" t="s">
        <v>5441</v>
      </c>
      <c r="F1819" s="16" t="s">
        <v>1676</v>
      </c>
      <c r="G1819" s="21">
        <v>1</v>
      </c>
      <c r="H1819" s="21"/>
      <c r="I1819" s="21"/>
      <c r="J1819" s="27" t="s">
        <v>7182</v>
      </c>
      <c r="K1819" s="27" t="s">
        <v>2553</v>
      </c>
      <c r="L1819" s="29"/>
      <c r="M1819" s="68">
        <v>1</v>
      </c>
      <c r="N1819" s="68" t="s">
        <v>415</v>
      </c>
    </row>
    <row r="1820" spans="1:14" ht="14.25" x14ac:dyDescent="0.2">
      <c r="A1820" s="14" t="s">
        <v>135</v>
      </c>
      <c r="B1820" s="15" t="s">
        <v>3732</v>
      </c>
      <c r="C1820" s="16" t="s">
        <v>3754</v>
      </c>
      <c r="D1820" s="13" t="s">
        <v>3754</v>
      </c>
      <c r="E1820" s="29"/>
      <c r="F1820" s="16" t="s">
        <v>3754</v>
      </c>
      <c r="G1820" s="8"/>
      <c r="H1820" s="8"/>
      <c r="I1820" s="8"/>
      <c r="J1820" s="27"/>
      <c r="K1820" s="29" t="s">
        <v>8822</v>
      </c>
      <c r="L1820" s="27"/>
      <c r="M1820" s="68">
        <v>1</v>
      </c>
      <c r="N1820" s="68" t="s">
        <v>196</v>
      </c>
    </row>
    <row r="1821" spans="1:14" ht="14.25" x14ac:dyDescent="0.2">
      <c r="A1821" s="11" t="s">
        <v>135</v>
      </c>
      <c r="B1821" s="12" t="s">
        <v>352</v>
      </c>
      <c r="C1821" s="13" t="s">
        <v>3754</v>
      </c>
      <c r="D1821" s="13" t="s">
        <v>3754</v>
      </c>
      <c r="E1821" s="29" t="s">
        <v>3862</v>
      </c>
      <c r="F1821" s="13" t="s">
        <v>332</v>
      </c>
      <c r="G1821" s="21">
        <v>23</v>
      </c>
      <c r="H1821" s="21"/>
      <c r="I1821" s="21"/>
      <c r="J1821" s="29" t="s">
        <v>1264</v>
      </c>
      <c r="K1821" s="29" t="s">
        <v>353</v>
      </c>
      <c r="L1821" s="29"/>
      <c r="M1821" s="68">
        <v>1</v>
      </c>
      <c r="N1821" s="68" t="s">
        <v>292</v>
      </c>
    </row>
    <row r="1822" spans="1:14" ht="14.25" x14ac:dyDescent="0.2">
      <c r="A1822" s="14" t="s">
        <v>135</v>
      </c>
      <c r="B1822" s="15" t="s">
        <v>3723</v>
      </c>
      <c r="C1822" s="16" t="s">
        <v>3754</v>
      </c>
      <c r="D1822" s="13" t="s">
        <v>3754</v>
      </c>
      <c r="E1822" s="29" t="s">
        <v>202</v>
      </c>
      <c r="F1822" s="16" t="s">
        <v>203</v>
      </c>
      <c r="G1822" s="8">
        <v>1</v>
      </c>
      <c r="H1822" s="8">
        <v>1</v>
      </c>
      <c r="I1822" s="8"/>
      <c r="J1822" s="27"/>
      <c r="K1822" s="29" t="s">
        <v>1337</v>
      </c>
      <c r="L1822" s="27"/>
      <c r="M1822" s="68">
        <v>1</v>
      </c>
      <c r="N1822" s="68" t="s">
        <v>196</v>
      </c>
    </row>
    <row r="1823" spans="1:14" ht="14.25" x14ac:dyDescent="0.2">
      <c r="A1823" s="11" t="s">
        <v>135</v>
      </c>
      <c r="B1823" s="12" t="s">
        <v>3723</v>
      </c>
      <c r="C1823" s="13" t="s">
        <v>3757</v>
      </c>
      <c r="D1823" s="13" t="s">
        <v>3754</v>
      </c>
      <c r="E1823" s="29" t="s">
        <v>138</v>
      </c>
      <c r="F1823" s="13" t="s">
        <v>3754</v>
      </c>
      <c r="G1823" s="8">
        <v>1</v>
      </c>
      <c r="H1823" s="8">
        <v>3</v>
      </c>
      <c r="I1823" s="8"/>
      <c r="J1823" s="29" t="s">
        <v>1264</v>
      </c>
      <c r="K1823" s="61" t="s">
        <v>2999</v>
      </c>
      <c r="L1823" s="29"/>
      <c r="M1823" s="68">
        <v>1</v>
      </c>
      <c r="N1823" s="68" t="s">
        <v>114</v>
      </c>
    </row>
    <row r="1824" spans="1:14" ht="14.25" x14ac:dyDescent="0.2">
      <c r="A1824" s="9" t="s">
        <v>135</v>
      </c>
      <c r="B1824" s="5" t="s">
        <v>3723</v>
      </c>
      <c r="C1824" s="10" t="s">
        <v>3757</v>
      </c>
      <c r="D1824" s="10" t="s">
        <v>3754</v>
      </c>
      <c r="E1824" s="55" t="s">
        <v>6239</v>
      </c>
      <c r="F1824" s="10" t="s">
        <v>4549</v>
      </c>
      <c r="G1824" s="21">
        <v>61</v>
      </c>
      <c r="H1824" s="21"/>
      <c r="I1824" s="21"/>
      <c r="J1824" s="55" t="s">
        <v>3406</v>
      </c>
      <c r="K1824" s="55" t="s">
        <v>407</v>
      </c>
      <c r="L1824" s="61"/>
      <c r="M1824" s="68">
        <v>1</v>
      </c>
      <c r="N1824" s="68" t="s">
        <v>292</v>
      </c>
    </row>
    <row r="1825" spans="1:14" ht="14.25" x14ac:dyDescent="0.2">
      <c r="A1825" s="9" t="s">
        <v>135</v>
      </c>
      <c r="B1825" s="5" t="s">
        <v>5904</v>
      </c>
      <c r="C1825" s="21" t="s">
        <v>3754</v>
      </c>
      <c r="D1825" s="10" t="s">
        <v>3754</v>
      </c>
      <c r="E1825" s="55" t="s">
        <v>5623</v>
      </c>
      <c r="F1825" s="10" t="s">
        <v>322</v>
      </c>
      <c r="G1825" s="21">
        <v>25</v>
      </c>
      <c r="H1825" s="21"/>
      <c r="I1825" s="21"/>
      <c r="J1825" s="55" t="s">
        <v>2199</v>
      </c>
      <c r="K1825" s="55" t="s">
        <v>3804</v>
      </c>
      <c r="L1825" s="61"/>
      <c r="M1825" s="68"/>
      <c r="N1825" s="68" t="s">
        <v>292</v>
      </c>
    </row>
    <row r="1826" spans="1:14" ht="14.25" x14ac:dyDescent="0.2">
      <c r="A1826" s="11" t="s">
        <v>135</v>
      </c>
      <c r="B1826" s="12" t="s">
        <v>4701</v>
      </c>
      <c r="C1826" s="13" t="s">
        <v>3757</v>
      </c>
      <c r="D1826" s="13" t="s">
        <v>3754</v>
      </c>
      <c r="E1826" s="29" t="s">
        <v>4563</v>
      </c>
      <c r="F1826" s="13" t="s">
        <v>4564</v>
      </c>
      <c r="G1826" s="21">
        <v>54</v>
      </c>
      <c r="H1826" s="21"/>
      <c r="I1826" s="21"/>
      <c r="J1826" s="29" t="s">
        <v>6922</v>
      </c>
      <c r="K1826" s="29" t="s">
        <v>4565</v>
      </c>
      <c r="L1826" s="29"/>
      <c r="M1826" s="68">
        <v>1</v>
      </c>
      <c r="N1826" s="68" t="s">
        <v>292</v>
      </c>
    </row>
    <row r="1827" spans="1:14" ht="14.25" x14ac:dyDescent="0.2">
      <c r="A1827" s="11" t="s">
        <v>135</v>
      </c>
      <c r="B1827" s="12" t="s">
        <v>4701</v>
      </c>
      <c r="C1827" s="13" t="s">
        <v>3757</v>
      </c>
      <c r="D1827" s="13" t="s">
        <v>3754</v>
      </c>
      <c r="E1827" s="29" t="s">
        <v>136</v>
      </c>
      <c r="F1827" s="13" t="s">
        <v>3754</v>
      </c>
      <c r="G1827" s="8">
        <v>65</v>
      </c>
      <c r="H1827" s="8"/>
      <c r="I1827" s="8"/>
      <c r="J1827" s="29" t="s">
        <v>1271</v>
      </c>
      <c r="K1827" s="29" t="s">
        <v>2999</v>
      </c>
      <c r="L1827" s="29"/>
      <c r="M1827" s="68">
        <v>1</v>
      </c>
      <c r="N1827" s="68" t="s">
        <v>114</v>
      </c>
    </row>
    <row r="1828" spans="1:14" ht="14.25" x14ac:dyDescent="0.2">
      <c r="A1828" s="14" t="s">
        <v>135</v>
      </c>
      <c r="B1828" s="15" t="s">
        <v>3729</v>
      </c>
      <c r="C1828" s="16" t="s">
        <v>3757</v>
      </c>
      <c r="D1828" s="13" t="s">
        <v>3754</v>
      </c>
      <c r="E1828" s="29" t="s">
        <v>7733</v>
      </c>
      <c r="F1828" s="16" t="s">
        <v>216</v>
      </c>
      <c r="G1828" s="8">
        <v>85</v>
      </c>
      <c r="H1828" s="8"/>
      <c r="I1828" s="8"/>
      <c r="J1828" s="27"/>
      <c r="K1828" s="29" t="s">
        <v>217</v>
      </c>
      <c r="L1828" s="27"/>
      <c r="M1828" s="68"/>
      <c r="N1828" s="68" t="s">
        <v>196</v>
      </c>
    </row>
    <row r="1829" spans="1:14" ht="14.25" x14ac:dyDescent="0.2">
      <c r="A1829" s="11" t="s">
        <v>135</v>
      </c>
      <c r="B1829" s="12" t="s">
        <v>3733</v>
      </c>
      <c r="C1829" s="13" t="s">
        <v>3754</v>
      </c>
      <c r="D1829" s="13" t="s">
        <v>3754</v>
      </c>
      <c r="E1829" s="29" t="s">
        <v>4561</v>
      </c>
      <c r="F1829" s="13" t="s">
        <v>4562</v>
      </c>
      <c r="G1829" s="21"/>
      <c r="H1829" s="21">
        <v>11</v>
      </c>
      <c r="I1829" s="21"/>
      <c r="J1829" s="29" t="s">
        <v>1258</v>
      </c>
      <c r="K1829" s="29" t="s">
        <v>4563</v>
      </c>
      <c r="L1829" s="29"/>
      <c r="M1829" s="68">
        <v>1</v>
      </c>
      <c r="N1829" s="68" t="s">
        <v>292</v>
      </c>
    </row>
    <row r="1830" spans="1:14" ht="14.25" x14ac:dyDescent="0.2">
      <c r="A1830" s="14" t="s">
        <v>478</v>
      </c>
      <c r="B1830" s="15" t="s">
        <v>5073</v>
      </c>
      <c r="C1830" s="16" t="s">
        <v>3754</v>
      </c>
      <c r="D1830" s="16" t="s">
        <v>3754</v>
      </c>
      <c r="E1830" s="27" t="s">
        <v>479</v>
      </c>
      <c r="F1830" s="16" t="s">
        <v>480</v>
      </c>
      <c r="G1830" s="21">
        <v>33</v>
      </c>
      <c r="H1830" s="21"/>
      <c r="I1830" s="21"/>
      <c r="J1830" s="27" t="s">
        <v>1264</v>
      </c>
      <c r="K1830" s="27" t="s">
        <v>3933</v>
      </c>
      <c r="L1830" s="29"/>
      <c r="M1830" s="68">
        <v>1</v>
      </c>
      <c r="N1830" s="68" t="s">
        <v>415</v>
      </c>
    </row>
    <row r="1831" spans="1:14" ht="14.25" x14ac:dyDescent="0.2">
      <c r="A1831" s="14" t="s">
        <v>128</v>
      </c>
      <c r="B1831" s="15" t="s">
        <v>4690</v>
      </c>
      <c r="C1831" s="16" t="s">
        <v>3754</v>
      </c>
      <c r="D1831" s="16" t="s">
        <v>3754</v>
      </c>
      <c r="E1831" s="27" t="s">
        <v>1660</v>
      </c>
      <c r="F1831" s="16" t="s">
        <v>481</v>
      </c>
      <c r="G1831" s="21">
        <v>1</v>
      </c>
      <c r="H1831" s="21"/>
      <c r="I1831" s="21">
        <v>14</v>
      </c>
      <c r="J1831" s="27" t="s">
        <v>4829</v>
      </c>
      <c r="K1831" s="27" t="s">
        <v>1660</v>
      </c>
      <c r="L1831" s="29"/>
      <c r="M1831" s="68">
        <v>1</v>
      </c>
      <c r="N1831" s="68" t="s">
        <v>415</v>
      </c>
    </row>
    <row r="1832" spans="1:14" ht="14.25" x14ac:dyDescent="0.2">
      <c r="A1832" s="11" t="s">
        <v>128</v>
      </c>
      <c r="B1832" s="12" t="s">
        <v>3724</v>
      </c>
      <c r="C1832" s="13" t="s">
        <v>3754</v>
      </c>
      <c r="D1832" s="13" t="s">
        <v>3754</v>
      </c>
      <c r="E1832" s="29" t="s">
        <v>6881</v>
      </c>
      <c r="F1832" s="13" t="s">
        <v>346</v>
      </c>
      <c r="G1832" s="21">
        <v>3</v>
      </c>
      <c r="H1832" s="21"/>
      <c r="I1832" s="21"/>
      <c r="J1832" s="29"/>
      <c r="K1832" s="29" t="s">
        <v>6885</v>
      </c>
      <c r="L1832" s="29"/>
      <c r="M1832" s="68">
        <v>1</v>
      </c>
      <c r="N1832" s="68" t="s">
        <v>292</v>
      </c>
    </row>
    <row r="1833" spans="1:14" ht="14.25" x14ac:dyDescent="0.2">
      <c r="A1833" s="14" t="s">
        <v>128</v>
      </c>
      <c r="B1833" s="15" t="s">
        <v>3728</v>
      </c>
      <c r="C1833" s="16" t="s">
        <v>3754</v>
      </c>
      <c r="D1833" s="13" t="s">
        <v>3754</v>
      </c>
      <c r="E1833" s="29" t="s">
        <v>258</v>
      </c>
      <c r="F1833" s="16" t="s">
        <v>259</v>
      </c>
      <c r="G1833" s="8"/>
      <c r="H1833" s="8"/>
      <c r="I1833" s="8">
        <v>18</v>
      </c>
      <c r="J1833" s="27" t="s">
        <v>260</v>
      </c>
      <c r="K1833" s="29" t="s">
        <v>261</v>
      </c>
      <c r="L1833" s="27"/>
      <c r="M1833" s="68">
        <v>1</v>
      </c>
      <c r="N1833" s="68" t="s">
        <v>196</v>
      </c>
    </row>
    <row r="1834" spans="1:14" ht="14.25" x14ac:dyDescent="0.2">
      <c r="A1834" s="14" t="s">
        <v>128</v>
      </c>
      <c r="B1834" s="15" t="s">
        <v>197</v>
      </c>
      <c r="C1834" s="16" t="s">
        <v>4712</v>
      </c>
      <c r="D1834" s="13" t="s">
        <v>3754</v>
      </c>
      <c r="E1834" s="29" t="s">
        <v>2665</v>
      </c>
      <c r="F1834" s="16" t="s">
        <v>198</v>
      </c>
      <c r="G1834" s="8">
        <v>30</v>
      </c>
      <c r="H1834" s="8"/>
      <c r="I1834" s="8"/>
      <c r="J1834" s="27" t="s">
        <v>1264</v>
      </c>
      <c r="K1834" s="29" t="s">
        <v>199</v>
      </c>
      <c r="L1834" s="27"/>
      <c r="M1834" s="68">
        <v>1</v>
      </c>
      <c r="N1834" s="68" t="s">
        <v>196</v>
      </c>
    </row>
    <row r="1835" spans="1:14" ht="14.25" x14ac:dyDescent="0.2">
      <c r="A1835" s="11" t="s">
        <v>128</v>
      </c>
      <c r="B1835" s="12" t="s">
        <v>5712</v>
      </c>
      <c r="C1835" s="13" t="s">
        <v>3757</v>
      </c>
      <c r="D1835" s="13"/>
      <c r="E1835" s="29" t="s">
        <v>8595</v>
      </c>
      <c r="F1835" s="13" t="s">
        <v>1960</v>
      </c>
      <c r="G1835" s="8">
        <v>57</v>
      </c>
      <c r="H1835" s="8"/>
      <c r="I1835" s="8"/>
      <c r="J1835" s="29" t="s">
        <v>1255</v>
      </c>
      <c r="K1835" s="29" t="s">
        <v>129</v>
      </c>
      <c r="L1835" s="29"/>
      <c r="M1835" s="68">
        <v>1</v>
      </c>
      <c r="N1835" s="68" t="s">
        <v>114</v>
      </c>
    </row>
    <row r="1836" spans="1:14" ht="14.25" x14ac:dyDescent="0.2">
      <c r="A1836" s="11" t="s">
        <v>128</v>
      </c>
      <c r="B1836" s="12" t="s">
        <v>5305</v>
      </c>
      <c r="C1836" s="13" t="s">
        <v>3754</v>
      </c>
      <c r="D1836" s="13" t="s">
        <v>3754</v>
      </c>
      <c r="E1836" s="29" t="s">
        <v>154</v>
      </c>
      <c r="F1836" s="13" t="s">
        <v>155</v>
      </c>
      <c r="G1836" s="8"/>
      <c r="H1836" s="8">
        <v>9</v>
      </c>
      <c r="I1836" s="8"/>
      <c r="J1836" s="29" t="s">
        <v>1258</v>
      </c>
      <c r="K1836" s="29" t="s">
        <v>5724</v>
      </c>
      <c r="L1836" s="29"/>
      <c r="M1836" s="68">
        <v>1</v>
      </c>
      <c r="N1836" s="68" t="s">
        <v>114</v>
      </c>
    </row>
    <row r="1837" spans="1:14" ht="14.25" x14ac:dyDescent="0.2">
      <c r="A1837" s="11" t="s">
        <v>302</v>
      </c>
      <c r="B1837" s="12" t="s">
        <v>3733</v>
      </c>
      <c r="C1837" s="13" t="s">
        <v>3754</v>
      </c>
      <c r="D1837" s="13" t="s">
        <v>3754</v>
      </c>
      <c r="E1837" s="29" t="s">
        <v>303</v>
      </c>
      <c r="F1837" s="13" t="s">
        <v>5797</v>
      </c>
      <c r="G1837" s="21">
        <v>24</v>
      </c>
      <c r="H1837" s="21">
        <v>6</v>
      </c>
      <c r="I1837" s="21"/>
      <c r="J1837" s="29" t="s">
        <v>1264</v>
      </c>
      <c r="K1837" s="29" t="s">
        <v>304</v>
      </c>
      <c r="L1837" s="29"/>
      <c r="M1837" s="68">
        <v>1</v>
      </c>
      <c r="N1837" s="68" t="s">
        <v>292</v>
      </c>
    </row>
    <row r="1838" spans="1:14" ht="14.25" x14ac:dyDescent="0.2">
      <c r="A1838" s="11" t="s">
        <v>755</v>
      </c>
      <c r="B1838" s="12" t="s">
        <v>4696</v>
      </c>
      <c r="C1838" s="13" t="s">
        <v>3757</v>
      </c>
      <c r="D1838" s="13" t="s">
        <v>3761</v>
      </c>
      <c r="E1838" s="29" t="s">
        <v>756</v>
      </c>
      <c r="F1838" s="13" t="s">
        <v>757</v>
      </c>
      <c r="G1838" s="21">
        <v>75</v>
      </c>
      <c r="H1838" s="21"/>
      <c r="I1838" s="21"/>
      <c r="J1838" s="29" t="s">
        <v>1271</v>
      </c>
      <c r="K1838" s="29" t="s">
        <v>3851</v>
      </c>
      <c r="L1838" s="29"/>
      <c r="M1838" s="68">
        <v>1</v>
      </c>
      <c r="N1838" s="68" t="s">
        <v>726</v>
      </c>
    </row>
    <row r="1839" spans="1:14" ht="14.25" x14ac:dyDescent="0.2">
      <c r="A1839" s="14" t="s">
        <v>755</v>
      </c>
      <c r="B1839" s="15" t="s">
        <v>5025</v>
      </c>
      <c r="C1839" s="16" t="s">
        <v>3757</v>
      </c>
      <c r="D1839" s="16" t="s">
        <v>2362</v>
      </c>
      <c r="E1839" s="72" t="s">
        <v>2363</v>
      </c>
      <c r="F1839" s="16" t="s">
        <v>3768</v>
      </c>
      <c r="G1839" s="8"/>
      <c r="H1839" s="8"/>
      <c r="I1839" s="8"/>
      <c r="J1839" s="27"/>
      <c r="K1839" s="72" t="s">
        <v>2364</v>
      </c>
      <c r="L1839" s="95"/>
      <c r="M1839" s="68">
        <v>1</v>
      </c>
      <c r="N1839" s="68" t="s">
        <v>878</v>
      </c>
    </row>
    <row r="1840" spans="1:14" ht="14.25" x14ac:dyDescent="0.2">
      <c r="A1840" s="14" t="s">
        <v>8235</v>
      </c>
      <c r="B1840" s="15" t="s">
        <v>3748</v>
      </c>
      <c r="C1840" s="16" t="s">
        <v>3757</v>
      </c>
      <c r="D1840" s="16" t="s">
        <v>3754</v>
      </c>
      <c r="E1840" s="27" t="s">
        <v>4940</v>
      </c>
      <c r="F1840" s="16" t="s">
        <v>644</v>
      </c>
      <c r="G1840" s="21">
        <v>48</v>
      </c>
      <c r="H1840" s="21"/>
      <c r="I1840" s="21"/>
      <c r="J1840" s="27" t="s">
        <v>1259</v>
      </c>
      <c r="K1840" s="27" t="s">
        <v>2500</v>
      </c>
      <c r="L1840" s="29"/>
      <c r="M1840" s="68">
        <v>1</v>
      </c>
      <c r="N1840" s="68" t="s">
        <v>595</v>
      </c>
    </row>
    <row r="1841" spans="1:14" ht="14.25" x14ac:dyDescent="0.2">
      <c r="A1841" s="11" t="s">
        <v>8235</v>
      </c>
      <c r="B1841" s="12" t="s">
        <v>3748</v>
      </c>
      <c r="C1841" s="13" t="s">
        <v>3757</v>
      </c>
      <c r="D1841" s="31" t="s">
        <v>3754</v>
      </c>
      <c r="E1841" s="29" t="s">
        <v>6301</v>
      </c>
      <c r="F1841" s="13" t="s">
        <v>6302</v>
      </c>
      <c r="G1841" s="21">
        <v>56</v>
      </c>
      <c r="H1841" s="21"/>
      <c r="I1841" s="21"/>
      <c r="J1841" s="29"/>
      <c r="K1841" s="29" t="s">
        <v>3371</v>
      </c>
      <c r="L1841" s="29"/>
      <c r="M1841" s="68">
        <v>1</v>
      </c>
      <c r="N1841" s="68" t="s">
        <v>6187</v>
      </c>
    </row>
    <row r="1842" spans="1:14" ht="14.25" x14ac:dyDescent="0.2">
      <c r="A1842" s="11" t="s">
        <v>8235</v>
      </c>
      <c r="B1842" s="12" t="s">
        <v>1432</v>
      </c>
      <c r="C1842" s="13" t="s">
        <v>3757</v>
      </c>
      <c r="D1842" s="13" t="s">
        <v>3754</v>
      </c>
      <c r="E1842" s="29" t="s">
        <v>362</v>
      </c>
      <c r="F1842" s="13" t="s">
        <v>363</v>
      </c>
      <c r="G1842" s="8">
        <v>45</v>
      </c>
      <c r="H1842" s="8"/>
      <c r="I1842" s="8"/>
      <c r="J1842" s="29" t="s">
        <v>1264</v>
      </c>
      <c r="K1842" s="29" t="s">
        <v>3048</v>
      </c>
      <c r="L1842" s="29"/>
      <c r="M1842" s="68">
        <v>1</v>
      </c>
      <c r="N1842" s="68" t="s">
        <v>4108</v>
      </c>
    </row>
    <row r="1843" spans="1:14" ht="14.25" x14ac:dyDescent="0.2">
      <c r="A1843" s="11" t="s">
        <v>8235</v>
      </c>
      <c r="B1843" s="12" t="s">
        <v>3752</v>
      </c>
      <c r="C1843" s="13" t="s">
        <v>3757</v>
      </c>
      <c r="D1843" s="13" t="s">
        <v>3754</v>
      </c>
      <c r="E1843" s="29" t="s">
        <v>1941</v>
      </c>
      <c r="F1843" s="13" t="s">
        <v>8447</v>
      </c>
      <c r="G1843" s="8">
        <v>65</v>
      </c>
      <c r="H1843" s="8"/>
      <c r="I1843" s="8"/>
      <c r="J1843" s="29" t="s">
        <v>1266</v>
      </c>
      <c r="K1843" s="29" t="s">
        <v>5643</v>
      </c>
      <c r="L1843" s="56"/>
      <c r="M1843" s="68">
        <v>1</v>
      </c>
      <c r="N1843" s="68" t="s">
        <v>2717</v>
      </c>
    </row>
    <row r="1844" spans="1:14" ht="14.25" x14ac:dyDescent="0.2">
      <c r="A1844" s="11" t="s">
        <v>8235</v>
      </c>
      <c r="B1844" s="12" t="s">
        <v>3724</v>
      </c>
      <c r="C1844" s="13" t="s">
        <v>3757</v>
      </c>
      <c r="D1844" s="13" t="s">
        <v>3754</v>
      </c>
      <c r="E1844" s="29"/>
      <c r="F1844" s="13"/>
      <c r="G1844" s="8">
        <v>28</v>
      </c>
      <c r="H1844" s="8"/>
      <c r="I1844" s="8"/>
      <c r="J1844" s="29" t="s">
        <v>1257</v>
      </c>
      <c r="K1844" s="29" t="s">
        <v>2681</v>
      </c>
      <c r="L1844" s="29"/>
      <c r="M1844" s="68">
        <v>1</v>
      </c>
      <c r="N1844" s="68" t="s">
        <v>8451</v>
      </c>
    </row>
    <row r="1845" spans="1:14" ht="14.25" x14ac:dyDescent="0.2">
      <c r="A1845" s="11" t="s">
        <v>8235</v>
      </c>
      <c r="B1845" s="12" t="s">
        <v>543</v>
      </c>
      <c r="C1845" s="13" t="s">
        <v>3757</v>
      </c>
      <c r="D1845" s="13" t="s">
        <v>3754</v>
      </c>
      <c r="E1845" s="29" t="s">
        <v>544</v>
      </c>
      <c r="F1845" s="13" t="s">
        <v>545</v>
      </c>
      <c r="G1845" s="8">
        <v>68</v>
      </c>
      <c r="H1845" s="8"/>
      <c r="I1845" s="8"/>
      <c r="J1845" s="29" t="s">
        <v>1928</v>
      </c>
      <c r="K1845" s="29" t="s">
        <v>546</v>
      </c>
      <c r="L1845" s="29"/>
      <c r="M1845" s="68">
        <v>1</v>
      </c>
      <c r="N1845" s="68" t="s">
        <v>1129</v>
      </c>
    </row>
    <row r="1846" spans="1:14" ht="14.25" x14ac:dyDescent="0.2">
      <c r="A1846" s="14" t="s">
        <v>8235</v>
      </c>
      <c r="B1846" s="15" t="s">
        <v>4685</v>
      </c>
      <c r="C1846" s="16" t="s">
        <v>3754</v>
      </c>
      <c r="D1846" s="16" t="s">
        <v>3754</v>
      </c>
      <c r="E1846" s="27" t="s">
        <v>7856</v>
      </c>
      <c r="F1846" s="16" t="s">
        <v>7857</v>
      </c>
      <c r="G1846" s="21">
        <v>33</v>
      </c>
      <c r="H1846" s="21"/>
      <c r="I1846" s="21"/>
      <c r="J1846" s="27" t="s">
        <v>1264</v>
      </c>
      <c r="K1846" s="27" t="s">
        <v>7858</v>
      </c>
      <c r="L1846" s="29"/>
      <c r="M1846" s="68">
        <v>1</v>
      </c>
      <c r="N1846" s="68" t="s">
        <v>595</v>
      </c>
    </row>
    <row r="1847" spans="1:14" ht="15" x14ac:dyDescent="0.2">
      <c r="A1847" s="11" t="s">
        <v>8235</v>
      </c>
      <c r="B1847" s="12" t="s">
        <v>4685</v>
      </c>
      <c r="C1847" s="13" t="s">
        <v>3754</v>
      </c>
      <c r="D1847" s="13" t="s">
        <v>3754</v>
      </c>
      <c r="E1847" s="29" t="s">
        <v>38</v>
      </c>
      <c r="F1847" s="13" t="s">
        <v>6277</v>
      </c>
      <c r="G1847" s="21"/>
      <c r="H1847" s="21"/>
      <c r="I1847" s="21">
        <v>1</v>
      </c>
      <c r="J1847" s="29" t="s">
        <v>1277</v>
      </c>
      <c r="K1847" s="29" t="s">
        <v>38</v>
      </c>
      <c r="L1847" s="58"/>
      <c r="M1847" s="68">
        <v>1</v>
      </c>
      <c r="N1847" s="68" t="s">
        <v>2359</v>
      </c>
    </row>
    <row r="1848" spans="1:14" ht="14.25" x14ac:dyDescent="0.2">
      <c r="A1848" s="14" t="s">
        <v>8235</v>
      </c>
      <c r="B1848" s="15" t="s">
        <v>3740</v>
      </c>
      <c r="C1848" s="16" t="s">
        <v>3761</v>
      </c>
      <c r="D1848" s="13" t="s">
        <v>3754</v>
      </c>
      <c r="E1848" s="27" t="s">
        <v>8236</v>
      </c>
      <c r="F1848" s="16" t="s">
        <v>1541</v>
      </c>
      <c r="G1848" s="8">
        <v>22</v>
      </c>
      <c r="H1848" s="8">
        <v>3</v>
      </c>
      <c r="I1848" s="8"/>
      <c r="J1848" s="27" t="s">
        <v>1264</v>
      </c>
      <c r="K1848" s="27" t="s">
        <v>4768</v>
      </c>
      <c r="L1848" s="29"/>
      <c r="M1848" s="68">
        <v>1</v>
      </c>
      <c r="N1848" s="68" t="s">
        <v>8206</v>
      </c>
    </row>
    <row r="1849" spans="1:14" ht="14.25" x14ac:dyDescent="0.2">
      <c r="A1849" s="11" t="s">
        <v>8235</v>
      </c>
      <c r="B1849" s="12" t="s">
        <v>3740</v>
      </c>
      <c r="C1849" s="16" t="s">
        <v>3761</v>
      </c>
      <c r="D1849" s="13" t="s">
        <v>3754</v>
      </c>
      <c r="E1849" s="29">
        <v>1865</v>
      </c>
      <c r="F1849" s="13" t="s">
        <v>8446</v>
      </c>
      <c r="G1849" s="8"/>
      <c r="H1849" s="8">
        <v>2</v>
      </c>
      <c r="I1849" s="8"/>
      <c r="J1849" s="29" t="s">
        <v>4052</v>
      </c>
      <c r="K1849" s="29" t="s">
        <v>5643</v>
      </c>
      <c r="L1849" s="56"/>
      <c r="M1849" s="68">
        <v>1</v>
      </c>
      <c r="N1849" s="68" t="s">
        <v>2717</v>
      </c>
    </row>
    <row r="1850" spans="1:14" ht="14.25" x14ac:dyDescent="0.2">
      <c r="A1850" s="11" t="s">
        <v>8235</v>
      </c>
      <c r="B1850" s="12" t="s">
        <v>3723</v>
      </c>
      <c r="C1850" s="13" t="s">
        <v>3757</v>
      </c>
      <c r="D1850" s="13" t="s">
        <v>3754</v>
      </c>
      <c r="E1850" s="29"/>
      <c r="F1850" s="13" t="s">
        <v>8474</v>
      </c>
      <c r="G1850" s="8">
        <v>65</v>
      </c>
      <c r="H1850" s="8"/>
      <c r="I1850" s="8"/>
      <c r="J1850" s="29" t="s">
        <v>1271</v>
      </c>
      <c r="K1850" s="29" t="s">
        <v>2681</v>
      </c>
      <c r="L1850" s="29"/>
      <c r="M1850" s="68">
        <v>1</v>
      </c>
      <c r="N1850" s="68" t="s">
        <v>8451</v>
      </c>
    </row>
    <row r="1851" spans="1:14" ht="14.25" x14ac:dyDescent="0.2">
      <c r="A1851" s="11" t="s">
        <v>8235</v>
      </c>
      <c r="B1851" s="12" t="s">
        <v>5904</v>
      </c>
      <c r="C1851" s="16" t="s">
        <v>3761</v>
      </c>
      <c r="D1851" s="13" t="s">
        <v>3754</v>
      </c>
      <c r="E1851" s="29">
        <v>1865</v>
      </c>
      <c r="F1851" s="13" t="s">
        <v>8446</v>
      </c>
      <c r="G1851" s="8">
        <v>1</v>
      </c>
      <c r="H1851" s="8">
        <v>5</v>
      </c>
      <c r="I1851" s="8"/>
      <c r="J1851" s="29" t="s">
        <v>4750</v>
      </c>
      <c r="K1851" s="29" t="s">
        <v>5643</v>
      </c>
      <c r="L1851" s="56"/>
      <c r="M1851" s="68">
        <v>1</v>
      </c>
      <c r="N1851" s="68" t="s">
        <v>2717</v>
      </c>
    </row>
    <row r="1852" spans="1:14" ht="14.25" x14ac:dyDescent="0.2">
      <c r="A1852" s="11" t="s">
        <v>8235</v>
      </c>
      <c r="B1852" s="12" t="s">
        <v>7810</v>
      </c>
      <c r="C1852" s="16" t="s">
        <v>3761</v>
      </c>
      <c r="D1852" s="13" t="s">
        <v>3754</v>
      </c>
      <c r="E1852" s="29">
        <v>1863</v>
      </c>
      <c r="F1852" s="13" t="s">
        <v>8445</v>
      </c>
      <c r="G1852" s="8">
        <v>2</v>
      </c>
      <c r="H1852" s="8">
        <v>5</v>
      </c>
      <c r="I1852" s="8"/>
      <c r="J1852" s="29" t="s">
        <v>7319</v>
      </c>
      <c r="K1852" s="29" t="s">
        <v>5643</v>
      </c>
      <c r="L1852" s="56"/>
      <c r="M1852" s="68">
        <v>1</v>
      </c>
      <c r="N1852" s="68" t="s">
        <v>2717</v>
      </c>
    </row>
    <row r="1853" spans="1:14" ht="14.25" x14ac:dyDescent="0.2">
      <c r="A1853" s="11" t="s">
        <v>8235</v>
      </c>
      <c r="B1853" s="12" t="s">
        <v>3733</v>
      </c>
      <c r="C1853" s="13" t="s">
        <v>3754</v>
      </c>
      <c r="D1853" s="13" t="s">
        <v>3754</v>
      </c>
      <c r="E1853" s="29" t="s">
        <v>1126</v>
      </c>
      <c r="F1853" s="13" t="s">
        <v>1127</v>
      </c>
      <c r="G1853" s="8">
        <v>28</v>
      </c>
      <c r="H1853" s="8"/>
      <c r="I1853" s="8"/>
      <c r="J1853" s="29" t="s">
        <v>1264</v>
      </c>
      <c r="K1853" s="29" t="s">
        <v>1128</v>
      </c>
      <c r="L1853" s="29"/>
      <c r="M1853" s="68">
        <v>1</v>
      </c>
      <c r="N1853" s="68" t="s">
        <v>4363</v>
      </c>
    </row>
    <row r="1854" spans="1:14" ht="14.25" x14ac:dyDescent="0.2">
      <c r="A1854" s="11" t="s">
        <v>7459</v>
      </c>
      <c r="B1854" s="12" t="s">
        <v>7811</v>
      </c>
      <c r="C1854" s="13" t="s">
        <v>1943</v>
      </c>
      <c r="D1854" s="13" t="s">
        <v>3754</v>
      </c>
      <c r="E1854" s="72" t="s">
        <v>2910</v>
      </c>
      <c r="F1854" s="13" t="s">
        <v>7460</v>
      </c>
      <c r="G1854" s="8">
        <v>18</v>
      </c>
      <c r="H1854" s="8"/>
      <c r="I1854" s="8"/>
      <c r="J1854" s="29" t="s">
        <v>4732</v>
      </c>
      <c r="K1854" s="72" t="s">
        <v>6240</v>
      </c>
      <c r="L1854" s="29"/>
      <c r="M1854" s="68">
        <v>1</v>
      </c>
      <c r="N1854" s="68" t="s">
        <v>986</v>
      </c>
    </row>
    <row r="1855" spans="1:14" ht="15" x14ac:dyDescent="0.2">
      <c r="A1855" s="11" t="s">
        <v>6106</v>
      </c>
      <c r="B1855" s="12" t="s">
        <v>5073</v>
      </c>
      <c r="C1855" s="13" t="s">
        <v>3754</v>
      </c>
      <c r="D1855" s="13" t="s">
        <v>3754</v>
      </c>
      <c r="E1855" s="29" t="s">
        <v>6107</v>
      </c>
      <c r="F1855" s="13" t="s">
        <v>6108</v>
      </c>
      <c r="G1855" s="21">
        <v>33</v>
      </c>
      <c r="H1855" s="21"/>
      <c r="I1855" s="21"/>
      <c r="J1855" s="29" t="s">
        <v>1270</v>
      </c>
      <c r="K1855" s="29" t="s">
        <v>442</v>
      </c>
      <c r="L1855" s="58"/>
      <c r="M1855" s="68">
        <v>1</v>
      </c>
      <c r="N1855" s="68" t="s">
        <v>2359</v>
      </c>
    </row>
    <row r="1856" spans="1:14" ht="14.25" x14ac:dyDescent="0.2">
      <c r="A1856" s="11" t="s">
        <v>575</v>
      </c>
      <c r="B1856" s="12" t="s">
        <v>4690</v>
      </c>
      <c r="C1856" s="13" t="s">
        <v>4070</v>
      </c>
      <c r="D1856" s="13"/>
      <c r="E1856" s="29" t="s">
        <v>576</v>
      </c>
      <c r="F1856" s="13" t="s">
        <v>577</v>
      </c>
      <c r="G1856" s="8">
        <v>2</v>
      </c>
      <c r="H1856" s="8">
        <v>5</v>
      </c>
      <c r="I1856" s="8">
        <v>26</v>
      </c>
      <c r="J1856" s="29" t="s">
        <v>578</v>
      </c>
      <c r="K1856" s="29" t="s">
        <v>579</v>
      </c>
      <c r="L1856" s="29"/>
      <c r="M1856" s="68">
        <v>1</v>
      </c>
      <c r="N1856" s="68" t="s">
        <v>1129</v>
      </c>
    </row>
    <row r="1857" spans="1:14" ht="14.25" x14ac:dyDescent="0.2">
      <c r="A1857" s="14" t="s">
        <v>620</v>
      </c>
      <c r="B1857" s="15" t="s">
        <v>621</v>
      </c>
      <c r="C1857" s="16" t="s">
        <v>3754</v>
      </c>
      <c r="D1857" s="16" t="s">
        <v>3754</v>
      </c>
      <c r="E1857" s="27" t="s">
        <v>2348</v>
      </c>
      <c r="F1857" s="16" t="s">
        <v>622</v>
      </c>
      <c r="G1857" s="21">
        <v>2</v>
      </c>
      <c r="H1857" s="21">
        <v>3</v>
      </c>
      <c r="I1857" s="21"/>
      <c r="J1857" s="27" t="s">
        <v>7319</v>
      </c>
      <c r="K1857" s="27" t="s">
        <v>3232</v>
      </c>
      <c r="L1857" s="29"/>
      <c r="M1857" s="68">
        <v>1</v>
      </c>
      <c r="N1857" s="68" t="s">
        <v>595</v>
      </c>
    </row>
    <row r="1858" spans="1:14" ht="14.25" x14ac:dyDescent="0.2">
      <c r="A1858" s="14" t="s">
        <v>6987</v>
      </c>
      <c r="B1858" s="15" t="s">
        <v>3734</v>
      </c>
      <c r="C1858" s="16" t="s">
        <v>3757</v>
      </c>
      <c r="D1858" s="16" t="s">
        <v>3754</v>
      </c>
      <c r="E1858" s="27" t="s">
        <v>6988</v>
      </c>
      <c r="F1858" s="16" t="s">
        <v>6989</v>
      </c>
      <c r="G1858" s="21">
        <v>55</v>
      </c>
      <c r="H1858" s="21"/>
      <c r="I1858" s="21"/>
      <c r="J1858" s="27" t="s">
        <v>1277</v>
      </c>
      <c r="K1858" s="27" t="s">
        <v>2514</v>
      </c>
      <c r="L1858" s="29"/>
      <c r="M1858" s="68">
        <v>1</v>
      </c>
      <c r="N1858" s="68" t="s">
        <v>595</v>
      </c>
    </row>
    <row r="1859" spans="1:14" ht="28.5" x14ac:dyDescent="0.2">
      <c r="A1859" s="14" t="s">
        <v>6987</v>
      </c>
      <c r="B1859" s="15" t="s">
        <v>7862</v>
      </c>
      <c r="C1859" s="16" t="s">
        <v>3754</v>
      </c>
      <c r="D1859" s="16" t="s">
        <v>3754</v>
      </c>
      <c r="E1859" s="27" t="s">
        <v>723</v>
      </c>
      <c r="F1859" s="16" t="s">
        <v>724</v>
      </c>
      <c r="G1859" s="21">
        <v>28</v>
      </c>
      <c r="H1859" s="21"/>
      <c r="I1859" s="21"/>
      <c r="J1859" s="27" t="s">
        <v>604</v>
      </c>
      <c r="K1859" s="27" t="s">
        <v>725</v>
      </c>
      <c r="L1859" s="95"/>
      <c r="M1859" s="68">
        <v>1</v>
      </c>
      <c r="N1859" s="68" t="s">
        <v>595</v>
      </c>
    </row>
    <row r="1860" spans="1:14" ht="14.25" x14ac:dyDescent="0.2">
      <c r="A1860" s="11" t="s">
        <v>6167</v>
      </c>
      <c r="B1860" s="12" t="s">
        <v>4687</v>
      </c>
      <c r="C1860" s="13" t="s">
        <v>3754</v>
      </c>
      <c r="D1860" s="13" t="s">
        <v>3754</v>
      </c>
      <c r="E1860" s="29" t="s">
        <v>3693</v>
      </c>
      <c r="F1860" s="13" t="s">
        <v>1432</v>
      </c>
      <c r="G1860" s="21"/>
      <c r="H1860" s="21">
        <v>6</v>
      </c>
      <c r="I1860" s="21"/>
      <c r="J1860" s="29" t="s">
        <v>1258</v>
      </c>
      <c r="K1860" s="29" t="s">
        <v>1670</v>
      </c>
      <c r="L1860" s="29"/>
      <c r="M1860" s="68">
        <v>1</v>
      </c>
      <c r="N1860" s="68" t="s">
        <v>2755</v>
      </c>
    </row>
    <row r="1861" spans="1:14" ht="14.25" x14ac:dyDescent="0.2">
      <c r="A1861" s="11" t="s">
        <v>4119</v>
      </c>
      <c r="B1861" s="12" t="s">
        <v>3732</v>
      </c>
      <c r="C1861" s="13" t="s">
        <v>3757</v>
      </c>
      <c r="D1861" s="13" t="s">
        <v>3754</v>
      </c>
      <c r="E1861" s="29" t="s">
        <v>4120</v>
      </c>
      <c r="F1861" s="13" t="s">
        <v>4121</v>
      </c>
      <c r="G1861" s="8">
        <v>75</v>
      </c>
      <c r="H1861" s="8"/>
      <c r="I1861" s="8"/>
      <c r="J1861" s="29" t="s">
        <v>1264</v>
      </c>
      <c r="K1861" s="29" t="s">
        <v>943</v>
      </c>
      <c r="L1861" s="29"/>
      <c r="M1861" s="68">
        <v>1</v>
      </c>
      <c r="N1861" s="68" t="s">
        <v>4108</v>
      </c>
    </row>
    <row r="1862" spans="1:14" ht="14.25" x14ac:dyDescent="0.2">
      <c r="A1862" s="11" t="s">
        <v>4119</v>
      </c>
      <c r="B1862" s="12" t="s">
        <v>4701</v>
      </c>
      <c r="C1862" s="13" t="s">
        <v>3757</v>
      </c>
      <c r="D1862" s="13" t="s">
        <v>3761</v>
      </c>
      <c r="E1862" s="29" t="s">
        <v>733</v>
      </c>
      <c r="F1862" s="13" t="s">
        <v>13</v>
      </c>
      <c r="G1862" s="21">
        <v>64</v>
      </c>
      <c r="H1862" s="21"/>
      <c r="I1862" s="21"/>
      <c r="J1862" s="29" t="s">
        <v>1928</v>
      </c>
      <c r="K1862" s="29" t="s">
        <v>739</v>
      </c>
      <c r="L1862" s="29"/>
      <c r="M1862" s="68">
        <v>1</v>
      </c>
      <c r="N1862" s="68" t="s">
        <v>726</v>
      </c>
    </row>
    <row r="1863" spans="1:14" ht="14.25" x14ac:dyDescent="0.2">
      <c r="A1863" s="14" t="s">
        <v>8181</v>
      </c>
      <c r="B1863" s="15" t="s">
        <v>3723</v>
      </c>
      <c r="C1863" s="16" t="s">
        <v>3761</v>
      </c>
      <c r="D1863" s="13" t="s">
        <v>3754</v>
      </c>
      <c r="E1863" s="27" t="s">
        <v>8182</v>
      </c>
      <c r="F1863" s="16" t="s">
        <v>1541</v>
      </c>
      <c r="G1863" s="8"/>
      <c r="H1863" s="8">
        <v>11</v>
      </c>
      <c r="I1863" s="8">
        <v>11</v>
      </c>
      <c r="J1863" s="27" t="s">
        <v>4750</v>
      </c>
      <c r="K1863" s="27" t="s">
        <v>8178</v>
      </c>
      <c r="L1863" s="29"/>
      <c r="M1863" s="68">
        <v>1</v>
      </c>
      <c r="N1863" s="68" t="s">
        <v>491</v>
      </c>
    </row>
    <row r="1864" spans="1:14" ht="14.25" x14ac:dyDescent="0.2">
      <c r="A1864" s="14" t="s">
        <v>8181</v>
      </c>
      <c r="B1864" s="15" t="s">
        <v>1445</v>
      </c>
      <c r="C1864" s="16" t="s">
        <v>3757</v>
      </c>
      <c r="D1864" s="16" t="s">
        <v>3201</v>
      </c>
      <c r="E1864" s="27" t="s">
        <v>8191</v>
      </c>
      <c r="F1864" s="16" t="s">
        <v>1541</v>
      </c>
      <c r="G1864" s="8">
        <v>29</v>
      </c>
      <c r="H1864" s="8"/>
      <c r="I1864" s="8"/>
      <c r="J1864" s="27" t="s">
        <v>1264</v>
      </c>
      <c r="K1864" s="27" t="s">
        <v>8102</v>
      </c>
      <c r="L1864" s="29"/>
      <c r="M1864" s="68">
        <v>1</v>
      </c>
      <c r="N1864" s="68" t="s">
        <v>491</v>
      </c>
    </row>
    <row r="1865" spans="1:14" ht="14.25" x14ac:dyDescent="0.2">
      <c r="A1865" s="14" t="s">
        <v>6996</v>
      </c>
      <c r="B1865" s="15" t="s">
        <v>6995</v>
      </c>
      <c r="C1865" s="16" t="s">
        <v>3757</v>
      </c>
      <c r="D1865" s="16" t="s">
        <v>3754</v>
      </c>
      <c r="E1865" s="45">
        <v>1857</v>
      </c>
      <c r="F1865" s="16"/>
      <c r="G1865" s="21">
        <v>45</v>
      </c>
      <c r="H1865" s="21"/>
      <c r="I1865" s="21"/>
      <c r="J1865" s="27" t="s">
        <v>4737</v>
      </c>
      <c r="K1865" s="45" t="s">
        <v>4945</v>
      </c>
      <c r="L1865" s="29"/>
      <c r="M1865" s="68">
        <v>1</v>
      </c>
      <c r="N1865" s="68" t="s">
        <v>595</v>
      </c>
    </row>
    <row r="1866" spans="1:14" ht="14.25" x14ac:dyDescent="0.2">
      <c r="A1866" s="14" t="s">
        <v>6996</v>
      </c>
      <c r="B1866" s="15" t="s">
        <v>3741</v>
      </c>
      <c r="C1866" s="16" t="s">
        <v>3757</v>
      </c>
      <c r="D1866" s="16" t="s">
        <v>3754</v>
      </c>
      <c r="E1866" s="27" t="s">
        <v>8247</v>
      </c>
      <c r="F1866" s="16"/>
      <c r="G1866" s="21">
        <v>37</v>
      </c>
      <c r="H1866" s="21"/>
      <c r="I1866" s="21"/>
      <c r="J1866" s="27" t="s">
        <v>1272</v>
      </c>
      <c r="K1866" s="27" t="s">
        <v>4945</v>
      </c>
      <c r="L1866" s="29"/>
      <c r="M1866" s="68">
        <v>1</v>
      </c>
      <c r="N1866" s="68" t="s">
        <v>595</v>
      </c>
    </row>
    <row r="1867" spans="1:14" ht="14.25" x14ac:dyDescent="0.2">
      <c r="A1867" s="17" t="s">
        <v>6996</v>
      </c>
      <c r="B1867" s="18" t="s">
        <v>3741</v>
      </c>
      <c r="C1867" s="19" t="s">
        <v>3757</v>
      </c>
      <c r="D1867" s="19" t="s">
        <v>3754</v>
      </c>
      <c r="E1867" s="46" t="s">
        <v>6997</v>
      </c>
      <c r="F1867" s="19"/>
      <c r="G1867" s="21">
        <v>75</v>
      </c>
      <c r="H1867" s="21"/>
      <c r="I1867" s="21"/>
      <c r="J1867" s="45" t="s">
        <v>1271</v>
      </c>
      <c r="K1867" s="45" t="s">
        <v>4945</v>
      </c>
      <c r="L1867" s="61"/>
      <c r="M1867" s="68">
        <v>1</v>
      </c>
      <c r="N1867" s="68" t="s">
        <v>595</v>
      </c>
    </row>
    <row r="1868" spans="1:14" ht="14.25" x14ac:dyDescent="0.2">
      <c r="A1868" s="30" t="s">
        <v>3170</v>
      </c>
      <c r="B1868" s="5" t="s">
        <v>4684</v>
      </c>
      <c r="C1868" s="10" t="s">
        <v>3757</v>
      </c>
      <c r="D1868" s="10" t="s">
        <v>3754</v>
      </c>
      <c r="E1868" s="55" t="s">
        <v>4145</v>
      </c>
      <c r="F1868" s="21" t="s">
        <v>4146</v>
      </c>
      <c r="G1868" s="8">
        <v>66</v>
      </c>
      <c r="H1868" s="8"/>
      <c r="I1868" s="8"/>
      <c r="J1868" s="55" t="s">
        <v>4739</v>
      </c>
      <c r="K1868" s="55" t="s">
        <v>1889</v>
      </c>
      <c r="L1868" s="61"/>
      <c r="M1868" s="68">
        <v>1</v>
      </c>
      <c r="N1868" s="68" t="s">
        <v>4108</v>
      </c>
    </row>
    <row r="1869" spans="1:14" ht="15" x14ac:dyDescent="0.2">
      <c r="A1869" s="11" t="s">
        <v>3170</v>
      </c>
      <c r="B1869" s="12" t="s">
        <v>1809</v>
      </c>
      <c r="C1869" s="13" t="s">
        <v>3757</v>
      </c>
      <c r="D1869" s="13" t="s">
        <v>3754</v>
      </c>
      <c r="E1869" s="29">
        <v>1865</v>
      </c>
      <c r="F1869" s="13" t="s">
        <v>5854</v>
      </c>
      <c r="G1869" s="13">
        <v>17</v>
      </c>
      <c r="H1869" s="13"/>
      <c r="I1869" s="13"/>
      <c r="J1869" s="29" t="s">
        <v>3059</v>
      </c>
      <c r="K1869" s="29" t="s">
        <v>3442</v>
      </c>
      <c r="L1869" s="58"/>
      <c r="M1869" s="68">
        <v>1</v>
      </c>
      <c r="N1869" s="68" t="s">
        <v>2359</v>
      </c>
    </row>
    <row r="1870" spans="1:14" ht="15" x14ac:dyDescent="0.2">
      <c r="A1870" s="11" t="s">
        <v>3170</v>
      </c>
      <c r="B1870" s="12" t="s">
        <v>8660</v>
      </c>
      <c r="C1870" s="13" t="s">
        <v>3754</v>
      </c>
      <c r="D1870" s="13" t="s">
        <v>3754</v>
      </c>
      <c r="E1870" s="29" t="s">
        <v>719</v>
      </c>
      <c r="F1870" s="13" t="s">
        <v>8424</v>
      </c>
      <c r="G1870" s="13"/>
      <c r="H1870" s="13"/>
      <c r="I1870" s="13">
        <v>16</v>
      </c>
      <c r="J1870" s="29" t="s">
        <v>1277</v>
      </c>
      <c r="K1870" s="29" t="s">
        <v>6112</v>
      </c>
      <c r="L1870" s="58"/>
      <c r="M1870" s="68">
        <v>1</v>
      </c>
      <c r="N1870" s="68" t="s">
        <v>2359</v>
      </c>
    </row>
    <row r="1871" spans="1:14" ht="15" x14ac:dyDescent="0.2">
      <c r="A1871" s="11" t="s">
        <v>3170</v>
      </c>
      <c r="B1871" s="12" t="s">
        <v>4685</v>
      </c>
      <c r="C1871" s="13" t="s">
        <v>3754</v>
      </c>
      <c r="D1871" s="13" t="s">
        <v>3754</v>
      </c>
      <c r="E1871" s="29" t="s">
        <v>5856</v>
      </c>
      <c r="F1871" s="13" t="s">
        <v>5449</v>
      </c>
      <c r="G1871" s="13">
        <v>11</v>
      </c>
      <c r="H1871" s="13"/>
      <c r="I1871" s="13"/>
      <c r="J1871" s="29" t="s">
        <v>5945</v>
      </c>
      <c r="K1871" s="29" t="s">
        <v>5853</v>
      </c>
      <c r="L1871" s="58"/>
      <c r="M1871" s="68">
        <v>1</v>
      </c>
      <c r="N1871" s="68" t="s">
        <v>2359</v>
      </c>
    </row>
    <row r="1872" spans="1:14" ht="15" x14ac:dyDescent="0.2">
      <c r="A1872" s="11" t="s">
        <v>3170</v>
      </c>
      <c r="B1872" s="12" t="s">
        <v>3740</v>
      </c>
      <c r="C1872" s="13" t="s">
        <v>3754</v>
      </c>
      <c r="D1872" s="13" t="s">
        <v>3754</v>
      </c>
      <c r="E1872" s="29" t="s">
        <v>5852</v>
      </c>
      <c r="F1872" s="13" t="s">
        <v>5851</v>
      </c>
      <c r="G1872" s="13">
        <v>22</v>
      </c>
      <c r="H1872" s="13">
        <v>6</v>
      </c>
      <c r="I1872" s="13"/>
      <c r="J1872" s="29" t="s">
        <v>1264</v>
      </c>
      <c r="K1872" s="29" t="s">
        <v>5853</v>
      </c>
      <c r="L1872" s="58"/>
      <c r="M1872" s="68">
        <v>1</v>
      </c>
      <c r="N1872" s="68" t="s">
        <v>2359</v>
      </c>
    </row>
    <row r="1873" spans="1:14" ht="14.25" x14ac:dyDescent="0.2">
      <c r="A1873" s="14" t="s">
        <v>3170</v>
      </c>
      <c r="B1873" s="15" t="s">
        <v>3740</v>
      </c>
      <c r="C1873" s="16" t="s">
        <v>3757</v>
      </c>
      <c r="D1873" s="13" t="s">
        <v>3754</v>
      </c>
      <c r="E1873" s="27" t="s">
        <v>3171</v>
      </c>
      <c r="F1873" s="16" t="s">
        <v>1541</v>
      </c>
      <c r="G1873" s="26">
        <v>23</v>
      </c>
      <c r="H1873" s="26"/>
      <c r="I1873" s="26"/>
      <c r="J1873" s="27" t="s">
        <v>3172</v>
      </c>
      <c r="K1873" s="27" t="s">
        <v>4013</v>
      </c>
      <c r="L1873" s="29"/>
      <c r="M1873" s="68">
        <v>1</v>
      </c>
      <c r="N1873" s="68" t="s">
        <v>491</v>
      </c>
    </row>
    <row r="1874" spans="1:14" ht="14.25" x14ac:dyDescent="0.2">
      <c r="A1874" s="11" t="s">
        <v>3170</v>
      </c>
      <c r="B1874" s="12" t="s">
        <v>3740</v>
      </c>
      <c r="C1874" s="13" t="s">
        <v>3757</v>
      </c>
      <c r="D1874" s="13" t="s">
        <v>3754</v>
      </c>
      <c r="E1874" s="29" t="s">
        <v>8432</v>
      </c>
      <c r="F1874" s="13" t="s">
        <v>4345</v>
      </c>
      <c r="G1874" s="26">
        <v>72</v>
      </c>
      <c r="H1874" s="26"/>
      <c r="I1874" s="26"/>
      <c r="J1874" s="29" t="s">
        <v>1271</v>
      </c>
      <c r="K1874" s="29" t="s">
        <v>8432</v>
      </c>
      <c r="L1874" s="56"/>
      <c r="M1874" s="68">
        <v>1</v>
      </c>
      <c r="N1874" s="68" t="s">
        <v>2717</v>
      </c>
    </row>
    <row r="1875" spans="1:14" ht="28.5" x14ac:dyDescent="0.2">
      <c r="A1875" s="14" t="s">
        <v>3170</v>
      </c>
      <c r="B1875" s="15" t="s">
        <v>4581</v>
      </c>
      <c r="C1875" s="16" t="s">
        <v>3754</v>
      </c>
      <c r="D1875" s="27" t="s">
        <v>3754</v>
      </c>
      <c r="E1875" s="27" t="s">
        <v>5259</v>
      </c>
      <c r="F1875" s="27" t="s">
        <v>2747</v>
      </c>
      <c r="G1875" s="13">
        <v>25</v>
      </c>
      <c r="H1875" s="13"/>
      <c r="I1875" s="13"/>
      <c r="J1875" s="27" t="s">
        <v>2748</v>
      </c>
      <c r="K1875" s="96" t="s">
        <v>3666</v>
      </c>
      <c r="L1875" s="100"/>
      <c r="M1875" s="68">
        <v>1</v>
      </c>
      <c r="N1875" s="68" t="s">
        <v>6124</v>
      </c>
    </row>
    <row r="1876" spans="1:14" ht="14.25" x14ac:dyDescent="0.2">
      <c r="A1876" s="11" t="s">
        <v>3170</v>
      </c>
      <c r="B1876" s="12" t="s">
        <v>3723</v>
      </c>
      <c r="C1876" s="13" t="s">
        <v>3754</v>
      </c>
      <c r="D1876" s="13" t="s">
        <v>3754</v>
      </c>
      <c r="E1876" s="29" t="s">
        <v>1113</v>
      </c>
      <c r="F1876" s="13" t="s">
        <v>1114</v>
      </c>
      <c r="G1876" s="26">
        <v>1</v>
      </c>
      <c r="H1876" s="26"/>
      <c r="I1876" s="26">
        <v>19</v>
      </c>
      <c r="J1876" s="29" t="s">
        <v>3191</v>
      </c>
      <c r="K1876" s="29" t="s">
        <v>1115</v>
      </c>
      <c r="L1876" s="29"/>
      <c r="M1876" s="68">
        <v>1</v>
      </c>
      <c r="N1876" s="68" t="s">
        <v>4363</v>
      </c>
    </row>
    <row r="1877" spans="1:14" ht="15" x14ac:dyDescent="0.2">
      <c r="A1877" s="11" t="s">
        <v>3170</v>
      </c>
      <c r="B1877" s="12" t="s">
        <v>5850</v>
      </c>
      <c r="C1877" s="13" t="s">
        <v>3754</v>
      </c>
      <c r="D1877" s="13" t="s">
        <v>3754</v>
      </c>
      <c r="E1877" s="29" t="s">
        <v>4320</v>
      </c>
      <c r="F1877" s="13" t="s">
        <v>5851</v>
      </c>
      <c r="G1877" s="13">
        <v>33</v>
      </c>
      <c r="H1877" s="13">
        <v>6</v>
      </c>
      <c r="I1877" s="13"/>
      <c r="J1877" s="29" t="s">
        <v>1264</v>
      </c>
      <c r="K1877" s="29" t="s">
        <v>1906</v>
      </c>
      <c r="L1877" s="58"/>
      <c r="M1877" s="68">
        <v>1</v>
      </c>
      <c r="N1877" s="68" t="s">
        <v>2359</v>
      </c>
    </row>
    <row r="1878" spans="1:14" ht="15" x14ac:dyDescent="0.2">
      <c r="A1878" s="11" t="s">
        <v>3170</v>
      </c>
      <c r="B1878" s="12" t="s">
        <v>3733</v>
      </c>
      <c r="C1878" s="13" t="s">
        <v>3754</v>
      </c>
      <c r="D1878" s="13" t="s">
        <v>3754</v>
      </c>
      <c r="E1878" s="29" t="s">
        <v>5857</v>
      </c>
      <c r="F1878" s="13" t="s">
        <v>5449</v>
      </c>
      <c r="G1878" s="13">
        <v>8</v>
      </c>
      <c r="H1878" s="13"/>
      <c r="I1878" s="13"/>
      <c r="J1878" s="29" t="s">
        <v>5945</v>
      </c>
      <c r="K1878" s="29" t="s">
        <v>5853</v>
      </c>
      <c r="L1878" s="58"/>
      <c r="M1878" s="68">
        <v>1</v>
      </c>
      <c r="N1878" s="68" t="s">
        <v>2359</v>
      </c>
    </row>
    <row r="1879" spans="1:14" ht="15" x14ac:dyDescent="0.2">
      <c r="A1879" s="11" t="s">
        <v>3170</v>
      </c>
      <c r="B1879" s="12" t="s">
        <v>3733</v>
      </c>
      <c r="C1879" s="13" t="s">
        <v>3757</v>
      </c>
      <c r="D1879" s="13" t="s">
        <v>3754</v>
      </c>
      <c r="E1879" s="29" t="s">
        <v>5855</v>
      </c>
      <c r="F1879" s="13" t="s">
        <v>5851</v>
      </c>
      <c r="G1879" s="13">
        <v>56</v>
      </c>
      <c r="H1879" s="13"/>
      <c r="I1879" s="13"/>
      <c r="J1879" s="29" t="s">
        <v>6573</v>
      </c>
      <c r="K1879" s="29" t="s">
        <v>5853</v>
      </c>
      <c r="L1879" s="58"/>
      <c r="M1879" s="68">
        <v>1</v>
      </c>
      <c r="N1879" s="68" t="s">
        <v>2359</v>
      </c>
    </row>
    <row r="1880" spans="1:14" ht="14.25" x14ac:dyDescent="0.2">
      <c r="A1880" s="14" t="s">
        <v>3170</v>
      </c>
      <c r="B1880" s="15" t="s">
        <v>1445</v>
      </c>
      <c r="C1880" s="16" t="s">
        <v>3754</v>
      </c>
      <c r="D1880" s="16" t="s">
        <v>3754</v>
      </c>
      <c r="E1880" s="72" t="s">
        <v>2389</v>
      </c>
      <c r="F1880" s="16" t="s">
        <v>2390</v>
      </c>
      <c r="G1880" s="26">
        <v>13</v>
      </c>
      <c r="H1880" s="26">
        <v>6</v>
      </c>
      <c r="I1880" s="26"/>
      <c r="J1880" s="27" t="s">
        <v>4745</v>
      </c>
      <c r="K1880" s="72" t="s">
        <v>2391</v>
      </c>
      <c r="L1880" s="95"/>
      <c r="M1880" s="68">
        <v>1</v>
      </c>
      <c r="N1880" s="68" t="s">
        <v>878</v>
      </c>
    </row>
    <row r="1881" spans="1:14" ht="14.25" x14ac:dyDescent="0.2">
      <c r="A1881" s="14" t="s">
        <v>3170</v>
      </c>
      <c r="B1881" s="15" t="s">
        <v>1445</v>
      </c>
      <c r="C1881" s="16" t="s">
        <v>3757</v>
      </c>
      <c r="D1881" s="16" t="s">
        <v>3754</v>
      </c>
      <c r="E1881" s="72" t="s">
        <v>2264</v>
      </c>
      <c r="F1881" s="16" t="s">
        <v>2390</v>
      </c>
      <c r="G1881" s="26">
        <v>63</v>
      </c>
      <c r="H1881" s="26"/>
      <c r="I1881" s="26"/>
      <c r="J1881" s="27" t="s">
        <v>1277</v>
      </c>
      <c r="K1881" s="72" t="s">
        <v>3288</v>
      </c>
      <c r="L1881" s="95"/>
      <c r="M1881" s="68">
        <v>1</v>
      </c>
      <c r="N1881" s="68" t="s">
        <v>878</v>
      </c>
    </row>
    <row r="1882" spans="1:14" ht="14.25" x14ac:dyDescent="0.2">
      <c r="A1882" s="11" t="s">
        <v>4109</v>
      </c>
      <c r="B1882" s="12" t="s">
        <v>4369</v>
      </c>
      <c r="C1882" s="13" t="s">
        <v>3754</v>
      </c>
      <c r="D1882" s="13" t="s">
        <v>3754</v>
      </c>
      <c r="E1882" s="29" t="s">
        <v>6724</v>
      </c>
      <c r="F1882" s="13" t="s">
        <v>4370</v>
      </c>
      <c r="G1882" s="26"/>
      <c r="H1882" s="26"/>
      <c r="I1882" s="26">
        <v>6</v>
      </c>
      <c r="J1882" s="29" t="s">
        <v>4746</v>
      </c>
      <c r="K1882" s="29" t="s">
        <v>6724</v>
      </c>
      <c r="L1882" s="29"/>
      <c r="M1882" s="68">
        <v>1</v>
      </c>
      <c r="N1882" s="68" t="s">
        <v>4363</v>
      </c>
    </row>
    <row r="1883" spans="1:14" ht="14.25" x14ac:dyDescent="0.2">
      <c r="A1883" s="11" t="s">
        <v>4109</v>
      </c>
      <c r="B1883" s="12" t="s">
        <v>7812</v>
      </c>
      <c r="C1883" s="16" t="s">
        <v>3761</v>
      </c>
      <c r="D1883" s="13" t="s">
        <v>3754</v>
      </c>
      <c r="E1883" s="29" t="s">
        <v>2714</v>
      </c>
      <c r="F1883" s="13" t="s">
        <v>7477</v>
      </c>
      <c r="G1883" s="26">
        <v>16</v>
      </c>
      <c r="H1883" s="26">
        <v>3</v>
      </c>
      <c r="I1883" s="26"/>
      <c r="J1883" s="29" t="s">
        <v>1264</v>
      </c>
      <c r="K1883" s="29" t="s">
        <v>4756</v>
      </c>
      <c r="L1883" s="56"/>
      <c r="M1883" s="68">
        <v>1</v>
      </c>
      <c r="N1883" s="68" t="s">
        <v>2717</v>
      </c>
    </row>
    <row r="1884" spans="1:14" ht="14.25" x14ac:dyDescent="0.2">
      <c r="A1884" s="11" t="s">
        <v>4109</v>
      </c>
      <c r="B1884" s="12" t="s">
        <v>3740</v>
      </c>
      <c r="C1884" s="13" t="s">
        <v>3757</v>
      </c>
      <c r="D1884" s="13" t="s">
        <v>3754</v>
      </c>
      <c r="E1884" s="29" t="s">
        <v>6174</v>
      </c>
      <c r="F1884" s="13" t="s">
        <v>6175</v>
      </c>
      <c r="G1884" s="13">
        <v>87</v>
      </c>
      <c r="H1884" s="13"/>
      <c r="I1884" s="13"/>
      <c r="J1884" s="29" t="s">
        <v>1271</v>
      </c>
      <c r="K1884" s="29" t="s">
        <v>6176</v>
      </c>
      <c r="L1884" s="29"/>
      <c r="M1884" s="68">
        <v>1</v>
      </c>
      <c r="N1884" s="68" t="s">
        <v>2755</v>
      </c>
    </row>
    <row r="1885" spans="1:14" ht="14.25" x14ac:dyDescent="0.2">
      <c r="A1885" s="11" t="s">
        <v>4109</v>
      </c>
      <c r="B1885" s="12" t="s">
        <v>5712</v>
      </c>
      <c r="C1885" s="16" t="s">
        <v>3761</v>
      </c>
      <c r="D1885" s="13" t="s">
        <v>3754</v>
      </c>
      <c r="E1885" s="29" t="s">
        <v>4114</v>
      </c>
      <c r="F1885" s="13" t="s">
        <v>1541</v>
      </c>
      <c r="G1885" s="26">
        <v>9</v>
      </c>
      <c r="H1885" s="26">
        <v>3</v>
      </c>
      <c r="I1885" s="26"/>
      <c r="J1885" s="29" t="s">
        <v>5118</v>
      </c>
      <c r="K1885" s="29" t="s">
        <v>4112</v>
      </c>
      <c r="L1885" s="29"/>
      <c r="M1885" s="68">
        <v>1</v>
      </c>
      <c r="N1885" s="68" t="s">
        <v>4108</v>
      </c>
    </row>
    <row r="1886" spans="1:14" ht="14.25" x14ac:dyDescent="0.2">
      <c r="A1886" s="14" t="s">
        <v>4109</v>
      </c>
      <c r="B1886" s="15" t="s">
        <v>5712</v>
      </c>
      <c r="C1886" s="16" t="s">
        <v>3754</v>
      </c>
      <c r="D1886" s="16" t="s">
        <v>3754</v>
      </c>
      <c r="E1886" s="72" t="s">
        <v>2365</v>
      </c>
      <c r="F1886" s="16" t="s">
        <v>3856</v>
      </c>
      <c r="G1886" s="26"/>
      <c r="H1886" s="26"/>
      <c r="I1886" s="26">
        <v>5</v>
      </c>
      <c r="J1886" s="27" t="s">
        <v>2366</v>
      </c>
      <c r="K1886" s="72" t="s">
        <v>2364</v>
      </c>
      <c r="L1886" s="95"/>
      <c r="M1886" s="68">
        <v>1</v>
      </c>
      <c r="N1886" s="68" t="s">
        <v>878</v>
      </c>
    </row>
    <row r="1887" spans="1:14" ht="14.25" x14ac:dyDescent="0.2">
      <c r="A1887" s="14" t="s">
        <v>4109</v>
      </c>
      <c r="B1887" s="15" t="s">
        <v>632</v>
      </c>
      <c r="C1887" s="16" t="s">
        <v>3757</v>
      </c>
      <c r="D1887" s="16" t="s">
        <v>3754</v>
      </c>
      <c r="E1887" s="27" t="s">
        <v>633</v>
      </c>
      <c r="F1887" s="16" t="s">
        <v>634</v>
      </c>
      <c r="G1887" s="13">
        <v>66</v>
      </c>
      <c r="H1887" s="13"/>
      <c r="I1887" s="13"/>
      <c r="J1887" s="27" t="s">
        <v>1271</v>
      </c>
      <c r="K1887" s="27" t="s">
        <v>635</v>
      </c>
      <c r="L1887" s="29"/>
      <c r="M1887" s="68">
        <v>1</v>
      </c>
      <c r="N1887" s="68" t="s">
        <v>595</v>
      </c>
    </row>
    <row r="1888" spans="1:14" ht="15" x14ac:dyDescent="0.2">
      <c r="A1888" s="14" t="s">
        <v>4109</v>
      </c>
      <c r="B1888" s="15" t="s">
        <v>4982</v>
      </c>
      <c r="C1888" s="16" t="s">
        <v>3757</v>
      </c>
      <c r="D1888" s="27" t="s">
        <v>3754</v>
      </c>
      <c r="E1888" s="27" t="s">
        <v>7192</v>
      </c>
      <c r="F1888" s="27" t="s">
        <v>2726</v>
      </c>
      <c r="G1888" s="13">
        <v>35</v>
      </c>
      <c r="H1888" s="13"/>
      <c r="I1888" s="13"/>
      <c r="J1888" s="27" t="s">
        <v>4732</v>
      </c>
      <c r="K1888" s="96" t="s">
        <v>2724</v>
      </c>
      <c r="L1888" s="65"/>
      <c r="M1888" s="68">
        <v>1</v>
      </c>
      <c r="N1888" s="68" t="s">
        <v>6124</v>
      </c>
    </row>
    <row r="1889" spans="1:14" ht="14.25" x14ac:dyDescent="0.2">
      <c r="A1889" s="11" t="s">
        <v>4109</v>
      </c>
      <c r="B1889" s="12" t="s">
        <v>3732</v>
      </c>
      <c r="C1889" s="16" t="s">
        <v>3761</v>
      </c>
      <c r="D1889" s="13" t="s">
        <v>3754</v>
      </c>
      <c r="E1889" s="29"/>
      <c r="F1889" s="13" t="s">
        <v>8424</v>
      </c>
      <c r="G1889" s="26"/>
      <c r="H1889" s="26"/>
      <c r="I1889" s="26">
        <v>3</v>
      </c>
      <c r="J1889" s="29"/>
      <c r="K1889" s="29" t="s">
        <v>8423</v>
      </c>
      <c r="L1889" s="56"/>
      <c r="M1889" s="68">
        <v>1</v>
      </c>
      <c r="N1889" s="68" t="s">
        <v>2717</v>
      </c>
    </row>
    <row r="1890" spans="1:14" ht="28.5" x14ac:dyDescent="0.2">
      <c r="A1890" s="11" t="s">
        <v>4109</v>
      </c>
      <c r="B1890" s="12" t="s">
        <v>4045</v>
      </c>
      <c r="C1890" s="13" t="s">
        <v>3757</v>
      </c>
      <c r="D1890" s="13" t="s">
        <v>3754</v>
      </c>
      <c r="E1890" s="29" t="s">
        <v>4344</v>
      </c>
      <c r="F1890" s="13" t="s">
        <v>4345</v>
      </c>
      <c r="G1890" s="26">
        <v>63</v>
      </c>
      <c r="H1890" s="26"/>
      <c r="I1890" s="26"/>
      <c r="J1890" s="29" t="s">
        <v>1439</v>
      </c>
      <c r="K1890" s="29" t="s">
        <v>4346</v>
      </c>
      <c r="L1890" s="56" t="s">
        <v>6704</v>
      </c>
      <c r="M1890" s="68">
        <v>1</v>
      </c>
      <c r="N1890" s="68" t="s">
        <v>2717</v>
      </c>
    </row>
    <row r="1891" spans="1:14" ht="14.25" x14ac:dyDescent="0.2">
      <c r="A1891" s="11" t="s">
        <v>4109</v>
      </c>
      <c r="B1891" s="12" t="s">
        <v>4636</v>
      </c>
      <c r="C1891" s="16" t="s">
        <v>3761</v>
      </c>
      <c r="D1891" s="13" t="s">
        <v>3754</v>
      </c>
      <c r="E1891" s="29" t="s">
        <v>4113</v>
      </c>
      <c r="F1891" s="13" t="s">
        <v>1541</v>
      </c>
      <c r="G1891" s="26">
        <v>4</v>
      </c>
      <c r="H1891" s="26">
        <v>3</v>
      </c>
      <c r="I1891" s="26">
        <v>8</v>
      </c>
      <c r="J1891" s="29" t="s">
        <v>1254</v>
      </c>
      <c r="K1891" s="29" t="s">
        <v>4112</v>
      </c>
      <c r="L1891" s="29"/>
      <c r="M1891" s="68">
        <v>1</v>
      </c>
      <c r="N1891" s="68" t="s">
        <v>4108</v>
      </c>
    </row>
    <row r="1892" spans="1:14" ht="14.25" x14ac:dyDescent="0.2">
      <c r="A1892" s="14" t="s">
        <v>4109</v>
      </c>
      <c r="B1892" s="15" t="s">
        <v>2608</v>
      </c>
      <c r="C1892" s="16" t="s">
        <v>3754</v>
      </c>
      <c r="D1892" s="16" t="s">
        <v>3754</v>
      </c>
      <c r="E1892" s="27" t="s">
        <v>6990</v>
      </c>
      <c r="F1892" s="16" t="s">
        <v>6991</v>
      </c>
      <c r="G1892" s="13"/>
      <c r="H1892" s="13">
        <v>2</v>
      </c>
      <c r="I1892" s="13">
        <v>3</v>
      </c>
      <c r="J1892" s="27" t="s">
        <v>4738</v>
      </c>
      <c r="K1892" s="27" t="s">
        <v>8804</v>
      </c>
      <c r="L1892" s="29"/>
      <c r="M1892" s="68">
        <v>1</v>
      </c>
      <c r="N1892" s="68" t="s">
        <v>595</v>
      </c>
    </row>
    <row r="1893" spans="1:14" ht="14.25" x14ac:dyDescent="0.2">
      <c r="A1893" s="11" t="s">
        <v>4109</v>
      </c>
      <c r="B1893" s="12" t="s">
        <v>5850</v>
      </c>
      <c r="C1893" s="16" t="s">
        <v>3761</v>
      </c>
      <c r="D1893" s="13" t="s">
        <v>3754</v>
      </c>
      <c r="E1893" s="29" t="s">
        <v>4320</v>
      </c>
      <c r="F1893" s="13" t="s">
        <v>4321</v>
      </c>
      <c r="G1893" s="26">
        <v>33</v>
      </c>
      <c r="H1893" s="26">
        <v>6</v>
      </c>
      <c r="I1893" s="26"/>
      <c r="J1893" s="29" t="s">
        <v>1264</v>
      </c>
      <c r="K1893" s="29" t="s">
        <v>1906</v>
      </c>
      <c r="L1893" s="56"/>
      <c r="M1893" s="68">
        <v>1</v>
      </c>
      <c r="N1893" s="68" t="s">
        <v>2717</v>
      </c>
    </row>
    <row r="1894" spans="1:14" ht="14.25" x14ac:dyDescent="0.2">
      <c r="A1894" s="11" t="s">
        <v>4109</v>
      </c>
      <c r="B1894" s="12" t="s">
        <v>3733</v>
      </c>
      <c r="C1894" s="13" t="s">
        <v>3757</v>
      </c>
      <c r="D1894" s="13" t="s">
        <v>3754</v>
      </c>
      <c r="E1894" s="29" t="s">
        <v>8429</v>
      </c>
      <c r="F1894" s="13" t="s">
        <v>8430</v>
      </c>
      <c r="G1894" s="26">
        <v>57</v>
      </c>
      <c r="H1894" s="26"/>
      <c r="I1894" s="26"/>
      <c r="J1894" s="29" t="s">
        <v>2989</v>
      </c>
      <c r="K1894" s="29" t="s">
        <v>8431</v>
      </c>
      <c r="L1894" s="56"/>
      <c r="M1894" s="68">
        <v>1</v>
      </c>
      <c r="N1894" s="68" t="s">
        <v>2717</v>
      </c>
    </row>
    <row r="1895" spans="1:14" ht="14.25" x14ac:dyDescent="0.2">
      <c r="A1895" s="11" t="s">
        <v>4109</v>
      </c>
      <c r="B1895" s="12" t="s">
        <v>6274</v>
      </c>
      <c r="C1895" s="16" t="s">
        <v>3761</v>
      </c>
      <c r="D1895" s="13" t="s">
        <v>3754</v>
      </c>
      <c r="E1895" s="29" t="s">
        <v>4110</v>
      </c>
      <c r="F1895" s="13" t="s">
        <v>1541</v>
      </c>
      <c r="G1895" s="26">
        <v>18</v>
      </c>
      <c r="H1895" s="26">
        <v>5</v>
      </c>
      <c r="I1895" s="26">
        <v>4</v>
      </c>
      <c r="J1895" s="29" t="s">
        <v>4111</v>
      </c>
      <c r="K1895" s="29" t="s">
        <v>4112</v>
      </c>
      <c r="L1895" s="29"/>
      <c r="M1895" s="68">
        <v>1</v>
      </c>
      <c r="N1895" s="68" t="s">
        <v>4108</v>
      </c>
    </row>
    <row r="1896" spans="1:14" ht="28.5" x14ac:dyDescent="0.2">
      <c r="A1896" s="11" t="s">
        <v>4109</v>
      </c>
      <c r="B1896" s="12" t="s">
        <v>7813</v>
      </c>
      <c r="C1896" s="16" t="s">
        <v>3761</v>
      </c>
      <c r="D1896" s="13" t="s">
        <v>3754</v>
      </c>
      <c r="E1896" s="29" t="s">
        <v>4115</v>
      </c>
      <c r="F1896" s="13" t="s">
        <v>1541</v>
      </c>
      <c r="G1896" s="26">
        <v>3</v>
      </c>
      <c r="H1896" s="26">
        <v>15</v>
      </c>
      <c r="I1896" s="26"/>
      <c r="J1896" s="29" t="s">
        <v>1258</v>
      </c>
      <c r="K1896" s="29" t="s">
        <v>4112</v>
      </c>
      <c r="L1896" s="29"/>
      <c r="M1896" s="68">
        <v>1</v>
      </c>
      <c r="N1896" s="68" t="s">
        <v>4108</v>
      </c>
    </row>
    <row r="1897" spans="1:14" ht="14.25" x14ac:dyDescent="0.2">
      <c r="A1897" s="11" t="s">
        <v>4109</v>
      </c>
      <c r="B1897" s="12" t="s">
        <v>970</v>
      </c>
      <c r="C1897" s="13" t="s">
        <v>3761</v>
      </c>
      <c r="D1897" s="13" t="s">
        <v>3754</v>
      </c>
      <c r="E1897" s="29" t="s">
        <v>540</v>
      </c>
      <c r="F1897" s="13" t="s">
        <v>541</v>
      </c>
      <c r="G1897" s="26"/>
      <c r="H1897" s="26"/>
      <c r="I1897" s="26">
        <v>6</v>
      </c>
      <c r="J1897" s="29" t="s">
        <v>542</v>
      </c>
      <c r="K1897" s="29" t="s">
        <v>256</v>
      </c>
      <c r="L1897" s="29"/>
      <c r="M1897" s="68">
        <v>1</v>
      </c>
      <c r="N1897" s="68" t="s">
        <v>1129</v>
      </c>
    </row>
    <row r="1898" spans="1:14" ht="14.25" x14ac:dyDescent="0.2">
      <c r="A1898" s="11" t="s">
        <v>4109</v>
      </c>
      <c r="B1898" s="12" t="s">
        <v>7814</v>
      </c>
      <c r="C1898" s="16" t="s">
        <v>3761</v>
      </c>
      <c r="D1898" s="31"/>
      <c r="E1898" s="29" t="s">
        <v>4426</v>
      </c>
      <c r="F1898" s="13" t="s">
        <v>8424</v>
      </c>
      <c r="G1898" s="26"/>
      <c r="H1898" s="26">
        <v>7</v>
      </c>
      <c r="I1898" s="26"/>
      <c r="J1898" s="29" t="s">
        <v>4427</v>
      </c>
      <c r="K1898" s="29" t="s">
        <v>4428</v>
      </c>
      <c r="L1898" s="29"/>
      <c r="M1898" s="68">
        <v>1</v>
      </c>
      <c r="N1898" s="68" t="s">
        <v>8451</v>
      </c>
    </row>
    <row r="1899" spans="1:14" ht="14.25" x14ac:dyDescent="0.2">
      <c r="A1899" s="11" t="s">
        <v>373</v>
      </c>
      <c r="B1899" s="12" t="s">
        <v>4685</v>
      </c>
      <c r="C1899" s="13" t="s">
        <v>3757</v>
      </c>
      <c r="D1899" s="13" t="s">
        <v>3754</v>
      </c>
      <c r="E1899" s="29" t="s">
        <v>374</v>
      </c>
      <c r="F1899" s="13" t="s">
        <v>375</v>
      </c>
      <c r="G1899" s="26">
        <v>44</v>
      </c>
      <c r="H1899" s="26"/>
      <c r="I1899" s="26"/>
      <c r="J1899" s="29" t="s">
        <v>1928</v>
      </c>
      <c r="K1899" s="29" t="s">
        <v>376</v>
      </c>
      <c r="L1899" s="29"/>
      <c r="M1899" s="68">
        <v>1</v>
      </c>
      <c r="N1899" s="68" t="s">
        <v>4108</v>
      </c>
    </row>
    <row r="1900" spans="1:14" ht="14.25" x14ac:dyDescent="0.2">
      <c r="A1900" s="11" t="s">
        <v>373</v>
      </c>
      <c r="B1900" s="12" t="s">
        <v>3740</v>
      </c>
      <c r="C1900" s="13" t="s">
        <v>3757</v>
      </c>
      <c r="D1900" s="13" t="s">
        <v>3754</v>
      </c>
      <c r="E1900" s="72" t="s">
        <v>842</v>
      </c>
      <c r="F1900" s="13" t="s">
        <v>843</v>
      </c>
      <c r="G1900" s="26">
        <v>83</v>
      </c>
      <c r="H1900" s="26"/>
      <c r="I1900" s="26"/>
      <c r="J1900" s="29" t="s">
        <v>1271</v>
      </c>
      <c r="K1900" s="72" t="s">
        <v>3829</v>
      </c>
      <c r="L1900" s="29"/>
      <c r="M1900" s="68">
        <v>1</v>
      </c>
      <c r="N1900" s="68" t="s">
        <v>795</v>
      </c>
    </row>
    <row r="1901" spans="1:14" ht="14.25" x14ac:dyDescent="0.2">
      <c r="A1901" s="11" t="s">
        <v>373</v>
      </c>
      <c r="B1901" s="12" t="s">
        <v>3723</v>
      </c>
      <c r="C1901" s="13" t="s">
        <v>3757</v>
      </c>
      <c r="D1901" s="13" t="s">
        <v>3754</v>
      </c>
      <c r="E1901" s="72"/>
      <c r="F1901" s="13" t="s">
        <v>834</v>
      </c>
      <c r="G1901" s="26">
        <v>82</v>
      </c>
      <c r="H1901" s="26"/>
      <c r="I1901" s="26"/>
      <c r="J1901" s="29" t="s">
        <v>1271</v>
      </c>
      <c r="K1901" s="72" t="s">
        <v>3871</v>
      </c>
      <c r="L1901" s="29"/>
      <c r="M1901" s="68">
        <v>1</v>
      </c>
      <c r="N1901" s="68" t="s">
        <v>795</v>
      </c>
    </row>
    <row r="1902" spans="1:14" ht="14.25" x14ac:dyDescent="0.2">
      <c r="A1902" s="11" t="s">
        <v>373</v>
      </c>
      <c r="B1902" s="12" t="s">
        <v>4364</v>
      </c>
      <c r="C1902" s="13" t="s">
        <v>3768</v>
      </c>
      <c r="D1902" s="13" t="s">
        <v>5699</v>
      </c>
      <c r="E1902" s="29"/>
      <c r="F1902" s="13" t="s">
        <v>4365</v>
      </c>
      <c r="G1902" s="26">
        <v>2</v>
      </c>
      <c r="H1902" s="26">
        <v>7</v>
      </c>
      <c r="I1902" s="26"/>
      <c r="J1902" s="29" t="s">
        <v>1258</v>
      </c>
      <c r="K1902" s="29" t="s">
        <v>4366</v>
      </c>
      <c r="L1902" s="29"/>
      <c r="M1902" s="68">
        <v>1</v>
      </c>
      <c r="N1902" s="68" t="s">
        <v>4363</v>
      </c>
    </row>
    <row r="1903" spans="1:14" ht="14.25" x14ac:dyDescent="0.2">
      <c r="A1903" s="11" t="s">
        <v>4338</v>
      </c>
      <c r="B1903" s="12" t="s">
        <v>3744</v>
      </c>
      <c r="C1903" s="13" t="s">
        <v>3757</v>
      </c>
      <c r="D1903" s="13" t="s">
        <v>3754</v>
      </c>
      <c r="E1903" s="72" t="s">
        <v>983</v>
      </c>
      <c r="F1903" s="13" t="s">
        <v>984</v>
      </c>
      <c r="G1903" s="26">
        <v>38</v>
      </c>
      <c r="H1903" s="26"/>
      <c r="I1903" s="26"/>
      <c r="J1903" s="29" t="s">
        <v>1270</v>
      </c>
      <c r="K1903" s="72" t="s">
        <v>985</v>
      </c>
      <c r="L1903" s="95"/>
      <c r="M1903" s="68">
        <v>1</v>
      </c>
      <c r="N1903" s="68" t="s">
        <v>986</v>
      </c>
    </row>
    <row r="1904" spans="1:14" ht="14.25" x14ac:dyDescent="0.2">
      <c r="A1904" s="14" t="s">
        <v>4338</v>
      </c>
      <c r="B1904" s="15" t="s">
        <v>1837</v>
      </c>
      <c r="C1904" s="16" t="s">
        <v>3757</v>
      </c>
      <c r="D1904" s="16" t="s">
        <v>3754</v>
      </c>
      <c r="E1904" s="72" t="s">
        <v>5815</v>
      </c>
      <c r="F1904" s="16" t="s">
        <v>5816</v>
      </c>
      <c r="G1904" s="26">
        <v>80</v>
      </c>
      <c r="H1904" s="26"/>
      <c r="I1904" s="26"/>
      <c r="J1904" s="27" t="s">
        <v>1271</v>
      </c>
      <c r="K1904" s="72" t="s">
        <v>5342</v>
      </c>
      <c r="L1904" s="95"/>
      <c r="M1904" s="68">
        <v>1</v>
      </c>
      <c r="N1904" s="68" t="s">
        <v>878</v>
      </c>
    </row>
    <row r="1905" spans="1:14" ht="14.25" x14ac:dyDescent="0.2">
      <c r="A1905" s="11" t="s">
        <v>4338</v>
      </c>
      <c r="B1905" s="12" t="s">
        <v>3728</v>
      </c>
      <c r="C1905" s="13" t="s">
        <v>3757</v>
      </c>
      <c r="D1905" s="13" t="s">
        <v>3754</v>
      </c>
      <c r="E1905" s="72" t="s">
        <v>105</v>
      </c>
      <c r="F1905" s="13" t="s">
        <v>106</v>
      </c>
      <c r="G1905" s="26">
        <v>82</v>
      </c>
      <c r="H1905" s="26"/>
      <c r="I1905" s="26"/>
      <c r="J1905" s="29" t="s">
        <v>2108</v>
      </c>
      <c r="K1905" s="72" t="s">
        <v>105</v>
      </c>
      <c r="L1905" s="29"/>
      <c r="M1905" s="68">
        <v>1</v>
      </c>
      <c r="N1905" s="68" t="s">
        <v>986</v>
      </c>
    </row>
    <row r="1906" spans="1:14" ht="14.25" x14ac:dyDescent="0.2">
      <c r="A1906" s="11" t="s">
        <v>4338</v>
      </c>
      <c r="B1906" s="12" t="s">
        <v>3740</v>
      </c>
      <c r="C1906" s="13" t="s">
        <v>3757</v>
      </c>
      <c r="D1906" s="13" t="s">
        <v>3754</v>
      </c>
      <c r="E1906" s="29" t="s">
        <v>1079</v>
      </c>
      <c r="F1906" s="13" t="s">
        <v>2853</v>
      </c>
      <c r="G1906" s="26">
        <v>28</v>
      </c>
      <c r="H1906" s="26"/>
      <c r="I1906" s="26"/>
      <c r="J1906" s="29" t="s">
        <v>1264</v>
      </c>
      <c r="K1906" s="29" t="s">
        <v>5938</v>
      </c>
      <c r="L1906" s="29"/>
      <c r="M1906" s="68">
        <v>1</v>
      </c>
      <c r="N1906" s="68" t="s">
        <v>4363</v>
      </c>
    </row>
    <row r="1907" spans="1:14" ht="14.25" x14ac:dyDescent="0.2">
      <c r="A1907" s="11" t="s">
        <v>4338</v>
      </c>
      <c r="B1907" s="12" t="s">
        <v>3747</v>
      </c>
      <c r="C1907" s="13" t="s">
        <v>3757</v>
      </c>
      <c r="D1907" s="13" t="s">
        <v>3761</v>
      </c>
      <c r="E1907" s="29" t="s">
        <v>3800</v>
      </c>
      <c r="F1907" s="13" t="s">
        <v>5208</v>
      </c>
      <c r="G1907" s="13">
        <v>28</v>
      </c>
      <c r="H1907" s="13"/>
      <c r="I1907" s="13"/>
      <c r="J1907" s="29" t="s">
        <v>1264</v>
      </c>
      <c r="K1907" s="29"/>
      <c r="L1907" s="29"/>
      <c r="M1907" s="68">
        <v>1</v>
      </c>
      <c r="N1907" s="68" t="s">
        <v>726</v>
      </c>
    </row>
    <row r="1908" spans="1:14" ht="14.25" x14ac:dyDescent="0.2">
      <c r="A1908" s="11" t="s">
        <v>4338</v>
      </c>
      <c r="B1908" s="12" t="s">
        <v>1445</v>
      </c>
      <c r="C1908" s="13" t="s">
        <v>3757</v>
      </c>
      <c r="D1908" s="13" t="s">
        <v>3754</v>
      </c>
      <c r="E1908" s="29"/>
      <c r="F1908" s="13" t="s">
        <v>4339</v>
      </c>
      <c r="G1908" s="26">
        <v>57</v>
      </c>
      <c r="H1908" s="26"/>
      <c r="I1908" s="26"/>
      <c r="J1908" s="29" t="s">
        <v>1264</v>
      </c>
      <c r="K1908" s="29" t="s">
        <v>4336</v>
      </c>
      <c r="L1908" s="56"/>
      <c r="M1908" s="68">
        <v>1</v>
      </c>
      <c r="N1908" s="68" t="s">
        <v>2717</v>
      </c>
    </row>
    <row r="1909" spans="1:14" ht="15" x14ac:dyDescent="0.2">
      <c r="A1909" s="14" t="s">
        <v>2738</v>
      </c>
      <c r="B1909" s="15" t="s">
        <v>2739</v>
      </c>
      <c r="C1909" s="16" t="s">
        <v>3754</v>
      </c>
      <c r="D1909" s="27" t="s">
        <v>3754</v>
      </c>
      <c r="E1909" s="27" t="s">
        <v>2408</v>
      </c>
      <c r="F1909" s="27" t="s">
        <v>2740</v>
      </c>
      <c r="G1909" s="13">
        <v>11</v>
      </c>
      <c r="H1909" s="13">
        <v>2</v>
      </c>
      <c r="I1909" s="13"/>
      <c r="J1909" s="27" t="s">
        <v>1272</v>
      </c>
      <c r="K1909" s="96" t="s">
        <v>6547</v>
      </c>
      <c r="L1909" s="101"/>
      <c r="M1909" s="68">
        <v>1</v>
      </c>
      <c r="N1909" s="68" t="s">
        <v>6124</v>
      </c>
    </row>
    <row r="1910" spans="1:14" ht="14.25" x14ac:dyDescent="0.2">
      <c r="A1910" s="17" t="s">
        <v>4603</v>
      </c>
      <c r="B1910" s="18" t="s">
        <v>1837</v>
      </c>
      <c r="C1910" s="19" t="s">
        <v>3757</v>
      </c>
      <c r="D1910" s="16" t="s">
        <v>3754</v>
      </c>
      <c r="E1910" s="112" t="s">
        <v>2865</v>
      </c>
      <c r="F1910" s="19" t="s">
        <v>4996</v>
      </c>
      <c r="G1910" s="8">
        <v>70</v>
      </c>
      <c r="H1910" s="8"/>
      <c r="I1910" s="8"/>
      <c r="J1910" s="45" t="s">
        <v>1271</v>
      </c>
      <c r="K1910" s="112" t="s">
        <v>4604</v>
      </c>
      <c r="L1910" s="94"/>
      <c r="M1910" s="68">
        <v>1</v>
      </c>
      <c r="N1910" s="68" t="s">
        <v>878</v>
      </c>
    </row>
    <row r="1911" spans="1:14" ht="14.25" x14ac:dyDescent="0.2">
      <c r="A1911" s="9" t="s">
        <v>4156</v>
      </c>
      <c r="B1911" s="5" t="s">
        <v>4685</v>
      </c>
      <c r="C1911" s="10" t="s">
        <v>3757</v>
      </c>
      <c r="D1911" s="10" t="s">
        <v>3754</v>
      </c>
      <c r="E1911" s="55" t="s">
        <v>563</v>
      </c>
      <c r="F1911" s="10" t="s">
        <v>564</v>
      </c>
      <c r="G1911" s="8">
        <v>30</v>
      </c>
      <c r="H1911" s="8"/>
      <c r="I1911" s="8"/>
      <c r="J1911" s="55" t="s">
        <v>5945</v>
      </c>
      <c r="K1911" s="55" t="s">
        <v>3148</v>
      </c>
      <c r="L1911" s="61"/>
      <c r="M1911" s="68">
        <v>1</v>
      </c>
      <c r="N1911" s="68" t="s">
        <v>1129</v>
      </c>
    </row>
    <row r="1912" spans="1:14" ht="14.25" x14ac:dyDescent="0.2">
      <c r="A1912" s="11" t="s">
        <v>4156</v>
      </c>
      <c r="B1912" s="12" t="s">
        <v>5542</v>
      </c>
      <c r="C1912" s="16" t="s">
        <v>3761</v>
      </c>
      <c r="D1912" s="13" t="s">
        <v>3754</v>
      </c>
      <c r="E1912" s="29" t="s">
        <v>938</v>
      </c>
      <c r="F1912" s="13" t="s">
        <v>4157</v>
      </c>
      <c r="G1912" s="26">
        <v>35</v>
      </c>
      <c r="H1912" s="26"/>
      <c r="I1912" s="26"/>
      <c r="J1912" s="29" t="s">
        <v>5010</v>
      </c>
      <c r="K1912" s="29" t="s">
        <v>4158</v>
      </c>
      <c r="L1912" s="29"/>
      <c r="M1912" s="68">
        <v>1</v>
      </c>
      <c r="N1912" s="68" t="s">
        <v>4108</v>
      </c>
    </row>
    <row r="1913" spans="1:14" ht="14.25" x14ac:dyDescent="0.2">
      <c r="A1913" s="14" t="s">
        <v>8230</v>
      </c>
      <c r="B1913" s="15" t="s">
        <v>3732</v>
      </c>
      <c r="C1913" s="16" t="s">
        <v>3757</v>
      </c>
      <c r="D1913" s="13" t="s">
        <v>3754</v>
      </c>
      <c r="E1913" s="27">
        <v>1870</v>
      </c>
      <c r="F1913" s="16" t="s">
        <v>1541</v>
      </c>
      <c r="G1913" s="26">
        <v>60</v>
      </c>
      <c r="H1913" s="26"/>
      <c r="I1913" s="26"/>
      <c r="J1913" s="27" t="s">
        <v>4746</v>
      </c>
      <c r="K1913" s="27" t="s">
        <v>8231</v>
      </c>
      <c r="L1913" s="29"/>
      <c r="M1913" s="68">
        <v>1</v>
      </c>
      <c r="N1913" s="68" t="s">
        <v>8206</v>
      </c>
    </row>
    <row r="1914" spans="1:14" ht="14.25" x14ac:dyDescent="0.2">
      <c r="A1914" s="11" t="s">
        <v>8230</v>
      </c>
      <c r="B1914" s="12" t="s">
        <v>3732</v>
      </c>
      <c r="C1914" s="13" t="s">
        <v>3754</v>
      </c>
      <c r="D1914" s="13" t="s">
        <v>3754</v>
      </c>
      <c r="E1914" s="29" t="s">
        <v>6141</v>
      </c>
      <c r="F1914" s="13" t="s">
        <v>6142</v>
      </c>
      <c r="G1914" s="13">
        <v>80</v>
      </c>
      <c r="H1914" s="13"/>
      <c r="I1914" s="13"/>
      <c r="J1914" s="29" t="s">
        <v>1277</v>
      </c>
      <c r="K1914" s="29" t="s">
        <v>6742</v>
      </c>
      <c r="L1914" s="29"/>
      <c r="M1914" s="68">
        <v>1</v>
      </c>
      <c r="N1914" s="68" t="s">
        <v>2755</v>
      </c>
    </row>
    <row r="1915" spans="1:14" ht="15" x14ac:dyDescent="0.2">
      <c r="A1915" s="11" t="s">
        <v>8230</v>
      </c>
      <c r="B1915" s="12" t="s">
        <v>4992</v>
      </c>
      <c r="C1915" s="13" t="s">
        <v>3757</v>
      </c>
      <c r="D1915" s="13" t="s">
        <v>3754</v>
      </c>
      <c r="E1915" s="29" t="s">
        <v>6269</v>
      </c>
      <c r="F1915" s="13" t="s">
        <v>6270</v>
      </c>
      <c r="G1915" s="13">
        <v>35</v>
      </c>
      <c r="H1915" s="13"/>
      <c r="I1915" s="13"/>
      <c r="J1915" s="29" t="s">
        <v>1270</v>
      </c>
      <c r="K1915" s="29" t="s">
        <v>6694</v>
      </c>
      <c r="L1915" s="58"/>
      <c r="M1915" s="68">
        <v>1</v>
      </c>
      <c r="N1915" s="68" t="s">
        <v>2359</v>
      </c>
    </row>
    <row r="1916" spans="1:14" ht="14.25" x14ac:dyDescent="0.2">
      <c r="A1916" s="11" t="s">
        <v>8230</v>
      </c>
      <c r="B1916" s="12" t="s">
        <v>3733</v>
      </c>
      <c r="C1916" s="13" t="s">
        <v>3757</v>
      </c>
      <c r="D1916" s="13" t="s">
        <v>3754</v>
      </c>
      <c r="E1916" s="29" t="s">
        <v>5867</v>
      </c>
      <c r="F1916" s="13" t="s">
        <v>4474</v>
      </c>
      <c r="G1916" s="26">
        <v>23</v>
      </c>
      <c r="H1916" s="26"/>
      <c r="I1916" s="26"/>
      <c r="J1916" s="29" t="s">
        <v>1264</v>
      </c>
      <c r="K1916" s="29" t="s">
        <v>5869</v>
      </c>
      <c r="L1916" s="29"/>
      <c r="M1916" s="68">
        <v>1</v>
      </c>
      <c r="N1916" s="68" t="s">
        <v>4362</v>
      </c>
    </row>
    <row r="1917" spans="1:14" ht="14.25" x14ac:dyDescent="0.2">
      <c r="A1917" s="14" t="s">
        <v>8228</v>
      </c>
      <c r="B1917" s="15" t="s">
        <v>1432</v>
      </c>
      <c r="C1917" s="16" t="s">
        <v>3761</v>
      </c>
      <c r="D1917" s="13" t="s">
        <v>3754</v>
      </c>
      <c r="E1917" s="27">
        <v>1854</v>
      </c>
      <c r="F1917" s="16" t="s">
        <v>1541</v>
      </c>
      <c r="G1917" s="26"/>
      <c r="H1917" s="26">
        <v>4</v>
      </c>
      <c r="I1917" s="26"/>
      <c r="J1917" s="27" t="s">
        <v>8218</v>
      </c>
      <c r="K1917" s="27" t="s">
        <v>8229</v>
      </c>
      <c r="L1917" s="29"/>
      <c r="M1917" s="68">
        <v>1</v>
      </c>
      <c r="N1917" s="68" t="s">
        <v>8206</v>
      </c>
    </row>
    <row r="1918" spans="1:14" ht="14.25" x14ac:dyDescent="0.2">
      <c r="A1918" s="14" t="s">
        <v>8228</v>
      </c>
      <c r="B1918" s="15" t="s">
        <v>7815</v>
      </c>
      <c r="C1918" s="16" t="s">
        <v>3761</v>
      </c>
      <c r="D1918" s="13" t="s">
        <v>3754</v>
      </c>
      <c r="E1918" s="27">
        <v>1870</v>
      </c>
      <c r="F1918" s="16" t="s">
        <v>1541</v>
      </c>
      <c r="G1918" s="26"/>
      <c r="H1918" s="26">
        <v>11</v>
      </c>
      <c r="I1918" s="26">
        <v>3</v>
      </c>
      <c r="J1918" s="27" t="s">
        <v>4790</v>
      </c>
      <c r="K1918" s="27" t="s">
        <v>8229</v>
      </c>
      <c r="L1918" s="29"/>
      <c r="M1918" s="68">
        <v>1</v>
      </c>
      <c r="N1918" s="68" t="s">
        <v>8206</v>
      </c>
    </row>
    <row r="1919" spans="1:14" ht="15" x14ac:dyDescent="0.2">
      <c r="A1919" s="11" t="s">
        <v>8228</v>
      </c>
      <c r="B1919" s="12" t="s">
        <v>1809</v>
      </c>
      <c r="C1919" s="13" t="s">
        <v>3754</v>
      </c>
      <c r="D1919" s="13" t="s">
        <v>3754</v>
      </c>
      <c r="E1919" s="29" t="s">
        <v>3480</v>
      </c>
      <c r="F1919" s="13" t="s">
        <v>6268</v>
      </c>
      <c r="G1919" s="13">
        <v>70</v>
      </c>
      <c r="H1919" s="13"/>
      <c r="I1919" s="13"/>
      <c r="J1919" s="29" t="s">
        <v>1271</v>
      </c>
      <c r="K1919" s="29" t="s">
        <v>3482</v>
      </c>
      <c r="L1919" s="58"/>
      <c r="M1919" s="68">
        <v>1</v>
      </c>
      <c r="N1919" s="68" t="s">
        <v>2359</v>
      </c>
    </row>
    <row r="1920" spans="1:14" ht="14.25" x14ac:dyDescent="0.2">
      <c r="A1920" s="14" t="s">
        <v>8228</v>
      </c>
      <c r="B1920" s="15" t="s">
        <v>4702</v>
      </c>
      <c r="C1920" s="16" t="s">
        <v>4712</v>
      </c>
      <c r="D1920" s="13" t="s">
        <v>3754</v>
      </c>
      <c r="E1920" s="27">
        <v>1854</v>
      </c>
      <c r="F1920" s="16" t="s">
        <v>1541</v>
      </c>
      <c r="G1920" s="26">
        <v>20</v>
      </c>
      <c r="H1920" s="26"/>
      <c r="I1920" s="26"/>
      <c r="J1920" s="27" t="s">
        <v>1264</v>
      </c>
      <c r="K1920" s="27" t="s">
        <v>8229</v>
      </c>
      <c r="L1920" s="29"/>
      <c r="M1920" s="68">
        <v>1</v>
      </c>
      <c r="N1920" s="68" t="s">
        <v>8206</v>
      </c>
    </row>
    <row r="1921" spans="1:14" ht="14.25" x14ac:dyDescent="0.2">
      <c r="A1921" s="14" t="s">
        <v>8228</v>
      </c>
      <c r="B1921" s="15" t="s">
        <v>3738</v>
      </c>
      <c r="C1921" s="16" t="s">
        <v>3757</v>
      </c>
      <c r="D1921" s="13" t="s">
        <v>3754</v>
      </c>
      <c r="E1921" s="27" t="s">
        <v>8263</v>
      </c>
      <c r="F1921" s="16" t="s">
        <v>8264</v>
      </c>
      <c r="G1921" s="26">
        <v>30</v>
      </c>
      <c r="H1921" s="26"/>
      <c r="I1921" s="26"/>
      <c r="J1921" s="27" t="s">
        <v>1264</v>
      </c>
      <c r="K1921" s="27" t="s">
        <v>8265</v>
      </c>
      <c r="L1921" s="29"/>
      <c r="M1921" s="68">
        <v>1</v>
      </c>
      <c r="N1921" s="68" t="s">
        <v>8206</v>
      </c>
    </row>
    <row r="1922" spans="1:14" ht="14.25" x14ac:dyDescent="0.2">
      <c r="A1922" s="11" t="s">
        <v>4390</v>
      </c>
      <c r="B1922" s="12" t="s">
        <v>6160</v>
      </c>
      <c r="C1922" s="13" t="s">
        <v>3754</v>
      </c>
      <c r="D1922" s="13" t="s">
        <v>3754</v>
      </c>
      <c r="E1922" s="29" t="s">
        <v>1309</v>
      </c>
      <c r="F1922" s="13" t="s">
        <v>6136</v>
      </c>
      <c r="G1922" s="13"/>
      <c r="H1922" s="13">
        <v>11</v>
      </c>
      <c r="I1922" s="13"/>
      <c r="J1922" s="29" t="s">
        <v>6161</v>
      </c>
      <c r="K1922" s="29" t="s">
        <v>1665</v>
      </c>
      <c r="L1922" s="29"/>
      <c r="M1922" s="68">
        <v>1</v>
      </c>
      <c r="N1922" s="68" t="s">
        <v>2755</v>
      </c>
    </row>
    <row r="1923" spans="1:14" ht="14.25" x14ac:dyDescent="0.2">
      <c r="A1923" s="14" t="s">
        <v>4390</v>
      </c>
      <c r="B1923" s="15" t="s">
        <v>4685</v>
      </c>
      <c r="C1923" s="16" t="s">
        <v>3757</v>
      </c>
      <c r="D1923" s="16" t="s">
        <v>3754</v>
      </c>
      <c r="E1923" s="27" t="s">
        <v>598</v>
      </c>
      <c r="F1923" s="16" t="s">
        <v>5038</v>
      </c>
      <c r="G1923" s="13">
        <v>44</v>
      </c>
      <c r="H1923" s="13"/>
      <c r="I1923" s="13"/>
      <c r="J1923" s="27" t="s">
        <v>1641</v>
      </c>
      <c r="K1923" s="27" t="s">
        <v>599</v>
      </c>
      <c r="L1923" s="29"/>
      <c r="M1923" s="68">
        <v>1</v>
      </c>
      <c r="N1923" s="68" t="s">
        <v>595</v>
      </c>
    </row>
    <row r="1924" spans="1:14" ht="14.25" x14ac:dyDescent="0.2">
      <c r="A1924" s="11" t="s">
        <v>4390</v>
      </c>
      <c r="B1924" s="12" t="s">
        <v>5712</v>
      </c>
      <c r="C1924" s="13" t="s">
        <v>4931</v>
      </c>
      <c r="D1924" s="13" t="s">
        <v>4388</v>
      </c>
      <c r="E1924" s="29"/>
      <c r="F1924" s="13" t="s">
        <v>4931</v>
      </c>
      <c r="G1924" s="26"/>
      <c r="H1924" s="26">
        <v>10</v>
      </c>
      <c r="I1924" s="26">
        <v>14</v>
      </c>
      <c r="J1924" s="29" t="s">
        <v>2595</v>
      </c>
      <c r="K1924" s="29" t="s">
        <v>4391</v>
      </c>
      <c r="L1924" s="29"/>
      <c r="M1924" s="68">
        <v>1</v>
      </c>
      <c r="N1924" s="68" t="s">
        <v>8451</v>
      </c>
    </row>
    <row r="1925" spans="1:14" ht="14.25" x14ac:dyDescent="0.2">
      <c r="A1925" s="11" t="s">
        <v>4390</v>
      </c>
      <c r="B1925" s="12" t="s">
        <v>3733</v>
      </c>
      <c r="C1925" s="16" t="s">
        <v>3761</v>
      </c>
      <c r="D1925" s="13" t="s">
        <v>3754</v>
      </c>
      <c r="E1925" s="72" t="s">
        <v>6135</v>
      </c>
      <c r="F1925" s="13" t="s">
        <v>6136</v>
      </c>
      <c r="G1925" s="26"/>
      <c r="H1925" s="26">
        <v>5</v>
      </c>
      <c r="I1925" s="26"/>
      <c r="J1925" s="29" t="s">
        <v>1277</v>
      </c>
      <c r="K1925" s="72" t="s">
        <v>6137</v>
      </c>
      <c r="L1925" s="29"/>
      <c r="M1925" s="68">
        <v>1</v>
      </c>
      <c r="N1925" s="68" t="s">
        <v>986</v>
      </c>
    </row>
    <row r="1926" spans="1:14" ht="14.25" x14ac:dyDescent="0.2">
      <c r="A1926" s="11" t="s">
        <v>4130</v>
      </c>
      <c r="B1926" s="12" t="s">
        <v>3744</v>
      </c>
      <c r="C1926" s="16" t="s">
        <v>3761</v>
      </c>
      <c r="D1926" s="13" t="s">
        <v>3754</v>
      </c>
      <c r="E1926" s="29" t="s">
        <v>4133</v>
      </c>
      <c r="F1926" s="13" t="s">
        <v>4134</v>
      </c>
      <c r="G1926" s="26"/>
      <c r="H1926" s="26">
        <v>5</v>
      </c>
      <c r="I1926" s="26"/>
      <c r="J1926" s="29" t="s">
        <v>1261</v>
      </c>
      <c r="K1926" s="29" t="s">
        <v>3010</v>
      </c>
      <c r="L1926" s="29"/>
      <c r="M1926" s="68">
        <v>1</v>
      </c>
      <c r="N1926" s="68" t="s">
        <v>4108</v>
      </c>
    </row>
    <row r="1927" spans="1:14" ht="14.25" x14ac:dyDescent="0.2">
      <c r="A1927" s="11" t="s">
        <v>4130</v>
      </c>
      <c r="B1927" s="12" t="s">
        <v>4703</v>
      </c>
      <c r="C1927" s="16" t="s">
        <v>3761</v>
      </c>
      <c r="D1927" s="13" t="s">
        <v>3754</v>
      </c>
      <c r="E1927" s="29" t="s">
        <v>4136</v>
      </c>
      <c r="F1927" s="13" t="s">
        <v>4134</v>
      </c>
      <c r="G1927" s="26"/>
      <c r="H1927" s="26">
        <v>4</v>
      </c>
      <c r="I1927" s="26"/>
      <c r="J1927" s="29" t="s">
        <v>1261</v>
      </c>
      <c r="K1927" s="29" t="s">
        <v>3010</v>
      </c>
      <c r="L1927" s="29"/>
      <c r="M1927" s="68">
        <v>1</v>
      </c>
      <c r="N1927" s="68" t="s">
        <v>4108</v>
      </c>
    </row>
    <row r="1928" spans="1:14" ht="14.25" x14ac:dyDescent="0.2">
      <c r="A1928" s="11" t="s">
        <v>4130</v>
      </c>
      <c r="B1928" s="12" t="s">
        <v>1809</v>
      </c>
      <c r="C1928" s="16" t="s">
        <v>3761</v>
      </c>
      <c r="D1928" s="13" t="s">
        <v>3754</v>
      </c>
      <c r="E1928" s="29" t="s">
        <v>4137</v>
      </c>
      <c r="F1928" s="13" t="s">
        <v>4134</v>
      </c>
      <c r="G1928" s="26"/>
      <c r="H1928" s="26"/>
      <c r="I1928" s="26">
        <v>6</v>
      </c>
      <c r="J1928" s="29" t="s">
        <v>1261</v>
      </c>
      <c r="K1928" s="29" t="s">
        <v>3010</v>
      </c>
      <c r="L1928" s="29"/>
      <c r="M1928" s="68">
        <v>1</v>
      </c>
      <c r="N1928" s="68" t="s">
        <v>4108</v>
      </c>
    </row>
    <row r="1929" spans="1:14" ht="14.25" x14ac:dyDescent="0.2">
      <c r="A1929" s="11" t="s">
        <v>4130</v>
      </c>
      <c r="B1929" s="12" t="s">
        <v>4685</v>
      </c>
      <c r="C1929" s="13" t="s">
        <v>3754</v>
      </c>
      <c r="D1929" s="13" t="s">
        <v>3754</v>
      </c>
      <c r="E1929" s="29" t="s">
        <v>6738</v>
      </c>
      <c r="F1929" s="13" t="s">
        <v>2785</v>
      </c>
      <c r="G1929" s="13">
        <v>5</v>
      </c>
      <c r="H1929" s="13">
        <v>10</v>
      </c>
      <c r="I1929" s="13"/>
      <c r="J1929" s="29" t="s">
        <v>1254</v>
      </c>
      <c r="K1929" s="29" t="s">
        <v>2786</v>
      </c>
      <c r="L1929" s="29"/>
      <c r="M1929" s="68">
        <v>1</v>
      </c>
      <c r="N1929" s="68" t="s">
        <v>2755</v>
      </c>
    </row>
    <row r="1930" spans="1:14" ht="14.25" x14ac:dyDescent="0.2">
      <c r="A1930" s="11" t="s">
        <v>4130</v>
      </c>
      <c r="B1930" s="12" t="s">
        <v>3740</v>
      </c>
      <c r="C1930" s="13" t="s">
        <v>3757</v>
      </c>
      <c r="D1930" s="13" t="s">
        <v>3754</v>
      </c>
      <c r="E1930" s="29" t="s">
        <v>4131</v>
      </c>
      <c r="F1930" s="13" t="s">
        <v>4132</v>
      </c>
      <c r="G1930" s="26">
        <v>30</v>
      </c>
      <c r="H1930" s="26"/>
      <c r="I1930" s="26"/>
      <c r="J1930" s="29" t="s">
        <v>1272</v>
      </c>
      <c r="K1930" s="29" t="s">
        <v>3010</v>
      </c>
      <c r="L1930" s="29"/>
      <c r="M1930" s="68">
        <v>1</v>
      </c>
      <c r="N1930" s="68" t="s">
        <v>4108</v>
      </c>
    </row>
    <row r="1931" spans="1:14" ht="14.25" x14ac:dyDescent="0.2">
      <c r="A1931" s="11" t="s">
        <v>4130</v>
      </c>
      <c r="B1931" s="12" t="s">
        <v>3746</v>
      </c>
      <c r="C1931" s="13" t="s">
        <v>3757</v>
      </c>
      <c r="D1931" s="13" t="s">
        <v>3754</v>
      </c>
      <c r="E1931" s="29" t="s">
        <v>6761</v>
      </c>
      <c r="F1931" s="13" t="s">
        <v>6179</v>
      </c>
      <c r="G1931" s="13">
        <v>42</v>
      </c>
      <c r="H1931" s="13"/>
      <c r="I1931" s="13"/>
      <c r="J1931" s="29" t="s">
        <v>1264</v>
      </c>
      <c r="K1931" s="29" t="s">
        <v>3991</v>
      </c>
      <c r="L1931" s="29"/>
      <c r="M1931" s="68">
        <v>1</v>
      </c>
      <c r="N1931" s="68" t="s">
        <v>2755</v>
      </c>
    </row>
    <row r="1932" spans="1:14" ht="14.25" x14ac:dyDescent="0.2">
      <c r="A1932" s="11" t="s">
        <v>550</v>
      </c>
      <c r="B1932" s="12" t="s">
        <v>1432</v>
      </c>
      <c r="C1932" s="13" t="s">
        <v>3757</v>
      </c>
      <c r="D1932" s="13" t="s">
        <v>3754</v>
      </c>
      <c r="E1932" s="29" t="s">
        <v>551</v>
      </c>
      <c r="F1932" s="13" t="s">
        <v>552</v>
      </c>
      <c r="G1932" s="26">
        <v>72</v>
      </c>
      <c r="H1932" s="26"/>
      <c r="I1932" s="26"/>
      <c r="J1932" s="29"/>
      <c r="K1932" s="29" t="s">
        <v>549</v>
      </c>
      <c r="L1932" s="29"/>
      <c r="M1932" s="68">
        <v>1</v>
      </c>
      <c r="N1932" s="68" t="s">
        <v>1129</v>
      </c>
    </row>
    <row r="1933" spans="1:14" ht="14.25" x14ac:dyDescent="0.2">
      <c r="A1933" s="11" t="s">
        <v>889</v>
      </c>
      <c r="B1933" s="12" t="s">
        <v>5029</v>
      </c>
      <c r="C1933" s="27" t="s">
        <v>3767</v>
      </c>
      <c r="D1933" s="13" t="s">
        <v>3765</v>
      </c>
      <c r="E1933" s="72" t="s">
        <v>2898</v>
      </c>
      <c r="F1933" s="13" t="s">
        <v>988</v>
      </c>
      <c r="G1933" s="26">
        <v>15</v>
      </c>
      <c r="H1933" s="26"/>
      <c r="I1933" s="26"/>
      <c r="J1933" s="29" t="s">
        <v>1264</v>
      </c>
      <c r="K1933" s="72" t="s">
        <v>890</v>
      </c>
      <c r="L1933" s="29"/>
      <c r="M1933" s="68">
        <v>1</v>
      </c>
      <c r="N1933" s="68" t="s">
        <v>986</v>
      </c>
    </row>
    <row r="1934" spans="1:14" ht="15" x14ac:dyDescent="0.2">
      <c r="A1934" s="14" t="s">
        <v>889</v>
      </c>
      <c r="B1934" s="15" t="s">
        <v>2741</v>
      </c>
      <c r="C1934" s="16" t="s">
        <v>3754</v>
      </c>
      <c r="D1934" s="27" t="s">
        <v>3754</v>
      </c>
      <c r="E1934" s="27" t="s">
        <v>6552</v>
      </c>
      <c r="F1934" s="27" t="s">
        <v>2742</v>
      </c>
      <c r="G1934" s="13">
        <v>25</v>
      </c>
      <c r="H1934" s="13"/>
      <c r="I1934" s="13"/>
      <c r="J1934" s="27" t="s">
        <v>1264</v>
      </c>
      <c r="K1934" s="96" t="s">
        <v>2743</v>
      </c>
      <c r="L1934" s="100"/>
      <c r="M1934" s="68">
        <v>1</v>
      </c>
      <c r="N1934" s="68" t="s">
        <v>6124</v>
      </c>
    </row>
    <row r="1935" spans="1:14" ht="14.25" x14ac:dyDescent="0.2">
      <c r="A1935" s="11" t="s">
        <v>8128</v>
      </c>
      <c r="B1935" s="12" t="s">
        <v>207</v>
      </c>
      <c r="C1935" s="13" t="s">
        <v>5699</v>
      </c>
      <c r="D1935" s="13" t="s">
        <v>5699</v>
      </c>
      <c r="E1935" s="29" t="s">
        <v>6730</v>
      </c>
      <c r="F1935" s="13" t="s">
        <v>1069</v>
      </c>
      <c r="G1935" s="26">
        <v>2</v>
      </c>
      <c r="H1935" s="26"/>
      <c r="I1935" s="26"/>
      <c r="J1935" s="29" t="s">
        <v>5190</v>
      </c>
      <c r="K1935" s="29" t="s">
        <v>1070</v>
      </c>
      <c r="L1935" s="29"/>
      <c r="M1935" s="68">
        <v>1</v>
      </c>
      <c r="N1935" s="68" t="s">
        <v>4363</v>
      </c>
    </row>
    <row r="1936" spans="1:14" ht="14.25" x14ac:dyDescent="0.2">
      <c r="A1936" s="14" t="s">
        <v>8128</v>
      </c>
      <c r="B1936" s="15" t="s">
        <v>3723</v>
      </c>
      <c r="C1936" s="16" t="s">
        <v>4887</v>
      </c>
      <c r="D1936" s="16" t="s">
        <v>8129</v>
      </c>
      <c r="E1936" s="27" t="s">
        <v>8130</v>
      </c>
      <c r="F1936" s="16" t="s">
        <v>8129</v>
      </c>
      <c r="G1936" s="26">
        <v>2</v>
      </c>
      <c r="H1936" s="26"/>
      <c r="I1936" s="26"/>
      <c r="J1936" s="27" t="s">
        <v>1254</v>
      </c>
      <c r="K1936" s="27" t="s">
        <v>8131</v>
      </c>
      <c r="L1936" s="29"/>
      <c r="M1936" s="68">
        <v>1</v>
      </c>
      <c r="N1936" s="68" t="s">
        <v>491</v>
      </c>
    </row>
    <row r="1937" spans="1:14" ht="14.25" x14ac:dyDescent="0.2">
      <c r="A1937" s="11" t="s">
        <v>8128</v>
      </c>
      <c r="B1937" s="12" t="s">
        <v>4701</v>
      </c>
      <c r="C1937" s="13" t="s">
        <v>3757</v>
      </c>
      <c r="D1937" s="13" t="s">
        <v>3754</v>
      </c>
      <c r="E1937" s="29" t="s">
        <v>8740</v>
      </c>
      <c r="F1937" s="13" t="s">
        <v>4495</v>
      </c>
      <c r="G1937" s="26">
        <v>74</v>
      </c>
      <c r="H1937" s="26"/>
      <c r="I1937" s="26"/>
      <c r="J1937" s="29" t="s">
        <v>4496</v>
      </c>
      <c r="K1937" s="29" t="s">
        <v>8742</v>
      </c>
      <c r="L1937" s="29"/>
      <c r="M1937" s="68">
        <v>1</v>
      </c>
      <c r="N1937" s="68" t="s">
        <v>4362</v>
      </c>
    </row>
    <row r="1938" spans="1:14" ht="14.25" x14ac:dyDescent="0.2">
      <c r="A1938" s="14" t="s">
        <v>655</v>
      </c>
      <c r="B1938" s="15" t="s">
        <v>5659</v>
      </c>
      <c r="C1938" s="16" t="s">
        <v>3754</v>
      </c>
      <c r="D1938" s="16" t="s">
        <v>3754</v>
      </c>
      <c r="E1938" s="27" t="s">
        <v>653</v>
      </c>
      <c r="F1938" s="16" t="s">
        <v>656</v>
      </c>
      <c r="G1938" s="13"/>
      <c r="H1938" s="13">
        <v>6</v>
      </c>
      <c r="I1938" s="13"/>
      <c r="J1938" s="27" t="s">
        <v>4790</v>
      </c>
      <c r="K1938" s="27" t="s">
        <v>2067</v>
      </c>
      <c r="L1938" s="29"/>
      <c r="M1938" s="68">
        <v>1</v>
      </c>
      <c r="N1938" s="68" t="s">
        <v>595</v>
      </c>
    </row>
    <row r="1939" spans="1:14" ht="14.25" x14ac:dyDescent="0.2">
      <c r="A1939" s="11" t="s">
        <v>912</v>
      </c>
      <c r="B1939" s="12" t="s">
        <v>7816</v>
      </c>
      <c r="C1939" s="13" t="s">
        <v>4885</v>
      </c>
      <c r="D1939" s="13" t="s">
        <v>3754</v>
      </c>
      <c r="E1939" s="72" t="s">
        <v>913</v>
      </c>
      <c r="F1939" s="13" t="s">
        <v>811</v>
      </c>
      <c r="G1939" s="26">
        <v>83</v>
      </c>
      <c r="H1939" s="26">
        <v>4</v>
      </c>
      <c r="I1939" s="26"/>
      <c r="J1939" s="29" t="s">
        <v>914</v>
      </c>
      <c r="K1939" s="72" t="s">
        <v>4551</v>
      </c>
      <c r="L1939" s="29"/>
      <c r="M1939" s="68">
        <v>1</v>
      </c>
      <c r="N1939" s="68" t="s">
        <v>986</v>
      </c>
    </row>
    <row r="1940" spans="1:14" ht="14.25" x14ac:dyDescent="0.2">
      <c r="A1940" s="11" t="s">
        <v>1121</v>
      </c>
      <c r="B1940" s="12" t="s">
        <v>1122</v>
      </c>
      <c r="C1940" s="13" t="s">
        <v>2531</v>
      </c>
      <c r="D1940" s="13" t="s">
        <v>3754</v>
      </c>
      <c r="E1940" s="29" t="s">
        <v>1123</v>
      </c>
      <c r="F1940" s="13" t="s">
        <v>1124</v>
      </c>
      <c r="G1940" s="26">
        <v>59</v>
      </c>
      <c r="H1940" s="26"/>
      <c r="I1940" s="26"/>
      <c r="J1940" s="29" t="s">
        <v>1264</v>
      </c>
      <c r="K1940" s="29" t="s">
        <v>1125</v>
      </c>
      <c r="L1940" s="29"/>
      <c r="M1940" s="68">
        <v>1</v>
      </c>
      <c r="N1940" s="68" t="s">
        <v>4363</v>
      </c>
    </row>
    <row r="1941" spans="1:14" ht="14.25" x14ac:dyDescent="0.2">
      <c r="A1941" s="11" t="s">
        <v>4454</v>
      </c>
      <c r="B1941" s="12" t="s">
        <v>5659</v>
      </c>
      <c r="C1941" s="16" t="s">
        <v>3761</v>
      </c>
      <c r="D1941" s="13" t="s">
        <v>3754</v>
      </c>
      <c r="E1941" s="72" t="s">
        <v>887</v>
      </c>
      <c r="F1941" s="13" t="s">
        <v>888</v>
      </c>
      <c r="G1941" s="26"/>
      <c r="H1941" s="26"/>
      <c r="I1941" s="26">
        <v>3</v>
      </c>
      <c r="J1941" s="29" t="s">
        <v>2679</v>
      </c>
      <c r="K1941" s="72" t="s">
        <v>887</v>
      </c>
      <c r="L1941" s="29"/>
      <c r="M1941" s="68">
        <v>1</v>
      </c>
      <c r="N1941" s="68" t="s">
        <v>986</v>
      </c>
    </row>
    <row r="1942" spans="1:14" ht="14.25" x14ac:dyDescent="0.2">
      <c r="A1942" s="9" t="s">
        <v>4454</v>
      </c>
      <c r="B1942" s="5" t="s">
        <v>5659</v>
      </c>
      <c r="C1942" s="19" t="s">
        <v>3761</v>
      </c>
      <c r="D1942" s="13" t="s">
        <v>3754</v>
      </c>
      <c r="E1942" s="55" t="s">
        <v>4455</v>
      </c>
      <c r="F1942" s="10" t="s">
        <v>4456</v>
      </c>
      <c r="G1942" s="8"/>
      <c r="H1942" s="8">
        <v>9</v>
      </c>
      <c r="I1942" s="8"/>
      <c r="J1942" s="55" t="s">
        <v>1254</v>
      </c>
      <c r="K1942" s="55" t="s">
        <v>5552</v>
      </c>
      <c r="L1942" s="61"/>
      <c r="M1942" s="68">
        <v>1</v>
      </c>
      <c r="N1942" s="68" t="s">
        <v>4362</v>
      </c>
    </row>
    <row r="1943" spans="1:14" ht="14.25" x14ac:dyDescent="0.2">
      <c r="A1943" s="9" t="s">
        <v>4454</v>
      </c>
      <c r="B1943" s="5" t="s">
        <v>7817</v>
      </c>
      <c r="C1943" s="10" t="s">
        <v>4457</v>
      </c>
      <c r="D1943" s="13" t="s">
        <v>3754</v>
      </c>
      <c r="E1943" s="55" t="s">
        <v>4455</v>
      </c>
      <c r="F1943" s="10" t="s">
        <v>4456</v>
      </c>
      <c r="G1943" s="8">
        <v>2</v>
      </c>
      <c r="H1943" s="8"/>
      <c r="I1943" s="8"/>
      <c r="J1943" s="55" t="s">
        <v>1254</v>
      </c>
      <c r="K1943" s="55" t="s">
        <v>5552</v>
      </c>
      <c r="L1943" s="61"/>
      <c r="M1943" s="68">
        <v>1</v>
      </c>
      <c r="N1943" s="68" t="s">
        <v>4362</v>
      </c>
    </row>
    <row r="1944" spans="1:14" ht="15" x14ac:dyDescent="0.2">
      <c r="A1944" s="11" t="s">
        <v>8223</v>
      </c>
      <c r="B1944" s="12" t="s">
        <v>4547</v>
      </c>
      <c r="C1944" s="13" t="s">
        <v>3754</v>
      </c>
      <c r="D1944" s="13" t="s">
        <v>3754</v>
      </c>
      <c r="E1944" s="29" t="s">
        <v>5848</v>
      </c>
      <c r="F1944" s="13" t="s">
        <v>5849</v>
      </c>
      <c r="G1944" s="21">
        <v>1</v>
      </c>
      <c r="H1944" s="21">
        <v>7</v>
      </c>
      <c r="I1944" s="21"/>
      <c r="J1944" s="29" t="s">
        <v>1261</v>
      </c>
      <c r="K1944" s="29" t="s">
        <v>8225</v>
      </c>
      <c r="L1944" s="58"/>
      <c r="M1944" s="68">
        <v>1</v>
      </c>
      <c r="N1944" s="68" t="s">
        <v>2359</v>
      </c>
    </row>
    <row r="1945" spans="1:14" ht="14.25" x14ac:dyDescent="0.2">
      <c r="A1945" s="14" t="s">
        <v>8223</v>
      </c>
      <c r="B1945" s="15" t="s">
        <v>4702</v>
      </c>
      <c r="C1945" s="16" t="s">
        <v>3761</v>
      </c>
      <c r="D1945" s="13" t="s">
        <v>3754</v>
      </c>
      <c r="E1945" s="27" t="s">
        <v>8224</v>
      </c>
      <c r="F1945" s="16" t="s">
        <v>1541</v>
      </c>
      <c r="G1945" s="8">
        <v>4</v>
      </c>
      <c r="H1945" s="8">
        <v>8</v>
      </c>
      <c r="I1945" s="8"/>
      <c r="J1945" s="27" t="s">
        <v>1261</v>
      </c>
      <c r="K1945" s="27" t="s">
        <v>8225</v>
      </c>
      <c r="L1945" s="29"/>
      <c r="M1945" s="68">
        <v>1</v>
      </c>
      <c r="N1945" s="68" t="s">
        <v>8206</v>
      </c>
    </row>
    <row r="1946" spans="1:14" ht="28.5" x14ac:dyDescent="0.2">
      <c r="A1946" s="14" t="s">
        <v>8223</v>
      </c>
      <c r="B1946" s="15" t="s">
        <v>5073</v>
      </c>
      <c r="C1946" s="16" t="s">
        <v>3757</v>
      </c>
      <c r="D1946" s="16" t="s">
        <v>3754</v>
      </c>
      <c r="E1946" s="72" t="s">
        <v>5301</v>
      </c>
      <c r="F1946" s="16" t="s">
        <v>5820</v>
      </c>
      <c r="G1946" s="8">
        <v>62</v>
      </c>
      <c r="H1946" s="8"/>
      <c r="I1946" s="8"/>
      <c r="J1946" s="27" t="s">
        <v>5284</v>
      </c>
      <c r="K1946" s="72" t="s">
        <v>5821</v>
      </c>
      <c r="L1946" s="95"/>
      <c r="M1946" s="68">
        <v>1</v>
      </c>
      <c r="N1946" s="68" t="s">
        <v>878</v>
      </c>
    </row>
    <row r="1947" spans="1:14" ht="14.25" x14ac:dyDescent="0.2">
      <c r="A1947" s="14" t="s">
        <v>8223</v>
      </c>
      <c r="B1947" s="15" t="s">
        <v>1720</v>
      </c>
      <c r="C1947" s="16" t="s">
        <v>3761</v>
      </c>
      <c r="D1947" s="13" t="s">
        <v>3754</v>
      </c>
      <c r="E1947" s="27">
        <v>1843</v>
      </c>
      <c r="F1947" s="16" t="s">
        <v>1541</v>
      </c>
      <c r="G1947" s="8"/>
      <c r="H1947" s="8">
        <v>7</v>
      </c>
      <c r="I1947" s="8"/>
      <c r="J1947" s="27" t="s">
        <v>1261</v>
      </c>
      <c r="K1947" s="27" t="s">
        <v>8225</v>
      </c>
      <c r="L1947" s="29"/>
      <c r="M1947" s="68">
        <v>1</v>
      </c>
      <c r="N1947" s="68" t="s">
        <v>8206</v>
      </c>
    </row>
    <row r="1948" spans="1:14" ht="14.25" x14ac:dyDescent="0.2">
      <c r="A1948" s="14" t="s">
        <v>8223</v>
      </c>
      <c r="B1948" s="15" t="s">
        <v>8616</v>
      </c>
      <c r="C1948" s="16" t="s">
        <v>3757</v>
      </c>
      <c r="D1948" s="13" t="s">
        <v>3754</v>
      </c>
      <c r="E1948" s="27">
        <v>1854</v>
      </c>
      <c r="F1948" s="16" t="s">
        <v>1541</v>
      </c>
      <c r="G1948" s="8">
        <v>44</v>
      </c>
      <c r="H1948" s="8"/>
      <c r="I1948" s="8"/>
      <c r="J1948" s="27" t="s">
        <v>1270</v>
      </c>
      <c r="K1948" s="27" t="s">
        <v>8225</v>
      </c>
      <c r="L1948" s="29"/>
      <c r="M1948" s="68">
        <v>1</v>
      </c>
      <c r="N1948" s="68" t="s">
        <v>8206</v>
      </c>
    </row>
    <row r="1949" spans="1:14" ht="14.25" x14ac:dyDescent="0.2">
      <c r="A1949" s="14" t="s">
        <v>8223</v>
      </c>
      <c r="B1949" s="15" t="s">
        <v>7818</v>
      </c>
      <c r="C1949" s="16" t="s">
        <v>3761</v>
      </c>
      <c r="D1949" s="13" t="s">
        <v>3754</v>
      </c>
      <c r="E1949" s="27">
        <v>1870</v>
      </c>
      <c r="F1949" s="16" t="s">
        <v>1541</v>
      </c>
      <c r="G1949" s="8">
        <v>23</v>
      </c>
      <c r="H1949" s="8">
        <v>1</v>
      </c>
      <c r="I1949" s="8"/>
      <c r="J1949" s="27" t="s">
        <v>5631</v>
      </c>
      <c r="K1949" s="27" t="s">
        <v>8225</v>
      </c>
      <c r="L1949" s="29"/>
      <c r="M1949" s="68">
        <v>1</v>
      </c>
      <c r="N1949" s="68" t="s">
        <v>8206</v>
      </c>
    </row>
    <row r="1950" spans="1:14" ht="15" x14ac:dyDescent="0.2">
      <c r="A1950" s="14" t="s">
        <v>2751</v>
      </c>
      <c r="B1950" s="15" t="s">
        <v>1432</v>
      </c>
      <c r="C1950" s="16" t="s">
        <v>3754</v>
      </c>
      <c r="D1950" s="27" t="s">
        <v>3754</v>
      </c>
      <c r="E1950" s="27" t="s">
        <v>3666</v>
      </c>
      <c r="F1950" s="27" t="s">
        <v>2752</v>
      </c>
      <c r="G1950" s="21">
        <v>35</v>
      </c>
      <c r="H1950" s="21"/>
      <c r="I1950" s="21"/>
      <c r="J1950" s="27" t="s">
        <v>2335</v>
      </c>
      <c r="K1950" s="96" t="s">
        <v>2753</v>
      </c>
      <c r="L1950" s="100"/>
      <c r="M1950" s="68">
        <v>1</v>
      </c>
      <c r="N1950" s="68" t="s">
        <v>6124</v>
      </c>
    </row>
    <row r="1951" spans="1:14" ht="14.25" x14ac:dyDescent="0.2">
      <c r="A1951" s="11" t="s">
        <v>4443</v>
      </c>
      <c r="B1951" s="12" t="s">
        <v>3748</v>
      </c>
      <c r="C1951" s="13" t="s">
        <v>3754</v>
      </c>
      <c r="D1951" s="13" t="s">
        <v>3754</v>
      </c>
      <c r="E1951" s="29" t="s">
        <v>1064</v>
      </c>
      <c r="F1951" s="13" t="s">
        <v>1065</v>
      </c>
      <c r="G1951" s="8">
        <v>5</v>
      </c>
      <c r="H1951" s="8"/>
      <c r="I1951" s="8"/>
      <c r="J1951" s="29" t="s">
        <v>6927</v>
      </c>
      <c r="K1951" s="29" t="s">
        <v>6730</v>
      </c>
      <c r="L1951" s="29"/>
      <c r="M1951" s="68">
        <v>1</v>
      </c>
      <c r="N1951" s="68" t="s">
        <v>4363</v>
      </c>
    </row>
    <row r="1952" spans="1:14" ht="14.25" x14ac:dyDescent="0.2">
      <c r="A1952" s="11" t="s">
        <v>4443</v>
      </c>
      <c r="B1952" s="12" t="s">
        <v>1432</v>
      </c>
      <c r="C1952" s="13" t="s">
        <v>3757</v>
      </c>
      <c r="D1952" s="13" t="s">
        <v>3754</v>
      </c>
      <c r="E1952" s="29" t="s">
        <v>1783</v>
      </c>
      <c r="F1952" s="13" t="s">
        <v>4444</v>
      </c>
      <c r="G1952" s="8">
        <v>35</v>
      </c>
      <c r="H1952" s="8"/>
      <c r="I1952" s="8"/>
      <c r="J1952" s="29" t="s">
        <v>1264</v>
      </c>
      <c r="K1952" s="29"/>
      <c r="L1952" s="29"/>
      <c r="M1952" s="68">
        <v>1</v>
      </c>
      <c r="N1952" s="68" t="s">
        <v>8451</v>
      </c>
    </row>
    <row r="1953" spans="1:14" ht="15" x14ac:dyDescent="0.2">
      <c r="A1953" s="11" t="s">
        <v>4443</v>
      </c>
      <c r="B1953" s="12" t="s">
        <v>5712</v>
      </c>
      <c r="C1953" s="13" t="s">
        <v>3757</v>
      </c>
      <c r="D1953" s="13" t="s">
        <v>3754</v>
      </c>
      <c r="E1953" s="29" t="s">
        <v>6114</v>
      </c>
      <c r="F1953" s="13" t="s">
        <v>6115</v>
      </c>
      <c r="G1953" s="21">
        <v>47</v>
      </c>
      <c r="H1953" s="21"/>
      <c r="I1953" s="21"/>
      <c r="J1953" s="29" t="s">
        <v>1264</v>
      </c>
      <c r="K1953" s="29" t="s">
        <v>6116</v>
      </c>
      <c r="L1953" s="58"/>
      <c r="M1953" s="68">
        <v>1</v>
      </c>
      <c r="N1953" s="68" t="s">
        <v>2359</v>
      </c>
    </row>
    <row r="1954" spans="1:14" ht="14.25" x14ac:dyDescent="0.2">
      <c r="A1954" s="11" t="s">
        <v>4443</v>
      </c>
      <c r="B1954" s="12" t="s">
        <v>3732</v>
      </c>
      <c r="C1954" s="13" t="s">
        <v>3754</v>
      </c>
      <c r="D1954" s="13" t="s">
        <v>3754</v>
      </c>
      <c r="E1954" s="29" t="s">
        <v>1064</v>
      </c>
      <c r="F1954" s="13" t="s">
        <v>1065</v>
      </c>
      <c r="G1954" s="8">
        <v>3</v>
      </c>
      <c r="H1954" s="8">
        <v>6</v>
      </c>
      <c r="I1954" s="8"/>
      <c r="J1954" s="29" t="s">
        <v>6927</v>
      </c>
      <c r="K1954" s="29" t="s">
        <v>6730</v>
      </c>
      <c r="L1954" s="29"/>
      <c r="M1954" s="68">
        <v>1</v>
      </c>
      <c r="N1954" s="68" t="s">
        <v>4363</v>
      </c>
    </row>
    <row r="1955" spans="1:14" ht="28.5" x14ac:dyDescent="0.2">
      <c r="A1955" s="11" t="s">
        <v>2094</v>
      </c>
      <c r="B1955" s="12" t="s">
        <v>5044</v>
      </c>
      <c r="C1955" s="13" t="s">
        <v>4931</v>
      </c>
      <c r="D1955" s="13" t="s">
        <v>730</v>
      </c>
      <c r="E1955" s="29" t="s">
        <v>2280</v>
      </c>
      <c r="F1955" s="13" t="s">
        <v>4931</v>
      </c>
      <c r="G1955" s="21">
        <v>3</v>
      </c>
      <c r="H1955" s="21">
        <v>8</v>
      </c>
      <c r="I1955" s="21"/>
      <c r="J1955" s="29" t="s">
        <v>7319</v>
      </c>
      <c r="K1955" s="29" t="s">
        <v>731</v>
      </c>
      <c r="L1955" s="29"/>
      <c r="M1955" s="68">
        <v>1</v>
      </c>
      <c r="N1955" s="68" t="s">
        <v>726</v>
      </c>
    </row>
    <row r="1956" spans="1:14" ht="14.25" x14ac:dyDescent="0.2">
      <c r="A1956" s="11" t="s">
        <v>2094</v>
      </c>
      <c r="B1956" s="12" t="s">
        <v>3734</v>
      </c>
      <c r="C1956" s="16" t="s">
        <v>3761</v>
      </c>
      <c r="D1956" s="13" t="s">
        <v>7175</v>
      </c>
      <c r="E1956" s="29" t="s">
        <v>370</v>
      </c>
      <c r="F1956" s="13" t="s">
        <v>371</v>
      </c>
      <c r="G1956" s="8">
        <v>30</v>
      </c>
      <c r="H1956" s="8">
        <v>3</v>
      </c>
      <c r="I1956" s="8"/>
      <c r="J1956" s="29" t="s">
        <v>1264</v>
      </c>
      <c r="K1956" s="29" t="s">
        <v>372</v>
      </c>
      <c r="L1956" s="29"/>
      <c r="M1956" s="68">
        <v>1</v>
      </c>
      <c r="N1956" s="68" t="s">
        <v>4108</v>
      </c>
    </row>
    <row r="1957" spans="1:14" ht="14.25" x14ac:dyDescent="0.2">
      <c r="A1957" s="11" t="s">
        <v>2094</v>
      </c>
      <c r="B1957" s="12" t="s">
        <v>3734</v>
      </c>
      <c r="C1957" s="13" t="s">
        <v>3757</v>
      </c>
      <c r="D1957" s="13" t="s">
        <v>3754</v>
      </c>
      <c r="E1957" s="72" t="s">
        <v>3428</v>
      </c>
      <c r="F1957" s="13" t="s">
        <v>898</v>
      </c>
      <c r="G1957" s="8">
        <v>62</v>
      </c>
      <c r="H1957" s="8"/>
      <c r="I1957" s="8"/>
      <c r="J1957" s="29" t="s">
        <v>1277</v>
      </c>
      <c r="K1957" s="72" t="s">
        <v>899</v>
      </c>
      <c r="L1957" s="29"/>
      <c r="M1957" s="68">
        <v>1</v>
      </c>
      <c r="N1957" s="68" t="s">
        <v>986</v>
      </c>
    </row>
    <row r="1958" spans="1:14" ht="14.25" x14ac:dyDescent="0.2">
      <c r="A1958" s="11" t="s">
        <v>2094</v>
      </c>
      <c r="B1958" s="12" t="s">
        <v>4908</v>
      </c>
      <c r="C1958" s="13" t="s">
        <v>4931</v>
      </c>
      <c r="D1958" s="13" t="s">
        <v>1464</v>
      </c>
      <c r="E1958" s="29" t="s">
        <v>4911</v>
      </c>
      <c r="F1958" s="13" t="s">
        <v>4931</v>
      </c>
      <c r="G1958" s="21">
        <v>5</v>
      </c>
      <c r="H1958" s="21"/>
      <c r="I1958" s="21"/>
      <c r="J1958" s="29" t="s">
        <v>7319</v>
      </c>
      <c r="K1958" s="29" t="s">
        <v>4911</v>
      </c>
      <c r="L1958" s="29"/>
      <c r="M1958" s="68">
        <v>1</v>
      </c>
      <c r="N1958" s="68" t="s">
        <v>726</v>
      </c>
    </row>
    <row r="1959" spans="1:14" ht="28.5" x14ac:dyDescent="0.2">
      <c r="A1959" s="11" t="s">
        <v>2094</v>
      </c>
      <c r="B1959" s="12" t="s">
        <v>4685</v>
      </c>
      <c r="C1959" s="13" t="s">
        <v>4931</v>
      </c>
      <c r="D1959" s="13" t="s">
        <v>730</v>
      </c>
      <c r="E1959" s="29" t="s">
        <v>2280</v>
      </c>
      <c r="F1959" s="13" t="s">
        <v>4931</v>
      </c>
      <c r="G1959" s="21">
        <v>8</v>
      </c>
      <c r="H1959" s="21"/>
      <c r="I1959" s="21"/>
      <c r="J1959" s="29" t="s">
        <v>7319</v>
      </c>
      <c r="K1959" s="29" t="s">
        <v>731</v>
      </c>
      <c r="L1959" s="29"/>
      <c r="M1959" s="68">
        <v>1</v>
      </c>
      <c r="N1959" s="68" t="s">
        <v>726</v>
      </c>
    </row>
    <row r="1960" spans="1:14" ht="14.25" x14ac:dyDescent="0.2">
      <c r="A1960" s="11" t="s">
        <v>2094</v>
      </c>
      <c r="B1960" s="12" t="s">
        <v>5073</v>
      </c>
      <c r="C1960" s="16" t="s">
        <v>3761</v>
      </c>
      <c r="D1960" s="13" t="s">
        <v>3754</v>
      </c>
      <c r="E1960" s="72" t="s">
        <v>335</v>
      </c>
      <c r="F1960" s="13" t="s">
        <v>1541</v>
      </c>
      <c r="G1960" s="8">
        <v>27</v>
      </c>
      <c r="H1960" s="8"/>
      <c r="I1960" s="8"/>
      <c r="J1960" s="29" t="s">
        <v>1264</v>
      </c>
      <c r="K1960" s="72"/>
      <c r="L1960" s="29"/>
      <c r="M1960" s="68">
        <v>1</v>
      </c>
      <c r="N1960" s="68" t="s">
        <v>795</v>
      </c>
    </row>
    <row r="1961" spans="1:14" ht="14.25" x14ac:dyDescent="0.2">
      <c r="A1961" s="14" t="s">
        <v>2094</v>
      </c>
      <c r="B1961" s="15" t="s">
        <v>4687</v>
      </c>
      <c r="C1961" s="16" t="s">
        <v>3754</v>
      </c>
      <c r="D1961" s="16" t="s">
        <v>3754</v>
      </c>
      <c r="E1961" s="72" t="s">
        <v>5823</v>
      </c>
      <c r="F1961" s="16" t="s">
        <v>5824</v>
      </c>
      <c r="G1961" s="8">
        <v>8</v>
      </c>
      <c r="H1961" s="8">
        <v>5</v>
      </c>
      <c r="I1961" s="8"/>
      <c r="J1961" s="27" t="s">
        <v>5825</v>
      </c>
      <c r="K1961" s="72" t="s">
        <v>3437</v>
      </c>
      <c r="L1961" s="95"/>
      <c r="M1961" s="68">
        <v>1</v>
      </c>
      <c r="N1961" s="68" t="s">
        <v>878</v>
      </c>
    </row>
    <row r="1962" spans="1:14" ht="14.25" x14ac:dyDescent="0.2">
      <c r="A1962" s="14" t="s">
        <v>2094</v>
      </c>
      <c r="B1962" s="15" t="s">
        <v>2071</v>
      </c>
      <c r="C1962" s="16" t="s">
        <v>3754</v>
      </c>
      <c r="D1962" s="16" t="s">
        <v>3754</v>
      </c>
      <c r="E1962" s="72" t="s">
        <v>5817</v>
      </c>
      <c r="F1962" s="16" t="s">
        <v>5818</v>
      </c>
      <c r="G1962" s="8">
        <v>12</v>
      </c>
      <c r="H1962" s="8"/>
      <c r="I1962" s="8"/>
      <c r="J1962" s="27" t="s">
        <v>7319</v>
      </c>
      <c r="K1962" s="72" t="s">
        <v>5819</v>
      </c>
      <c r="L1962" s="95"/>
      <c r="M1962" s="68">
        <v>1</v>
      </c>
      <c r="N1962" s="68" t="s">
        <v>878</v>
      </c>
    </row>
    <row r="1963" spans="1:14" ht="14.25" x14ac:dyDescent="0.2">
      <c r="A1963" s="11" t="s">
        <v>2094</v>
      </c>
      <c r="B1963" s="12" t="s">
        <v>3723</v>
      </c>
      <c r="C1963" s="13" t="s">
        <v>732</v>
      </c>
      <c r="D1963" s="13" t="s">
        <v>1464</v>
      </c>
      <c r="E1963" s="29" t="s">
        <v>733</v>
      </c>
      <c r="F1963" s="13"/>
      <c r="G1963" s="21">
        <v>13</v>
      </c>
      <c r="H1963" s="21">
        <v>11</v>
      </c>
      <c r="I1963" s="21">
        <v>5</v>
      </c>
      <c r="J1963" s="29" t="s">
        <v>7319</v>
      </c>
      <c r="K1963" s="29">
        <v>1876</v>
      </c>
      <c r="L1963" s="29"/>
      <c r="M1963" s="68">
        <v>1</v>
      </c>
      <c r="N1963" s="68" t="s">
        <v>726</v>
      </c>
    </row>
    <row r="1964" spans="1:14" ht="28.5" x14ac:dyDescent="0.2">
      <c r="A1964" s="11" t="s">
        <v>2094</v>
      </c>
      <c r="B1964" s="12" t="s">
        <v>4701</v>
      </c>
      <c r="C1964" s="13" t="s">
        <v>3757</v>
      </c>
      <c r="D1964" s="13" t="s">
        <v>1464</v>
      </c>
      <c r="E1964" s="29" t="s">
        <v>728</v>
      </c>
      <c r="F1964" s="13" t="s">
        <v>4931</v>
      </c>
      <c r="G1964" s="21">
        <v>36</v>
      </c>
      <c r="H1964" s="21"/>
      <c r="I1964" s="21"/>
      <c r="J1964" s="29" t="s">
        <v>729</v>
      </c>
      <c r="K1964" s="29">
        <v>1876</v>
      </c>
      <c r="L1964" s="29"/>
      <c r="M1964" s="68">
        <v>1</v>
      </c>
      <c r="N1964" s="68" t="s">
        <v>726</v>
      </c>
    </row>
    <row r="1965" spans="1:14" ht="14.25" x14ac:dyDescent="0.2">
      <c r="A1965" s="11" t="s">
        <v>2094</v>
      </c>
      <c r="B1965" s="12" t="s">
        <v>4701</v>
      </c>
      <c r="C1965" s="13" t="s">
        <v>3757</v>
      </c>
      <c r="D1965" s="13" t="s">
        <v>3754</v>
      </c>
      <c r="E1965" s="29" t="s">
        <v>3097</v>
      </c>
      <c r="F1965" s="13" t="s">
        <v>4528</v>
      </c>
      <c r="G1965" s="8">
        <v>60</v>
      </c>
      <c r="H1965" s="8"/>
      <c r="I1965" s="8"/>
      <c r="J1965" s="29" t="s">
        <v>4529</v>
      </c>
      <c r="K1965" s="29" t="s">
        <v>8749</v>
      </c>
      <c r="L1965" s="29"/>
      <c r="M1965" s="68">
        <v>1</v>
      </c>
      <c r="N1965" s="68" t="s">
        <v>4362</v>
      </c>
    </row>
    <row r="1966" spans="1:14" ht="14.25" x14ac:dyDescent="0.2">
      <c r="A1966" s="11" t="s">
        <v>2094</v>
      </c>
      <c r="B1966" s="12" t="s">
        <v>727</v>
      </c>
      <c r="C1966" s="13" t="s">
        <v>4931</v>
      </c>
      <c r="D1966" s="13" t="s">
        <v>1464</v>
      </c>
      <c r="E1966" s="29" t="s">
        <v>273</v>
      </c>
      <c r="F1966" s="13" t="s">
        <v>4931</v>
      </c>
      <c r="G1966" s="21">
        <v>2</v>
      </c>
      <c r="H1966" s="21">
        <v>2</v>
      </c>
      <c r="I1966" s="21"/>
      <c r="J1966" s="29" t="s">
        <v>7319</v>
      </c>
      <c r="K1966" s="29" t="s">
        <v>273</v>
      </c>
      <c r="L1966" s="29"/>
      <c r="M1966" s="68">
        <v>1</v>
      </c>
      <c r="N1966" s="68" t="s">
        <v>726</v>
      </c>
    </row>
    <row r="1967" spans="1:14" ht="14.25" x14ac:dyDescent="0.2">
      <c r="A1967" s="11" t="s">
        <v>2094</v>
      </c>
      <c r="B1967" s="12" t="s">
        <v>5506</v>
      </c>
      <c r="C1967" s="13" t="s">
        <v>3754</v>
      </c>
      <c r="D1967" s="13" t="s">
        <v>3754</v>
      </c>
      <c r="E1967" s="29" t="s">
        <v>6156</v>
      </c>
      <c r="F1967" s="13" t="s">
        <v>5818</v>
      </c>
      <c r="G1967" s="21">
        <v>11</v>
      </c>
      <c r="H1967" s="21"/>
      <c r="I1967" s="21"/>
      <c r="J1967" s="29" t="s">
        <v>6158</v>
      </c>
      <c r="K1967" s="29" t="s">
        <v>1506</v>
      </c>
      <c r="L1967" s="29"/>
      <c r="M1967" s="68">
        <v>1</v>
      </c>
      <c r="N1967" s="68" t="s">
        <v>2755</v>
      </c>
    </row>
    <row r="1968" spans="1:14" ht="14.25" x14ac:dyDescent="0.2">
      <c r="A1968" s="11" t="s">
        <v>2094</v>
      </c>
      <c r="B1968" s="12" t="s">
        <v>3733</v>
      </c>
      <c r="C1968" s="13" t="s">
        <v>3757</v>
      </c>
      <c r="D1968" s="13" t="s">
        <v>5952</v>
      </c>
      <c r="E1968" s="29"/>
      <c r="F1968" s="13" t="s">
        <v>5952</v>
      </c>
      <c r="G1968" s="8">
        <v>86</v>
      </c>
      <c r="H1968" s="8"/>
      <c r="I1968" s="8"/>
      <c r="J1968" s="29" t="s">
        <v>4445</v>
      </c>
      <c r="K1968" s="29" t="s">
        <v>4446</v>
      </c>
      <c r="L1968" s="29"/>
      <c r="M1968" s="68">
        <v>1</v>
      </c>
      <c r="N1968" s="68" t="s">
        <v>8451</v>
      </c>
    </row>
    <row r="1969" spans="1:14" ht="14.25" x14ac:dyDescent="0.2">
      <c r="A1969" s="11" t="s">
        <v>891</v>
      </c>
      <c r="B1969" s="12" t="s">
        <v>7746</v>
      </c>
      <c r="C1969" s="16" t="s">
        <v>3761</v>
      </c>
      <c r="D1969" s="31"/>
      <c r="E1969" s="72" t="s">
        <v>892</v>
      </c>
      <c r="F1969" s="13" t="s">
        <v>893</v>
      </c>
      <c r="G1969" s="8">
        <v>26</v>
      </c>
      <c r="H1969" s="8">
        <v>8</v>
      </c>
      <c r="I1969" s="8"/>
      <c r="J1969" s="29" t="s">
        <v>1264</v>
      </c>
      <c r="K1969" s="72" t="s">
        <v>894</v>
      </c>
      <c r="L1969" s="29"/>
      <c r="M1969" s="68">
        <v>1</v>
      </c>
      <c r="N1969" s="68" t="s">
        <v>986</v>
      </c>
    </row>
    <row r="1970" spans="1:14" ht="14.25" x14ac:dyDescent="0.2">
      <c r="A1970" s="11" t="s">
        <v>891</v>
      </c>
      <c r="B1970" s="12" t="s">
        <v>2775</v>
      </c>
      <c r="C1970" s="13" t="s">
        <v>3754</v>
      </c>
      <c r="D1970" s="13" t="s">
        <v>3754</v>
      </c>
      <c r="E1970" s="29" t="s">
        <v>6568</v>
      </c>
      <c r="F1970" s="13" t="s">
        <v>2776</v>
      </c>
      <c r="G1970" s="21"/>
      <c r="H1970" s="21"/>
      <c r="I1970" s="21">
        <v>2</v>
      </c>
      <c r="J1970" s="29" t="s">
        <v>7182</v>
      </c>
      <c r="K1970" s="29" t="s">
        <v>2777</v>
      </c>
      <c r="L1970" s="29"/>
      <c r="M1970" s="68">
        <v>1</v>
      </c>
      <c r="N1970" s="68" t="s">
        <v>2755</v>
      </c>
    </row>
    <row r="1971" spans="1:14" ht="15" x14ac:dyDescent="0.2">
      <c r="A1971" s="14" t="s">
        <v>4448</v>
      </c>
      <c r="B1971" s="15" t="s">
        <v>1879</v>
      </c>
      <c r="C1971" s="16" t="s">
        <v>3754</v>
      </c>
      <c r="D1971" s="27" t="s">
        <v>3754</v>
      </c>
      <c r="E1971" s="27" t="s">
        <v>2743</v>
      </c>
      <c r="F1971" s="27" t="s">
        <v>2744</v>
      </c>
      <c r="G1971" s="21">
        <v>25</v>
      </c>
      <c r="H1971" s="21">
        <v>10</v>
      </c>
      <c r="I1971" s="21">
        <v>10</v>
      </c>
      <c r="J1971" s="27" t="s">
        <v>1264</v>
      </c>
      <c r="K1971" s="96" t="s">
        <v>6985</v>
      </c>
      <c r="L1971" s="100"/>
      <c r="M1971" s="68">
        <v>1</v>
      </c>
      <c r="N1971" s="68" t="s">
        <v>6124</v>
      </c>
    </row>
    <row r="1972" spans="1:14" ht="14.25" x14ac:dyDescent="0.2">
      <c r="A1972" s="11" t="s">
        <v>4448</v>
      </c>
      <c r="B1972" s="12" t="s">
        <v>3723</v>
      </c>
      <c r="C1972" s="13" t="s">
        <v>3757</v>
      </c>
      <c r="D1972" s="13" t="s">
        <v>3754</v>
      </c>
      <c r="E1972" s="29" t="s">
        <v>4449</v>
      </c>
      <c r="F1972" s="13" t="s">
        <v>5209</v>
      </c>
      <c r="G1972" s="8">
        <v>62</v>
      </c>
      <c r="H1972" s="8"/>
      <c r="I1972" s="8"/>
      <c r="J1972" s="29" t="s">
        <v>1439</v>
      </c>
      <c r="K1972" s="29" t="s">
        <v>1287</v>
      </c>
      <c r="L1972" s="29"/>
      <c r="M1972" s="68">
        <v>1</v>
      </c>
      <c r="N1972" s="68" t="s">
        <v>4362</v>
      </c>
    </row>
    <row r="1973" spans="1:14" ht="15" x14ac:dyDescent="0.2">
      <c r="A1973" s="11" t="s">
        <v>6287</v>
      </c>
      <c r="B1973" s="12" t="s">
        <v>3740</v>
      </c>
      <c r="C1973" s="13" t="s">
        <v>3754</v>
      </c>
      <c r="D1973" s="13" t="s">
        <v>3754</v>
      </c>
      <c r="E1973" s="29" t="s">
        <v>435</v>
      </c>
      <c r="F1973" s="13" t="s">
        <v>6288</v>
      </c>
      <c r="G1973" s="21">
        <v>26</v>
      </c>
      <c r="H1973" s="21"/>
      <c r="I1973" s="21"/>
      <c r="J1973" s="29" t="s">
        <v>1264</v>
      </c>
      <c r="K1973" s="29" t="s">
        <v>438</v>
      </c>
      <c r="L1973" s="58"/>
      <c r="M1973" s="68">
        <v>1</v>
      </c>
      <c r="N1973" s="68" t="s">
        <v>2359</v>
      </c>
    </row>
    <row r="1974" spans="1:14" ht="14.25" x14ac:dyDescent="0.2">
      <c r="A1974" s="14" t="s">
        <v>610</v>
      </c>
      <c r="B1974" s="15" t="s">
        <v>1543</v>
      </c>
      <c r="C1974" s="16" t="s">
        <v>3757</v>
      </c>
      <c r="D1974" s="16" t="s">
        <v>3754</v>
      </c>
      <c r="E1974" s="27" t="s">
        <v>1300</v>
      </c>
      <c r="F1974" s="16" t="s">
        <v>611</v>
      </c>
      <c r="G1974" s="21">
        <v>64</v>
      </c>
      <c r="H1974" s="21"/>
      <c r="I1974" s="21"/>
      <c r="J1974" s="27" t="s">
        <v>1264</v>
      </c>
      <c r="K1974" s="27" t="s">
        <v>2155</v>
      </c>
      <c r="L1974" s="29"/>
      <c r="M1974" s="68">
        <v>1</v>
      </c>
      <c r="N1974" s="68" t="s">
        <v>595</v>
      </c>
    </row>
    <row r="1975" spans="1:14" ht="14.25" x14ac:dyDescent="0.2">
      <c r="A1975" s="11" t="s">
        <v>668</v>
      </c>
      <c r="B1975" s="12" t="s">
        <v>3744</v>
      </c>
      <c r="C1975" s="13" t="s">
        <v>3757</v>
      </c>
      <c r="D1975" s="13" t="s">
        <v>3754</v>
      </c>
      <c r="E1975" s="29" t="s">
        <v>1464</v>
      </c>
      <c r="F1975" s="13" t="s">
        <v>777</v>
      </c>
      <c r="G1975" s="21">
        <v>30</v>
      </c>
      <c r="H1975" s="21"/>
      <c r="I1975" s="21"/>
      <c r="J1975" s="29"/>
      <c r="K1975" s="29" t="s">
        <v>2204</v>
      </c>
      <c r="L1975" s="29"/>
      <c r="M1975" s="68">
        <v>1</v>
      </c>
      <c r="N1975" s="68" t="s">
        <v>726</v>
      </c>
    </row>
    <row r="1976" spans="1:14" ht="14.25" x14ac:dyDescent="0.2">
      <c r="A1976" s="11" t="s">
        <v>668</v>
      </c>
      <c r="B1976" s="12" t="s">
        <v>778</v>
      </c>
      <c r="C1976" s="13" t="s">
        <v>3757</v>
      </c>
      <c r="D1976" s="13" t="s">
        <v>3754</v>
      </c>
      <c r="E1976" s="29" t="s">
        <v>1464</v>
      </c>
      <c r="F1976" s="13" t="s">
        <v>777</v>
      </c>
      <c r="G1976" s="21">
        <v>25</v>
      </c>
      <c r="H1976" s="21"/>
      <c r="I1976" s="21"/>
      <c r="J1976" s="29"/>
      <c r="K1976" s="29" t="s">
        <v>2204</v>
      </c>
      <c r="L1976" s="29"/>
      <c r="M1976" s="68">
        <v>1</v>
      </c>
      <c r="N1976" s="68" t="s">
        <v>726</v>
      </c>
    </row>
    <row r="1977" spans="1:14" ht="14.25" x14ac:dyDescent="0.2">
      <c r="A1977" s="11" t="s">
        <v>668</v>
      </c>
      <c r="B1977" s="12" t="s">
        <v>4982</v>
      </c>
      <c r="C1977" s="13" t="s">
        <v>3757</v>
      </c>
      <c r="D1977" s="13" t="s">
        <v>3754</v>
      </c>
      <c r="E1977" s="29" t="s">
        <v>1464</v>
      </c>
      <c r="F1977" s="13" t="s">
        <v>777</v>
      </c>
      <c r="G1977" s="21">
        <v>41</v>
      </c>
      <c r="H1977" s="21"/>
      <c r="I1977" s="21"/>
      <c r="J1977" s="29"/>
      <c r="K1977" s="29" t="s">
        <v>2204</v>
      </c>
      <c r="L1977" s="29"/>
      <c r="M1977" s="68">
        <v>1</v>
      </c>
      <c r="N1977" s="68" t="s">
        <v>726</v>
      </c>
    </row>
    <row r="1978" spans="1:14" ht="14.25" x14ac:dyDescent="0.2">
      <c r="A1978" s="14" t="s">
        <v>668</v>
      </c>
      <c r="B1978" s="15" t="s">
        <v>3723</v>
      </c>
      <c r="C1978" s="16" t="s">
        <v>3757</v>
      </c>
      <c r="D1978" s="16" t="s">
        <v>3754</v>
      </c>
      <c r="E1978" s="27" t="s">
        <v>1464</v>
      </c>
      <c r="F1978" s="16" t="s">
        <v>3754</v>
      </c>
      <c r="G1978" s="21">
        <v>58</v>
      </c>
      <c r="H1978" s="21"/>
      <c r="I1978" s="21"/>
      <c r="J1978" s="27" t="s">
        <v>1265</v>
      </c>
      <c r="K1978" s="27" t="s">
        <v>5263</v>
      </c>
      <c r="L1978" s="29"/>
      <c r="M1978" s="68">
        <v>1</v>
      </c>
      <c r="N1978" s="68" t="s">
        <v>595</v>
      </c>
    </row>
    <row r="1979" spans="1:14" ht="14.25" x14ac:dyDescent="0.2">
      <c r="A1979" s="11" t="s">
        <v>668</v>
      </c>
      <c r="B1979" s="12" t="s">
        <v>4701</v>
      </c>
      <c r="C1979" s="13" t="s">
        <v>3757</v>
      </c>
      <c r="D1979" s="13" t="s">
        <v>3754</v>
      </c>
      <c r="E1979" s="29" t="s">
        <v>1464</v>
      </c>
      <c r="F1979" s="13" t="s">
        <v>777</v>
      </c>
      <c r="G1979" s="21">
        <v>61</v>
      </c>
      <c r="H1979" s="21"/>
      <c r="I1979" s="21"/>
      <c r="J1979" s="29"/>
      <c r="K1979" s="29" t="s">
        <v>2204</v>
      </c>
      <c r="L1979" s="29"/>
      <c r="M1979" s="68">
        <v>1</v>
      </c>
      <c r="N1979" s="68" t="s">
        <v>726</v>
      </c>
    </row>
    <row r="1980" spans="1:14" ht="14.25" x14ac:dyDescent="0.2">
      <c r="A1980" s="11" t="s">
        <v>8232</v>
      </c>
      <c r="B1980" s="12" t="s">
        <v>4685</v>
      </c>
      <c r="C1980" s="13" t="s">
        <v>3757</v>
      </c>
      <c r="D1980" s="13" t="s">
        <v>3754</v>
      </c>
      <c r="E1980" s="72" t="s">
        <v>854</v>
      </c>
      <c r="F1980" s="13" t="s">
        <v>855</v>
      </c>
      <c r="G1980" s="8">
        <v>59</v>
      </c>
      <c r="H1980" s="8"/>
      <c r="I1980" s="8"/>
      <c r="J1980" s="29" t="s">
        <v>856</v>
      </c>
      <c r="K1980" s="72" t="s">
        <v>4986</v>
      </c>
      <c r="L1980" s="29"/>
      <c r="M1980" s="68">
        <v>1</v>
      </c>
      <c r="N1980" s="68" t="s">
        <v>795</v>
      </c>
    </row>
    <row r="1981" spans="1:14" ht="14.25" x14ac:dyDescent="0.2">
      <c r="A1981" s="14" t="s">
        <v>8232</v>
      </c>
      <c r="B1981" s="15" t="s">
        <v>1543</v>
      </c>
      <c r="C1981" s="16" t="s">
        <v>3761</v>
      </c>
      <c r="D1981" s="13" t="s">
        <v>3754</v>
      </c>
      <c r="E1981" s="27" t="s">
        <v>8233</v>
      </c>
      <c r="F1981" s="16" t="s">
        <v>1541</v>
      </c>
      <c r="G1981" s="8">
        <v>3</v>
      </c>
      <c r="H1981" s="8">
        <v>3</v>
      </c>
      <c r="I1981" s="8"/>
      <c r="J1981" s="27" t="s">
        <v>6927</v>
      </c>
      <c r="K1981" s="27" t="s">
        <v>8234</v>
      </c>
      <c r="L1981" s="29"/>
      <c r="M1981" s="68">
        <v>1</v>
      </c>
      <c r="N1981" s="68" t="s">
        <v>8206</v>
      </c>
    </row>
    <row r="1982" spans="1:14" ht="28.5" x14ac:dyDescent="0.2">
      <c r="A1982" s="11" t="s">
        <v>4381</v>
      </c>
      <c r="B1982" s="12" t="s">
        <v>3734</v>
      </c>
      <c r="C1982" s="13" t="s">
        <v>3757</v>
      </c>
      <c r="D1982" s="31" t="s">
        <v>3754</v>
      </c>
      <c r="E1982" s="29" t="s">
        <v>6304</v>
      </c>
      <c r="F1982" s="13" t="s">
        <v>6305</v>
      </c>
      <c r="G1982" s="21">
        <v>45</v>
      </c>
      <c r="H1982" s="21"/>
      <c r="I1982" s="21"/>
      <c r="J1982" s="29" t="s">
        <v>1277</v>
      </c>
      <c r="K1982" s="29" t="s">
        <v>6774</v>
      </c>
      <c r="L1982" s="29" t="s">
        <v>6975</v>
      </c>
      <c r="M1982" s="68">
        <v>1</v>
      </c>
      <c r="N1982" s="68" t="s">
        <v>6187</v>
      </c>
    </row>
    <row r="1983" spans="1:14" ht="15" x14ac:dyDescent="0.2">
      <c r="A1983" s="11" t="s">
        <v>4381</v>
      </c>
      <c r="B1983" s="12" t="s">
        <v>6258</v>
      </c>
      <c r="C1983" s="13" t="s">
        <v>3754</v>
      </c>
      <c r="D1983" s="13" t="s">
        <v>3754</v>
      </c>
      <c r="E1983" s="29" t="s">
        <v>3462</v>
      </c>
      <c r="F1983" s="13" t="s">
        <v>6259</v>
      </c>
      <c r="G1983" s="21">
        <v>30</v>
      </c>
      <c r="H1983" s="21"/>
      <c r="I1983" s="21"/>
      <c r="J1983" s="29" t="s">
        <v>1270</v>
      </c>
      <c r="K1983" s="29" t="s">
        <v>6679</v>
      </c>
      <c r="L1983" s="58"/>
      <c r="M1983" s="68">
        <v>1</v>
      </c>
      <c r="N1983" s="68" t="s">
        <v>2359</v>
      </c>
    </row>
    <row r="1984" spans="1:14" ht="15" x14ac:dyDescent="0.2">
      <c r="A1984" s="14" t="s">
        <v>4381</v>
      </c>
      <c r="B1984" s="15" t="s">
        <v>3740</v>
      </c>
      <c r="C1984" s="16" t="s">
        <v>3754</v>
      </c>
      <c r="D1984" s="27" t="s">
        <v>3754</v>
      </c>
      <c r="E1984" s="27" t="s">
        <v>2425</v>
      </c>
      <c r="F1984" s="27" t="s">
        <v>6105</v>
      </c>
      <c r="G1984" s="21">
        <v>32</v>
      </c>
      <c r="H1984" s="21"/>
      <c r="I1984" s="21"/>
      <c r="J1984" s="27" t="s">
        <v>1264</v>
      </c>
      <c r="K1984" s="96" t="s">
        <v>5456</v>
      </c>
      <c r="L1984" s="66"/>
      <c r="M1984" s="68">
        <v>1</v>
      </c>
      <c r="N1984" s="68" t="s">
        <v>6124</v>
      </c>
    </row>
    <row r="1985" spans="1:14" ht="14.25" x14ac:dyDescent="0.2">
      <c r="A1985" s="9" t="s">
        <v>4381</v>
      </c>
      <c r="B1985" s="5" t="s">
        <v>5712</v>
      </c>
      <c r="C1985" s="10" t="s">
        <v>3754</v>
      </c>
      <c r="D1985" s="13" t="s">
        <v>3754</v>
      </c>
      <c r="E1985" s="55" t="s">
        <v>6968</v>
      </c>
      <c r="F1985" s="10" t="s">
        <v>536</v>
      </c>
      <c r="G1985" s="8"/>
      <c r="H1985" s="8"/>
      <c r="I1985" s="8">
        <v>7</v>
      </c>
      <c r="J1985" s="55"/>
      <c r="K1985" s="55" t="s">
        <v>537</v>
      </c>
      <c r="L1985" s="61"/>
      <c r="M1985" s="68">
        <v>1</v>
      </c>
      <c r="N1985" s="68" t="s">
        <v>1129</v>
      </c>
    </row>
    <row r="1986" spans="1:14" ht="15" x14ac:dyDescent="0.2">
      <c r="A1986" s="9" t="s">
        <v>4381</v>
      </c>
      <c r="B1986" s="5" t="s">
        <v>6104</v>
      </c>
      <c r="C1986" s="10" t="s">
        <v>3757</v>
      </c>
      <c r="D1986" s="13" t="s">
        <v>3754</v>
      </c>
      <c r="E1986" s="55" t="s">
        <v>2548</v>
      </c>
      <c r="F1986" s="10" t="s">
        <v>6105</v>
      </c>
      <c r="G1986" s="21">
        <v>36</v>
      </c>
      <c r="H1986" s="21"/>
      <c r="I1986" s="21"/>
      <c r="J1986" s="55" t="s">
        <v>1264</v>
      </c>
      <c r="K1986" s="55" t="s">
        <v>719</v>
      </c>
      <c r="L1986" s="62"/>
      <c r="M1986" s="68">
        <v>1</v>
      </c>
      <c r="N1986" s="68" t="s">
        <v>2359</v>
      </c>
    </row>
    <row r="1987" spans="1:14" ht="14.25" x14ac:dyDescent="0.2">
      <c r="A1987" s="11" t="s">
        <v>4381</v>
      </c>
      <c r="B1987" s="12" t="s">
        <v>3751</v>
      </c>
      <c r="C1987" s="13" t="s">
        <v>3754</v>
      </c>
      <c r="D1987" s="13" t="s">
        <v>3754</v>
      </c>
      <c r="E1987" s="29" t="s">
        <v>8755</v>
      </c>
      <c r="F1987" s="13" t="s">
        <v>4382</v>
      </c>
      <c r="G1987" s="8">
        <v>1</v>
      </c>
      <c r="H1987" s="8">
        <v>7</v>
      </c>
      <c r="I1987" s="8"/>
      <c r="J1987" s="29" t="s">
        <v>4750</v>
      </c>
      <c r="K1987" s="29" t="s">
        <v>8755</v>
      </c>
      <c r="L1987" s="29"/>
      <c r="M1987" s="68">
        <v>1</v>
      </c>
      <c r="N1987" s="68" t="s">
        <v>4363</v>
      </c>
    </row>
    <row r="1988" spans="1:14" ht="14.25" x14ac:dyDescent="0.2">
      <c r="A1988" s="11" t="s">
        <v>4381</v>
      </c>
      <c r="B1988" s="12" t="s">
        <v>1055</v>
      </c>
      <c r="C1988" s="13" t="s">
        <v>3754</v>
      </c>
      <c r="D1988" s="13" t="s">
        <v>3754</v>
      </c>
      <c r="E1988" s="29" t="s">
        <v>1056</v>
      </c>
      <c r="F1988" s="13" t="s">
        <v>1057</v>
      </c>
      <c r="G1988" s="8">
        <v>3</v>
      </c>
      <c r="H1988" s="8">
        <v>7</v>
      </c>
      <c r="I1988" s="8"/>
      <c r="J1988" s="29" t="s">
        <v>7319</v>
      </c>
      <c r="K1988" s="29" t="s">
        <v>8605</v>
      </c>
      <c r="L1988" s="29"/>
      <c r="M1988" s="68">
        <v>1</v>
      </c>
      <c r="N1988" s="68" t="s">
        <v>4363</v>
      </c>
    </row>
    <row r="1989" spans="1:14" ht="15" x14ac:dyDescent="0.2">
      <c r="A1989" s="11" t="s">
        <v>5846</v>
      </c>
      <c r="B1989" s="12" t="s">
        <v>1861</v>
      </c>
      <c r="C1989" s="13" t="s">
        <v>3754</v>
      </c>
      <c r="D1989" s="13" t="s">
        <v>3754</v>
      </c>
      <c r="E1989" s="29" t="s">
        <v>5847</v>
      </c>
      <c r="F1989" s="13" t="s">
        <v>1432</v>
      </c>
      <c r="G1989" s="21">
        <v>1</v>
      </c>
      <c r="H1989" s="21">
        <v>9</v>
      </c>
      <c r="I1989" s="21"/>
      <c r="J1989" s="29" t="s">
        <v>4739</v>
      </c>
      <c r="K1989" s="29" t="s">
        <v>6666</v>
      </c>
      <c r="L1989" s="58"/>
      <c r="M1989" s="68">
        <v>1</v>
      </c>
      <c r="N1989" s="68" t="s">
        <v>2359</v>
      </c>
    </row>
    <row r="1990" spans="1:14" ht="14.25" x14ac:dyDescent="0.2">
      <c r="A1990" s="11" t="s">
        <v>867</v>
      </c>
      <c r="B1990" s="12" t="s">
        <v>3744</v>
      </c>
      <c r="C1990" s="13" t="s">
        <v>3759</v>
      </c>
      <c r="D1990" s="13" t="s">
        <v>3754</v>
      </c>
      <c r="E1990" s="72" t="s">
        <v>868</v>
      </c>
      <c r="F1990" s="13" t="s">
        <v>869</v>
      </c>
      <c r="G1990" s="8">
        <v>6</v>
      </c>
      <c r="H1990" s="8"/>
      <c r="I1990" s="8"/>
      <c r="J1990" s="29" t="s">
        <v>1264</v>
      </c>
      <c r="K1990" s="72" t="s">
        <v>328</v>
      </c>
      <c r="L1990" s="29"/>
      <c r="M1990" s="68">
        <v>1</v>
      </c>
      <c r="N1990" s="68" t="s">
        <v>795</v>
      </c>
    </row>
    <row r="1991" spans="1:14" ht="15" x14ac:dyDescent="0.2">
      <c r="A1991" s="14" t="s">
        <v>2722</v>
      </c>
      <c r="B1991" s="15" t="s">
        <v>3740</v>
      </c>
      <c r="C1991" s="16" t="s">
        <v>3757</v>
      </c>
      <c r="D1991" s="27" t="s">
        <v>3754</v>
      </c>
      <c r="E1991" s="27" t="s">
        <v>429</v>
      </c>
      <c r="F1991" s="27" t="s">
        <v>6286</v>
      </c>
      <c r="G1991" s="21">
        <v>73</v>
      </c>
      <c r="H1991" s="21"/>
      <c r="I1991" s="21"/>
      <c r="J1991" s="27" t="s">
        <v>1277</v>
      </c>
      <c r="K1991" s="96" t="s">
        <v>431</v>
      </c>
      <c r="L1991" s="65"/>
      <c r="M1991" s="68">
        <v>1</v>
      </c>
      <c r="N1991" s="68" t="s">
        <v>6124</v>
      </c>
    </row>
    <row r="1992" spans="1:14" ht="15" x14ac:dyDescent="0.2">
      <c r="A1992" s="11" t="s">
        <v>6284</v>
      </c>
      <c r="B1992" s="12" t="s">
        <v>5920</v>
      </c>
      <c r="C1992" s="13" t="s">
        <v>3754</v>
      </c>
      <c r="D1992" s="13" t="s">
        <v>3754</v>
      </c>
      <c r="E1992" s="29" t="s">
        <v>6285</v>
      </c>
      <c r="F1992" s="13" t="s">
        <v>6286</v>
      </c>
      <c r="G1992" s="21">
        <v>22</v>
      </c>
      <c r="H1992" s="21"/>
      <c r="I1992" s="21"/>
      <c r="J1992" s="29" t="s">
        <v>1264</v>
      </c>
      <c r="K1992" s="29" t="s">
        <v>429</v>
      </c>
      <c r="L1992" s="58"/>
      <c r="M1992" s="68">
        <v>1</v>
      </c>
      <c r="N1992" s="68" t="s">
        <v>2359</v>
      </c>
    </row>
    <row r="1993" spans="1:14" ht="14.25" x14ac:dyDescent="0.2">
      <c r="A1993" s="11" t="s">
        <v>4510</v>
      </c>
      <c r="B1993" s="12" t="s">
        <v>3740</v>
      </c>
      <c r="C1993" s="16" t="s">
        <v>3761</v>
      </c>
      <c r="D1993" s="13" t="s">
        <v>3754</v>
      </c>
      <c r="E1993" s="29" t="s">
        <v>217</v>
      </c>
      <c r="F1993" s="13" t="s">
        <v>4511</v>
      </c>
      <c r="G1993" s="8">
        <v>2</v>
      </c>
      <c r="H1993" s="8"/>
      <c r="I1993" s="8"/>
      <c r="J1993" s="29" t="s">
        <v>4512</v>
      </c>
      <c r="K1993" s="29" t="s">
        <v>4513</v>
      </c>
      <c r="L1993" s="29"/>
      <c r="M1993" s="68">
        <v>1</v>
      </c>
      <c r="N1993" s="68" t="s">
        <v>4362</v>
      </c>
    </row>
    <row r="1994" spans="1:14" ht="14.25" x14ac:dyDescent="0.2">
      <c r="A1994" s="11" t="s">
        <v>6307</v>
      </c>
      <c r="B1994" s="12" t="s">
        <v>6308</v>
      </c>
      <c r="C1994" s="13" t="s">
        <v>3754</v>
      </c>
      <c r="D1994" s="31" t="s">
        <v>3754</v>
      </c>
      <c r="E1994" s="29" t="s">
        <v>1532</v>
      </c>
      <c r="F1994" s="13" t="s">
        <v>6309</v>
      </c>
      <c r="G1994" s="21" t="s">
        <v>1314</v>
      </c>
      <c r="H1994" s="21" t="s">
        <v>1314</v>
      </c>
      <c r="I1994" s="21" t="s">
        <v>1314</v>
      </c>
      <c r="J1994" s="29" t="s">
        <v>1258</v>
      </c>
      <c r="K1994" s="29" t="s">
        <v>1534</v>
      </c>
      <c r="L1994" s="29" t="s">
        <v>5019</v>
      </c>
      <c r="M1994" s="68">
        <v>1</v>
      </c>
      <c r="N1994" s="68" t="s">
        <v>6187</v>
      </c>
    </row>
    <row r="1995" spans="1:14" ht="14.25" x14ac:dyDescent="0.2">
      <c r="A1995" s="11" t="s">
        <v>8187</v>
      </c>
      <c r="B1995" s="12" t="s">
        <v>7819</v>
      </c>
      <c r="C1995" s="16" t="s">
        <v>3761</v>
      </c>
      <c r="D1995" s="13" t="s">
        <v>3754</v>
      </c>
      <c r="E1995" s="72" t="s">
        <v>3401</v>
      </c>
      <c r="F1995" s="13" t="s">
        <v>7448</v>
      </c>
      <c r="G1995" s="8">
        <v>29</v>
      </c>
      <c r="H1995" s="8"/>
      <c r="I1995" s="8"/>
      <c r="J1995" s="29" t="s">
        <v>7449</v>
      </c>
      <c r="K1995" s="72" t="s">
        <v>7450</v>
      </c>
      <c r="L1995" s="29"/>
      <c r="M1995" s="68">
        <v>1</v>
      </c>
      <c r="N1995" s="68" t="s">
        <v>986</v>
      </c>
    </row>
    <row r="1996" spans="1:14" ht="14.25" x14ac:dyDescent="0.2">
      <c r="A1996" s="11" t="s">
        <v>8187</v>
      </c>
      <c r="B1996" s="12" t="s">
        <v>7820</v>
      </c>
      <c r="C1996" s="16" t="s">
        <v>3761</v>
      </c>
      <c r="D1996" s="13" t="s">
        <v>3754</v>
      </c>
      <c r="E1996" s="29" t="s">
        <v>1898</v>
      </c>
      <c r="F1996" s="13" t="s">
        <v>4318</v>
      </c>
      <c r="G1996" s="8">
        <v>14</v>
      </c>
      <c r="H1996" s="8"/>
      <c r="I1996" s="8"/>
      <c r="J1996" s="29" t="s">
        <v>5010</v>
      </c>
      <c r="K1996" s="29" t="s">
        <v>4319</v>
      </c>
      <c r="L1996" s="56"/>
      <c r="M1996" s="68">
        <v>1</v>
      </c>
      <c r="N1996" s="68" t="s">
        <v>2717</v>
      </c>
    </row>
    <row r="1997" spans="1:14" ht="14.25" x14ac:dyDescent="0.2">
      <c r="A1997" s="11" t="s">
        <v>8187</v>
      </c>
      <c r="B1997" s="12" t="s">
        <v>1879</v>
      </c>
      <c r="C1997" s="13" t="s">
        <v>3757</v>
      </c>
      <c r="D1997" s="13" t="s">
        <v>3754</v>
      </c>
      <c r="E1997" s="29" t="s">
        <v>4458</v>
      </c>
      <c r="F1997" s="13" t="s">
        <v>4444</v>
      </c>
      <c r="G1997" s="8">
        <v>33</v>
      </c>
      <c r="H1997" s="8"/>
      <c r="I1997" s="8"/>
      <c r="J1997" s="29" t="s">
        <v>8482</v>
      </c>
      <c r="K1997" s="29" t="s">
        <v>5557</v>
      </c>
      <c r="L1997" s="29"/>
      <c r="M1997" s="68">
        <v>1</v>
      </c>
      <c r="N1997" s="68" t="s">
        <v>4362</v>
      </c>
    </row>
    <row r="1998" spans="1:14" ht="28.5" x14ac:dyDescent="0.2">
      <c r="A1998" s="14" t="s">
        <v>8187</v>
      </c>
      <c r="B1998" s="15" t="s">
        <v>1879</v>
      </c>
      <c r="C1998" s="16" t="s">
        <v>3761</v>
      </c>
      <c r="D1998" s="13" t="s">
        <v>3754</v>
      </c>
      <c r="E1998" s="27" t="s">
        <v>6718</v>
      </c>
      <c r="F1998" s="16" t="s">
        <v>1541</v>
      </c>
      <c r="G1998" s="8"/>
      <c r="H1998" s="8">
        <v>4</v>
      </c>
      <c r="I1998" s="8">
        <v>5</v>
      </c>
      <c r="J1998" s="27" t="s">
        <v>4829</v>
      </c>
      <c r="K1998" s="27" t="s">
        <v>1702</v>
      </c>
      <c r="L1998" s="29" t="s">
        <v>6704</v>
      </c>
      <c r="M1998" s="68">
        <v>1</v>
      </c>
      <c r="N1998" s="68" t="s">
        <v>491</v>
      </c>
    </row>
    <row r="1999" spans="1:14" ht="14.25" x14ac:dyDescent="0.2">
      <c r="A1999" s="11" t="s">
        <v>8187</v>
      </c>
      <c r="B1999" s="12" t="s">
        <v>1886</v>
      </c>
      <c r="C1999" s="13" t="s">
        <v>3757</v>
      </c>
      <c r="D1999" s="13" t="s">
        <v>3754</v>
      </c>
      <c r="E1999" s="29" t="s">
        <v>4825</v>
      </c>
      <c r="F1999" s="13" t="s">
        <v>4444</v>
      </c>
      <c r="G1999" s="8">
        <v>65</v>
      </c>
      <c r="H1999" s="8"/>
      <c r="I1999" s="8"/>
      <c r="J1999" s="29" t="s">
        <v>1439</v>
      </c>
      <c r="K1999" s="29" t="s">
        <v>4473</v>
      </c>
      <c r="L1999" s="29"/>
      <c r="M1999" s="68">
        <v>1</v>
      </c>
      <c r="N1999" s="68" t="s">
        <v>4362</v>
      </c>
    </row>
    <row r="2000" spans="1:14" ht="14.25" x14ac:dyDescent="0.2">
      <c r="A2000" s="11" t="s">
        <v>8187</v>
      </c>
      <c r="B2000" s="12" t="s">
        <v>3740</v>
      </c>
      <c r="C2000" s="16" t="s">
        <v>3761</v>
      </c>
      <c r="D2000" s="13" t="s">
        <v>3754</v>
      </c>
      <c r="E2000" s="29" t="s">
        <v>4336</v>
      </c>
      <c r="F2000" s="13" t="s">
        <v>4340</v>
      </c>
      <c r="G2000" s="8">
        <v>1</v>
      </c>
      <c r="H2000" s="8">
        <v>14</v>
      </c>
      <c r="I2000" s="8"/>
      <c r="J2000" s="29" t="s">
        <v>2595</v>
      </c>
      <c r="K2000" s="29" t="s">
        <v>4341</v>
      </c>
      <c r="L2000" s="56"/>
      <c r="M2000" s="68">
        <v>1</v>
      </c>
      <c r="N2000" s="68" t="s">
        <v>2717</v>
      </c>
    </row>
    <row r="2001" spans="1:14" ht="14.25" x14ac:dyDescent="0.2">
      <c r="A2001" s="14" t="s">
        <v>8176</v>
      </c>
      <c r="B2001" s="15" t="s">
        <v>3314</v>
      </c>
      <c r="C2001" s="13" t="s">
        <v>3767</v>
      </c>
      <c r="D2001" s="13" t="s">
        <v>3767</v>
      </c>
      <c r="E2001" s="27" t="s">
        <v>8177</v>
      </c>
      <c r="F2001" s="16" t="s">
        <v>1652</v>
      </c>
      <c r="G2001" s="8"/>
      <c r="H2001" s="8">
        <v>8</v>
      </c>
      <c r="I2001" s="8">
        <v>26</v>
      </c>
      <c r="J2001" s="27" t="s">
        <v>4829</v>
      </c>
      <c r="K2001" s="27" t="s">
        <v>8178</v>
      </c>
      <c r="L2001" s="29"/>
      <c r="M2001" s="68">
        <v>1</v>
      </c>
      <c r="N2001" s="68" t="s">
        <v>491</v>
      </c>
    </row>
    <row r="2002" spans="1:14" ht="14.25" x14ac:dyDescent="0.2">
      <c r="A2002" s="14" t="s">
        <v>8183</v>
      </c>
      <c r="B2002" s="15" t="s">
        <v>3752</v>
      </c>
      <c r="C2002" s="16" t="s">
        <v>3761</v>
      </c>
      <c r="D2002" s="13" t="s">
        <v>3754</v>
      </c>
      <c r="E2002" s="27"/>
      <c r="F2002" s="16" t="s">
        <v>1541</v>
      </c>
      <c r="G2002" s="8"/>
      <c r="H2002" s="8"/>
      <c r="I2002" s="8"/>
      <c r="J2002" s="27" t="s">
        <v>1264</v>
      </c>
      <c r="K2002" s="27" t="s">
        <v>1962</v>
      </c>
      <c r="L2002" s="29"/>
      <c r="M2002" s="68">
        <v>1</v>
      </c>
      <c r="N2002" s="68" t="s">
        <v>491</v>
      </c>
    </row>
    <row r="2003" spans="1:14" ht="14.25" x14ac:dyDescent="0.2">
      <c r="A2003" s="14" t="s">
        <v>8183</v>
      </c>
      <c r="B2003" s="15" t="s">
        <v>7821</v>
      </c>
      <c r="C2003" s="16" t="s">
        <v>3757</v>
      </c>
      <c r="D2003" s="13" t="s">
        <v>3754</v>
      </c>
      <c r="E2003" s="27" t="s">
        <v>8184</v>
      </c>
      <c r="F2003" s="16" t="s">
        <v>1541</v>
      </c>
      <c r="G2003" s="8">
        <v>33</v>
      </c>
      <c r="H2003" s="8"/>
      <c r="I2003" s="8"/>
      <c r="J2003" s="27"/>
      <c r="K2003" s="27" t="s">
        <v>1962</v>
      </c>
      <c r="L2003" s="29"/>
      <c r="M2003" s="68">
        <v>1</v>
      </c>
      <c r="N2003" s="68" t="s">
        <v>491</v>
      </c>
    </row>
    <row r="2004" spans="1:14" ht="14.25" x14ac:dyDescent="0.2">
      <c r="A2004" s="14" t="s">
        <v>8183</v>
      </c>
      <c r="B2004" s="15" t="s">
        <v>5712</v>
      </c>
      <c r="C2004" s="16" t="s">
        <v>3761</v>
      </c>
      <c r="D2004" s="13" t="s">
        <v>3754</v>
      </c>
      <c r="E2004" s="27" t="s">
        <v>8186</v>
      </c>
      <c r="F2004" s="16" t="s">
        <v>1541</v>
      </c>
      <c r="G2004" s="8">
        <v>21</v>
      </c>
      <c r="H2004" s="8">
        <v>1</v>
      </c>
      <c r="I2004" s="8">
        <v>5</v>
      </c>
      <c r="J2004" s="27" t="s">
        <v>1572</v>
      </c>
      <c r="K2004" s="27" t="s">
        <v>1962</v>
      </c>
      <c r="L2004" s="29"/>
      <c r="M2004" s="68">
        <v>1</v>
      </c>
      <c r="N2004" s="68" t="s">
        <v>491</v>
      </c>
    </row>
    <row r="2005" spans="1:14" ht="14.25" x14ac:dyDescent="0.2">
      <c r="A2005" s="14" t="s">
        <v>8183</v>
      </c>
      <c r="B2005" s="15" t="s">
        <v>5712</v>
      </c>
      <c r="C2005" s="16" t="s">
        <v>3757</v>
      </c>
      <c r="D2005" s="13" t="s">
        <v>3754</v>
      </c>
      <c r="E2005" s="27" t="s">
        <v>8185</v>
      </c>
      <c r="F2005" s="16" t="s">
        <v>1541</v>
      </c>
      <c r="G2005" s="8">
        <v>72</v>
      </c>
      <c r="H2005" s="8"/>
      <c r="I2005" s="8"/>
      <c r="J2005" s="27" t="s">
        <v>2948</v>
      </c>
      <c r="K2005" s="27" t="s">
        <v>1962</v>
      </c>
      <c r="L2005" s="29"/>
      <c r="M2005" s="68">
        <v>1</v>
      </c>
      <c r="N2005" s="68" t="s">
        <v>491</v>
      </c>
    </row>
    <row r="2006" spans="1:14" ht="14.25" x14ac:dyDescent="0.2">
      <c r="A2006" s="14" t="s">
        <v>767</v>
      </c>
      <c r="B2006" s="15" t="s">
        <v>5904</v>
      </c>
      <c r="C2006" s="16" t="s">
        <v>3754</v>
      </c>
      <c r="D2006" s="16" t="s">
        <v>3754</v>
      </c>
      <c r="E2006" s="72" t="s">
        <v>6894</v>
      </c>
      <c r="F2006" s="16" t="s">
        <v>2383</v>
      </c>
      <c r="G2006" s="8">
        <v>68</v>
      </c>
      <c r="H2006" s="8"/>
      <c r="I2006" s="8"/>
      <c r="J2006" s="27" t="s">
        <v>2384</v>
      </c>
      <c r="K2006" s="72" t="s">
        <v>2385</v>
      </c>
      <c r="L2006" s="95"/>
      <c r="M2006" s="68">
        <v>1</v>
      </c>
      <c r="N2006" s="68" t="s">
        <v>878</v>
      </c>
    </row>
    <row r="2007" spans="1:14" ht="14.25" x14ac:dyDescent="0.2">
      <c r="A2007" s="11" t="s">
        <v>767</v>
      </c>
      <c r="B2007" s="12" t="s">
        <v>727</v>
      </c>
      <c r="C2007" s="13" t="s">
        <v>3757</v>
      </c>
      <c r="D2007" s="13" t="s">
        <v>3761</v>
      </c>
      <c r="E2007" s="29" t="s">
        <v>3801</v>
      </c>
      <c r="F2007" s="13" t="s">
        <v>4970</v>
      </c>
      <c r="G2007" s="21">
        <v>83</v>
      </c>
      <c r="H2007" s="21"/>
      <c r="I2007" s="21"/>
      <c r="J2007" s="29" t="s">
        <v>1271</v>
      </c>
      <c r="K2007" s="29" t="s">
        <v>3803</v>
      </c>
      <c r="L2007" s="29"/>
      <c r="M2007" s="68">
        <v>1</v>
      </c>
      <c r="N2007" s="68" t="s">
        <v>726</v>
      </c>
    </row>
    <row r="2008" spans="1:14" ht="14.25" x14ac:dyDescent="0.2">
      <c r="A2008" s="14" t="s">
        <v>5836</v>
      </c>
      <c r="B2008" s="15" t="s">
        <v>3733</v>
      </c>
      <c r="C2008" s="16" t="s">
        <v>4886</v>
      </c>
      <c r="D2008" s="16" t="s">
        <v>3754</v>
      </c>
      <c r="E2008" s="72" t="s">
        <v>900</v>
      </c>
      <c r="F2008" s="16" t="s">
        <v>5837</v>
      </c>
      <c r="G2008" s="8">
        <v>35</v>
      </c>
      <c r="H2008" s="8">
        <v>11</v>
      </c>
      <c r="I2008" s="8"/>
      <c r="J2008" s="27" t="s">
        <v>1270</v>
      </c>
      <c r="K2008" s="72" t="s">
        <v>3458</v>
      </c>
      <c r="L2008" s="95"/>
      <c r="M2008" s="68">
        <v>1</v>
      </c>
      <c r="N2008" s="68" t="s">
        <v>878</v>
      </c>
    </row>
    <row r="2009" spans="1:14" ht="14.25" x14ac:dyDescent="0.2">
      <c r="A2009" s="11" t="s">
        <v>8209</v>
      </c>
      <c r="B2009" s="12" t="s">
        <v>7822</v>
      </c>
      <c r="C2009" s="16" t="s">
        <v>3761</v>
      </c>
      <c r="D2009" s="13" t="s">
        <v>3754</v>
      </c>
      <c r="E2009" s="72" t="s">
        <v>6236</v>
      </c>
      <c r="F2009" s="13" t="s">
        <v>5799</v>
      </c>
      <c r="G2009" s="8">
        <v>2</v>
      </c>
      <c r="H2009" s="8">
        <v>11</v>
      </c>
      <c r="I2009" s="8"/>
      <c r="J2009" s="29" t="s">
        <v>7454</v>
      </c>
      <c r="K2009" s="72" t="s">
        <v>2907</v>
      </c>
      <c r="L2009" s="29"/>
      <c r="M2009" s="68">
        <v>1</v>
      </c>
      <c r="N2009" s="68" t="s">
        <v>986</v>
      </c>
    </row>
    <row r="2010" spans="1:14" ht="14.25" x14ac:dyDescent="0.2">
      <c r="A2010" s="14" t="s">
        <v>8209</v>
      </c>
      <c r="B2010" s="15" t="s">
        <v>618</v>
      </c>
      <c r="C2010" s="16" t="s">
        <v>3754</v>
      </c>
      <c r="D2010" s="16" t="s">
        <v>3754</v>
      </c>
      <c r="E2010" s="27" t="s">
        <v>2346</v>
      </c>
      <c r="F2010" s="16" t="s">
        <v>5800</v>
      </c>
      <c r="G2010" s="21">
        <v>7</v>
      </c>
      <c r="H2010" s="21">
        <v>7</v>
      </c>
      <c r="I2010" s="21"/>
      <c r="J2010" s="27" t="s">
        <v>1264</v>
      </c>
      <c r="K2010" s="27" t="s">
        <v>619</v>
      </c>
      <c r="L2010" s="29"/>
      <c r="M2010" s="68">
        <v>1</v>
      </c>
      <c r="N2010" s="68" t="s">
        <v>595</v>
      </c>
    </row>
    <row r="2011" spans="1:14" ht="14.25" x14ac:dyDescent="0.2">
      <c r="A2011" s="11" t="s">
        <v>8209</v>
      </c>
      <c r="B2011" s="12" t="s">
        <v>4685</v>
      </c>
      <c r="C2011" s="13" t="s">
        <v>3757</v>
      </c>
      <c r="D2011" s="13" t="s">
        <v>3754</v>
      </c>
      <c r="E2011" s="72" t="s">
        <v>5312</v>
      </c>
      <c r="F2011" s="13" t="s">
        <v>5798</v>
      </c>
      <c r="G2011" s="8">
        <v>64</v>
      </c>
      <c r="H2011" s="8"/>
      <c r="I2011" s="8"/>
      <c r="J2011" s="29" t="s">
        <v>1277</v>
      </c>
      <c r="K2011" s="72" t="s">
        <v>5314</v>
      </c>
      <c r="L2011" s="29"/>
      <c r="M2011" s="68">
        <v>1</v>
      </c>
      <c r="N2011" s="68" t="s">
        <v>795</v>
      </c>
    </row>
    <row r="2012" spans="1:14" ht="14.25" x14ac:dyDescent="0.2">
      <c r="A2012" s="14" t="s">
        <v>8209</v>
      </c>
      <c r="B2012" s="15" t="s">
        <v>3740</v>
      </c>
      <c r="C2012" s="16" t="s">
        <v>3757</v>
      </c>
      <c r="D2012" s="16" t="s">
        <v>3754</v>
      </c>
      <c r="E2012" s="27" t="s">
        <v>6992</v>
      </c>
      <c r="F2012" s="16" t="s">
        <v>6993</v>
      </c>
      <c r="G2012" s="21">
        <v>40</v>
      </c>
      <c r="H2012" s="21"/>
      <c r="I2012" s="21"/>
      <c r="J2012" s="27" t="s">
        <v>1264</v>
      </c>
      <c r="K2012" s="27" t="s">
        <v>6994</v>
      </c>
      <c r="L2012" s="29"/>
      <c r="M2012" s="68">
        <v>1</v>
      </c>
      <c r="N2012" s="68" t="s">
        <v>595</v>
      </c>
    </row>
    <row r="2013" spans="1:14" ht="14.25" x14ac:dyDescent="0.2">
      <c r="A2013" s="11" t="s">
        <v>8209</v>
      </c>
      <c r="B2013" s="12" t="s">
        <v>175</v>
      </c>
      <c r="C2013" s="13" t="s">
        <v>3754</v>
      </c>
      <c r="D2013" s="13" t="s">
        <v>3754</v>
      </c>
      <c r="E2013" s="29" t="s">
        <v>4372</v>
      </c>
      <c r="F2013" s="13" t="s">
        <v>5378</v>
      </c>
      <c r="G2013" s="8">
        <v>3</v>
      </c>
      <c r="H2013" s="8">
        <v>4</v>
      </c>
      <c r="I2013" s="8">
        <v>18</v>
      </c>
      <c r="J2013" s="29" t="s">
        <v>3191</v>
      </c>
      <c r="K2013" s="29" t="s">
        <v>4373</v>
      </c>
      <c r="L2013" s="29"/>
      <c r="M2013" s="68">
        <v>1</v>
      </c>
      <c r="N2013" s="68" t="s">
        <v>4363</v>
      </c>
    </row>
    <row r="2014" spans="1:14" ht="14.25" x14ac:dyDescent="0.2">
      <c r="A2014" s="14" t="s">
        <v>8209</v>
      </c>
      <c r="B2014" s="15" t="s">
        <v>3723</v>
      </c>
      <c r="C2014" s="16" t="s">
        <v>3757</v>
      </c>
      <c r="D2014" s="16" t="s">
        <v>3754</v>
      </c>
      <c r="E2014" s="27" t="s">
        <v>653</v>
      </c>
      <c r="F2014" s="16" t="s">
        <v>654</v>
      </c>
      <c r="G2014" s="21">
        <v>45</v>
      </c>
      <c r="H2014" s="21"/>
      <c r="I2014" s="21"/>
      <c r="J2014" s="27" t="s">
        <v>7431</v>
      </c>
      <c r="K2014" s="27" t="s">
        <v>2073</v>
      </c>
      <c r="L2014" s="29"/>
      <c r="M2014" s="68">
        <v>1</v>
      </c>
      <c r="N2014" s="68" t="s">
        <v>595</v>
      </c>
    </row>
    <row r="2015" spans="1:14" ht="14.25" x14ac:dyDescent="0.2">
      <c r="A2015" s="14" t="s">
        <v>8209</v>
      </c>
      <c r="B2015" s="15" t="s">
        <v>3723</v>
      </c>
      <c r="C2015" s="16" t="s">
        <v>3761</v>
      </c>
      <c r="D2015" s="28"/>
      <c r="E2015" s="27" t="s">
        <v>8210</v>
      </c>
      <c r="F2015" s="16" t="s">
        <v>1541</v>
      </c>
      <c r="G2015" s="8"/>
      <c r="H2015" s="8">
        <v>7</v>
      </c>
      <c r="I2015" s="8">
        <v>2</v>
      </c>
      <c r="J2015" s="27" t="s">
        <v>8211</v>
      </c>
      <c r="K2015" s="27" t="s">
        <v>8212</v>
      </c>
      <c r="L2015" s="29"/>
      <c r="M2015" s="68">
        <v>1</v>
      </c>
      <c r="N2015" s="68" t="s">
        <v>8206</v>
      </c>
    </row>
    <row r="2016" spans="1:14" ht="14.25" x14ac:dyDescent="0.2">
      <c r="A2016" s="11" t="s">
        <v>8209</v>
      </c>
      <c r="B2016" s="12" t="s">
        <v>3751</v>
      </c>
      <c r="C2016" s="16" t="s">
        <v>3761</v>
      </c>
      <c r="D2016" s="13" t="s">
        <v>3754</v>
      </c>
      <c r="E2016" s="29" t="s">
        <v>360</v>
      </c>
      <c r="F2016" s="13" t="s">
        <v>361</v>
      </c>
      <c r="G2016" s="8"/>
      <c r="H2016" s="8">
        <v>13</v>
      </c>
      <c r="I2016" s="8"/>
      <c r="J2016" s="29" t="s">
        <v>4579</v>
      </c>
      <c r="K2016" s="29" t="s">
        <v>3060</v>
      </c>
      <c r="L2016" s="29"/>
      <c r="M2016" s="68">
        <v>1</v>
      </c>
      <c r="N2016" s="68" t="s">
        <v>4108</v>
      </c>
    </row>
    <row r="2017" spans="1:14" ht="14.25" x14ac:dyDescent="0.2">
      <c r="A2017" s="11" t="s">
        <v>495</v>
      </c>
      <c r="B2017" s="12" t="s">
        <v>496</v>
      </c>
      <c r="C2017" s="13" t="s">
        <v>3757</v>
      </c>
      <c r="D2017" s="13" t="s">
        <v>3754</v>
      </c>
      <c r="E2017" s="29" t="s">
        <v>235</v>
      </c>
      <c r="F2017" s="13" t="s">
        <v>497</v>
      </c>
      <c r="G2017" s="8">
        <v>65</v>
      </c>
      <c r="H2017" s="8"/>
      <c r="I2017" s="8"/>
      <c r="J2017" s="29" t="s">
        <v>6040</v>
      </c>
      <c r="K2017" s="29" t="s">
        <v>8777</v>
      </c>
      <c r="L2017" s="29"/>
      <c r="M2017" s="68">
        <v>1</v>
      </c>
      <c r="N2017" s="68" t="s">
        <v>1129</v>
      </c>
    </row>
    <row r="2018" spans="1:14" ht="14.25" x14ac:dyDescent="0.2">
      <c r="A2018" s="11" t="s">
        <v>4437</v>
      </c>
      <c r="B2018" s="12" t="s">
        <v>7789</v>
      </c>
      <c r="C2018" s="13" t="s">
        <v>3757</v>
      </c>
      <c r="D2018" s="13" t="s">
        <v>3754</v>
      </c>
      <c r="E2018" s="72" t="s">
        <v>5327</v>
      </c>
      <c r="F2018" s="13" t="s">
        <v>809</v>
      </c>
      <c r="G2018" s="8">
        <v>81</v>
      </c>
      <c r="H2018" s="8"/>
      <c r="I2018" s="8"/>
      <c r="J2018" s="29" t="s">
        <v>1271</v>
      </c>
      <c r="K2018" s="72" t="s">
        <v>5026</v>
      </c>
      <c r="L2018" s="29"/>
      <c r="M2018" s="68">
        <v>1</v>
      </c>
      <c r="N2018" s="68" t="s">
        <v>795</v>
      </c>
    </row>
    <row r="2019" spans="1:14" ht="14.25" x14ac:dyDescent="0.2">
      <c r="A2019" s="11" t="s">
        <v>4437</v>
      </c>
      <c r="B2019" s="12" t="s">
        <v>3732</v>
      </c>
      <c r="C2019" s="16" t="s">
        <v>3761</v>
      </c>
      <c r="D2019" s="13" t="s">
        <v>4438</v>
      </c>
      <c r="E2019" s="29"/>
      <c r="F2019" s="13" t="s">
        <v>4439</v>
      </c>
      <c r="G2019" s="8">
        <v>23</v>
      </c>
      <c r="H2019" s="8">
        <v>1</v>
      </c>
      <c r="I2019" s="8">
        <v>12</v>
      </c>
      <c r="J2019" s="29" t="s">
        <v>2335</v>
      </c>
      <c r="K2019" s="29" t="s">
        <v>4440</v>
      </c>
      <c r="L2019" s="29"/>
      <c r="M2019" s="68">
        <v>1</v>
      </c>
      <c r="N2019" s="68" t="s">
        <v>8451</v>
      </c>
    </row>
    <row r="2020" spans="1:14" ht="14.25" x14ac:dyDescent="0.2">
      <c r="A2020" s="11" t="s">
        <v>4437</v>
      </c>
      <c r="B2020" s="12" t="s">
        <v>6155</v>
      </c>
      <c r="C2020" s="13" t="s">
        <v>3757</v>
      </c>
      <c r="D2020" s="13" t="s">
        <v>3754</v>
      </c>
      <c r="E2020" s="29" t="s">
        <v>6156</v>
      </c>
      <c r="F2020" s="13" t="s">
        <v>6157</v>
      </c>
      <c r="G2020" s="21">
        <v>42</v>
      </c>
      <c r="H2020" s="21"/>
      <c r="I2020" s="21"/>
      <c r="J2020" s="29" t="s">
        <v>7431</v>
      </c>
      <c r="K2020" s="29" t="s">
        <v>1506</v>
      </c>
      <c r="L2020" s="29"/>
      <c r="M2020" s="68">
        <v>1</v>
      </c>
      <c r="N2020" s="68" t="s">
        <v>2755</v>
      </c>
    </row>
    <row r="2021" spans="1:14" ht="14.25" x14ac:dyDescent="0.2">
      <c r="A2021" s="11" t="s">
        <v>4437</v>
      </c>
      <c r="B2021" s="12" t="s">
        <v>3733</v>
      </c>
      <c r="C2021" s="13" t="s">
        <v>3754</v>
      </c>
      <c r="D2021" s="13" t="s">
        <v>3754</v>
      </c>
      <c r="E2021" s="29" t="s">
        <v>3687</v>
      </c>
      <c r="F2021" s="13" t="s">
        <v>6145</v>
      </c>
      <c r="G2021" s="21">
        <v>27</v>
      </c>
      <c r="H2021" s="21"/>
      <c r="I2021" s="21"/>
      <c r="J2021" s="29" t="s">
        <v>1259</v>
      </c>
      <c r="K2021" s="29" t="s">
        <v>3689</v>
      </c>
      <c r="L2021" s="29"/>
      <c r="M2021" s="68">
        <v>1</v>
      </c>
      <c r="N2021" s="68" t="s">
        <v>2755</v>
      </c>
    </row>
    <row r="2022" spans="1:14" ht="14.25" x14ac:dyDescent="0.2">
      <c r="A2022" s="11" t="s">
        <v>740</v>
      </c>
      <c r="B2022" s="12" t="s">
        <v>3728</v>
      </c>
      <c r="C2022" s="13" t="s">
        <v>3754</v>
      </c>
      <c r="D2022" s="13" t="s">
        <v>3315</v>
      </c>
      <c r="E2022" s="29" t="s">
        <v>1464</v>
      </c>
      <c r="F2022" s="13" t="s">
        <v>3315</v>
      </c>
      <c r="G2022" s="21">
        <v>7</v>
      </c>
      <c r="H2022" s="21">
        <v>6</v>
      </c>
      <c r="I2022" s="21"/>
      <c r="J2022" s="29" t="s">
        <v>7319</v>
      </c>
      <c r="K2022" s="29" t="s">
        <v>4913</v>
      </c>
      <c r="L2022" s="29"/>
      <c r="M2022" s="68">
        <v>1</v>
      </c>
      <c r="N2022" s="68" t="s">
        <v>726</v>
      </c>
    </row>
    <row r="2023" spans="1:14" ht="15" x14ac:dyDescent="0.2">
      <c r="A2023" s="14" t="s">
        <v>740</v>
      </c>
      <c r="B2023" s="15" t="s">
        <v>4685</v>
      </c>
      <c r="C2023" s="16" t="s">
        <v>3754</v>
      </c>
      <c r="D2023" s="27" t="s">
        <v>3754</v>
      </c>
      <c r="E2023" s="27" t="s">
        <v>5259</v>
      </c>
      <c r="F2023" s="27" t="s">
        <v>2746</v>
      </c>
      <c r="G2023" s="21">
        <v>2</v>
      </c>
      <c r="H2023" s="21">
        <v>1</v>
      </c>
      <c r="I2023" s="21">
        <v>26</v>
      </c>
      <c r="J2023" s="27" t="s">
        <v>1277</v>
      </c>
      <c r="K2023" s="96" t="s">
        <v>3666</v>
      </c>
      <c r="L2023" s="100"/>
      <c r="M2023" s="68">
        <v>1</v>
      </c>
      <c r="N2023" s="68" t="s">
        <v>6124</v>
      </c>
    </row>
    <row r="2024" spans="1:14" ht="14.25" x14ac:dyDescent="0.2">
      <c r="A2024" s="11" t="s">
        <v>740</v>
      </c>
      <c r="B2024" s="12" t="s">
        <v>4581</v>
      </c>
      <c r="C2024" s="13" t="s">
        <v>3757</v>
      </c>
      <c r="D2024" s="13" t="s">
        <v>3754</v>
      </c>
      <c r="E2024" s="29" t="s">
        <v>1082</v>
      </c>
      <c r="F2024" s="13" t="s">
        <v>1083</v>
      </c>
      <c r="G2024" s="8">
        <v>84</v>
      </c>
      <c r="H2024" s="8"/>
      <c r="I2024" s="8"/>
      <c r="J2024" s="29" t="s">
        <v>1271</v>
      </c>
      <c r="K2024" s="29" t="s">
        <v>3187</v>
      </c>
      <c r="L2024" s="29"/>
      <c r="M2024" s="68">
        <v>1</v>
      </c>
      <c r="N2024" s="68" t="s">
        <v>4363</v>
      </c>
    </row>
    <row r="2025" spans="1:14" ht="42.75" x14ac:dyDescent="0.2">
      <c r="A2025" s="11" t="s">
        <v>740</v>
      </c>
      <c r="B2025" s="12" t="s">
        <v>6274</v>
      </c>
      <c r="C2025" s="13" t="s">
        <v>3754</v>
      </c>
      <c r="D2025" s="13" t="s">
        <v>3754</v>
      </c>
      <c r="E2025" s="29" t="s">
        <v>2539</v>
      </c>
      <c r="F2025" s="13" t="s">
        <v>6275</v>
      </c>
      <c r="G2025" s="21">
        <v>27</v>
      </c>
      <c r="H2025" s="21"/>
      <c r="I2025" s="21"/>
      <c r="J2025" s="29" t="s">
        <v>4809</v>
      </c>
      <c r="K2025" s="29" t="s">
        <v>5601</v>
      </c>
      <c r="L2025" s="56" t="s">
        <v>6276</v>
      </c>
      <c r="M2025" s="68">
        <v>1</v>
      </c>
      <c r="N2025" s="68" t="s">
        <v>2359</v>
      </c>
    </row>
    <row r="2026" spans="1:14" ht="14.25" x14ac:dyDescent="0.2">
      <c r="A2026" s="14" t="s">
        <v>8258</v>
      </c>
      <c r="B2026" s="15" t="s">
        <v>1569</v>
      </c>
      <c r="C2026" s="16" t="s">
        <v>3761</v>
      </c>
      <c r="D2026" s="13" t="s">
        <v>3754</v>
      </c>
      <c r="E2026" s="27" t="s">
        <v>8259</v>
      </c>
      <c r="F2026" s="16" t="s">
        <v>8260</v>
      </c>
      <c r="G2026" s="8">
        <v>1</v>
      </c>
      <c r="H2026" s="8">
        <v>1</v>
      </c>
      <c r="I2026" s="8"/>
      <c r="J2026" s="27" t="s">
        <v>8261</v>
      </c>
      <c r="K2026" s="27" t="s">
        <v>8262</v>
      </c>
      <c r="L2026" s="29"/>
      <c r="M2026" s="68">
        <v>1</v>
      </c>
      <c r="N2026" s="68" t="s">
        <v>8206</v>
      </c>
    </row>
    <row r="2027" spans="1:14" ht="14.25" x14ac:dyDescent="0.2">
      <c r="A2027" s="14" t="s">
        <v>8137</v>
      </c>
      <c r="B2027" s="15" t="s">
        <v>3748</v>
      </c>
      <c r="C2027" s="16" t="s">
        <v>3757</v>
      </c>
      <c r="D2027" s="13" t="s">
        <v>3754</v>
      </c>
      <c r="E2027" s="27">
        <v>1854</v>
      </c>
      <c r="F2027" s="16" t="s">
        <v>1541</v>
      </c>
      <c r="G2027" s="8">
        <v>50</v>
      </c>
      <c r="H2027" s="8"/>
      <c r="I2027" s="8"/>
      <c r="J2027" s="27" t="s">
        <v>3395</v>
      </c>
      <c r="K2027" s="27" t="s">
        <v>8229</v>
      </c>
      <c r="L2027" s="61"/>
      <c r="M2027" s="68">
        <v>1</v>
      </c>
      <c r="N2027" s="68" t="s">
        <v>8206</v>
      </c>
    </row>
    <row r="2028" spans="1:14" ht="14.25" x14ac:dyDescent="0.2">
      <c r="A2028" s="9" t="s">
        <v>8137</v>
      </c>
      <c r="B2028" s="5" t="s">
        <v>3748</v>
      </c>
      <c r="C2028" s="10" t="s">
        <v>3757</v>
      </c>
      <c r="D2028" s="13" t="s">
        <v>3754</v>
      </c>
      <c r="E2028" s="55" t="s">
        <v>2143</v>
      </c>
      <c r="F2028" s="10" t="s">
        <v>588</v>
      </c>
      <c r="G2028" s="8">
        <v>57</v>
      </c>
      <c r="H2028" s="8"/>
      <c r="I2028" s="8"/>
      <c r="J2028" s="55" t="s">
        <v>1272</v>
      </c>
      <c r="K2028" s="55" t="s">
        <v>589</v>
      </c>
      <c r="L2028" s="61"/>
      <c r="M2028" s="68">
        <v>1</v>
      </c>
      <c r="N2028" s="68" t="s">
        <v>1129</v>
      </c>
    </row>
    <row r="2029" spans="1:14" ht="14.25" x14ac:dyDescent="0.2">
      <c r="A2029" s="17" t="s">
        <v>8137</v>
      </c>
      <c r="B2029" s="18" t="s">
        <v>3748</v>
      </c>
      <c r="C2029" s="19" t="s">
        <v>3757</v>
      </c>
      <c r="D2029" s="13" t="s">
        <v>3754</v>
      </c>
      <c r="E2029" s="45" t="s">
        <v>8254</v>
      </c>
      <c r="F2029" s="19" t="s">
        <v>8255</v>
      </c>
      <c r="G2029" s="8">
        <v>74</v>
      </c>
      <c r="H2029" s="8"/>
      <c r="I2029" s="8"/>
      <c r="J2029" s="45" t="s">
        <v>1271</v>
      </c>
      <c r="K2029" s="45" t="s">
        <v>6511</v>
      </c>
      <c r="L2029" s="61"/>
      <c r="M2029" s="68">
        <v>1</v>
      </c>
      <c r="N2029" s="68" t="s">
        <v>8206</v>
      </c>
    </row>
    <row r="2030" spans="1:14" ht="14.25" x14ac:dyDescent="0.2">
      <c r="A2030" s="11" t="s">
        <v>8137</v>
      </c>
      <c r="B2030" s="12" t="s">
        <v>4703</v>
      </c>
      <c r="C2030" s="13" t="s">
        <v>4931</v>
      </c>
      <c r="D2030" s="13" t="s">
        <v>5746</v>
      </c>
      <c r="E2030" s="29" t="s">
        <v>8481</v>
      </c>
      <c r="F2030" s="13" t="s">
        <v>5963</v>
      </c>
      <c r="G2030" s="8">
        <v>24</v>
      </c>
      <c r="H2030" s="8">
        <v>6</v>
      </c>
      <c r="I2030" s="8"/>
      <c r="J2030" s="29" t="s">
        <v>8482</v>
      </c>
      <c r="K2030" s="29" t="s">
        <v>4386</v>
      </c>
      <c r="L2030" s="29"/>
      <c r="M2030" s="68">
        <v>1</v>
      </c>
      <c r="N2030" s="68" t="s">
        <v>8451</v>
      </c>
    </row>
    <row r="2031" spans="1:14" ht="14.25" x14ac:dyDescent="0.2">
      <c r="A2031" s="14" t="s">
        <v>8137</v>
      </c>
      <c r="B2031" s="15" t="s">
        <v>1432</v>
      </c>
      <c r="C2031" s="16" t="s">
        <v>3757</v>
      </c>
      <c r="D2031" s="16"/>
      <c r="E2031" s="27" t="s">
        <v>8192</v>
      </c>
      <c r="F2031" s="16" t="s">
        <v>1541</v>
      </c>
      <c r="G2031" s="8">
        <v>35</v>
      </c>
      <c r="H2031" s="8"/>
      <c r="I2031" s="8"/>
      <c r="J2031" s="27" t="s">
        <v>4735</v>
      </c>
      <c r="K2031" s="27" t="s">
        <v>8193</v>
      </c>
      <c r="L2031" s="29"/>
      <c r="M2031" s="68">
        <v>1</v>
      </c>
      <c r="N2031" s="68" t="s">
        <v>491</v>
      </c>
    </row>
    <row r="2032" spans="1:14" ht="14.25" x14ac:dyDescent="0.2">
      <c r="A2032" s="11" t="s">
        <v>8137</v>
      </c>
      <c r="B2032" s="12" t="s">
        <v>3752</v>
      </c>
      <c r="C2032" s="16" t="s">
        <v>3761</v>
      </c>
      <c r="D2032" s="13" t="s">
        <v>3754</v>
      </c>
      <c r="E2032" s="29" t="s">
        <v>8478</v>
      </c>
      <c r="F2032" s="13" t="s">
        <v>8479</v>
      </c>
      <c r="G2032" s="8"/>
      <c r="H2032" s="8">
        <v>7</v>
      </c>
      <c r="I2032" s="8"/>
      <c r="J2032" s="29" t="s">
        <v>2595</v>
      </c>
      <c r="K2032" s="29" t="s">
        <v>8480</v>
      </c>
      <c r="L2032" s="29"/>
      <c r="M2032" s="68">
        <v>1</v>
      </c>
      <c r="N2032" s="68" t="s">
        <v>8451</v>
      </c>
    </row>
    <row r="2033" spans="1:14" ht="14.25" x14ac:dyDescent="0.2">
      <c r="A2033" s="14" t="s">
        <v>8137</v>
      </c>
      <c r="B2033" s="15" t="s">
        <v>207</v>
      </c>
      <c r="C2033" s="16" t="s">
        <v>3761</v>
      </c>
      <c r="D2033" s="28"/>
      <c r="E2033" s="27" t="s">
        <v>8203</v>
      </c>
      <c r="F2033" s="16" t="s">
        <v>8204</v>
      </c>
      <c r="G2033" s="8">
        <v>13</v>
      </c>
      <c r="H2033" s="8"/>
      <c r="I2033" s="8"/>
      <c r="J2033" s="27" t="s">
        <v>1572</v>
      </c>
      <c r="K2033" s="27" t="s">
        <v>8205</v>
      </c>
      <c r="L2033" s="95"/>
      <c r="M2033" s="68">
        <v>1</v>
      </c>
      <c r="N2033" s="68" t="s">
        <v>491</v>
      </c>
    </row>
    <row r="2034" spans="1:14" ht="14.25" x14ac:dyDescent="0.2">
      <c r="A2034" s="11" t="s">
        <v>8137</v>
      </c>
      <c r="B2034" s="12" t="s">
        <v>5435</v>
      </c>
      <c r="C2034" s="13" t="s">
        <v>4931</v>
      </c>
      <c r="D2034" s="13"/>
      <c r="E2034" s="29" t="s">
        <v>4446</v>
      </c>
      <c r="F2034" s="13" t="s">
        <v>5963</v>
      </c>
      <c r="G2034" s="8">
        <v>23</v>
      </c>
      <c r="H2034" s="8">
        <v>4</v>
      </c>
      <c r="I2034" s="8"/>
      <c r="J2034" s="29" t="s">
        <v>1264</v>
      </c>
      <c r="K2034" s="29" t="s">
        <v>4447</v>
      </c>
      <c r="L2034" s="95"/>
      <c r="M2034" s="68">
        <v>1</v>
      </c>
      <c r="N2034" s="68" t="s">
        <v>8451</v>
      </c>
    </row>
    <row r="2035" spans="1:14" ht="14.25" x14ac:dyDescent="0.2">
      <c r="A2035" s="14" t="s">
        <v>8137</v>
      </c>
      <c r="B2035" s="15" t="s">
        <v>6080</v>
      </c>
      <c r="C2035" s="16" t="s">
        <v>3761</v>
      </c>
      <c r="D2035" s="13" t="s">
        <v>3754</v>
      </c>
      <c r="E2035" s="27"/>
      <c r="F2035" s="16" t="s">
        <v>1541</v>
      </c>
      <c r="G2035" s="8"/>
      <c r="H2035" s="8"/>
      <c r="I2035" s="8">
        <v>4</v>
      </c>
      <c r="J2035" s="27"/>
      <c r="K2035" s="27" t="s">
        <v>8138</v>
      </c>
      <c r="L2035" s="29"/>
      <c r="M2035" s="68">
        <v>1</v>
      </c>
      <c r="N2035" s="68" t="s">
        <v>491</v>
      </c>
    </row>
    <row r="2036" spans="1:14" ht="14.25" x14ac:dyDescent="0.2">
      <c r="A2036" s="11" t="s">
        <v>8137</v>
      </c>
      <c r="B2036" s="12" t="s">
        <v>4685</v>
      </c>
      <c r="C2036" s="13" t="s">
        <v>4425</v>
      </c>
      <c r="D2036" s="13" t="s">
        <v>5963</v>
      </c>
      <c r="E2036" s="29"/>
      <c r="F2036" s="13" t="s">
        <v>5963</v>
      </c>
      <c r="G2036" s="8">
        <v>28</v>
      </c>
      <c r="H2036" s="8"/>
      <c r="I2036" s="8"/>
      <c r="J2036" s="29" t="s">
        <v>1264</v>
      </c>
      <c r="K2036" s="29"/>
      <c r="L2036" s="29"/>
      <c r="M2036" s="68">
        <v>1</v>
      </c>
      <c r="N2036" s="68" t="s">
        <v>8451</v>
      </c>
    </row>
    <row r="2037" spans="1:14" ht="14.25" x14ac:dyDescent="0.2">
      <c r="A2037" s="14" t="s">
        <v>8137</v>
      </c>
      <c r="B2037" s="15" t="s">
        <v>3740</v>
      </c>
      <c r="C2037" s="16" t="s">
        <v>3757</v>
      </c>
      <c r="D2037" s="13" t="s">
        <v>3754</v>
      </c>
      <c r="E2037" s="27" t="s">
        <v>4093</v>
      </c>
      <c r="F2037" s="16" t="s">
        <v>5494</v>
      </c>
      <c r="G2037" s="8">
        <v>23</v>
      </c>
      <c r="H2037" s="8"/>
      <c r="I2037" s="8"/>
      <c r="J2037" s="27" t="s">
        <v>1272</v>
      </c>
      <c r="K2037" s="27" t="s">
        <v>5716</v>
      </c>
      <c r="L2037" s="29"/>
      <c r="M2037" s="68">
        <v>1</v>
      </c>
      <c r="N2037" s="68" t="s">
        <v>8206</v>
      </c>
    </row>
    <row r="2038" spans="1:14" ht="14.25" x14ac:dyDescent="0.2">
      <c r="A2038" s="14" t="s">
        <v>8137</v>
      </c>
      <c r="B2038" s="15" t="s">
        <v>3740</v>
      </c>
      <c r="C2038" s="16" t="s">
        <v>8239</v>
      </c>
      <c r="D2038" s="13" t="s">
        <v>3754</v>
      </c>
      <c r="E2038" s="27" t="s">
        <v>5112</v>
      </c>
      <c r="F2038" s="16" t="s">
        <v>8239</v>
      </c>
      <c r="G2038" s="8">
        <v>27</v>
      </c>
      <c r="H2038" s="8">
        <v>8</v>
      </c>
      <c r="I2038" s="8">
        <v>11</v>
      </c>
      <c r="J2038" s="27" t="s">
        <v>1264</v>
      </c>
      <c r="K2038" s="27" t="s">
        <v>8240</v>
      </c>
      <c r="L2038" s="29"/>
      <c r="M2038" s="68">
        <v>1</v>
      </c>
      <c r="N2038" s="68" t="s">
        <v>8206</v>
      </c>
    </row>
    <row r="2039" spans="1:14" ht="14.25" x14ac:dyDescent="0.2">
      <c r="A2039" s="14" t="s">
        <v>8137</v>
      </c>
      <c r="B2039" s="15" t="s">
        <v>3740</v>
      </c>
      <c r="C2039" s="16" t="s">
        <v>3757</v>
      </c>
      <c r="D2039" s="28"/>
      <c r="E2039" s="27" t="s">
        <v>8200</v>
      </c>
      <c r="F2039" s="16" t="s">
        <v>8201</v>
      </c>
      <c r="G2039" s="8">
        <v>28</v>
      </c>
      <c r="H2039" s="8"/>
      <c r="I2039" s="8"/>
      <c r="J2039" s="27" t="s">
        <v>1264</v>
      </c>
      <c r="K2039" s="27" t="s">
        <v>8202</v>
      </c>
      <c r="L2039" s="29"/>
      <c r="M2039" s="68">
        <v>1</v>
      </c>
      <c r="N2039" s="68" t="s">
        <v>491</v>
      </c>
    </row>
    <row r="2040" spans="1:14" ht="14.25" x14ac:dyDescent="0.2">
      <c r="A2040" s="14" t="s">
        <v>8137</v>
      </c>
      <c r="B2040" s="15" t="s">
        <v>3740</v>
      </c>
      <c r="C2040" s="16" t="s">
        <v>3757</v>
      </c>
      <c r="D2040" s="13" t="s">
        <v>3754</v>
      </c>
      <c r="E2040" s="27" t="s">
        <v>8237</v>
      </c>
      <c r="F2040" s="16" t="s">
        <v>1541</v>
      </c>
      <c r="G2040" s="8">
        <v>77</v>
      </c>
      <c r="H2040" s="8"/>
      <c r="I2040" s="8"/>
      <c r="J2040" s="27" t="s">
        <v>6573</v>
      </c>
      <c r="K2040" s="27" t="s">
        <v>8524</v>
      </c>
      <c r="L2040" s="29"/>
      <c r="M2040" s="68">
        <v>1</v>
      </c>
      <c r="N2040" s="68" t="s">
        <v>8206</v>
      </c>
    </row>
    <row r="2041" spans="1:14" ht="15" x14ac:dyDescent="0.2">
      <c r="A2041" s="14" t="s">
        <v>8137</v>
      </c>
      <c r="B2041" s="15" t="s">
        <v>3740</v>
      </c>
      <c r="C2041" s="16" t="s">
        <v>3757</v>
      </c>
      <c r="D2041" s="27" t="s">
        <v>3754</v>
      </c>
      <c r="E2041" s="27" t="s">
        <v>2581</v>
      </c>
      <c r="F2041" s="27" t="s">
        <v>2730</v>
      </c>
      <c r="G2041" s="21">
        <v>77</v>
      </c>
      <c r="H2041" s="21"/>
      <c r="I2041" s="21"/>
      <c r="J2041" s="27" t="s">
        <v>1271</v>
      </c>
      <c r="K2041" s="96" t="s">
        <v>2731</v>
      </c>
      <c r="L2041" s="65"/>
      <c r="M2041" s="68">
        <v>1</v>
      </c>
      <c r="N2041" s="68" t="s">
        <v>6124</v>
      </c>
    </row>
    <row r="2042" spans="1:14" ht="14.25" x14ac:dyDescent="0.2">
      <c r="A2042" s="11" t="s">
        <v>8137</v>
      </c>
      <c r="B2042" s="12" t="s">
        <v>501</v>
      </c>
      <c r="C2042" s="16" t="s">
        <v>3761</v>
      </c>
      <c r="D2042" s="13" t="s">
        <v>3754</v>
      </c>
      <c r="E2042" s="72" t="s">
        <v>905</v>
      </c>
      <c r="F2042" s="13" t="s">
        <v>906</v>
      </c>
      <c r="G2042" s="8">
        <v>3</v>
      </c>
      <c r="H2042" s="8">
        <v>10</v>
      </c>
      <c r="I2042" s="8"/>
      <c r="J2042" s="29" t="s">
        <v>4739</v>
      </c>
      <c r="K2042" s="72" t="s">
        <v>907</v>
      </c>
      <c r="L2042" s="29"/>
      <c r="M2042" s="68">
        <v>1</v>
      </c>
      <c r="N2042" s="68" t="s">
        <v>986</v>
      </c>
    </row>
    <row r="2043" spans="1:14" ht="14.25" x14ac:dyDescent="0.2">
      <c r="A2043" s="11" t="s">
        <v>8137</v>
      </c>
      <c r="B2043" s="12" t="s">
        <v>5712</v>
      </c>
      <c r="C2043" s="13" t="s">
        <v>5675</v>
      </c>
      <c r="D2043" s="13" t="s">
        <v>5675</v>
      </c>
      <c r="E2043" s="29"/>
      <c r="F2043" s="13" t="s">
        <v>5675</v>
      </c>
      <c r="G2043" s="8">
        <v>20</v>
      </c>
      <c r="H2043" s="8">
        <v>2</v>
      </c>
      <c r="I2043" s="8"/>
      <c r="J2043" s="29"/>
      <c r="K2043" s="29" t="s">
        <v>570</v>
      </c>
      <c r="L2043" s="29"/>
      <c r="M2043" s="68">
        <v>1</v>
      </c>
      <c r="N2043" s="68" t="s">
        <v>1129</v>
      </c>
    </row>
    <row r="2044" spans="1:14" ht="15" x14ac:dyDescent="0.2">
      <c r="A2044" s="11" t="s">
        <v>8137</v>
      </c>
      <c r="B2044" s="12" t="s">
        <v>5712</v>
      </c>
      <c r="C2044" s="13" t="s">
        <v>3754</v>
      </c>
      <c r="D2044" s="13" t="s">
        <v>3754</v>
      </c>
      <c r="E2044" s="29" t="s">
        <v>3903</v>
      </c>
      <c r="F2044" s="13" t="s">
        <v>6113</v>
      </c>
      <c r="G2044" s="21">
        <v>42</v>
      </c>
      <c r="H2044" s="21"/>
      <c r="I2044" s="21"/>
      <c r="J2044" s="29" t="s">
        <v>1928</v>
      </c>
      <c r="K2044" s="29" t="s">
        <v>3905</v>
      </c>
      <c r="L2044" s="58"/>
      <c r="M2044" s="68">
        <v>1</v>
      </c>
      <c r="N2044" s="68" t="s">
        <v>2359</v>
      </c>
    </row>
    <row r="2045" spans="1:14" ht="14.25" x14ac:dyDescent="0.2">
      <c r="A2045" s="11" t="s">
        <v>8137</v>
      </c>
      <c r="B2045" s="12" t="s">
        <v>3732</v>
      </c>
      <c r="C2045" s="13" t="s">
        <v>3757</v>
      </c>
      <c r="D2045" s="13" t="s">
        <v>3754</v>
      </c>
      <c r="E2045" s="29" t="s">
        <v>4328</v>
      </c>
      <c r="F2045" s="13" t="s">
        <v>4329</v>
      </c>
      <c r="G2045" s="8">
        <v>62</v>
      </c>
      <c r="H2045" s="8"/>
      <c r="I2045" s="8"/>
      <c r="J2045" s="29" t="s">
        <v>1264</v>
      </c>
      <c r="K2045" s="29" t="s">
        <v>4327</v>
      </c>
      <c r="L2045" s="56"/>
      <c r="M2045" s="68">
        <v>1</v>
      </c>
      <c r="N2045" s="68" t="s">
        <v>2717</v>
      </c>
    </row>
    <row r="2046" spans="1:14" ht="15" x14ac:dyDescent="0.2">
      <c r="A2046" s="14" t="s">
        <v>8137</v>
      </c>
      <c r="B2046" s="15" t="s">
        <v>3732</v>
      </c>
      <c r="C2046" s="16" t="s">
        <v>3757</v>
      </c>
      <c r="D2046" s="27" t="s">
        <v>3754</v>
      </c>
      <c r="E2046" s="27" t="s">
        <v>2574</v>
      </c>
      <c r="F2046" s="27" t="s">
        <v>6113</v>
      </c>
      <c r="G2046" s="21">
        <v>80</v>
      </c>
      <c r="H2046" s="21"/>
      <c r="I2046" s="21"/>
      <c r="J2046" s="27" t="s">
        <v>1271</v>
      </c>
      <c r="K2046" s="96" t="s">
        <v>2729</v>
      </c>
      <c r="L2046" s="65"/>
      <c r="M2046" s="68">
        <v>1</v>
      </c>
      <c r="N2046" s="68" t="s">
        <v>6124</v>
      </c>
    </row>
    <row r="2047" spans="1:14" ht="14.25" x14ac:dyDescent="0.2">
      <c r="A2047" s="11" t="s">
        <v>8137</v>
      </c>
      <c r="B2047" s="12" t="s">
        <v>3723</v>
      </c>
      <c r="C2047" s="16" t="s">
        <v>3761</v>
      </c>
      <c r="D2047" s="13" t="s">
        <v>3754</v>
      </c>
      <c r="E2047" s="29" t="s">
        <v>1367</v>
      </c>
      <c r="F2047" s="13" t="s">
        <v>7478</v>
      </c>
      <c r="G2047" s="8">
        <v>2</v>
      </c>
      <c r="H2047" s="8">
        <v>2</v>
      </c>
      <c r="I2047" s="8">
        <v>6</v>
      </c>
      <c r="J2047" s="29" t="s">
        <v>3395</v>
      </c>
      <c r="K2047" s="29" t="s">
        <v>4756</v>
      </c>
      <c r="L2047" s="56"/>
      <c r="M2047" s="68">
        <v>1</v>
      </c>
      <c r="N2047" s="68" t="s">
        <v>2717</v>
      </c>
    </row>
    <row r="2048" spans="1:14" ht="14.25" x14ac:dyDescent="0.2">
      <c r="A2048" s="11" t="s">
        <v>8137</v>
      </c>
      <c r="B2048" s="12" t="s">
        <v>3723</v>
      </c>
      <c r="C2048" s="16" t="s">
        <v>3761</v>
      </c>
      <c r="D2048" s="13" t="s">
        <v>3754</v>
      </c>
      <c r="E2048" s="72" t="s">
        <v>851</v>
      </c>
      <c r="F2048" s="13" t="s">
        <v>852</v>
      </c>
      <c r="G2048" s="8">
        <v>7</v>
      </c>
      <c r="H2048" s="8"/>
      <c r="I2048" s="8"/>
      <c r="J2048" s="29" t="s">
        <v>1258</v>
      </c>
      <c r="K2048" s="72" t="s">
        <v>853</v>
      </c>
      <c r="L2048" s="29"/>
      <c r="M2048" s="68">
        <v>1</v>
      </c>
      <c r="N2048" s="68" t="s">
        <v>795</v>
      </c>
    </row>
    <row r="2049" spans="1:14" ht="14.25" x14ac:dyDescent="0.2">
      <c r="A2049" s="11" t="s">
        <v>8137</v>
      </c>
      <c r="B2049" s="12" t="s">
        <v>4701</v>
      </c>
      <c r="C2049" s="13" t="s">
        <v>3757</v>
      </c>
      <c r="D2049" s="13" t="s">
        <v>3754</v>
      </c>
      <c r="E2049" s="72" t="s">
        <v>827</v>
      </c>
      <c r="F2049" s="13" t="s">
        <v>4839</v>
      </c>
      <c r="G2049" s="8">
        <v>63</v>
      </c>
      <c r="H2049" s="8"/>
      <c r="I2049" s="8"/>
      <c r="J2049" s="29" t="s">
        <v>1928</v>
      </c>
      <c r="K2049" s="72" t="s">
        <v>5011</v>
      </c>
      <c r="L2049" s="29"/>
      <c r="M2049" s="68">
        <v>1</v>
      </c>
      <c r="N2049" s="68" t="s">
        <v>795</v>
      </c>
    </row>
    <row r="2050" spans="1:14" ht="14.25" x14ac:dyDescent="0.2">
      <c r="A2050" s="11" t="s">
        <v>8137</v>
      </c>
      <c r="B2050" s="12" t="s">
        <v>3733</v>
      </c>
      <c r="C2050" s="13" t="s">
        <v>5675</v>
      </c>
      <c r="D2050" s="13" t="s">
        <v>5675</v>
      </c>
      <c r="E2050" s="29"/>
      <c r="F2050" s="13" t="s">
        <v>5675</v>
      </c>
      <c r="G2050" s="8">
        <v>29</v>
      </c>
      <c r="H2050" s="8"/>
      <c r="I2050" s="8"/>
      <c r="J2050" s="29" t="s">
        <v>1264</v>
      </c>
      <c r="K2050" s="29" t="s">
        <v>518</v>
      </c>
      <c r="L2050" s="29"/>
      <c r="M2050" s="68">
        <v>1</v>
      </c>
      <c r="N2050" s="68" t="s">
        <v>1129</v>
      </c>
    </row>
    <row r="2051" spans="1:14" ht="14.25" x14ac:dyDescent="0.2">
      <c r="A2051" s="11" t="s">
        <v>8137</v>
      </c>
      <c r="B2051" s="12" t="s">
        <v>6140</v>
      </c>
      <c r="C2051" s="16" t="s">
        <v>3761</v>
      </c>
      <c r="D2051" s="13" t="s">
        <v>4412</v>
      </c>
      <c r="E2051" s="72" t="s">
        <v>96</v>
      </c>
      <c r="F2051" s="13" t="s">
        <v>97</v>
      </c>
      <c r="G2051" s="8">
        <v>26</v>
      </c>
      <c r="H2051" s="8"/>
      <c r="I2051" s="8"/>
      <c r="J2051" s="29" t="s">
        <v>1264</v>
      </c>
      <c r="K2051" s="72" t="s">
        <v>408</v>
      </c>
      <c r="L2051" s="29"/>
      <c r="M2051" s="68">
        <v>1</v>
      </c>
      <c r="N2051" s="68" t="s">
        <v>986</v>
      </c>
    </row>
    <row r="2052" spans="1:14" ht="14.25" x14ac:dyDescent="0.2">
      <c r="A2052" s="11" t="s">
        <v>8137</v>
      </c>
      <c r="B2052" s="12" t="s">
        <v>1445</v>
      </c>
      <c r="C2052" s="16" t="s">
        <v>3761</v>
      </c>
      <c r="D2052" s="13" t="s">
        <v>3754</v>
      </c>
      <c r="E2052" s="29" t="s">
        <v>8462</v>
      </c>
      <c r="F2052" s="13" t="s">
        <v>5963</v>
      </c>
      <c r="G2052" s="8">
        <v>20</v>
      </c>
      <c r="H2052" s="8">
        <v>4</v>
      </c>
      <c r="I2052" s="8"/>
      <c r="J2052" s="29" t="s">
        <v>1264</v>
      </c>
      <c r="K2052" s="29" t="s">
        <v>5790</v>
      </c>
      <c r="L2052" s="29"/>
      <c r="M2052" s="68">
        <v>1</v>
      </c>
      <c r="N2052" s="68" t="s">
        <v>8451</v>
      </c>
    </row>
    <row r="2053" spans="1:14" ht="15" x14ac:dyDescent="0.2">
      <c r="A2053" s="14" t="s">
        <v>91</v>
      </c>
      <c r="B2053" s="15" t="s">
        <v>1432</v>
      </c>
      <c r="C2053" s="16" t="s">
        <v>3754</v>
      </c>
      <c r="D2053" s="27" t="s">
        <v>3754</v>
      </c>
      <c r="E2053" s="27" t="s">
        <v>6531</v>
      </c>
      <c r="F2053" s="27" t="s">
        <v>92</v>
      </c>
      <c r="G2053" s="21"/>
      <c r="H2053" s="21">
        <v>10</v>
      </c>
      <c r="I2053" s="21"/>
      <c r="J2053" s="27" t="s">
        <v>93</v>
      </c>
      <c r="K2053" s="96" t="s">
        <v>2356</v>
      </c>
      <c r="L2053" s="65"/>
      <c r="M2053" s="68">
        <v>1</v>
      </c>
      <c r="N2053" s="68" t="s">
        <v>6124</v>
      </c>
    </row>
    <row r="2054" spans="1:14" ht="14.25" x14ac:dyDescent="0.2">
      <c r="A2054" s="11" t="s">
        <v>4314</v>
      </c>
      <c r="B2054" s="12" t="s">
        <v>7823</v>
      </c>
      <c r="C2054" s="16" t="s">
        <v>3761</v>
      </c>
      <c r="D2054" s="13" t="s">
        <v>3754</v>
      </c>
      <c r="E2054" s="29" t="s">
        <v>4315</v>
      </c>
      <c r="F2054" s="13" t="s">
        <v>4316</v>
      </c>
      <c r="G2054" s="8"/>
      <c r="H2054" s="8">
        <v>5</v>
      </c>
      <c r="I2054" s="8"/>
      <c r="J2054" s="29" t="s">
        <v>2595</v>
      </c>
      <c r="K2054" s="29" t="s">
        <v>4317</v>
      </c>
      <c r="L2054" s="56"/>
      <c r="M2054" s="68">
        <v>1</v>
      </c>
      <c r="N2054" s="68" t="s">
        <v>2717</v>
      </c>
    </row>
    <row r="2055" spans="1:14" ht="14.25" x14ac:dyDescent="0.2">
      <c r="A2055" s="11" t="s">
        <v>4314</v>
      </c>
      <c r="B2055" s="12" t="s">
        <v>4690</v>
      </c>
      <c r="C2055" s="13" t="s">
        <v>3754</v>
      </c>
      <c r="D2055" s="13" t="s">
        <v>3759</v>
      </c>
      <c r="E2055" s="29" t="s">
        <v>6177</v>
      </c>
      <c r="F2055" s="13" t="s">
        <v>6178</v>
      </c>
      <c r="G2055" s="21">
        <v>27</v>
      </c>
      <c r="H2055" s="21"/>
      <c r="I2055" s="21"/>
      <c r="J2055" s="29" t="s">
        <v>1264</v>
      </c>
      <c r="K2055" s="29" t="s">
        <v>6755</v>
      </c>
      <c r="L2055" s="29"/>
      <c r="M2055" s="68">
        <v>1</v>
      </c>
      <c r="N2055" s="68" t="s">
        <v>2755</v>
      </c>
    </row>
    <row r="2056" spans="1:14" ht="15" x14ac:dyDescent="0.2">
      <c r="A2056" s="14" t="s">
        <v>4314</v>
      </c>
      <c r="B2056" s="15" t="s">
        <v>4703</v>
      </c>
      <c r="C2056" s="16" t="s">
        <v>3757</v>
      </c>
      <c r="D2056" s="27" t="s">
        <v>3754</v>
      </c>
      <c r="E2056" s="27" t="s">
        <v>4614</v>
      </c>
      <c r="F2056" s="27" t="s">
        <v>2720</v>
      </c>
      <c r="G2056" s="21">
        <v>70</v>
      </c>
      <c r="H2056" s="21"/>
      <c r="I2056" s="21"/>
      <c r="J2056" s="27" t="s">
        <v>1259</v>
      </c>
      <c r="K2056" s="96" t="s">
        <v>7186</v>
      </c>
      <c r="L2056" s="65"/>
      <c r="M2056" s="68">
        <v>1</v>
      </c>
      <c r="N2056" s="68" t="s">
        <v>6124</v>
      </c>
    </row>
    <row r="2057" spans="1:14" ht="14.25" x14ac:dyDescent="0.2">
      <c r="A2057" s="11" t="s">
        <v>4314</v>
      </c>
      <c r="B2057" s="12" t="s">
        <v>1837</v>
      </c>
      <c r="C2057" s="13" t="s">
        <v>3757</v>
      </c>
      <c r="D2057" s="13" t="s">
        <v>3759</v>
      </c>
      <c r="E2057" s="29" t="s">
        <v>6759</v>
      </c>
      <c r="F2057" s="13" t="s">
        <v>6178</v>
      </c>
      <c r="G2057" s="21">
        <v>74</v>
      </c>
      <c r="H2057" s="21"/>
      <c r="I2057" s="21"/>
      <c r="J2057" s="29" t="s">
        <v>1264</v>
      </c>
      <c r="K2057" s="29" t="s">
        <v>3347</v>
      </c>
      <c r="L2057" s="29"/>
      <c r="M2057" s="68">
        <v>1</v>
      </c>
      <c r="N2057" s="68" t="s">
        <v>2755</v>
      </c>
    </row>
    <row r="2058" spans="1:14" ht="14.25" x14ac:dyDescent="0.2">
      <c r="A2058" s="14" t="s">
        <v>4314</v>
      </c>
      <c r="B2058" s="15" t="s">
        <v>4908</v>
      </c>
      <c r="C2058" s="16" t="s">
        <v>3754</v>
      </c>
      <c r="D2058" s="16" t="s">
        <v>3754</v>
      </c>
      <c r="E2058" s="72" t="s">
        <v>6808</v>
      </c>
      <c r="F2058" s="16" t="s">
        <v>2373</v>
      </c>
      <c r="G2058" s="8"/>
      <c r="H2058" s="8"/>
      <c r="I2058" s="8">
        <v>8</v>
      </c>
      <c r="J2058" s="27" t="s">
        <v>4829</v>
      </c>
      <c r="K2058" s="72" t="s">
        <v>6870</v>
      </c>
      <c r="L2058" s="95"/>
      <c r="M2058" s="68">
        <v>1</v>
      </c>
      <c r="N2058" s="68" t="s">
        <v>878</v>
      </c>
    </row>
    <row r="2059" spans="1:14" ht="14.25" x14ac:dyDescent="0.2">
      <c r="A2059" s="11" t="s">
        <v>4314</v>
      </c>
      <c r="B2059" s="12" t="s">
        <v>3740</v>
      </c>
      <c r="C2059" s="13" t="s">
        <v>3323</v>
      </c>
      <c r="D2059" s="13" t="s">
        <v>3754</v>
      </c>
      <c r="E2059" s="29" t="s">
        <v>2781</v>
      </c>
      <c r="F2059" s="13" t="s">
        <v>3767</v>
      </c>
      <c r="G2059" s="21">
        <v>40</v>
      </c>
      <c r="H2059" s="21"/>
      <c r="I2059" s="21"/>
      <c r="J2059" s="29" t="s">
        <v>1521</v>
      </c>
      <c r="K2059" s="29" t="s">
        <v>1029</v>
      </c>
      <c r="L2059" s="29"/>
      <c r="M2059" s="68">
        <v>1</v>
      </c>
      <c r="N2059" s="68" t="s">
        <v>2755</v>
      </c>
    </row>
    <row r="2060" spans="1:14" ht="14.25" x14ac:dyDescent="0.2">
      <c r="A2060" s="11" t="s">
        <v>4314</v>
      </c>
      <c r="B2060" s="12" t="s">
        <v>4982</v>
      </c>
      <c r="C2060" s="16" t="s">
        <v>3761</v>
      </c>
      <c r="D2060" s="13" t="s">
        <v>3754</v>
      </c>
      <c r="E2060" s="72" t="s">
        <v>900</v>
      </c>
      <c r="F2060" s="13" t="s">
        <v>901</v>
      </c>
      <c r="G2060" s="8">
        <v>2</v>
      </c>
      <c r="H2060" s="8">
        <v>6</v>
      </c>
      <c r="I2060" s="8"/>
      <c r="J2060" s="29" t="s">
        <v>1258</v>
      </c>
      <c r="K2060" s="72" t="s">
        <v>902</v>
      </c>
      <c r="L2060" s="29"/>
      <c r="M2060" s="68">
        <v>1</v>
      </c>
      <c r="N2060" s="68" t="s">
        <v>986</v>
      </c>
    </row>
    <row r="2061" spans="1:14" ht="14.25" x14ac:dyDescent="0.2">
      <c r="A2061" s="11" t="s">
        <v>4314</v>
      </c>
      <c r="B2061" s="12" t="s">
        <v>3723</v>
      </c>
      <c r="C2061" s="16" t="s">
        <v>3761</v>
      </c>
      <c r="D2061" s="13" t="s">
        <v>3759</v>
      </c>
      <c r="E2061" s="72" t="s">
        <v>6224</v>
      </c>
      <c r="F2061" s="13" t="s">
        <v>991</v>
      </c>
      <c r="G2061" s="8">
        <v>35</v>
      </c>
      <c r="H2061" s="8"/>
      <c r="I2061" s="8"/>
      <c r="J2061" s="29" t="s">
        <v>1264</v>
      </c>
      <c r="K2061" s="72" t="s">
        <v>923</v>
      </c>
      <c r="L2061" s="29"/>
      <c r="M2061" s="68">
        <v>1</v>
      </c>
      <c r="N2061" s="68" t="s">
        <v>986</v>
      </c>
    </row>
    <row r="2062" spans="1:14" ht="14.25" x14ac:dyDescent="0.2">
      <c r="A2062" s="11" t="s">
        <v>4314</v>
      </c>
      <c r="B2062" s="12" t="s">
        <v>4701</v>
      </c>
      <c r="C2062" s="13" t="s">
        <v>3757</v>
      </c>
      <c r="D2062" s="31" t="s">
        <v>3754</v>
      </c>
      <c r="E2062" s="29" t="s">
        <v>1536</v>
      </c>
      <c r="F2062" s="13" t="s">
        <v>6306</v>
      </c>
      <c r="G2062" s="21">
        <v>58</v>
      </c>
      <c r="H2062" s="21"/>
      <c r="I2062" s="21"/>
      <c r="J2062" s="29" t="s">
        <v>1259</v>
      </c>
      <c r="K2062" s="29" t="s">
        <v>1689</v>
      </c>
      <c r="L2062" s="29"/>
      <c r="M2062" s="68">
        <v>1</v>
      </c>
      <c r="N2062" s="68" t="s">
        <v>6187</v>
      </c>
    </row>
    <row r="2063" spans="1:14" ht="14.25" x14ac:dyDescent="0.2">
      <c r="A2063" s="11" t="s">
        <v>4314</v>
      </c>
      <c r="B2063" s="12" t="s">
        <v>4701</v>
      </c>
      <c r="C2063" s="13" t="s">
        <v>3757</v>
      </c>
      <c r="D2063" s="13" t="s">
        <v>3754</v>
      </c>
      <c r="E2063" s="72" t="s">
        <v>2313</v>
      </c>
      <c r="F2063" s="13" t="s">
        <v>591</v>
      </c>
      <c r="G2063" s="8">
        <v>67</v>
      </c>
      <c r="H2063" s="8"/>
      <c r="I2063" s="8"/>
      <c r="J2063" s="29" t="s">
        <v>2894</v>
      </c>
      <c r="K2063" s="113" t="s">
        <v>2316</v>
      </c>
      <c r="L2063" s="29"/>
      <c r="M2063" s="68">
        <v>1</v>
      </c>
      <c r="N2063" s="68" t="s">
        <v>1129</v>
      </c>
    </row>
    <row r="2064" spans="1:14" ht="14.25" x14ac:dyDescent="0.2">
      <c r="A2064" s="11" t="s">
        <v>4314</v>
      </c>
      <c r="B2064" s="12" t="s">
        <v>5542</v>
      </c>
      <c r="C2064" s="13" t="s">
        <v>3754</v>
      </c>
      <c r="D2064" s="13" t="s">
        <v>3754</v>
      </c>
      <c r="E2064" s="29" t="s">
        <v>516</v>
      </c>
      <c r="F2064" s="13" t="s">
        <v>517</v>
      </c>
      <c r="G2064" s="8">
        <v>19</v>
      </c>
      <c r="H2064" s="8"/>
      <c r="I2064" s="8"/>
      <c r="J2064" s="29" t="s">
        <v>5010</v>
      </c>
      <c r="K2064" s="29" t="s">
        <v>8633</v>
      </c>
      <c r="L2064" s="29"/>
      <c r="M2064" s="68">
        <v>1</v>
      </c>
      <c r="N2064" s="68" t="s">
        <v>1129</v>
      </c>
    </row>
    <row r="2065" spans="1:14" ht="14.25" x14ac:dyDescent="0.2">
      <c r="A2065" s="11" t="s">
        <v>4095</v>
      </c>
      <c r="B2065" s="12" t="s">
        <v>3734</v>
      </c>
      <c r="C2065" s="13" t="s">
        <v>3757</v>
      </c>
      <c r="D2065" s="13" t="s">
        <v>3754</v>
      </c>
      <c r="E2065" s="29" t="s">
        <v>364</v>
      </c>
      <c r="F2065" s="13" t="s">
        <v>365</v>
      </c>
      <c r="G2065" s="8">
        <v>63</v>
      </c>
      <c r="H2065" s="8"/>
      <c r="I2065" s="8"/>
      <c r="J2065" s="29" t="s">
        <v>1264</v>
      </c>
      <c r="K2065" s="29" t="s">
        <v>980</v>
      </c>
      <c r="L2065" s="29"/>
      <c r="M2065" s="68">
        <v>1</v>
      </c>
      <c r="N2065" s="68" t="s">
        <v>4108</v>
      </c>
    </row>
    <row r="2066" spans="1:14" ht="15" x14ac:dyDescent="0.2">
      <c r="A2066" s="11" t="s">
        <v>4095</v>
      </c>
      <c r="B2066" s="12" t="s">
        <v>6263</v>
      </c>
      <c r="C2066" s="13" t="s">
        <v>3754</v>
      </c>
      <c r="D2066" s="13" t="s">
        <v>3754</v>
      </c>
      <c r="E2066" s="29" t="s">
        <v>8860</v>
      </c>
      <c r="F2066" s="13" t="s">
        <v>6264</v>
      </c>
      <c r="G2066" s="21"/>
      <c r="H2066" s="21">
        <v>3</v>
      </c>
      <c r="I2066" s="21"/>
      <c r="J2066" s="29" t="s">
        <v>1412</v>
      </c>
      <c r="K2066" s="29" t="s">
        <v>8859</v>
      </c>
      <c r="L2066" s="58"/>
      <c r="M2066" s="68">
        <v>1</v>
      </c>
      <c r="N2066" s="68" t="s">
        <v>2359</v>
      </c>
    </row>
    <row r="2067" spans="1:14" ht="14.25" x14ac:dyDescent="0.2">
      <c r="A2067" s="14" t="s">
        <v>4095</v>
      </c>
      <c r="B2067" s="15" t="s">
        <v>1883</v>
      </c>
      <c r="C2067" s="16" t="s">
        <v>636</v>
      </c>
      <c r="D2067" s="16" t="s">
        <v>3754</v>
      </c>
      <c r="E2067" s="27" t="s">
        <v>637</v>
      </c>
      <c r="F2067" s="16" t="s">
        <v>638</v>
      </c>
      <c r="G2067" s="21">
        <v>4</v>
      </c>
      <c r="H2067" s="21">
        <v>10</v>
      </c>
      <c r="I2067" s="21"/>
      <c r="J2067" s="27" t="s">
        <v>4745</v>
      </c>
      <c r="K2067" s="27" t="s">
        <v>289</v>
      </c>
      <c r="L2067" s="29"/>
      <c r="M2067" s="68">
        <v>1</v>
      </c>
      <c r="N2067" s="68" t="s">
        <v>595</v>
      </c>
    </row>
    <row r="2068" spans="1:14" ht="14.25" x14ac:dyDescent="0.2">
      <c r="A2068" s="14" t="s">
        <v>4095</v>
      </c>
      <c r="B2068" s="15" t="s">
        <v>3740</v>
      </c>
      <c r="C2068" s="16" t="s">
        <v>3757</v>
      </c>
      <c r="D2068" s="13" t="s">
        <v>3754</v>
      </c>
      <c r="E2068" s="27" t="s">
        <v>4096</v>
      </c>
      <c r="F2068" s="16" t="s">
        <v>4097</v>
      </c>
      <c r="G2068" s="8">
        <v>51</v>
      </c>
      <c r="H2068" s="8"/>
      <c r="I2068" s="8"/>
      <c r="J2068" s="27" t="s">
        <v>5285</v>
      </c>
      <c r="K2068" s="27" t="s">
        <v>4098</v>
      </c>
      <c r="L2068" s="29"/>
      <c r="M2068" s="68">
        <v>1</v>
      </c>
      <c r="N2068" s="68" t="s">
        <v>8206</v>
      </c>
    </row>
    <row r="2069" spans="1:14" ht="14.25" x14ac:dyDescent="0.2">
      <c r="A2069" s="11" t="s">
        <v>918</v>
      </c>
      <c r="B2069" s="12" t="s">
        <v>3724</v>
      </c>
      <c r="C2069" s="13" t="s">
        <v>3757</v>
      </c>
      <c r="D2069" s="13" t="s">
        <v>3754</v>
      </c>
      <c r="E2069" s="72"/>
      <c r="F2069" s="13" t="s">
        <v>6999</v>
      </c>
      <c r="G2069" s="8">
        <v>45</v>
      </c>
      <c r="H2069" s="8"/>
      <c r="I2069" s="8"/>
      <c r="J2069" s="29" t="s">
        <v>5945</v>
      </c>
      <c r="K2069" s="72" t="s">
        <v>919</v>
      </c>
      <c r="L2069" s="29"/>
      <c r="M2069" s="68">
        <v>1</v>
      </c>
      <c r="N2069" s="68" t="s">
        <v>986</v>
      </c>
    </row>
    <row r="2070" spans="1:14" ht="14.25" x14ac:dyDescent="0.2">
      <c r="A2070" s="11" t="s">
        <v>7468</v>
      </c>
      <c r="B2070" s="12" t="s">
        <v>5135</v>
      </c>
      <c r="C2070" s="13" t="s">
        <v>3757</v>
      </c>
      <c r="D2070" s="13" t="s">
        <v>3754</v>
      </c>
      <c r="E2070" s="29" t="s">
        <v>7469</v>
      </c>
      <c r="F2070" s="13" t="s">
        <v>7470</v>
      </c>
      <c r="G2070" s="8">
        <v>34</v>
      </c>
      <c r="H2070" s="8"/>
      <c r="I2070" s="8"/>
      <c r="J2070" s="29" t="s">
        <v>1264</v>
      </c>
      <c r="K2070" s="29" t="s">
        <v>2705</v>
      </c>
      <c r="L2070" s="59"/>
      <c r="M2070" s="68">
        <v>1</v>
      </c>
      <c r="N2070" s="68" t="s">
        <v>2717</v>
      </c>
    </row>
    <row r="2071" spans="1:14" ht="14.25" x14ac:dyDescent="0.2">
      <c r="A2071" s="9" t="s">
        <v>7468</v>
      </c>
      <c r="B2071" s="5" t="s">
        <v>7824</v>
      </c>
      <c r="C2071" s="10" t="s">
        <v>5271</v>
      </c>
      <c r="D2071" s="13" t="s">
        <v>2296</v>
      </c>
      <c r="E2071" s="55"/>
      <c r="F2071" s="10" t="s">
        <v>2296</v>
      </c>
      <c r="G2071" s="8">
        <v>4</v>
      </c>
      <c r="H2071" s="8">
        <v>4</v>
      </c>
      <c r="I2071" s="8"/>
      <c r="J2071" s="55" t="s">
        <v>7319</v>
      </c>
      <c r="K2071" s="55" t="s">
        <v>2705</v>
      </c>
      <c r="L2071" s="59"/>
      <c r="M2071" s="68">
        <v>1</v>
      </c>
      <c r="N2071" s="68" t="s">
        <v>2717</v>
      </c>
    </row>
    <row r="2072" spans="1:14" ht="14.25" x14ac:dyDescent="0.2">
      <c r="A2072" s="30" t="s">
        <v>7468</v>
      </c>
      <c r="B2072" s="5" t="s">
        <v>7825</v>
      </c>
      <c r="C2072" s="10" t="s">
        <v>5271</v>
      </c>
      <c r="D2072" s="13" t="s">
        <v>2296</v>
      </c>
      <c r="E2072" s="61"/>
      <c r="F2072" s="21" t="s">
        <v>2293</v>
      </c>
      <c r="G2072" s="8">
        <v>3</v>
      </c>
      <c r="H2072" s="8">
        <v>2</v>
      </c>
      <c r="I2072" s="8"/>
      <c r="J2072" s="55" t="s">
        <v>7319</v>
      </c>
      <c r="K2072" s="55" t="s">
        <v>2705</v>
      </c>
      <c r="L2072" s="59"/>
      <c r="M2072" s="68">
        <v>1</v>
      </c>
      <c r="N2072" s="68" t="s">
        <v>2717</v>
      </c>
    </row>
    <row r="2073" spans="1:14" ht="28.5" x14ac:dyDescent="0.2">
      <c r="A2073" s="14" t="s">
        <v>8139</v>
      </c>
      <c r="B2073" s="15" t="s">
        <v>6785</v>
      </c>
      <c r="C2073" s="16" t="s">
        <v>3757</v>
      </c>
      <c r="D2073" s="13" t="s">
        <v>3754</v>
      </c>
      <c r="E2073" s="27" t="s">
        <v>6719</v>
      </c>
      <c r="F2073" s="16" t="s">
        <v>1541</v>
      </c>
      <c r="G2073" s="8">
        <v>44</v>
      </c>
      <c r="H2073" s="8"/>
      <c r="I2073" s="8"/>
      <c r="J2073" s="27" t="s">
        <v>1257</v>
      </c>
      <c r="K2073" s="27" t="s">
        <v>1390</v>
      </c>
      <c r="L2073" s="29" t="s">
        <v>6712</v>
      </c>
      <c r="M2073" s="68">
        <v>1</v>
      </c>
      <c r="N2073" s="68" t="s">
        <v>491</v>
      </c>
    </row>
    <row r="2074" spans="1:14" ht="28.5" x14ac:dyDescent="0.2">
      <c r="A2074" s="11" t="s">
        <v>8139</v>
      </c>
      <c r="B2074" s="12" t="s">
        <v>6785</v>
      </c>
      <c r="C2074" s="13" t="s">
        <v>3757</v>
      </c>
      <c r="D2074" s="13" t="s">
        <v>3754</v>
      </c>
      <c r="E2074" s="29"/>
      <c r="F2074" s="13"/>
      <c r="G2074" s="8"/>
      <c r="H2074" s="8"/>
      <c r="I2074" s="8"/>
      <c r="J2074" s="29"/>
      <c r="K2074" s="29"/>
      <c r="L2074" s="29" t="s">
        <v>877</v>
      </c>
      <c r="M2074" s="68">
        <v>1</v>
      </c>
      <c r="N2074" s="68" t="s">
        <v>795</v>
      </c>
    </row>
    <row r="2075" spans="1:14" ht="28.5" x14ac:dyDescent="0.2">
      <c r="A2075" s="11" t="s">
        <v>8139</v>
      </c>
      <c r="B2075" s="12" t="s">
        <v>4696</v>
      </c>
      <c r="C2075" s="13" t="s">
        <v>3757</v>
      </c>
      <c r="D2075" s="13" t="s">
        <v>3754</v>
      </c>
      <c r="E2075" s="29"/>
      <c r="F2075" s="13"/>
      <c r="G2075" s="8"/>
      <c r="H2075" s="8"/>
      <c r="I2075" s="8"/>
      <c r="J2075" s="109"/>
      <c r="K2075" s="29"/>
      <c r="L2075" s="29" t="s">
        <v>876</v>
      </c>
      <c r="M2075" s="68">
        <v>1</v>
      </c>
      <c r="N2075" s="68" t="s">
        <v>795</v>
      </c>
    </row>
    <row r="2076" spans="1:14" ht="14.25" x14ac:dyDescent="0.2">
      <c r="A2076" s="11" t="s">
        <v>8139</v>
      </c>
      <c r="B2076" s="12" t="s">
        <v>1177</v>
      </c>
      <c r="C2076" s="13" t="s">
        <v>3754</v>
      </c>
      <c r="D2076" s="13" t="s">
        <v>3754</v>
      </c>
      <c r="E2076" s="29" t="s">
        <v>6152</v>
      </c>
      <c r="F2076" s="13" t="s">
        <v>6153</v>
      </c>
      <c r="G2076" s="21">
        <v>2</v>
      </c>
      <c r="H2076" s="21"/>
      <c r="I2076" s="21"/>
      <c r="J2076" s="29" t="s">
        <v>1254</v>
      </c>
      <c r="K2076" s="29" t="s">
        <v>6154</v>
      </c>
      <c r="L2076" s="29"/>
      <c r="M2076" s="68">
        <v>1</v>
      </c>
      <c r="N2076" s="68" t="s">
        <v>2755</v>
      </c>
    </row>
    <row r="2077" spans="1:14" ht="28.5" x14ac:dyDescent="0.2">
      <c r="A2077" s="11" t="s">
        <v>8139</v>
      </c>
      <c r="B2077" s="12" t="s">
        <v>3740</v>
      </c>
      <c r="C2077" s="13" t="s">
        <v>3757</v>
      </c>
      <c r="D2077" s="13" t="s">
        <v>3754</v>
      </c>
      <c r="E2077" s="29"/>
      <c r="F2077" s="13"/>
      <c r="G2077" s="8"/>
      <c r="H2077" s="8"/>
      <c r="I2077" s="8"/>
      <c r="J2077" s="29"/>
      <c r="K2077" s="29"/>
      <c r="L2077" s="29" t="s">
        <v>876</v>
      </c>
      <c r="M2077" s="68">
        <v>1</v>
      </c>
      <c r="N2077" s="68" t="s">
        <v>795</v>
      </c>
    </row>
    <row r="2078" spans="1:14" ht="28.5" x14ac:dyDescent="0.2">
      <c r="A2078" s="11" t="s">
        <v>8139</v>
      </c>
      <c r="B2078" s="12" t="s">
        <v>3723</v>
      </c>
      <c r="C2078" s="13" t="s">
        <v>3757</v>
      </c>
      <c r="D2078" s="13" t="s">
        <v>3754</v>
      </c>
      <c r="E2078" s="29"/>
      <c r="F2078" s="13"/>
      <c r="G2078" s="8"/>
      <c r="H2078" s="8"/>
      <c r="I2078" s="8"/>
      <c r="J2078" s="29"/>
      <c r="K2078" s="29"/>
      <c r="L2078" s="29" t="s">
        <v>876</v>
      </c>
      <c r="M2078" s="68">
        <v>1</v>
      </c>
      <c r="N2078" s="68" t="s">
        <v>795</v>
      </c>
    </row>
    <row r="2079" spans="1:14" ht="14.25" x14ac:dyDescent="0.2">
      <c r="A2079" s="11" t="s">
        <v>8139</v>
      </c>
      <c r="B2079" s="12" t="s">
        <v>3738</v>
      </c>
      <c r="C2079" s="13" t="s">
        <v>1095</v>
      </c>
      <c r="D2079" s="13"/>
      <c r="E2079" s="29" t="s">
        <v>1096</v>
      </c>
      <c r="F2079" s="13" t="s">
        <v>1097</v>
      </c>
      <c r="G2079" s="8">
        <v>50</v>
      </c>
      <c r="H2079" s="8"/>
      <c r="I2079" s="8"/>
      <c r="J2079" s="29" t="s">
        <v>1264</v>
      </c>
      <c r="K2079" s="29" t="s">
        <v>1098</v>
      </c>
      <c r="L2079" s="29"/>
      <c r="M2079" s="68">
        <v>1</v>
      </c>
      <c r="N2079" s="68" t="s">
        <v>4363</v>
      </c>
    </row>
    <row r="2080" spans="1:14" ht="14.25" x14ac:dyDescent="0.2">
      <c r="A2080" s="11" t="s">
        <v>4351</v>
      </c>
      <c r="B2080" s="12" t="s">
        <v>5135</v>
      </c>
      <c r="C2080" s="13" t="s">
        <v>3754</v>
      </c>
      <c r="D2080" s="13" t="s">
        <v>3754</v>
      </c>
      <c r="E2080" s="29" t="s">
        <v>4376</v>
      </c>
      <c r="F2080" s="13" t="s">
        <v>4377</v>
      </c>
      <c r="G2080" s="8">
        <v>16</v>
      </c>
      <c r="H2080" s="8"/>
      <c r="I2080" s="8"/>
      <c r="J2080" s="29" t="s">
        <v>1264</v>
      </c>
      <c r="K2080" s="29" t="s">
        <v>4378</v>
      </c>
      <c r="L2080" s="29"/>
      <c r="M2080" s="68">
        <v>1</v>
      </c>
      <c r="N2080" s="68" t="s">
        <v>4363</v>
      </c>
    </row>
    <row r="2081" spans="1:14" ht="14.25" x14ac:dyDescent="0.2">
      <c r="A2081" s="11" t="s">
        <v>4351</v>
      </c>
      <c r="B2081" s="12" t="s">
        <v>1837</v>
      </c>
      <c r="C2081" s="13" t="s">
        <v>3757</v>
      </c>
      <c r="D2081" s="13" t="s">
        <v>3754</v>
      </c>
      <c r="E2081" s="29" t="s">
        <v>4352</v>
      </c>
      <c r="F2081" s="13" t="s">
        <v>4353</v>
      </c>
      <c r="G2081" s="8">
        <v>54</v>
      </c>
      <c r="H2081" s="8"/>
      <c r="I2081" s="8"/>
      <c r="J2081" s="29" t="s">
        <v>1259</v>
      </c>
      <c r="K2081" s="29" t="s">
        <v>8423</v>
      </c>
      <c r="L2081" s="56"/>
      <c r="M2081" s="68">
        <v>1</v>
      </c>
      <c r="N2081" s="68" t="s">
        <v>2717</v>
      </c>
    </row>
    <row r="2082" spans="1:14" ht="14.25" x14ac:dyDescent="0.2">
      <c r="A2082" s="11" t="s">
        <v>4351</v>
      </c>
      <c r="B2082" s="12" t="s">
        <v>1809</v>
      </c>
      <c r="C2082" s="13" t="s">
        <v>3757</v>
      </c>
      <c r="D2082" s="13" t="s">
        <v>3754</v>
      </c>
      <c r="E2082" s="72" t="s">
        <v>925</v>
      </c>
      <c r="F2082" s="13" t="s">
        <v>926</v>
      </c>
      <c r="G2082" s="8">
        <v>69</v>
      </c>
      <c r="H2082" s="8"/>
      <c r="I2082" s="8"/>
      <c r="J2082" s="29" t="s">
        <v>5152</v>
      </c>
      <c r="K2082" s="72" t="s">
        <v>3612</v>
      </c>
      <c r="L2082" s="29"/>
      <c r="M2082" s="68">
        <v>1</v>
      </c>
      <c r="N2082" s="68" t="s">
        <v>986</v>
      </c>
    </row>
    <row r="2083" spans="1:14" ht="14.25" x14ac:dyDescent="0.2">
      <c r="A2083" s="11" t="s">
        <v>4415</v>
      </c>
      <c r="B2083" s="12" t="s">
        <v>7466</v>
      </c>
      <c r="C2083" s="16" t="s">
        <v>3761</v>
      </c>
      <c r="D2083" s="31"/>
      <c r="E2083" s="29" t="s">
        <v>4416</v>
      </c>
      <c r="F2083" s="13" t="s">
        <v>4417</v>
      </c>
      <c r="G2083" s="8">
        <v>1</v>
      </c>
      <c r="H2083" s="8">
        <v>6</v>
      </c>
      <c r="I2083" s="8"/>
      <c r="J2083" s="29" t="s">
        <v>1257</v>
      </c>
      <c r="K2083" s="29" t="s">
        <v>5526</v>
      </c>
      <c r="L2083" s="29"/>
      <c r="M2083" s="68">
        <v>1</v>
      </c>
      <c r="N2083" s="68" t="s">
        <v>8451</v>
      </c>
    </row>
    <row r="2084" spans="1:14" ht="14.25" x14ac:dyDescent="0.2">
      <c r="A2084" s="11" t="s">
        <v>4415</v>
      </c>
      <c r="B2084" s="12" t="s">
        <v>2676</v>
      </c>
      <c r="C2084" s="16" t="s">
        <v>3761</v>
      </c>
      <c r="D2084" s="31"/>
      <c r="E2084" s="29" t="s">
        <v>4418</v>
      </c>
      <c r="F2084" s="13" t="s">
        <v>4419</v>
      </c>
      <c r="G2084" s="8">
        <v>4</v>
      </c>
      <c r="H2084" s="8"/>
      <c r="I2084" s="8"/>
      <c r="J2084" s="29" t="s">
        <v>1257</v>
      </c>
      <c r="K2084" s="29" t="s">
        <v>5526</v>
      </c>
      <c r="L2084" s="29"/>
      <c r="M2084" s="68">
        <v>1</v>
      </c>
      <c r="N2084" s="68" t="s">
        <v>8451</v>
      </c>
    </row>
    <row r="2085" spans="1:14" ht="14.25" x14ac:dyDescent="0.2">
      <c r="A2085" s="11" t="s">
        <v>4415</v>
      </c>
      <c r="B2085" s="12" t="s">
        <v>8150</v>
      </c>
      <c r="C2085" s="13" t="s">
        <v>3757</v>
      </c>
      <c r="D2085" s="31"/>
      <c r="E2085" s="29" t="s">
        <v>4416</v>
      </c>
      <c r="F2085" s="13" t="s">
        <v>4417</v>
      </c>
      <c r="G2085" s="8">
        <v>40</v>
      </c>
      <c r="H2085" s="8"/>
      <c r="I2085" s="8"/>
      <c r="J2085" s="29" t="s">
        <v>1257</v>
      </c>
      <c r="K2085" s="29" t="s">
        <v>5526</v>
      </c>
      <c r="L2085" s="29"/>
      <c r="M2085" s="68">
        <v>1</v>
      </c>
      <c r="N2085" s="68" t="s">
        <v>8451</v>
      </c>
    </row>
    <row r="2086" spans="1:14" ht="14.25" x14ac:dyDescent="0.2">
      <c r="A2086" s="11" t="s">
        <v>4415</v>
      </c>
      <c r="B2086" s="12" t="s">
        <v>3748</v>
      </c>
      <c r="C2086" s="16" t="s">
        <v>3761</v>
      </c>
      <c r="D2086" s="31"/>
      <c r="E2086" s="29" t="s">
        <v>4421</v>
      </c>
      <c r="F2086" s="13" t="s">
        <v>4417</v>
      </c>
      <c r="G2086" s="8">
        <v>1</v>
      </c>
      <c r="H2086" s="8">
        <v>6</v>
      </c>
      <c r="I2086" s="8"/>
      <c r="J2086" s="29" t="s">
        <v>1257</v>
      </c>
      <c r="K2086" s="29" t="s">
        <v>5526</v>
      </c>
      <c r="L2086" s="29"/>
      <c r="M2086" s="68">
        <v>1</v>
      </c>
      <c r="N2086" s="68" t="s">
        <v>8451</v>
      </c>
    </row>
    <row r="2087" spans="1:14" ht="14.25" x14ac:dyDescent="0.2">
      <c r="A2087" s="11" t="s">
        <v>4415</v>
      </c>
      <c r="B2087" s="12" t="s">
        <v>3734</v>
      </c>
      <c r="C2087" s="13" t="s">
        <v>3757</v>
      </c>
      <c r="D2087" s="31"/>
      <c r="E2087" s="29" t="s">
        <v>4420</v>
      </c>
      <c r="F2087" s="13" t="s">
        <v>4419</v>
      </c>
      <c r="G2087" s="8">
        <v>24</v>
      </c>
      <c r="H2087" s="8"/>
      <c r="I2087" s="8"/>
      <c r="J2087" s="29" t="s">
        <v>1257</v>
      </c>
      <c r="K2087" s="29" t="s">
        <v>5526</v>
      </c>
      <c r="L2087" s="29"/>
      <c r="M2087" s="68">
        <v>1</v>
      </c>
      <c r="N2087" s="68" t="s">
        <v>8451</v>
      </c>
    </row>
    <row r="2088" spans="1:14" ht="14.25" x14ac:dyDescent="0.2">
      <c r="A2088" s="11" t="s">
        <v>6315</v>
      </c>
      <c r="B2088" s="12" t="s">
        <v>6316</v>
      </c>
      <c r="C2088" s="13" t="s">
        <v>3757</v>
      </c>
      <c r="D2088" s="31" t="s">
        <v>3754</v>
      </c>
      <c r="E2088" s="29" t="s">
        <v>6774</v>
      </c>
      <c r="F2088" s="13" t="s">
        <v>6317</v>
      </c>
      <c r="G2088" s="21">
        <v>42</v>
      </c>
      <c r="H2088" s="21"/>
      <c r="I2088" s="21"/>
      <c r="J2088" s="29" t="s">
        <v>1264</v>
      </c>
      <c r="K2088" s="29" t="s">
        <v>6318</v>
      </c>
      <c r="L2088" s="29" t="s">
        <v>5019</v>
      </c>
      <c r="M2088" s="68">
        <v>1</v>
      </c>
      <c r="N2088" s="68" t="s">
        <v>6187</v>
      </c>
    </row>
    <row r="2089" spans="1:14" ht="14.25" x14ac:dyDescent="0.2">
      <c r="A2089" s="11" t="s">
        <v>4488</v>
      </c>
      <c r="B2089" s="12" t="s">
        <v>2295</v>
      </c>
      <c r="C2089" s="13" t="s">
        <v>3757</v>
      </c>
      <c r="D2089" s="13" t="s">
        <v>3754</v>
      </c>
      <c r="E2089" s="29" t="s">
        <v>4489</v>
      </c>
      <c r="F2089" s="13" t="s">
        <v>1845</v>
      </c>
      <c r="G2089" s="8">
        <v>85</v>
      </c>
      <c r="H2089" s="8"/>
      <c r="I2089" s="8"/>
      <c r="J2089" s="29" t="s">
        <v>1271</v>
      </c>
      <c r="K2089" s="29" t="s">
        <v>7865</v>
      </c>
      <c r="L2089" s="29"/>
      <c r="M2089" s="68">
        <v>1</v>
      </c>
      <c r="N2089" s="68" t="s">
        <v>4362</v>
      </c>
    </row>
    <row r="2090" spans="1:14" ht="14.25" x14ac:dyDescent="0.2">
      <c r="A2090" s="14" t="s">
        <v>8161</v>
      </c>
      <c r="B2090" s="15" t="s">
        <v>5967</v>
      </c>
      <c r="C2090" s="16" t="s">
        <v>3757</v>
      </c>
      <c r="D2090" s="13" t="s">
        <v>3754</v>
      </c>
      <c r="E2090" s="27" t="s">
        <v>8162</v>
      </c>
      <c r="F2090" s="16" t="s">
        <v>1541</v>
      </c>
      <c r="G2090" s="8">
        <v>35</v>
      </c>
      <c r="H2090" s="8"/>
      <c r="I2090" s="8"/>
      <c r="J2090" s="27" t="s">
        <v>1264</v>
      </c>
      <c r="K2090" s="27" t="s">
        <v>4785</v>
      </c>
      <c r="L2090" s="29"/>
      <c r="M2090" s="68">
        <v>1</v>
      </c>
      <c r="N2090" s="68" t="s">
        <v>491</v>
      </c>
    </row>
    <row r="2091" spans="1:14" ht="14.25" x14ac:dyDescent="0.2">
      <c r="A2091" s="14" t="s">
        <v>8161</v>
      </c>
      <c r="B2091" s="15" t="s">
        <v>2629</v>
      </c>
      <c r="C2091" s="16" t="s">
        <v>3761</v>
      </c>
      <c r="D2091" s="13" t="s">
        <v>3754</v>
      </c>
      <c r="E2091" s="27" t="s">
        <v>8256</v>
      </c>
      <c r="F2091" s="16" t="s">
        <v>8255</v>
      </c>
      <c r="G2091" s="8"/>
      <c r="H2091" s="8"/>
      <c r="I2091" s="8">
        <v>3</v>
      </c>
      <c r="J2091" s="27" t="s">
        <v>4748</v>
      </c>
      <c r="K2091" s="27" t="s">
        <v>8257</v>
      </c>
      <c r="L2091" s="29"/>
      <c r="M2091" s="68">
        <v>1</v>
      </c>
      <c r="N2091" s="68" t="s">
        <v>8206</v>
      </c>
    </row>
    <row r="2092" spans="1:14" ht="14.25" x14ac:dyDescent="0.2">
      <c r="A2092" s="14" t="s">
        <v>5812</v>
      </c>
      <c r="B2092" s="15" t="s">
        <v>3070</v>
      </c>
      <c r="C2092" s="16" t="s">
        <v>3754</v>
      </c>
      <c r="D2092" s="16" t="s">
        <v>711</v>
      </c>
      <c r="E2092" s="72"/>
      <c r="F2092" s="16" t="s">
        <v>3754</v>
      </c>
      <c r="G2092" s="8">
        <v>2</v>
      </c>
      <c r="H2092" s="8">
        <v>8</v>
      </c>
      <c r="I2092" s="8"/>
      <c r="J2092" s="27" t="s">
        <v>1254</v>
      </c>
      <c r="K2092" s="72" t="s">
        <v>5813</v>
      </c>
      <c r="L2092" s="95"/>
      <c r="M2092" s="68">
        <v>1</v>
      </c>
      <c r="N2092" s="68" t="s">
        <v>878</v>
      </c>
    </row>
    <row r="2093" spans="1:14" ht="14.25" x14ac:dyDescent="0.2">
      <c r="A2093" s="11" t="s">
        <v>4335</v>
      </c>
      <c r="B2093" s="12" t="s">
        <v>6005</v>
      </c>
      <c r="C2093" s="13" t="s">
        <v>3757</v>
      </c>
      <c r="D2093" s="13" t="s">
        <v>3754</v>
      </c>
      <c r="E2093" s="72" t="s">
        <v>6226</v>
      </c>
      <c r="F2093" s="13" t="s">
        <v>924</v>
      </c>
      <c r="G2093" s="8">
        <v>86</v>
      </c>
      <c r="H2093" s="8"/>
      <c r="I2093" s="8"/>
      <c r="J2093" s="29" t="s">
        <v>2108</v>
      </c>
      <c r="K2093" s="72" t="s">
        <v>3608</v>
      </c>
      <c r="L2093" s="29"/>
      <c r="M2093" s="68">
        <v>1</v>
      </c>
      <c r="N2093" s="68" t="s">
        <v>986</v>
      </c>
    </row>
    <row r="2094" spans="1:14" ht="14.25" x14ac:dyDescent="0.2">
      <c r="A2094" s="11" t="s">
        <v>4335</v>
      </c>
      <c r="B2094" s="12" t="s">
        <v>2277</v>
      </c>
      <c r="C2094" s="13" t="s">
        <v>3757</v>
      </c>
      <c r="D2094" s="13" t="s">
        <v>3754</v>
      </c>
      <c r="E2094" s="29" t="s">
        <v>4485</v>
      </c>
      <c r="F2094" s="13" t="s">
        <v>4486</v>
      </c>
      <c r="G2094" s="8">
        <v>75</v>
      </c>
      <c r="H2094" s="8"/>
      <c r="I2094" s="8"/>
      <c r="J2094" s="29" t="s">
        <v>4746</v>
      </c>
      <c r="K2094" s="29" t="s">
        <v>4487</v>
      </c>
      <c r="L2094" s="29"/>
      <c r="M2094" s="68">
        <v>1</v>
      </c>
      <c r="N2094" s="68" t="s">
        <v>4362</v>
      </c>
    </row>
    <row r="2095" spans="1:14" ht="14.25" x14ac:dyDescent="0.2">
      <c r="A2095" s="11" t="s">
        <v>4335</v>
      </c>
      <c r="B2095" s="12" t="s">
        <v>6021</v>
      </c>
      <c r="C2095" s="13" t="s">
        <v>3757</v>
      </c>
      <c r="D2095" s="13" t="s">
        <v>3754</v>
      </c>
      <c r="E2095" s="29"/>
      <c r="F2095" s="13" t="s">
        <v>4840</v>
      </c>
      <c r="G2095" s="8">
        <v>40</v>
      </c>
      <c r="H2095" s="8"/>
      <c r="I2095" s="8"/>
      <c r="J2095" s="29" t="s">
        <v>4337</v>
      </c>
      <c r="K2095" s="29" t="s">
        <v>4336</v>
      </c>
      <c r="L2095" s="56"/>
      <c r="M2095" s="68">
        <v>1</v>
      </c>
      <c r="N2095" s="68" t="s">
        <v>2717</v>
      </c>
    </row>
    <row r="2096" spans="1:14" ht="14.25" x14ac:dyDescent="0.2">
      <c r="A2096" s="11" t="s">
        <v>4335</v>
      </c>
      <c r="B2096" s="12" t="s">
        <v>6021</v>
      </c>
      <c r="C2096" s="13" t="s">
        <v>3757</v>
      </c>
      <c r="D2096" s="13" t="s">
        <v>3754</v>
      </c>
      <c r="E2096" s="72" t="s">
        <v>3396</v>
      </c>
      <c r="F2096" s="13" t="s">
        <v>7455</v>
      </c>
      <c r="G2096" s="8">
        <v>79</v>
      </c>
      <c r="H2096" s="8"/>
      <c r="I2096" s="8"/>
      <c r="J2096" s="29" t="s">
        <v>1277</v>
      </c>
      <c r="K2096" s="72" t="s">
        <v>7456</v>
      </c>
      <c r="L2096" s="29"/>
      <c r="M2096" s="68">
        <v>1</v>
      </c>
      <c r="N2096" s="68" t="s">
        <v>986</v>
      </c>
    </row>
    <row r="2097" spans="1:14" ht="14.25" x14ac:dyDescent="0.2">
      <c r="A2097" s="11" t="s">
        <v>4335</v>
      </c>
      <c r="B2097" s="12" t="s">
        <v>5951</v>
      </c>
      <c r="C2097" s="13" t="s">
        <v>3757</v>
      </c>
      <c r="D2097" s="13" t="s">
        <v>3754</v>
      </c>
      <c r="E2097" s="29"/>
      <c r="F2097" s="13" t="s">
        <v>4840</v>
      </c>
      <c r="G2097" s="8">
        <v>35</v>
      </c>
      <c r="H2097" s="8"/>
      <c r="I2097" s="8"/>
      <c r="J2097" s="29" t="s">
        <v>3395</v>
      </c>
      <c r="K2097" s="29" t="s">
        <v>4336</v>
      </c>
      <c r="L2097" s="56"/>
      <c r="M2097" s="68">
        <v>1</v>
      </c>
      <c r="N2097" s="68" t="s">
        <v>2717</v>
      </c>
    </row>
    <row r="2098" spans="1:14" ht="14.25" x14ac:dyDescent="0.2">
      <c r="A2098" s="11" t="s">
        <v>4335</v>
      </c>
      <c r="B2098" s="12" t="s">
        <v>2337</v>
      </c>
      <c r="C2098" s="16" t="s">
        <v>3761</v>
      </c>
      <c r="D2098" s="13"/>
      <c r="E2098" s="29"/>
      <c r="F2098" s="13" t="s">
        <v>4840</v>
      </c>
      <c r="G2098" s="8">
        <v>5</v>
      </c>
      <c r="H2098" s="8"/>
      <c r="I2098" s="8"/>
      <c r="J2098" s="29" t="s">
        <v>1254</v>
      </c>
      <c r="K2098" s="29" t="s">
        <v>4336</v>
      </c>
      <c r="L2098" s="56"/>
      <c r="M2098" s="68">
        <v>1</v>
      </c>
      <c r="N2098" s="68" t="s">
        <v>2717</v>
      </c>
    </row>
    <row r="2099" spans="1:14" ht="14.25" x14ac:dyDescent="0.2">
      <c r="A2099" s="11" t="s">
        <v>4335</v>
      </c>
      <c r="B2099" s="12" t="s">
        <v>3740</v>
      </c>
      <c r="C2099" s="13" t="s">
        <v>3757</v>
      </c>
      <c r="D2099" s="13" t="s">
        <v>4943</v>
      </c>
      <c r="E2099" s="29" t="s">
        <v>547</v>
      </c>
      <c r="F2099" s="13" t="s">
        <v>3754</v>
      </c>
      <c r="G2099" s="8">
        <v>22</v>
      </c>
      <c r="H2099" s="8"/>
      <c r="I2099" s="8"/>
      <c r="J2099" s="29" t="s">
        <v>548</v>
      </c>
      <c r="K2099" s="29" t="s">
        <v>549</v>
      </c>
      <c r="L2099" s="29"/>
      <c r="M2099" s="68">
        <v>1</v>
      </c>
      <c r="N2099" s="68" t="s">
        <v>1129</v>
      </c>
    </row>
    <row r="2100" spans="1:14" ht="14.25" x14ac:dyDescent="0.2">
      <c r="A2100" s="14" t="s">
        <v>612</v>
      </c>
      <c r="B2100" s="15" t="s">
        <v>3733</v>
      </c>
      <c r="C2100" s="16" t="s">
        <v>3759</v>
      </c>
      <c r="D2100" s="16" t="s">
        <v>613</v>
      </c>
      <c r="E2100" s="27" t="s">
        <v>2340</v>
      </c>
      <c r="F2100" s="16" t="s">
        <v>614</v>
      </c>
      <c r="G2100" s="21">
        <v>33</v>
      </c>
      <c r="H2100" s="21"/>
      <c r="I2100" s="21"/>
      <c r="J2100" s="27" t="s">
        <v>1261</v>
      </c>
      <c r="K2100" s="27" t="s">
        <v>615</v>
      </c>
      <c r="L2100" s="29"/>
      <c r="M2100" s="68">
        <v>1</v>
      </c>
      <c r="N2100" s="68" t="s">
        <v>595</v>
      </c>
    </row>
    <row r="2101" spans="1:14" ht="14.25" x14ac:dyDescent="0.2">
      <c r="A2101" s="11" t="s">
        <v>8155</v>
      </c>
      <c r="B2101" s="12" t="s">
        <v>6940</v>
      </c>
      <c r="C2101" s="13" t="s">
        <v>3767</v>
      </c>
      <c r="D2101" s="13" t="s">
        <v>3767</v>
      </c>
      <c r="E2101" s="29" t="s">
        <v>4138</v>
      </c>
      <c r="F2101" s="13" t="s">
        <v>4139</v>
      </c>
      <c r="G2101" s="8"/>
      <c r="H2101" s="8">
        <v>10</v>
      </c>
      <c r="I2101" s="8"/>
      <c r="J2101" s="29" t="s">
        <v>4790</v>
      </c>
      <c r="K2101" s="29" t="s">
        <v>4140</v>
      </c>
      <c r="L2101" s="29"/>
      <c r="M2101" s="68">
        <v>1</v>
      </c>
      <c r="N2101" s="68" t="s">
        <v>4108</v>
      </c>
    </row>
    <row r="2102" spans="1:14" ht="14.25" x14ac:dyDescent="0.2">
      <c r="A2102" s="11" t="s">
        <v>8155</v>
      </c>
      <c r="B2102" s="12" t="s">
        <v>5967</v>
      </c>
      <c r="C2102" s="16" t="s">
        <v>3761</v>
      </c>
      <c r="D2102" s="13" t="s">
        <v>3754</v>
      </c>
      <c r="E2102" s="72" t="s">
        <v>981</v>
      </c>
      <c r="F2102" s="13" t="s">
        <v>982</v>
      </c>
      <c r="G2102" s="8">
        <v>25</v>
      </c>
      <c r="H2102" s="8"/>
      <c r="I2102" s="8"/>
      <c r="J2102" s="29" t="s">
        <v>1270</v>
      </c>
      <c r="K2102" s="72" t="s">
        <v>5036</v>
      </c>
      <c r="L2102" s="29"/>
      <c r="M2102" s="68">
        <v>1</v>
      </c>
      <c r="N2102" s="68" t="s">
        <v>986</v>
      </c>
    </row>
    <row r="2103" spans="1:14" ht="14.25" x14ac:dyDescent="0.2">
      <c r="A2103" s="14" t="s">
        <v>8155</v>
      </c>
      <c r="B2103" s="15" t="s">
        <v>5977</v>
      </c>
      <c r="C2103" s="13" t="s">
        <v>3767</v>
      </c>
      <c r="D2103" s="13" t="s">
        <v>3767</v>
      </c>
      <c r="E2103" s="27"/>
      <c r="F2103" s="16" t="s">
        <v>1652</v>
      </c>
      <c r="G2103" s="8">
        <v>1</v>
      </c>
      <c r="H2103" s="8"/>
      <c r="I2103" s="8">
        <v>9</v>
      </c>
      <c r="J2103" s="27" t="s">
        <v>4790</v>
      </c>
      <c r="K2103" s="27" t="s">
        <v>8158</v>
      </c>
      <c r="L2103" s="29"/>
      <c r="M2103" s="68">
        <v>1</v>
      </c>
      <c r="N2103" s="68" t="s">
        <v>491</v>
      </c>
    </row>
    <row r="2104" spans="1:14" ht="14.25" x14ac:dyDescent="0.2">
      <c r="A2104" s="14" t="s">
        <v>8155</v>
      </c>
      <c r="B2104" s="15" t="s">
        <v>5993</v>
      </c>
      <c r="C2104" s="16" t="s">
        <v>3757</v>
      </c>
      <c r="D2104" s="16" t="s">
        <v>1652</v>
      </c>
      <c r="E2104" s="27"/>
      <c r="F2104" s="16" t="s">
        <v>1652</v>
      </c>
      <c r="G2104" s="8">
        <v>19</v>
      </c>
      <c r="H2104" s="8"/>
      <c r="I2104" s="8"/>
      <c r="J2104" s="27" t="s">
        <v>6938</v>
      </c>
      <c r="K2104" s="27" t="s">
        <v>8158</v>
      </c>
      <c r="L2104" s="29"/>
      <c r="M2104" s="68">
        <v>1</v>
      </c>
      <c r="N2104" s="68" t="s">
        <v>491</v>
      </c>
    </row>
    <row r="2105" spans="1:14" ht="14.25" x14ac:dyDescent="0.2">
      <c r="A2105" s="11" t="s">
        <v>8155</v>
      </c>
      <c r="B2105" s="12" t="s">
        <v>5891</v>
      </c>
      <c r="C2105" s="13" t="s">
        <v>1872</v>
      </c>
      <c r="D2105" s="13" t="s">
        <v>1652</v>
      </c>
      <c r="E2105" s="29" t="s">
        <v>4141</v>
      </c>
      <c r="F2105" s="13" t="s">
        <v>4142</v>
      </c>
      <c r="G2105" s="8">
        <v>25</v>
      </c>
      <c r="H2105" s="8"/>
      <c r="I2105" s="8"/>
      <c r="J2105" s="29" t="s">
        <v>1641</v>
      </c>
      <c r="K2105" s="29" t="s">
        <v>4140</v>
      </c>
      <c r="L2105" s="29"/>
      <c r="M2105" s="68">
        <v>1</v>
      </c>
      <c r="N2105" s="68" t="s">
        <v>4108</v>
      </c>
    </row>
    <row r="2106" spans="1:14" ht="14.25" x14ac:dyDescent="0.2">
      <c r="A2106" s="14" t="s">
        <v>8155</v>
      </c>
      <c r="B2106" s="15" t="s">
        <v>8156</v>
      </c>
      <c r="C2106" s="16" t="s">
        <v>3757</v>
      </c>
      <c r="D2106" s="16" t="s">
        <v>1652</v>
      </c>
      <c r="E2106" s="27"/>
      <c r="F2106" s="16" t="s">
        <v>1652</v>
      </c>
      <c r="G2106" s="8">
        <v>24</v>
      </c>
      <c r="H2106" s="8"/>
      <c r="I2106" s="8"/>
      <c r="J2106" s="27" t="s">
        <v>8157</v>
      </c>
      <c r="K2106" s="27" t="s">
        <v>8158</v>
      </c>
      <c r="L2106" s="29"/>
      <c r="M2106" s="68">
        <v>1</v>
      </c>
      <c r="N2106" s="68" t="s">
        <v>491</v>
      </c>
    </row>
    <row r="2107" spans="1:14" ht="15" x14ac:dyDescent="0.2">
      <c r="A2107" s="14" t="s">
        <v>8155</v>
      </c>
      <c r="B2107" s="15" t="s">
        <v>6125</v>
      </c>
      <c r="C2107" s="16" t="s">
        <v>3754</v>
      </c>
      <c r="D2107" s="27" t="s">
        <v>3754</v>
      </c>
      <c r="E2107" s="27" t="s">
        <v>8411</v>
      </c>
      <c r="F2107" s="27" t="s">
        <v>6126</v>
      </c>
      <c r="G2107" s="21">
        <v>10</v>
      </c>
      <c r="H2107" s="21">
        <v>5</v>
      </c>
      <c r="I2107" s="21"/>
      <c r="J2107" s="27" t="s">
        <v>6127</v>
      </c>
      <c r="K2107" s="96" t="s">
        <v>6128</v>
      </c>
      <c r="L2107" s="65"/>
      <c r="M2107" s="68">
        <v>1</v>
      </c>
      <c r="N2107" s="68" t="s">
        <v>6124</v>
      </c>
    </row>
    <row r="2108" spans="1:14" ht="14.25" x14ac:dyDescent="0.2">
      <c r="A2108" s="11" t="s">
        <v>8155</v>
      </c>
      <c r="B2108" s="12" t="s">
        <v>3723</v>
      </c>
      <c r="C2108" s="13" t="s">
        <v>3757</v>
      </c>
      <c r="D2108" s="13" t="s">
        <v>1604</v>
      </c>
      <c r="E2108" s="29" t="s">
        <v>507</v>
      </c>
      <c r="F2108" s="13" t="s">
        <v>5792</v>
      </c>
      <c r="G2108" s="8">
        <v>28</v>
      </c>
      <c r="H2108" s="8"/>
      <c r="I2108" s="8"/>
      <c r="J2108" s="29" t="s">
        <v>1264</v>
      </c>
      <c r="K2108" s="29" t="s">
        <v>8625</v>
      </c>
      <c r="L2108" s="29"/>
      <c r="M2108" s="68">
        <v>1</v>
      </c>
      <c r="N2108" s="68" t="s">
        <v>1129</v>
      </c>
    </row>
    <row r="2109" spans="1:14" ht="14.25" x14ac:dyDescent="0.2">
      <c r="A2109" s="11" t="s">
        <v>8155</v>
      </c>
      <c r="B2109" s="12" t="s">
        <v>3723</v>
      </c>
      <c r="C2109" s="13" t="s">
        <v>3757</v>
      </c>
      <c r="D2109" s="13" t="s">
        <v>3761</v>
      </c>
      <c r="E2109" s="29" t="s">
        <v>2616</v>
      </c>
      <c r="F2109" s="13" t="s">
        <v>766</v>
      </c>
      <c r="G2109" s="21">
        <v>53</v>
      </c>
      <c r="H2109" s="21"/>
      <c r="I2109" s="21"/>
      <c r="J2109" s="29" t="s">
        <v>1264</v>
      </c>
      <c r="K2109" s="29" t="s">
        <v>4959</v>
      </c>
      <c r="L2109" s="29"/>
      <c r="M2109" s="68">
        <v>1</v>
      </c>
      <c r="N2109" s="68" t="s">
        <v>726</v>
      </c>
    </row>
    <row r="2110" spans="1:14" ht="14.25" x14ac:dyDescent="0.2">
      <c r="A2110" s="11" t="s">
        <v>101</v>
      </c>
      <c r="B2110" s="12" t="s">
        <v>7180</v>
      </c>
      <c r="C2110" s="13"/>
      <c r="D2110" s="13" t="s">
        <v>992</v>
      </c>
      <c r="E2110" s="72" t="s">
        <v>102</v>
      </c>
      <c r="F2110" s="13" t="s">
        <v>103</v>
      </c>
      <c r="G2110" s="8">
        <v>38</v>
      </c>
      <c r="H2110" s="8"/>
      <c r="I2110" s="8"/>
      <c r="J2110" s="29" t="s">
        <v>1264</v>
      </c>
      <c r="K2110" s="72" t="s">
        <v>104</v>
      </c>
      <c r="L2110" s="29"/>
      <c r="M2110" s="68">
        <v>1</v>
      </c>
      <c r="N2110" s="68" t="s">
        <v>986</v>
      </c>
    </row>
    <row r="2111" spans="1:14" ht="14.25" x14ac:dyDescent="0.2">
      <c r="A2111" s="11" t="s">
        <v>774</v>
      </c>
      <c r="B2111" s="12" t="s">
        <v>4685</v>
      </c>
      <c r="C2111" s="13" t="s">
        <v>3757</v>
      </c>
      <c r="D2111" s="13" t="s">
        <v>3761</v>
      </c>
      <c r="E2111" s="29" t="s">
        <v>775</v>
      </c>
      <c r="F2111" s="13" t="s">
        <v>776</v>
      </c>
      <c r="G2111" s="21">
        <v>33</v>
      </c>
      <c r="H2111" s="21"/>
      <c r="I2111" s="21"/>
      <c r="J2111" s="29" t="s">
        <v>1264</v>
      </c>
      <c r="K2111" s="29" t="s">
        <v>3804</v>
      </c>
      <c r="L2111" s="29"/>
      <c r="M2111" s="68">
        <v>1</v>
      </c>
      <c r="N2111" s="68" t="s">
        <v>726</v>
      </c>
    </row>
    <row r="2112" spans="1:14" ht="14.25" x14ac:dyDescent="0.2">
      <c r="A2112" s="14" t="s">
        <v>8159</v>
      </c>
      <c r="B2112" s="15" t="s">
        <v>5993</v>
      </c>
      <c r="C2112" s="16" t="s">
        <v>3757</v>
      </c>
      <c r="D2112" s="13" t="s">
        <v>3754</v>
      </c>
      <c r="E2112" s="27" t="s">
        <v>8160</v>
      </c>
      <c r="F2112" s="16" t="s">
        <v>1541</v>
      </c>
      <c r="G2112" s="8">
        <v>64</v>
      </c>
      <c r="H2112" s="8"/>
      <c r="I2112" s="8"/>
      <c r="J2112" s="27" t="s">
        <v>1259</v>
      </c>
      <c r="K2112" s="27" t="s">
        <v>4784</v>
      </c>
      <c r="L2112" s="29"/>
      <c r="M2112" s="68">
        <v>1</v>
      </c>
      <c r="N2112" s="68" t="s">
        <v>491</v>
      </c>
    </row>
    <row r="2113" spans="1:14" ht="14.25" x14ac:dyDescent="0.2">
      <c r="A2113" s="14" t="s">
        <v>8159</v>
      </c>
      <c r="B2113" s="15" t="s">
        <v>6998</v>
      </c>
      <c r="C2113" s="16"/>
      <c r="D2113" s="16" t="s">
        <v>3754</v>
      </c>
      <c r="E2113" s="27" t="s">
        <v>7854</v>
      </c>
      <c r="F2113" s="16" t="s">
        <v>7855</v>
      </c>
      <c r="G2113" s="21">
        <v>49</v>
      </c>
      <c r="H2113" s="21"/>
      <c r="I2113" s="21"/>
      <c r="J2113" s="27" t="s">
        <v>291</v>
      </c>
      <c r="K2113" s="27" t="s">
        <v>293</v>
      </c>
      <c r="L2113" s="29"/>
      <c r="M2113" s="68">
        <v>1</v>
      </c>
      <c r="N2113" s="68" t="s">
        <v>595</v>
      </c>
    </row>
    <row r="2114" spans="1:14" ht="15" x14ac:dyDescent="0.2">
      <c r="A2114" s="9" t="s">
        <v>6120</v>
      </c>
      <c r="B2114" s="5" t="s">
        <v>6048</v>
      </c>
      <c r="C2114" s="10" t="s">
        <v>3754</v>
      </c>
      <c r="D2114" s="13" t="s">
        <v>3754</v>
      </c>
      <c r="E2114" s="55" t="s">
        <v>6121</v>
      </c>
      <c r="F2114" s="10" t="s">
        <v>6122</v>
      </c>
      <c r="G2114" s="21">
        <v>34</v>
      </c>
      <c r="H2114" s="21"/>
      <c r="I2114" s="21"/>
      <c r="J2114" s="55" t="s">
        <v>2335</v>
      </c>
      <c r="K2114" s="55" t="s">
        <v>6123</v>
      </c>
      <c r="L2114" s="62"/>
      <c r="M2114" s="68">
        <v>1</v>
      </c>
      <c r="N2114" s="68" t="s">
        <v>2359</v>
      </c>
    </row>
    <row r="2115" spans="1:14" ht="14.25" x14ac:dyDescent="0.2">
      <c r="A2115" s="9" t="s">
        <v>8179</v>
      </c>
      <c r="B2115" s="5" t="s">
        <v>3186</v>
      </c>
      <c r="C2115" s="10" t="s">
        <v>3757</v>
      </c>
      <c r="D2115" s="13" t="s">
        <v>3754</v>
      </c>
      <c r="E2115" s="61" t="s">
        <v>4521</v>
      </c>
      <c r="F2115" s="10" t="s">
        <v>4354</v>
      </c>
      <c r="G2115" s="8">
        <v>43</v>
      </c>
      <c r="H2115" s="8">
        <v>6</v>
      </c>
      <c r="I2115" s="8"/>
      <c r="J2115" s="55" t="s">
        <v>8624</v>
      </c>
      <c r="K2115" s="55" t="s">
        <v>4355</v>
      </c>
      <c r="L2115" s="61"/>
      <c r="M2115" s="68">
        <v>1</v>
      </c>
      <c r="N2115" s="68" t="s">
        <v>4362</v>
      </c>
    </row>
    <row r="2116" spans="1:14" ht="14.25" x14ac:dyDescent="0.2">
      <c r="A2116" s="14" t="s">
        <v>8179</v>
      </c>
      <c r="B2116" s="15" t="s">
        <v>2846</v>
      </c>
      <c r="C2116" s="16" t="s">
        <v>3761</v>
      </c>
      <c r="D2116" s="13" t="s">
        <v>3754</v>
      </c>
      <c r="E2116" s="27" t="s">
        <v>8180</v>
      </c>
      <c r="F2116" s="16" t="s">
        <v>1541</v>
      </c>
      <c r="G2116" s="8"/>
      <c r="H2116" s="8"/>
      <c r="I2116" s="8"/>
      <c r="J2116" s="27" t="s">
        <v>1264</v>
      </c>
      <c r="K2116" s="27" t="s">
        <v>8178</v>
      </c>
      <c r="L2116" s="29"/>
      <c r="M2116" s="68">
        <v>1</v>
      </c>
      <c r="N2116" s="68" t="s">
        <v>491</v>
      </c>
    </row>
    <row r="2117" spans="1:14" ht="14.25" x14ac:dyDescent="0.2">
      <c r="A2117" s="11" t="s">
        <v>8179</v>
      </c>
      <c r="B2117" s="12" t="s">
        <v>2787</v>
      </c>
      <c r="C2117" s="13" t="s">
        <v>3754</v>
      </c>
      <c r="D2117" s="13" t="s">
        <v>3754</v>
      </c>
      <c r="E2117" s="29" t="s">
        <v>6738</v>
      </c>
      <c r="F2117" s="13" t="s">
        <v>6122</v>
      </c>
      <c r="G2117" s="21">
        <v>40</v>
      </c>
      <c r="H2117" s="21"/>
      <c r="I2117" s="21"/>
      <c r="J2117" s="29" t="s">
        <v>1270</v>
      </c>
      <c r="K2117" s="29" t="s">
        <v>2788</v>
      </c>
      <c r="L2117" s="29"/>
      <c r="M2117" s="68">
        <v>1</v>
      </c>
      <c r="N2117" s="68" t="s">
        <v>2755</v>
      </c>
    </row>
    <row r="2118" spans="1:14" ht="14.25" x14ac:dyDescent="0.2">
      <c r="A2118" s="11" t="s">
        <v>8179</v>
      </c>
      <c r="B2118" s="12" t="s">
        <v>1879</v>
      </c>
      <c r="C2118" s="13" t="s">
        <v>3757</v>
      </c>
      <c r="D2118" s="13" t="s">
        <v>3754</v>
      </c>
      <c r="E2118" s="29" t="s">
        <v>523</v>
      </c>
      <c r="F2118" s="13" t="s">
        <v>524</v>
      </c>
      <c r="G2118" s="8">
        <v>50</v>
      </c>
      <c r="H2118" s="8"/>
      <c r="I2118" s="8"/>
      <c r="J2118" s="29" t="s">
        <v>1267</v>
      </c>
      <c r="K2118" s="29" t="s">
        <v>5991</v>
      </c>
      <c r="L2118" s="29"/>
      <c r="M2118" s="68">
        <v>1</v>
      </c>
      <c r="N2118" s="68" t="s">
        <v>1129</v>
      </c>
    </row>
    <row r="2119" spans="1:14" ht="14.25" x14ac:dyDescent="0.2">
      <c r="A2119" s="14" t="s">
        <v>3173</v>
      </c>
      <c r="B2119" s="15" t="s">
        <v>3789</v>
      </c>
      <c r="C2119" s="16" t="s">
        <v>4931</v>
      </c>
      <c r="D2119" s="16" t="s">
        <v>4931</v>
      </c>
      <c r="E2119" s="27" t="s">
        <v>3174</v>
      </c>
      <c r="F2119" s="16" t="s">
        <v>4931</v>
      </c>
      <c r="G2119" s="8">
        <v>7</v>
      </c>
      <c r="H2119" s="8"/>
      <c r="I2119" s="8"/>
      <c r="J2119" s="27" t="s">
        <v>1254</v>
      </c>
      <c r="K2119" s="27" t="s">
        <v>8122</v>
      </c>
      <c r="L2119" s="29"/>
      <c r="M2119" s="68">
        <v>1</v>
      </c>
      <c r="N2119" s="68" t="s">
        <v>491</v>
      </c>
    </row>
    <row r="2120" spans="1:14" ht="14.25" x14ac:dyDescent="0.2">
      <c r="A2120" s="11" t="s">
        <v>4431</v>
      </c>
      <c r="B2120" s="12" t="s">
        <v>4432</v>
      </c>
      <c r="C2120" s="16" t="s">
        <v>3761</v>
      </c>
      <c r="D2120" s="31"/>
      <c r="E2120" s="29" t="s">
        <v>4433</v>
      </c>
      <c r="F2120" s="13" t="s">
        <v>4434</v>
      </c>
      <c r="G2120" s="8">
        <v>41</v>
      </c>
      <c r="H2120" s="8"/>
      <c r="I2120" s="8"/>
      <c r="J2120" s="29" t="s">
        <v>5683</v>
      </c>
      <c r="K2120" s="29" t="s">
        <v>4435</v>
      </c>
      <c r="L2120" s="29"/>
      <c r="M2120" s="68">
        <v>1</v>
      </c>
      <c r="N2120" s="68" t="s">
        <v>8451</v>
      </c>
    </row>
    <row r="2121" spans="1:14" ht="14.25" x14ac:dyDescent="0.2">
      <c r="A2121" s="11" t="s">
        <v>4431</v>
      </c>
      <c r="B2121" s="12" t="s">
        <v>3723</v>
      </c>
      <c r="C2121" s="13" t="s">
        <v>3754</v>
      </c>
      <c r="D2121" s="13"/>
      <c r="E2121" s="29" t="s">
        <v>3155</v>
      </c>
      <c r="F2121" s="13" t="s">
        <v>1119</v>
      </c>
      <c r="G2121" s="8">
        <v>36</v>
      </c>
      <c r="H2121" s="8"/>
      <c r="I2121" s="8"/>
      <c r="J2121" s="29" t="s">
        <v>5010</v>
      </c>
      <c r="K2121" s="29"/>
      <c r="L2121" s="29"/>
      <c r="M2121" s="68">
        <v>1</v>
      </c>
      <c r="N2121" s="68" t="s">
        <v>1129</v>
      </c>
    </row>
    <row r="2122" spans="1:14" ht="14.25" x14ac:dyDescent="0.2">
      <c r="A2122" s="14" t="s">
        <v>639</v>
      </c>
      <c r="B2122" s="15" t="s">
        <v>1432</v>
      </c>
      <c r="C2122" s="16" t="s">
        <v>3757</v>
      </c>
      <c r="D2122" s="16" t="s">
        <v>3754</v>
      </c>
      <c r="E2122" s="27" t="s">
        <v>2502</v>
      </c>
      <c r="F2122" s="16" t="s">
        <v>640</v>
      </c>
      <c r="G2122" s="21">
        <v>70</v>
      </c>
      <c r="H2122" s="21"/>
      <c r="I2122" s="21"/>
      <c r="J2122" s="27" t="s">
        <v>1271</v>
      </c>
      <c r="K2122" s="27" t="s">
        <v>2504</v>
      </c>
      <c r="L2122" s="29"/>
      <c r="M2122" s="68">
        <v>1</v>
      </c>
      <c r="N2122" s="68" t="s">
        <v>595</v>
      </c>
    </row>
    <row r="2123" spans="1:14" ht="14.25" x14ac:dyDescent="0.2">
      <c r="A2123" s="14" t="s">
        <v>648</v>
      </c>
      <c r="B2123" s="15" t="s">
        <v>5967</v>
      </c>
      <c r="C2123" s="16" t="s">
        <v>3757</v>
      </c>
      <c r="D2123" s="16" t="s">
        <v>3754</v>
      </c>
      <c r="E2123" s="72" t="s">
        <v>2852</v>
      </c>
      <c r="F2123" s="16" t="s">
        <v>2372</v>
      </c>
      <c r="G2123" s="8">
        <v>65</v>
      </c>
      <c r="H2123" s="8"/>
      <c r="I2123" s="8"/>
      <c r="J2123" s="27" t="s">
        <v>1264</v>
      </c>
      <c r="K2123" s="72" t="s">
        <v>6870</v>
      </c>
      <c r="L2123" s="95"/>
      <c r="M2123" s="68">
        <v>1</v>
      </c>
      <c r="N2123" s="68" t="s">
        <v>878</v>
      </c>
    </row>
    <row r="2124" spans="1:14" ht="14.25" x14ac:dyDescent="0.2">
      <c r="A2124" s="14" t="s">
        <v>648</v>
      </c>
      <c r="B2124" s="15" t="s">
        <v>5840</v>
      </c>
      <c r="C2124" s="16" t="s">
        <v>3757</v>
      </c>
      <c r="D2124" s="16" t="s">
        <v>3754</v>
      </c>
      <c r="E2124" s="72" t="s">
        <v>5841</v>
      </c>
      <c r="F2124" s="16" t="s">
        <v>5842</v>
      </c>
      <c r="G2124" s="8">
        <v>45</v>
      </c>
      <c r="H2124" s="8"/>
      <c r="I2124" s="8"/>
      <c r="J2124" s="27" t="s">
        <v>1272</v>
      </c>
      <c r="K2124" s="72" t="s">
        <v>5843</v>
      </c>
      <c r="L2124" s="95"/>
      <c r="M2124" s="68">
        <v>1</v>
      </c>
      <c r="N2124" s="68" t="s">
        <v>878</v>
      </c>
    </row>
    <row r="2125" spans="1:14" ht="14.25" x14ac:dyDescent="0.2">
      <c r="A2125" s="14" t="s">
        <v>648</v>
      </c>
      <c r="B2125" s="15" t="s">
        <v>3740</v>
      </c>
      <c r="C2125" s="16" t="s">
        <v>3757</v>
      </c>
      <c r="D2125" s="16" t="s">
        <v>3754</v>
      </c>
      <c r="E2125" s="27" t="s">
        <v>649</v>
      </c>
      <c r="F2125" s="16" t="s">
        <v>650</v>
      </c>
      <c r="G2125" s="21">
        <v>56</v>
      </c>
      <c r="H2125" s="21"/>
      <c r="I2125" s="21"/>
      <c r="J2125" s="27" t="s">
        <v>651</v>
      </c>
      <c r="K2125" s="27" t="s">
        <v>652</v>
      </c>
      <c r="L2125" s="29"/>
      <c r="M2125" s="68">
        <v>1</v>
      </c>
      <c r="N2125" s="68" t="s">
        <v>595</v>
      </c>
    </row>
    <row r="2126" spans="1:14" ht="14.25" x14ac:dyDescent="0.2">
      <c r="A2126" s="11" t="s">
        <v>648</v>
      </c>
      <c r="B2126" s="12" t="s">
        <v>8616</v>
      </c>
      <c r="C2126" s="13" t="s">
        <v>3757</v>
      </c>
      <c r="D2126" s="13" t="s">
        <v>3761</v>
      </c>
      <c r="E2126" s="29" t="s">
        <v>758</v>
      </c>
      <c r="F2126" s="13" t="s">
        <v>759</v>
      </c>
      <c r="G2126" s="21">
        <v>57</v>
      </c>
      <c r="H2126" s="21"/>
      <c r="I2126" s="21"/>
      <c r="J2126" s="29" t="s">
        <v>1272</v>
      </c>
      <c r="K2126" s="29" t="s">
        <v>6784</v>
      </c>
      <c r="L2126" s="29"/>
      <c r="M2126" s="68">
        <v>1</v>
      </c>
      <c r="N2126" s="68" t="s">
        <v>726</v>
      </c>
    </row>
    <row r="2127" spans="1:14" ht="14.25" x14ac:dyDescent="0.2">
      <c r="A2127" s="11" t="s">
        <v>8244</v>
      </c>
      <c r="B2127" s="12" t="s">
        <v>4135</v>
      </c>
      <c r="C2127" s="16" t="s">
        <v>3761</v>
      </c>
      <c r="D2127" s="13" t="s">
        <v>8452</v>
      </c>
      <c r="E2127" s="29" t="s">
        <v>3174</v>
      </c>
      <c r="F2127" s="13" t="s">
        <v>1541</v>
      </c>
      <c r="G2127" s="8">
        <v>35</v>
      </c>
      <c r="H2127" s="8"/>
      <c r="I2127" s="8"/>
      <c r="J2127" s="29" t="s">
        <v>1272</v>
      </c>
      <c r="K2127" s="29" t="s">
        <v>1284</v>
      </c>
      <c r="L2127" s="29"/>
      <c r="M2127" s="68">
        <v>1</v>
      </c>
      <c r="N2127" s="68" t="s">
        <v>8451</v>
      </c>
    </row>
    <row r="2128" spans="1:14" ht="14.25" x14ac:dyDescent="0.2">
      <c r="A2128" s="11" t="s">
        <v>8244</v>
      </c>
      <c r="B2128" s="12" t="s">
        <v>5967</v>
      </c>
      <c r="C2128" s="13" t="s">
        <v>3757</v>
      </c>
      <c r="D2128" s="13" t="s">
        <v>3754</v>
      </c>
      <c r="E2128" s="72" t="s">
        <v>807</v>
      </c>
      <c r="F2128" s="13" t="s">
        <v>808</v>
      </c>
      <c r="G2128" s="8">
        <v>74</v>
      </c>
      <c r="H2128" s="8"/>
      <c r="I2128" s="8"/>
      <c r="J2128" s="29" t="s">
        <v>1271</v>
      </c>
      <c r="K2128" s="72" t="s">
        <v>6804</v>
      </c>
      <c r="L2128" s="29"/>
      <c r="M2128" s="68">
        <v>1</v>
      </c>
      <c r="N2128" s="68" t="s">
        <v>795</v>
      </c>
    </row>
    <row r="2129" spans="1:14" ht="14.25" x14ac:dyDescent="0.2">
      <c r="A2129" s="11" t="s">
        <v>8244</v>
      </c>
      <c r="B2129" s="12" t="s">
        <v>1801</v>
      </c>
      <c r="C2129" s="13" t="s">
        <v>3757</v>
      </c>
      <c r="D2129" s="31"/>
      <c r="E2129" s="29" t="s">
        <v>4429</v>
      </c>
      <c r="F2129" s="13" t="s">
        <v>4430</v>
      </c>
      <c r="G2129" s="8">
        <v>70</v>
      </c>
      <c r="H2129" s="8"/>
      <c r="I2129" s="8"/>
      <c r="J2129" s="29" t="s">
        <v>1259</v>
      </c>
      <c r="K2129" s="29" t="s">
        <v>5487</v>
      </c>
      <c r="L2129" s="29"/>
      <c r="M2129" s="68">
        <v>1</v>
      </c>
      <c r="N2129" s="68" t="s">
        <v>8451</v>
      </c>
    </row>
    <row r="2130" spans="1:14" ht="14.25" x14ac:dyDescent="0.2">
      <c r="A2130" s="11" t="s">
        <v>8244</v>
      </c>
      <c r="B2130" s="12" t="s">
        <v>8453</v>
      </c>
      <c r="C2130" s="13" t="s">
        <v>3323</v>
      </c>
      <c r="D2130" s="13" t="s">
        <v>3754</v>
      </c>
      <c r="E2130" s="29" t="s">
        <v>8454</v>
      </c>
      <c r="F2130" s="13" t="s">
        <v>8455</v>
      </c>
      <c r="G2130" s="8">
        <v>50</v>
      </c>
      <c r="H2130" s="8"/>
      <c r="I2130" s="8"/>
      <c r="J2130" s="29" t="s">
        <v>1264</v>
      </c>
      <c r="K2130" s="29" t="s">
        <v>8677</v>
      </c>
      <c r="L2130" s="29"/>
      <c r="M2130" s="68">
        <v>1</v>
      </c>
      <c r="N2130" s="68" t="s">
        <v>8451</v>
      </c>
    </row>
    <row r="2131" spans="1:14" ht="14.25" x14ac:dyDescent="0.2">
      <c r="A2131" s="11" t="s">
        <v>8244</v>
      </c>
      <c r="B2131" s="12" t="s">
        <v>5595</v>
      </c>
      <c r="C2131" s="16" t="s">
        <v>3761</v>
      </c>
      <c r="D2131" s="13" t="s">
        <v>3754</v>
      </c>
      <c r="E2131" s="72" t="s">
        <v>7451</v>
      </c>
      <c r="F2131" s="13" t="s">
        <v>7452</v>
      </c>
      <c r="G2131" s="8">
        <v>32</v>
      </c>
      <c r="H2131" s="8"/>
      <c r="I2131" s="8"/>
      <c r="J2131" s="29" t="s">
        <v>6669</v>
      </c>
      <c r="K2131" s="72" t="s">
        <v>7453</v>
      </c>
      <c r="L2131" s="29"/>
      <c r="M2131" s="68">
        <v>1</v>
      </c>
      <c r="N2131" s="68" t="s">
        <v>986</v>
      </c>
    </row>
    <row r="2132" spans="1:14" ht="14.25" x14ac:dyDescent="0.2">
      <c r="A2132" s="11" t="s">
        <v>8244</v>
      </c>
      <c r="B2132" s="12" t="s">
        <v>4348</v>
      </c>
      <c r="C2132" s="16" t="s">
        <v>3761</v>
      </c>
      <c r="D2132" s="13" t="s">
        <v>3754</v>
      </c>
      <c r="E2132" s="29" t="s">
        <v>4313</v>
      </c>
      <c r="F2132" s="13" t="s">
        <v>4349</v>
      </c>
      <c r="G2132" s="8">
        <v>21</v>
      </c>
      <c r="H2132" s="8"/>
      <c r="I2132" s="8"/>
      <c r="J2132" s="29" t="s">
        <v>5010</v>
      </c>
      <c r="K2132" s="29" t="s">
        <v>4350</v>
      </c>
      <c r="L2132" s="56"/>
      <c r="M2132" s="68">
        <v>1</v>
      </c>
      <c r="N2132" s="68" t="s">
        <v>2717</v>
      </c>
    </row>
    <row r="2133" spans="1:14" ht="14.25" x14ac:dyDescent="0.2">
      <c r="A2133" s="14" t="s">
        <v>8244</v>
      </c>
      <c r="B2133" s="15" t="s">
        <v>2295</v>
      </c>
      <c r="C2133" s="16" t="s">
        <v>3757</v>
      </c>
      <c r="D2133" s="16" t="s">
        <v>3754</v>
      </c>
      <c r="E2133" s="72" t="s">
        <v>5838</v>
      </c>
      <c r="F2133" s="16" t="s">
        <v>5839</v>
      </c>
      <c r="G2133" s="8">
        <v>24</v>
      </c>
      <c r="H2133" s="8"/>
      <c r="I2133" s="8"/>
      <c r="J2133" s="27" t="s">
        <v>1264</v>
      </c>
      <c r="K2133" s="72" t="s">
        <v>903</v>
      </c>
      <c r="L2133" s="95"/>
      <c r="M2133" s="68">
        <v>1</v>
      </c>
      <c r="N2133" s="68" t="s">
        <v>878</v>
      </c>
    </row>
    <row r="2134" spans="1:14" ht="14.25" x14ac:dyDescent="0.2">
      <c r="A2134" s="14" t="s">
        <v>8244</v>
      </c>
      <c r="B2134" s="15" t="s">
        <v>2295</v>
      </c>
      <c r="C2134" s="16" t="s">
        <v>3757</v>
      </c>
      <c r="D2134" s="13" t="s">
        <v>3754</v>
      </c>
      <c r="E2134" s="27" t="s">
        <v>8245</v>
      </c>
      <c r="F2134" s="16" t="s">
        <v>1541</v>
      </c>
      <c r="G2134" s="8">
        <v>48</v>
      </c>
      <c r="H2134" s="8"/>
      <c r="I2134" s="8"/>
      <c r="J2134" s="27" t="s">
        <v>1264</v>
      </c>
      <c r="K2134" s="27" t="s">
        <v>8246</v>
      </c>
      <c r="L2134" s="29"/>
      <c r="M2134" s="68">
        <v>1</v>
      </c>
      <c r="N2134" s="68" t="s">
        <v>8206</v>
      </c>
    </row>
    <row r="2135" spans="1:14" ht="28.5" x14ac:dyDescent="0.2">
      <c r="A2135" s="14" t="s">
        <v>8244</v>
      </c>
      <c r="B2135" s="15" t="s">
        <v>600</v>
      </c>
      <c r="C2135" s="16" t="s">
        <v>601</v>
      </c>
      <c r="D2135" s="16" t="s">
        <v>8621</v>
      </c>
      <c r="E2135" s="27" t="s">
        <v>602</v>
      </c>
      <c r="F2135" s="16" t="s">
        <v>603</v>
      </c>
      <c r="G2135" s="21">
        <v>33</v>
      </c>
      <c r="H2135" s="21"/>
      <c r="I2135" s="21"/>
      <c r="J2135" s="27" t="s">
        <v>604</v>
      </c>
      <c r="K2135" s="27" t="s">
        <v>605</v>
      </c>
      <c r="L2135" s="29"/>
      <c r="M2135" s="68">
        <v>1</v>
      </c>
      <c r="N2135" s="68" t="s">
        <v>595</v>
      </c>
    </row>
    <row r="2136" spans="1:14" ht="15" x14ac:dyDescent="0.2">
      <c r="A2136" s="11" t="s">
        <v>8244</v>
      </c>
      <c r="B2136" s="12" t="s">
        <v>4703</v>
      </c>
      <c r="C2136" s="13" t="s">
        <v>3757</v>
      </c>
      <c r="D2136" s="13" t="s">
        <v>3754</v>
      </c>
      <c r="E2136" s="29"/>
      <c r="F2136" s="13" t="s">
        <v>6257</v>
      </c>
      <c r="G2136" s="21">
        <v>73</v>
      </c>
      <c r="H2136" s="21"/>
      <c r="I2136" s="21"/>
      <c r="J2136" s="29" t="s">
        <v>4738</v>
      </c>
      <c r="K2136" s="29" t="s">
        <v>5064</v>
      </c>
      <c r="L2136" s="58"/>
      <c r="M2136" s="68">
        <v>1</v>
      </c>
      <c r="N2136" s="68" t="s">
        <v>2359</v>
      </c>
    </row>
    <row r="2137" spans="1:14" ht="14.25" x14ac:dyDescent="0.2">
      <c r="A2137" s="11" t="s">
        <v>8244</v>
      </c>
      <c r="B2137" s="12" t="s">
        <v>6310</v>
      </c>
      <c r="C2137" s="13" t="s">
        <v>6311</v>
      </c>
      <c r="D2137" s="31" t="s">
        <v>3754</v>
      </c>
      <c r="E2137" s="29" t="s">
        <v>6312</v>
      </c>
      <c r="F2137" s="13" t="s">
        <v>6313</v>
      </c>
      <c r="G2137" s="21">
        <v>42</v>
      </c>
      <c r="H2137" s="21"/>
      <c r="I2137" s="21"/>
      <c r="J2137" s="29" t="s">
        <v>1270</v>
      </c>
      <c r="K2137" s="29" t="s">
        <v>6314</v>
      </c>
      <c r="L2137" s="29" t="s">
        <v>5019</v>
      </c>
      <c r="M2137" s="68">
        <v>1</v>
      </c>
      <c r="N2137" s="68" t="s">
        <v>6187</v>
      </c>
    </row>
    <row r="2138" spans="1:14" ht="15" x14ac:dyDescent="0.2">
      <c r="A2138" s="11" t="s">
        <v>8244</v>
      </c>
      <c r="B2138" s="12" t="s">
        <v>3723</v>
      </c>
      <c r="C2138" s="13" t="s">
        <v>3757</v>
      </c>
      <c r="D2138" s="13" t="s">
        <v>3754</v>
      </c>
      <c r="E2138" s="29" t="s">
        <v>6117</v>
      </c>
      <c r="F2138" s="13" t="s">
        <v>6118</v>
      </c>
      <c r="G2138" s="21">
        <v>60</v>
      </c>
      <c r="H2138" s="21"/>
      <c r="I2138" s="21"/>
      <c r="J2138" s="29"/>
      <c r="K2138" s="29" t="s">
        <v>6119</v>
      </c>
      <c r="L2138" s="58"/>
      <c r="M2138" s="68">
        <v>1</v>
      </c>
      <c r="N2138" s="68" t="s">
        <v>2359</v>
      </c>
    </row>
    <row r="2139" spans="1:14" ht="14.25" x14ac:dyDescent="0.2">
      <c r="A2139" s="11" t="s">
        <v>8244</v>
      </c>
      <c r="B2139" s="12" t="s">
        <v>6140</v>
      </c>
      <c r="C2139" s="13" t="s">
        <v>3754</v>
      </c>
      <c r="D2139" s="31" t="s">
        <v>3754</v>
      </c>
      <c r="E2139" s="29" t="s">
        <v>6318</v>
      </c>
      <c r="F2139" s="13" t="s">
        <v>6319</v>
      </c>
      <c r="G2139" s="21" t="s">
        <v>1314</v>
      </c>
      <c r="H2139" s="21" t="s">
        <v>1314</v>
      </c>
      <c r="I2139" s="21" t="s">
        <v>1314</v>
      </c>
      <c r="J2139" s="29" t="s">
        <v>4750</v>
      </c>
      <c r="K2139" s="29" t="s">
        <v>6320</v>
      </c>
      <c r="L2139" s="29" t="s">
        <v>5019</v>
      </c>
      <c r="M2139" s="68">
        <v>1</v>
      </c>
      <c r="N2139" s="68" t="s">
        <v>6187</v>
      </c>
    </row>
    <row r="2140" spans="1:14" ht="14.25" x14ac:dyDescent="0.2">
      <c r="A2140" s="11" t="s">
        <v>8123</v>
      </c>
      <c r="B2140" s="12" t="s">
        <v>98</v>
      </c>
      <c r="C2140" s="16" t="s">
        <v>3761</v>
      </c>
      <c r="D2140" s="13" t="s">
        <v>3754</v>
      </c>
      <c r="E2140" s="72" t="s">
        <v>3411</v>
      </c>
      <c r="F2140" s="13" t="s">
        <v>99</v>
      </c>
      <c r="G2140" s="8">
        <v>28</v>
      </c>
      <c r="H2140" s="8"/>
      <c r="I2140" s="8"/>
      <c r="J2140" s="29" t="s">
        <v>1264</v>
      </c>
      <c r="K2140" s="72" t="s">
        <v>100</v>
      </c>
      <c r="L2140" s="29"/>
      <c r="M2140" s="68">
        <v>1</v>
      </c>
      <c r="N2140" s="68" t="s">
        <v>986</v>
      </c>
    </row>
    <row r="2141" spans="1:14" ht="14.25" x14ac:dyDescent="0.2">
      <c r="A2141" s="14" t="s">
        <v>8123</v>
      </c>
      <c r="B2141" s="15" t="s">
        <v>5977</v>
      </c>
      <c r="C2141" s="16" t="s">
        <v>3761</v>
      </c>
      <c r="D2141" s="13" t="s">
        <v>3754</v>
      </c>
      <c r="E2141" s="27" t="s">
        <v>8124</v>
      </c>
      <c r="F2141" s="16" t="s">
        <v>1541</v>
      </c>
      <c r="G2141" s="8">
        <v>1</v>
      </c>
      <c r="H2141" s="8"/>
      <c r="I2141" s="8"/>
      <c r="J2141" s="27"/>
      <c r="K2141" s="27" t="s">
        <v>2621</v>
      </c>
      <c r="L2141" s="29"/>
      <c r="M2141" s="68">
        <v>1</v>
      </c>
      <c r="N2141" s="68" t="s">
        <v>491</v>
      </c>
    </row>
    <row r="2142" spans="1:14" ht="14.25" x14ac:dyDescent="0.2">
      <c r="A2142" s="14" t="s">
        <v>8123</v>
      </c>
      <c r="B2142" s="15" t="s">
        <v>8217</v>
      </c>
      <c r="C2142" s="16" t="s">
        <v>3761</v>
      </c>
      <c r="D2142" s="13" t="s">
        <v>3754</v>
      </c>
      <c r="E2142" s="27"/>
      <c r="F2142" s="16" t="s">
        <v>1541</v>
      </c>
      <c r="G2142" s="8"/>
      <c r="H2142" s="8">
        <v>11</v>
      </c>
      <c r="I2142" s="8"/>
      <c r="J2142" s="27" t="s">
        <v>8218</v>
      </c>
      <c r="K2142" s="27" t="s">
        <v>1637</v>
      </c>
      <c r="L2142" s="29"/>
      <c r="M2142" s="68">
        <v>1</v>
      </c>
      <c r="N2142" s="68" t="s">
        <v>8206</v>
      </c>
    </row>
    <row r="2143" spans="1:14" ht="14.25" x14ac:dyDescent="0.2">
      <c r="A2143" s="11" t="s">
        <v>8123</v>
      </c>
      <c r="B2143" s="12" t="s">
        <v>4153</v>
      </c>
      <c r="C2143" s="16" t="s">
        <v>3761</v>
      </c>
      <c r="D2143" s="13" t="s">
        <v>3754</v>
      </c>
      <c r="E2143" s="29" t="s">
        <v>4154</v>
      </c>
      <c r="F2143" s="13" t="s">
        <v>1541</v>
      </c>
      <c r="G2143" s="8"/>
      <c r="H2143" s="8">
        <v>5</v>
      </c>
      <c r="I2143" s="8">
        <v>20</v>
      </c>
      <c r="J2143" s="29" t="s">
        <v>1416</v>
      </c>
      <c r="K2143" s="29" t="s">
        <v>1405</v>
      </c>
      <c r="L2143" s="29"/>
      <c r="M2143" s="68">
        <v>1</v>
      </c>
      <c r="N2143" s="68" t="s">
        <v>4108</v>
      </c>
    </row>
    <row r="2144" spans="1:14" ht="28.5" x14ac:dyDescent="0.2">
      <c r="A2144" s="11" t="s">
        <v>8123</v>
      </c>
      <c r="B2144" s="12" t="s">
        <v>4514</v>
      </c>
      <c r="C2144" s="16" t="s">
        <v>3761</v>
      </c>
      <c r="D2144" s="13" t="s">
        <v>3754</v>
      </c>
      <c r="E2144" s="29" t="s">
        <v>4515</v>
      </c>
      <c r="F2144" s="13" t="s">
        <v>7476</v>
      </c>
      <c r="G2144" s="8"/>
      <c r="H2144" s="8"/>
      <c r="I2144" s="8" t="s">
        <v>4516</v>
      </c>
      <c r="J2144" s="29"/>
      <c r="K2144" s="29" t="s">
        <v>4517</v>
      </c>
      <c r="L2144" s="29"/>
      <c r="M2144" s="68">
        <v>1</v>
      </c>
      <c r="N2144" s="68" t="s">
        <v>4362</v>
      </c>
    </row>
    <row r="2145" spans="1:14" ht="14.25" x14ac:dyDescent="0.2">
      <c r="A2145" s="11" t="s">
        <v>8123</v>
      </c>
      <c r="B2145" s="12" t="s">
        <v>2871</v>
      </c>
      <c r="C2145" s="13" t="s">
        <v>4323</v>
      </c>
      <c r="D2145" s="13" t="s">
        <v>4324</v>
      </c>
      <c r="E2145" s="29" t="s">
        <v>4325</v>
      </c>
      <c r="F2145" s="13" t="s">
        <v>4326</v>
      </c>
      <c r="G2145" s="8">
        <v>27</v>
      </c>
      <c r="H2145" s="8"/>
      <c r="I2145" s="8"/>
      <c r="J2145" s="29" t="s">
        <v>2595</v>
      </c>
      <c r="K2145" s="29" t="s">
        <v>4327</v>
      </c>
      <c r="L2145" s="56"/>
      <c r="M2145" s="68">
        <v>1</v>
      </c>
      <c r="N2145" s="68" t="s">
        <v>2717</v>
      </c>
    </row>
    <row r="2146" spans="1:14" ht="14.25" x14ac:dyDescent="0.2">
      <c r="A2146" s="11" t="s">
        <v>8123</v>
      </c>
      <c r="B2146" s="12" t="s">
        <v>3728</v>
      </c>
      <c r="C2146" s="13" t="s">
        <v>3757</v>
      </c>
      <c r="D2146" s="13" t="s">
        <v>3754</v>
      </c>
      <c r="E2146" s="29" t="s">
        <v>567</v>
      </c>
      <c r="F2146" s="13" t="s">
        <v>568</v>
      </c>
      <c r="G2146" s="8">
        <v>27</v>
      </c>
      <c r="H2146" s="8"/>
      <c r="I2146" s="8"/>
      <c r="J2146" s="29" t="s">
        <v>569</v>
      </c>
      <c r="K2146" s="29" t="s">
        <v>2945</v>
      </c>
      <c r="L2146" s="29"/>
      <c r="M2146" s="68">
        <v>1</v>
      </c>
      <c r="N2146" s="68" t="s">
        <v>1129</v>
      </c>
    </row>
    <row r="2147" spans="1:14" ht="14.25" x14ac:dyDescent="0.2">
      <c r="A2147" s="11" t="s">
        <v>8123</v>
      </c>
      <c r="B2147" s="12" t="s">
        <v>2969</v>
      </c>
      <c r="C2147" s="13" t="s">
        <v>3754</v>
      </c>
      <c r="D2147" s="13" t="s">
        <v>3761</v>
      </c>
      <c r="E2147" s="29" t="s">
        <v>2618</v>
      </c>
      <c r="F2147" s="13" t="s">
        <v>2227</v>
      </c>
      <c r="G2147" s="21">
        <v>38</v>
      </c>
      <c r="H2147" s="21"/>
      <c r="I2147" s="21"/>
      <c r="J2147" s="29" t="s">
        <v>7431</v>
      </c>
      <c r="K2147" s="29" t="s">
        <v>6781</v>
      </c>
      <c r="L2147" s="29"/>
      <c r="M2147" s="68">
        <v>1</v>
      </c>
      <c r="N2147" s="68" t="s">
        <v>726</v>
      </c>
    </row>
    <row r="2148" spans="1:14" ht="14.25" x14ac:dyDescent="0.2">
      <c r="A2148" s="11" t="s">
        <v>8123</v>
      </c>
      <c r="B2148" s="12" t="s">
        <v>3740</v>
      </c>
      <c r="C2148" s="13" t="s">
        <v>3754</v>
      </c>
      <c r="D2148" s="13" t="s">
        <v>3754</v>
      </c>
      <c r="E2148" s="29" t="s">
        <v>2772</v>
      </c>
      <c r="F2148" s="13" t="s">
        <v>2773</v>
      </c>
      <c r="G2148" s="21">
        <v>36</v>
      </c>
      <c r="H2148" s="21"/>
      <c r="I2148" s="21"/>
      <c r="J2148" s="29" t="s">
        <v>2384</v>
      </c>
      <c r="K2148" s="29" t="s">
        <v>2774</v>
      </c>
      <c r="L2148" s="29"/>
      <c r="M2148" s="68">
        <v>1</v>
      </c>
      <c r="N2148" s="68" t="s">
        <v>2755</v>
      </c>
    </row>
    <row r="2149" spans="1:14" ht="14.25" x14ac:dyDescent="0.2">
      <c r="A2149" s="11" t="s">
        <v>8123</v>
      </c>
      <c r="B2149" s="12" t="s">
        <v>538</v>
      </c>
      <c r="C2149" s="13" t="s">
        <v>3754</v>
      </c>
      <c r="D2149" s="13" t="s">
        <v>539</v>
      </c>
      <c r="E2149" s="29" t="s">
        <v>8643</v>
      </c>
      <c r="F2149" s="13" t="s">
        <v>539</v>
      </c>
      <c r="G2149" s="8"/>
      <c r="H2149" s="8">
        <v>11</v>
      </c>
      <c r="I2149" s="8">
        <v>2</v>
      </c>
      <c r="J2149" s="29" t="s">
        <v>1472</v>
      </c>
      <c r="K2149" s="29" t="s">
        <v>6011</v>
      </c>
      <c r="L2149" s="29"/>
      <c r="M2149" s="68">
        <v>1</v>
      </c>
      <c r="N2149" s="68" t="s">
        <v>1129</v>
      </c>
    </row>
    <row r="2150" spans="1:14" ht="14.25" x14ac:dyDescent="0.2">
      <c r="A2150" s="11" t="s">
        <v>8123</v>
      </c>
      <c r="B2150" s="12" t="s">
        <v>3723</v>
      </c>
      <c r="C2150" s="16" t="s">
        <v>3761</v>
      </c>
      <c r="D2150" s="13" t="s">
        <v>3754</v>
      </c>
      <c r="E2150" s="29" t="s">
        <v>4155</v>
      </c>
      <c r="F2150" s="13" t="s">
        <v>1541</v>
      </c>
      <c r="G2150" s="8">
        <v>32</v>
      </c>
      <c r="H2150" s="8"/>
      <c r="I2150" s="8"/>
      <c r="J2150" s="29" t="s">
        <v>1264</v>
      </c>
      <c r="K2150" s="29" t="s">
        <v>1405</v>
      </c>
      <c r="L2150" s="29"/>
      <c r="M2150" s="68">
        <v>1</v>
      </c>
      <c r="N2150" s="68" t="s">
        <v>4108</v>
      </c>
    </row>
    <row r="2151" spans="1:14" ht="15" x14ac:dyDescent="0.2">
      <c r="A2151" s="14" t="s">
        <v>6131</v>
      </c>
      <c r="B2151" s="15" t="s">
        <v>4685</v>
      </c>
      <c r="C2151" s="16" t="s">
        <v>3754</v>
      </c>
      <c r="D2151" s="27" t="s">
        <v>3754</v>
      </c>
      <c r="E2151" s="27" t="s">
        <v>60</v>
      </c>
      <c r="F2151" s="27" t="s">
        <v>6132</v>
      </c>
      <c r="G2151" s="21" t="s">
        <v>1464</v>
      </c>
      <c r="H2151" s="21">
        <v>4</v>
      </c>
      <c r="I2151" s="21"/>
      <c r="J2151" s="27" t="s">
        <v>4829</v>
      </c>
      <c r="K2151" s="96" t="s">
        <v>66</v>
      </c>
      <c r="L2151" s="65"/>
      <c r="M2151" s="68">
        <v>1</v>
      </c>
      <c r="N2151" s="68" t="s">
        <v>6124</v>
      </c>
    </row>
    <row r="2152" spans="1:14" ht="14.25" x14ac:dyDescent="0.2">
      <c r="A2152" s="14" t="s">
        <v>616</v>
      </c>
      <c r="B2152" s="15" t="s">
        <v>4701</v>
      </c>
      <c r="C2152" s="16" t="s">
        <v>3754</v>
      </c>
      <c r="D2152" s="16" t="s">
        <v>3754</v>
      </c>
      <c r="E2152" s="27" t="s">
        <v>2346</v>
      </c>
      <c r="F2152" s="16" t="s">
        <v>617</v>
      </c>
      <c r="G2152" s="21">
        <v>27</v>
      </c>
      <c r="H2152" s="21"/>
      <c r="I2152" s="21"/>
      <c r="J2152" s="27" t="s">
        <v>1264</v>
      </c>
      <c r="K2152" s="27" t="s">
        <v>2348</v>
      </c>
      <c r="L2152" s="29"/>
      <c r="M2152" s="68">
        <v>1</v>
      </c>
      <c r="N2152" s="68" t="s">
        <v>595</v>
      </c>
    </row>
    <row r="2153" spans="1:14" ht="28.5" x14ac:dyDescent="0.2">
      <c r="A2153" s="14" t="s">
        <v>669</v>
      </c>
      <c r="B2153" s="15" t="s">
        <v>3727</v>
      </c>
      <c r="C2153" s="16" t="s">
        <v>3754</v>
      </c>
      <c r="D2153" s="16" t="s">
        <v>3754</v>
      </c>
      <c r="E2153" s="27" t="s">
        <v>679</v>
      </c>
      <c r="F2153" s="16" t="s">
        <v>678</v>
      </c>
      <c r="G2153" s="21">
        <v>10</v>
      </c>
      <c r="H2153" s="21"/>
      <c r="I2153" s="21"/>
      <c r="J2153" s="27" t="s">
        <v>1504</v>
      </c>
      <c r="K2153" s="27" t="s">
        <v>674</v>
      </c>
      <c r="L2153" s="29"/>
      <c r="M2153" s="68">
        <v>1</v>
      </c>
      <c r="N2153" s="68" t="s">
        <v>595</v>
      </c>
    </row>
    <row r="2154" spans="1:14" ht="28.5" x14ac:dyDescent="0.2">
      <c r="A2154" s="14" t="s">
        <v>669</v>
      </c>
      <c r="B2154" s="15" t="s">
        <v>3740</v>
      </c>
      <c r="C2154" s="16" t="s">
        <v>3757</v>
      </c>
      <c r="D2154" s="16" t="s">
        <v>670</v>
      </c>
      <c r="E2154" s="27" t="s">
        <v>671</v>
      </c>
      <c r="F2154" s="16" t="s">
        <v>672</v>
      </c>
      <c r="G2154" s="21">
        <v>49</v>
      </c>
      <c r="H2154" s="21"/>
      <c r="I2154" s="21"/>
      <c r="J2154" s="27" t="s">
        <v>673</v>
      </c>
      <c r="K2154" s="27" t="s">
        <v>674</v>
      </c>
      <c r="L2154" s="29"/>
      <c r="M2154" s="68">
        <v>1</v>
      </c>
      <c r="N2154" s="68" t="s">
        <v>595</v>
      </c>
    </row>
    <row r="2155" spans="1:14" ht="14.25" x14ac:dyDescent="0.2">
      <c r="A2155" s="14" t="s">
        <v>669</v>
      </c>
      <c r="B2155" s="15" t="s">
        <v>5712</v>
      </c>
      <c r="C2155" s="16" t="s">
        <v>3754</v>
      </c>
      <c r="D2155" s="16" t="s">
        <v>1464</v>
      </c>
      <c r="E2155" s="27" t="s">
        <v>1635</v>
      </c>
      <c r="F2155" s="16" t="s">
        <v>675</v>
      </c>
      <c r="G2155" s="21" t="s">
        <v>1464</v>
      </c>
      <c r="H2155" s="21">
        <v>9</v>
      </c>
      <c r="I2155" s="21">
        <v>1</v>
      </c>
      <c r="J2155" s="27" t="s">
        <v>1258</v>
      </c>
      <c r="K2155" s="27" t="s">
        <v>674</v>
      </c>
      <c r="L2155" s="29"/>
      <c r="M2155" s="68">
        <v>1</v>
      </c>
      <c r="N2155" s="68" t="s">
        <v>595</v>
      </c>
    </row>
    <row r="2156" spans="1:14" ht="15" x14ac:dyDescent="0.2">
      <c r="A2156" s="14" t="s">
        <v>669</v>
      </c>
      <c r="B2156" s="15" t="s">
        <v>73</v>
      </c>
      <c r="C2156" s="16" t="s">
        <v>3754</v>
      </c>
      <c r="D2156" s="27" t="s">
        <v>3754</v>
      </c>
      <c r="E2156" s="27" t="s">
        <v>2419</v>
      </c>
      <c r="F2156" s="27" t="s">
        <v>6262</v>
      </c>
      <c r="G2156" s="21">
        <v>3</v>
      </c>
      <c r="H2156" s="21">
        <v>5</v>
      </c>
      <c r="I2156" s="21"/>
      <c r="J2156" s="27" t="s">
        <v>1277</v>
      </c>
      <c r="K2156" s="96" t="s">
        <v>74</v>
      </c>
      <c r="L2156" s="66"/>
      <c r="M2156" s="68">
        <v>1</v>
      </c>
      <c r="N2156" s="68" t="s">
        <v>6124</v>
      </c>
    </row>
    <row r="2157" spans="1:14" ht="28.5" x14ac:dyDescent="0.2">
      <c r="A2157" s="17" t="s">
        <v>669</v>
      </c>
      <c r="B2157" s="18" t="s">
        <v>3738</v>
      </c>
      <c r="C2157" s="19" t="s">
        <v>3754</v>
      </c>
      <c r="D2157" s="16" t="s">
        <v>3754</v>
      </c>
      <c r="E2157" s="45" t="s">
        <v>3221</v>
      </c>
      <c r="F2157" s="19" t="s">
        <v>678</v>
      </c>
      <c r="G2157" s="21"/>
      <c r="H2157" s="21">
        <v>1</v>
      </c>
      <c r="I2157" s="21"/>
      <c r="J2157" s="45" t="s">
        <v>4747</v>
      </c>
      <c r="K2157" s="45" t="s">
        <v>674</v>
      </c>
      <c r="L2157" s="61"/>
      <c r="M2157" s="68">
        <v>1</v>
      </c>
      <c r="N2157" s="68" t="s">
        <v>595</v>
      </c>
    </row>
    <row r="2158" spans="1:14" ht="15" x14ac:dyDescent="0.2">
      <c r="A2158" s="30" t="s">
        <v>669</v>
      </c>
      <c r="B2158" s="5" t="s">
        <v>727</v>
      </c>
      <c r="C2158" s="10" t="s">
        <v>3754</v>
      </c>
      <c r="D2158" s="13" t="s">
        <v>3754</v>
      </c>
      <c r="E2158" s="55" t="s">
        <v>3886</v>
      </c>
      <c r="F2158" s="21" t="s">
        <v>6262</v>
      </c>
      <c r="G2158" s="21"/>
      <c r="H2158" s="21">
        <v>3</v>
      </c>
      <c r="I2158" s="21"/>
      <c r="J2158" s="55"/>
      <c r="K2158" s="55" t="s">
        <v>3886</v>
      </c>
      <c r="L2158" s="62"/>
      <c r="M2158" s="68">
        <v>1</v>
      </c>
      <c r="N2158" s="68" t="s">
        <v>2359</v>
      </c>
    </row>
    <row r="2159" spans="1:14" ht="14.25" x14ac:dyDescent="0.2">
      <c r="A2159" s="14" t="s">
        <v>669</v>
      </c>
      <c r="B2159" s="15" t="s">
        <v>676</v>
      </c>
      <c r="C2159" s="16" t="s">
        <v>3754</v>
      </c>
      <c r="D2159" s="16" t="s">
        <v>3754</v>
      </c>
      <c r="E2159" s="27" t="s">
        <v>677</v>
      </c>
      <c r="F2159" s="16" t="s">
        <v>672</v>
      </c>
      <c r="G2159" s="21">
        <v>1</v>
      </c>
      <c r="H2159" s="21">
        <v>4</v>
      </c>
      <c r="I2159" s="21">
        <v>1</v>
      </c>
      <c r="J2159" s="27" t="s">
        <v>7319</v>
      </c>
      <c r="K2159" s="27" t="s">
        <v>674</v>
      </c>
      <c r="L2159" s="29"/>
      <c r="M2159" s="68">
        <v>1</v>
      </c>
      <c r="N2159" s="68" t="s">
        <v>595</v>
      </c>
    </row>
    <row r="2160" spans="1:14" ht="14.25" x14ac:dyDescent="0.2">
      <c r="A2160" s="11" t="s">
        <v>3586</v>
      </c>
      <c r="B2160" s="12" t="s">
        <v>6866</v>
      </c>
      <c r="C2160" s="13" t="s">
        <v>3757</v>
      </c>
      <c r="D2160" s="13" t="s">
        <v>3754</v>
      </c>
      <c r="E2160" s="72" t="s">
        <v>5599</v>
      </c>
      <c r="F2160" s="13" t="s">
        <v>3587</v>
      </c>
      <c r="G2160" s="8">
        <v>43</v>
      </c>
      <c r="H2160" s="8"/>
      <c r="I2160" s="8"/>
      <c r="J2160" s="29" t="s">
        <v>1264</v>
      </c>
      <c r="K2160" s="72" t="s">
        <v>3588</v>
      </c>
      <c r="L2160" s="29"/>
      <c r="M2160" s="68">
        <v>1</v>
      </c>
      <c r="N2160" s="68" t="s">
        <v>986</v>
      </c>
    </row>
    <row r="2161" spans="1:14" ht="15" x14ac:dyDescent="0.2">
      <c r="A2161" s="14" t="s">
        <v>6133</v>
      </c>
      <c r="B2161" s="15" t="s">
        <v>6134</v>
      </c>
      <c r="C2161" s="16" t="s">
        <v>3754</v>
      </c>
      <c r="D2161" s="27" t="s">
        <v>3754</v>
      </c>
      <c r="E2161" s="27" t="s">
        <v>2422</v>
      </c>
      <c r="F2161" s="27" t="s">
        <v>6267</v>
      </c>
      <c r="G2161" s="21">
        <v>6</v>
      </c>
      <c r="H2161" s="21">
        <v>4</v>
      </c>
      <c r="I2161" s="21"/>
      <c r="J2161" s="27" t="s">
        <v>1277</v>
      </c>
      <c r="K2161" s="96" t="s">
        <v>70</v>
      </c>
      <c r="L2161" s="65"/>
      <c r="M2161" s="68">
        <v>1</v>
      </c>
      <c r="N2161" s="68" t="s">
        <v>6124</v>
      </c>
    </row>
    <row r="2162" spans="1:14" ht="15" x14ac:dyDescent="0.2">
      <c r="A2162" s="11" t="s">
        <v>6266</v>
      </c>
      <c r="B2162" s="12" t="s">
        <v>8813</v>
      </c>
      <c r="C2162" s="13" t="s">
        <v>3754</v>
      </c>
      <c r="D2162" s="13" t="s">
        <v>3754</v>
      </c>
      <c r="E2162" s="29" t="s">
        <v>6688</v>
      </c>
      <c r="F2162" s="13" t="s">
        <v>6267</v>
      </c>
      <c r="G2162" s="21">
        <v>22</v>
      </c>
      <c r="H2162" s="21"/>
      <c r="I2162" s="21"/>
      <c r="J2162" s="29" t="s">
        <v>1264</v>
      </c>
      <c r="K2162" s="29" t="s">
        <v>6691</v>
      </c>
      <c r="L2162" s="58"/>
      <c r="M2162" s="68">
        <v>1</v>
      </c>
      <c r="N2162" s="68" t="s">
        <v>2359</v>
      </c>
    </row>
    <row r="2163" spans="1:14" ht="14.25" x14ac:dyDescent="0.2">
      <c r="A2163" s="11" t="s">
        <v>782</v>
      </c>
      <c r="B2163" s="12" t="s">
        <v>5904</v>
      </c>
      <c r="C2163" s="13" t="s">
        <v>3754</v>
      </c>
      <c r="D2163" s="13" t="s">
        <v>3761</v>
      </c>
      <c r="E2163" s="29" t="s">
        <v>6791</v>
      </c>
      <c r="F2163" s="13" t="s">
        <v>783</v>
      </c>
      <c r="G2163" s="21">
        <v>5</v>
      </c>
      <c r="H2163" s="21"/>
      <c r="I2163" s="21"/>
      <c r="J2163" s="29" t="s">
        <v>2161</v>
      </c>
      <c r="K2163" s="29" t="s">
        <v>6793</v>
      </c>
      <c r="L2163" s="29"/>
      <c r="M2163" s="68">
        <v>1</v>
      </c>
      <c r="N2163" s="68" t="s">
        <v>726</v>
      </c>
    </row>
    <row r="2164" spans="1:14" ht="14.25" x14ac:dyDescent="0.2">
      <c r="A2164" s="11" t="s">
        <v>4333</v>
      </c>
      <c r="B2164" s="12" t="s">
        <v>5754</v>
      </c>
      <c r="C2164" s="16" t="s">
        <v>3761</v>
      </c>
      <c r="D2164" s="13" t="s">
        <v>3754</v>
      </c>
      <c r="E2164" s="29" t="s">
        <v>4327</v>
      </c>
      <c r="F2164" s="13" t="s">
        <v>4334</v>
      </c>
      <c r="G2164" s="8">
        <v>1</v>
      </c>
      <c r="H2164" s="8">
        <v>17</v>
      </c>
      <c r="I2164" s="8"/>
      <c r="J2164" s="29" t="s">
        <v>5504</v>
      </c>
      <c r="K2164" s="29" t="s">
        <v>8651</v>
      </c>
      <c r="L2164" s="56"/>
      <c r="M2164" s="68">
        <v>1</v>
      </c>
      <c r="N2164" s="68" t="s">
        <v>2717</v>
      </c>
    </row>
    <row r="2165" spans="1:14" ht="14.25" x14ac:dyDescent="0.2">
      <c r="A2165" s="11" t="s">
        <v>1102</v>
      </c>
      <c r="B2165" s="12" t="s">
        <v>1432</v>
      </c>
      <c r="C2165" s="13" t="s">
        <v>3757</v>
      </c>
      <c r="D2165" s="13" t="s">
        <v>1960</v>
      </c>
      <c r="E2165" s="29" t="s">
        <v>1101</v>
      </c>
      <c r="F2165" s="13" t="s">
        <v>1103</v>
      </c>
      <c r="G2165" s="8">
        <v>86</v>
      </c>
      <c r="H2165" s="8"/>
      <c r="I2165" s="8"/>
      <c r="J2165" s="29" t="s">
        <v>4445</v>
      </c>
      <c r="K2165" s="29" t="s">
        <v>1104</v>
      </c>
      <c r="L2165" s="29"/>
      <c r="M2165" s="68">
        <v>1</v>
      </c>
      <c r="N2165" s="68" t="s">
        <v>4363</v>
      </c>
    </row>
    <row r="2166" spans="1:14" ht="14.25" x14ac:dyDescent="0.2">
      <c r="A2166" s="11" t="s">
        <v>1102</v>
      </c>
      <c r="B2166" s="12" t="s">
        <v>1809</v>
      </c>
      <c r="C2166" s="13" t="s">
        <v>3757</v>
      </c>
      <c r="D2166" s="13" t="s">
        <v>3754</v>
      </c>
      <c r="E2166" s="29" t="s">
        <v>525</v>
      </c>
      <c r="F2166" s="13" t="s">
        <v>526</v>
      </c>
      <c r="G2166" s="8">
        <v>60</v>
      </c>
      <c r="H2166" s="8"/>
      <c r="I2166" s="8"/>
      <c r="J2166" s="29" t="s">
        <v>4809</v>
      </c>
      <c r="K2166" s="29" t="s">
        <v>527</v>
      </c>
      <c r="L2166" s="29"/>
      <c r="M2166" s="68">
        <v>1</v>
      </c>
      <c r="N2166" s="68" t="s">
        <v>1129</v>
      </c>
    </row>
    <row r="2167" spans="1:14" ht="14.25" x14ac:dyDescent="0.2">
      <c r="A2167" s="11" t="s">
        <v>7481</v>
      </c>
      <c r="B2167" s="12" t="s">
        <v>3128</v>
      </c>
      <c r="C2167" s="13" t="s">
        <v>3757</v>
      </c>
      <c r="D2167" s="13" t="s">
        <v>3754</v>
      </c>
      <c r="E2167" s="29" t="s">
        <v>4311</v>
      </c>
      <c r="F2167" s="13" t="s">
        <v>1730</v>
      </c>
      <c r="G2167" s="8">
        <v>75</v>
      </c>
      <c r="H2167" s="8"/>
      <c r="I2167" s="8"/>
      <c r="J2167" s="29" t="s">
        <v>4312</v>
      </c>
      <c r="K2167" s="29" t="s">
        <v>1878</v>
      </c>
      <c r="L2167" s="56"/>
      <c r="M2167" s="68">
        <v>1</v>
      </c>
      <c r="N2167" s="68" t="s">
        <v>2717</v>
      </c>
    </row>
    <row r="2168" spans="1:14" ht="14.25" x14ac:dyDescent="0.2">
      <c r="A2168" s="11" t="s">
        <v>7481</v>
      </c>
      <c r="B2168" s="12" t="s">
        <v>3732</v>
      </c>
      <c r="C2168" s="13" t="s">
        <v>3757</v>
      </c>
      <c r="D2168" s="31" t="s">
        <v>3754</v>
      </c>
      <c r="E2168" s="29" t="s">
        <v>3353</v>
      </c>
      <c r="F2168" s="13" t="s">
        <v>6290</v>
      </c>
      <c r="G2168" s="21">
        <v>70</v>
      </c>
      <c r="H2168" s="21"/>
      <c r="I2168" s="21"/>
      <c r="J2168" s="29"/>
      <c r="K2168" s="29" t="s">
        <v>6291</v>
      </c>
      <c r="L2168" s="29"/>
      <c r="M2168" s="68">
        <v>1</v>
      </c>
      <c r="N2168" s="68" t="s">
        <v>6187</v>
      </c>
    </row>
    <row r="2169" spans="1:14" ht="14.25" x14ac:dyDescent="0.2">
      <c r="A2169" s="11" t="s">
        <v>4407</v>
      </c>
      <c r="B2169" s="12" t="s">
        <v>5993</v>
      </c>
      <c r="C2169" s="16" t="s">
        <v>3761</v>
      </c>
      <c r="D2169" s="13" t="s">
        <v>3754</v>
      </c>
      <c r="E2169" s="29" t="s">
        <v>4408</v>
      </c>
      <c r="F2169" s="13" t="s">
        <v>4409</v>
      </c>
      <c r="G2169" s="8">
        <v>1</v>
      </c>
      <c r="H2169" s="8">
        <v>9</v>
      </c>
      <c r="I2169" s="8"/>
      <c r="J2169" s="29" t="s">
        <v>4750</v>
      </c>
      <c r="K2169" s="29" t="s">
        <v>4410</v>
      </c>
      <c r="L2169" s="29"/>
      <c r="M2169" s="68">
        <v>1</v>
      </c>
      <c r="N2169" s="68" t="s">
        <v>8451</v>
      </c>
    </row>
    <row r="2170" spans="1:14" ht="14.25" x14ac:dyDescent="0.2">
      <c r="A2170" s="11" t="s">
        <v>4407</v>
      </c>
      <c r="B2170" s="12" t="s">
        <v>4690</v>
      </c>
      <c r="C2170" s="13" t="s">
        <v>3754</v>
      </c>
      <c r="D2170" s="13" t="s">
        <v>3754</v>
      </c>
      <c r="E2170" s="29" t="s">
        <v>4383</v>
      </c>
      <c r="F2170" s="13" t="s">
        <v>4384</v>
      </c>
      <c r="G2170" s="8">
        <v>11</v>
      </c>
      <c r="H2170" s="8"/>
      <c r="I2170" s="8"/>
      <c r="J2170" s="29" t="s">
        <v>1264</v>
      </c>
      <c r="K2170" s="29" t="s">
        <v>4385</v>
      </c>
      <c r="L2170" s="29"/>
      <c r="M2170" s="68">
        <v>1</v>
      </c>
      <c r="N2170" s="68" t="s">
        <v>4363</v>
      </c>
    </row>
    <row r="2171" spans="1:14" ht="14.25" x14ac:dyDescent="0.2">
      <c r="A2171" s="11" t="s">
        <v>7474</v>
      </c>
      <c r="B2171" s="12" t="s">
        <v>2277</v>
      </c>
      <c r="C2171" s="13" t="s">
        <v>3757</v>
      </c>
      <c r="D2171" s="13" t="s">
        <v>3754</v>
      </c>
      <c r="E2171" s="29" t="s">
        <v>7475</v>
      </c>
      <c r="F2171" s="13" t="s">
        <v>7476</v>
      </c>
      <c r="G2171" s="8">
        <v>43</v>
      </c>
      <c r="H2171" s="8"/>
      <c r="I2171" s="8"/>
      <c r="J2171" s="29" t="s">
        <v>1272</v>
      </c>
      <c r="K2171" s="29" t="s">
        <v>3038</v>
      </c>
      <c r="L2171" s="56"/>
      <c r="M2171" s="68">
        <v>1</v>
      </c>
      <c r="N2171" s="68" t="s">
        <v>2717</v>
      </c>
    </row>
    <row r="2172" spans="1:14" ht="14.25" x14ac:dyDescent="0.2">
      <c r="A2172" s="11" t="s">
        <v>883</v>
      </c>
      <c r="B2172" s="12" t="s">
        <v>5951</v>
      </c>
      <c r="C2172" s="13" t="s">
        <v>3757</v>
      </c>
      <c r="D2172" s="13" t="s">
        <v>3754</v>
      </c>
      <c r="E2172" s="72" t="s">
        <v>884</v>
      </c>
      <c r="F2172" s="13" t="s">
        <v>885</v>
      </c>
      <c r="G2172" s="8">
        <v>36</v>
      </c>
      <c r="H2172" s="8"/>
      <c r="I2172" s="8"/>
      <c r="J2172" s="29" t="s">
        <v>1276</v>
      </c>
      <c r="K2172" s="72" t="s">
        <v>886</v>
      </c>
      <c r="L2172" s="29"/>
      <c r="M2172" s="68">
        <v>1</v>
      </c>
      <c r="N2172" s="68" t="s">
        <v>986</v>
      </c>
    </row>
    <row r="2173" spans="1:14" ht="14.25" x14ac:dyDescent="0.2">
      <c r="A2173" s="14" t="s">
        <v>8188</v>
      </c>
      <c r="B2173" s="15" t="s">
        <v>2295</v>
      </c>
      <c r="C2173" s="16" t="s">
        <v>3757</v>
      </c>
      <c r="D2173" s="16" t="s">
        <v>3201</v>
      </c>
      <c r="E2173" s="27" t="s">
        <v>8189</v>
      </c>
      <c r="F2173" s="16" t="s">
        <v>3201</v>
      </c>
      <c r="G2173" s="8">
        <v>64</v>
      </c>
      <c r="H2173" s="8"/>
      <c r="I2173" s="8"/>
      <c r="J2173" s="27" t="s">
        <v>1264</v>
      </c>
      <c r="K2173" s="27" t="s">
        <v>8190</v>
      </c>
      <c r="L2173" s="29"/>
      <c r="M2173" s="68">
        <v>1</v>
      </c>
      <c r="N2173" s="68" t="s">
        <v>491</v>
      </c>
    </row>
    <row r="2174" spans="1:14" ht="14.25" x14ac:dyDescent="0.2">
      <c r="A2174" s="11" t="s">
        <v>571</v>
      </c>
      <c r="B2174" s="12" t="s">
        <v>3738</v>
      </c>
      <c r="C2174" s="13" t="s">
        <v>3757</v>
      </c>
      <c r="D2174" s="13"/>
      <c r="E2174" s="29" t="s">
        <v>572</v>
      </c>
      <c r="F2174" s="13" t="s">
        <v>573</v>
      </c>
      <c r="G2174" s="8">
        <v>82</v>
      </c>
      <c r="H2174" s="8"/>
      <c r="I2174" s="8"/>
      <c r="J2174" s="29" t="s">
        <v>1267</v>
      </c>
      <c r="K2174" s="29" t="s">
        <v>574</v>
      </c>
      <c r="L2174" s="29"/>
      <c r="M2174" s="68">
        <v>1</v>
      </c>
      <c r="N2174" s="68" t="s">
        <v>1129</v>
      </c>
    </row>
    <row r="2175" spans="1:14" ht="14.25" x14ac:dyDescent="0.2">
      <c r="A2175" s="11" t="s">
        <v>554</v>
      </c>
      <c r="B2175" s="12" t="s">
        <v>6080</v>
      </c>
      <c r="C2175" s="13" t="s">
        <v>3757</v>
      </c>
      <c r="D2175" s="13" t="s">
        <v>3754</v>
      </c>
      <c r="E2175" s="29" t="s">
        <v>555</v>
      </c>
      <c r="F2175" s="13" t="s">
        <v>556</v>
      </c>
      <c r="G2175" s="8">
        <v>80</v>
      </c>
      <c r="H2175" s="8"/>
      <c r="I2175" s="8"/>
      <c r="J2175" s="29" t="s">
        <v>557</v>
      </c>
      <c r="K2175" s="29" t="s">
        <v>558</v>
      </c>
      <c r="L2175" s="29"/>
      <c r="M2175" s="68">
        <v>1</v>
      </c>
      <c r="N2175" s="68" t="s">
        <v>1129</v>
      </c>
    </row>
    <row r="2176" spans="1:14" ht="14.25" x14ac:dyDescent="0.2">
      <c r="A2176" s="11" t="s">
        <v>1060</v>
      </c>
      <c r="B2176" s="12" t="s">
        <v>7180</v>
      </c>
      <c r="C2176" s="13" t="s">
        <v>3757</v>
      </c>
      <c r="D2176" s="13" t="s">
        <v>3754</v>
      </c>
      <c r="E2176" s="72" t="s">
        <v>839</v>
      </c>
      <c r="F2176" s="13" t="s">
        <v>840</v>
      </c>
      <c r="G2176" s="8">
        <v>35</v>
      </c>
      <c r="H2176" s="8"/>
      <c r="I2176" s="8"/>
      <c r="J2176" s="29" t="s">
        <v>1264</v>
      </c>
      <c r="K2176" s="72" t="s">
        <v>841</v>
      </c>
      <c r="L2176" s="29"/>
      <c r="M2176" s="68">
        <v>1</v>
      </c>
      <c r="N2176" s="68" t="s">
        <v>795</v>
      </c>
    </row>
    <row r="2177" spans="1:14" ht="14.25" x14ac:dyDescent="0.2">
      <c r="A2177" s="11" t="s">
        <v>1060</v>
      </c>
      <c r="B2177" s="12" t="s">
        <v>5073</v>
      </c>
      <c r="C2177" s="13" t="s">
        <v>3754</v>
      </c>
      <c r="D2177" s="13" t="s">
        <v>3754</v>
      </c>
      <c r="E2177" s="29" t="s">
        <v>5886</v>
      </c>
      <c r="F2177" s="13" t="s">
        <v>5146</v>
      </c>
      <c r="G2177" s="8">
        <v>24</v>
      </c>
      <c r="H2177" s="8">
        <v>3</v>
      </c>
      <c r="I2177" s="8">
        <v>24</v>
      </c>
      <c r="J2177" s="29" t="s">
        <v>1061</v>
      </c>
      <c r="K2177" s="29" t="s">
        <v>1062</v>
      </c>
      <c r="L2177" s="29"/>
      <c r="M2177" s="68">
        <v>1</v>
      </c>
      <c r="N2177" s="68" t="s">
        <v>4363</v>
      </c>
    </row>
    <row r="2178" spans="1:14" ht="14.25" x14ac:dyDescent="0.2">
      <c r="A2178" s="11" t="s">
        <v>6168</v>
      </c>
      <c r="B2178" s="12" t="s">
        <v>1620</v>
      </c>
      <c r="C2178" s="13" t="s">
        <v>3754</v>
      </c>
      <c r="D2178" s="13" t="s">
        <v>3754</v>
      </c>
      <c r="E2178" s="29" t="s">
        <v>1670</v>
      </c>
      <c r="F2178" s="13" t="s">
        <v>6169</v>
      </c>
      <c r="G2178" s="21">
        <v>16</v>
      </c>
      <c r="H2178" s="21"/>
      <c r="I2178" s="21"/>
      <c r="J2178" s="29" t="s">
        <v>1264</v>
      </c>
      <c r="K2178" s="29" t="s">
        <v>6170</v>
      </c>
      <c r="L2178" s="29"/>
      <c r="M2178" s="68">
        <v>1</v>
      </c>
      <c r="N2178" s="68" t="s">
        <v>2755</v>
      </c>
    </row>
    <row r="2179" spans="1:14" ht="14.25" x14ac:dyDescent="0.2">
      <c r="A2179" s="11" t="s">
        <v>862</v>
      </c>
      <c r="B2179" s="12" t="s">
        <v>3237</v>
      </c>
      <c r="C2179" s="13" t="s">
        <v>3757</v>
      </c>
      <c r="D2179" s="13" t="s">
        <v>3754</v>
      </c>
      <c r="E2179" s="72" t="s">
        <v>4968</v>
      </c>
      <c r="F2179" s="13" t="s">
        <v>863</v>
      </c>
      <c r="G2179" s="8">
        <v>67</v>
      </c>
      <c r="H2179" s="8"/>
      <c r="I2179" s="8"/>
      <c r="J2179" s="29" t="s">
        <v>1270</v>
      </c>
      <c r="K2179" s="72" t="s">
        <v>864</v>
      </c>
      <c r="L2179" s="29"/>
      <c r="M2179" s="68">
        <v>1</v>
      </c>
      <c r="N2179" s="68" t="s">
        <v>795</v>
      </c>
    </row>
    <row r="2180" spans="1:14" ht="15" x14ac:dyDescent="0.2">
      <c r="A2180" s="11" t="s">
        <v>862</v>
      </c>
      <c r="B2180" s="12" t="s">
        <v>3746</v>
      </c>
      <c r="C2180" s="13" t="s">
        <v>3757</v>
      </c>
      <c r="D2180" s="13" t="s">
        <v>3754</v>
      </c>
      <c r="E2180" s="29" t="s">
        <v>8860</v>
      </c>
      <c r="F2180" s="13" t="s">
        <v>6265</v>
      </c>
      <c r="G2180" s="21">
        <v>80</v>
      </c>
      <c r="H2180" s="21"/>
      <c r="I2180" s="21"/>
      <c r="J2180" s="29" t="s">
        <v>1271</v>
      </c>
      <c r="K2180" s="29" t="s">
        <v>2528</v>
      </c>
      <c r="L2180" s="58"/>
      <c r="M2180" s="68">
        <v>1</v>
      </c>
      <c r="N2180" s="68" t="s">
        <v>2359</v>
      </c>
    </row>
    <row r="2181" spans="1:14" ht="14.25" x14ac:dyDescent="0.2">
      <c r="A2181" s="11" t="s">
        <v>585</v>
      </c>
      <c r="B2181" s="12" t="s">
        <v>8612</v>
      </c>
      <c r="C2181" s="13" t="s">
        <v>586</v>
      </c>
      <c r="D2181" s="13" t="s">
        <v>3754</v>
      </c>
      <c r="E2181" s="29" t="s">
        <v>8811</v>
      </c>
      <c r="F2181" s="13" t="s">
        <v>587</v>
      </c>
      <c r="G2181" s="8">
        <v>20</v>
      </c>
      <c r="H2181" s="8"/>
      <c r="I2181" s="8"/>
      <c r="J2181" s="29" t="s">
        <v>1264</v>
      </c>
      <c r="K2181" s="29" t="s">
        <v>2143</v>
      </c>
      <c r="L2181" s="29"/>
      <c r="M2181" s="68">
        <v>1</v>
      </c>
      <c r="N2181" s="68" t="s">
        <v>1129</v>
      </c>
    </row>
    <row r="2182" spans="1:14" ht="14.25" x14ac:dyDescent="0.2">
      <c r="A2182" s="11" t="s">
        <v>8463</v>
      </c>
      <c r="B2182" s="12" t="s">
        <v>7466</v>
      </c>
      <c r="C2182" s="16" t="s">
        <v>3761</v>
      </c>
      <c r="D2182" s="13" t="s">
        <v>3754</v>
      </c>
      <c r="E2182" s="29" t="s">
        <v>4469</v>
      </c>
      <c r="F2182" s="13" t="s">
        <v>4468</v>
      </c>
      <c r="G2182" s="8">
        <v>31</v>
      </c>
      <c r="H2182" s="8">
        <v>10</v>
      </c>
      <c r="I2182" s="8"/>
      <c r="J2182" s="29" t="s">
        <v>4734</v>
      </c>
      <c r="K2182" s="29" t="s">
        <v>1783</v>
      </c>
      <c r="L2182" s="29"/>
      <c r="M2182" s="68">
        <v>1</v>
      </c>
      <c r="N2182" s="68" t="s">
        <v>4362</v>
      </c>
    </row>
    <row r="2183" spans="1:14" ht="14.25" x14ac:dyDescent="0.2">
      <c r="A2183" s="11" t="s">
        <v>8463</v>
      </c>
      <c r="B2183" s="12" t="s">
        <v>4471</v>
      </c>
      <c r="C2183" s="13" t="s">
        <v>3768</v>
      </c>
      <c r="D2183" s="13" t="s">
        <v>3754</v>
      </c>
      <c r="E2183" s="29" t="s">
        <v>4472</v>
      </c>
      <c r="F2183" s="13" t="s">
        <v>5572</v>
      </c>
      <c r="G2183" s="8">
        <v>14</v>
      </c>
      <c r="H2183" s="8"/>
      <c r="I2183" s="8"/>
      <c r="J2183" s="29" t="s">
        <v>1264</v>
      </c>
      <c r="K2183" s="29" t="s">
        <v>1783</v>
      </c>
      <c r="L2183" s="29"/>
      <c r="M2183" s="68">
        <v>1</v>
      </c>
      <c r="N2183" s="68" t="s">
        <v>4362</v>
      </c>
    </row>
    <row r="2184" spans="1:14" ht="14.25" x14ac:dyDescent="0.2">
      <c r="A2184" s="11" t="s">
        <v>8463</v>
      </c>
      <c r="B2184" s="12" t="s">
        <v>4463</v>
      </c>
      <c r="C2184" s="16" t="s">
        <v>3761</v>
      </c>
      <c r="D2184" s="13" t="s">
        <v>3754</v>
      </c>
      <c r="E2184" s="29" t="s">
        <v>8481</v>
      </c>
      <c r="F2184" s="13" t="s">
        <v>4464</v>
      </c>
      <c r="G2184" s="8">
        <v>39</v>
      </c>
      <c r="H2184" s="8">
        <v>6</v>
      </c>
      <c r="I2184" s="8"/>
      <c r="J2184" s="29" t="s">
        <v>4465</v>
      </c>
      <c r="K2184" s="29" t="s">
        <v>1783</v>
      </c>
      <c r="L2184" s="29"/>
      <c r="M2184" s="68">
        <v>1</v>
      </c>
      <c r="N2184" s="68" t="s">
        <v>4362</v>
      </c>
    </row>
    <row r="2185" spans="1:14" ht="28.5" x14ac:dyDescent="0.2">
      <c r="A2185" s="11" t="s">
        <v>8463</v>
      </c>
      <c r="B2185" s="12" t="s">
        <v>4490</v>
      </c>
      <c r="C2185" s="16" t="s">
        <v>3761</v>
      </c>
      <c r="D2185" s="13" t="s">
        <v>3754</v>
      </c>
      <c r="E2185" s="29" t="s">
        <v>4491</v>
      </c>
      <c r="F2185" s="13" t="s">
        <v>4492</v>
      </c>
      <c r="G2185" s="8">
        <v>1</v>
      </c>
      <c r="H2185" s="8">
        <v>11</v>
      </c>
      <c r="I2185" s="8">
        <v>26</v>
      </c>
      <c r="J2185" s="29" t="s">
        <v>4493</v>
      </c>
      <c r="K2185" s="29" t="s">
        <v>4494</v>
      </c>
      <c r="L2185" s="29"/>
      <c r="M2185" s="68">
        <v>1</v>
      </c>
      <c r="N2185" s="68" t="s">
        <v>4362</v>
      </c>
    </row>
    <row r="2186" spans="1:14" ht="14.25" x14ac:dyDescent="0.2">
      <c r="A2186" s="11" t="s">
        <v>8463</v>
      </c>
      <c r="B2186" s="12" t="s">
        <v>6021</v>
      </c>
      <c r="C2186" s="16" t="s">
        <v>3761</v>
      </c>
      <c r="D2186" s="13" t="s">
        <v>3754</v>
      </c>
      <c r="E2186" s="29" t="s">
        <v>4467</v>
      </c>
      <c r="F2186" s="13" t="s">
        <v>4468</v>
      </c>
      <c r="G2186" s="8">
        <v>18</v>
      </c>
      <c r="H2186" s="8"/>
      <c r="I2186" s="8"/>
      <c r="J2186" s="29" t="s">
        <v>1264</v>
      </c>
      <c r="K2186" s="29" t="s">
        <v>1783</v>
      </c>
      <c r="L2186" s="29"/>
      <c r="M2186" s="68">
        <v>1</v>
      </c>
      <c r="N2186" s="68" t="s">
        <v>4362</v>
      </c>
    </row>
    <row r="2187" spans="1:14" ht="14.25" x14ac:dyDescent="0.2">
      <c r="A2187" s="11" t="s">
        <v>8463</v>
      </c>
      <c r="B2187" s="12" t="s">
        <v>6021</v>
      </c>
      <c r="C2187" s="13" t="s">
        <v>3757</v>
      </c>
      <c r="D2187" s="13" t="s">
        <v>3754</v>
      </c>
      <c r="E2187" s="29">
        <v>1845</v>
      </c>
      <c r="F2187" s="13" t="s">
        <v>4466</v>
      </c>
      <c r="G2187" s="8">
        <v>82</v>
      </c>
      <c r="H2187" s="8"/>
      <c r="I2187" s="8"/>
      <c r="J2187" s="29" t="s">
        <v>1271</v>
      </c>
      <c r="K2187" s="29" t="s">
        <v>1783</v>
      </c>
      <c r="L2187" s="29"/>
      <c r="M2187" s="68">
        <v>1</v>
      </c>
      <c r="N2187" s="68" t="s">
        <v>4362</v>
      </c>
    </row>
    <row r="2188" spans="1:14" ht="14.25" x14ac:dyDescent="0.2">
      <c r="A2188" s="11" t="s">
        <v>8463</v>
      </c>
      <c r="B2188" s="12" t="s">
        <v>8464</v>
      </c>
      <c r="C2188" s="13" t="s">
        <v>3757</v>
      </c>
      <c r="D2188" s="13" t="s">
        <v>3754</v>
      </c>
      <c r="E2188" s="29" t="s">
        <v>8465</v>
      </c>
      <c r="F2188" s="13" t="s">
        <v>8435</v>
      </c>
      <c r="G2188" s="8">
        <v>77</v>
      </c>
      <c r="H2188" s="8"/>
      <c r="I2188" s="8"/>
      <c r="J2188" s="29" t="s">
        <v>1271</v>
      </c>
      <c r="K2188" s="29" t="s">
        <v>8466</v>
      </c>
      <c r="L2188" s="29"/>
      <c r="M2188" s="68">
        <v>1</v>
      </c>
      <c r="N2188" s="68" t="s">
        <v>8451</v>
      </c>
    </row>
    <row r="2189" spans="1:14" ht="14.25" x14ac:dyDescent="0.2">
      <c r="A2189" s="11" t="s">
        <v>8463</v>
      </c>
      <c r="B2189" s="12" t="s">
        <v>2295</v>
      </c>
      <c r="C2189" s="13" t="s">
        <v>3767</v>
      </c>
      <c r="D2189" s="13" t="s">
        <v>3767</v>
      </c>
      <c r="E2189" s="29" t="s">
        <v>3120</v>
      </c>
      <c r="F2189" s="13" t="s">
        <v>1599</v>
      </c>
      <c r="G2189" s="8"/>
      <c r="H2189" s="8">
        <v>4</v>
      </c>
      <c r="I2189" s="8"/>
      <c r="J2189" s="29" t="s">
        <v>4395</v>
      </c>
      <c r="K2189" s="29" t="s">
        <v>5707</v>
      </c>
      <c r="L2189" s="29"/>
      <c r="M2189" s="68">
        <v>1</v>
      </c>
      <c r="N2189" s="68" t="s">
        <v>8451</v>
      </c>
    </row>
    <row r="2190" spans="1:14" ht="14.25" x14ac:dyDescent="0.2">
      <c r="A2190" s="11" t="s">
        <v>8463</v>
      </c>
      <c r="B2190" s="12" t="s">
        <v>2629</v>
      </c>
      <c r="C2190" s="16" t="s">
        <v>3761</v>
      </c>
      <c r="D2190" s="13" t="s">
        <v>3754</v>
      </c>
      <c r="E2190" s="29" t="s">
        <v>4470</v>
      </c>
      <c r="F2190" s="13" t="s">
        <v>4468</v>
      </c>
      <c r="G2190" s="8">
        <v>7</v>
      </c>
      <c r="H2190" s="8">
        <v>2</v>
      </c>
      <c r="I2190" s="8"/>
      <c r="J2190" s="29" t="s">
        <v>1439</v>
      </c>
      <c r="K2190" s="29" t="s">
        <v>1783</v>
      </c>
      <c r="L2190" s="29"/>
      <c r="M2190" s="68">
        <v>1</v>
      </c>
      <c r="N2190" s="68" t="s">
        <v>4362</v>
      </c>
    </row>
    <row r="2191" spans="1:14" ht="14.25" x14ac:dyDescent="0.2">
      <c r="A2191" s="11" t="s">
        <v>8463</v>
      </c>
      <c r="B2191" s="12" t="s">
        <v>3128</v>
      </c>
      <c r="C2191" s="13" t="s">
        <v>3757</v>
      </c>
      <c r="D2191" s="13" t="s">
        <v>3754</v>
      </c>
      <c r="E2191" s="29" t="s">
        <v>4460</v>
      </c>
      <c r="F2191" s="13" t="s">
        <v>4461</v>
      </c>
      <c r="G2191" s="8">
        <v>74</v>
      </c>
      <c r="H2191" s="8"/>
      <c r="I2191" s="8"/>
      <c r="J2191" s="29" t="s">
        <v>4462</v>
      </c>
      <c r="K2191" s="29" t="s">
        <v>1783</v>
      </c>
      <c r="L2191" s="29"/>
      <c r="M2191" s="68">
        <v>1</v>
      </c>
      <c r="N2191" s="68" t="s">
        <v>4362</v>
      </c>
    </row>
    <row r="2192" spans="1:14" ht="14.25" x14ac:dyDescent="0.2">
      <c r="A2192" s="11" t="s">
        <v>8463</v>
      </c>
      <c r="B2192" s="12" t="s">
        <v>4908</v>
      </c>
      <c r="C2192" s="13" t="s">
        <v>4712</v>
      </c>
      <c r="D2192" s="13" t="s">
        <v>3767</v>
      </c>
      <c r="E2192" s="29"/>
      <c r="F2192" s="13" t="s">
        <v>505</v>
      </c>
      <c r="G2192" s="8">
        <v>24</v>
      </c>
      <c r="H2192" s="8"/>
      <c r="I2192" s="8"/>
      <c r="J2192" s="29" t="s">
        <v>1264</v>
      </c>
      <c r="K2192" s="29" t="s">
        <v>506</v>
      </c>
      <c r="L2192" s="29"/>
      <c r="M2192" s="68">
        <v>1</v>
      </c>
      <c r="N2192" s="68" t="s">
        <v>1129</v>
      </c>
    </row>
    <row r="2193" spans="1:14" ht="14.25" x14ac:dyDescent="0.2">
      <c r="A2193" s="11" t="s">
        <v>519</v>
      </c>
      <c r="B2193" s="12" t="s">
        <v>520</v>
      </c>
      <c r="C2193" s="13" t="s">
        <v>3754</v>
      </c>
      <c r="D2193" s="13" t="s">
        <v>3754</v>
      </c>
      <c r="E2193" s="29" t="s">
        <v>518</v>
      </c>
      <c r="F2193" s="13" t="s">
        <v>521</v>
      </c>
      <c r="G2193" s="8">
        <v>29</v>
      </c>
      <c r="H2193" s="8"/>
      <c r="I2193" s="8"/>
      <c r="J2193" s="29" t="s">
        <v>1264</v>
      </c>
      <c r="K2193" s="29" t="s">
        <v>522</v>
      </c>
      <c r="L2193" s="29"/>
      <c r="M2193" s="68">
        <v>1</v>
      </c>
      <c r="N2193" s="68" t="s">
        <v>1129</v>
      </c>
    </row>
    <row r="2194" spans="1:14" ht="14.25" x14ac:dyDescent="0.2">
      <c r="A2194" s="11" t="s">
        <v>802</v>
      </c>
      <c r="B2194" s="12" t="s">
        <v>2291</v>
      </c>
      <c r="C2194" s="13" t="s">
        <v>1509</v>
      </c>
      <c r="D2194" s="13" t="s">
        <v>3754</v>
      </c>
      <c r="E2194" s="29"/>
      <c r="F2194" s="13" t="s">
        <v>874</v>
      </c>
      <c r="G2194" s="8">
        <v>30</v>
      </c>
      <c r="H2194" s="8"/>
      <c r="I2194" s="8"/>
      <c r="J2194" s="29" t="s">
        <v>1259</v>
      </c>
      <c r="K2194" s="72" t="s">
        <v>875</v>
      </c>
      <c r="L2194" s="29"/>
      <c r="M2194" s="68">
        <v>1</v>
      </c>
      <c r="N2194" s="68" t="s">
        <v>795</v>
      </c>
    </row>
    <row r="2195" spans="1:14" ht="14.25" x14ac:dyDescent="0.2">
      <c r="A2195" s="11" t="s">
        <v>802</v>
      </c>
      <c r="B2195" s="12" t="s">
        <v>2295</v>
      </c>
      <c r="C2195" s="13" t="s">
        <v>3757</v>
      </c>
      <c r="D2195" s="13" t="s">
        <v>3754</v>
      </c>
      <c r="E2195" s="72" t="s">
        <v>803</v>
      </c>
      <c r="F2195" s="13" t="s">
        <v>804</v>
      </c>
      <c r="G2195" s="8">
        <v>76</v>
      </c>
      <c r="H2195" s="8"/>
      <c r="I2195" s="8"/>
      <c r="J2195" s="29" t="s">
        <v>1267</v>
      </c>
      <c r="K2195" s="72" t="s">
        <v>3265</v>
      </c>
      <c r="L2195" s="29"/>
      <c r="M2195" s="68">
        <v>1</v>
      </c>
      <c r="N2195" s="68" t="s">
        <v>795</v>
      </c>
    </row>
    <row r="2196" spans="1:14" ht="14.25" x14ac:dyDescent="0.2">
      <c r="A2196" s="11" t="s">
        <v>4411</v>
      </c>
      <c r="B2196" s="12" t="s">
        <v>2295</v>
      </c>
      <c r="C2196" s="13" t="s">
        <v>3757</v>
      </c>
      <c r="D2196" s="13" t="s">
        <v>4412</v>
      </c>
      <c r="E2196" s="29" t="s">
        <v>4413</v>
      </c>
      <c r="F2196" s="13" t="s">
        <v>4414</v>
      </c>
      <c r="G2196" s="8">
        <v>79</v>
      </c>
      <c r="H2196" s="8"/>
      <c r="I2196" s="8"/>
      <c r="J2196" s="29" t="s">
        <v>8482</v>
      </c>
      <c r="K2196" s="29" t="s">
        <v>1286</v>
      </c>
      <c r="L2196" s="29"/>
      <c r="M2196" s="68">
        <v>1</v>
      </c>
      <c r="N2196" s="68" t="s">
        <v>8451</v>
      </c>
    </row>
    <row r="2197" spans="1:14" ht="14.25" x14ac:dyDescent="0.2">
      <c r="A2197" s="11" t="s">
        <v>859</v>
      </c>
      <c r="B2197" s="12" t="s">
        <v>2291</v>
      </c>
      <c r="C2197" s="13" t="s">
        <v>3757</v>
      </c>
      <c r="D2197" s="13" t="s">
        <v>3754</v>
      </c>
      <c r="E2197" s="72" t="s">
        <v>4962</v>
      </c>
      <c r="F2197" s="13" t="s">
        <v>860</v>
      </c>
      <c r="G2197" s="8">
        <v>60</v>
      </c>
      <c r="H2197" s="8"/>
      <c r="I2197" s="8"/>
      <c r="J2197" s="29" t="s">
        <v>1271</v>
      </c>
      <c r="K2197" s="72" t="s">
        <v>861</v>
      </c>
      <c r="L2197" s="29"/>
      <c r="M2197" s="68">
        <v>1</v>
      </c>
      <c r="N2197" s="68" t="s">
        <v>795</v>
      </c>
    </row>
    <row r="2198" spans="1:14" ht="14.25" x14ac:dyDescent="0.2">
      <c r="A2198" s="11" t="s">
        <v>871</v>
      </c>
      <c r="B2198" s="12" t="s">
        <v>2291</v>
      </c>
      <c r="C2198" s="16" t="s">
        <v>3761</v>
      </c>
      <c r="D2198" s="13" t="s">
        <v>3754</v>
      </c>
      <c r="E2198" s="72" t="s">
        <v>872</v>
      </c>
      <c r="F2198" s="13" t="s">
        <v>873</v>
      </c>
      <c r="G2198" s="8">
        <v>27</v>
      </c>
      <c r="H2198" s="8"/>
      <c r="I2198" s="8"/>
      <c r="J2198" s="29" t="s">
        <v>2956</v>
      </c>
      <c r="K2198" s="72" t="s">
        <v>5330</v>
      </c>
      <c r="L2198" s="29"/>
      <c r="M2198" s="68">
        <v>1</v>
      </c>
      <c r="N2198" s="68" t="s">
        <v>795</v>
      </c>
    </row>
    <row r="2199" spans="1:14" ht="28.5" x14ac:dyDescent="0.2">
      <c r="A2199" s="14" t="s">
        <v>2378</v>
      </c>
      <c r="B2199" s="15" t="s">
        <v>2379</v>
      </c>
      <c r="C2199" s="16" t="s">
        <v>3754</v>
      </c>
      <c r="D2199" s="16" t="s">
        <v>8621</v>
      </c>
      <c r="E2199" s="72" t="s">
        <v>2380</v>
      </c>
      <c r="F2199" s="16" t="s">
        <v>2381</v>
      </c>
      <c r="G2199" s="8"/>
      <c r="H2199" s="8"/>
      <c r="I2199" s="8" t="s">
        <v>2382</v>
      </c>
      <c r="J2199" s="27" t="s">
        <v>4829</v>
      </c>
      <c r="K2199" s="72" t="s">
        <v>6886</v>
      </c>
      <c r="L2199" s="94"/>
      <c r="M2199" s="68">
        <v>1</v>
      </c>
      <c r="N2199" s="68" t="s">
        <v>878</v>
      </c>
    </row>
    <row r="2200" spans="1:14" ht="14.25" x14ac:dyDescent="0.2">
      <c r="A2200" s="9" t="s">
        <v>828</v>
      </c>
      <c r="B2200" s="5" t="s">
        <v>5951</v>
      </c>
      <c r="C2200" s="10" t="s">
        <v>3757</v>
      </c>
      <c r="D2200" s="13" t="s">
        <v>3754</v>
      </c>
      <c r="E2200" s="68" t="s">
        <v>829</v>
      </c>
      <c r="F2200" s="10" t="s">
        <v>830</v>
      </c>
      <c r="G2200" s="8">
        <v>32</v>
      </c>
      <c r="H2200" s="8"/>
      <c r="I2200" s="8"/>
      <c r="J2200" s="55" t="s">
        <v>1270</v>
      </c>
      <c r="K2200" s="112" t="s">
        <v>831</v>
      </c>
      <c r="L2200" s="61"/>
      <c r="M2200" s="68">
        <v>1</v>
      </c>
      <c r="N2200" s="68" t="s">
        <v>795</v>
      </c>
    </row>
    <row r="2201" spans="1:14" ht="14.25" x14ac:dyDescent="0.2">
      <c r="A2201" s="17" t="s">
        <v>2392</v>
      </c>
      <c r="B2201" s="18" t="s">
        <v>2317</v>
      </c>
      <c r="C2201" s="19" t="s">
        <v>3754</v>
      </c>
      <c r="D2201" s="16" t="s">
        <v>3754</v>
      </c>
      <c r="E2201" s="112" t="s">
        <v>4597</v>
      </c>
      <c r="F2201" s="19" t="s">
        <v>4598</v>
      </c>
      <c r="G2201" s="8">
        <v>35</v>
      </c>
      <c r="H2201" s="8"/>
      <c r="I2201" s="8"/>
      <c r="J2201" s="45" t="s">
        <v>4599</v>
      </c>
      <c r="K2201" s="112" t="s">
        <v>2861</v>
      </c>
      <c r="L2201" s="94"/>
      <c r="M2201" s="68">
        <v>1</v>
      </c>
      <c r="N2201" s="68" t="s">
        <v>878</v>
      </c>
    </row>
    <row r="2202" spans="1:14" ht="14.25" x14ac:dyDescent="0.2">
      <c r="A2202" s="11" t="s">
        <v>4103</v>
      </c>
      <c r="B2202" s="12" t="s">
        <v>1801</v>
      </c>
      <c r="C2202" s="16" t="s">
        <v>3761</v>
      </c>
      <c r="D2202" s="13" t="s">
        <v>3754</v>
      </c>
      <c r="E2202" s="29" t="s">
        <v>4158</v>
      </c>
      <c r="F2202" s="13" t="s">
        <v>2404</v>
      </c>
      <c r="G2202" s="8">
        <v>3</v>
      </c>
      <c r="H2202" s="8">
        <v>8</v>
      </c>
      <c r="I2202" s="8"/>
      <c r="J2202" s="29" t="s">
        <v>1254</v>
      </c>
      <c r="K2202" s="29" t="s">
        <v>4313</v>
      </c>
      <c r="L2202" s="56"/>
      <c r="M2202" s="68">
        <v>1</v>
      </c>
      <c r="N2202" s="68" t="s">
        <v>2717</v>
      </c>
    </row>
    <row r="2203" spans="1:14" ht="14.25" x14ac:dyDescent="0.2">
      <c r="A2203" s="14" t="s">
        <v>4103</v>
      </c>
      <c r="B2203" s="15" t="s">
        <v>1801</v>
      </c>
      <c r="C2203" s="16" t="s">
        <v>3757</v>
      </c>
      <c r="D2203" s="13" t="s">
        <v>3754</v>
      </c>
      <c r="E2203" s="27" t="s">
        <v>4104</v>
      </c>
      <c r="F2203" s="16" t="s">
        <v>4105</v>
      </c>
      <c r="G2203" s="8">
        <v>58</v>
      </c>
      <c r="H2203" s="8"/>
      <c r="I2203" s="8"/>
      <c r="J2203" s="27" t="s">
        <v>4106</v>
      </c>
      <c r="K2203" s="27" t="s">
        <v>4107</v>
      </c>
      <c r="L2203" s="95"/>
      <c r="M2203" s="68">
        <v>1</v>
      </c>
      <c r="N2203" s="68" t="s">
        <v>8206</v>
      </c>
    </row>
    <row r="2204" spans="1:14" ht="14.25" x14ac:dyDescent="0.2">
      <c r="A2204" s="11" t="s">
        <v>4103</v>
      </c>
      <c r="B2204" s="12" t="s">
        <v>3728</v>
      </c>
      <c r="C2204" s="13" t="s">
        <v>3757</v>
      </c>
      <c r="D2204" s="13" t="s">
        <v>3754</v>
      </c>
      <c r="E2204" s="29" t="s">
        <v>3927</v>
      </c>
      <c r="F2204" s="13" t="s">
        <v>2782</v>
      </c>
      <c r="G2204" s="21">
        <v>21</v>
      </c>
      <c r="H2204" s="21"/>
      <c r="I2204" s="21"/>
      <c r="J2204" s="29" t="s">
        <v>1264</v>
      </c>
      <c r="K2204" s="29" t="s">
        <v>3929</v>
      </c>
      <c r="L2204" s="29"/>
      <c r="M2204" s="68">
        <v>1</v>
      </c>
      <c r="N2204" s="68" t="s">
        <v>2755</v>
      </c>
    </row>
    <row r="2205" spans="1:14" ht="14.25" x14ac:dyDescent="0.2">
      <c r="A2205" s="11" t="s">
        <v>4103</v>
      </c>
      <c r="B2205" s="12" t="s">
        <v>3740</v>
      </c>
      <c r="C2205" s="13" t="s">
        <v>3754</v>
      </c>
      <c r="D2205" s="13"/>
      <c r="E2205" s="29" t="s">
        <v>1099</v>
      </c>
      <c r="F2205" s="13" t="s">
        <v>1100</v>
      </c>
      <c r="G2205" s="8"/>
      <c r="H2205" s="8">
        <v>1</v>
      </c>
      <c r="I2205" s="8">
        <v>14</v>
      </c>
      <c r="J2205" s="29" t="s">
        <v>4748</v>
      </c>
      <c r="K2205" s="29" t="s">
        <v>1101</v>
      </c>
      <c r="L2205" s="29"/>
      <c r="M2205" s="68">
        <v>1</v>
      </c>
      <c r="N2205" s="68" t="s">
        <v>4363</v>
      </c>
    </row>
    <row r="2206" spans="1:14" ht="14.25" x14ac:dyDescent="0.2">
      <c r="A2206" s="11" t="s">
        <v>4103</v>
      </c>
      <c r="B2206" s="12" t="s">
        <v>3746</v>
      </c>
      <c r="C2206" s="13" t="s">
        <v>3757</v>
      </c>
      <c r="D2206" s="13" t="s">
        <v>3754</v>
      </c>
      <c r="E2206" s="29" t="s">
        <v>2763</v>
      </c>
      <c r="F2206" s="13" t="s">
        <v>2764</v>
      </c>
      <c r="G2206" s="21">
        <v>35</v>
      </c>
      <c r="H2206" s="21"/>
      <c r="I2206" s="21"/>
      <c r="J2206" s="29" t="s">
        <v>1928</v>
      </c>
      <c r="K2206" s="29" t="s">
        <v>3673</v>
      </c>
      <c r="L2206" s="29"/>
      <c r="M2206" s="68">
        <v>1</v>
      </c>
      <c r="N2206" s="68" t="s">
        <v>2755</v>
      </c>
    </row>
    <row r="2207" spans="1:14" ht="14.25" x14ac:dyDescent="0.2">
      <c r="A2207" s="11" t="s">
        <v>4103</v>
      </c>
      <c r="B2207" s="12" t="s">
        <v>3733</v>
      </c>
      <c r="C2207" s="13" t="s">
        <v>3757</v>
      </c>
      <c r="D2207" s="13" t="s">
        <v>3761</v>
      </c>
      <c r="E2207" s="29" t="s">
        <v>4964</v>
      </c>
      <c r="F2207" s="13" t="s">
        <v>4105</v>
      </c>
      <c r="G2207" s="21">
        <v>73</v>
      </c>
      <c r="H2207" s="21"/>
      <c r="I2207" s="21"/>
      <c r="J2207" s="29" t="s">
        <v>1271</v>
      </c>
      <c r="K2207" s="29"/>
      <c r="L2207" s="29"/>
      <c r="M2207" s="68">
        <v>1</v>
      </c>
      <c r="N2207" s="68" t="s">
        <v>726</v>
      </c>
    </row>
    <row r="2208" spans="1:14" ht="15" x14ac:dyDescent="0.2">
      <c r="A2208" s="11" t="s">
        <v>6271</v>
      </c>
      <c r="B2208" s="12" t="s">
        <v>3744</v>
      </c>
      <c r="C2208" s="13" t="s">
        <v>3754</v>
      </c>
      <c r="D2208" s="13" t="s">
        <v>3754</v>
      </c>
      <c r="E2208" s="29" t="s">
        <v>6694</v>
      </c>
      <c r="F2208" s="13" t="s">
        <v>6272</v>
      </c>
      <c r="G2208" s="21">
        <v>5</v>
      </c>
      <c r="H2208" s="21">
        <v>3</v>
      </c>
      <c r="I2208" s="21"/>
      <c r="J2208" s="29"/>
      <c r="K2208" s="29" t="s">
        <v>6273</v>
      </c>
      <c r="L2208" s="58"/>
      <c r="M2208" s="68">
        <v>1</v>
      </c>
      <c r="N2208" s="68" t="s">
        <v>2359</v>
      </c>
    </row>
    <row r="2209" spans="1:14" ht="15" x14ac:dyDescent="0.2">
      <c r="A2209" s="14" t="s">
        <v>6271</v>
      </c>
      <c r="B2209" s="15" t="s">
        <v>3740</v>
      </c>
      <c r="C2209" s="16" t="s">
        <v>3757</v>
      </c>
      <c r="D2209" s="27" t="s">
        <v>3754</v>
      </c>
      <c r="E2209" s="27" t="s">
        <v>5256</v>
      </c>
      <c r="F2209" s="27" t="s">
        <v>81</v>
      </c>
      <c r="G2209" s="21">
        <v>69</v>
      </c>
      <c r="H2209" s="21"/>
      <c r="I2209" s="21"/>
      <c r="J2209" s="27" t="s">
        <v>4740</v>
      </c>
      <c r="K2209" s="96" t="s">
        <v>1476</v>
      </c>
      <c r="L2209" s="65"/>
      <c r="M2209" s="68">
        <v>1</v>
      </c>
      <c r="N2209" s="68" t="s">
        <v>6124</v>
      </c>
    </row>
    <row r="2210" spans="1:14" ht="14.25" x14ac:dyDescent="0.2">
      <c r="A2210" s="14" t="s">
        <v>6271</v>
      </c>
      <c r="B2210" s="15" t="s">
        <v>3723</v>
      </c>
      <c r="C2210" s="16" t="s">
        <v>3757</v>
      </c>
      <c r="D2210" s="27" t="s">
        <v>3754</v>
      </c>
      <c r="E2210" s="27" t="s">
        <v>2420</v>
      </c>
      <c r="F2210" s="27" t="s">
        <v>81</v>
      </c>
      <c r="G2210" s="21">
        <v>78</v>
      </c>
      <c r="H2210" s="21"/>
      <c r="I2210" s="21"/>
      <c r="J2210" s="27" t="s">
        <v>1271</v>
      </c>
      <c r="K2210" s="96" t="s">
        <v>1476</v>
      </c>
      <c r="L2210" s="43"/>
      <c r="M2210" s="68">
        <v>1</v>
      </c>
      <c r="N2210" s="68" t="s">
        <v>6124</v>
      </c>
    </row>
    <row r="2211" spans="1:14" ht="14.25" x14ac:dyDescent="0.2">
      <c r="A2211" s="11" t="s">
        <v>6271</v>
      </c>
      <c r="B2211" s="12" t="s">
        <v>5663</v>
      </c>
      <c r="C2211" s="13" t="s">
        <v>3754</v>
      </c>
      <c r="D2211" s="13" t="s">
        <v>3754</v>
      </c>
      <c r="E2211" s="29" t="s">
        <v>1310</v>
      </c>
      <c r="F2211" s="13" t="s">
        <v>6172</v>
      </c>
      <c r="G2211" s="21">
        <v>4</v>
      </c>
      <c r="H2211" s="21">
        <v>2</v>
      </c>
      <c r="I2211" s="21">
        <v>16</v>
      </c>
      <c r="J2211" s="29" t="s">
        <v>1277</v>
      </c>
      <c r="K2211" s="29" t="s">
        <v>2602</v>
      </c>
      <c r="L2211" s="29"/>
      <c r="M2211" s="68">
        <v>1</v>
      </c>
      <c r="N2211" s="68" t="s">
        <v>2755</v>
      </c>
    </row>
    <row r="2212" spans="1:14" ht="15" x14ac:dyDescent="0.2">
      <c r="A2212" s="14" t="s">
        <v>94</v>
      </c>
      <c r="B2212" s="15" t="s">
        <v>3733</v>
      </c>
      <c r="C2212" s="16" t="s">
        <v>3757</v>
      </c>
      <c r="D2212" s="27" t="s">
        <v>3754</v>
      </c>
      <c r="E2212" s="27" t="s">
        <v>6531</v>
      </c>
      <c r="F2212" s="27" t="s">
        <v>95</v>
      </c>
      <c r="G2212" s="21">
        <v>51</v>
      </c>
      <c r="H2212" s="21"/>
      <c r="I2212" s="21"/>
      <c r="J2212" s="27" t="s">
        <v>1277</v>
      </c>
      <c r="K2212" s="96" t="s">
        <v>2356</v>
      </c>
      <c r="L2212" s="65"/>
      <c r="M2212" s="68">
        <v>1</v>
      </c>
      <c r="N2212" s="68" t="s">
        <v>6124</v>
      </c>
    </row>
    <row r="2213" spans="1:14" ht="28.5" x14ac:dyDescent="0.2">
      <c r="A2213" s="11" t="s">
        <v>8140</v>
      </c>
      <c r="B2213" s="12" t="s">
        <v>5962</v>
      </c>
      <c r="C2213" s="13" t="s">
        <v>3757</v>
      </c>
      <c r="D2213" s="13" t="s">
        <v>4151</v>
      </c>
      <c r="E2213" s="29" t="s">
        <v>4152</v>
      </c>
      <c r="F2213" s="13" t="s">
        <v>4151</v>
      </c>
      <c r="G2213" s="8">
        <v>66</v>
      </c>
      <c r="H2213" s="8"/>
      <c r="I2213" s="8"/>
      <c r="J2213" s="29" t="s">
        <v>1272</v>
      </c>
      <c r="K2213" s="29" t="s">
        <v>1405</v>
      </c>
      <c r="L2213" s="29"/>
      <c r="M2213" s="68">
        <v>1</v>
      </c>
      <c r="N2213" s="68" t="s">
        <v>4108</v>
      </c>
    </row>
    <row r="2214" spans="1:14" ht="14.25" x14ac:dyDescent="0.2">
      <c r="A2214" s="14" t="s">
        <v>8140</v>
      </c>
      <c r="B2214" s="15" t="s">
        <v>5962</v>
      </c>
      <c r="C2214" s="16" t="s">
        <v>3765</v>
      </c>
      <c r="D2214" s="16"/>
      <c r="E2214" s="27" t="s">
        <v>8220</v>
      </c>
      <c r="F2214" s="16" t="s">
        <v>8219</v>
      </c>
      <c r="G2214" s="8"/>
      <c r="H2214" s="8">
        <v>11</v>
      </c>
      <c r="I2214" s="8"/>
      <c r="J2214" s="27" t="s">
        <v>4790</v>
      </c>
      <c r="K2214" s="27" t="s">
        <v>1281</v>
      </c>
      <c r="L2214" s="29"/>
      <c r="M2214" s="68">
        <v>1</v>
      </c>
      <c r="N2214" s="68" t="s">
        <v>8206</v>
      </c>
    </row>
    <row r="2215" spans="1:14" ht="14.25" x14ac:dyDescent="0.2">
      <c r="A2215" s="14" t="s">
        <v>8140</v>
      </c>
      <c r="B2215" s="15" t="s">
        <v>2277</v>
      </c>
      <c r="C2215" s="16" t="s">
        <v>3761</v>
      </c>
      <c r="D2215" s="13" t="s">
        <v>3754</v>
      </c>
      <c r="E2215" s="27" t="s">
        <v>8141</v>
      </c>
      <c r="F2215" s="16" t="s">
        <v>1541</v>
      </c>
      <c r="G2215" s="8"/>
      <c r="H2215" s="8">
        <v>11</v>
      </c>
      <c r="I2215" s="8">
        <v>21</v>
      </c>
      <c r="J2215" s="27" t="s">
        <v>4745</v>
      </c>
      <c r="K2215" s="27" t="s">
        <v>8142</v>
      </c>
      <c r="L2215" s="29"/>
      <c r="M2215" s="68">
        <v>1</v>
      </c>
      <c r="N2215" s="68" t="s">
        <v>491</v>
      </c>
    </row>
    <row r="2216" spans="1:14" ht="28.5" x14ac:dyDescent="0.2">
      <c r="A2216" s="14" t="s">
        <v>8140</v>
      </c>
      <c r="B2216" s="15" t="s">
        <v>6021</v>
      </c>
      <c r="C2216" s="16" t="s">
        <v>3761</v>
      </c>
      <c r="D2216" s="13" t="s">
        <v>3754</v>
      </c>
      <c r="E2216" s="27" t="s">
        <v>380</v>
      </c>
      <c r="F2216" s="16" t="s">
        <v>8252</v>
      </c>
      <c r="G2216" s="8">
        <v>12</v>
      </c>
      <c r="H2216" s="8">
        <v>13</v>
      </c>
      <c r="I2216" s="8"/>
      <c r="J2216" s="27" t="s">
        <v>6050</v>
      </c>
      <c r="K2216" s="27" t="s">
        <v>8253</v>
      </c>
      <c r="L2216" s="29" t="s">
        <v>6704</v>
      </c>
      <c r="M2216" s="68">
        <v>1</v>
      </c>
      <c r="N2216" s="68" t="s">
        <v>8206</v>
      </c>
    </row>
    <row r="2217" spans="1:14" ht="14.25" x14ac:dyDescent="0.2">
      <c r="A2217" s="14" t="s">
        <v>8140</v>
      </c>
      <c r="B2217" s="15" t="s">
        <v>3789</v>
      </c>
      <c r="C2217" s="16" t="s">
        <v>3754</v>
      </c>
      <c r="D2217" s="16" t="s">
        <v>3754</v>
      </c>
      <c r="E2217" s="72" t="s">
        <v>4600</v>
      </c>
      <c r="F2217" s="16" t="s">
        <v>4601</v>
      </c>
      <c r="G2217" s="8">
        <v>3</v>
      </c>
      <c r="H2217" s="8">
        <v>9</v>
      </c>
      <c r="I2217" s="8">
        <v>7</v>
      </c>
      <c r="J2217" s="27" t="s">
        <v>4739</v>
      </c>
      <c r="K2217" s="72" t="s">
        <v>4602</v>
      </c>
      <c r="L2217" s="95"/>
      <c r="M2217" s="68">
        <v>1</v>
      </c>
      <c r="N2217" s="68" t="s">
        <v>878</v>
      </c>
    </row>
    <row r="2218" spans="1:14" ht="28.5" x14ac:dyDescent="0.2">
      <c r="A2218" s="14" t="s">
        <v>8140</v>
      </c>
      <c r="B2218" s="15" t="s">
        <v>3128</v>
      </c>
      <c r="C2218" s="16" t="s">
        <v>3757</v>
      </c>
      <c r="D2218" s="13" t="s">
        <v>3754</v>
      </c>
      <c r="E2218" s="27" t="s">
        <v>8143</v>
      </c>
      <c r="F2218" s="16" t="s">
        <v>1541</v>
      </c>
      <c r="G2218" s="8">
        <v>22</v>
      </c>
      <c r="H2218" s="8"/>
      <c r="I2218" s="8"/>
      <c r="J2218" s="27" t="s">
        <v>1255</v>
      </c>
      <c r="K2218" s="27" t="s">
        <v>8142</v>
      </c>
      <c r="L2218" s="29" t="s">
        <v>6975</v>
      </c>
      <c r="M2218" s="68">
        <v>1</v>
      </c>
      <c r="N2218" s="68" t="s">
        <v>491</v>
      </c>
    </row>
    <row r="2219" spans="1:14" ht="14.25" x14ac:dyDescent="0.2">
      <c r="A2219" s="14" t="s">
        <v>8140</v>
      </c>
      <c r="B2219" s="15" t="s">
        <v>4596</v>
      </c>
      <c r="C2219" s="16" t="s">
        <v>3757</v>
      </c>
      <c r="D2219" s="16" t="s">
        <v>3767</v>
      </c>
      <c r="E2219" s="72" t="s">
        <v>6899</v>
      </c>
      <c r="F2219" s="16" t="s">
        <v>4151</v>
      </c>
      <c r="G2219" s="8">
        <v>60</v>
      </c>
      <c r="H2219" s="8"/>
      <c r="I2219" s="8"/>
      <c r="J2219" s="27" t="s">
        <v>1264</v>
      </c>
      <c r="K2219" s="72" t="s">
        <v>5805</v>
      </c>
      <c r="L2219" s="95"/>
      <c r="M2219" s="68">
        <v>1</v>
      </c>
      <c r="N2219" s="68" t="s">
        <v>878</v>
      </c>
    </row>
    <row r="2220" spans="1:14" ht="14.25" x14ac:dyDescent="0.2">
      <c r="A2220" s="14" t="s">
        <v>8140</v>
      </c>
      <c r="B2220" s="15" t="s">
        <v>5951</v>
      </c>
      <c r="C2220" s="16" t="s">
        <v>3761</v>
      </c>
      <c r="D2220" s="13" t="s">
        <v>3754</v>
      </c>
      <c r="E2220" s="27" t="s">
        <v>8144</v>
      </c>
      <c r="F2220" s="16" t="s">
        <v>1541</v>
      </c>
      <c r="G2220" s="8"/>
      <c r="H2220" s="8">
        <v>4</v>
      </c>
      <c r="I2220" s="8">
        <v>17</v>
      </c>
      <c r="J2220" s="27" t="s">
        <v>1255</v>
      </c>
      <c r="K2220" s="27" t="s">
        <v>8142</v>
      </c>
      <c r="L2220" s="29"/>
      <c r="M2220" s="68">
        <v>1</v>
      </c>
      <c r="N2220" s="68" t="s">
        <v>491</v>
      </c>
    </row>
    <row r="2221" spans="1:14" ht="14.25" x14ac:dyDescent="0.2">
      <c r="A2221" s="14" t="s">
        <v>8140</v>
      </c>
      <c r="B2221" s="15" t="s">
        <v>4090</v>
      </c>
      <c r="C2221" s="16" t="s">
        <v>3758</v>
      </c>
      <c r="D2221" s="13" t="s">
        <v>3754</v>
      </c>
      <c r="E2221" s="27" t="s">
        <v>4091</v>
      </c>
      <c r="F2221" s="16" t="s">
        <v>4092</v>
      </c>
      <c r="G2221" s="8">
        <v>25</v>
      </c>
      <c r="H2221" s="8"/>
      <c r="I2221" s="8"/>
      <c r="J2221" s="27" t="s">
        <v>8834</v>
      </c>
      <c r="K2221" s="27" t="s">
        <v>1820</v>
      </c>
      <c r="L2221" s="29"/>
      <c r="M2221" s="68">
        <v>1</v>
      </c>
      <c r="N2221" s="68" t="s">
        <v>8206</v>
      </c>
    </row>
    <row r="2222" spans="1:14" ht="14.25" x14ac:dyDescent="0.2">
      <c r="A2222" s="11" t="s">
        <v>8140</v>
      </c>
      <c r="B2222" s="12" t="s">
        <v>3748</v>
      </c>
      <c r="C2222" s="13" t="s">
        <v>3757</v>
      </c>
      <c r="D2222" s="13" t="s">
        <v>3754</v>
      </c>
      <c r="E2222" s="29" t="s">
        <v>5930</v>
      </c>
      <c r="F2222" s="13" t="s">
        <v>1063</v>
      </c>
      <c r="G2222" s="8">
        <v>70</v>
      </c>
      <c r="H2222" s="8"/>
      <c r="I2222" s="8"/>
      <c r="J2222" s="29"/>
      <c r="K2222" s="29"/>
      <c r="L2222" s="29"/>
      <c r="M2222" s="68">
        <v>1</v>
      </c>
      <c r="N2222" s="68" t="s">
        <v>4363</v>
      </c>
    </row>
    <row r="2223" spans="1:14" ht="14.25" x14ac:dyDescent="0.2">
      <c r="A2223" s="11" t="s">
        <v>8140</v>
      </c>
      <c r="B2223" s="12" t="s">
        <v>4684</v>
      </c>
      <c r="C2223" s="13" t="s">
        <v>3767</v>
      </c>
      <c r="D2223" s="13" t="s">
        <v>3767</v>
      </c>
      <c r="E2223" s="29" t="s">
        <v>1058</v>
      </c>
      <c r="F2223" s="13" t="s">
        <v>4368</v>
      </c>
      <c r="G2223" s="8">
        <v>3</v>
      </c>
      <c r="H2223" s="8">
        <v>4</v>
      </c>
      <c r="I2223" s="8"/>
      <c r="J2223" s="29" t="s">
        <v>4737</v>
      </c>
      <c r="K2223" s="29" t="s">
        <v>1059</v>
      </c>
      <c r="L2223" s="29"/>
      <c r="M2223" s="68">
        <v>1</v>
      </c>
      <c r="N2223" s="68" t="s">
        <v>4363</v>
      </c>
    </row>
    <row r="2224" spans="1:14" ht="14.25" x14ac:dyDescent="0.2">
      <c r="A2224" s="11" t="s">
        <v>8140</v>
      </c>
      <c r="B2224" s="12" t="s">
        <v>4684</v>
      </c>
      <c r="C2224" s="13" t="s">
        <v>3767</v>
      </c>
      <c r="D2224" s="13" t="s">
        <v>3767</v>
      </c>
      <c r="E2224" s="29" t="s">
        <v>4367</v>
      </c>
      <c r="F2224" s="13" t="s">
        <v>4368</v>
      </c>
      <c r="G2224" s="8">
        <v>3</v>
      </c>
      <c r="H2224" s="8">
        <v>4</v>
      </c>
      <c r="I2224" s="8"/>
      <c r="J2224" s="29" t="s">
        <v>4737</v>
      </c>
      <c r="K2224" s="29" t="s">
        <v>5940</v>
      </c>
      <c r="L2224" s="29"/>
      <c r="M2224" s="68">
        <v>1</v>
      </c>
      <c r="N2224" s="68" t="s">
        <v>4363</v>
      </c>
    </row>
    <row r="2225" spans="1:14" ht="14.25" x14ac:dyDescent="0.2">
      <c r="A2225" s="11" t="s">
        <v>8140</v>
      </c>
      <c r="B2225" s="12" t="s">
        <v>4684</v>
      </c>
      <c r="C2225" s="13" t="s">
        <v>3767</v>
      </c>
      <c r="D2225" s="13"/>
      <c r="E2225" s="29" t="s">
        <v>582</v>
      </c>
      <c r="F2225" s="13" t="s">
        <v>3767</v>
      </c>
      <c r="G2225" s="8">
        <v>22</v>
      </c>
      <c r="H2225" s="8"/>
      <c r="I2225" s="8"/>
      <c r="J2225" s="29" t="s">
        <v>1264</v>
      </c>
      <c r="K2225" s="29" t="s">
        <v>582</v>
      </c>
      <c r="L2225" s="29"/>
      <c r="M2225" s="68">
        <v>1</v>
      </c>
      <c r="N2225" s="68" t="s">
        <v>1129</v>
      </c>
    </row>
    <row r="2226" spans="1:14" ht="14.25" x14ac:dyDescent="0.2">
      <c r="A2226" s="11" t="s">
        <v>8140</v>
      </c>
      <c r="B2226" s="12" t="s">
        <v>3740</v>
      </c>
      <c r="C2226" s="13" t="s">
        <v>3767</v>
      </c>
      <c r="D2226" s="13" t="s">
        <v>3767</v>
      </c>
      <c r="E2226" s="29" t="s">
        <v>8789</v>
      </c>
      <c r="F2226" s="13" t="s">
        <v>512</v>
      </c>
      <c r="G2226" s="8">
        <v>30</v>
      </c>
      <c r="H2226" s="8"/>
      <c r="I2226" s="8"/>
      <c r="J2226" s="29" t="s">
        <v>1264</v>
      </c>
      <c r="K2226" s="29" t="s">
        <v>513</v>
      </c>
      <c r="L2226" s="29"/>
      <c r="M2226" s="68">
        <v>1</v>
      </c>
      <c r="N2226" s="68" t="s">
        <v>1129</v>
      </c>
    </row>
    <row r="2227" spans="1:14" ht="14.25" x14ac:dyDescent="0.2">
      <c r="A2227" s="11" t="s">
        <v>865</v>
      </c>
      <c r="B2227" s="12" t="s">
        <v>2295</v>
      </c>
      <c r="C2227" s="13" t="s">
        <v>3757</v>
      </c>
      <c r="D2227" s="13" t="s">
        <v>3754</v>
      </c>
      <c r="E2227" s="72" t="s">
        <v>866</v>
      </c>
      <c r="F2227" s="13" t="s">
        <v>4841</v>
      </c>
      <c r="G2227" s="8">
        <v>78</v>
      </c>
      <c r="H2227" s="8"/>
      <c r="I2227" s="8"/>
      <c r="J2227" s="29" t="s">
        <v>1277</v>
      </c>
      <c r="K2227" s="72" t="s">
        <v>2980</v>
      </c>
      <c r="L2227" s="29"/>
      <c r="M2227" s="68">
        <v>1</v>
      </c>
      <c r="N2227" s="68" t="s">
        <v>795</v>
      </c>
    </row>
    <row r="2228" spans="1:14" ht="15" x14ac:dyDescent="0.2">
      <c r="A2228" s="11" t="s">
        <v>865</v>
      </c>
      <c r="B2228" s="12" t="s">
        <v>6048</v>
      </c>
      <c r="C2228" s="13" t="s">
        <v>3754</v>
      </c>
      <c r="D2228" s="13" t="s">
        <v>3754</v>
      </c>
      <c r="E2228" s="29" t="s">
        <v>3430</v>
      </c>
      <c r="F2228" s="13" t="s">
        <v>5844</v>
      </c>
      <c r="G2228" s="21">
        <v>21</v>
      </c>
      <c r="H2228" s="21"/>
      <c r="I2228" s="21"/>
      <c r="J2228" s="29" t="s">
        <v>5845</v>
      </c>
      <c r="K2228" s="29" t="s">
        <v>3432</v>
      </c>
      <c r="L2228" s="58"/>
      <c r="M2228" s="68">
        <v>1</v>
      </c>
      <c r="N2228" s="68" t="s">
        <v>2359</v>
      </c>
    </row>
    <row r="2229" spans="1:14" ht="15" x14ac:dyDescent="0.2">
      <c r="A2229" s="11" t="s">
        <v>865</v>
      </c>
      <c r="B2229" s="12" t="s">
        <v>1445</v>
      </c>
      <c r="C2229" s="13" t="s">
        <v>3754</v>
      </c>
      <c r="D2229" s="13" t="s">
        <v>3754</v>
      </c>
      <c r="E2229" s="29" t="s">
        <v>6679</v>
      </c>
      <c r="F2229" s="13" t="s">
        <v>5844</v>
      </c>
      <c r="G2229" s="21">
        <v>17</v>
      </c>
      <c r="H2229" s="21">
        <v>10</v>
      </c>
      <c r="I2229" s="21"/>
      <c r="J2229" s="29" t="s">
        <v>260</v>
      </c>
      <c r="K2229" s="29" t="s">
        <v>6261</v>
      </c>
      <c r="L2229" s="58"/>
      <c r="M2229" s="68">
        <v>1</v>
      </c>
      <c r="N2229" s="68" t="s">
        <v>2359</v>
      </c>
    </row>
    <row r="2230" spans="1:14" ht="14.25" x14ac:dyDescent="0.2">
      <c r="A2230" s="11" t="s">
        <v>7457</v>
      </c>
      <c r="B2230" s="12" t="s">
        <v>2337</v>
      </c>
      <c r="C2230" s="16" t="s">
        <v>3761</v>
      </c>
      <c r="D2230" s="13" t="s">
        <v>3754</v>
      </c>
      <c r="E2230" s="72" t="s">
        <v>6236</v>
      </c>
      <c r="F2230" s="13" t="s">
        <v>7458</v>
      </c>
      <c r="G2230" s="8"/>
      <c r="H2230" s="8">
        <v>2</v>
      </c>
      <c r="I2230" s="8"/>
      <c r="J2230" s="29" t="s">
        <v>7454</v>
      </c>
      <c r="K2230" s="72" t="s">
        <v>6239</v>
      </c>
      <c r="L2230" s="29"/>
      <c r="M2230" s="68">
        <v>1</v>
      </c>
      <c r="N2230" s="68" t="s">
        <v>986</v>
      </c>
    </row>
    <row r="2231" spans="1:14" ht="14.25" x14ac:dyDescent="0.2">
      <c r="A2231" s="14" t="s">
        <v>8249</v>
      </c>
      <c r="B2231" s="15" t="s">
        <v>2295</v>
      </c>
      <c r="C2231" s="16" t="s">
        <v>3757</v>
      </c>
      <c r="D2231" s="13" t="s">
        <v>3754</v>
      </c>
      <c r="E2231" s="27" t="s">
        <v>8250</v>
      </c>
      <c r="F2231" s="16" t="s">
        <v>8251</v>
      </c>
      <c r="G2231" s="8">
        <v>73</v>
      </c>
      <c r="H2231" s="8"/>
      <c r="I2231" s="8"/>
      <c r="J2231" s="27" t="s">
        <v>6573</v>
      </c>
      <c r="K2231" s="27" t="s">
        <v>6508</v>
      </c>
      <c r="L2231" s="29"/>
      <c r="M2231" s="68">
        <v>1</v>
      </c>
      <c r="N2231" s="68" t="s">
        <v>8206</v>
      </c>
    </row>
    <row r="2232" spans="1:14" ht="14.25" x14ac:dyDescent="0.2">
      <c r="A2232" s="14" t="s">
        <v>7479</v>
      </c>
      <c r="B2232" s="15" t="s">
        <v>5967</v>
      </c>
      <c r="C2232" s="16" t="s">
        <v>3757</v>
      </c>
      <c r="D2232" s="16" t="s">
        <v>3754</v>
      </c>
      <c r="E2232" s="72" t="s">
        <v>5337</v>
      </c>
      <c r="F2232" s="16" t="s">
        <v>2376</v>
      </c>
      <c r="G2232" s="8">
        <v>70</v>
      </c>
      <c r="H2232" s="8"/>
      <c r="I2232" s="8"/>
      <c r="J2232" s="27" t="s">
        <v>1277</v>
      </c>
      <c r="K2232" s="72" t="s">
        <v>2377</v>
      </c>
      <c r="L2232" s="95"/>
      <c r="M2232" s="68">
        <v>1</v>
      </c>
      <c r="N2232" s="68" t="s">
        <v>878</v>
      </c>
    </row>
    <row r="2233" spans="1:14" ht="14.25" x14ac:dyDescent="0.2">
      <c r="A2233" s="11" t="s">
        <v>7479</v>
      </c>
      <c r="B2233" s="12" t="s">
        <v>3027</v>
      </c>
      <c r="C2233" s="13" t="s">
        <v>3757</v>
      </c>
      <c r="D2233" s="13" t="s">
        <v>3754</v>
      </c>
      <c r="E2233" s="29" t="s">
        <v>7480</v>
      </c>
      <c r="F2233" s="13" t="s">
        <v>294</v>
      </c>
      <c r="G2233" s="8">
        <v>22</v>
      </c>
      <c r="H2233" s="8"/>
      <c r="I2233" s="8"/>
      <c r="J2233" s="29" t="s">
        <v>1264</v>
      </c>
      <c r="K2233" s="29" t="s">
        <v>4756</v>
      </c>
      <c r="L2233" s="56"/>
      <c r="M2233" s="68">
        <v>1</v>
      </c>
      <c r="N2233" s="68" t="s">
        <v>2717</v>
      </c>
    </row>
    <row r="2234" spans="1:14" ht="15" x14ac:dyDescent="0.2">
      <c r="A2234" s="14" t="s">
        <v>7479</v>
      </c>
      <c r="B2234" s="15" t="s">
        <v>4701</v>
      </c>
      <c r="C2234" s="16" t="s">
        <v>3757</v>
      </c>
      <c r="D2234" s="27" t="s">
        <v>3754</v>
      </c>
      <c r="E2234" s="27" t="s">
        <v>2409</v>
      </c>
      <c r="F2234" s="27" t="s">
        <v>2723</v>
      </c>
      <c r="G2234" s="21">
        <v>67</v>
      </c>
      <c r="H2234" s="21"/>
      <c r="I2234" s="21"/>
      <c r="J2234" s="27" t="s">
        <v>1271</v>
      </c>
      <c r="K2234" s="96" t="s">
        <v>2724</v>
      </c>
      <c r="L2234" s="65"/>
      <c r="M2234" s="68">
        <v>1</v>
      </c>
      <c r="N2234" s="68" t="s">
        <v>6124</v>
      </c>
    </row>
    <row r="2235" spans="1:14" ht="14.25" x14ac:dyDescent="0.2">
      <c r="A2235" s="11" t="s">
        <v>7479</v>
      </c>
      <c r="B2235" s="12" t="s">
        <v>1543</v>
      </c>
      <c r="C2235" s="13" t="s">
        <v>3757</v>
      </c>
      <c r="D2235" s="13" t="s">
        <v>3754</v>
      </c>
      <c r="E2235" s="29" t="s">
        <v>6920</v>
      </c>
      <c r="F2235" s="13" t="s">
        <v>4371</v>
      </c>
      <c r="G2235" s="8">
        <v>70</v>
      </c>
      <c r="H2235" s="8"/>
      <c r="I2235" s="8"/>
      <c r="J2235" s="29"/>
      <c r="K2235" s="29" t="s">
        <v>1329</v>
      </c>
      <c r="L2235" s="29"/>
      <c r="M2235" s="68">
        <v>1</v>
      </c>
      <c r="N2235" s="68" t="s">
        <v>4363</v>
      </c>
    </row>
    <row r="2236" spans="1:14" ht="15" x14ac:dyDescent="0.2">
      <c r="A2236" s="14" t="s">
        <v>2734</v>
      </c>
      <c r="B2236" s="15" t="s">
        <v>4701</v>
      </c>
      <c r="C2236" s="16" t="s">
        <v>3757</v>
      </c>
      <c r="D2236" s="27" t="s">
        <v>3754</v>
      </c>
      <c r="E2236" s="27" t="s">
        <v>5456</v>
      </c>
      <c r="F2236" s="27" t="s">
        <v>2735</v>
      </c>
      <c r="G2236" s="21">
        <v>55</v>
      </c>
      <c r="H2236" s="21"/>
      <c r="I2236" s="21"/>
      <c r="J2236" s="27" t="s">
        <v>2736</v>
      </c>
      <c r="K2236" s="96" t="s">
        <v>2737</v>
      </c>
      <c r="L2236" s="65"/>
      <c r="M2236" s="68">
        <v>1</v>
      </c>
      <c r="N2236" s="68" t="s">
        <v>6124</v>
      </c>
    </row>
    <row r="2237" spans="1:14" ht="28.5" x14ac:dyDescent="0.2">
      <c r="A2237" s="11" t="s">
        <v>2734</v>
      </c>
      <c r="B2237" s="12" t="s">
        <v>2756</v>
      </c>
      <c r="C2237" s="13" t="s">
        <v>3754</v>
      </c>
      <c r="D2237" s="13" t="s">
        <v>3754</v>
      </c>
      <c r="E2237" s="29" t="s">
        <v>2757</v>
      </c>
      <c r="F2237" s="13" t="s">
        <v>2758</v>
      </c>
      <c r="G2237" s="21">
        <v>10</v>
      </c>
      <c r="H2237" s="21"/>
      <c r="I2237" s="21"/>
      <c r="J2237" s="29" t="s">
        <v>4747</v>
      </c>
      <c r="K2237" s="29" t="s">
        <v>2759</v>
      </c>
      <c r="L2237" s="29"/>
      <c r="M2237" s="68">
        <v>1</v>
      </c>
      <c r="N2237" s="68" t="s">
        <v>2755</v>
      </c>
    </row>
    <row r="2238" spans="1:14" ht="14.25" x14ac:dyDescent="0.2">
      <c r="A2238" s="11" t="s">
        <v>1077</v>
      </c>
      <c r="B2238" s="12" t="s">
        <v>2055</v>
      </c>
      <c r="C2238" s="13" t="s">
        <v>6944</v>
      </c>
      <c r="D2238" s="13" t="s">
        <v>7175</v>
      </c>
      <c r="E2238" s="29" t="s">
        <v>4355</v>
      </c>
      <c r="F2238" s="13" t="s">
        <v>1078</v>
      </c>
      <c r="G2238" s="8">
        <v>1</v>
      </c>
      <c r="H2238" s="8"/>
      <c r="I2238" s="8"/>
      <c r="J2238" s="29" t="s">
        <v>7319</v>
      </c>
      <c r="K2238" s="29" t="s">
        <v>6925</v>
      </c>
      <c r="L2238" s="29"/>
      <c r="M2238" s="68">
        <v>1</v>
      </c>
      <c r="N2238" s="68" t="s">
        <v>4363</v>
      </c>
    </row>
    <row r="2239" spans="1:14" ht="42.75" x14ac:dyDescent="0.2">
      <c r="A2239" s="11" t="s">
        <v>4523</v>
      </c>
      <c r="B2239" s="12" t="s">
        <v>6878</v>
      </c>
      <c r="C2239" s="13" t="s">
        <v>3757</v>
      </c>
      <c r="D2239" s="13" t="s">
        <v>3754</v>
      </c>
      <c r="E2239" s="29" t="s">
        <v>381</v>
      </c>
      <c r="F2239" s="13" t="s">
        <v>4524</v>
      </c>
      <c r="G2239" s="8">
        <v>70</v>
      </c>
      <c r="H2239" s="8"/>
      <c r="I2239" s="8"/>
      <c r="J2239" s="29" t="s">
        <v>1271</v>
      </c>
      <c r="K2239" s="29" t="s">
        <v>7875</v>
      </c>
      <c r="L2239" s="29" t="s">
        <v>382</v>
      </c>
      <c r="M2239" s="68">
        <v>1</v>
      </c>
      <c r="N2239" s="68" t="s">
        <v>4362</v>
      </c>
    </row>
    <row r="2240" spans="1:14" ht="14.25" x14ac:dyDescent="0.2">
      <c r="A2240" s="11" t="s">
        <v>4523</v>
      </c>
      <c r="B2240" s="12" t="s">
        <v>1445</v>
      </c>
      <c r="C2240" s="13" t="s">
        <v>3754</v>
      </c>
      <c r="D2240" s="13" t="s">
        <v>3754</v>
      </c>
      <c r="E2240" s="29" t="s">
        <v>1660</v>
      </c>
      <c r="F2240" s="13" t="s">
        <v>4842</v>
      </c>
      <c r="G2240" s="21">
        <v>43</v>
      </c>
      <c r="H2240" s="21"/>
      <c r="I2240" s="21"/>
      <c r="J2240" s="29" t="s">
        <v>1264</v>
      </c>
      <c r="K2240" s="29" t="s">
        <v>1508</v>
      </c>
      <c r="L2240" s="29"/>
      <c r="M2240" s="68">
        <v>1</v>
      </c>
      <c r="N2240" s="68" t="s">
        <v>2755</v>
      </c>
    </row>
    <row r="2241" spans="1:14" ht="14.25" x14ac:dyDescent="0.2">
      <c r="A2241" s="11" t="s">
        <v>4502</v>
      </c>
      <c r="B2241" s="12" t="s">
        <v>6878</v>
      </c>
      <c r="C2241" s="13" t="s">
        <v>3757</v>
      </c>
      <c r="D2241" s="13" t="s">
        <v>3754</v>
      </c>
      <c r="E2241" s="29">
        <v>1855</v>
      </c>
      <c r="F2241" s="13" t="s">
        <v>4500</v>
      </c>
      <c r="G2241" s="8">
        <v>78</v>
      </c>
      <c r="H2241" s="8"/>
      <c r="I2241" s="8"/>
      <c r="J2241" s="29" t="s">
        <v>6573</v>
      </c>
      <c r="K2241" s="29" t="s">
        <v>5875</v>
      </c>
      <c r="L2241" s="29"/>
      <c r="M2241" s="68">
        <v>1</v>
      </c>
      <c r="N2241" s="68" t="s">
        <v>4362</v>
      </c>
    </row>
    <row r="2242" spans="1:14" ht="14.25" x14ac:dyDescent="0.2">
      <c r="A2242" s="11" t="s">
        <v>4497</v>
      </c>
      <c r="B2242" s="12" t="s">
        <v>6021</v>
      </c>
      <c r="C2242" s="13" t="s">
        <v>3757</v>
      </c>
      <c r="D2242" s="13" t="s">
        <v>3754</v>
      </c>
      <c r="E2242" s="29">
        <v>1843</v>
      </c>
      <c r="F2242" s="13" t="s">
        <v>4498</v>
      </c>
      <c r="G2242" s="8">
        <v>58</v>
      </c>
      <c r="H2242" s="8"/>
      <c r="I2242" s="8"/>
      <c r="J2242" s="29" t="s">
        <v>4746</v>
      </c>
      <c r="K2242" s="29" t="s">
        <v>4499</v>
      </c>
      <c r="L2242" s="29"/>
      <c r="M2242" s="68">
        <v>1</v>
      </c>
      <c r="N2242" s="68" t="s">
        <v>4362</v>
      </c>
    </row>
    <row r="2243" spans="1:14" ht="14.25" x14ac:dyDescent="0.2">
      <c r="A2243" s="9" t="s">
        <v>4497</v>
      </c>
      <c r="B2243" s="5" t="s">
        <v>3338</v>
      </c>
      <c r="C2243" s="10" t="s">
        <v>3757</v>
      </c>
      <c r="D2243" s="31" t="s">
        <v>3754</v>
      </c>
      <c r="E2243" s="55" t="s">
        <v>1139</v>
      </c>
      <c r="F2243" s="10" t="s">
        <v>6289</v>
      </c>
      <c r="G2243" s="21">
        <v>48</v>
      </c>
      <c r="H2243" s="21"/>
      <c r="I2243" s="21"/>
      <c r="J2243" s="55" t="s">
        <v>1277</v>
      </c>
      <c r="K2243" s="55" t="s">
        <v>1147</v>
      </c>
      <c r="L2243" s="61"/>
      <c r="M2243" s="68">
        <v>1</v>
      </c>
      <c r="N2243" s="68" t="s">
        <v>6187</v>
      </c>
    </row>
    <row r="2244" spans="1:14" ht="14.25" x14ac:dyDescent="0.2">
      <c r="A2244" s="9" t="s">
        <v>354</v>
      </c>
      <c r="B2244" s="5" t="s">
        <v>3589</v>
      </c>
      <c r="C2244" s="20" t="s">
        <v>3761</v>
      </c>
      <c r="D2244" s="13" t="s">
        <v>3754</v>
      </c>
      <c r="E2244" s="68" t="s">
        <v>5039</v>
      </c>
      <c r="F2244" s="10" t="s">
        <v>4996</v>
      </c>
      <c r="G2244" s="8">
        <v>2</v>
      </c>
      <c r="H2244" s="8">
        <v>6</v>
      </c>
      <c r="I2244" s="8"/>
      <c r="J2244" s="55" t="s">
        <v>1258</v>
      </c>
      <c r="K2244" s="112" t="s">
        <v>6661</v>
      </c>
      <c r="L2244" s="61"/>
      <c r="M2244" s="68">
        <v>1</v>
      </c>
      <c r="N2244" s="68" t="s">
        <v>986</v>
      </c>
    </row>
    <row r="2245" spans="1:14" ht="28.5" x14ac:dyDescent="0.2">
      <c r="A2245" s="11" t="s">
        <v>354</v>
      </c>
      <c r="B2245" s="12" t="s">
        <v>4135</v>
      </c>
      <c r="C2245" s="16" t="s">
        <v>3761</v>
      </c>
      <c r="D2245" s="13" t="s">
        <v>3754</v>
      </c>
      <c r="E2245" s="29" t="s">
        <v>4818</v>
      </c>
      <c r="F2245" s="13" t="s">
        <v>4441</v>
      </c>
      <c r="G2245" s="8"/>
      <c r="H2245" s="8">
        <v>8</v>
      </c>
      <c r="I2245" s="8"/>
      <c r="J2245" s="29" t="s">
        <v>1254</v>
      </c>
      <c r="K2245" s="29" t="s">
        <v>4442</v>
      </c>
      <c r="L2245" s="29" t="s">
        <v>6704</v>
      </c>
      <c r="M2245" s="68">
        <v>1</v>
      </c>
      <c r="N2245" s="68" t="s">
        <v>8451</v>
      </c>
    </row>
    <row r="2246" spans="1:14" ht="14.25" x14ac:dyDescent="0.2">
      <c r="A2246" s="11" t="s">
        <v>354</v>
      </c>
      <c r="B2246" s="12" t="s">
        <v>5967</v>
      </c>
      <c r="C2246" s="27" t="s">
        <v>3767</v>
      </c>
      <c r="D2246" s="13" t="s">
        <v>1943</v>
      </c>
      <c r="E2246" s="72" t="s">
        <v>2895</v>
      </c>
      <c r="F2246" s="13" t="s">
        <v>987</v>
      </c>
      <c r="G2246" s="8">
        <v>35</v>
      </c>
      <c r="H2246" s="8"/>
      <c r="I2246" s="8"/>
      <c r="J2246" s="29" t="s">
        <v>8487</v>
      </c>
      <c r="K2246" s="72" t="s">
        <v>882</v>
      </c>
      <c r="L2246" s="29"/>
      <c r="M2246" s="68">
        <v>1</v>
      </c>
      <c r="N2246" s="68" t="s">
        <v>986</v>
      </c>
    </row>
    <row r="2247" spans="1:14" ht="14.25" x14ac:dyDescent="0.2">
      <c r="A2247" s="11" t="s">
        <v>354</v>
      </c>
      <c r="B2247" s="12" t="s">
        <v>6574</v>
      </c>
      <c r="C2247" s="16" t="s">
        <v>3761</v>
      </c>
      <c r="D2247" s="13" t="s">
        <v>3754</v>
      </c>
      <c r="E2247" s="29" t="s">
        <v>358</v>
      </c>
      <c r="F2247" s="13" t="s">
        <v>359</v>
      </c>
      <c r="G2247" s="8">
        <v>2</v>
      </c>
      <c r="H2247" s="8">
        <v>6</v>
      </c>
      <c r="I2247" s="8"/>
      <c r="J2247" s="29" t="s">
        <v>1258</v>
      </c>
      <c r="K2247" s="29" t="s">
        <v>1400</v>
      </c>
      <c r="L2247" s="29"/>
      <c r="M2247" s="68">
        <v>1</v>
      </c>
      <c r="N2247" s="68" t="s">
        <v>4108</v>
      </c>
    </row>
    <row r="2248" spans="1:14" ht="28.5" x14ac:dyDescent="0.2">
      <c r="A2248" s="11" t="s">
        <v>354</v>
      </c>
      <c r="B2248" s="12" t="s">
        <v>1801</v>
      </c>
      <c r="C2248" s="16" t="s">
        <v>3761</v>
      </c>
      <c r="D2248" s="13" t="s">
        <v>3754</v>
      </c>
      <c r="E2248" s="72" t="s">
        <v>819</v>
      </c>
      <c r="F2248" s="13" t="s">
        <v>820</v>
      </c>
      <c r="G2248" s="8">
        <v>18</v>
      </c>
      <c r="H2248" s="8">
        <v>3</v>
      </c>
      <c r="I2248" s="8"/>
      <c r="J2248" s="29" t="s">
        <v>5279</v>
      </c>
      <c r="K2248" s="72" t="s">
        <v>2868</v>
      </c>
      <c r="L2248" s="29"/>
      <c r="M2248" s="68">
        <v>1</v>
      </c>
      <c r="N2248" s="68" t="s">
        <v>795</v>
      </c>
    </row>
    <row r="2249" spans="1:14" ht="14.25" x14ac:dyDescent="0.2">
      <c r="A2249" s="11" t="s">
        <v>354</v>
      </c>
      <c r="B2249" s="12" t="s">
        <v>2277</v>
      </c>
      <c r="C2249" s="16" t="s">
        <v>3761</v>
      </c>
      <c r="D2249" s="13" t="s">
        <v>3754</v>
      </c>
      <c r="E2249" s="29" t="s">
        <v>355</v>
      </c>
      <c r="F2249" s="13" t="s">
        <v>356</v>
      </c>
      <c r="G2249" s="8">
        <v>35</v>
      </c>
      <c r="H2249" s="8"/>
      <c r="I2249" s="8"/>
      <c r="J2249" s="29" t="s">
        <v>1259</v>
      </c>
      <c r="K2249" s="29" t="s">
        <v>1400</v>
      </c>
      <c r="L2249" s="29"/>
      <c r="M2249" s="68">
        <v>1</v>
      </c>
      <c r="N2249" s="68" t="s">
        <v>4108</v>
      </c>
    </row>
    <row r="2250" spans="1:14" ht="14.25" x14ac:dyDescent="0.2">
      <c r="A2250" s="11" t="s">
        <v>354</v>
      </c>
      <c r="B2250" s="12" t="s">
        <v>7465</v>
      </c>
      <c r="C2250" s="16" t="s">
        <v>3761</v>
      </c>
      <c r="D2250" s="13" t="s">
        <v>3754</v>
      </c>
      <c r="E2250" s="29" t="s">
        <v>357</v>
      </c>
      <c r="F2250" s="13" t="s">
        <v>356</v>
      </c>
      <c r="G2250" s="8">
        <v>5</v>
      </c>
      <c r="H2250" s="8"/>
      <c r="I2250" s="8"/>
      <c r="J2250" s="29" t="s">
        <v>1254</v>
      </c>
      <c r="K2250" s="29" t="s">
        <v>1400</v>
      </c>
      <c r="L2250" s="29"/>
      <c r="M2250" s="68">
        <v>1</v>
      </c>
      <c r="N2250" s="68" t="s">
        <v>4108</v>
      </c>
    </row>
    <row r="2251" spans="1:14" ht="28.5" x14ac:dyDescent="0.2">
      <c r="A2251" s="11" t="s">
        <v>354</v>
      </c>
      <c r="B2251" s="12" t="s">
        <v>796</v>
      </c>
      <c r="C2251" s="13" t="s">
        <v>3757</v>
      </c>
      <c r="D2251" s="13" t="s">
        <v>797</v>
      </c>
      <c r="E2251" s="72" t="s">
        <v>800</v>
      </c>
      <c r="F2251" s="13" t="s">
        <v>798</v>
      </c>
      <c r="G2251" s="8">
        <v>26</v>
      </c>
      <c r="H2251" s="8"/>
      <c r="I2251" s="8"/>
      <c r="J2251" s="29" t="s">
        <v>1270</v>
      </c>
      <c r="K2251" s="72" t="s">
        <v>799</v>
      </c>
      <c r="L2251" s="29"/>
      <c r="M2251" s="68">
        <v>1</v>
      </c>
      <c r="N2251" s="68" t="s">
        <v>795</v>
      </c>
    </row>
    <row r="2252" spans="1:14" ht="28.5" x14ac:dyDescent="0.2">
      <c r="A2252" s="11" t="s">
        <v>354</v>
      </c>
      <c r="B2252" s="12" t="s">
        <v>796</v>
      </c>
      <c r="C2252" s="13" t="s">
        <v>797</v>
      </c>
      <c r="D2252" s="13" t="s">
        <v>797</v>
      </c>
      <c r="E2252" s="72" t="s">
        <v>6854</v>
      </c>
      <c r="F2252" s="13" t="s">
        <v>798</v>
      </c>
      <c r="G2252" s="8"/>
      <c r="H2252" s="8">
        <v>9</v>
      </c>
      <c r="I2252" s="8"/>
      <c r="J2252" s="29" t="s">
        <v>5999</v>
      </c>
      <c r="K2252" s="72" t="s">
        <v>799</v>
      </c>
      <c r="L2252" s="29"/>
      <c r="M2252" s="68">
        <v>1</v>
      </c>
      <c r="N2252" s="68" t="s">
        <v>795</v>
      </c>
    </row>
    <row r="2253" spans="1:14" ht="14.25" x14ac:dyDescent="0.2">
      <c r="A2253" s="11" t="s">
        <v>354</v>
      </c>
      <c r="B2253" s="12" t="s">
        <v>4703</v>
      </c>
      <c r="C2253" s="13" t="s">
        <v>3754</v>
      </c>
      <c r="D2253" s="13" t="s">
        <v>3754</v>
      </c>
      <c r="E2253" s="29" t="s">
        <v>1081</v>
      </c>
      <c r="F2253" s="13"/>
      <c r="G2253" s="8"/>
      <c r="H2253" s="8">
        <v>7</v>
      </c>
      <c r="I2253" s="8"/>
      <c r="J2253" s="29" t="s">
        <v>4790</v>
      </c>
      <c r="K2253" s="29" t="s">
        <v>3187</v>
      </c>
      <c r="L2253" s="29"/>
      <c r="M2253" s="68">
        <v>1</v>
      </c>
      <c r="N2253" s="68" t="s">
        <v>4363</v>
      </c>
    </row>
    <row r="2254" spans="1:14" ht="14.25" x14ac:dyDescent="0.2">
      <c r="A2254" s="11" t="s">
        <v>354</v>
      </c>
      <c r="B2254" s="12" t="s">
        <v>1432</v>
      </c>
      <c r="C2254" s="13" t="s">
        <v>3757</v>
      </c>
      <c r="D2254" s="13" t="s">
        <v>3761</v>
      </c>
      <c r="E2254" s="29" t="s">
        <v>2879</v>
      </c>
      <c r="F2254" s="13" t="s">
        <v>787</v>
      </c>
      <c r="G2254" s="21">
        <v>70</v>
      </c>
      <c r="H2254" s="21"/>
      <c r="I2254" s="21"/>
      <c r="J2254" s="29"/>
      <c r="K2254" s="29" t="s">
        <v>788</v>
      </c>
      <c r="L2254" s="29"/>
      <c r="M2254" s="68">
        <v>1</v>
      </c>
      <c r="N2254" s="68" t="s">
        <v>726</v>
      </c>
    </row>
    <row r="2255" spans="1:14" ht="15" x14ac:dyDescent="0.2">
      <c r="A2255" s="11" t="s">
        <v>354</v>
      </c>
      <c r="B2255" s="12" t="s">
        <v>6278</v>
      </c>
      <c r="C2255" s="13" t="s">
        <v>3754</v>
      </c>
      <c r="D2255" s="13" t="s">
        <v>3754</v>
      </c>
      <c r="E2255" s="29" t="s">
        <v>36</v>
      </c>
      <c r="F2255" s="13" t="s">
        <v>6279</v>
      </c>
      <c r="G2255" s="21">
        <v>29</v>
      </c>
      <c r="H2255" s="21"/>
      <c r="I2255" s="21"/>
      <c r="J2255" s="29" t="s">
        <v>1264</v>
      </c>
      <c r="K2255" s="29" t="s">
        <v>36</v>
      </c>
      <c r="L2255" s="58"/>
      <c r="M2255" s="68">
        <v>1</v>
      </c>
      <c r="N2255" s="68" t="s">
        <v>2359</v>
      </c>
    </row>
    <row r="2256" spans="1:14" ht="14.25" x14ac:dyDescent="0.2">
      <c r="A2256" s="11" t="s">
        <v>354</v>
      </c>
      <c r="B2256" s="12" t="s">
        <v>3723</v>
      </c>
      <c r="C2256" s="13" t="s">
        <v>3757</v>
      </c>
      <c r="D2256" s="13" t="s">
        <v>3754</v>
      </c>
      <c r="E2256" s="29" t="s">
        <v>1084</v>
      </c>
      <c r="F2256" s="13" t="s">
        <v>1085</v>
      </c>
      <c r="G2256" s="8">
        <v>64</v>
      </c>
      <c r="H2256" s="8"/>
      <c r="I2256" s="8"/>
      <c r="J2256" s="29" t="s">
        <v>1265</v>
      </c>
      <c r="K2256" s="29" t="s">
        <v>3187</v>
      </c>
      <c r="L2256" s="29"/>
      <c r="M2256" s="68">
        <v>1</v>
      </c>
      <c r="N2256" s="68" t="s">
        <v>4363</v>
      </c>
    </row>
    <row r="2257" spans="1:14" ht="14.25" x14ac:dyDescent="0.2">
      <c r="A2257" s="11" t="s">
        <v>354</v>
      </c>
      <c r="B2257" s="12" t="s">
        <v>5057</v>
      </c>
      <c r="C2257" s="13" t="s">
        <v>3754</v>
      </c>
      <c r="D2257" s="13" t="s">
        <v>3754</v>
      </c>
      <c r="E2257" s="29" t="s">
        <v>1080</v>
      </c>
      <c r="F2257" s="13"/>
      <c r="G2257" s="8">
        <v>2</v>
      </c>
      <c r="H2257" s="8"/>
      <c r="I2257" s="8"/>
      <c r="J2257" s="29"/>
      <c r="K2257" s="29" t="s">
        <v>3187</v>
      </c>
      <c r="L2257" s="29"/>
      <c r="M2257" s="68">
        <v>1</v>
      </c>
      <c r="N2257" s="68" t="s">
        <v>4363</v>
      </c>
    </row>
    <row r="2258" spans="1:14" ht="14.25" x14ac:dyDescent="0.2">
      <c r="A2258" s="11" t="s">
        <v>354</v>
      </c>
      <c r="B2258" s="12" t="s">
        <v>3746</v>
      </c>
      <c r="C2258" s="13" t="s">
        <v>3754</v>
      </c>
      <c r="D2258" s="13" t="s">
        <v>3761</v>
      </c>
      <c r="E2258" s="29" t="s">
        <v>760</v>
      </c>
      <c r="F2258" s="13" t="s">
        <v>761</v>
      </c>
      <c r="G2258" s="21">
        <v>24</v>
      </c>
      <c r="H2258" s="21"/>
      <c r="I2258" s="21"/>
      <c r="J2258" s="29" t="s">
        <v>1264</v>
      </c>
      <c r="K2258" s="29" t="s">
        <v>762</v>
      </c>
      <c r="L2258" s="29"/>
      <c r="M2258" s="68">
        <v>1</v>
      </c>
      <c r="N2258" s="68" t="s">
        <v>726</v>
      </c>
    </row>
    <row r="2259" spans="1:14" ht="14.25" x14ac:dyDescent="0.2">
      <c r="A2259" s="11" t="s">
        <v>1117</v>
      </c>
      <c r="B2259" s="12" t="s">
        <v>3723</v>
      </c>
      <c r="C2259" s="13" t="s">
        <v>3757</v>
      </c>
      <c r="D2259" s="13" t="s">
        <v>3754</v>
      </c>
      <c r="E2259" s="29" t="s">
        <v>1118</v>
      </c>
      <c r="F2259" s="13" t="s">
        <v>1119</v>
      </c>
      <c r="G2259" s="8">
        <v>28</v>
      </c>
      <c r="H2259" s="8">
        <v>3</v>
      </c>
      <c r="I2259" s="8"/>
      <c r="J2259" s="29" t="s">
        <v>5461</v>
      </c>
      <c r="K2259" s="29" t="s">
        <v>1120</v>
      </c>
      <c r="L2259" s="29"/>
      <c r="M2259" s="68">
        <v>1</v>
      </c>
      <c r="N2259" s="68" t="s">
        <v>4363</v>
      </c>
    </row>
    <row r="2260" spans="1:14" ht="14.25" x14ac:dyDescent="0.2">
      <c r="A2260" s="11" t="s">
        <v>4507</v>
      </c>
      <c r="B2260" s="12" t="s">
        <v>6574</v>
      </c>
      <c r="C2260" s="16" t="s">
        <v>3761</v>
      </c>
      <c r="D2260" s="13" t="s">
        <v>3754</v>
      </c>
      <c r="E2260" s="29" t="s">
        <v>4508</v>
      </c>
      <c r="F2260" s="13" t="s">
        <v>4509</v>
      </c>
      <c r="G2260" s="8">
        <v>8</v>
      </c>
      <c r="H2260" s="8">
        <v>6</v>
      </c>
      <c r="I2260" s="8">
        <v>16</v>
      </c>
      <c r="J2260" s="29" t="s">
        <v>5415</v>
      </c>
      <c r="K2260" s="29" t="s">
        <v>1289</v>
      </c>
      <c r="L2260" s="29"/>
      <c r="M2260" s="68">
        <v>1</v>
      </c>
      <c r="N2260" s="68" t="s">
        <v>4362</v>
      </c>
    </row>
    <row r="2261" spans="1:14" ht="14.25" x14ac:dyDescent="0.2">
      <c r="A2261" s="11" t="s">
        <v>4507</v>
      </c>
      <c r="B2261" s="12" t="s">
        <v>1801</v>
      </c>
      <c r="C2261" s="16" t="s">
        <v>3761</v>
      </c>
      <c r="D2261" s="13"/>
      <c r="E2261" s="29"/>
      <c r="F2261" s="13" t="s">
        <v>4907</v>
      </c>
      <c r="G2261" s="8">
        <v>23</v>
      </c>
      <c r="H2261" s="8"/>
      <c r="I2261" s="8"/>
      <c r="J2261" s="29" t="s">
        <v>1264</v>
      </c>
      <c r="K2261" s="29" t="s">
        <v>1289</v>
      </c>
      <c r="L2261" s="29"/>
      <c r="M2261" s="68">
        <v>1</v>
      </c>
      <c r="N2261" s="68" t="s">
        <v>4362</v>
      </c>
    </row>
    <row r="2262" spans="1:14" ht="14.25" x14ac:dyDescent="0.2">
      <c r="A2262" s="11" t="s">
        <v>4507</v>
      </c>
      <c r="B2262" s="12" t="s">
        <v>5904</v>
      </c>
      <c r="C2262" s="13" t="s">
        <v>3754</v>
      </c>
      <c r="D2262" s="13" t="s">
        <v>3761</v>
      </c>
      <c r="E2262" s="29" t="s">
        <v>754</v>
      </c>
      <c r="F2262" s="13" t="s">
        <v>1119</v>
      </c>
      <c r="G2262" s="21">
        <v>7</v>
      </c>
      <c r="H2262" s="21"/>
      <c r="I2262" s="21">
        <v>15</v>
      </c>
      <c r="J2262" s="29" t="s">
        <v>2161</v>
      </c>
      <c r="K2262" s="29" t="s">
        <v>2193</v>
      </c>
      <c r="L2262" s="29"/>
      <c r="M2262" s="68">
        <v>1</v>
      </c>
      <c r="N2262" s="68" t="s">
        <v>726</v>
      </c>
    </row>
    <row r="2263" spans="1:14" ht="14.25" x14ac:dyDescent="0.2">
      <c r="A2263" s="11" t="s">
        <v>379</v>
      </c>
      <c r="B2263" s="12" t="s">
        <v>2304</v>
      </c>
      <c r="C2263" s="13" t="s">
        <v>3757</v>
      </c>
      <c r="D2263" s="13" t="s">
        <v>3754</v>
      </c>
      <c r="E2263" s="29" t="s">
        <v>2703</v>
      </c>
      <c r="F2263" s="13" t="s">
        <v>2704</v>
      </c>
      <c r="G2263" s="8">
        <v>34</v>
      </c>
      <c r="H2263" s="8"/>
      <c r="I2263" s="8"/>
      <c r="J2263" s="29" t="s">
        <v>2956</v>
      </c>
      <c r="K2263" s="29" t="s">
        <v>2705</v>
      </c>
      <c r="L2263" s="29"/>
      <c r="M2263" s="68">
        <v>1</v>
      </c>
      <c r="N2263" s="68" t="s">
        <v>4108</v>
      </c>
    </row>
    <row r="2264" spans="1:14" ht="14.25" x14ac:dyDescent="0.2">
      <c r="A2264" s="11" t="s">
        <v>8457</v>
      </c>
      <c r="B2264" s="12" t="s">
        <v>8461</v>
      </c>
      <c r="C2264" s="13" t="s">
        <v>3757</v>
      </c>
      <c r="D2264" s="13" t="s">
        <v>3754</v>
      </c>
      <c r="E2264" s="29"/>
      <c r="F2264" s="13" t="s">
        <v>8460</v>
      </c>
      <c r="G2264" s="8">
        <v>49</v>
      </c>
      <c r="H2264" s="8"/>
      <c r="I2264" s="8"/>
      <c r="J2264" s="29" t="s">
        <v>1264</v>
      </c>
      <c r="K2264" s="29" t="s">
        <v>1435</v>
      </c>
      <c r="L2264" s="29"/>
      <c r="M2264" s="68">
        <v>1</v>
      </c>
      <c r="N2264" s="68" t="s">
        <v>8451</v>
      </c>
    </row>
    <row r="2265" spans="1:14" ht="14.25" x14ac:dyDescent="0.2">
      <c r="A2265" s="11" t="s">
        <v>8457</v>
      </c>
      <c r="B2265" s="12" t="s">
        <v>8458</v>
      </c>
      <c r="C2265" s="16" t="s">
        <v>3761</v>
      </c>
      <c r="D2265" s="13" t="s">
        <v>3754</v>
      </c>
      <c r="E2265" s="29" t="s">
        <v>8459</v>
      </c>
      <c r="F2265" s="13" t="s">
        <v>8460</v>
      </c>
      <c r="G2265" s="8">
        <v>17</v>
      </c>
      <c r="H2265" s="8">
        <v>5</v>
      </c>
      <c r="I2265" s="8"/>
      <c r="J2265" s="29" t="s">
        <v>2989</v>
      </c>
      <c r="K2265" s="29" t="s">
        <v>1435</v>
      </c>
      <c r="L2265" s="29"/>
      <c r="M2265" s="68">
        <v>1</v>
      </c>
      <c r="N2265" s="68" t="s">
        <v>8451</v>
      </c>
    </row>
    <row r="2266" spans="1:14" ht="14.25" x14ac:dyDescent="0.2">
      <c r="A2266" s="11" t="s">
        <v>832</v>
      </c>
      <c r="B2266" s="12" t="s">
        <v>6009</v>
      </c>
      <c r="C2266" s="16" t="s">
        <v>3761</v>
      </c>
      <c r="D2266" s="13" t="s">
        <v>3754</v>
      </c>
      <c r="E2266" s="72" t="s">
        <v>5324</v>
      </c>
      <c r="F2266" s="13" t="s">
        <v>833</v>
      </c>
      <c r="G2266" s="8">
        <v>27</v>
      </c>
      <c r="H2266" s="8"/>
      <c r="I2266" s="8"/>
      <c r="J2266" s="29" t="s">
        <v>1264</v>
      </c>
      <c r="K2266" s="72" t="s">
        <v>351</v>
      </c>
      <c r="L2266" s="29"/>
      <c r="M2266" s="68">
        <v>1</v>
      </c>
      <c r="N2266" s="68" t="s">
        <v>795</v>
      </c>
    </row>
    <row r="2267" spans="1:14" ht="14.25" x14ac:dyDescent="0.2">
      <c r="A2267" s="11" t="s">
        <v>832</v>
      </c>
      <c r="B2267" s="12" t="s">
        <v>6878</v>
      </c>
      <c r="C2267" s="13" t="s">
        <v>3757</v>
      </c>
      <c r="D2267" s="13" t="s">
        <v>3754</v>
      </c>
      <c r="E2267" s="72" t="s">
        <v>5387</v>
      </c>
      <c r="F2267" s="13" t="s">
        <v>7447</v>
      </c>
      <c r="G2267" s="8">
        <v>66</v>
      </c>
      <c r="H2267" s="8"/>
      <c r="I2267" s="8"/>
      <c r="J2267" s="29" t="s">
        <v>2108</v>
      </c>
      <c r="K2267" s="72" t="s">
        <v>405</v>
      </c>
      <c r="L2267" s="29"/>
      <c r="M2267" s="68">
        <v>1</v>
      </c>
      <c r="N2267" s="68" t="s">
        <v>986</v>
      </c>
    </row>
    <row r="2268" spans="1:14" ht="42.75" x14ac:dyDescent="0.2">
      <c r="A2268" s="11" t="s">
        <v>4330</v>
      </c>
      <c r="B2268" s="12" t="s">
        <v>2286</v>
      </c>
      <c r="C2268" s="13" t="s">
        <v>3757</v>
      </c>
      <c r="D2268" s="13" t="s">
        <v>3754</v>
      </c>
      <c r="E2268" s="29" t="s">
        <v>383</v>
      </c>
      <c r="F2268" s="13" t="s">
        <v>4500</v>
      </c>
      <c r="G2268" s="8">
        <v>40</v>
      </c>
      <c r="H2268" s="8"/>
      <c r="I2268" s="8"/>
      <c r="J2268" s="29" t="s">
        <v>4501</v>
      </c>
      <c r="K2268" s="29" t="s">
        <v>4499</v>
      </c>
      <c r="L2268" s="29" t="s">
        <v>382</v>
      </c>
      <c r="M2268" s="68">
        <v>1</v>
      </c>
      <c r="N2268" s="68" t="s">
        <v>4362</v>
      </c>
    </row>
    <row r="2269" spans="1:14" ht="14.25" x14ac:dyDescent="0.2">
      <c r="A2269" s="11" t="s">
        <v>4330</v>
      </c>
      <c r="B2269" s="12" t="s">
        <v>4331</v>
      </c>
      <c r="C2269" s="16" t="s">
        <v>3761</v>
      </c>
      <c r="D2269" s="13" t="s">
        <v>3754</v>
      </c>
      <c r="E2269" s="29" t="s">
        <v>4327</v>
      </c>
      <c r="F2269" s="13" t="s">
        <v>4332</v>
      </c>
      <c r="G2269" s="8">
        <v>28</v>
      </c>
      <c r="H2269" s="8"/>
      <c r="I2269" s="8"/>
      <c r="J2269" s="29" t="s">
        <v>1264</v>
      </c>
      <c r="K2269" s="29" t="s">
        <v>8651</v>
      </c>
      <c r="L2269" s="56"/>
      <c r="M2269" s="68">
        <v>1</v>
      </c>
      <c r="N2269" s="68" t="s">
        <v>2717</v>
      </c>
    </row>
    <row r="2270" spans="1:14" ht="14.25" x14ac:dyDescent="0.2">
      <c r="A2270" s="11" t="s">
        <v>734</v>
      </c>
      <c r="B2270" s="12" t="s">
        <v>2880</v>
      </c>
      <c r="C2270" s="16" t="s">
        <v>3761</v>
      </c>
      <c r="D2270" s="13" t="s">
        <v>3754</v>
      </c>
      <c r="E2270" s="72" t="s">
        <v>879</v>
      </c>
      <c r="F2270" s="13" t="s">
        <v>880</v>
      </c>
      <c r="G2270" s="8">
        <v>3</v>
      </c>
      <c r="H2270" s="8">
        <v>6</v>
      </c>
      <c r="I2270" s="8"/>
      <c r="J2270" s="29" t="s">
        <v>1270</v>
      </c>
      <c r="K2270" s="72" t="s">
        <v>5359</v>
      </c>
      <c r="L2270" s="29"/>
      <c r="M2270" s="68">
        <v>1</v>
      </c>
      <c r="N2270" s="68" t="s">
        <v>986</v>
      </c>
    </row>
    <row r="2271" spans="1:14" ht="14.25" x14ac:dyDescent="0.2">
      <c r="A2271" s="11" t="s">
        <v>734</v>
      </c>
      <c r="B2271" s="12" t="s">
        <v>3724</v>
      </c>
      <c r="C2271" s="13" t="s">
        <v>3754</v>
      </c>
      <c r="D2271" s="13" t="s">
        <v>735</v>
      </c>
      <c r="E2271" s="29" t="s">
        <v>736</v>
      </c>
      <c r="F2271" s="13" t="s">
        <v>737</v>
      </c>
      <c r="G2271" s="21">
        <v>30</v>
      </c>
      <c r="H2271" s="21"/>
      <c r="I2271" s="21"/>
      <c r="J2271" s="29" t="s">
        <v>1264</v>
      </c>
      <c r="K2271" s="29" t="s">
        <v>738</v>
      </c>
      <c r="L2271" s="29"/>
      <c r="M2271" s="68">
        <v>1</v>
      </c>
      <c r="N2271" s="68" t="s">
        <v>726</v>
      </c>
    </row>
    <row r="2272" spans="1:14" ht="14.25" x14ac:dyDescent="0.2">
      <c r="A2272" s="11" t="s">
        <v>734</v>
      </c>
      <c r="B2272" s="12" t="s">
        <v>207</v>
      </c>
      <c r="C2272" s="13" t="s">
        <v>3754</v>
      </c>
      <c r="D2272" s="13" t="s">
        <v>3754</v>
      </c>
      <c r="E2272" s="29" t="s">
        <v>2783</v>
      </c>
      <c r="F2272" s="13" t="s">
        <v>2784</v>
      </c>
      <c r="G2272" s="21">
        <v>7</v>
      </c>
      <c r="H2272" s="21">
        <v>7</v>
      </c>
      <c r="I2272" s="21"/>
      <c r="J2272" s="29" t="s">
        <v>1254</v>
      </c>
      <c r="K2272" s="29" t="s">
        <v>6738</v>
      </c>
      <c r="L2272" s="29"/>
      <c r="M2272" s="68">
        <v>1</v>
      </c>
      <c r="N2272" s="68" t="s">
        <v>2755</v>
      </c>
    </row>
    <row r="2273" spans="1:14" ht="14.25" x14ac:dyDescent="0.2">
      <c r="A2273" s="11" t="s">
        <v>734</v>
      </c>
      <c r="B2273" s="12" t="s">
        <v>2768</v>
      </c>
      <c r="C2273" s="13" t="s">
        <v>3754</v>
      </c>
      <c r="D2273" s="13" t="s">
        <v>3754</v>
      </c>
      <c r="E2273" s="29" t="s">
        <v>2769</v>
      </c>
      <c r="F2273" s="13" t="s">
        <v>2770</v>
      </c>
      <c r="G2273" s="21">
        <v>10</v>
      </c>
      <c r="H2273" s="21"/>
      <c r="I2273" s="21"/>
      <c r="J2273" s="29" t="s">
        <v>6522</v>
      </c>
      <c r="K2273" s="29" t="s">
        <v>2771</v>
      </c>
      <c r="L2273" s="29"/>
      <c r="M2273" s="68">
        <v>1</v>
      </c>
      <c r="N2273" s="68" t="s">
        <v>2755</v>
      </c>
    </row>
    <row r="2274" spans="1:14" ht="15" x14ac:dyDescent="0.2">
      <c r="A2274" s="14" t="s">
        <v>734</v>
      </c>
      <c r="B2274" s="15" t="s">
        <v>4701</v>
      </c>
      <c r="C2274" s="16" t="s">
        <v>3757</v>
      </c>
      <c r="D2274" s="27" t="s">
        <v>3754</v>
      </c>
      <c r="E2274" s="27" t="s">
        <v>6539</v>
      </c>
      <c r="F2274" s="27" t="s">
        <v>2721</v>
      </c>
      <c r="G2274" s="21">
        <v>67</v>
      </c>
      <c r="H2274" s="21"/>
      <c r="I2274" s="21"/>
      <c r="J2274" s="27" t="s">
        <v>1277</v>
      </c>
      <c r="K2274" s="96" t="s">
        <v>6541</v>
      </c>
      <c r="L2274" s="65"/>
      <c r="M2274" s="68">
        <v>1</v>
      </c>
      <c r="N2274" s="68" t="s">
        <v>6124</v>
      </c>
    </row>
    <row r="2275" spans="1:14" ht="14.25" x14ac:dyDescent="0.2">
      <c r="A2275" s="11" t="s">
        <v>8448</v>
      </c>
      <c r="B2275" s="12" t="s">
        <v>8449</v>
      </c>
      <c r="C2275" s="13" t="s">
        <v>3757</v>
      </c>
      <c r="D2275" s="13" t="s">
        <v>3754</v>
      </c>
      <c r="E2275" s="29" t="s">
        <v>5241</v>
      </c>
      <c r="F2275" s="13" t="s">
        <v>8450</v>
      </c>
      <c r="G2275" s="8">
        <v>85</v>
      </c>
      <c r="H2275" s="8"/>
      <c r="I2275" s="8"/>
      <c r="J2275" s="29" t="s">
        <v>1271</v>
      </c>
      <c r="K2275" s="29" t="s">
        <v>1284</v>
      </c>
      <c r="L2275" s="56"/>
      <c r="M2275" s="68">
        <v>1</v>
      </c>
      <c r="N2275" s="68" t="s">
        <v>2717</v>
      </c>
    </row>
    <row r="2276" spans="1:14" ht="14.25" x14ac:dyDescent="0.2">
      <c r="A2276" s="11" t="s">
        <v>4518</v>
      </c>
      <c r="B2276" s="12" t="s">
        <v>7466</v>
      </c>
      <c r="C2276" s="13" t="s">
        <v>3757</v>
      </c>
      <c r="D2276" s="13" t="s">
        <v>3754</v>
      </c>
      <c r="E2276" s="29" t="s">
        <v>4519</v>
      </c>
      <c r="F2276" s="13" t="s">
        <v>4520</v>
      </c>
      <c r="G2276" s="8">
        <v>70</v>
      </c>
      <c r="H2276" s="8"/>
      <c r="I2276" s="8"/>
      <c r="J2276" s="29" t="s">
        <v>1259</v>
      </c>
      <c r="K2276" s="29" t="s">
        <v>4521</v>
      </c>
      <c r="L2276" s="29"/>
      <c r="M2276" s="68">
        <v>1</v>
      </c>
      <c r="N2276" s="68" t="s">
        <v>4362</v>
      </c>
    </row>
    <row r="2277" spans="1:14" ht="14.25" x14ac:dyDescent="0.2">
      <c r="A2277" s="14" t="s">
        <v>657</v>
      </c>
      <c r="B2277" s="15" t="s">
        <v>3723</v>
      </c>
      <c r="C2277" s="16" t="s">
        <v>3754</v>
      </c>
      <c r="D2277" s="16" t="s">
        <v>658</v>
      </c>
      <c r="E2277" s="27" t="s">
        <v>2073</v>
      </c>
      <c r="F2277" s="16" t="s">
        <v>659</v>
      </c>
      <c r="G2277" s="21">
        <v>48</v>
      </c>
      <c r="H2277" s="21"/>
      <c r="I2277" s="21"/>
      <c r="J2277" s="27" t="s">
        <v>4738</v>
      </c>
      <c r="K2277" s="27" t="s">
        <v>660</v>
      </c>
      <c r="L2277" s="29"/>
      <c r="M2277" s="68">
        <v>1</v>
      </c>
      <c r="N2277" s="68" t="s">
        <v>595</v>
      </c>
    </row>
    <row r="2278" spans="1:14" ht="14.25" x14ac:dyDescent="0.2">
      <c r="A2278" s="14" t="s">
        <v>8207</v>
      </c>
      <c r="B2278" s="15" t="s">
        <v>4608</v>
      </c>
      <c r="C2278" s="16" t="s">
        <v>4712</v>
      </c>
      <c r="D2278" s="16" t="s">
        <v>3754</v>
      </c>
      <c r="E2278" s="72" t="s">
        <v>4594</v>
      </c>
      <c r="F2278" s="16" t="s">
        <v>4595</v>
      </c>
      <c r="G2278" s="8">
        <v>34</v>
      </c>
      <c r="H2278" s="8"/>
      <c r="I2278" s="8"/>
      <c r="J2278" s="27" t="s">
        <v>1264</v>
      </c>
      <c r="K2278" s="72"/>
      <c r="L2278" s="95"/>
      <c r="M2278" s="68">
        <v>1</v>
      </c>
      <c r="N2278" s="68" t="s">
        <v>878</v>
      </c>
    </row>
    <row r="2279" spans="1:14" ht="14.25" x14ac:dyDescent="0.2">
      <c r="A2279" s="14" t="s">
        <v>8207</v>
      </c>
      <c r="B2279" s="15" t="s">
        <v>1801</v>
      </c>
      <c r="C2279" s="16" t="s">
        <v>3757</v>
      </c>
      <c r="D2279" s="67"/>
      <c r="E2279" s="27" t="s">
        <v>8208</v>
      </c>
      <c r="F2279" s="16" t="s">
        <v>1541</v>
      </c>
      <c r="G2279" s="8">
        <v>53</v>
      </c>
      <c r="H2279" s="8"/>
      <c r="I2279" s="8"/>
      <c r="J2279" s="27" t="s">
        <v>1264</v>
      </c>
      <c r="K2279" s="27"/>
      <c r="L2279" s="29"/>
      <c r="M2279" s="68">
        <v>1</v>
      </c>
      <c r="N2279" s="68" t="s">
        <v>8206</v>
      </c>
    </row>
    <row r="2280" spans="1:14" ht="14.25" x14ac:dyDescent="0.2">
      <c r="A2280" s="11" t="s">
        <v>8207</v>
      </c>
      <c r="B2280" s="12" t="s">
        <v>2295</v>
      </c>
      <c r="C2280" s="13" t="s">
        <v>3757</v>
      </c>
      <c r="D2280" s="13" t="s">
        <v>3754</v>
      </c>
      <c r="E2280" s="29" t="s">
        <v>4440</v>
      </c>
      <c r="F2280" s="13" t="s">
        <v>4459</v>
      </c>
      <c r="G2280" s="8">
        <v>67</v>
      </c>
      <c r="H2280" s="8"/>
      <c r="I2280" s="8"/>
      <c r="J2280" s="29" t="s">
        <v>1439</v>
      </c>
      <c r="K2280" s="29" t="s">
        <v>1783</v>
      </c>
      <c r="L2280" s="29"/>
      <c r="M2280" s="68">
        <v>1</v>
      </c>
      <c r="N2280" s="68" t="s">
        <v>4362</v>
      </c>
    </row>
    <row r="2281" spans="1:14" ht="14.25" x14ac:dyDescent="0.2">
      <c r="A2281" s="14" t="s">
        <v>8207</v>
      </c>
      <c r="B2281" s="15" t="s">
        <v>6220</v>
      </c>
      <c r="C2281" s="16" t="s">
        <v>3757</v>
      </c>
      <c r="D2281" s="16" t="s">
        <v>7175</v>
      </c>
      <c r="E2281" s="27" t="s">
        <v>8227</v>
      </c>
      <c r="F2281" s="16" t="s">
        <v>7175</v>
      </c>
      <c r="G2281" s="8">
        <v>56</v>
      </c>
      <c r="H2281" s="8"/>
      <c r="I2281" s="8"/>
      <c r="J2281" s="27" t="s">
        <v>2199</v>
      </c>
      <c r="K2281" s="27" t="s">
        <v>8238</v>
      </c>
      <c r="L2281" s="29"/>
      <c r="M2281" s="68">
        <v>1</v>
      </c>
      <c r="N2281" s="68" t="s">
        <v>8206</v>
      </c>
    </row>
    <row r="2282" spans="1:14" ht="14.25" x14ac:dyDescent="0.2">
      <c r="A2282" s="14" t="s">
        <v>8207</v>
      </c>
      <c r="B2282" s="15" t="s">
        <v>3128</v>
      </c>
      <c r="C2282" s="16" t="s">
        <v>3754</v>
      </c>
      <c r="D2282" s="16" t="s">
        <v>3754</v>
      </c>
      <c r="E2282" s="72" t="s">
        <v>5342</v>
      </c>
      <c r="F2282" s="16" t="s">
        <v>5814</v>
      </c>
      <c r="G2282" s="8">
        <v>6</v>
      </c>
      <c r="H2282" s="8"/>
      <c r="I2282" s="8"/>
      <c r="J2282" s="27" t="s">
        <v>7319</v>
      </c>
      <c r="K2282" s="72" t="s">
        <v>5344</v>
      </c>
      <c r="L2282" s="95"/>
      <c r="M2282" s="68">
        <v>1</v>
      </c>
      <c r="N2282" s="68" t="s">
        <v>878</v>
      </c>
    </row>
    <row r="2283" spans="1:14" ht="28.5" x14ac:dyDescent="0.2">
      <c r="A2283" s="11" t="s">
        <v>8207</v>
      </c>
      <c r="B2283" s="12" t="s">
        <v>3128</v>
      </c>
      <c r="C2283" s="13" t="s">
        <v>3757</v>
      </c>
      <c r="D2283" s="13" t="s">
        <v>4342</v>
      </c>
      <c r="E2283" s="29"/>
      <c r="F2283" s="13" t="s">
        <v>4343</v>
      </c>
      <c r="G2283" s="8">
        <v>32</v>
      </c>
      <c r="H2283" s="8"/>
      <c r="I2283" s="8"/>
      <c r="J2283" s="29" t="s">
        <v>1264</v>
      </c>
      <c r="K2283" s="29" t="s">
        <v>4344</v>
      </c>
      <c r="L2283" s="56"/>
      <c r="M2283" s="68">
        <v>1</v>
      </c>
      <c r="N2283" s="68" t="s">
        <v>2717</v>
      </c>
    </row>
    <row r="2284" spans="1:14" ht="14.25" x14ac:dyDescent="0.2">
      <c r="A2284" s="11" t="s">
        <v>8207</v>
      </c>
      <c r="B2284" s="12" t="s">
        <v>5467</v>
      </c>
      <c r="C2284" s="13" t="s">
        <v>3757</v>
      </c>
      <c r="D2284" s="13" t="s">
        <v>3754</v>
      </c>
      <c r="E2284" s="61" t="s">
        <v>4116</v>
      </c>
      <c r="F2284" s="13" t="s">
        <v>4117</v>
      </c>
      <c r="G2284" s="8">
        <v>57</v>
      </c>
      <c r="H2284" s="8"/>
      <c r="I2284" s="8"/>
      <c r="J2284" s="29" t="s">
        <v>1641</v>
      </c>
      <c r="K2284" s="55" t="s">
        <v>4118</v>
      </c>
      <c r="L2284" s="29"/>
      <c r="M2284" s="68">
        <v>1</v>
      </c>
      <c r="N2284" s="68" t="s">
        <v>4108</v>
      </c>
    </row>
    <row r="2285" spans="1:14" ht="14.25" x14ac:dyDescent="0.2">
      <c r="A2285" s="14" t="s">
        <v>8207</v>
      </c>
      <c r="B2285" s="15" t="s">
        <v>2686</v>
      </c>
      <c r="C2285" s="16" t="s">
        <v>3757</v>
      </c>
      <c r="D2285" s="16" t="s">
        <v>3754</v>
      </c>
      <c r="E2285" s="72" t="s">
        <v>5834</v>
      </c>
      <c r="F2285" s="16" t="s">
        <v>5835</v>
      </c>
      <c r="G2285" s="8">
        <v>70</v>
      </c>
      <c r="H2285" s="8"/>
      <c r="I2285" s="8"/>
      <c r="J2285" s="27" t="s">
        <v>1277</v>
      </c>
      <c r="K2285" s="112" t="s">
        <v>904</v>
      </c>
      <c r="L2285" s="95"/>
      <c r="M2285" s="68">
        <v>1</v>
      </c>
      <c r="N2285" s="68" t="s">
        <v>878</v>
      </c>
    </row>
    <row r="2286" spans="1:14" ht="14.25" x14ac:dyDescent="0.2">
      <c r="A2286" s="30" t="s">
        <v>8207</v>
      </c>
      <c r="B2286" s="5" t="s">
        <v>4379</v>
      </c>
      <c r="C2286" s="10" t="s">
        <v>4712</v>
      </c>
      <c r="D2286" s="13" t="s">
        <v>7175</v>
      </c>
      <c r="E2286" s="55" t="s">
        <v>4380</v>
      </c>
      <c r="F2286" s="21"/>
      <c r="G2286" s="8">
        <v>23</v>
      </c>
      <c r="H2286" s="8"/>
      <c r="I2286" s="8"/>
      <c r="J2286" s="55" t="s">
        <v>1264</v>
      </c>
      <c r="K2286" s="55" t="s">
        <v>1290</v>
      </c>
      <c r="L2286" s="61"/>
      <c r="M2286" s="68">
        <v>1</v>
      </c>
      <c r="N2286" s="68" t="s">
        <v>4363</v>
      </c>
    </row>
    <row r="2287" spans="1:14" ht="14.25" x14ac:dyDescent="0.2">
      <c r="A2287" s="17" t="s">
        <v>8207</v>
      </c>
      <c r="B2287" s="18" t="s">
        <v>3732</v>
      </c>
      <c r="C2287" s="19" t="s">
        <v>3754</v>
      </c>
      <c r="D2287" s="16" t="s">
        <v>3754</v>
      </c>
      <c r="E2287" s="45" t="s">
        <v>674</v>
      </c>
      <c r="F2287" s="19" t="s">
        <v>680</v>
      </c>
      <c r="G2287" s="21">
        <v>2</v>
      </c>
      <c r="H2287" s="21">
        <v>2</v>
      </c>
      <c r="I2287" s="21"/>
      <c r="J2287" s="45" t="s">
        <v>4579</v>
      </c>
      <c r="K2287" s="45" t="s">
        <v>2076</v>
      </c>
      <c r="L2287" s="61"/>
      <c r="M2287" s="68">
        <v>1</v>
      </c>
      <c r="N2287" s="68" t="s">
        <v>595</v>
      </c>
    </row>
    <row r="2288" spans="1:14" ht="14.25" x14ac:dyDescent="0.2">
      <c r="A2288" s="11" t="s">
        <v>6143</v>
      </c>
      <c r="B2288" s="12" t="s">
        <v>4908</v>
      </c>
      <c r="C2288" s="13" t="s">
        <v>3757</v>
      </c>
      <c r="D2288" s="13" t="s">
        <v>3754</v>
      </c>
      <c r="E2288" s="29" t="s">
        <v>2786</v>
      </c>
      <c r="F2288" s="13" t="s">
        <v>6144</v>
      </c>
      <c r="G2288" s="13">
        <v>68</v>
      </c>
      <c r="H2288" s="13"/>
      <c r="I2288" s="13"/>
      <c r="J2288" s="29" t="s">
        <v>7431</v>
      </c>
      <c r="K2288" s="29" t="s">
        <v>3687</v>
      </c>
      <c r="L2288" s="29"/>
      <c r="M2288" s="68">
        <v>1</v>
      </c>
      <c r="N2288" s="68" t="s">
        <v>2755</v>
      </c>
    </row>
    <row r="2289" spans="1:14" ht="14.25" x14ac:dyDescent="0.2">
      <c r="A2289" s="11" t="s">
        <v>915</v>
      </c>
      <c r="B2289" s="12" t="s">
        <v>916</v>
      </c>
      <c r="C2289" s="13" t="s">
        <v>3757</v>
      </c>
      <c r="D2289" s="13" t="s">
        <v>3754</v>
      </c>
      <c r="E2289" s="72"/>
      <c r="F2289" s="13" t="s">
        <v>1541</v>
      </c>
      <c r="G2289" s="26">
        <v>45</v>
      </c>
      <c r="H2289" s="26"/>
      <c r="I2289" s="26"/>
      <c r="J2289" s="29" t="s">
        <v>5945</v>
      </c>
      <c r="K2289" s="72" t="s">
        <v>917</v>
      </c>
      <c r="L2289" s="29"/>
      <c r="M2289" s="68">
        <v>1</v>
      </c>
      <c r="N2289" s="68" t="s">
        <v>986</v>
      </c>
    </row>
    <row r="2290" spans="1:14" ht="42.75" x14ac:dyDescent="0.2">
      <c r="A2290" s="14" t="s">
        <v>915</v>
      </c>
      <c r="B2290" s="15" t="s">
        <v>82</v>
      </c>
      <c r="C2290" s="16" t="s">
        <v>3757</v>
      </c>
      <c r="D2290" s="27" t="s">
        <v>3754</v>
      </c>
      <c r="E2290" s="27"/>
      <c r="F2290" s="27" t="s">
        <v>83</v>
      </c>
      <c r="G2290" s="13">
        <v>44</v>
      </c>
      <c r="H2290" s="13"/>
      <c r="I2290" s="13"/>
      <c r="J2290" s="27" t="s">
        <v>1277</v>
      </c>
      <c r="K2290" s="96" t="s">
        <v>1480</v>
      </c>
      <c r="L2290" s="43" t="s">
        <v>84</v>
      </c>
      <c r="M2290" s="68">
        <v>1</v>
      </c>
      <c r="N2290" s="68" t="s">
        <v>6124</v>
      </c>
    </row>
    <row r="2291" spans="1:14" ht="14.25" x14ac:dyDescent="0.2">
      <c r="A2291" s="11" t="s">
        <v>915</v>
      </c>
      <c r="B2291" s="12" t="s">
        <v>6192</v>
      </c>
      <c r="C2291" s="13" t="s">
        <v>3754</v>
      </c>
      <c r="D2291" s="31" t="s">
        <v>6193</v>
      </c>
      <c r="E2291" s="29" t="s">
        <v>6184</v>
      </c>
      <c r="F2291" s="13" t="s">
        <v>6193</v>
      </c>
      <c r="G2291" s="13">
        <v>19</v>
      </c>
      <c r="H2291" s="13"/>
      <c r="I2291" s="13"/>
      <c r="J2291" s="29" t="s">
        <v>6194</v>
      </c>
      <c r="K2291" s="29" t="s">
        <v>1145</v>
      </c>
      <c r="L2291" s="29"/>
      <c r="M2291" s="68">
        <v>1</v>
      </c>
      <c r="N2291" s="68" t="s">
        <v>6187</v>
      </c>
    </row>
    <row r="2292" spans="1:14" ht="14.25" x14ac:dyDescent="0.2">
      <c r="A2292" s="11" t="s">
        <v>915</v>
      </c>
      <c r="B2292" s="12" t="s">
        <v>3733</v>
      </c>
      <c r="C2292" s="13" t="s">
        <v>3757</v>
      </c>
      <c r="D2292" s="31" t="s">
        <v>3754</v>
      </c>
      <c r="E2292" s="29" t="s">
        <v>6299</v>
      </c>
      <c r="F2292" s="13" t="s">
        <v>6300</v>
      </c>
      <c r="G2292" s="13">
        <v>53</v>
      </c>
      <c r="H2292" s="13"/>
      <c r="I2292" s="13"/>
      <c r="J2292" s="29" t="s">
        <v>1270</v>
      </c>
      <c r="K2292" s="29" t="s">
        <v>1519</v>
      </c>
      <c r="L2292" s="29"/>
      <c r="M2292" s="68">
        <v>1</v>
      </c>
      <c r="N2292" s="68" t="s">
        <v>6187</v>
      </c>
    </row>
    <row r="2293" spans="1:14" ht="28.5" x14ac:dyDescent="0.2">
      <c r="A2293" s="14" t="s">
        <v>8163</v>
      </c>
      <c r="B2293" s="15" t="s">
        <v>8164</v>
      </c>
      <c r="C2293" s="16" t="s">
        <v>8165</v>
      </c>
      <c r="D2293" s="16" t="s">
        <v>8165</v>
      </c>
      <c r="E2293" s="27" t="s">
        <v>8166</v>
      </c>
      <c r="F2293" s="16" t="s">
        <v>8165</v>
      </c>
      <c r="G2293" s="26">
        <v>18</v>
      </c>
      <c r="H2293" s="26">
        <v>4</v>
      </c>
      <c r="I2293" s="26">
        <v>11</v>
      </c>
      <c r="J2293" s="27" t="s">
        <v>1264</v>
      </c>
      <c r="K2293" s="27" t="s">
        <v>8167</v>
      </c>
      <c r="L2293" s="29"/>
      <c r="M2293" s="68">
        <v>1</v>
      </c>
      <c r="N2293" s="68" t="s">
        <v>491</v>
      </c>
    </row>
    <row r="2294" spans="1:14" ht="15" x14ac:dyDescent="0.2">
      <c r="A2294" s="14" t="s">
        <v>6129</v>
      </c>
      <c r="B2294" s="15" t="s">
        <v>3733</v>
      </c>
      <c r="C2294" s="16" t="s">
        <v>3757</v>
      </c>
      <c r="D2294" s="27" t="s">
        <v>3754</v>
      </c>
      <c r="E2294" s="27" t="s">
        <v>2423</v>
      </c>
      <c r="F2294" s="27" t="s">
        <v>6130</v>
      </c>
      <c r="G2294" s="13">
        <v>54</v>
      </c>
      <c r="H2294" s="13"/>
      <c r="I2294" s="13"/>
      <c r="J2294" s="27" t="s">
        <v>1264</v>
      </c>
      <c r="K2294" s="96" t="s">
        <v>1452</v>
      </c>
      <c r="L2294" s="65"/>
      <c r="M2294" s="68">
        <v>1</v>
      </c>
      <c r="N2294" s="68" t="s">
        <v>6124</v>
      </c>
    </row>
    <row r="2295" spans="1:14" ht="14.25" x14ac:dyDescent="0.2">
      <c r="A2295" s="11" t="s">
        <v>8226</v>
      </c>
      <c r="B2295" s="12" t="s">
        <v>2291</v>
      </c>
      <c r="C2295" s="13" t="s">
        <v>3757</v>
      </c>
      <c r="D2295" s="13" t="s">
        <v>3754</v>
      </c>
      <c r="E2295" s="72" t="s">
        <v>825</v>
      </c>
      <c r="F2295" s="13" t="s">
        <v>826</v>
      </c>
      <c r="G2295" s="26">
        <v>41</v>
      </c>
      <c r="H2295" s="26">
        <v>6</v>
      </c>
      <c r="I2295" s="26"/>
      <c r="J2295" s="29" t="s">
        <v>1277</v>
      </c>
      <c r="K2295" s="72" t="s">
        <v>2224</v>
      </c>
      <c r="L2295" s="29"/>
      <c r="M2295" s="68">
        <v>1</v>
      </c>
      <c r="N2295" s="68" t="s">
        <v>795</v>
      </c>
    </row>
    <row r="2296" spans="1:14" ht="14.25" x14ac:dyDescent="0.2">
      <c r="A2296" s="11" t="s">
        <v>8226</v>
      </c>
      <c r="B2296" s="12" t="s">
        <v>1801</v>
      </c>
      <c r="C2296" s="13" t="s">
        <v>3757</v>
      </c>
      <c r="D2296" s="13" t="s">
        <v>3754</v>
      </c>
      <c r="E2296" s="29" t="s">
        <v>3054</v>
      </c>
      <c r="F2296" s="13" t="s">
        <v>7471</v>
      </c>
      <c r="G2296" s="26">
        <v>60</v>
      </c>
      <c r="H2296" s="26"/>
      <c r="I2296" s="26"/>
      <c r="J2296" s="29" t="s">
        <v>7472</v>
      </c>
      <c r="K2296" s="29" t="s">
        <v>7473</v>
      </c>
      <c r="L2296" s="56"/>
      <c r="M2296" s="68">
        <v>1</v>
      </c>
      <c r="N2296" s="68" t="s">
        <v>2717</v>
      </c>
    </row>
    <row r="2297" spans="1:14" ht="14.25" x14ac:dyDescent="0.2">
      <c r="A2297" s="11" t="s">
        <v>8226</v>
      </c>
      <c r="B2297" s="12" t="s">
        <v>5593</v>
      </c>
      <c r="C2297" s="13" t="s">
        <v>4931</v>
      </c>
      <c r="D2297" s="13" t="s">
        <v>3754</v>
      </c>
      <c r="E2297" s="29" t="s">
        <v>8467</v>
      </c>
      <c r="F2297" s="13" t="s">
        <v>7471</v>
      </c>
      <c r="G2297" s="26">
        <v>32</v>
      </c>
      <c r="H2297" s="26"/>
      <c r="I2297" s="26"/>
      <c r="J2297" s="29" t="s">
        <v>1264</v>
      </c>
      <c r="K2297" s="29" t="s">
        <v>8468</v>
      </c>
      <c r="L2297" s="29"/>
      <c r="M2297" s="68">
        <v>1</v>
      </c>
      <c r="N2297" s="68" t="s">
        <v>8451</v>
      </c>
    </row>
    <row r="2298" spans="1:14" ht="14.25" x14ac:dyDescent="0.2">
      <c r="A2298" s="14" t="s">
        <v>8226</v>
      </c>
      <c r="B2298" s="15" t="s">
        <v>2979</v>
      </c>
      <c r="C2298" s="16" t="s">
        <v>3757</v>
      </c>
      <c r="D2298" s="13" t="s">
        <v>3754</v>
      </c>
      <c r="E2298" s="27" t="s">
        <v>8227</v>
      </c>
      <c r="F2298" s="16" t="s">
        <v>1541</v>
      </c>
      <c r="G2298" s="26">
        <v>25</v>
      </c>
      <c r="H2298" s="26"/>
      <c r="I2298" s="26"/>
      <c r="J2298" s="27" t="s">
        <v>4751</v>
      </c>
      <c r="K2298" s="27" t="s">
        <v>4060</v>
      </c>
      <c r="L2298" s="29"/>
      <c r="M2298" s="68">
        <v>1</v>
      </c>
      <c r="N2298" s="68" t="s">
        <v>8206</v>
      </c>
    </row>
    <row r="2299" spans="1:14" ht="14.25" x14ac:dyDescent="0.2">
      <c r="A2299" s="11" t="s">
        <v>8226</v>
      </c>
      <c r="B2299" s="12" t="s">
        <v>2337</v>
      </c>
      <c r="C2299" s="13" t="s">
        <v>4931</v>
      </c>
      <c r="D2299" s="13" t="s">
        <v>3754</v>
      </c>
      <c r="E2299" s="29" t="s">
        <v>2710</v>
      </c>
      <c r="F2299" s="13" t="s">
        <v>2711</v>
      </c>
      <c r="G2299" s="26">
        <v>1</v>
      </c>
      <c r="H2299" s="26">
        <v>8</v>
      </c>
      <c r="I2299" s="26"/>
      <c r="J2299" s="29" t="s">
        <v>4579</v>
      </c>
      <c r="K2299" s="29" t="s">
        <v>2705</v>
      </c>
      <c r="L2299" s="29"/>
      <c r="M2299" s="68">
        <v>1</v>
      </c>
      <c r="N2299" s="68" t="s">
        <v>4108</v>
      </c>
    </row>
    <row r="2300" spans="1:14" ht="14.25" x14ac:dyDescent="0.2">
      <c r="A2300" s="11" t="s">
        <v>8226</v>
      </c>
      <c r="B2300" s="12" t="s">
        <v>3739</v>
      </c>
      <c r="C2300" s="13" t="s">
        <v>3757</v>
      </c>
      <c r="D2300" s="13" t="s">
        <v>3761</v>
      </c>
      <c r="E2300" s="29" t="s">
        <v>745</v>
      </c>
      <c r="F2300" s="13" t="s">
        <v>746</v>
      </c>
      <c r="G2300" s="13">
        <v>22</v>
      </c>
      <c r="H2300" s="13">
        <v>1</v>
      </c>
      <c r="I2300" s="13"/>
      <c r="J2300" s="29" t="s">
        <v>1264</v>
      </c>
      <c r="K2300" s="29" t="s">
        <v>3790</v>
      </c>
      <c r="L2300" s="29"/>
      <c r="M2300" s="68">
        <v>1</v>
      </c>
      <c r="N2300" s="68" t="s">
        <v>726</v>
      </c>
    </row>
    <row r="2301" spans="1:14" ht="14.25" x14ac:dyDescent="0.2">
      <c r="A2301" s="14" t="s">
        <v>8226</v>
      </c>
      <c r="B2301" s="15" t="s">
        <v>5712</v>
      </c>
      <c r="C2301" s="16" t="s">
        <v>3754</v>
      </c>
      <c r="D2301" s="16" t="s">
        <v>3761</v>
      </c>
      <c r="E2301" s="27" t="s">
        <v>2322</v>
      </c>
      <c r="F2301" s="16" t="s">
        <v>596</v>
      </c>
      <c r="G2301" s="13">
        <v>2</v>
      </c>
      <c r="H2301" s="13">
        <v>5</v>
      </c>
      <c r="I2301" s="13"/>
      <c r="J2301" s="27" t="s">
        <v>6938</v>
      </c>
      <c r="K2301" s="27" t="s">
        <v>597</v>
      </c>
      <c r="L2301" s="29"/>
      <c r="M2301" s="68">
        <v>1</v>
      </c>
      <c r="N2301" s="68" t="s">
        <v>595</v>
      </c>
    </row>
    <row r="2302" spans="1:14" ht="14.25" x14ac:dyDescent="0.2">
      <c r="A2302" s="11" t="s">
        <v>1071</v>
      </c>
      <c r="B2302" s="12" t="s">
        <v>1422</v>
      </c>
      <c r="C2302" s="13" t="s">
        <v>3754</v>
      </c>
      <c r="D2302" s="13" t="s">
        <v>3754</v>
      </c>
      <c r="E2302" s="29"/>
      <c r="F2302" s="13" t="s">
        <v>1072</v>
      </c>
      <c r="G2302" s="26">
        <v>25</v>
      </c>
      <c r="H2302" s="26"/>
      <c r="I2302" s="26"/>
      <c r="J2302" s="29" t="s">
        <v>1264</v>
      </c>
      <c r="K2302" s="29"/>
      <c r="L2302" s="29"/>
      <c r="M2302" s="68">
        <v>1</v>
      </c>
      <c r="N2302" s="68" t="s">
        <v>4363</v>
      </c>
    </row>
    <row r="2303" spans="1:14" ht="15" x14ac:dyDescent="0.2">
      <c r="A2303" s="11" t="s">
        <v>6281</v>
      </c>
      <c r="B2303" s="12" t="s">
        <v>3733</v>
      </c>
      <c r="C2303" s="13" t="s">
        <v>3757</v>
      </c>
      <c r="D2303" s="13" t="s">
        <v>3754</v>
      </c>
      <c r="E2303" s="29" t="s">
        <v>6282</v>
      </c>
      <c r="F2303" s="13" t="s">
        <v>6283</v>
      </c>
      <c r="G2303" s="13">
        <v>74</v>
      </c>
      <c r="H2303" s="13"/>
      <c r="I2303" s="13"/>
      <c r="J2303" s="29" t="s">
        <v>1271</v>
      </c>
      <c r="K2303" s="29" t="s">
        <v>5204</v>
      </c>
      <c r="L2303" s="58"/>
      <c r="M2303" s="68">
        <v>1</v>
      </c>
      <c r="N2303" s="68" t="s">
        <v>2359</v>
      </c>
    </row>
    <row r="2304" spans="1:14" ht="15" x14ac:dyDescent="0.2">
      <c r="A2304" s="14" t="s">
        <v>2749</v>
      </c>
      <c r="B2304" s="15" t="s">
        <v>4701</v>
      </c>
      <c r="C2304" s="16" t="s">
        <v>3757</v>
      </c>
      <c r="D2304" s="27" t="s">
        <v>3754</v>
      </c>
      <c r="E2304" s="27" t="s">
        <v>5259</v>
      </c>
      <c r="F2304" s="27" t="s">
        <v>2750</v>
      </c>
      <c r="G2304" s="13">
        <v>36</v>
      </c>
      <c r="H2304" s="13"/>
      <c r="I2304" s="13"/>
      <c r="J2304" s="27" t="s">
        <v>4739</v>
      </c>
      <c r="K2304" s="96" t="s">
        <v>3666</v>
      </c>
      <c r="L2304" s="100"/>
      <c r="M2304" s="68">
        <v>1</v>
      </c>
      <c r="N2304" s="68" t="s">
        <v>6124</v>
      </c>
    </row>
    <row r="2305" spans="1:14" ht="14.25" x14ac:dyDescent="0.2">
      <c r="A2305" s="11" t="s">
        <v>4396</v>
      </c>
      <c r="B2305" s="12" t="s">
        <v>6883</v>
      </c>
      <c r="C2305" s="13" t="s">
        <v>3757</v>
      </c>
      <c r="D2305" s="13" t="s">
        <v>3754</v>
      </c>
      <c r="E2305" s="29" t="s">
        <v>4397</v>
      </c>
      <c r="F2305" s="13" t="s">
        <v>4398</v>
      </c>
      <c r="G2305" s="26">
        <v>28</v>
      </c>
      <c r="H2305" s="26"/>
      <c r="I2305" s="26"/>
      <c r="J2305" s="29" t="s">
        <v>1264</v>
      </c>
      <c r="K2305" s="29" t="s">
        <v>4399</v>
      </c>
      <c r="L2305" s="29"/>
      <c r="M2305" s="68">
        <v>1</v>
      </c>
      <c r="N2305" s="68" t="s">
        <v>8451</v>
      </c>
    </row>
    <row r="2306" spans="1:14" ht="14.25" x14ac:dyDescent="0.2">
      <c r="A2306" s="11" t="s">
        <v>789</v>
      </c>
      <c r="B2306" s="12" t="s">
        <v>6180</v>
      </c>
      <c r="C2306" s="13" t="s">
        <v>3754</v>
      </c>
      <c r="D2306" s="13" t="s">
        <v>3754</v>
      </c>
      <c r="E2306" s="29" t="s">
        <v>3942</v>
      </c>
      <c r="F2306" s="13" t="s">
        <v>6181</v>
      </c>
      <c r="G2306" s="13">
        <v>20</v>
      </c>
      <c r="H2306" s="13"/>
      <c r="I2306" s="13"/>
      <c r="J2306" s="29" t="s">
        <v>3679</v>
      </c>
      <c r="K2306" s="29" t="s">
        <v>1671</v>
      </c>
      <c r="L2306" s="29"/>
      <c r="M2306" s="68">
        <v>1</v>
      </c>
      <c r="N2306" s="68" t="s">
        <v>2755</v>
      </c>
    </row>
    <row r="2307" spans="1:14" ht="14.25" x14ac:dyDescent="0.2">
      <c r="A2307" s="11" t="s">
        <v>789</v>
      </c>
      <c r="B2307" s="12" t="s">
        <v>3732</v>
      </c>
      <c r="C2307" s="13" t="s">
        <v>3757</v>
      </c>
      <c r="D2307" s="13" t="s">
        <v>3761</v>
      </c>
      <c r="E2307" s="29" t="s">
        <v>4966</v>
      </c>
      <c r="F2307" s="13" t="s">
        <v>790</v>
      </c>
      <c r="G2307" s="13">
        <v>78</v>
      </c>
      <c r="H2307" s="13"/>
      <c r="I2307" s="13"/>
      <c r="J2307" s="29" t="s">
        <v>1271</v>
      </c>
      <c r="K2307" s="29" t="s">
        <v>4968</v>
      </c>
      <c r="L2307" s="29"/>
      <c r="M2307" s="68">
        <v>1</v>
      </c>
      <c r="N2307" s="68" t="s">
        <v>726</v>
      </c>
    </row>
    <row r="2308" spans="1:14" ht="14.25" x14ac:dyDescent="0.2">
      <c r="A2308" s="11" t="s">
        <v>8145</v>
      </c>
      <c r="B2308" s="12" t="s">
        <v>5967</v>
      </c>
      <c r="C2308" s="13" t="s">
        <v>3757</v>
      </c>
      <c r="D2308" s="13" t="s">
        <v>1604</v>
      </c>
      <c r="E2308" s="29" t="s">
        <v>377</v>
      </c>
      <c r="F2308" s="13" t="s">
        <v>1563</v>
      </c>
      <c r="G2308" s="26">
        <v>42</v>
      </c>
      <c r="H2308" s="26"/>
      <c r="I2308" s="26"/>
      <c r="J2308" s="29" t="s">
        <v>2335</v>
      </c>
      <c r="K2308" s="29" t="s">
        <v>3446</v>
      </c>
      <c r="L2308" s="29"/>
      <c r="M2308" s="68">
        <v>1</v>
      </c>
      <c r="N2308" s="68" t="s">
        <v>4108</v>
      </c>
    </row>
    <row r="2309" spans="1:14" ht="14.25" x14ac:dyDescent="0.2">
      <c r="A2309" s="14" t="s">
        <v>8145</v>
      </c>
      <c r="B2309" s="15" t="s">
        <v>2295</v>
      </c>
      <c r="C2309" s="16" t="s">
        <v>3761</v>
      </c>
      <c r="D2309" s="13" t="s">
        <v>3754</v>
      </c>
      <c r="E2309" s="27" t="s">
        <v>8146</v>
      </c>
      <c r="F2309" s="16" t="s">
        <v>1541</v>
      </c>
      <c r="G2309" s="26">
        <v>4</v>
      </c>
      <c r="H2309" s="26"/>
      <c r="I2309" s="26"/>
      <c r="J2309" s="27" t="s">
        <v>1254</v>
      </c>
      <c r="K2309" s="27" t="s">
        <v>1567</v>
      </c>
      <c r="L2309" s="29"/>
      <c r="M2309" s="68">
        <v>1</v>
      </c>
      <c r="N2309" s="68" t="s">
        <v>491</v>
      </c>
    </row>
    <row r="2310" spans="1:14" ht="14.25" x14ac:dyDescent="0.2">
      <c r="A2310" s="14" t="s">
        <v>8145</v>
      </c>
      <c r="B2310" s="15" t="s">
        <v>6878</v>
      </c>
      <c r="C2310" s="16" t="s">
        <v>3757</v>
      </c>
      <c r="D2310" s="13" t="s">
        <v>3754</v>
      </c>
      <c r="E2310" s="27" t="s">
        <v>8154</v>
      </c>
      <c r="F2310" s="16" t="s">
        <v>1541</v>
      </c>
      <c r="G2310" s="26">
        <v>80</v>
      </c>
      <c r="H2310" s="26"/>
      <c r="I2310" s="26"/>
      <c r="J2310" s="27" t="s">
        <v>1271</v>
      </c>
      <c r="K2310" s="27" t="s">
        <v>1567</v>
      </c>
      <c r="L2310" s="29"/>
      <c r="M2310" s="68">
        <v>1</v>
      </c>
      <c r="N2310" s="68" t="s">
        <v>491</v>
      </c>
    </row>
    <row r="2311" spans="1:14" ht="14.25" x14ac:dyDescent="0.2">
      <c r="A2311" s="14" t="s">
        <v>8145</v>
      </c>
      <c r="B2311" s="15" t="s">
        <v>8150</v>
      </c>
      <c r="C2311" s="16" t="s">
        <v>3761</v>
      </c>
      <c r="D2311" s="13" t="s">
        <v>3754</v>
      </c>
      <c r="E2311" s="27" t="s">
        <v>8151</v>
      </c>
      <c r="F2311" s="16" t="s">
        <v>1541</v>
      </c>
      <c r="G2311" s="26">
        <v>47</v>
      </c>
      <c r="H2311" s="26"/>
      <c r="I2311" s="26"/>
      <c r="J2311" s="27" t="s">
        <v>1264</v>
      </c>
      <c r="K2311" s="27" t="s">
        <v>1567</v>
      </c>
      <c r="L2311" s="29"/>
      <c r="M2311" s="68">
        <v>1</v>
      </c>
      <c r="N2311" s="68" t="s">
        <v>491</v>
      </c>
    </row>
    <row r="2312" spans="1:14" ht="14.25" x14ac:dyDescent="0.2">
      <c r="A2312" s="14" t="s">
        <v>8145</v>
      </c>
      <c r="B2312" s="15" t="s">
        <v>8152</v>
      </c>
      <c r="C2312" s="16" t="s">
        <v>3757</v>
      </c>
      <c r="D2312" s="13" t="s">
        <v>3754</v>
      </c>
      <c r="E2312" s="27" t="s">
        <v>8153</v>
      </c>
      <c r="F2312" s="16" t="s">
        <v>1541</v>
      </c>
      <c r="G2312" s="26">
        <v>52</v>
      </c>
      <c r="H2312" s="26"/>
      <c r="I2312" s="26"/>
      <c r="J2312" s="27" t="s">
        <v>1259</v>
      </c>
      <c r="K2312" s="27" t="s">
        <v>1567</v>
      </c>
      <c r="L2312" s="29"/>
      <c r="M2312" s="68">
        <v>1</v>
      </c>
      <c r="N2312" s="68" t="s">
        <v>491</v>
      </c>
    </row>
    <row r="2313" spans="1:14" ht="14.25" x14ac:dyDescent="0.2">
      <c r="A2313" s="14" t="s">
        <v>8145</v>
      </c>
      <c r="B2313" s="15" t="s">
        <v>8197</v>
      </c>
      <c r="C2313" s="16" t="s">
        <v>3761</v>
      </c>
      <c r="D2313" s="28"/>
      <c r="E2313" s="27" t="s">
        <v>8198</v>
      </c>
      <c r="F2313" s="16" t="s">
        <v>8199</v>
      </c>
      <c r="G2313" s="26"/>
      <c r="H2313" s="26">
        <v>3</v>
      </c>
      <c r="I2313" s="26"/>
      <c r="J2313" s="27" t="s">
        <v>1255</v>
      </c>
      <c r="K2313" s="27" t="s">
        <v>1608</v>
      </c>
      <c r="L2313" s="29"/>
      <c r="M2313" s="68">
        <v>1</v>
      </c>
      <c r="N2313" s="68" t="s">
        <v>491</v>
      </c>
    </row>
    <row r="2314" spans="1:14" ht="14.25" x14ac:dyDescent="0.2">
      <c r="A2314" s="11" t="s">
        <v>8433</v>
      </c>
      <c r="B2314" s="12" t="s">
        <v>6021</v>
      </c>
      <c r="C2314" s="13" t="s">
        <v>3757</v>
      </c>
      <c r="D2314" s="13" t="s">
        <v>3754</v>
      </c>
      <c r="E2314" s="29" t="s">
        <v>8434</v>
      </c>
      <c r="F2314" s="13" t="s">
        <v>8435</v>
      </c>
      <c r="G2314" s="26">
        <v>77</v>
      </c>
      <c r="H2314" s="26"/>
      <c r="I2314" s="26"/>
      <c r="J2314" s="29" t="s">
        <v>1271</v>
      </c>
      <c r="K2314" s="29" t="s">
        <v>3066</v>
      </c>
      <c r="L2314" s="56"/>
      <c r="M2314" s="68">
        <v>1</v>
      </c>
      <c r="N2314" s="68" t="s">
        <v>2717</v>
      </c>
    </row>
    <row r="2315" spans="1:14" ht="15" x14ac:dyDescent="0.2">
      <c r="A2315" s="11" t="s">
        <v>6109</v>
      </c>
      <c r="B2315" s="12" t="s">
        <v>1809</v>
      </c>
      <c r="C2315" s="13" t="s">
        <v>3754</v>
      </c>
      <c r="D2315" s="13" t="s">
        <v>6110</v>
      </c>
      <c r="E2315" s="29" t="s">
        <v>8111</v>
      </c>
      <c r="F2315" s="13" t="s">
        <v>363</v>
      </c>
      <c r="G2315" s="13">
        <v>24</v>
      </c>
      <c r="H2315" s="13"/>
      <c r="I2315" s="13"/>
      <c r="J2315" s="29"/>
      <c r="K2315" s="29" t="s">
        <v>6111</v>
      </c>
      <c r="L2315" s="58"/>
      <c r="M2315" s="68">
        <v>1</v>
      </c>
      <c r="N2315" s="68" t="s">
        <v>2359</v>
      </c>
    </row>
    <row r="2316" spans="1:14" ht="14.25" x14ac:dyDescent="0.2">
      <c r="A2316" s="11" t="s">
        <v>6109</v>
      </c>
      <c r="B2316" s="12" t="s">
        <v>1879</v>
      </c>
      <c r="C2316" s="13" t="s">
        <v>3754</v>
      </c>
      <c r="D2316" s="13" t="s">
        <v>2760</v>
      </c>
      <c r="E2316" s="29" t="s">
        <v>2761</v>
      </c>
      <c r="F2316" s="13" t="s">
        <v>2762</v>
      </c>
      <c r="G2316" s="13">
        <v>24</v>
      </c>
      <c r="H2316" s="13"/>
      <c r="I2316" s="13"/>
      <c r="J2316" s="29" t="s">
        <v>1788</v>
      </c>
      <c r="K2316" s="29" t="s">
        <v>3670</v>
      </c>
      <c r="L2316" s="29"/>
      <c r="M2316" s="68">
        <v>1</v>
      </c>
      <c r="N2316" s="68" t="s">
        <v>2755</v>
      </c>
    </row>
    <row r="2317" spans="1:14" ht="15" x14ac:dyDescent="0.2">
      <c r="A2317" s="14" t="s">
        <v>6109</v>
      </c>
      <c r="B2317" s="15" t="s">
        <v>3740</v>
      </c>
      <c r="C2317" s="16" t="s">
        <v>3757</v>
      </c>
      <c r="D2317" s="27" t="s">
        <v>3323</v>
      </c>
      <c r="E2317" s="27" t="s">
        <v>1462</v>
      </c>
      <c r="F2317" s="27" t="s">
        <v>2032</v>
      </c>
      <c r="G2317" s="13">
        <v>21</v>
      </c>
      <c r="H2317" s="13"/>
      <c r="I2317" s="13"/>
      <c r="J2317" s="27" t="s">
        <v>77</v>
      </c>
      <c r="K2317" s="96" t="s">
        <v>1465</v>
      </c>
      <c r="L2317" s="65"/>
      <c r="M2317" s="68">
        <v>1</v>
      </c>
      <c r="N2317" s="68" t="s">
        <v>6124</v>
      </c>
    </row>
    <row r="2318" spans="1:14" ht="14.25" x14ac:dyDescent="0.2">
      <c r="A2318" s="11" t="s">
        <v>805</v>
      </c>
      <c r="B2318" s="12" t="s">
        <v>3070</v>
      </c>
      <c r="C2318" s="16" t="s">
        <v>3761</v>
      </c>
      <c r="D2318" s="13" t="s">
        <v>3754</v>
      </c>
      <c r="E2318" s="72" t="s">
        <v>3267</v>
      </c>
      <c r="F2318" s="13" t="s">
        <v>7173</v>
      </c>
      <c r="G2318" s="26">
        <v>1</v>
      </c>
      <c r="H2318" s="26">
        <v>8</v>
      </c>
      <c r="I2318" s="26">
        <v>7</v>
      </c>
      <c r="J2318" s="29" t="s">
        <v>4741</v>
      </c>
      <c r="K2318" s="72" t="s">
        <v>806</v>
      </c>
      <c r="L2318" s="29"/>
      <c r="M2318" s="68">
        <v>1</v>
      </c>
      <c r="N2318" s="68" t="s">
        <v>795</v>
      </c>
    </row>
    <row r="2319" spans="1:14" ht="14.25" x14ac:dyDescent="0.2">
      <c r="A2319" s="11" t="s">
        <v>8425</v>
      </c>
      <c r="B2319" s="12" t="s">
        <v>8426</v>
      </c>
      <c r="C2319" s="13" t="s">
        <v>3757</v>
      </c>
      <c r="D2319" s="13" t="s">
        <v>3754</v>
      </c>
      <c r="E2319" s="29" t="s">
        <v>3451</v>
      </c>
      <c r="F2319" s="13" t="s">
        <v>8427</v>
      </c>
      <c r="G2319" s="26">
        <v>84</v>
      </c>
      <c r="H2319" s="26"/>
      <c r="I2319" s="26"/>
      <c r="J2319" s="29" t="s">
        <v>1271</v>
      </c>
      <c r="K2319" s="29" t="s">
        <v>8428</v>
      </c>
      <c r="L2319" s="56"/>
      <c r="M2319" s="68">
        <v>1</v>
      </c>
      <c r="N2319" s="68" t="s">
        <v>2717</v>
      </c>
    </row>
    <row r="2320" spans="1:14" ht="15" x14ac:dyDescent="0.2">
      <c r="A2320" s="14" t="s">
        <v>2718</v>
      </c>
      <c r="B2320" s="15" t="s">
        <v>6080</v>
      </c>
      <c r="C2320" s="16" t="s">
        <v>3757</v>
      </c>
      <c r="D2320" s="27" t="s">
        <v>3754</v>
      </c>
      <c r="E2320" s="27" t="s">
        <v>2410</v>
      </c>
      <c r="F2320" s="27" t="s">
        <v>2719</v>
      </c>
      <c r="G2320" s="13">
        <v>57</v>
      </c>
      <c r="H2320" s="13"/>
      <c r="I2320" s="13"/>
      <c r="J2320" s="27" t="s">
        <v>1788</v>
      </c>
      <c r="K2320" s="96" t="s">
        <v>6538</v>
      </c>
      <c r="L2320" s="65"/>
      <c r="M2320" s="68">
        <v>1</v>
      </c>
      <c r="N2320" s="68" t="s">
        <v>6124</v>
      </c>
    </row>
    <row r="2321" spans="1:14" ht="14.25" x14ac:dyDescent="0.2">
      <c r="A2321" s="14" t="s">
        <v>665</v>
      </c>
      <c r="B2321" s="15" t="s">
        <v>666</v>
      </c>
      <c r="C2321" s="16" t="s">
        <v>3757</v>
      </c>
      <c r="D2321" s="16" t="s">
        <v>3754</v>
      </c>
      <c r="E2321" s="27" t="s">
        <v>664</v>
      </c>
      <c r="F2321" s="16" t="s">
        <v>667</v>
      </c>
      <c r="G2321" s="13">
        <v>50</v>
      </c>
      <c r="H2321" s="13">
        <v>4</v>
      </c>
      <c r="I2321" s="13"/>
      <c r="J2321" s="27" t="s">
        <v>6040</v>
      </c>
      <c r="K2321" s="27" t="s">
        <v>8830</v>
      </c>
      <c r="L2321" s="29"/>
      <c r="M2321" s="68">
        <v>1</v>
      </c>
      <c r="N2321" s="68" t="s">
        <v>595</v>
      </c>
    </row>
    <row r="2322" spans="1:14" ht="14.25" x14ac:dyDescent="0.2">
      <c r="A2322" s="11" t="s">
        <v>6295</v>
      </c>
      <c r="B2322" s="12" t="s">
        <v>1445</v>
      </c>
      <c r="C2322" s="13" t="s">
        <v>3757</v>
      </c>
      <c r="D2322" s="31" t="s">
        <v>3754</v>
      </c>
      <c r="E2322" s="29" t="s">
        <v>6294</v>
      </c>
      <c r="F2322" s="13" t="s">
        <v>6296</v>
      </c>
      <c r="G2322" s="13">
        <v>39</v>
      </c>
      <c r="H2322" s="13"/>
      <c r="I2322" s="13"/>
      <c r="J2322" s="29" t="s">
        <v>6297</v>
      </c>
      <c r="K2322" s="29" t="s">
        <v>6298</v>
      </c>
      <c r="L2322" s="29"/>
      <c r="M2322" s="68">
        <v>1</v>
      </c>
      <c r="N2322" s="68" t="s">
        <v>6187</v>
      </c>
    </row>
    <row r="2323" spans="1:14" ht="14.25" x14ac:dyDescent="0.2">
      <c r="A2323" s="14" t="s">
        <v>645</v>
      </c>
      <c r="B2323" s="15" t="s">
        <v>3243</v>
      </c>
      <c r="C2323" s="16" t="s">
        <v>3754</v>
      </c>
      <c r="D2323" s="16" t="s">
        <v>3754</v>
      </c>
      <c r="E2323" s="72" t="s">
        <v>7438</v>
      </c>
      <c r="F2323" s="16" t="s">
        <v>647</v>
      </c>
      <c r="G2323" s="26">
        <v>34</v>
      </c>
      <c r="H2323" s="26"/>
      <c r="I2323" s="26"/>
      <c r="J2323" s="27" t="s">
        <v>2335</v>
      </c>
      <c r="K2323" s="72" t="s">
        <v>2255</v>
      </c>
      <c r="L2323" s="95"/>
      <c r="M2323" s="68">
        <v>1</v>
      </c>
      <c r="N2323" s="68" t="s">
        <v>878</v>
      </c>
    </row>
    <row r="2324" spans="1:14" ht="14.25" x14ac:dyDescent="0.2">
      <c r="A2324" s="14" t="s">
        <v>645</v>
      </c>
      <c r="B2324" s="15" t="s">
        <v>2864</v>
      </c>
      <c r="C2324" s="16" t="s">
        <v>3754</v>
      </c>
      <c r="D2324" s="16" t="s">
        <v>3754</v>
      </c>
      <c r="E2324" s="72" t="s">
        <v>5810</v>
      </c>
      <c r="F2324" s="16" t="s">
        <v>5811</v>
      </c>
      <c r="G2324" s="26">
        <v>25</v>
      </c>
      <c r="H2324" s="26"/>
      <c r="I2324" s="26"/>
      <c r="J2324" s="27" t="s">
        <v>1264</v>
      </c>
      <c r="K2324" s="72" t="s">
        <v>2264</v>
      </c>
      <c r="L2324" s="95"/>
      <c r="M2324" s="68">
        <v>1</v>
      </c>
      <c r="N2324" s="68" t="s">
        <v>878</v>
      </c>
    </row>
    <row r="2325" spans="1:14" ht="14.25" x14ac:dyDescent="0.2">
      <c r="A2325" s="11" t="s">
        <v>645</v>
      </c>
      <c r="B2325" s="12" t="s">
        <v>2281</v>
      </c>
      <c r="C2325" s="16" t="s">
        <v>3761</v>
      </c>
      <c r="D2325" s="13" t="s">
        <v>3754</v>
      </c>
      <c r="E2325" s="72" t="s">
        <v>2903</v>
      </c>
      <c r="F2325" s="13" t="s">
        <v>6545</v>
      </c>
      <c r="G2325" s="26">
        <v>2</v>
      </c>
      <c r="H2325" s="26"/>
      <c r="I2325" s="26"/>
      <c r="J2325" s="29" t="s">
        <v>5280</v>
      </c>
      <c r="K2325" s="72" t="s">
        <v>7446</v>
      </c>
      <c r="L2325" s="29"/>
      <c r="M2325" s="68">
        <v>1</v>
      </c>
      <c r="N2325" s="68" t="s">
        <v>986</v>
      </c>
    </row>
    <row r="2326" spans="1:14" ht="15" x14ac:dyDescent="0.2">
      <c r="A2326" s="11" t="s">
        <v>645</v>
      </c>
      <c r="B2326" s="12" t="s">
        <v>3740</v>
      </c>
      <c r="C2326" s="13" t="s">
        <v>3757</v>
      </c>
      <c r="D2326" s="13" t="s">
        <v>3754</v>
      </c>
      <c r="E2326" s="29" t="s">
        <v>425</v>
      </c>
      <c r="F2326" s="13" t="s">
        <v>6545</v>
      </c>
      <c r="G2326" s="13">
        <v>73</v>
      </c>
      <c r="H2326" s="13"/>
      <c r="I2326" s="13"/>
      <c r="J2326" s="29" t="s">
        <v>1271</v>
      </c>
      <c r="K2326" s="29" t="s">
        <v>3482</v>
      </c>
      <c r="L2326" s="58"/>
      <c r="M2326" s="68">
        <v>1</v>
      </c>
      <c r="N2326" s="68" t="s">
        <v>2359</v>
      </c>
    </row>
    <row r="2327" spans="1:14" ht="14.25" x14ac:dyDescent="0.2">
      <c r="A2327" s="14" t="s">
        <v>645</v>
      </c>
      <c r="B2327" s="15" t="s">
        <v>5506</v>
      </c>
      <c r="C2327" s="16" t="s">
        <v>3754</v>
      </c>
      <c r="D2327" s="16" t="s">
        <v>3754</v>
      </c>
      <c r="E2327" s="27" t="s">
        <v>646</v>
      </c>
      <c r="F2327" s="16" t="s">
        <v>647</v>
      </c>
      <c r="G2327" s="13">
        <v>7</v>
      </c>
      <c r="H2327" s="13"/>
      <c r="I2327" s="13">
        <v>10</v>
      </c>
      <c r="J2327" s="27" t="s">
        <v>4829</v>
      </c>
      <c r="K2327" s="27" t="s">
        <v>8832</v>
      </c>
      <c r="L2327" s="29"/>
      <c r="M2327" s="68">
        <v>1</v>
      </c>
      <c r="N2327" s="68" t="s">
        <v>595</v>
      </c>
    </row>
    <row r="2328" spans="1:14" ht="28.5" x14ac:dyDescent="0.2">
      <c r="A2328" s="11" t="s">
        <v>6188</v>
      </c>
      <c r="B2328" s="12" t="s">
        <v>3723</v>
      </c>
      <c r="C2328" s="13" t="s">
        <v>3757</v>
      </c>
      <c r="D2328" s="31" t="s">
        <v>6189</v>
      </c>
      <c r="E2328" s="29" t="s">
        <v>6190</v>
      </c>
      <c r="F2328" s="13" t="s">
        <v>6189</v>
      </c>
      <c r="G2328" s="13">
        <v>57</v>
      </c>
      <c r="H2328" s="13"/>
      <c r="I2328" s="13"/>
      <c r="J2328" s="29" t="s">
        <v>7431</v>
      </c>
      <c r="K2328" s="29" t="s">
        <v>6191</v>
      </c>
      <c r="L2328" s="61"/>
      <c r="M2328" s="68">
        <v>1</v>
      </c>
      <c r="N2328" s="68" t="s">
        <v>6187</v>
      </c>
    </row>
    <row r="2329" spans="1:14" ht="14.25" x14ac:dyDescent="0.2">
      <c r="A2329" s="9" t="s">
        <v>4387</v>
      </c>
      <c r="B2329" s="5" t="s">
        <v>2277</v>
      </c>
      <c r="C2329" s="10" t="s">
        <v>4931</v>
      </c>
      <c r="D2329" s="13" t="s">
        <v>4388</v>
      </c>
      <c r="E2329" s="61"/>
      <c r="F2329" s="10" t="s">
        <v>4931</v>
      </c>
      <c r="G2329" s="8">
        <v>2</v>
      </c>
      <c r="H2329" s="8">
        <v>1</v>
      </c>
      <c r="I2329" s="8">
        <v>13</v>
      </c>
      <c r="J2329" s="55" t="s">
        <v>1254</v>
      </c>
      <c r="K2329" s="55" t="s">
        <v>4389</v>
      </c>
      <c r="L2329" s="61"/>
      <c r="M2329" s="68">
        <v>1</v>
      </c>
      <c r="N2329" s="68" t="s">
        <v>8451</v>
      </c>
    </row>
    <row r="2330" spans="1:14" ht="14.25" x14ac:dyDescent="0.2">
      <c r="A2330" s="9" t="s">
        <v>770</v>
      </c>
      <c r="B2330" s="5" t="s">
        <v>771</v>
      </c>
      <c r="C2330" s="10" t="s">
        <v>3754</v>
      </c>
      <c r="D2330" s="13" t="s">
        <v>3761</v>
      </c>
      <c r="E2330" s="55" t="s">
        <v>772</v>
      </c>
      <c r="F2330" s="10" t="s">
        <v>773</v>
      </c>
      <c r="G2330" s="21">
        <v>1</v>
      </c>
      <c r="H2330" s="21">
        <v>8</v>
      </c>
      <c r="I2330" s="21"/>
      <c r="J2330" s="55" t="s">
        <v>1258</v>
      </c>
      <c r="K2330" s="55" t="s">
        <v>321</v>
      </c>
      <c r="L2330" s="61"/>
      <c r="M2330" s="68">
        <v>1</v>
      </c>
      <c r="N2330" s="68" t="s">
        <v>726</v>
      </c>
    </row>
    <row r="2331" spans="1:14" ht="14.25" x14ac:dyDescent="0.2">
      <c r="A2331" s="11" t="s">
        <v>661</v>
      </c>
      <c r="B2331" s="12" t="s">
        <v>857</v>
      </c>
      <c r="C2331" s="16" t="s">
        <v>3761</v>
      </c>
      <c r="D2331" s="13" t="s">
        <v>3754</v>
      </c>
      <c r="E2331" s="72" t="s">
        <v>4986</v>
      </c>
      <c r="F2331" s="13" t="s">
        <v>663</v>
      </c>
      <c r="G2331" s="26">
        <v>36</v>
      </c>
      <c r="H2331" s="26"/>
      <c r="I2331" s="26"/>
      <c r="J2331" s="29" t="s">
        <v>1264</v>
      </c>
      <c r="K2331" s="72" t="s">
        <v>858</v>
      </c>
      <c r="L2331" s="29"/>
      <c r="M2331" s="68">
        <v>1</v>
      </c>
      <c r="N2331" s="68" t="s">
        <v>795</v>
      </c>
    </row>
    <row r="2332" spans="1:14" ht="14.25" x14ac:dyDescent="0.2">
      <c r="A2332" s="14" t="s">
        <v>661</v>
      </c>
      <c r="B2332" s="15" t="s">
        <v>3723</v>
      </c>
      <c r="C2332" s="16" t="s">
        <v>3754</v>
      </c>
      <c r="D2332" s="16" t="s">
        <v>3754</v>
      </c>
      <c r="E2332" s="27" t="s">
        <v>662</v>
      </c>
      <c r="F2332" s="16" t="s">
        <v>663</v>
      </c>
      <c r="G2332" s="13">
        <v>1</v>
      </c>
      <c r="H2332" s="13">
        <v>5</v>
      </c>
      <c r="I2332" s="13"/>
      <c r="J2332" s="27" t="s">
        <v>5082</v>
      </c>
      <c r="K2332" s="27" t="s">
        <v>664</v>
      </c>
      <c r="L2332" s="29"/>
      <c r="M2332" s="68">
        <v>1</v>
      </c>
      <c r="N2332" s="68" t="s">
        <v>595</v>
      </c>
    </row>
    <row r="2333" spans="1:14" ht="14.25" x14ac:dyDescent="0.2">
      <c r="A2333" s="11" t="s">
        <v>4405</v>
      </c>
      <c r="B2333" s="12" t="s">
        <v>4406</v>
      </c>
      <c r="C2333" s="16" t="s">
        <v>3761</v>
      </c>
      <c r="D2333" s="13" t="s">
        <v>8172</v>
      </c>
      <c r="E2333" s="29" t="s">
        <v>2683</v>
      </c>
      <c r="F2333" s="13" t="s">
        <v>4403</v>
      </c>
      <c r="G2333" s="26"/>
      <c r="H2333" s="26">
        <v>2</v>
      </c>
      <c r="I2333" s="26">
        <v>3</v>
      </c>
      <c r="J2333" s="29" t="s">
        <v>5149</v>
      </c>
      <c r="K2333" s="29" t="s">
        <v>4268</v>
      </c>
      <c r="L2333" s="29"/>
      <c r="M2333" s="68">
        <v>1</v>
      </c>
      <c r="N2333" s="68" t="s">
        <v>8451</v>
      </c>
    </row>
    <row r="2334" spans="1:14" ht="14.25" x14ac:dyDescent="0.2">
      <c r="A2334" s="11" t="s">
        <v>4400</v>
      </c>
      <c r="B2334" s="12" t="s">
        <v>4401</v>
      </c>
      <c r="C2334" s="16" t="s">
        <v>3761</v>
      </c>
      <c r="D2334" s="13" t="s">
        <v>3754</v>
      </c>
      <c r="E2334" s="29" t="s">
        <v>4402</v>
      </c>
      <c r="F2334" s="13" t="s">
        <v>4403</v>
      </c>
      <c r="G2334" s="26">
        <v>40</v>
      </c>
      <c r="H2334" s="26"/>
      <c r="I2334" s="26"/>
      <c r="J2334" s="29"/>
      <c r="K2334" s="29" t="s">
        <v>4404</v>
      </c>
      <c r="L2334" s="29"/>
      <c r="M2334" s="68">
        <v>1</v>
      </c>
      <c r="N2334" s="68" t="s">
        <v>8451</v>
      </c>
    </row>
    <row r="2335" spans="1:14" ht="14.25" x14ac:dyDescent="0.2">
      <c r="A2335" s="11" t="s">
        <v>1105</v>
      </c>
      <c r="B2335" s="12" t="s">
        <v>5993</v>
      </c>
      <c r="C2335" s="13" t="s">
        <v>3757</v>
      </c>
      <c r="D2335" s="13" t="s">
        <v>3754</v>
      </c>
      <c r="E2335" s="72" t="s">
        <v>920</v>
      </c>
      <c r="F2335" s="13" t="s">
        <v>921</v>
      </c>
      <c r="G2335" s="26">
        <v>31</v>
      </c>
      <c r="H2335" s="26"/>
      <c r="I2335" s="26"/>
      <c r="J2335" s="29" t="s">
        <v>1264</v>
      </c>
      <c r="K2335" s="72" t="s">
        <v>5597</v>
      </c>
      <c r="L2335" s="29"/>
      <c r="M2335" s="68">
        <v>1</v>
      </c>
      <c r="N2335" s="68" t="s">
        <v>986</v>
      </c>
    </row>
    <row r="2336" spans="1:14" ht="14.25" x14ac:dyDescent="0.2">
      <c r="A2336" s="11" t="s">
        <v>1105</v>
      </c>
      <c r="B2336" s="12" t="s">
        <v>3724</v>
      </c>
      <c r="C2336" s="13" t="s">
        <v>3754</v>
      </c>
      <c r="D2336" s="13"/>
      <c r="E2336" s="29"/>
      <c r="F2336" s="13" t="s">
        <v>1106</v>
      </c>
      <c r="G2336" s="26">
        <v>2</v>
      </c>
      <c r="H2336" s="26">
        <v>4</v>
      </c>
      <c r="I2336" s="26"/>
      <c r="J2336" s="29"/>
      <c r="K2336" s="29" t="s">
        <v>1107</v>
      </c>
      <c r="L2336" s="29"/>
      <c r="M2336" s="68">
        <v>1</v>
      </c>
      <c r="N2336" s="68" t="s">
        <v>4363</v>
      </c>
    </row>
    <row r="2337" spans="1:14" ht="14.25" x14ac:dyDescent="0.2">
      <c r="A2337" s="11" t="s">
        <v>1105</v>
      </c>
      <c r="B2337" s="12" t="s">
        <v>4694</v>
      </c>
      <c r="C2337" s="13" t="s">
        <v>3754</v>
      </c>
      <c r="D2337" s="13" t="s">
        <v>3754</v>
      </c>
      <c r="E2337" s="29" t="s">
        <v>6146</v>
      </c>
      <c r="F2337" s="13" t="s">
        <v>6147</v>
      </c>
      <c r="G2337" s="13">
        <v>21</v>
      </c>
      <c r="H2337" s="13">
        <v>6</v>
      </c>
      <c r="I2337" s="13"/>
      <c r="J2337" s="29" t="s">
        <v>1264</v>
      </c>
      <c r="K2337" s="29" t="s">
        <v>6148</v>
      </c>
      <c r="L2337" s="29"/>
      <c r="M2337" s="68">
        <v>1</v>
      </c>
      <c r="N2337" s="68" t="s">
        <v>2755</v>
      </c>
    </row>
    <row r="2338" spans="1:14" ht="14.25" x14ac:dyDescent="0.2">
      <c r="A2338" s="11" t="s">
        <v>1086</v>
      </c>
      <c r="B2338" s="12" t="s">
        <v>4701</v>
      </c>
      <c r="C2338" s="13" t="s">
        <v>3757</v>
      </c>
      <c r="D2338" s="13" t="s">
        <v>3754</v>
      </c>
      <c r="E2338" s="29" t="s">
        <v>5139</v>
      </c>
      <c r="F2338" s="13" t="s">
        <v>1087</v>
      </c>
      <c r="G2338" s="26">
        <v>52</v>
      </c>
      <c r="H2338" s="26"/>
      <c r="I2338" s="26"/>
      <c r="J2338" s="29" t="s">
        <v>1088</v>
      </c>
      <c r="K2338" s="29" t="s">
        <v>3187</v>
      </c>
      <c r="L2338" s="29"/>
      <c r="M2338" s="68">
        <v>1</v>
      </c>
      <c r="N2338" s="68" t="s">
        <v>4363</v>
      </c>
    </row>
    <row r="2339" spans="1:14" ht="14.25" x14ac:dyDescent="0.2">
      <c r="A2339" s="11" t="s">
        <v>4481</v>
      </c>
      <c r="B2339" s="12" t="s">
        <v>4482</v>
      </c>
      <c r="C2339" s="16" t="s">
        <v>3761</v>
      </c>
      <c r="D2339" s="13" t="s">
        <v>3754</v>
      </c>
      <c r="E2339" s="29" t="s">
        <v>4483</v>
      </c>
      <c r="F2339" s="13" t="s">
        <v>2165</v>
      </c>
      <c r="G2339" s="26">
        <v>1</v>
      </c>
      <c r="H2339" s="26">
        <v>6</v>
      </c>
      <c r="I2339" s="26"/>
      <c r="J2339" s="29" t="s">
        <v>1264</v>
      </c>
      <c r="K2339" s="29" t="s">
        <v>4484</v>
      </c>
      <c r="L2339" s="29"/>
      <c r="M2339" s="68">
        <v>1</v>
      </c>
      <c r="N2339" s="68" t="s">
        <v>4362</v>
      </c>
    </row>
    <row r="2340" spans="1:14" ht="14.25" x14ac:dyDescent="0.2">
      <c r="A2340" s="11" t="s">
        <v>8441</v>
      </c>
      <c r="B2340" s="12" t="s">
        <v>8442</v>
      </c>
      <c r="C2340" s="16" t="s">
        <v>3761</v>
      </c>
      <c r="D2340" s="13" t="s">
        <v>3754</v>
      </c>
      <c r="E2340" s="29" t="s">
        <v>8443</v>
      </c>
      <c r="F2340" s="13" t="s">
        <v>8444</v>
      </c>
      <c r="G2340" s="26">
        <v>44</v>
      </c>
      <c r="H2340" s="26"/>
      <c r="I2340" s="26"/>
      <c r="J2340" s="29" t="s">
        <v>1264</v>
      </c>
      <c r="K2340" s="29" t="s">
        <v>5640</v>
      </c>
      <c r="L2340" s="56"/>
      <c r="M2340" s="68">
        <v>1</v>
      </c>
      <c r="N2340" s="68" t="s">
        <v>2717</v>
      </c>
    </row>
    <row r="2341" spans="1:14" ht="14.25" x14ac:dyDescent="0.2">
      <c r="A2341" s="11" t="s">
        <v>529</v>
      </c>
      <c r="B2341" s="12" t="s">
        <v>5517</v>
      </c>
      <c r="C2341" s="13" t="s">
        <v>3754</v>
      </c>
      <c r="D2341" s="13" t="s">
        <v>3754</v>
      </c>
      <c r="E2341" s="29" t="s">
        <v>530</v>
      </c>
      <c r="F2341" s="13" t="s">
        <v>531</v>
      </c>
      <c r="G2341" s="26"/>
      <c r="H2341" s="26">
        <v>5</v>
      </c>
      <c r="I2341" s="26">
        <v>17</v>
      </c>
      <c r="J2341" s="29" t="s">
        <v>1258</v>
      </c>
      <c r="K2341" s="29" t="s">
        <v>532</v>
      </c>
      <c r="L2341" s="29"/>
      <c r="M2341" s="68">
        <v>1</v>
      </c>
      <c r="N2341" s="68" t="s">
        <v>1129</v>
      </c>
    </row>
    <row r="2342" spans="1:14" ht="14.25" x14ac:dyDescent="0.2">
      <c r="A2342" s="11" t="s">
        <v>559</v>
      </c>
      <c r="B2342" s="12" t="s">
        <v>5468</v>
      </c>
      <c r="C2342" s="13" t="s">
        <v>3757</v>
      </c>
      <c r="D2342" s="13" t="s">
        <v>3754</v>
      </c>
      <c r="E2342" s="29" t="s">
        <v>560</v>
      </c>
      <c r="F2342" s="13" t="s">
        <v>561</v>
      </c>
      <c r="G2342" s="26">
        <v>70</v>
      </c>
      <c r="H2342" s="26"/>
      <c r="I2342" s="26"/>
      <c r="J2342" s="29" t="s">
        <v>1259</v>
      </c>
      <c r="K2342" s="29" t="s">
        <v>264</v>
      </c>
      <c r="L2342" s="29"/>
      <c r="M2342" s="68">
        <v>1</v>
      </c>
      <c r="N2342" s="68" t="s">
        <v>1129</v>
      </c>
    </row>
    <row r="2343" spans="1:14" ht="14.25" x14ac:dyDescent="0.2">
      <c r="A2343" s="11" t="s">
        <v>6183</v>
      </c>
      <c r="B2343" s="12" t="s">
        <v>3747</v>
      </c>
      <c r="C2343" s="13" t="s">
        <v>3757</v>
      </c>
      <c r="D2343" s="13" t="s">
        <v>3754</v>
      </c>
      <c r="E2343" s="29" t="s">
        <v>6184</v>
      </c>
      <c r="F2343" s="13" t="s">
        <v>6185</v>
      </c>
      <c r="G2343" s="13">
        <v>67</v>
      </c>
      <c r="H2343" s="13"/>
      <c r="I2343" s="13"/>
      <c r="J2343" s="29" t="s">
        <v>1277</v>
      </c>
      <c r="K2343" s="29" t="s">
        <v>6186</v>
      </c>
      <c r="L2343" s="95"/>
      <c r="M2343" s="68">
        <v>1</v>
      </c>
      <c r="N2343" s="68" t="s">
        <v>2755</v>
      </c>
    </row>
    <row r="2344" spans="1:14" ht="15" x14ac:dyDescent="0.2">
      <c r="A2344" s="11" t="s">
        <v>1066</v>
      </c>
      <c r="B2344" s="12" t="s">
        <v>4702</v>
      </c>
      <c r="C2344" s="13" t="s">
        <v>3757</v>
      </c>
      <c r="D2344" s="13" t="s">
        <v>3754</v>
      </c>
      <c r="E2344" s="29" t="s">
        <v>5416</v>
      </c>
      <c r="F2344" s="13" t="s">
        <v>6260</v>
      </c>
      <c r="G2344" s="13">
        <v>32</v>
      </c>
      <c r="H2344" s="13"/>
      <c r="I2344" s="13"/>
      <c r="J2344" s="29" t="s">
        <v>1264</v>
      </c>
      <c r="K2344" s="29" t="s">
        <v>5416</v>
      </c>
      <c r="L2344" s="58"/>
      <c r="M2344" s="68">
        <v>1</v>
      </c>
      <c r="N2344" s="68" t="s">
        <v>2359</v>
      </c>
    </row>
    <row r="2345" spans="1:14" ht="14.25" x14ac:dyDescent="0.2">
      <c r="A2345" s="11" t="s">
        <v>1066</v>
      </c>
      <c r="B2345" s="12" t="s">
        <v>1685</v>
      </c>
      <c r="C2345" s="13" t="s">
        <v>3757</v>
      </c>
      <c r="D2345" s="13" t="s">
        <v>3754</v>
      </c>
      <c r="E2345" s="29" t="s">
        <v>1067</v>
      </c>
      <c r="F2345" s="13" t="s">
        <v>1068</v>
      </c>
      <c r="G2345" s="26">
        <v>61</v>
      </c>
      <c r="H2345" s="26"/>
      <c r="I2345" s="26"/>
      <c r="J2345" s="29" t="s">
        <v>1264</v>
      </c>
      <c r="K2345" s="29" t="s">
        <v>6730</v>
      </c>
      <c r="L2345" s="29"/>
      <c r="M2345" s="68">
        <v>1</v>
      </c>
      <c r="N2345" s="68" t="s">
        <v>4363</v>
      </c>
    </row>
    <row r="2346" spans="1:14" ht="14.25" x14ac:dyDescent="0.2">
      <c r="A2346" s="11" t="s">
        <v>366</v>
      </c>
      <c r="B2346" s="12" t="s">
        <v>6009</v>
      </c>
      <c r="C2346" s="16" t="s">
        <v>3761</v>
      </c>
      <c r="D2346" s="13" t="s">
        <v>3754</v>
      </c>
      <c r="E2346" s="29" t="s">
        <v>367</v>
      </c>
      <c r="F2346" s="13" t="s">
        <v>368</v>
      </c>
      <c r="G2346" s="26">
        <v>19</v>
      </c>
      <c r="H2346" s="26">
        <v>4</v>
      </c>
      <c r="I2346" s="26"/>
      <c r="J2346" s="29" t="s">
        <v>4742</v>
      </c>
      <c r="K2346" s="29" t="s">
        <v>369</v>
      </c>
      <c r="L2346" s="29"/>
      <c r="M2346" s="68">
        <v>1</v>
      </c>
      <c r="N2346" s="68" t="s">
        <v>4108</v>
      </c>
    </row>
    <row r="2347" spans="1:14" ht="14.25" x14ac:dyDescent="0.2">
      <c r="A2347" s="14" t="s">
        <v>8168</v>
      </c>
      <c r="B2347" s="15" t="s">
        <v>8169</v>
      </c>
      <c r="C2347" s="16" t="s">
        <v>3761</v>
      </c>
      <c r="D2347" s="16" t="s">
        <v>8170</v>
      </c>
      <c r="E2347" s="27" t="s">
        <v>8171</v>
      </c>
      <c r="F2347" s="16" t="s">
        <v>8172</v>
      </c>
      <c r="G2347" s="26">
        <v>9</v>
      </c>
      <c r="H2347" s="26">
        <v>6</v>
      </c>
      <c r="I2347" s="26"/>
      <c r="J2347" s="27" t="s">
        <v>2028</v>
      </c>
      <c r="K2347" s="27" t="s">
        <v>8173</v>
      </c>
      <c r="L2347" s="29"/>
      <c r="M2347" s="68">
        <v>1</v>
      </c>
      <c r="N2347" s="68" t="s">
        <v>491</v>
      </c>
    </row>
    <row r="2348" spans="1:14" ht="14.25" x14ac:dyDescent="0.2">
      <c r="A2348" s="14" t="s">
        <v>8241</v>
      </c>
      <c r="B2348" s="15" t="s">
        <v>3128</v>
      </c>
      <c r="C2348" s="16" t="s">
        <v>3757</v>
      </c>
      <c r="D2348" s="13" t="s">
        <v>3754</v>
      </c>
      <c r="E2348" s="27" t="s">
        <v>1378</v>
      </c>
      <c r="F2348" s="16" t="s">
        <v>1541</v>
      </c>
      <c r="G2348" s="26">
        <v>56</v>
      </c>
      <c r="H2348" s="26"/>
      <c r="I2348" s="26"/>
      <c r="J2348" s="27" t="s">
        <v>3395</v>
      </c>
      <c r="K2348" s="27" t="s">
        <v>8242</v>
      </c>
      <c r="L2348" s="29"/>
      <c r="M2348" s="68">
        <v>1</v>
      </c>
      <c r="N2348" s="68" t="s">
        <v>8206</v>
      </c>
    </row>
    <row r="2349" spans="1:14" ht="14.25" x14ac:dyDescent="0.2">
      <c r="A2349" s="14" t="s">
        <v>533</v>
      </c>
      <c r="B2349" s="15" t="s">
        <v>2277</v>
      </c>
      <c r="C2349" s="16" t="s">
        <v>3757</v>
      </c>
      <c r="D2349" s="16" t="s">
        <v>3754</v>
      </c>
      <c r="E2349" s="72"/>
      <c r="F2349" s="16" t="s">
        <v>5822</v>
      </c>
      <c r="G2349" s="26">
        <v>66</v>
      </c>
      <c r="H2349" s="26"/>
      <c r="I2349" s="26"/>
      <c r="J2349" s="27" t="s">
        <v>1264</v>
      </c>
      <c r="K2349" s="72"/>
      <c r="L2349" s="95"/>
      <c r="M2349" s="68">
        <v>1</v>
      </c>
      <c r="N2349" s="68" t="s">
        <v>878</v>
      </c>
    </row>
    <row r="2350" spans="1:14" ht="14.25" x14ac:dyDescent="0.2">
      <c r="A2350" s="14" t="s">
        <v>533</v>
      </c>
      <c r="B2350" s="15" t="s">
        <v>5830</v>
      </c>
      <c r="C2350" s="16" t="s">
        <v>3754</v>
      </c>
      <c r="D2350" s="16" t="s">
        <v>3754</v>
      </c>
      <c r="E2350" s="72" t="s">
        <v>5831</v>
      </c>
      <c r="F2350" s="16" t="s">
        <v>5832</v>
      </c>
      <c r="G2350" s="26"/>
      <c r="H2350" s="26"/>
      <c r="I2350" s="26">
        <v>6</v>
      </c>
      <c r="J2350" s="27"/>
      <c r="K2350" s="72" t="s">
        <v>5833</v>
      </c>
      <c r="L2350" s="95"/>
      <c r="M2350" s="68">
        <v>1</v>
      </c>
      <c r="N2350" s="68" t="s">
        <v>878</v>
      </c>
    </row>
    <row r="2351" spans="1:14" ht="14.25" x14ac:dyDescent="0.2">
      <c r="A2351" s="11" t="s">
        <v>533</v>
      </c>
      <c r="B2351" s="12" t="s">
        <v>8612</v>
      </c>
      <c r="C2351" s="13" t="s">
        <v>3757</v>
      </c>
      <c r="D2351" s="13" t="s">
        <v>3754</v>
      </c>
      <c r="E2351" s="29" t="s">
        <v>6000</v>
      </c>
      <c r="F2351" s="13" t="s">
        <v>534</v>
      </c>
      <c r="G2351" s="26">
        <v>60</v>
      </c>
      <c r="H2351" s="26"/>
      <c r="I2351" s="26"/>
      <c r="J2351" s="29" t="s">
        <v>1928</v>
      </c>
      <c r="K2351" s="29" t="s">
        <v>535</v>
      </c>
      <c r="L2351" s="29"/>
      <c r="M2351" s="68">
        <v>1</v>
      </c>
      <c r="N2351" s="68" t="s">
        <v>1129</v>
      </c>
    </row>
    <row r="2352" spans="1:14" ht="14.25" x14ac:dyDescent="0.2">
      <c r="A2352" s="11" t="s">
        <v>4122</v>
      </c>
      <c r="B2352" s="12" t="s">
        <v>4123</v>
      </c>
      <c r="C2352" s="16" t="s">
        <v>3761</v>
      </c>
      <c r="D2352" s="13" t="s">
        <v>3754</v>
      </c>
      <c r="E2352" s="29" t="s">
        <v>4124</v>
      </c>
      <c r="F2352" s="13" t="s">
        <v>4125</v>
      </c>
      <c r="G2352" s="26">
        <v>38</v>
      </c>
      <c r="H2352" s="26"/>
      <c r="I2352" s="26"/>
      <c r="J2352" s="29" t="s">
        <v>1264</v>
      </c>
      <c r="K2352" s="29" t="s">
        <v>4126</v>
      </c>
      <c r="L2352" s="29"/>
      <c r="M2352" s="68">
        <v>1</v>
      </c>
      <c r="N2352" s="68" t="s">
        <v>4108</v>
      </c>
    </row>
    <row r="2353" spans="1:14" ht="14.25" x14ac:dyDescent="0.2">
      <c r="A2353" s="14" t="s">
        <v>8134</v>
      </c>
      <c r="B2353" s="15" t="s">
        <v>2277</v>
      </c>
      <c r="C2353" s="16" t="s">
        <v>3757</v>
      </c>
      <c r="D2353" s="16"/>
      <c r="E2353" s="27" t="s">
        <v>8213</v>
      </c>
      <c r="F2353" s="16" t="s">
        <v>1541</v>
      </c>
      <c r="G2353" s="26">
        <v>26</v>
      </c>
      <c r="H2353" s="26"/>
      <c r="I2353" s="26"/>
      <c r="J2353" s="27" t="s">
        <v>1264</v>
      </c>
      <c r="K2353" s="27" t="s">
        <v>8212</v>
      </c>
      <c r="L2353" s="29"/>
      <c r="M2353" s="68">
        <v>1</v>
      </c>
      <c r="N2353" s="68" t="s">
        <v>8206</v>
      </c>
    </row>
    <row r="2354" spans="1:14" ht="14.25" x14ac:dyDescent="0.2">
      <c r="A2354" s="14" t="s">
        <v>8134</v>
      </c>
      <c r="B2354" s="15" t="s">
        <v>2277</v>
      </c>
      <c r="C2354" s="16" t="s">
        <v>3757</v>
      </c>
      <c r="D2354" s="13" t="s">
        <v>3754</v>
      </c>
      <c r="E2354" s="27" t="s">
        <v>8135</v>
      </c>
      <c r="F2354" s="16" t="s">
        <v>1541</v>
      </c>
      <c r="G2354" s="26">
        <v>54</v>
      </c>
      <c r="H2354" s="26"/>
      <c r="I2354" s="26"/>
      <c r="J2354" s="27" t="s">
        <v>1264</v>
      </c>
      <c r="K2354" s="27" t="s">
        <v>8136</v>
      </c>
      <c r="L2354" s="29"/>
      <c r="M2354" s="68">
        <v>1</v>
      </c>
      <c r="N2354" s="68" t="s">
        <v>491</v>
      </c>
    </row>
    <row r="2355" spans="1:14" ht="14.25" x14ac:dyDescent="0.2">
      <c r="A2355" s="14" t="s">
        <v>4475</v>
      </c>
      <c r="B2355" s="15" t="s">
        <v>3369</v>
      </c>
      <c r="C2355" s="16" t="s">
        <v>3757</v>
      </c>
      <c r="D2355" s="16" t="s">
        <v>3754</v>
      </c>
      <c r="E2355" s="72" t="s">
        <v>5581</v>
      </c>
      <c r="F2355" s="16" t="s">
        <v>2369</v>
      </c>
      <c r="G2355" s="26">
        <v>21</v>
      </c>
      <c r="H2355" s="26"/>
      <c r="I2355" s="26"/>
      <c r="J2355" s="27" t="s">
        <v>1272</v>
      </c>
      <c r="K2355" s="72" t="s">
        <v>342</v>
      </c>
      <c r="L2355" s="95"/>
      <c r="M2355" s="68">
        <v>1</v>
      </c>
      <c r="N2355" s="68" t="s">
        <v>878</v>
      </c>
    </row>
    <row r="2356" spans="1:14" ht="14.25" x14ac:dyDescent="0.2">
      <c r="A2356" s="11" t="s">
        <v>4475</v>
      </c>
      <c r="B2356" s="12" t="s">
        <v>1801</v>
      </c>
      <c r="C2356" s="16" t="s">
        <v>3761</v>
      </c>
      <c r="D2356" s="13" t="s">
        <v>3754</v>
      </c>
      <c r="E2356" s="72" t="s">
        <v>107</v>
      </c>
      <c r="F2356" s="13" t="s">
        <v>108</v>
      </c>
      <c r="G2356" s="26">
        <v>22</v>
      </c>
      <c r="H2356" s="26"/>
      <c r="I2356" s="26"/>
      <c r="J2356" s="29" t="s">
        <v>1264</v>
      </c>
      <c r="K2356" s="72" t="s">
        <v>3585</v>
      </c>
      <c r="L2356" s="29"/>
      <c r="M2356" s="68">
        <v>1</v>
      </c>
      <c r="N2356" s="68" t="s">
        <v>986</v>
      </c>
    </row>
    <row r="2357" spans="1:14" ht="14.25" x14ac:dyDescent="0.2">
      <c r="A2357" s="14" t="s">
        <v>4475</v>
      </c>
      <c r="B2357" s="15" t="s">
        <v>1801</v>
      </c>
      <c r="C2357" s="16" t="s">
        <v>3757</v>
      </c>
      <c r="D2357" s="16" t="s">
        <v>3754</v>
      </c>
      <c r="E2357" s="72" t="s">
        <v>2370</v>
      </c>
      <c r="F2357" s="16" t="s">
        <v>2369</v>
      </c>
      <c r="G2357" s="26">
        <v>39</v>
      </c>
      <c r="H2357" s="26"/>
      <c r="I2357" s="26"/>
      <c r="J2357" s="27" t="s">
        <v>1264</v>
      </c>
      <c r="K2357" s="72" t="s">
        <v>342</v>
      </c>
      <c r="L2357" s="95"/>
      <c r="M2357" s="68">
        <v>1</v>
      </c>
      <c r="N2357" s="68" t="s">
        <v>878</v>
      </c>
    </row>
    <row r="2358" spans="1:14" ht="14.25" x14ac:dyDescent="0.2">
      <c r="A2358" s="14" t="s">
        <v>4475</v>
      </c>
      <c r="B2358" s="15" t="s">
        <v>2371</v>
      </c>
      <c r="C2358" s="16" t="s">
        <v>3754</v>
      </c>
      <c r="D2358" s="16" t="s">
        <v>3754</v>
      </c>
      <c r="E2358" s="72"/>
      <c r="F2358" s="16" t="s">
        <v>2369</v>
      </c>
      <c r="G2358" s="26">
        <v>1</v>
      </c>
      <c r="H2358" s="26">
        <v>5</v>
      </c>
      <c r="I2358" s="26"/>
      <c r="J2358" s="27" t="s">
        <v>5274</v>
      </c>
      <c r="K2358" s="72" t="s">
        <v>342</v>
      </c>
      <c r="L2358" s="95"/>
      <c r="M2358" s="68">
        <v>1</v>
      </c>
      <c r="N2358" s="68" t="s">
        <v>878</v>
      </c>
    </row>
    <row r="2359" spans="1:14" ht="14.25" x14ac:dyDescent="0.2">
      <c r="A2359" s="14" t="s">
        <v>4475</v>
      </c>
      <c r="B2359" s="15" t="s">
        <v>2317</v>
      </c>
      <c r="C2359" s="16" t="s">
        <v>3754</v>
      </c>
      <c r="D2359" s="16" t="s">
        <v>3754</v>
      </c>
      <c r="E2359" s="72" t="s">
        <v>6885</v>
      </c>
      <c r="F2359" s="16" t="s">
        <v>2374</v>
      </c>
      <c r="G2359" s="26"/>
      <c r="H2359" s="26">
        <v>2</v>
      </c>
      <c r="I2359" s="26"/>
      <c r="J2359" s="27" t="s">
        <v>4829</v>
      </c>
      <c r="K2359" s="72" t="s">
        <v>2375</v>
      </c>
      <c r="L2359" s="95"/>
      <c r="M2359" s="68">
        <v>1</v>
      </c>
      <c r="N2359" s="68" t="s">
        <v>878</v>
      </c>
    </row>
    <row r="2360" spans="1:14" ht="14.25" x14ac:dyDescent="0.2">
      <c r="A2360" s="11" t="s">
        <v>4475</v>
      </c>
      <c r="B2360" s="12" t="s">
        <v>6878</v>
      </c>
      <c r="C2360" s="13" t="s">
        <v>3757</v>
      </c>
      <c r="D2360" s="13" t="s">
        <v>3754</v>
      </c>
      <c r="E2360" s="29" t="s">
        <v>4476</v>
      </c>
      <c r="F2360" s="13" t="s">
        <v>4477</v>
      </c>
      <c r="G2360" s="26">
        <v>50</v>
      </c>
      <c r="H2360" s="26"/>
      <c r="I2360" s="26"/>
      <c r="J2360" s="29" t="s">
        <v>1259</v>
      </c>
      <c r="K2360" s="29" t="s">
        <v>2701</v>
      </c>
      <c r="L2360" s="29"/>
      <c r="M2360" s="68">
        <v>1</v>
      </c>
      <c r="N2360" s="68" t="s">
        <v>4362</v>
      </c>
    </row>
    <row r="2361" spans="1:14" ht="14.25" x14ac:dyDescent="0.2">
      <c r="A2361" s="11" t="s">
        <v>4475</v>
      </c>
      <c r="B2361" s="12" t="s">
        <v>6866</v>
      </c>
      <c r="C2361" s="13" t="s">
        <v>3757</v>
      </c>
      <c r="D2361" s="13" t="s">
        <v>3754</v>
      </c>
      <c r="E2361" s="29" t="s">
        <v>4480</v>
      </c>
      <c r="F2361" s="13" t="s">
        <v>1541</v>
      </c>
      <c r="G2361" s="26">
        <v>71</v>
      </c>
      <c r="H2361" s="26"/>
      <c r="I2361" s="26"/>
      <c r="J2361" s="29" t="s">
        <v>6573</v>
      </c>
      <c r="K2361" s="29" t="s">
        <v>3085</v>
      </c>
      <c r="L2361" s="29"/>
      <c r="M2361" s="68">
        <v>1</v>
      </c>
      <c r="N2361" s="68" t="s">
        <v>4362</v>
      </c>
    </row>
    <row r="2362" spans="1:14" ht="14.25" x14ac:dyDescent="0.2">
      <c r="A2362" s="14" t="s">
        <v>4475</v>
      </c>
      <c r="B2362" s="15" t="s">
        <v>2880</v>
      </c>
      <c r="C2362" s="16" t="s">
        <v>3754</v>
      </c>
      <c r="D2362" s="16" t="s">
        <v>3754</v>
      </c>
      <c r="E2362" s="72"/>
      <c r="F2362" s="16" t="s">
        <v>2369</v>
      </c>
      <c r="G2362" s="26"/>
      <c r="H2362" s="26">
        <v>2</v>
      </c>
      <c r="I2362" s="26"/>
      <c r="J2362" s="27" t="s">
        <v>4829</v>
      </c>
      <c r="K2362" s="72" t="s">
        <v>342</v>
      </c>
      <c r="L2362" s="95"/>
      <c r="M2362" s="68">
        <v>1</v>
      </c>
      <c r="N2362" s="68" t="s">
        <v>878</v>
      </c>
    </row>
    <row r="2363" spans="1:14" ht="14.25" x14ac:dyDescent="0.2">
      <c r="A2363" s="11" t="s">
        <v>4475</v>
      </c>
      <c r="B2363" s="12" t="s">
        <v>4696</v>
      </c>
      <c r="C2363" s="13" t="s">
        <v>3757</v>
      </c>
      <c r="D2363" s="13" t="s">
        <v>3754</v>
      </c>
      <c r="E2363" s="29" t="s">
        <v>1310</v>
      </c>
      <c r="F2363" s="13" t="s">
        <v>6173</v>
      </c>
      <c r="G2363" s="13">
        <v>62</v>
      </c>
      <c r="H2363" s="13"/>
      <c r="I2363" s="13"/>
      <c r="J2363" s="29" t="s">
        <v>1270</v>
      </c>
      <c r="K2363" s="29" t="s">
        <v>2602</v>
      </c>
      <c r="L2363" s="29"/>
      <c r="M2363" s="68">
        <v>1</v>
      </c>
      <c r="N2363" s="68" t="s">
        <v>2755</v>
      </c>
    </row>
    <row r="2364" spans="1:14" ht="14.25" x14ac:dyDescent="0.2">
      <c r="A2364" s="14" t="s">
        <v>4475</v>
      </c>
      <c r="B2364" s="15" t="s">
        <v>3728</v>
      </c>
      <c r="C2364" s="16" t="s">
        <v>3754</v>
      </c>
      <c r="D2364" s="27" t="s">
        <v>3754</v>
      </c>
      <c r="E2364" s="27" t="s">
        <v>5260</v>
      </c>
      <c r="F2364" s="27" t="s">
        <v>2754</v>
      </c>
      <c r="G2364" s="13">
        <v>26</v>
      </c>
      <c r="H2364" s="13"/>
      <c r="I2364" s="13"/>
      <c r="J2364" s="27" t="s">
        <v>1264</v>
      </c>
      <c r="K2364" s="96" t="s">
        <v>3916</v>
      </c>
      <c r="L2364" s="27"/>
      <c r="M2364" s="68">
        <v>1</v>
      </c>
      <c r="N2364" s="68" t="s">
        <v>6124</v>
      </c>
    </row>
    <row r="2365" spans="1:14" ht="14.25" x14ac:dyDescent="0.2">
      <c r="A2365" s="11" t="s">
        <v>4475</v>
      </c>
      <c r="B2365" s="12" t="s">
        <v>501</v>
      </c>
      <c r="C2365" s="16" t="s">
        <v>3761</v>
      </c>
      <c r="D2365" s="13" t="s">
        <v>3754</v>
      </c>
      <c r="E2365" s="29" t="s">
        <v>502</v>
      </c>
      <c r="F2365" s="13" t="s">
        <v>503</v>
      </c>
      <c r="G2365" s="26">
        <v>21</v>
      </c>
      <c r="H2365" s="26"/>
      <c r="I2365" s="26"/>
      <c r="J2365" s="29" t="s">
        <v>1849</v>
      </c>
      <c r="K2365" s="29" t="s">
        <v>504</v>
      </c>
      <c r="L2365" s="29"/>
      <c r="M2365" s="68">
        <v>1</v>
      </c>
      <c r="N2365" s="68" t="s">
        <v>1129</v>
      </c>
    </row>
    <row r="2366" spans="1:14" ht="15" x14ac:dyDescent="0.2">
      <c r="A2366" s="14" t="s">
        <v>4475</v>
      </c>
      <c r="B2366" s="15" t="s">
        <v>8612</v>
      </c>
      <c r="C2366" s="16" t="s">
        <v>3757</v>
      </c>
      <c r="D2366" s="27" t="s">
        <v>3754</v>
      </c>
      <c r="E2366" s="27" t="s">
        <v>2418</v>
      </c>
      <c r="F2366" s="27" t="s">
        <v>75</v>
      </c>
      <c r="G2366" s="13">
        <v>65</v>
      </c>
      <c r="H2366" s="13"/>
      <c r="I2366" s="13"/>
      <c r="J2366" s="27" t="s">
        <v>1259</v>
      </c>
      <c r="K2366" s="96" t="s">
        <v>8121</v>
      </c>
      <c r="L2366" s="65"/>
      <c r="M2366" s="68">
        <v>1</v>
      </c>
      <c r="N2366" s="68" t="s">
        <v>6124</v>
      </c>
    </row>
    <row r="2367" spans="1:14" ht="14.25" x14ac:dyDescent="0.2">
      <c r="A2367" s="11" t="s">
        <v>4475</v>
      </c>
      <c r="B2367" s="12" t="s">
        <v>3733</v>
      </c>
      <c r="C2367" s="13" t="s">
        <v>3757</v>
      </c>
      <c r="D2367" s="13" t="s">
        <v>3761</v>
      </c>
      <c r="E2367" s="29" t="s">
        <v>750</v>
      </c>
      <c r="F2367" s="13" t="s">
        <v>751</v>
      </c>
      <c r="G2367" s="13">
        <v>65</v>
      </c>
      <c r="H2367" s="13"/>
      <c r="I2367" s="13"/>
      <c r="J2367" s="29" t="s">
        <v>1277</v>
      </c>
      <c r="K2367" s="29" t="s">
        <v>752</v>
      </c>
      <c r="L2367" s="29"/>
      <c r="M2367" s="68">
        <v>1</v>
      </c>
      <c r="N2367" s="68" t="s">
        <v>726</v>
      </c>
    </row>
    <row r="2368" spans="1:14" ht="42.75" x14ac:dyDescent="0.2">
      <c r="A2368" s="11" t="s">
        <v>592</v>
      </c>
      <c r="B2368" s="12" t="s">
        <v>1432</v>
      </c>
      <c r="C2368" s="13" t="s">
        <v>3757</v>
      </c>
      <c r="D2368" s="13" t="s">
        <v>3754</v>
      </c>
      <c r="E2368" s="29" t="s">
        <v>681</v>
      </c>
      <c r="F2368" s="13" t="s">
        <v>594</v>
      </c>
      <c r="G2368" s="26">
        <v>39</v>
      </c>
      <c r="H2368" s="26"/>
      <c r="I2368" s="26"/>
      <c r="J2368" s="29" t="s">
        <v>2016</v>
      </c>
      <c r="K2368" s="72" t="s">
        <v>2320</v>
      </c>
      <c r="L2368" s="29" t="s">
        <v>382</v>
      </c>
      <c r="M2368" s="68">
        <v>1</v>
      </c>
      <c r="N2368" s="68" t="s">
        <v>1129</v>
      </c>
    </row>
    <row r="2369" spans="1:14" ht="14.25" x14ac:dyDescent="0.2">
      <c r="A2369" s="11" t="s">
        <v>4450</v>
      </c>
      <c r="B2369" s="12" t="s">
        <v>810</v>
      </c>
      <c r="C2369" s="16" t="s">
        <v>3761</v>
      </c>
      <c r="D2369" s="13" t="s">
        <v>3768</v>
      </c>
      <c r="E2369" s="72" t="s">
        <v>5327</v>
      </c>
      <c r="F2369" s="13" t="s">
        <v>811</v>
      </c>
      <c r="G2369" s="26">
        <v>38</v>
      </c>
      <c r="H2369" s="26"/>
      <c r="I2369" s="26"/>
      <c r="J2369" s="29" t="s">
        <v>812</v>
      </c>
      <c r="K2369" s="72" t="s">
        <v>5027</v>
      </c>
      <c r="L2369" s="29"/>
      <c r="M2369" s="68">
        <v>1</v>
      </c>
      <c r="N2369" s="68" t="s">
        <v>795</v>
      </c>
    </row>
    <row r="2370" spans="1:14" ht="14.25" x14ac:dyDescent="0.2">
      <c r="A2370" s="11" t="s">
        <v>4450</v>
      </c>
      <c r="B2370" s="12" t="s">
        <v>4451</v>
      </c>
      <c r="C2370" s="13" t="s">
        <v>3768</v>
      </c>
      <c r="D2370" s="13" t="s">
        <v>3754</v>
      </c>
      <c r="E2370" s="29" t="s">
        <v>4452</v>
      </c>
      <c r="F2370" s="13" t="s">
        <v>4453</v>
      </c>
      <c r="G2370" s="26">
        <v>76</v>
      </c>
      <c r="H2370" s="26"/>
      <c r="I2370" s="26"/>
      <c r="J2370" s="29" t="s">
        <v>8482</v>
      </c>
      <c r="K2370" s="29" t="s">
        <v>206</v>
      </c>
      <c r="L2370" s="29"/>
      <c r="M2370" s="68">
        <v>1</v>
      </c>
      <c r="N2370" s="68" t="s">
        <v>4362</v>
      </c>
    </row>
    <row r="2371" spans="1:14" ht="14.25" x14ac:dyDescent="0.2">
      <c r="A2371" s="11" t="s">
        <v>4127</v>
      </c>
      <c r="B2371" s="12" t="s">
        <v>6883</v>
      </c>
      <c r="C2371" s="13" t="s">
        <v>3757</v>
      </c>
      <c r="D2371" s="13" t="s">
        <v>3754</v>
      </c>
      <c r="E2371" s="29" t="s">
        <v>8101</v>
      </c>
      <c r="F2371" s="13" t="s">
        <v>1541</v>
      </c>
      <c r="G2371" s="26">
        <v>72</v>
      </c>
      <c r="H2371" s="26">
        <v>4</v>
      </c>
      <c r="I2371" s="26"/>
      <c r="J2371" s="29" t="s">
        <v>1266</v>
      </c>
      <c r="K2371" s="29" t="s">
        <v>4128</v>
      </c>
      <c r="L2371" s="61"/>
      <c r="M2371" s="68">
        <v>1</v>
      </c>
      <c r="N2371" s="68" t="s">
        <v>4108</v>
      </c>
    </row>
    <row r="2372" spans="1:14" ht="14.25" x14ac:dyDescent="0.2">
      <c r="A2372" s="9" t="s">
        <v>4127</v>
      </c>
      <c r="B2372" s="5" t="s">
        <v>6878</v>
      </c>
      <c r="C2372" s="10" t="s">
        <v>3757</v>
      </c>
      <c r="D2372" s="13" t="s">
        <v>3754</v>
      </c>
      <c r="E2372" s="55" t="s">
        <v>4129</v>
      </c>
      <c r="F2372" s="10" t="s">
        <v>1541</v>
      </c>
      <c r="G2372" s="8">
        <v>66</v>
      </c>
      <c r="H2372" s="8"/>
      <c r="I2372" s="8"/>
      <c r="J2372" s="55" t="s">
        <v>1259</v>
      </c>
      <c r="K2372" s="55" t="s">
        <v>4128</v>
      </c>
      <c r="L2372" s="61"/>
      <c r="M2372" s="68">
        <v>1</v>
      </c>
      <c r="N2372" s="68" t="s">
        <v>4108</v>
      </c>
    </row>
    <row r="2373" spans="1:14" ht="14.25" x14ac:dyDescent="0.2">
      <c r="A2373" s="9" t="s">
        <v>4127</v>
      </c>
      <c r="B2373" s="5" t="s">
        <v>1886</v>
      </c>
      <c r="C2373" s="10" t="s">
        <v>3754</v>
      </c>
      <c r="D2373" s="13" t="s">
        <v>735</v>
      </c>
      <c r="E2373" s="55" t="s">
        <v>1464</v>
      </c>
      <c r="F2373" s="10"/>
      <c r="G2373" s="21">
        <v>8</v>
      </c>
      <c r="H2373" s="21"/>
      <c r="I2373" s="21"/>
      <c r="J2373" s="55"/>
      <c r="K2373" s="55" t="s">
        <v>781</v>
      </c>
      <c r="L2373" s="61"/>
      <c r="M2373" s="68">
        <v>1</v>
      </c>
      <c r="N2373" s="68" t="s">
        <v>726</v>
      </c>
    </row>
    <row r="2374" spans="1:14" ht="14.25" x14ac:dyDescent="0.2">
      <c r="A2374" s="11" t="s">
        <v>4127</v>
      </c>
      <c r="B2374" s="12" t="s">
        <v>3749</v>
      </c>
      <c r="C2374" s="13" t="s">
        <v>3754</v>
      </c>
      <c r="D2374" s="13" t="s">
        <v>3761</v>
      </c>
      <c r="E2374" s="61" t="s">
        <v>779</v>
      </c>
      <c r="F2374" s="13" t="s">
        <v>5578</v>
      </c>
      <c r="G2374" s="21">
        <v>46</v>
      </c>
      <c r="H2374" s="21"/>
      <c r="I2374" s="21"/>
      <c r="J2374" s="29" t="s">
        <v>1264</v>
      </c>
      <c r="K2374" s="55" t="s">
        <v>780</v>
      </c>
      <c r="L2374" s="29"/>
      <c r="M2374" s="68">
        <v>1</v>
      </c>
      <c r="N2374" s="68" t="s">
        <v>726</v>
      </c>
    </row>
    <row r="2375" spans="1:14" ht="14.25" x14ac:dyDescent="0.2">
      <c r="A2375" s="14" t="s">
        <v>5806</v>
      </c>
      <c r="B2375" s="15" t="s">
        <v>5951</v>
      </c>
      <c r="C2375" s="16" t="s">
        <v>3754</v>
      </c>
      <c r="D2375" s="16" t="s">
        <v>3754</v>
      </c>
      <c r="E2375" s="68" t="s">
        <v>6906</v>
      </c>
      <c r="F2375" s="16" t="s">
        <v>2387</v>
      </c>
      <c r="G2375" s="8">
        <v>14</v>
      </c>
      <c r="H2375" s="8"/>
      <c r="I2375" s="8"/>
      <c r="J2375" s="27" t="s">
        <v>4745</v>
      </c>
      <c r="K2375" s="112" t="s">
        <v>5807</v>
      </c>
      <c r="L2375" s="95"/>
      <c r="M2375" s="68">
        <v>1</v>
      </c>
      <c r="N2375" s="68" t="s">
        <v>878</v>
      </c>
    </row>
    <row r="2376" spans="1:14" ht="14.25" x14ac:dyDescent="0.2">
      <c r="A2376" s="11" t="s">
        <v>4392</v>
      </c>
      <c r="B2376" s="12" t="s">
        <v>4393</v>
      </c>
      <c r="C2376" s="13" t="s">
        <v>1563</v>
      </c>
      <c r="D2376" s="13" t="s">
        <v>1563</v>
      </c>
      <c r="E2376" s="61"/>
      <c r="F2376" s="13" t="s">
        <v>1563</v>
      </c>
      <c r="G2376" s="8"/>
      <c r="H2376" s="8">
        <v>5</v>
      </c>
      <c r="I2376" s="8"/>
      <c r="J2376" s="29" t="s">
        <v>2595</v>
      </c>
      <c r="K2376" s="55" t="s">
        <v>4788</v>
      </c>
      <c r="L2376" s="29"/>
      <c r="M2376" s="68">
        <v>1</v>
      </c>
      <c r="N2376" s="68" t="s">
        <v>8451</v>
      </c>
    </row>
    <row r="2377" spans="1:14" ht="14.25" x14ac:dyDescent="0.2">
      <c r="A2377" s="11" t="s">
        <v>4099</v>
      </c>
      <c r="B2377" s="12" t="s">
        <v>3372</v>
      </c>
      <c r="C2377" s="16" t="s">
        <v>3761</v>
      </c>
      <c r="D2377" s="13" t="s">
        <v>3754</v>
      </c>
      <c r="E2377" s="55" t="s">
        <v>4359</v>
      </c>
      <c r="F2377" s="13" t="s">
        <v>4360</v>
      </c>
      <c r="G2377" s="8">
        <v>32</v>
      </c>
      <c r="H2377" s="8">
        <v>3</v>
      </c>
      <c r="I2377" s="8">
        <v>11</v>
      </c>
      <c r="J2377" s="29" t="s">
        <v>4496</v>
      </c>
      <c r="K2377" s="55" t="s">
        <v>4361</v>
      </c>
      <c r="L2377" s="95"/>
      <c r="M2377" s="68">
        <v>1</v>
      </c>
      <c r="N2377" s="68" t="s">
        <v>4362</v>
      </c>
    </row>
    <row r="2378" spans="1:14" ht="14.25" x14ac:dyDescent="0.2">
      <c r="A2378" s="11" t="s">
        <v>4099</v>
      </c>
      <c r="B2378" s="12" t="s">
        <v>5891</v>
      </c>
      <c r="C2378" s="16" t="s">
        <v>3761</v>
      </c>
      <c r="D2378" s="31"/>
      <c r="E2378" s="55" t="s">
        <v>4422</v>
      </c>
      <c r="F2378" s="13" t="s">
        <v>4423</v>
      </c>
      <c r="G2378" s="8"/>
      <c r="H2378" s="8">
        <v>11</v>
      </c>
      <c r="I2378" s="8">
        <v>6</v>
      </c>
      <c r="J2378" s="29" t="s">
        <v>2624</v>
      </c>
      <c r="K2378" s="55" t="s">
        <v>4424</v>
      </c>
      <c r="L2378" s="29"/>
      <c r="M2378" s="68">
        <v>1</v>
      </c>
      <c r="N2378" s="68" t="s">
        <v>8451</v>
      </c>
    </row>
    <row r="2379" spans="1:14" ht="14.25" x14ac:dyDescent="0.2">
      <c r="A2379" s="11" t="s">
        <v>4099</v>
      </c>
      <c r="B2379" s="12" t="s">
        <v>6878</v>
      </c>
      <c r="C2379" s="13" t="s">
        <v>3757</v>
      </c>
      <c r="D2379" s="13" t="s">
        <v>3754</v>
      </c>
      <c r="E2379" s="61" t="s">
        <v>8581</v>
      </c>
      <c r="F2379" s="13" t="s">
        <v>4347</v>
      </c>
      <c r="G2379" s="8">
        <v>28</v>
      </c>
      <c r="H2379" s="8"/>
      <c r="I2379" s="8"/>
      <c r="J2379" s="29" t="s">
        <v>1439</v>
      </c>
      <c r="K2379" s="55"/>
      <c r="L2379" s="56"/>
      <c r="M2379" s="68">
        <v>1</v>
      </c>
      <c r="N2379" s="68" t="s">
        <v>2717</v>
      </c>
    </row>
    <row r="2380" spans="1:14" ht="14.25" x14ac:dyDescent="0.2">
      <c r="A2380" s="14" t="s">
        <v>4099</v>
      </c>
      <c r="B2380" s="15" t="s">
        <v>6878</v>
      </c>
      <c r="C2380" s="16" t="s">
        <v>3757</v>
      </c>
      <c r="D2380" s="13" t="s">
        <v>3754</v>
      </c>
      <c r="E2380" s="46" t="s">
        <v>4100</v>
      </c>
      <c r="F2380" s="16" t="s">
        <v>4101</v>
      </c>
      <c r="G2380" s="8"/>
      <c r="H2380" s="8">
        <v>28</v>
      </c>
      <c r="I2380" s="8"/>
      <c r="J2380" s="27" t="s">
        <v>1264</v>
      </c>
      <c r="K2380" s="45" t="s">
        <v>4102</v>
      </c>
      <c r="L2380" s="29"/>
      <c r="M2380" s="68">
        <v>1</v>
      </c>
      <c r="N2380" s="68" t="s">
        <v>8206</v>
      </c>
    </row>
    <row r="2381" spans="1:14" ht="14.25" x14ac:dyDescent="0.2">
      <c r="A2381" s="11" t="s">
        <v>4099</v>
      </c>
      <c r="B2381" s="12" t="s">
        <v>5951</v>
      </c>
      <c r="C2381" s="16" t="s">
        <v>3761</v>
      </c>
      <c r="D2381" s="13" t="s">
        <v>3754</v>
      </c>
      <c r="E2381" s="61" t="s">
        <v>5241</v>
      </c>
      <c r="F2381" s="13" t="s">
        <v>8456</v>
      </c>
      <c r="G2381" s="8"/>
      <c r="H2381" s="8">
        <v>21</v>
      </c>
      <c r="I2381" s="8"/>
      <c r="J2381" s="29" t="s">
        <v>1254</v>
      </c>
      <c r="K2381" s="55" t="s">
        <v>8677</v>
      </c>
      <c r="L2381" s="29"/>
      <c r="M2381" s="68">
        <v>1</v>
      </c>
      <c r="N2381" s="68" t="s">
        <v>8451</v>
      </c>
    </row>
    <row r="2382" spans="1:14" ht="14.25" x14ac:dyDescent="0.2">
      <c r="A2382" s="14" t="s">
        <v>2386</v>
      </c>
      <c r="B2382" s="15" t="s">
        <v>2295</v>
      </c>
      <c r="C2382" s="16" t="s">
        <v>3757</v>
      </c>
      <c r="D2382" s="16" t="s">
        <v>3754</v>
      </c>
      <c r="E2382" s="112" t="s">
        <v>2857</v>
      </c>
      <c r="F2382" s="16" t="s">
        <v>2387</v>
      </c>
      <c r="G2382" s="8">
        <v>40</v>
      </c>
      <c r="H2382" s="8"/>
      <c r="I2382" s="8"/>
      <c r="J2382" s="27" t="s">
        <v>1264</v>
      </c>
      <c r="K2382" s="112" t="s">
        <v>2388</v>
      </c>
      <c r="L2382" s="95"/>
      <c r="M2382" s="68">
        <v>1</v>
      </c>
      <c r="N2382" s="68" t="s">
        <v>878</v>
      </c>
    </row>
    <row r="2383" spans="1:14" ht="14.25" x14ac:dyDescent="0.2">
      <c r="A2383" s="11" t="s">
        <v>508</v>
      </c>
      <c r="B2383" s="12" t="s">
        <v>4701</v>
      </c>
      <c r="C2383" s="13" t="s">
        <v>3757</v>
      </c>
      <c r="D2383" s="13" t="s">
        <v>3754</v>
      </c>
      <c r="E2383" s="61" t="s">
        <v>509</v>
      </c>
      <c r="F2383" s="13" t="s">
        <v>510</v>
      </c>
      <c r="G2383" s="8">
        <v>77</v>
      </c>
      <c r="H2383" s="8"/>
      <c r="I2383" s="8"/>
      <c r="J2383" s="29"/>
      <c r="K2383" s="61" t="s">
        <v>511</v>
      </c>
      <c r="L2383" s="29"/>
      <c r="M2383" s="68">
        <v>1</v>
      </c>
      <c r="N2383" s="68" t="s">
        <v>1129</v>
      </c>
    </row>
    <row r="2384" spans="1:14" ht="15" x14ac:dyDescent="0.2">
      <c r="A2384" s="14" t="s">
        <v>85</v>
      </c>
      <c r="B2384" s="15" t="s">
        <v>3724</v>
      </c>
      <c r="C2384" s="16" t="s">
        <v>3754</v>
      </c>
      <c r="D2384" s="27" t="s">
        <v>3754</v>
      </c>
      <c r="E2384" s="45" t="s">
        <v>2573</v>
      </c>
      <c r="F2384" s="27" t="s">
        <v>2727</v>
      </c>
      <c r="G2384" s="21">
        <v>6</v>
      </c>
      <c r="H2384" s="21"/>
      <c r="I2384" s="21"/>
      <c r="J2384" s="27" t="s">
        <v>1258</v>
      </c>
      <c r="K2384" s="114" t="s">
        <v>2728</v>
      </c>
      <c r="L2384" s="65"/>
      <c r="M2384" s="68">
        <v>1</v>
      </c>
      <c r="N2384" s="68" t="s">
        <v>6124</v>
      </c>
    </row>
    <row r="2385" spans="1:14" ht="15" x14ac:dyDescent="0.2">
      <c r="A2385" s="14" t="s">
        <v>85</v>
      </c>
      <c r="B2385" s="15" t="s">
        <v>5057</v>
      </c>
      <c r="C2385" s="16" t="s">
        <v>86</v>
      </c>
      <c r="D2385" s="27" t="s">
        <v>3754</v>
      </c>
      <c r="E2385" s="46" t="s">
        <v>2411</v>
      </c>
      <c r="F2385" s="27" t="s">
        <v>87</v>
      </c>
      <c r="G2385" s="21">
        <v>37</v>
      </c>
      <c r="H2385" s="21"/>
      <c r="I2385" s="21"/>
      <c r="J2385" s="27" t="s">
        <v>1264</v>
      </c>
      <c r="K2385" s="114" t="s">
        <v>1490</v>
      </c>
      <c r="L2385" s="65"/>
      <c r="M2385" s="68">
        <v>1</v>
      </c>
      <c r="N2385" s="68" t="s">
        <v>6124</v>
      </c>
    </row>
    <row r="2386" spans="1:14" ht="14.25" x14ac:dyDescent="0.2">
      <c r="A2386" s="11" t="s">
        <v>8221</v>
      </c>
      <c r="B2386" s="12" t="s">
        <v>5962</v>
      </c>
      <c r="C2386" s="16" t="s">
        <v>3761</v>
      </c>
      <c r="D2386" s="13" t="s">
        <v>3754</v>
      </c>
      <c r="E2386" s="112" t="s">
        <v>844</v>
      </c>
      <c r="F2386" s="13" t="s">
        <v>845</v>
      </c>
      <c r="G2386" s="8"/>
      <c r="H2386" s="8">
        <v>6</v>
      </c>
      <c r="I2386" s="8"/>
      <c r="J2386" s="29" t="s">
        <v>1258</v>
      </c>
      <c r="K2386" s="112" t="s">
        <v>846</v>
      </c>
      <c r="L2386" s="29"/>
      <c r="M2386" s="68">
        <v>1</v>
      </c>
      <c r="N2386" s="68" t="s">
        <v>795</v>
      </c>
    </row>
    <row r="2387" spans="1:14" ht="14.25" x14ac:dyDescent="0.2">
      <c r="A2387" s="14" t="s">
        <v>8221</v>
      </c>
      <c r="B2387" s="15" t="s">
        <v>7466</v>
      </c>
      <c r="C2387" s="16" t="s">
        <v>3761</v>
      </c>
      <c r="D2387" s="13" t="s">
        <v>3754</v>
      </c>
      <c r="E2387" s="45" t="s">
        <v>1377</v>
      </c>
      <c r="F2387" s="16" t="s">
        <v>1541</v>
      </c>
      <c r="G2387" s="8">
        <v>2</v>
      </c>
      <c r="H2387" s="8">
        <v>16</v>
      </c>
      <c r="I2387" s="8"/>
      <c r="J2387" s="27" t="s">
        <v>4579</v>
      </c>
      <c r="K2387" s="45" t="s">
        <v>8243</v>
      </c>
      <c r="L2387" s="29"/>
      <c r="M2387" s="68">
        <v>1</v>
      </c>
      <c r="N2387" s="68" t="s">
        <v>8206</v>
      </c>
    </row>
    <row r="2388" spans="1:14" ht="14.25" x14ac:dyDescent="0.2">
      <c r="A2388" s="14" t="s">
        <v>8221</v>
      </c>
      <c r="B2388" s="15" t="s">
        <v>6878</v>
      </c>
      <c r="C2388" s="16" t="s">
        <v>3757</v>
      </c>
      <c r="D2388" s="13" t="s">
        <v>3754</v>
      </c>
      <c r="E2388" s="46" t="s">
        <v>4769</v>
      </c>
      <c r="F2388" s="16" t="s">
        <v>1541</v>
      </c>
      <c r="G2388" s="8">
        <v>24</v>
      </c>
      <c r="H2388" s="8"/>
      <c r="I2388" s="8"/>
      <c r="J2388" s="27" t="s">
        <v>1261</v>
      </c>
      <c r="K2388" s="45" t="s">
        <v>8222</v>
      </c>
      <c r="L2388" s="29"/>
      <c r="M2388" s="68">
        <v>1</v>
      </c>
      <c r="N2388" s="68" t="s">
        <v>8206</v>
      </c>
    </row>
    <row r="2389" spans="1:14" ht="14.25" x14ac:dyDescent="0.2">
      <c r="A2389" s="11" t="s">
        <v>4394</v>
      </c>
      <c r="B2389" s="12" t="s">
        <v>5993</v>
      </c>
      <c r="C2389" s="16" t="s">
        <v>3761</v>
      </c>
      <c r="D2389" s="31"/>
      <c r="E2389" s="55" t="s">
        <v>2667</v>
      </c>
      <c r="F2389" s="13" t="s">
        <v>2568</v>
      </c>
      <c r="G2389" s="8">
        <v>2</v>
      </c>
      <c r="H2389" s="8">
        <v>9</v>
      </c>
      <c r="I2389" s="8">
        <v>3</v>
      </c>
      <c r="J2389" s="29" t="s">
        <v>1254</v>
      </c>
      <c r="K2389" s="55" t="s">
        <v>1286</v>
      </c>
      <c r="L2389" s="29"/>
      <c r="M2389" s="68">
        <v>1</v>
      </c>
      <c r="N2389" s="68" t="s">
        <v>8451</v>
      </c>
    </row>
    <row r="2390" spans="1:14" ht="15" x14ac:dyDescent="0.2">
      <c r="A2390" s="11" t="s">
        <v>627</v>
      </c>
      <c r="B2390" s="12" t="s">
        <v>1922</v>
      </c>
      <c r="C2390" s="13" t="s">
        <v>3754</v>
      </c>
      <c r="D2390" s="13" t="s">
        <v>3754</v>
      </c>
      <c r="E2390" s="55"/>
      <c r="F2390" s="13" t="s">
        <v>5858</v>
      </c>
      <c r="G2390" s="21">
        <v>35</v>
      </c>
      <c r="H2390" s="21"/>
      <c r="I2390" s="21"/>
      <c r="J2390" s="29" t="s">
        <v>1272</v>
      </c>
      <c r="K2390" s="55" t="s">
        <v>3442</v>
      </c>
      <c r="L2390" s="58"/>
      <c r="M2390" s="68">
        <v>1</v>
      </c>
      <c r="N2390" s="68" t="s">
        <v>2359</v>
      </c>
    </row>
    <row r="2391" spans="1:14" ht="14.25" x14ac:dyDescent="0.2">
      <c r="A2391" s="14" t="s">
        <v>627</v>
      </c>
      <c r="B2391" s="15" t="s">
        <v>628</v>
      </c>
      <c r="C2391" s="16" t="s">
        <v>3754</v>
      </c>
      <c r="D2391" s="16" t="s">
        <v>3754</v>
      </c>
      <c r="E2391" s="46" t="s">
        <v>629</v>
      </c>
      <c r="F2391" s="16" t="s">
        <v>630</v>
      </c>
      <c r="G2391" s="21">
        <v>34</v>
      </c>
      <c r="H2391" s="21"/>
      <c r="I2391" s="21"/>
      <c r="J2391" s="27" t="s">
        <v>2335</v>
      </c>
      <c r="K2391" s="46" t="s">
        <v>631</v>
      </c>
      <c r="L2391" s="29"/>
      <c r="M2391" s="68">
        <v>1</v>
      </c>
      <c r="N2391" s="68" t="s">
        <v>595</v>
      </c>
    </row>
    <row r="2392" spans="1:14" ht="14.25" x14ac:dyDescent="0.2">
      <c r="A2392" s="14" t="s">
        <v>623</v>
      </c>
      <c r="B2392" s="15" t="s">
        <v>4702</v>
      </c>
      <c r="C2392" s="16" t="s">
        <v>3754</v>
      </c>
      <c r="D2392" s="16" t="s">
        <v>3754</v>
      </c>
      <c r="E2392" s="46" t="s">
        <v>624</v>
      </c>
      <c r="F2392" s="16" t="s">
        <v>625</v>
      </c>
      <c r="G2392" s="21">
        <v>4</v>
      </c>
      <c r="H2392" s="21">
        <v>8</v>
      </c>
      <c r="I2392" s="21"/>
      <c r="J2392" s="27" t="s">
        <v>1258</v>
      </c>
      <c r="K2392" s="45" t="s">
        <v>626</v>
      </c>
      <c r="L2392" s="29"/>
      <c r="M2392" s="68">
        <v>1</v>
      </c>
      <c r="N2392" s="68" t="s">
        <v>595</v>
      </c>
    </row>
    <row r="2393" spans="1:14" ht="15" x14ac:dyDescent="0.2">
      <c r="A2393" s="14" t="s">
        <v>78</v>
      </c>
      <c r="B2393" s="15" t="s">
        <v>3740</v>
      </c>
      <c r="C2393" s="16" t="s">
        <v>3757</v>
      </c>
      <c r="D2393" s="27" t="s">
        <v>3754</v>
      </c>
      <c r="E2393" s="45" t="s">
        <v>2416</v>
      </c>
      <c r="F2393" s="27" t="s">
        <v>79</v>
      </c>
      <c r="G2393" s="21">
        <v>40</v>
      </c>
      <c r="H2393" s="21"/>
      <c r="I2393" s="21"/>
      <c r="J2393" s="27" t="s">
        <v>80</v>
      </c>
      <c r="K2393" s="114" t="s">
        <v>5255</v>
      </c>
      <c r="L2393" s="65"/>
      <c r="M2393" s="68">
        <v>1</v>
      </c>
      <c r="N2393" s="68" t="s">
        <v>6124</v>
      </c>
    </row>
    <row r="2394" spans="1:14" ht="14.25" x14ac:dyDescent="0.2">
      <c r="A2394" s="11" t="s">
        <v>847</v>
      </c>
      <c r="B2394" s="12" t="s">
        <v>1801</v>
      </c>
      <c r="C2394" s="16" t="s">
        <v>3761</v>
      </c>
      <c r="D2394" s="13" t="s">
        <v>3754</v>
      </c>
      <c r="E2394" s="112" t="s">
        <v>881</v>
      </c>
      <c r="F2394" s="13" t="s">
        <v>2541</v>
      </c>
      <c r="G2394" s="8">
        <v>34</v>
      </c>
      <c r="H2394" s="8"/>
      <c r="I2394" s="8"/>
      <c r="J2394" s="29" t="s">
        <v>1264</v>
      </c>
      <c r="K2394" s="112" t="s">
        <v>2895</v>
      </c>
      <c r="L2394" s="29"/>
      <c r="M2394" s="68">
        <v>1</v>
      </c>
      <c r="N2394" s="68" t="s">
        <v>986</v>
      </c>
    </row>
    <row r="2395" spans="1:14" ht="14.25" x14ac:dyDescent="0.2">
      <c r="A2395" s="11" t="s">
        <v>847</v>
      </c>
      <c r="B2395" s="12" t="s">
        <v>848</v>
      </c>
      <c r="C2395" s="16" t="s">
        <v>3761</v>
      </c>
      <c r="D2395" s="13" t="s">
        <v>3754</v>
      </c>
      <c r="E2395" s="68" t="s">
        <v>3870</v>
      </c>
      <c r="F2395" s="13" t="s">
        <v>849</v>
      </c>
      <c r="G2395" s="8"/>
      <c r="H2395" s="8">
        <v>3</v>
      </c>
      <c r="I2395" s="8">
        <v>12</v>
      </c>
      <c r="J2395" s="29"/>
      <c r="K2395" s="112"/>
      <c r="L2395" s="29"/>
      <c r="M2395" s="68">
        <v>1</v>
      </c>
      <c r="N2395" s="68" t="s">
        <v>795</v>
      </c>
    </row>
    <row r="2396" spans="1:14" ht="14.25" x14ac:dyDescent="0.2">
      <c r="A2396" s="11" t="s">
        <v>8436</v>
      </c>
      <c r="B2396" s="12" t="s">
        <v>6866</v>
      </c>
      <c r="C2396" s="16" t="s">
        <v>3761</v>
      </c>
      <c r="D2396" s="13" t="s">
        <v>3754</v>
      </c>
      <c r="E2396" s="55" t="s">
        <v>8437</v>
      </c>
      <c r="F2396" s="13" t="s">
        <v>8438</v>
      </c>
      <c r="G2396" s="8">
        <v>4</v>
      </c>
      <c r="H2396" s="8">
        <v>5</v>
      </c>
      <c r="I2396" s="8"/>
      <c r="J2396" s="29" t="s">
        <v>4579</v>
      </c>
      <c r="K2396" s="55" t="s">
        <v>1951</v>
      </c>
      <c r="L2396" s="56"/>
      <c r="M2396" s="68">
        <v>1</v>
      </c>
      <c r="N2396" s="68" t="s">
        <v>2717</v>
      </c>
    </row>
    <row r="2397" spans="1:14" ht="14.25" x14ac:dyDescent="0.2">
      <c r="A2397" s="11" t="s">
        <v>7859</v>
      </c>
      <c r="B2397" s="12" t="s">
        <v>2127</v>
      </c>
      <c r="C2397" s="13" t="s">
        <v>3757</v>
      </c>
      <c r="D2397" s="13" t="s">
        <v>3754</v>
      </c>
      <c r="E2397" s="68" t="s">
        <v>850</v>
      </c>
      <c r="F2397" s="13" t="s">
        <v>8438</v>
      </c>
      <c r="G2397" s="8">
        <v>33</v>
      </c>
      <c r="H2397" s="8"/>
      <c r="I2397" s="8"/>
      <c r="J2397" s="29" t="s">
        <v>1264</v>
      </c>
      <c r="K2397" s="112" t="s">
        <v>6849</v>
      </c>
      <c r="L2397" s="29"/>
      <c r="M2397" s="68">
        <v>1</v>
      </c>
      <c r="N2397" s="68" t="s">
        <v>795</v>
      </c>
    </row>
    <row r="2398" spans="1:14" ht="14.25" x14ac:dyDescent="0.2">
      <c r="A2398" s="11" t="s">
        <v>7859</v>
      </c>
      <c r="B2398" s="12" t="s">
        <v>2295</v>
      </c>
      <c r="C2398" s="16" t="s">
        <v>3761</v>
      </c>
      <c r="D2398" s="13" t="s">
        <v>3754</v>
      </c>
      <c r="E2398" s="112" t="s">
        <v>823</v>
      </c>
      <c r="F2398" s="13" t="s">
        <v>824</v>
      </c>
      <c r="G2398" s="8">
        <v>2</v>
      </c>
      <c r="H2398" s="8">
        <v>3</v>
      </c>
      <c r="I2398" s="8"/>
      <c r="J2398" s="29" t="s">
        <v>4745</v>
      </c>
      <c r="K2398" s="112" t="s">
        <v>821</v>
      </c>
      <c r="L2398" s="29"/>
      <c r="M2398" s="68">
        <v>1</v>
      </c>
      <c r="N2398" s="68" t="s">
        <v>795</v>
      </c>
    </row>
    <row r="2399" spans="1:14" ht="14.25" x14ac:dyDescent="0.2">
      <c r="A2399" s="11" t="s">
        <v>7859</v>
      </c>
      <c r="B2399" s="12" t="s">
        <v>2295</v>
      </c>
      <c r="C2399" s="16" t="s">
        <v>3761</v>
      </c>
      <c r="D2399" s="13" t="s">
        <v>3754</v>
      </c>
      <c r="E2399" s="68" t="s">
        <v>813</v>
      </c>
      <c r="F2399" s="13" t="s">
        <v>814</v>
      </c>
      <c r="G2399" s="8"/>
      <c r="H2399" s="8">
        <v>14</v>
      </c>
      <c r="I2399" s="8"/>
      <c r="J2399" s="29" t="s">
        <v>4829</v>
      </c>
      <c r="K2399" s="112" t="s">
        <v>5306</v>
      </c>
      <c r="L2399" s="29"/>
      <c r="M2399" s="68">
        <v>1</v>
      </c>
      <c r="N2399" s="68" t="s">
        <v>795</v>
      </c>
    </row>
    <row r="2400" spans="1:14" ht="14.25" x14ac:dyDescent="0.2">
      <c r="A2400" s="14" t="s">
        <v>7859</v>
      </c>
      <c r="B2400" s="15" t="s">
        <v>3733</v>
      </c>
      <c r="C2400" s="16" t="s">
        <v>3754</v>
      </c>
      <c r="D2400" s="16" t="s">
        <v>3754</v>
      </c>
      <c r="E2400" s="46" t="s">
        <v>7860</v>
      </c>
      <c r="F2400" s="16" t="s">
        <v>7861</v>
      </c>
      <c r="G2400" s="21">
        <v>2</v>
      </c>
      <c r="H2400" s="21">
        <v>2</v>
      </c>
      <c r="I2400" s="21"/>
      <c r="J2400" s="27" t="s">
        <v>4739</v>
      </c>
      <c r="K2400" s="45" t="s">
        <v>2294</v>
      </c>
      <c r="L2400" s="29"/>
      <c r="M2400" s="68">
        <v>1</v>
      </c>
      <c r="N2400" s="68" t="s">
        <v>595</v>
      </c>
    </row>
    <row r="2401" spans="1:14" ht="14.25" x14ac:dyDescent="0.2">
      <c r="A2401" s="14" t="s">
        <v>8214</v>
      </c>
      <c r="B2401" s="15" t="s">
        <v>6940</v>
      </c>
      <c r="C2401" s="16" t="s">
        <v>3761</v>
      </c>
      <c r="D2401" s="28"/>
      <c r="E2401" s="46" t="s">
        <v>8215</v>
      </c>
      <c r="F2401" s="16" t="s">
        <v>1541</v>
      </c>
      <c r="G2401" s="8"/>
      <c r="H2401" s="8">
        <v>15</v>
      </c>
      <c r="I2401" s="8"/>
      <c r="J2401" s="27" t="s">
        <v>4790</v>
      </c>
      <c r="K2401" s="45" t="s">
        <v>8216</v>
      </c>
      <c r="L2401" s="29"/>
      <c r="M2401" s="68">
        <v>1</v>
      </c>
      <c r="N2401" s="68" t="s">
        <v>8206</v>
      </c>
    </row>
    <row r="2402" spans="1:14" ht="14.25" x14ac:dyDescent="0.2">
      <c r="A2402" s="14" t="s">
        <v>8214</v>
      </c>
      <c r="B2402" s="15" t="s">
        <v>5967</v>
      </c>
      <c r="C2402" s="16" t="s">
        <v>3761</v>
      </c>
      <c r="D2402" s="13" t="s">
        <v>3754</v>
      </c>
      <c r="E2402" s="46" t="s">
        <v>4088</v>
      </c>
      <c r="F2402" s="16"/>
      <c r="G2402" s="8"/>
      <c r="H2402" s="8">
        <v>3</v>
      </c>
      <c r="I2402" s="8">
        <v>15</v>
      </c>
      <c r="J2402" s="27" t="s">
        <v>4579</v>
      </c>
      <c r="K2402" s="45" t="s">
        <v>4089</v>
      </c>
      <c r="L2402" s="29"/>
      <c r="M2402" s="68">
        <v>1</v>
      </c>
      <c r="N2402" s="68" t="s">
        <v>8206</v>
      </c>
    </row>
    <row r="2403" spans="1:14" ht="14.25" x14ac:dyDescent="0.2">
      <c r="A2403" s="14" t="s">
        <v>8214</v>
      </c>
      <c r="B2403" s="15" t="s">
        <v>7466</v>
      </c>
      <c r="C2403" s="16" t="s">
        <v>3761</v>
      </c>
      <c r="D2403" s="13" t="s">
        <v>3754</v>
      </c>
      <c r="E2403" s="46" t="s">
        <v>1805</v>
      </c>
      <c r="F2403" s="16" t="s">
        <v>4082</v>
      </c>
      <c r="G2403" s="8"/>
      <c r="H2403" s="8">
        <v>5</v>
      </c>
      <c r="I2403" s="8">
        <v>6</v>
      </c>
      <c r="J2403" s="27" t="s">
        <v>4083</v>
      </c>
      <c r="K2403" s="45" t="s">
        <v>4084</v>
      </c>
      <c r="L2403" s="29"/>
      <c r="M2403" s="68">
        <v>1</v>
      </c>
      <c r="N2403" s="68" t="s">
        <v>8206</v>
      </c>
    </row>
    <row r="2404" spans="1:14" ht="14.25" x14ac:dyDescent="0.2">
      <c r="A2404" s="11" t="s">
        <v>8214</v>
      </c>
      <c r="B2404" s="12" t="s">
        <v>5977</v>
      </c>
      <c r="C2404" s="13" t="s">
        <v>3757</v>
      </c>
      <c r="D2404" s="13" t="s">
        <v>3754</v>
      </c>
      <c r="E2404" s="112" t="s">
        <v>1339</v>
      </c>
      <c r="F2404" s="13" t="s">
        <v>4526</v>
      </c>
      <c r="G2404" s="8">
        <v>80</v>
      </c>
      <c r="H2404" s="8"/>
      <c r="I2404" s="8"/>
      <c r="J2404" s="29" t="s">
        <v>1271</v>
      </c>
      <c r="K2404" s="112" t="s">
        <v>1302</v>
      </c>
      <c r="L2404" s="29"/>
      <c r="M2404" s="68">
        <v>1</v>
      </c>
      <c r="N2404" s="68" t="s">
        <v>795</v>
      </c>
    </row>
    <row r="2405" spans="1:14" ht="14.25" x14ac:dyDescent="0.2">
      <c r="A2405" s="11" t="s">
        <v>8214</v>
      </c>
      <c r="B2405" s="12" t="s">
        <v>6138</v>
      </c>
      <c r="C2405" s="16" t="s">
        <v>3761</v>
      </c>
      <c r="D2405" s="13" t="s">
        <v>3754</v>
      </c>
      <c r="E2405" s="112" t="s">
        <v>6651</v>
      </c>
      <c r="F2405" s="13" t="s">
        <v>6139</v>
      </c>
      <c r="G2405" s="8">
        <v>5</v>
      </c>
      <c r="H2405" s="8"/>
      <c r="I2405" s="8"/>
      <c r="J2405" s="29" t="s">
        <v>1258</v>
      </c>
      <c r="K2405" s="112" t="s">
        <v>3410</v>
      </c>
      <c r="L2405" s="29"/>
      <c r="M2405" s="68">
        <v>1</v>
      </c>
      <c r="N2405" s="68" t="s">
        <v>986</v>
      </c>
    </row>
    <row r="2406" spans="1:14" ht="28.5" x14ac:dyDescent="0.2">
      <c r="A2406" s="11" t="s">
        <v>8214</v>
      </c>
      <c r="B2406" s="12" t="s">
        <v>815</v>
      </c>
      <c r="C2406" s="16" t="s">
        <v>3761</v>
      </c>
      <c r="D2406" s="13" t="s">
        <v>3754</v>
      </c>
      <c r="E2406" s="68" t="s">
        <v>816</v>
      </c>
      <c r="F2406" s="13" t="s">
        <v>817</v>
      </c>
      <c r="G2406" s="8">
        <v>25</v>
      </c>
      <c r="H2406" s="8"/>
      <c r="I2406" s="8"/>
      <c r="J2406" s="29" t="s">
        <v>818</v>
      </c>
      <c r="K2406" s="112" t="s">
        <v>6820</v>
      </c>
      <c r="L2406" s="29"/>
      <c r="M2406" s="68">
        <v>1</v>
      </c>
      <c r="N2406" s="68" t="s">
        <v>795</v>
      </c>
    </row>
    <row r="2407" spans="1:14" ht="14.25" x14ac:dyDescent="0.2">
      <c r="A2407" s="11" t="s">
        <v>8214</v>
      </c>
      <c r="B2407" s="12" t="s">
        <v>2644</v>
      </c>
      <c r="C2407" s="13" t="s">
        <v>3757</v>
      </c>
      <c r="D2407" s="13" t="s">
        <v>3754</v>
      </c>
      <c r="E2407" s="55" t="s">
        <v>4525</v>
      </c>
      <c r="F2407" s="13" t="s">
        <v>4526</v>
      </c>
      <c r="G2407" s="8">
        <v>78</v>
      </c>
      <c r="H2407" s="8"/>
      <c r="I2407" s="8"/>
      <c r="J2407" s="29" t="s">
        <v>1271</v>
      </c>
      <c r="K2407" s="55" t="s">
        <v>4527</v>
      </c>
      <c r="L2407" s="29"/>
      <c r="M2407" s="68">
        <v>1</v>
      </c>
      <c r="N2407" s="68" t="s">
        <v>4362</v>
      </c>
    </row>
    <row r="2408" spans="1:14" ht="14.25" x14ac:dyDescent="0.2">
      <c r="A2408" s="11" t="s">
        <v>8214</v>
      </c>
      <c r="B2408" s="12" t="s">
        <v>2496</v>
      </c>
      <c r="C2408" s="16" t="s">
        <v>3761</v>
      </c>
      <c r="D2408" s="13" t="s">
        <v>3754</v>
      </c>
      <c r="E2408" s="55" t="s">
        <v>8475</v>
      </c>
      <c r="F2408" s="13" t="s">
        <v>8476</v>
      </c>
      <c r="G2408" s="8">
        <v>3</v>
      </c>
      <c r="H2408" s="8">
        <v>4</v>
      </c>
      <c r="I2408" s="8"/>
      <c r="J2408" s="29" t="s">
        <v>1254</v>
      </c>
      <c r="K2408" s="55" t="s">
        <v>8477</v>
      </c>
      <c r="L2408" s="29"/>
      <c r="M2408" s="68">
        <v>1</v>
      </c>
      <c r="N2408" s="68" t="s">
        <v>8451</v>
      </c>
    </row>
    <row r="2409" spans="1:14" ht="14.25" x14ac:dyDescent="0.2">
      <c r="A2409" s="11" t="s">
        <v>8214</v>
      </c>
      <c r="B2409" s="12" t="s">
        <v>3724</v>
      </c>
      <c r="C2409" s="13" t="s">
        <v>3754</v>
      </c>
      <c r="D2409" s="13" t="s">
        <v>3754</v>
      </c>
      <c r="E2409" s="55" t="s">
        <v>6022</v>
      </c>
      <c r="F2409" s="13" t="s">
        <v>565</v>
      </c>
      <c r="G2409" s="8"/>
      <c r="H2409" s="8">
        <v>7</v>
      </c>
      <c r="I2409" s="8">
        <v>15</v>
      </c>
      <c r="J2409" s="29"/>
      <c r="K2409" s="55" t="s">
        <v>566</v>
      </c>
      <c r="L2409" s="29"/>
      <c r="M2409" s="68">
        <v>1</v>
      </c>
      <c r="N2409" s="68" t="s">
        <v>1129</v>
      </c>
    </row>
    <row r="2410" spans="1:14" s="3" customFormat="1" ht="14.25" x14ac:dyDescent="0.2">
      <c r="A2410" s="11" t="s">
        <v>8214</v>
      </c>
      <c r="B2410" s="12" t="s">
        <v>8660</v>
      </c>
      <c r="C2410" s="13" t="s">
        <v>3754</v>
      </c>
      <c r="D2410" s="13" t="s">
        <v>3761</v>
      </c>
      <c r="E2410" s="29" t="s">
        <v>741</v>
      </c>
      <c r="F2410" s="13" t="s">
        <v>742</v>
      </c>
      <c r="G2410" s="21">
        <v>26</v>
      </c>
      <c r="H2410" s="21"/>
      <c r="I2410" s="21"/>
      <c r="J2410" s="29" t="s">
        <v>1264</v>
      </c>
      <c r="K2410" s="61" t="s">
        <v>743</v>
      </c>
      <c r="L2410" s="29"/>
      <c r="M2410" s="68">
        <v>1</v>
      </c>
      <c r="N2410" s="68" t="s">
        <v>726</v>
      </c>
    </row>
    <row r="2411" spans="1:14" s="3" customFormat="1" ht="14.25" x14ac:dyDescent="0.2">
      <c r="A2411" s="11" t="s">
        <v>8214</v>
      </c>
      <c r="B2411" s="12" t="s">
        <v>5073</v>
      </c>
      <c r="C2411" s="13" t="s">
        <v>3754</v>
      </c>
      <c r="D2411" s="13" t="s">
        <v>3754</v>
      </c>
      <c r="E2411" s="29" t="s">
        <v>1044</v>
      </c>
      <c r="F2411" s="13" t="s">
        <v>6165</v>
      </c>
      <c r="G2411" s="21">
        <v>27</v>
      </c>
      <c r="H2411" s="21"/>
      <c r="I2411" s="21"/>
      <c r="J2411" s="29" t="s">
        <v>1267</v>
      </c>
      <c r="K2411" s="29" t="s">
        <v>6166</v>
      </c>
      <c r="L2411" s="29"/>
      <c r="M2411" s="68">
        <v>1</v>
      </c>
      <c r="N2411" s="68" t="s">
        <v>2755</v>
      </c>
    </row>
    <row r="2412" spans="1:14" s="3" customFormat="1" ht="14.25" x14ac:dyDescent="0.2">
      <c r="A2412" s="11" t="s">
        <v>8214</v>
      </c>
      <c r="B2412" s="12" t="s">
        <v>3723</v>
      </c>
      <c r="C2412" s="13" t="s">
        <v>3757</v>
      </c>
      <c r="D2412" s="13" t="s">
        <v>3765</v>
      </c>
      <c r="E2412" s="29" t="s">
        <v>4945</v>
      </c>
      <c r="F2412" s="13" t="s">
        <v>744</v>
      </c>
      <c r="G2412" s="21">
        <v>74</v>
      </c>
      <c r="H2412" s="21"/>
      <c r="I2412" s="21"/>
      <c r="J2412" s="29" t="s">
        <v>4732</v>
      </c>
      <c r="K2412" s="29" t="s">
        <v>743</v>
      </c>
      <c r="L2412" s="29"/>
      <c r="M2412" s="68">
        <v>1</v>
      </c>
      <c r="N2412" s="68" t="s">
        <v>726</v>
      </c>
    </row>
    <row r="2413" spans="1:14" s="3" customFormat="1" ht="14.25" x14ac:dyDescent="0.2">
      <c r="A2413" s="11" t="s">
        <v>8214</v>
      </c>
      <c r="B2413" s="12" t="s">
        <v>5057</v>
      </c>
      <c r="C2413" s="13" t="s">
        <v>3754</v>
      </c>
      <c r="D2413" s="13" t="s">
        <v>3754</v>
      </c>
      <c r="E2413" s="29" t="s">
        <v>5953</v>
      </c>
      <c r="F2413" s="13" t="s">
        <v>1112</v>
      </c>
      <c r="G2413" s="8"/>
      <c r="H2413" s="8">
        <v>9</v>
      </c>
      <c r="I2413" s="8"/>
      <c r="J2413" s="29" t="s">
        <v>5234</v>
      </c>
      <c r="K2413" s="29" t="s">
        <v>4591</v>
      </c>
      <c r="L2413" s="29"/>
      <c r="M2413" s="68">
        <v>1</v>
      </c>
      <c r="N2413" s="68" t="s">
        <v>4363</v>
      </c>
    </row>
    <row r="2414" spans="1:14" s="3" customFormat="1" ht="15" x14ac:dyDescent="0.2">
      <c r="A2414" s="14" t="s">
        <v>8214</v>
      </c>
      <c r="B2414" s="15"/>
      <c r="C2414" s="16" t="s">
        <v>3754</v>
      </c>
      <c r="D2414" s="27" t="s">
        <v>3754</v>
      </c>
      <c r="E2414" s="27" t="s">
        <v>90</v>
      </c>
      <c r="F2414" s="27" t="s">
        <v>565</v>
      </c>
      <c r="G2414" s="21"/>
      <c r="H2414" s="21">
        <v>3</v>
      </c>
      <c r="I2414" s="21"/>
      <c r="J2414" s="45" t="s">
        <v>1277</v>
      </c>
      <c r="K2414" s="96" t="s">
        <v>2126</v>
      </c>
      <c r="L2414" s="65"/>
      <c r="M2414" s="68">
        <v>1</v>
      </c>
      <c r="N2414" s="68" t="s">
        <v>6124</v>
      </c>
    </row>
    <row r="2415" spans="1:14" s="3" customFormat="1" ht="14.25" x14ac:dyDescent="0.2">
      <c r="A2415" s="30" t="s">
        <v>2778</v>
      </c>
      <c r="B2415" s="5" t="s">
        <v>5435</v>
      </c>
      <c r="C2415" s="21" t="s">
        <v>3754</v>
      </c>
      <c r="D2415" s="13" t="s">
        <v>3754</v>
      </c>
      <c r="E2415" s="55" t="s">
        <v>2583</v>
      </c>
      <c r="F2415" s="21" t="s">
        <v>2779</v>
      </c>
      <c r="G2415" s="21">
        <v>24</v>
      </c>
      <c r="H2415" s="21"/>
      <c r="I2415" s="21"/>
      <c r="J2415" s="55" t="s">
        <v>1264</v>
      </c>
      <c r="K2415" s="55" t="s">
        <v>2780</v>
      </c>
      <c r="L2415" s="61"/>
      <c r="M2415" s="68">
        <v>1</v>
      </c>
      <c r="N2415" s="68" t="s">
        <v>2755</v>
      </c>
    </row>
    <row r="2416" spans="1:14" s="3" customFormat="1" ht="14.25" x14ac:dyDescent="0.2">
      <c r="A2416" s="9" t="s">
        <v>4322</v>
      </c>
      <c r="B2416" s="5" t="s">
        <v>3732</v>
      </c>
      <c r="C2416" s="19" t="s">
        <v>3761</v>
      </c>
      <c r="D2416" s="13" t="s">
        <v>3754</v>
      </c>
      <c r="E2416" s="61" t="s">
        <v>8581</v>
      </c>
      <c r="F2416" s="10" t="s">
        <v>1905</v>
      </c>
      <c r="G2416" s="8"/>
      <c r="H2416" s="8">
        <v>2</v>
      </c>
      <c r="I2416" s="8"/>
      <c r="J2416" s="55" t="s">
        <v>1264</v>
      </c>
      <c r="K2416" s="55" t="s">
        <v>8583</v>
      </c>
      <c r="L2416" s="59"/>
      <c r="M2416" s="68">
        <v>1</v>
      </c>
      <c r="N2416" s="68" t="s">
        <v>2717</v>
      </c>
    </row>
    <row r="2417" spans="1:14" s="3" customFormat="1" ht="14.25" x14ac:dyDescent="0.2">
      <c r="A2417" s="14" t="s">
        <v>2367</v>
      </c>
      <c r="B2417" s="15" t="s">
        <v>4701</v>
      </c>
      <c r="C2417" s="16" t="s">
        <v>3757</v>
      </c>
      <c r="D2417" s="16" t="s">
        <v>3754</v>
      </c>
      <c r="E2417" s="68" t="s">
        <v>4989</v>
      </c>
      <c r="F2417" s="16" t="s">
        <v>2368</v>
      </c>
      <c r="G2417" s="8">
        <v>37</v>
      </c>
      <c r="H2417" s="8"/>
      <c r="I2417" s="8"/>
      <c r="J2417" s="27" t="s">
        <v>1264</v>
      </c>
      <c r="K2417" s="68" t="s">
        <v>6877</v>
      </c>
      <c r="L2417" s="94"/>
      <c r="M2417" s="68">
        <v>1</v>
      </c>
      <c r="N2417" s="68" t="s">
        <v>878</v>
      </c>
    </row>
    <row r="2418" spans="1:14" s="3" customFormat="1" ht="14.25" x14ac:dyDescent="0.2">
      <c r="A2418" s="11" t="s">
        <v>896</v>
      </c>
      <c r="B2418" s="12" t="s">
        <v>3740</v>
      </c>
      <c r="C2418" s="13" t="s">
        <v>3757</v>
      </c>
      <c r="D2418" s="13" t="s">
        <v>3754</v>
      </c>
      <c r="E2418" s="68" t="s">
        <v>3430</v>
      </c>
      <c r="F2418" s="13" t="s">
        <v>897</v>
      </c>
      <c r="G2418" s="8">
        <v>54</v>
      </c>
      <c r="H2418" s="8"/>
      <c r="I2418" s="8"/>
      <c r="J2418" s="29" t="s">
        <v>1276</v>
      </c>
      <c r="K2418" s="112" t="s">
        <v>3430</v>
      </c>
      <c r="L2418" s="61"/>
      <c r="M2418" s="68">
        <v>1</v>
      </c>
      <c r="N2418" s="68" t="s">
        <v>986</v>
      </c>
    </row>
    <row r="2419" spans="1:14" s="3" customFormat="1" ht="15" x14ac:dyDescent="0.2">
      <c r="A2419" s="14" t="s">
        <v>896</v>
      </c>
      <c r="B2419" s="15" t="s">
        <v>5057</v>
      </c>
      <c r="C2419" s="16" t="s">
        <v>3757</v>
      </c>
      <c r="D2419" s="27" t="s">
        <v>3754</v>
      </c>
      <c r="E2419" s="46" t="s">
        <v>2553</v>
      </c>
      <c r="F2419" s="27" t="s">
        <v>71</v>
      </c>
      <c r="G2419" s="21">
        <v>42</v>
      </c>
      <c r="H2419" s="21"/>
      <c r="I2419" s="21"/>
      <c r="J2419" s="27" t="s">
        <v>2335</v>
      </c>
      <c r="K2419" s="114" t="s">
        <v>72</v>
      </c>
      <c r="L2419" s="66"/>
      <c r="M2419" s="68">
        <v>1</v>
      </c>
      <c r="N2419" s="68" t="s">
        <v>6124</v>
      </c>
    </row>
    <row r="2420" spans="1:14" s="3" customFormat="1" ht="14.25" x14ac:dyDescent="0.2">
      <c r="A2420" s="14" t="s">
        <v>608</v>
      </c>
      <c r="B2420" s="15" t="s">
        <v>3734</v>
      </c>
      <c r="C2420" s="16" t="s">
        <v>3757</v>
      </c>
      <c r="D2420" s="16" t="s">
        <v>4931</v>
      </c>
      <c r="E2420" s="45" t="s">
        <v>8822</v>
      </c>
      <c r="F2420" s="16" t="s">
        <v>1563</v>
      </c>
      <c r="G2420" s="21">
        <v>43</v>
      </c>
      <c r="H2420" s="21"/>
      <c r="I2420" s="21"/>
      <c r="J2420" s="27" t="s">
        <v>5955</v>
      </c>
      <c r="K2420" s="45" t="s">
        <v>609</v>
      </c>
      <c r="L2420" s="61"/>
      <c r="M2420" s="68">
        <v>1</v>
      </c>
      <c r="N2420" s="68" t="s">
        <v>595</v>
      </c>
    </row>
    <row r="2421" spans="1:14" s="3" customFormat="1" ht="15" x14ac:dyDescent="0.2">
      <c r="A2421" s="14" t="s">
        <v>835</v>
      </c>
      <c r="B2421" s="15" t="s">
        <v>2732</v>
      </c>
      <c r="C2421" s="16" t="s">
        <v>3754</v>
      </c>
      <c r="D2421" s="27" t="s">
        <v>3754</v>
      </c>
      <c r="E2421" s="45" t="s">
        <v>2577</v>
      </c>
      <c r="F2421" s="27" t="s">
        <v>4423</v>
      </c>
      <c r="G2421" s="21">
        <v>2</v>
      </c>
      <c r="H2421" s="21">
        <v>1</v>
      </c>
      <c r="I2421" s="21">
        <v>9</v>
      </c>
      <c r="J2421" s="27" t="s">
        <v>1258</v>
      </c>
      <c r="K2421" s="114" t="s">
        <v>2733</v>
      </c>
      <c r="L2421" s="66"/>
      <c r="M2421" s="68">
        <v>1</v>
      </c>
      <c r="N2421" s="68" t="s">
        <v>6124</v>
      </c>
    </row>
    <row r="2422" spans="1:14" s="3" customFormat="1" ht="14.25" x14ac:dyDescent="0.2">
      <c r="A2422" s="11" t="s">
        <v>835</v>
      </c>
      <c r="B2422" s="12" t="s">
        <v>3738</v>
      </c>
      <c r="C2422" s="13" t="s">
        <v>3757</v>
      </c>
      <c r="D2422" s="13" t="s">
        <v>3754</v>
      </c>
      <c r="E2422" s="68" t="s">
        <v>836</v>
      </c>
      <c r="F2422" s="13" t="s">
        <v>837</v>
      </c>
      <c r="G2422" s="8">
        <v>56</v>
      </c>
      <c r="H2422" s="8"/>
      <c r="I2422" s="8"/>
      <c r="J2422" s="29" t="s">
        <v>1264</v>
      </c>
      <c r="K2422" s="112" t="s">
        <v>838</v>
      </c>
      <c r="L2422" s="61"/>
      <c r="M2422" s="68">
        <v>1</v>
      </c>
      <c r="N2422" s="68" t="s">
        <v>795</v>
      </c>
    </row>
    <row r="2423" spans="1:14" s="3" customFormat="1" ht="14.25" x14ac:dyDescent="0.2">
      <c r="A2423" s="11" t="s">
        <v>4147</v>
      </c>
      <c r="B2423" s="12" t="s">
        <v>207</v>
      </c>
      <c r="C2423" s="16" t="s">
        <v>3761</v>
      </c>
      <c r="D2423" s="13" t="s">
        <v>3754</v>
      </c>
      <c r="E2423" s="61" t="s">
        <v>4148</v>
      </c>
      <c r="F2423" s="13" t="s">
        <v>4149</v>
      </c>
      <c r="G2423" s="8">
        <v>3</v>
      </c>
      <c r="H2423" s="8">
        <v>16</v>
      </c>
      <c r="I2423" s="8"/>
      <c r="J2423" s="29" t="s">
        <v>1258</v>
      </c>
      <c r="K2423" s="55" t="s">
        <v>4150</v>
      </c>
      <c r="L2423" s="61"/>
      <c r="M2423" s="68">
        <v>1</v>
      </c>
      <c r="N2423" s="68" t="s">
        <v>4108</v>
      </c>
    </row>
    <row r="2424" spans="1:14" s="3" customFormat="1" ht="14.25" x14ac:dyDescent="0.2">
      <c r="A2424" s="11" t="s">
        <v>1108</v>
      </c>
      <c r="B2424" s="12" t="s">
        <v>3732</v>
      </c>
      <c r="C2424" s="13" t="s">
        <v>3757</v>
      </c>
      <c r="D2424" s="13" t="s">
        <v>3754</v>
      </c>
      <c r="E2424" s="55" t="s">
        <v>8750</v>
      </c>
      <c r="F2424" s="13" t="s">
        <v>1109</v>
      </c>
      <c r="G2424" s="8">
        <v>62</v>
      </c>
      <c r="H2424" s="8"/>
      <c r="I2424" s="8"/>
      <c r="J2424" s="29" t="s">
        <v>2108</v>
      </c>
      <c r="K2424" s="55" t="s">
        <v>5953</v>
      </c>
      <c r="L2424" s="61"/>
      <c r="M2424" s="68">
        <v>1</v>
      </c>
      <c r="N2424" s="68" t="s">
        <v>4363</v>
      </c>
    </row>
    <row r="2425" spans="1:14" s="3" customFormat="1" ht="14.25" x14ac:dyDescent="0.2">
      <c r="A2425" s="11" t="s">
        <v>1110</v>
      </c>
      <c r="B2425" s="12" t="s">
        <v>3740</v>
      </c>
      <c r="C2425" s="13" t="s">
        <v>3757</v>
      </c>
      <c r="D2425" s="13" t="s">
        <v>3754</v>
      </c>
      <c r="E2425" s="61" t="s">
        <v>5953</v>
      </c>
      <c r="F2425" s="13" t="s">
        <v>1111</v>
      </c>
      <c r="G2425" s="8">
        <v>32</v>
      </c>
      <c r="H2425" s="8"/>
      <c r="I2425" s="8"/>
      <c r="J2425" s="29" t="s">
        <v>1264</v>
      </c>
      <c r="K2425" s="55" t="s">
        <v>8607</v>
      </c>
      <c r="L2425" s="61"/>
      <c r="M2425" s="68">
        <v>1</v>
      </c>
      <c r="N2425" s="68" t="s">
        <v>4363</v>
      </c>
    </row>
    <row r="2426" spans="1:14" s="3" customFormat="1" ht="14.25" x14ac:dyDescent="0.2">
      <c r="A2426" s="11" t="s">
        <v>8439</v>
      </c>
      <c r="B2426" s="12" t="s">
        <v>1432</v>
      </c>
      <c r="C2426" s="13" t="s">
        <v>3757</v>
      </c>
      <c r="D2426" s="13" t="s">
        <v>3754</v>
      </c>
      <c r="E2426" s="112" t="s">
        <v>769</v>
      </c>
      <c r="F2426" s="13" t="s">
        <v>4843</v>
      </c>
      <c r="G2426" s="8">
        <v>70</v>
      </c>
      <c r="H2426" s="8"/>
      <c r="I2426" s="8"/>
      <c r="J2426" s="29"/>
      <c r="K2426" s="112" t="s">
        <v>870</v>
      </c>
      <c r="L2426" s="61"/>
      <c r="M2426" s="68">
        <v>1</v>
      </c>
      <c r="N2426" s="68" t="s">
        <v>795</v>
      </c>
    </row>
    <row r="2427" spans="1:14" s="3" customFormat="1" ht="14.25" x14ac:dyDescent="0.2">
      <c r="A2427" s="11" t="s">
        <v>8439</v>
      </c>
      <c r="B2427" s="12" t="s">
        <v>1837</v>
      </c>
      <c r="C2427" s="13" t="s">
        <v>3757</v>
      </c>
      <c r="D2427" s="13" t="s">
        <v>3754</v>
      </c>
      <c r="E2427" s="55" t="s">
        <v>4374</v>
      </c>
      <c r="F2427" s="13" t="s">
        <v>4375</v>
      </c>
      <c r="G2427" s="8">
        <v>42</v>
      </c>
      <c r="H2427" s="8"/>
      <c r="I2427" s="8"/>
      <c r="J2427" s="29" t="s">
        <v>1259</v>
      </c>
      <c r="K2427" s="55" t="s">
        <v>1290</v>
      </c>
      <c r="L2427" s="61"/>
      <c r="M2427" s="68">
        <v>1</v>
      </c>
      <c r="N2427" s="68" t="s">
        <v>4363</v>
      </c>
    </row>
    <row r="2428" spans="1:14" s="3" customFormat="1" ht="14.25" x14ac:dyDescent="0.2">
      <c r="A2428" s="14" t="s">
        <v>8439</v>
      </c>
      <c r="B2428" s="15" t="s">
        <v>3727</v>
      </c>
      <c r="C2428" s="16" t="s">
        <v>3757</v>
      </c>
      <c r="D2428" s="16" t="s">
        <v>3754</v>
      </c>
      <c r="E2428" s="112" t="s">
        <v>2360</v>
      </c>
      <c r="F2428" s="16" t="s">
        <v>2361</v>
      </c>
      <c r="G2428" s="8">
        <v>55</v>
      </c>
      <c r="H2428" s="8"/>
      <c r="I2428" s="8"/>
      <c r="J2428" s="27" t="s">
        <v>1272</v>
      </c>
      <c r="K2428" s="112" t="s">
        <v>6865</v>
      </c>
      <c r="L2428" s="94"/>
      <c r="M2428" s="68">
        <v>1</v>
      </c>
      <c r="N2428" s="68" t="s">
        <v>878</v>
      </c>
    </row>
    <row r="2429" spans="1:14" s="3" customFormat="1" ht="14.25" x14ac:dyDescent="0.2">
      <c r="A2429" s="11" t="s">
        <v>8439</v>
      </c>
      <c r="B2429" s="12" t="s">
        <v>4685</v>
      </c>
      <c r="C2429" s="16" t="s">
        <v>3761</v>
      </c>
      <c r="D2429" s="13" t="s">
        <v>3754</v>
      </c>
      <c r="E2429" s="55" t="s">
        <v>8440</v>
      </c>
      <c r="F2429" s="13" t="s">
        <v>171</v>
      </c>
      <c r="G2429" s="8">
        <v>3</v>
      </c>
      <c r="H2429" s="8"/>
      <c r="I2429" s="8"/>
      <c r="J2429" s="29" t="s">
        <v>4579</v>
      </c>
      <c r="K2429" s="55" t="s">
        <v>4798</v>
      </c>
      <c r="L2429" s="59"/>
      <c r="M2429" s="68">
        <v>1</v>
      </c>
      <c r="N2429" s="68" t="s">
        <v>2717</v>
      </c>
    </row>
    <row r="2430" spans="1:14" s="3" customFormat="1" ht="14.25" x14ac:dyDescent="0.2">
      <c r="A2430" s="14" t="s">
        <v>8439</v>
      </c>
      <c r="B2430" s="15" t="s">
        <v>3746</v>
      </c>
      <c r="C2430" s="16" t="s">
        <v>3754</v>
      </c>
      <c r="D2430" s="16" t="s">
        <v>3754</v>
      </c>
      <c r="E2430" s="68" t="s">
        <v>5827</v>
      </c>
      <c r="F2430" s="16" t="s">
        <v>5828</v>
      </c>
      <c r="G2430" s="8">
        <v>20</v>
      </c>
      <c r="H2430" s="8">
        <v>6</v>
      </c>
      <c r="I2430" s="8"/>
      <c r="J2430" s="27" t="s">
        <v>1264</v>
      </c>
      <c r="K2430" s="112" t="s">
        <v>5829</v>
      </c>
      <c r="L2430" s="94"/>
      <c r="M2430" s="68">
        <v>1</v>
      </c>
      <c r="N2430" s="68" t="s">
        <v>878</v>
      </c>
    </row>
    <row r="2431" spans="1:14" s="3" customFormat="1" ht="14.25" x14ac:dyDescent="0.2">
      <c r="A2431" s="11" t="s">
        <v>2765</v>
      </c>
      <c r="B2431" s="12" t="s">
        <v>5073</v>
      </c>
      <c r="C2431" s="13" t="s">
        <v>3754</v>
      </c>
      <c r="D2431" s="13" t="s">
        <v>3754</v>
      </c>
      <c r="E2431" s="61" t="s">
        <v>2766</v>
      </c>
      <c r="F2431" s="13" t="s">
        <v>2767</v>
      </c>
      <c r="G2431" s="21">
        <v>20</v>
      </c>
      <c r="H2431" s="21">
        <v>8</v>
      </c>
      <c r="I2431" s="21"/>
      <c r="J2431" s="29" t="s">
        <v>1264</v>
      </c>
      <c r="K2431" s="55" t="s">
        <v>2589</v>
      </c>
      <c r="L2431" s="61"/>
      <c r="M2431" s="68">
        <v>1</v>
      </c>
      <c r="N2431" s="68" t="s">
        <v>2755</v>
      </c>
    </row>
    <row r="2432" spans="1:14" s="3" customFormat="1" ht="14.25" x14ac:dyDescent="0.2">
      <c r="A2432" s="11" t="s">
        <v>2789</v>
      </c>
      <c r="B2432" s="12" t="s">
        <v>3731</v>
      </c>
      <c r="C2432" s="13" t="s">
        <v>3754</v>
      </c>
      <c r="D2432" s="13" t="s">
        <v>3754</v>
      </c>
      <c r="E2432" s="55" t="s">
        <v>2790</v>
      </c>
      <c r="F2432" s="13" t="s">
        <v>2791</v>
      </c>
      <c r="G2432" s="21"/>
      <c r="H2432" s="21">
        <v>1</v>
      </c>
      <c r="I2432" s="21">
        <v>6</v>
      </c>
      <c r="J2432" s="29" t="s">
        <v>1270</v>
      </c>
      <c r="K2432" s="55" t="s">
        <v>2792</v>
      </c>
      <c r="L2432" s="61"/>
      <c r="M2432" s="68">
        <v>1</v>
      </c>
      <c r="N2432" s="68" t="s">
        <v>2755</v>
      </c>
    </row>
    <row r="2433" spans="1:14" s="3" customFormat="1" ht="14.25" x14ac:dyDescent="0.2">
      <c r="A2433" s="11" t="s">
        <v>908</v>
      </c>
      <c r="B2433" s="12" t="s">
        <v>7826</v>
      </c>
      <c r="C2433" s="16" t="s">
        <v>3761</v>
      </c>
      <c r="D2433" s="13" t="s">
        <v>3754</v>
      </c>
      <c r="E2433" s="68" t="s">
        <v>909</v>
      </c>
      <c r="F2433" s="13" t="s">
        <v>910</v>
      </c>
      <c r="G2433" s="8">
        <v>35</v>
      </c>
      <c r="H2433" s="8"/>
      <c r="I2433" s="8"/>
      <c r="J2433" s="29" t="s">
        <v>1264</v>
      </c>
      <c r="K2433" s="112" t="s">
        <v>911</v>
      </c>
      <c r="L2433" s="61"/>
      <c r="M2433" s="68">
        <v>1</v>
      </c>
      <c r="N2433" s="68" t="s">
        <v>986</v>
      </c>
    </row>
    <row r="2434" spans="1:14" s="3" customFormat="1" ht="14.25" x14ac:dyDescent="0.2">
      <c r="A2434" s="11" t="s">
        <v>5802</v>
      </c>
      <c r="B2434" s="12" t="s">
        <v>4685</v>
      </c>
      <c r="C2434" s="13" t="s">
        <v>3757</v>
      </c>
      <c r="D2434" s="13" t="s">
        <v>989</v>
      </c>
      <c r="E2434" s="112" t="s">
        <v>903</v>
      </c>
      <c r="F2434" s="13" t="s">
        <v>990</v>
      </c>
      <c r="G2434" s="8">
        <v>70</v>
      </c>
      <c r="H2434" s="8"/>
      <c r="I2434" s="8"/>
      <c r="J2434" s="29" t="s">
        <v>2108</v>
      </c>
      <c r="K2434" s="112" t="s">
        <v>904</v>
      </c>
      <c r="L2434" s="61"/>
      <c r="M2434" s="68">
        <v>1</v>
      </c>
      <c r="N2434" s="68" t="s">
        <v>986</v>
      </c>
    </row>
    <row r="2435" spans="1:14" s="3" customFormat="1" ht="14.25" x14ac:dyDescent="0.2">
      <c r="A2435" s="11" t="s">
        <v>8125</v>
      </c>
      <c r="B2435" s="12" t="s">
        <v>5993</v>
      </c>
      <c r="C2435" s="16" t="s">
        <v>3761</v>
      </c>
      <c r="D2435" s="13" t="s">
        <v>3754</v>
      </c>
      <c r="E2435" s="61" t="s">
        <v>2716</v>
      </c>
      <c r="F2435" s="13" t="s">
        <v>2704</v>
      </c>
      <c r="G2435" s="8">
        <v>2</v>
      </c>
      <c r="H2435" s="8">
        <v>2</v>
      </c>
      <c r="I2435" s="8">
        <v>22</v>
      </c>
      <c r="J2435" s="29" t="s">
        <v>1254</v>
      </c>
      <c r="K2435" s="55" t="s">
        <v>2705</v>
      </c>
      <c r="L2435" s="94"/>
      <c r="M2435" s="68">
        <v>1</v>
      </c>
      <c r="N2435" s="68" t="s">
        <v>4108</v>
      </c>
    </row>
    <row r="2436" spans="1:14" s="3" customFormat="1" ht="14.25" x14ac:dyDescent="0.2">
      <c r="A2436" s="11" t="s">
        <v>8125</v>
      </c>
      <c r="B2436" s="12" t="s">
        <v>5993</v>
      </c>
      <c r="C2436" s="13" t="s">
        <v>5268</v>
      </c>
      <c r="D2436" s="13" t="s">
        <v>3754</v>
      </c>
      <c r="E2436" s="61" t="s">
        <v>362</v>
      </c>
      <c r="F2436" s="13" t="s">
        <v>378</v>
      </c>
      <c r="G2436" s="8">
        <v>4</v>
      </c>
      <c r="H2436" s="8">
        <v>1</v>
      </c>
      <c r="I2436" s="8">
        <v>5</v>
      </c>
      <c r="J2436" s="29" t="s">
        <v>1854</v>
      </c>
      <c r="K2436" s="61" t="s">
        <v>5724</v>
      </c>
      <c r="L2436" s="61"/>
      <c r="M2436" s="68">
        <v>1</v>
      </c>
      <c r="N2436" s="68" t="s">
        <v>4108</v>
      </c>
    </row>
    <row r="2437" spans="1:14" s="3" customFormat="1" ht="14.25" x14ac:dyDescent="0.2">
      <c r="A2437" s="14" t="s">
        <v>8125</v>
      </c>
      <c r="B2437" s="15" t="s">
        <v>2277</v>
      </c>
      <c r="C2437" s="16" t="s">
        <v>3754</v>
      </c>
      <c r="D2437" s="28"/>
      <c r="E2437" s="68" t="s">
        <v>4605</v>
      </c>
      <c r="F2437" s="16" t="s">
        <v>4606</v>
      </c>
      <c r="G2437" s="8">
        <v>2</v>
      </c>
      <c r="H2437" s="8">
        <v>11</v>
      </c>
      <c r="I2437" s="8"/>
      <c r="J2437" s="27" t="s">
        <v>4739</v>
      </c>
      <c r="K2437" s="68" t="s">
        <v>4607</v>
      </c>
      <c r="L2437" s="94"/>
      <c r="M2437" s="68">
        <v>1</v>
      </c>
      <c r="N2437" s="68" t="s">
        <v>878</v>
      </c>
    </row>
    <row r="2438" spans="1:14" s="3" customFormat="1" ht="14.25" x14ac:dyDescent="0.2">
      <c r="A2438" s="14" t="s">
        <v>8125</v>
      </c>
      <c r="B2438" s="15" t="s">
        <v>2277</v>
      </c>
      <c r="C2438" s="16" t="s">
        <v>3757</v>
      </c>
      <c r="D2438" s="16" t="s">
        <v>1621</v>
      </c>
      <c r="E2438" s="46" t="s">
        <v>8194</v>
      </c>
      <c r="F2438" s="16" t="s">
        <v>8195</v>
      </c>
      <c r="G2438" s="8">
        <v>54</v>
      </c>
      <c r="H2438" s="8"/>
      <c r="I2438" s="8"/>
      <c r="J2438" s="27" t="s">
        <v>1266</v>
      </c>
      <c r="K2438" s="45" t="s">
        <v>8196</v>
      </c>
      <c r="L2438" s="61"/>
      <c r="M2438" s="68">
        <v>1</v>
      </c>
      <c r="N2438" s="68" t="s">
        <v>491</v>
      </c>
    </row>
    <row r="2439" spans="1:14" s="3" customFormat="1" ht="14.25" x14ac:dyDescent="0.2">
      <c r="A2439" s="11" t="s">
        <v>8125</v>
      </c>
      <c r="B2439" s="12" t="s">
        <v>2277</v>
      </c>
      <c r="C2439" s="16" t="s">
        <v>3761</v>
      </c>
      <c r="D2439" s="13" t="s">
        <v>3754</v>
      </c>
      <c r="E2439" s="61" t="s">
        <v>2706</v>
      </c>
      <c r="F2439" s="13" t="s">
        <v>2707</v>
      </c>
      <c r="G2439" s="8"/>
      <c r="H2439" s="8">
        <v>14</v>
      </c>
      <c r="I2439" s="8"/>
      <c r="J2439" s="29" t="s">
        <v>4790</v>
      </c>
      <c r="K2439" s="55" t="s">
        <v>2705</v>
      </c>
      <c r="L2439" s="61"/>
      <c r="M2439" s="68">
        <v>1</v>
      </c>
      <c r="N2439" s="68" t="s">
        <v>4108</v>
      </c>
    </row>
    <row r="2440" spans="1:14" s="3" customFormat="1" ht="14.25" x14ac:dyDescent="0.2">
      <c r="A2440" s="11" t="s">
        <v>8125</v>
      </c>
      <c r="B2440" s="12" t="s">
        <v>2277</v>
      </c>
      <c r="C2440" s="16" t="s">
        <v>3761</v>
      </c>
      <c r="D2440" s="13" t="s">
        <v>3754</v>
      </c>
      <c r="E2440" s="55" t="s">
        <v>2712</v>
      </c>
      <c r="F2440" s="13" t="s">
        <v>2704</v>
      </c>
      <c r="G2440" s="8"/>
      <c r="H2440" s="8">
        <v>17</v>
      </c>
      <c r="I2440" s="8"/>
      <c r="J2440" s="29" t="s">
        <v>1254</v>
      </c>
      <c r="K2440" s="55" t="s">
        <v>2705</v>
      </c>
      <c r="L2440" s="61"/>
      <c r="M2440" s="68">
        <v>1</v>
      </c>
      <c r="N2440" s="68" t="s">
        <v>4108</v>
      </c>
    </row>
    <row r="2441" spans="1:14" s="3" customFormat="1" ht="14.25" x14ac:dyDescent="0.2">
      <c r="A2441" s="11" t="s">
        <v>8125</v>
      </c>
      <c r="B2441" s="12" t="s">
        <v>2295</v>
      </c>
      <c r="C2441" s="16" t="s">
        <v>3761</v>
      </c>
      <c r="D2441" s="13" t="s">
        <v>3754</v>
      </c>
      <c r="E2441" s="55" t="s">
        <v>5738</v>
      </c>
      <c r="F2441" s="13" t="s">
        <v>2713</v>
      </c>
      <c r="G2441" s="8">
        <v>3</v>
      </c>
      <c r="H2441" s="8">
        <v>9</v>
      </c>
      <c r="I2441" s="8">
        <v>12</v>
      </c>
      <c r="J2441" s="29" t="s">
        <v>5076</v>
      </c>
      <c r="K2441" s="55" t="s">
        <v>2705</v>
      </c>
      <c r="L2441" s="61"/>
      <c r="M2441" s="68">
        <v>1</v>
      </c>
      <c r="N2441" s="68" t="s">
        <v>4108</v>
      </c>
    </row>
    <row r="2442" spans="1:14" s="3" customFormat="1" ht="14.25" x14ac:dyDescent="0.2">
      <c r="A2442" s="14" t="s">
        <v>8125</v>
      </c>
      <c r="B2442" s="15" t="s">
        <v>2295</v>
      </c>
      <c r="C2442" s="16" t="s">
        <v>3757</v>
      </c>
      <c r="D2442" s="13" t="s">
        <v>3754</v>
      </c>
      <c r="E2442" s="46" t="s">
        <v>8149</v>
      </c>
      <c r="F2442" s="16" t="s">
        <v>1541</v>
      </c>
      <c r="G2442" s="8">
        <v>67</v>
      </c>
      <c r="H2442" s="8"/>
      <c r="I2442" s="8"/>
      <c r="J2442" s="27" t="s">
        <v>1271</v>
      </c>
      <c r="K2442" s="45" t="s">
        <v>1567</v>
      </c>
      <c r="L2442" s="61"/>
      <c r="M2442" s="68">
        <v>1</v>
      </c>
      <c r="N2442" s="68" t="s">
        <v>491</v>
      </c>
    </row>
    <row r="2443" spans="1:14" s="3" customFormat="1" ht="14.25" x14ac:dyDescent="0.2">
      <c r="A2443" s="14" t="s">
        <v>8125</v>
      </c>
      <c r="B2443" s="15" t="s">
        <v>2295</v>
      </c>
      <c r="C2443" s="16" t="s">
        <v>3761</v>
      </c>
      <c r="D2443" s="13" t="s">
        <v>3754</v>
      </c>
      <c r="E2443" s="45" t="s">
        <v>8126</v>
      </c>
      <c r="F2443" s="16" t="s">
        <v>1541</v>
      </c>
      <c r="G2443" s="8"/>
      <c r="H2443" s="8">
        <v>11</v>
      </c>
      <c r="I2443" s="8"/>
      <c r="J2443" s="27" t="s">
        <v>1254</v>
      </c>
      <c r="K2443" s="45" t="s">
        <v>8127</v>
      </c>
      <c r="L2443" s="61"/>
      <c r="M2443" s="68">
        <v>1</v>
      </c>
      <c r="N2443" s="68" t="s">
        <v>491</v>
      </c>
    </row>
    <row r="2444" spans="1:14" s="3" customFormat="1" ht="14.25" x14ac:dyDescent="0.2">
      <c r="A2444" s="14" t="s">
        <v>8125</v>
      </c>
      <c r="B2444" s="15" t="s">
        <v>2295</v>
      </c>
      <c r="C2444" s="16" t="s">
        <v>3761</v>
      </c>
      <c r="D2444" s="13" t="s">
        <v>3754</v>
      </c>
      <c r="E2444" s="45" t="s">
        <v>8247</v>
      </c>
      <c r="F2444" s="16" t="s">
        <v>1541</v>
      </c>
      <c r="G2444" s="8"/>
      <c r="H2444" s="8">
        <v>6</v>
      </c>
      <c r="I2444" s="8"/>
      <c r="J2444" s="27" t="s">
        <v>8248</v>
      </c>
      <c r="K2444" s="45" t="s">
        <v>8513</v>
      </c>
      <c r="L2444" s="61"/>
      <c r="M2444" s="68">
        <v>1</v>
      </c>
      <c r="N2444" s="68" t="s">
        <v>8206</v>
      </c>
    </row>
    <row r="2445" spans="1:14" s="3" customFormat="1" ht="14.25" x14ac:dyDescent="0.2">
      <c r="A2445" s="14" t="s">
        <v>8125</v>
      </c>
      <c r="B2445" s="15" t="s">
        <v>4085</v>
      </c>
      <c r="C2445" s="16" t="s">
        <v>3761</v>
      </c>
      <c r="D2445" s="13" t="s">
        <v>3754</v>
      </c>
      <c r="E2445" s="46" t="s">
        <v>4086</v>
      </c>
      <c r="F2445" s="16" t="s">
        <v>4087</v>
      </c>
      <c r="G2445" s="8"/>
      <c r="H2445" s="8">
        <v>8</v>
      </c>
      <c r="I2445" s="8">
        <v>15</v>
      </c>
      <c r="J2445" s="27" t="s">
        <v>8261</v>
      </c>
      <c r="K2445" s="45" t="s">
        <v>4088</v>
      </c>
      <c r="L2445" s="61"/>
      <c r="M2445" s="68">
        <v>1</v>
      </c>
      <c r="N2445" s="68" t="s">
        <v>8206</v>
      </c>
    </row>
    <row r="2446" spans="1:14" s="3" customFormat="1" ht="14.25" x14ac:dyDescent="0.2">
      <c r="A2446" s="11" t="s">
        <v>8125</v>
      </c>
      <c r="B2446" s="12" t="s">
        <v>2708</v>
      </c>
      <c r="C2446" s="16" t="s">
        <v>3761</v>
      </c>
      <c r="D2446" s="13" t="s">
        <v>3754</v>
      </c>
      <c r="E2446" s="61" t="s">
        <v>2709</v>
      </c>
      <c r="F2446" s="13" t="s">
        <v>2707</v>
      </c>
      <c r="G2446" s="8"/>
      <c r="H2446" s="8">
        <v>11</v>
      </c>
      <c r="I2446" s="8"/>
      <c r="J2446" s="29" t="s">
        <v>4734</v>
      </c>
      <c r="K2446" s="55" t="s">
        <v>2705</v>
      </c>
      <c r="L2446" s="61"/>
      <c r="M2446" s="68">
        <v>1</v>
      </c>
      <c r="N2446" s="68" t="s">
        <v>4108</v>
      </c>
    </row>
    <row r="2447" spans="1:14" s="3" customFormat="1" ht="28.5" x14ac:dyDescent="0.2">
      <c r="A2447" s="11" t="s">
        <v>8125</v>
      </c>
      <c r="B2447" s="12" t="s">
        <v>707</v>
      </c>
      <c r="C2447" s="13" t="s">
        <v>3757</v>
      </c>
      <c r="D2447" s="13" t="s">
        <v>3754</v>
      </c>
      <c r="E2447" s="68"/>
      <c r="F2447" s="13" t="s">
        <v>6979</v>
      </c>
      <c r="G2447" s="8"/>
      <c r="H2447" s="8"/>
      <c r="I2447" s="8"/>
      <c r="J2447" s="29" t="s">
        <v>801</v>
      </c>
      <c r="K2447" s="112" t="s">
        <v>6060</v>
      </c>
      <c r="L2447" s="61"/>
      <c r="M2447" s="68">
        <v>1</v>
      </c>
      <c r="N2447" s="68" t="s">
        <v>795</v>
      </c>
    </row>
    <row r="2448" spans="1:14" s="3" customFormat="1" ht="14.25" x14ac:dyDescent="0.2">
      <c r="A2448" s="11" t="s">
        <v>8125</v>
      </c>
      <c r="B2448" s="12" t="s">
        <v>8472</v>
      </c>
      <c r="C2448" s="16" t="s">
        <v>3761</v>
      </c>
      <c r="D2448" s="13" t="s">
        <v>3754</v>
      </c>
      <c r="E2448" s="55" t="s">
        <v>1436</v>
      </c>
      <c r="F2448" s="13" t="s">
        <v>8473</v>
      </c>
      <c r="G2448" s="8">
        <v>4</v>
      </c>
      <c r="H2448" s="8">
        <v>9</v>
      </c>
      <c r="I2448" s="8">
        <v>14</v>
      </c>
      <c r="J2448" s="29" t="s">
        <v>5483</v>
      </c>
      <c r="K2448" s="61" t="s">
        <v>5653</v>
      </c>
      <c r="L2448" s="61"/>
      <c r="M2448" s="68">
        <v>1</v>
      </c>
      <c r="N2448" s="68" t="s">
        <v>8451</v>
      </c>
    </row>
    <row r="2449" spans="1:14" s="3" customFormat="1" ht="14.25" x14ac:dyDescent="0.2">
      <c r="A2449" s="14" t="s">
        <v>8125</v>
      </c>
      <c r="B2449" s="15" t="s">
        <v>6878</v>
      </c>
      <c r="C2449" s="16" t="s">
        <v>3757</v>
      </c>
      <c r="D2449" s="13" t="s">
        <v>3754</v>
      </c>
      <c r="E2449" s="46" t="s">
        <v>4094</v>
      </c>
      <c r="F2449" s="16" t="s">
        <v>8808</v>
      </c>
      <c r="G2449" s="8">
        <v>37</v>
      </c>
      <c r="H2449" s="8"/>
      <c r="I2449" s="8"/>
      <c r="J2449" s="27" t="s">
        <v>6573</v>
      </c>
      <c r="K2449" s="46" t="s">
        <v>5716</v>
      </c>
      <c r="L2449" s="61"/>
      <c r="M2449" s="68">
        <v>1</v>
      </c>
      <c r="N2449" s="68" t="s">
        <v>8206</v>
      </c>
    </row>
    <row r="2450" spans="1:14" s="3" customFormat="1" ht="14.25" x14ac:dyDescent="0.2">
      <c r="A2450" s="14" t="s">
        <v>8125</v>
      </c>
      <c r="B2450" s="15" t="s">
        <v>6878</v>
      </c>
      <c r="C2450" s="16" t="s">
        <v>3757</v>
      </c>
      <c r="D2450" s="13" t="s">
        <v>3754</v>
      </c>
      <c r="E2450" s="45" t="s">
        <v>8174</v>
      </c>
      <c r="F2450" s="16" t="s">
        <v>1541</v>
      </c>
      <c r="G2450" s="8">
        <v>48</v>
      </c>
      <c r="H2450" s="8"/>
      <c r="I2450" s="8"/>
      <c r="J2450" s="27" t="s">
        <v>6669</v>
      </c>
      <c r="K2450" s="45" t="s">
        <v>8175</v>
      </c>
      <c r="L2450" s="61"/>
      <c r="M2450" s="68">
        <v>1</v>
      </c>
      <c r="N2450" s="68" t="s">
        <v>491</v>
      </c>
    </row>
    <row r="2451" spans="1:14" s="3" customFormat="1" ht="14.25" x14ac:dyDescent="0.2">
      <c r="A2451" s="11" t="s">
        <v>8125</v>
      </c>
      <c r="B2451" s="12" t="s">
        <v>2496</v>
      </c>
      <c r="C2451" s="13" t="s">
        <v>3757</v>
      </c>
      <c r="D2451" s="13" t="s">
        <v>3754</v>
      </c>
      <c r="E2451" s="61" t="s">
        <v>4356</v>
      </c>
      <c r="F2451" s="13" t="s">
        <v>4357</v>
      </c>
      <c r="G2451" s="8">
        <v>75</v>
      </c>
      <c r="H2451" s="8"/>
      <c r="I2451" s="8"/>
      <c r="J2451" s="29" t="s">
        <v>1272</v>
      </c>
      <c r="K2451" s="55" t="s">
        <v>4358</v>
      </c>
      <c r="L2451" s="61"/>
      <c r="M2451" s="68">
        <v>1</v>
      </c>
      <c r="N2451" s="68" t="s">
        <v>4362</v>
      </c>
    </row>
    <row r="2452" spans="1:14" s="3" customFormat="1" ht="14.25" x14ac:dyDescent="0.2">
      <c r="A2452" s="14" t="s">
        <v>8125</v>
      </c>
      <c r="B2452" s="15" t="s">
        <v>8147</v>
      </c>
      <c r="C2452" s="16" t="s">
        <v>3757</v>
      </c>
      <c r="D2452" s="13" t="s">
        <v>3754</v>
      </c>
      <c r="E2452" s="45" t="s">
        <v>8148</v>
      </c>
      <c r="F2452" s="16" t="s">
        <v>1541</v>
      </c>
      <c r="G2452" s="8">
        <v>50</v>
      </c>
      <c r="H2452" s="8"/>
      <c r="I2452" s="8"/>
      <c r="J2452" s="27" t="s">
        <v>1266</v>
      </c>
      <c r="K2452" s="45" t="s">
        <v>1567</v>
      </c>
      <c r="L2452" s="61"/>
      <c r="M2452" s="68">
        <v>1</v>
      </c>
      <c r="N2452" s="68" t="s">
        <v>491</v>
      </c>
    </row>
    <row r="2453" spans="1:14" s="3" customFormat="1" ht="14.25" x14ac:dyDescent="0.2">
      <c r="A2453" s="11" t="s">
        <v>8125</v>
      </c>
      <c r="B2453" s="12" t="s">
        <v>5951</v>
      </c>
      <c r="C2453" s="13" t="s">
        <v>3757</v>
      </c>
      <c r="D2453" s="13" t="s">
        <v>3754</v>
      </c>
      <c r="E2453" s="61" t="s">
        <v>4143</v>
      </c>
      <c r="F2453" s="13" t="s">
        <v>1541</v>
      </c>
      <c r="G2453" s="8">
        <v>41</v>
      </c>
      <c r="H2453" s="8"/>
      <c r="I2453" s="8"/>
      <c r="J2453" s="29" t="s">
        <v>1472</v>
      </c>
      <c r="K2453" s="55" t="s">
        <v>4144</v>
      </c>
      <c r="L2453" s="61"/>
      <c r="M2453" s="68">
        <v>1</v>
      </c>
      <c r="N2453" s="68" t="s">
        <v>4108</v>
      </c>
    </row>
    <row r="2454" spans="1:14" s="3" customFormat="1" ht="14.25" x14ac:dyDescent="0.2">
      <c r="A2454" s="11" t="s">
        <v>8125</v>
      </c>
      <c r="B2454" s="12" t="s">
        <v>5951</v>
      </c>
      <c r="C2454" s="16" t="s">
        <v>3761</v>
      </c>
      <c r="D2454" s="13" t="s">
        <v>3754</v>
      </c>
      <c r="E2454" s="68" t="s">
        <v>6663</v>
      </c>
      <c r="F2454" s="13" t="s">
        <v>895</v>
      </c>
      <c r="G2454" s="8"/>
      <c r="H2454" s="8">
        <v>3</v>
      </c>
      <c r="I2454" s="8"/>
      <c r="J2454" s="29" t="s">
        <v>5190</v>
      </c>
      <c r="K2454" s="68" t="s">
        <v>6665</v>
      </c>
      <c r="L2454" s="61"/>
      <c r="M2454" s="68">
        <v>1</v>
      </c>
      <c r="N2454" s="68" t="s">
        <v>986</v>
      </c>
    </row>
    <row r="2455" spans="1:14" s="3" customFormat="1" ht="14.25" x14ac:dyDescent="0.2">
      <c r="A2455" s="11" t="s">
        <v>8125</v>
      </c>
      <c r="B2455" s="12" t="s">
        <v>2337</v>
      </c>
      <c r="C2455" s="16" t="s">
        <v>3761</v>
      </c>
      <c r="D2455" s="13" t="s">
        <v>3754</v>
      </c>
      <c r="E2455" s="61" t="s">
        <v>4478</v>
      </c>
      <c r="F2455" s="13" t="s">
        <v>4334</v>
      </c>
      <c r="G2455" s="8"/>
      <c r="H2455" s="8">
        <v>10</v>
      </c>
      <c r="I2455" s="8">
        <v>4</v>
      </c>
      <c r="J2455" s="29" t="s">
        <v>2595</v>
      </c>
      <c r="K2455" s="61" t="s">
        <v>4479</v>
      </c>
      <c r="L2455" s="61"/>
      <c r="M2455" s="68">
        <v>1</v>
      </c>
      <c r="N2455" s="68" t="s">
        <v>4362</v>
      </c>
    </row>
    <row r="2456" spans="1:14" s="3" customFormat="1" ht="14.25" x14ac:dyDescent="0.2">
      <c r="A2456" s="11" t="s">
        <v>8125</v>
      </c>
      <c r="B2456" s="12" t="s">
        <v>5135</v>
      </c>
      <c r="C2456" s="13" t="s">
        <v>3754</v>
      </c>
      <c r="D2456" s="13" t="s">
        <v>3754</v>
      </c>
      <c r="E2456" s="55" t="s">
        <v>2302</v>
      </c>
      <c r="F2456" s="13" t="s">
        <v>590</v>
      </c>
      <c r="G2456" s="8"/>
      <c r="H2456" s="8">
        <v>9</v>
      </c>
      <c r="I2456" s="8">
        <v>22</v>
      </c>
      <c r="J2456" s="29" t="s">
        <v>1264</v>
      </c>
      <c r="K2456" s="55" t="s">
        <v>4917</v>
      </c>
      <c r="L2456" s="61"/>
      <c r="M2456" s="68">
        <v>1</v>
      </c>
      <c r="N2456" s="68" t="s">
        <v>1129</v>
      </c>
    </row>
    <row r="2457" spans="1:14" s="3" customFormat="1" ht="14.25" x14ac:dyDescent="0.2">
      <c r="A2457" s="11" t="s">
        <v>8125</v>
      </c>
      <c r="B2457" s="12" t="s">
        <v>3748</v>
      </c>
      <c r="C2457" s="13" t="s">
        <v>3754</v>
      </c>
      <c r="D2457" s="13" t="s">
        <v>3754</v>
      </c>
      <c r="E2457" s="55" t="s">
        <v>513</v>
      </c>
      <c r="F2457" s="13" t="s">
        <v>514</v>
      </c>
      <c r="G2457" s="8">
        <v>47</v>
      </c>
      <c r="H2457" s="8"/>
      <c r="I2457" s="8"/>
      <c r="J2457" s="29" t="s">
        <v>1270</v>
      </c>
      <c r="K2457" s="55" t="s">
        <v>515</v>
      </c>
      <c r="L2457" s="61"/>
      <c r="M2457" s="68">
        <v>1</v>
      </c>
      <c r="N2457" s="68" t="s">
        <v>1129</v>
      </c>
    </row>
    <row r="2458" spans="1:14" s="3" customFormat="1" ht="14.25" x14ac:dyDescent="0.2">
      <c r="A2458" s="9" t="s">
        <v>8125</v>
      </c>
      <c r="B2458" s="5" t="s">
        <v>4690</v>
      </c>
      <c r="C2458" s="10" t="s">
        <v>3754</v>
      </c>
      <c r="D2458" s="13" t="s">
        <v>3761</v>
      </c>
      <c r="E2458" s="55" t="s">
        <v>2613</v>
      </c>
      <c r="F2458" s="10" t="s">
        <v>763</v>
      </c>
      <c r="G2458" s="21">
        <v>8</v>
      </c>
      <c r="H2458" s="21"/>
      <c r="I2458" s="21"/>
      <c r="J2458" s="55" t="s">
        <v>4745</v>
      </c>
      <c r="K2458" s="55" t="s">
        <v>8835</v>
      </c>
      <c r="L2458" s="61"/>
      <c r="M2458" s="68">
        <v>1</v>
      </c>
      <c r="N2458" s="68" t="s">
        <v>726</v>
      </c>
    </row>
    <row r="2459" spans="1:14" s="3" customFormat="1" ht="14.25" x14ac:dyDescent="0.2">
      <c r="A2459" s="30" t="s">
        <v>8125</v>
      </c>
      <c r="B2459" s="5" t="s">
        <v>7827</v>
      </c>
      <c r="C2459" s="10" t="s">
        <v>3757</v>
      </c>
      <c r="D2459" s="13" t="s">
        <v>3754</v>
      </c>
      <c r="E2459" s="61" t="s">
        <v>4503</v>
      </c>
      <c r="F2459" s="21" t="s">
        <v>4504</v>
      </c>
      <c r="G2459" s="8">
        <v>25</v>
      </c>
      <c r="H2459" s="8"/>
      <c r="I2459" s="8"/>
      <c r="J2459" s="55" t="s">
        <v>1264</v>
      </c>
      <c r="K2459" s="55" t="s">
        <v>4499</v>
      </c>
      <c r="L2459" s="61"/>
      <c r="M2459" s="68">
        <v>1</v>
      </c>
      <c r="N2459" s="68" t="s">
        <v>4362</v>
      </c>
    </row>
    <row r="2460" spans="1:14" s="3" customFormat="1" ht="14.25" x14ac:dyDescent="0.2">
      <c r="A2460" s="11" t="s">
        <v>8125</v>
      </c>
      <c r="B2460" s="12" t="s">
        <v>3734</v>
      </c>
      <c r="C2460" s="13" t="s">
        <v>3757</v>
      </c>
      <c r="D2460" s="31" t="s">
        <v>3754</v>
      </c>
      <c r="E2460" s="61" t="s">
        <v>6771</v>
      </c>
      <c r="F2460" s="13" t="s">
        <v>6303</v>
      </c>
      <c r="G2460" s="21">
        <v>37</v>
      </c>
      <c r="H2460" s="21"/>
      <c r="I2460" s="21"/>
      <c r="J2460" s="29" t="s">
        <v>1264</v>
      </c>
      <c r="K2460" s="55" t="s">
        <v>3380</v>
      </c>
      <c r="L2460" s="29"/>
      <c r="M2460" s="68">
        <v>1</v>
      </c>
      <c r="N2460" s="68" t="s">
        <v>6187</v>
      </c>
    </row>
    <row r="2461" spans="1:14" s="3" customFormat="1" ht="14.25" x14ac:dyDescent="0.2">
      <c r="A2461" s="11" t="s">
        <v>8125</v>
      </c>
      <c r="B2461" s="12" t="s">
        <v>3734</v>
      </c>
      <c r="C2461" s="16" t="s">
        <v>3761</v>
      </c>
      <c r="D2461" s="13" t="s">
        <v>3754</v>
      </c>
      <c r="E2461" s="112" t="s">
        <v>19</v>
      </c>
      <c r="F2461" s="13" t="s">
        <v>794</v>
      </c>
      <c r="G2461" s="8">
        <v>38</v>
      </c>
      <c r="H2461" s="8"/>
      <c r="I2461" s="8"/>
      <c r="J2461" s="29" t="s">
        <v>1264</v>
      </c>
      <c r="K2461" s="112" t="s">
        <v>3590</v>
      </c>
      <c r="L2461" s="29"/>
      <c r="M2461" s="68">
        <v>1</v>
      </c>
      <c r="N2461" s="68" t="s">
        <v>986</v>
      </c>
    </row>
    <row r="2462" spans="1:14" s="3" customFormat="1" ht="28.5" x14ac:dyDescent="0.2">
      <c r="A2462" s="11" t="s">
        <v>8125</v>
      </c>
      <c r="B2462" s="12" t="s">
        <v>3734</v>
      </c>
      <c r="C2462" s="13" t="s">
        <v>3757</v>
      </c>
      <c r="D2462" s="13" t="s">
        <v>3754</v>
      </c>
      <c r="E2462" s="55" t="s">
        <v>6162</v>
      </c>
      <c r="F2462" s="13" t="s">
        <v>6163</v>
      </c>
      <c r="G2462" s="21">
        <v>68</v>
      </c>
      <c r="H2462" s="21"/>
      <c r="I2462" s="21"/>
      <c r="J2462" s="29" t="s">
        <v>6164</v>
      </c>
      <c r="K2462" s="55" t="s">
        <v>2598</v>
      </c>
      <c r="L2462" s="29"/>
      <c r="M2462" s="68">
        <v>1</v>
      </c>
      <c r="N2462" s="68" t="s">
        <v>2755</v>
      </c>
    </row>
    <row r="2463" spans="1:14" s="3" customFormat="1" ht="14.25" x14ac:dyDescent="0.2">
      <c r="A2463" s="11" t="s">
        <v>8125</v>
      </c>
      <c r="B2463" s="12" t="s">
        <v>3734</v>
      </c>
      <c r="C2463" s="13" t="s">
        <v>3757</v>
      </c>
      <c r="D2463" s="13" t="s">
        <v>3761</v>
      </c>
      <c r="E2463" s="61" t="s">
        <v>750</v>
      </c>
      <c r="F2463" s="13" t="s">
        <v>753</v>
      </c>
      <c r="G2463" s="21">
        <v>69</v>
      </c>
      <c r="H2463" s="21"/>
      <c r="I2463" s="21"/>
      <c r="J2463" s="29" t="s">
        <v>1271</v>
      </c>
      <c r="K2463" s="55" t="s">
        <v>754</v>
      </c>
      <c r="L2463" s="29"/>
      <c r="M2463" s="68">
        <v>1</v>
      </c>
      <c r="N2463" s="68" t="s">
        <v>726</v>
      </c>
    </row>
    <row r="2464" spans="1:14" s="3" customFormat="1" ht="15" x14ac:dyDescent="0.2">
      <c r="A2464" s="14" t="s">
        <v>8125</v>
      </c>
      <c r="B2464" s="15" t="s">
        <v>1432</v>
      </c>
      <c r="C2464" s="16" t="s">
        <v>3757</v>
      </c>
      <c r="D2464" s="27" t="s">
        <v>3754</v>
      </c>
      <c r="E2464" s="45" t="s">
        <v>2111</v>
      </c>
      <c r="F2464" s="27" t="s">
        <v>76</v>
      </c>
      <c r="G2464" s="21">
        <v>64</v>
      </c>
      <c r="H2464" s="21"/>
      <c r="I2464" s="21"/>
      <c r="J2464" s="27" t="s">
        <v>4732</v>
      </c>
      <c r="K2464" s="114" t="s">
        <v>2117</v>
      </c>
      <c r="L2464" s="65"/>
      <c r="M2464" s="68">
        <v>1</v>
      </c>
      <c r="N2464" s="68" t="s">
        <v>6124</v>
      </c>
    </row>
    <row r="2465" spans="1:14" s="3" customFormat="1" ht="14.25" x14ac:dyDescent="0.2">
      <c r="A2465" s="11" t="s">
        <v>8125</v>
      </c>
      <c r="B2465" s="12" t="s">
        <v>1432</v>
      </c>
      <c r="C2465" s="13" t="s">
        <v>3757</v>
      </c>
      <c r="D2465" s="13" t="s">
        <v>3754</v>
      </c>
      <c r="E2465" s="55" t="s">
        <v>1116</v>
      </c>
      <c r="F2465" s="13" t="s">
        <v>4789</v>
      </c>
      <c r="G2465" s="8">
        <v>78</v>
      </c>
      <c r="H2465" s="8"/>
      <c r="I2465" s="8"/>
      <c r="J2465" s="29" t="s">
        <v>1271</v>
      </c>
      <c r="K2465" s="55" t="s">
        <v>3197</v>
      </c>
      <c r="L2465" s="29"/>
      <c r="M2465" s="68">
        <v>1</v>
      </c>
      <c r="N2465" s="68" t="s">
        <v>4363</v>
      </c>
    </row>
    <row r="2466" spans="1:14" s="3" customFormat="1" ht="14.25" x14ac:dyDescent="0.2">
      <c r="A2466" s="11" t="s">
        <v>8125</v>
      </c>
      <c r="B2466" s="12" t="s">
        <v>4700</v>
      </c>
      <c r="C2466" s="16" t="s">
        <v>3761</v>
      </c>
      <c r="D2466" s="13" t="s">
        <v>3754</v>
      </c>
      <c r="E2466" s="112" t="s">
        <v>821</v>
      </c>
      <c r="F2466" s="13" t="s">
        <v>822</v>
      </c>
      <c r="G2466" s="8">
        <v>29</v>
      </c>
      <c r="H2466" s="8"/>
      <c r="I2466" s="8"/>
      <c r="J2466" s="29" t="s">
        <v>1264</v>
      </c>
      <c r="K2466" s="112" t="s">
        <v>2220</v>
      </c>
      <c r="L2466" s="29"/>
      <c r="M2466" s="68">
        <v>1</v>
      </c>
      <c r="N2466" s="68" t="s">
        <v>795</v>
      </c>
    </row>
    <row r="2467" spans="1:14" s="3" customFormat="1" ht="14.25" x14ac:dyDescent="0.2">
      <c r="A2467" s="11" t="s">
        <v>8125</v>
      </c>
      <c r="B2467" s="12" t="s">
        <v>3727</v>
      </c>
      <c r="C2467" s="13" t="s">
        <v>3757</v>
      </c>
      <c r="D2467" s="13" t="s">
        <v>3754</v>
      </c>
      <c r="E2467" s="55" t="s">
        <v>527</v>
      </c>
      <c r="F2467" s="13" t="s">
        <v>1075</v>
      </c>
      <c r="G2467" s="8">
        <v>96</v>
      </c>
      <c r="H2467" s="8"/>
      <c r="I2467" s="8"/>
      <c r="J2467" s="29" t="s">
        <v>1271</v>
      </c>
      <c r="K2467" s="55" t="s">
        <v>528</v>
      </c>
      <c r="L2467" s="29"/>
      <c r="M2467" s="68">
        <v>1</v>
      </c>
      <c r="N2467" s="68" t="s">
        <v>1129</v>
      </c>
    </row>
    <row r="2468" spans="1:14" s="3" customFormat="1" ht="14.25" x14ac:dyDescent="0.2">
      <c r="A2468" s="14" t="s">
        <v>8125</v>
      </c>
      <c r="B2468" s="15" t="s">
        <v>3728</v>
      </c>
      <c r="C2468" s="16" t="s">
        <v>3757</v>
      </c>
      <c r="D2468" s="16" t="s">
        <v>3754</v>
      </c>
      <c r="E2468" s="112" t="s">
        <v>4964</v>
      </c>
      <c r="F2468" s="16" t="s">
        <v>5826</v>
      </c>
      <c r="G2468" s="8">
        <v>96</v>
      </c>
      <c r="H2468" s="8"/>
      <c r="I2468" s="8"/>
      <c r="J2468" s="27" t="s">
        <v>1271</v>
      </c>
      <c r="K2468" s="112"/>
      <c r="L2468" s="95"/>
      <c r="M2468" s="68">
        <v>1</v>
      </c>
      <c r="N2468" s="68" t="s">
        <v>878</v>
      </c>
    </row>
    <row r="2469" spans="1:14" s="3" customFormat="1" ht="14.25" x14ac:dyDescent="0.2">
      <c r="A2469" s="11" t="s">
        <v>8125</v>
      </c>
      <c r="B2469" s="12" t="s">
        <v>7828</v>
      </c>
      <c r="C2469" s="16" t="s">
        <v>3761</v>
      </c>
      <c r="D2469" s="13" t="s">
        <v>3754</v>
      </c>
      <c r="E2469" s="55" t="s">
        <v>2714</v>
      </c>
      <c r="F2469" s="13" t="s">
        <v>2713</v>
      </c>
      <c r="G2469" s="8"/>
      <c r="H2469" s="8">
        <v>3</v>
      </c>
      <c r="I2469" s="8">
        <v>6</v>
      </c>
      <c r="J2469" s="29" t="s">
        <v>2715</v>
      </c>
      <c r="K2469" s="55" t="s">
        <v>2705</v>
      </c>
      <c r="L2469" s="29"/>
      <c r="M2469" s="68">
        <v>1</v>
      </c>
      <c r="N2469" s="68" t="s">
        <v>4108</v>
      </c>
    </row>
    <row r="2470" spans="1:14" s="3" customFormat="1" ht="14.25" x14ac:dyDescent="0.2">
      <c r="A2470" s="11" t="s">
        <v>8125</v>
      </c>
      <c r="B2470" s="12" t="s">
        <v>1879</v>
      </c>
      <c r="C2470" s="13" t="s">
        <v>3754</v>
      </c>
      <c r="D2470" s="13" t="s">
        <v>8621</v>
      </c>
      <c r="E2470" s="55" t="s">
        <v>6146</v>
      </c>
      <c r="F2470" s="13" t="s">
        <v>6149</v>
      </c>
      <c r="G2470" s="21">
        <v>13</v>
      </c>
      <c r="H2470" s="21"/>
      <c r="I2470" s="21"/>
      <c r="J2470" s="29" t="s">
        <v>6150</v>
      </c>
      <c r="K2470" s="55" t="s">
        <v>6151</v>
      </c>
      <c r="L2470" s="29"/>
      <c r="M2470" s="68">
        <v>1</v>
      </c>
      <c r="N2470" s="68" t="s">
        <v>2755</v>
      </c>
    </row>
    <row r="2471" spans="1:14" s="3" customFormat="1" ht="14.25" x14ac:dyDescent="0.2">
      <c r="A2471" s="11" t="s">
        <v>8125</v>
      </c>
      <c r="B2471" s="12" t="s">
        <v>4685</v>
      </c>
      <c r="C2471" s="16" t="s">
        <v>3761</v>
      </c>
      <c r="D2471" s="13" t="s">
        <v>3754</v>
      </c>
      <c r="E2471" s="61" t="s">
        <v>8469</v>
      </c>
      <c r="F2471" s="13" t="s">
        <v>8470</v>
      </c>
      <c r="G2471" s="8">
        <v>24</v>
      </c>
      <c r="H2471" s="8"/>
      <c r="I2471" s="8"/>
      <c r="J2471" s="29" t="s">
        <v>1264</v>
      </c>
      <c r="K2471" s="55" t="s">
        <v>8471</v>
      </c>
      <c r="L2471" s="29"/>
      <c r="M2471" s="68">
        <v>1</v>
      </c>
      <c r="N2471" s="68" t="s">
        <v>8451</v>
      </c>
    </row>
    <row r="2472" spans="1:14" s="3" customFormat="1" ht="14.25" x14ac:dyDescent="0.2">
      <c r="A2472" s="11" t="s">
        <v>8125</v>
      </c>
      <c r="B2472" s="12" t="s">
        <v>4685</v>
      </c>
      <c r="C2472" s="13" t="s">
        <v>3757</v>
      </c>
      <c r="D2472" s="13" t="s">
        <v>3754</v>
      </c>
      <c r="E2472" s="55" t="s">
        <v>553</v>
      </c>
      <c r="F2472" s="13" t="s">
        <v>3754</v>
      </c>
      <c r="G2472" s="8">
        <v>26</v>
      </c>
      <c r="H2472" s="8"/>
      <c r="I2472" s="8"/>
      <c r="J2472" s="29" t="s">
        <v>1928</v>
      </c>
      <c r="K2472" s="55" t="s">
        <v>262</v>
      </c>
      <c r="L2472" s="29"/>
      <c r="M2472" s="68">
        <v>1</v>
      </c>
      <c r="N2472" s="68" t="s">
        <v>1129</v>
      </c>
    </row>
    <row r="2473" spans="1:14" s="3" customFormat="1" ht="15" x14ac:dyDescent="0.2">
      <c r="A2473" s="11" t="s">
        <v>8125</v>
      </c>
      <c r="B2473" s="12" t="s">
        <v>3740</v>
      </c>
      <c r="C2473" s="13" t="s">
        <v>3757</v>
      </c>
      <c r="D2473" s="13" t="s">
        <v>3754</v>
      </c>
      <c r="E2473" s="61">
        <v>1860</v>
      </c>
      <c r="F2473" s="13" t="s">
        <v>3754</v>
      </c>
      <c r="G2473" s="21">
        <v>49</v>
      </c>
      <c r="H2473" s="21"/>
      <c r="I2473" s="21"/>
      <c r="J2473" s="29" t="s">
        <v>1264</v>
      </c>
      <c r="K2473" s="61"/>
      <c r="L2473" s="58"/>
      <c r="M2473" s="68">
        <v>1</v>
      </c>
      <c r="N2473" s="68" t="s">
        <v>2359</v>
      </c>
    </row>
    <row r="2474" spans="1:14" s="3" customFormat="1" ht="14.25" x14ac:dyDescent="0.2">
      <c r="A2474" s="11" t="s">
        <v>8125</v>
      </c>
      <c r="B2474" s="12" t="s">
        <v>3740</v>
      </c>
      <c r="C2474" s="13" t="s">
        <v>3757</v>
      </c>
      <c r="D2474" s="31" t="s">
        <v>3754</v>
      </c>
      <c r="E2474" s="61" t="s">
        <v>1147</v>
      </c>
      <c r="F2474" s="13" t="s">
        <v>822</v>
      </c>
      <c r="G2474" s="21">
        <v>71</v>
      </c>
      <c r="H2474" s="21"/>
      <c r="I2474" s="21"/>
      <c r="J2474" s="29" t="s">
        <v>1928</v>
      </c>
      <c r="K2474" s="55" t="s">
        <v>3949</v>
      </c>
      <c r="L2474" s="29"/>
      <c r="M2474" s="68">
        <v>1</v>
      </c>
      <c r="N2474" s="68" t="s">
        <v>6187</v>
      </c>
    </row>
    <row r="2475" spans="1:14" s="3" customFormat="1" ht="14.25" x14ac:dyDescent="0.2">
      <c r="A2475" s="11" t="s">
        <v>8125</v>
      </c>
      <c r="B2475" s="12" t="s">
        <v>1073</v>
      </c>
      <c r="C2475" s="13" t="s">
        <v>3754</v>
      </c>
      <c r="D2475" s="13" t="s">
        <v>3754</v>
      </c>
      <c r="E2475" s="61" t="s">
        <v>1074</v>
      </c>
      <c r="F2475" s="13" t="s">
        <v>1075</v>
      </c>
      <c r="G2475" s="8">
        <v>39</v>
      </c>
      <c r="H2475" s="8"/>
      <c r="I2475" s="8"/>
      <c r="J2475" s="29" t="s">
        <v>7431</v>
      </c>
      <c r="K2475" s="55" t="s">
        <v>1076</v>
      </c>
      <c r="L2475" s="29"/>
      <c r="M2475" s="68">
        <v>1</v>
      </c>
      <c r="N2475" s="68" t="s">
        <v>4363</v>
      </c>
    </row>
    <row r="2476" spans="1:14" s="3" customFormat="1" ht="14.25" x14ac:dyDescent="0.2">
      <c r="A2476" s="11" t="s">
        <v>8125</v>
      </c>
      <c r="B2476" s="12" t="s">
        <v>4581</v>
      </c>
      <c r="C2476" s="13" t="s">
        <v>3754</v>
      </c>
      <c r="D2476" s="13" t="s">
        <v>3761</v>
      </c>
      <c r="E2476" s="61" t="s">
        <v>784</v>
      </c>
      <c r="F2476" s="13" t="s">
        <v>785</v>
      </c>
      <c r="G2476" s="21">
        <v>38</v>
      </c>
      <c r="H2476" s="21"/>
      <c r="I2476" s="21"/>
      <c r="J2476" s="29" t="s">
        <v>1259</v>
      </c>
      <c r="K2476" s="55" t="s">
        <v>786</v>
      </c>
      <c r="L2476" s="29"/>
      <c r="M2476" s="68">
        <v>1</v>
      </c>
      <c r="N2476" s="68" t="s">
        <v>726</v>
      </c>
    </row>
    <row r="2477" spans="1:14" s="3" customFormat="1" ht="15" x14ac:dyDescent="0.2">
      <c r="A2477" s="11" t="s">
        <v>8125</v>
      </c>
      <c r="B2477" s="12" t="s">
        <v>4581</v>
      </c>
      <c r="C2477" s="13" t="s">
        <v>3757</v>
      </c>
      <c r="D2477" s="13" t="s">
        <v>3754</v>
      </c>
      <c r="E2477" s="55">
        <v>1857</v>
      </c>
      <c r="F2477" s="13" t="s">
        <v>3754</v>
      </c>
      <c r="G2477" s="21">
        <v>43</v>
      </c>
      <c r="H2477" s="21"/>
      <c r="I2477" s="21"/>
      <c r="J2477" s="29" t="s">
        <v>1264</v>
      </c>
      <c r="K2477" s="61"/>
      <c r="L2477" s="58"/>
      <c r="M2477" s="68">
        <v>1</v>
      </c>
      <c r="N2477" s="68" t="s">
        <v>2359</v>
      </c>
    </row>
    <row r="2478" spans="1:14" s="3" customFormat="1" ht="15" x14ac:dyDescent="0.2">
      <c r="A2478" s="14" t="s">
        <v>8125</v>
      </c>
      <c r="B2478" s="15" t="s">
        <v>88</v>
      </c>
      <c r="C2478" s="16" t="s">
        <v>3754</v>
      </c>
      <c r="D2478" s="27" t="s">
        <v>3754</v>
      </c>
      <c r="E2478" s="45" t="s">
        <v>456</v>
      </c>
      <c r="F2478" s="27" t="s">
        <v>89</v>
      </c>
      <c r="G2478" s="21">
        <v>9</v>
      </c>
      <c r="H2478" s="21">
        <v>6</v>
      </c>
      <c r="I2478" s="21"/>
      <c r="J2478" s="27" t="s">
        <v>1264</v>
      </c>
      <c r="K2478" s="114" t="s">
        <v>90</v>
      </c>
      <c r="L2478" s="65"/>
      <c r="M2478" s="68">
        <v>1</v>
      </c>
      <c r="N2478" s="68" t="s">
        <v>6124</v>
      </c>
    </row>
    <row r="2479" spans="1:14" s="3" customFormat="1" ht="14.25" x14ac:dyDescent="0.2">
      <c r="A2479" s="11" t="s">
        <v>8125</v>
      </c>
      <c r="B2479" s="12" t="s">
        <v>3732</v>
      </c>
      <c r="C2479" s="13" t="s">
        <v>3754</v>
      </c>
      <c r="D2479" s="13" t="s">
        <v>3761</v>
      </c>
      <c r="E2479" s="61" t="s">
        <v>793</v>
      </c>
      <c r="F2479" s="13" t="s">
        <v>794</v>
      </c>
      <c r="G2479" s="21">
        <v>1</v>
      </c>
      <c r="H2479" s="21">
        <v>5</v>
      </c>
      <c r="I2479" s="21"/>
      <c r="J2479" s="29" t="s">
        <v>1277</v>
      </c>
      <c r="K2479" s="55" t="s">
        <v>323</v>
      </c>
      <c r="L2479" s="95"/>
      <c r="M2479" s="68">
        <v>1</v>
      </c>
      <c r="N2479" s="68" t="s">
        <v>726</v>
      </c>
    </row>
    <row r="2480" spans="1:14" s="3" customFormat="1" ht="15" x14ac:dyDescent="0.2">
      <c r="A2480" s="11" t="s">
        <v>8125</v>
      </c>
      <c r="B2480" s="12" t="s">
        <v>3732</v>
      </c>
      <c r="C2480" s="13" t="s">
        <v>3757</v>
      </c>
      <c r="D2480" s="13" t="s">
        <v>3754</v>
      </c>
      <c r="E2480" s="55" t="s">
        <v>6117</v>
      </c>
      <c r="F2480" s="13" t="s">
        <v>972</v>
      </c>
      <c r="G2480" s="21">
        <v>77</v>
      </c>
      <c r="H2480" s="21"/>
      <c r="I2480" s="21"/>
      <c r="J2480" s="29" t="s">
        <v>1271</v>
      </c>
      <c r="K2480" s="55" t="s">
        <v>6119</v>
      </c>
      <c r="L2480" s="58"/>
      <c r="M2480" s="68">
        <v>1</v>
      </c>
      <c r="N2480" s="68" t="s">
        <v>2359</v>
      </c>
    </row>
    <row r="2481" spans="1:14" s="3" customFormat="1" ht="15" x14ac:dyDescent="0.2">
      <c r="A2481" s="14" t="s">
        <v>8125</v>
      </c>
      <c r="B2481" s="15" t="s">
        <v>1422</v>
      </c>
      <c r="C2481" s="16" t="s">
        <v>3754</v>
      </c>
      <c r="D2481" s="27" t="s">
        <v>3754</v>
      </c>
      <c r="E2481" s="46" t="s">
        <v>4620</v>
      </c>
      <c r="F2481" s="27" t="s">
        <v>2745</v>
      </c>
      <c r="G2481" s="21">
        <v>3</v>
      </c>
      <c r="H2481" s="21">
        <v>3</v>
      </c>
      <c r="I2481" s="21">
        <v>7</v>
      </c>
      <c r="J2481" s="27" t="s">
        <v>1255</v>
      </c>
      <c r="K2481" s="114" t="s">
        <v>3482</v>
      </c>
      <c r="L2481" s="100"/>
      <c r="M2481" s="68">
        <v>1</v>
      </c>
      <c r="N2481" s="68" t="s">
        <v>6124</v>
      </c>
    </row>
    <row r="2482" spans="1:14" s="3" customFormat="1" ht="14.25" x14ac:dyDescent="0.2">
      <c r="A2482" s="11" t="s">
        <v>8125</v>
      </c>
      <c r="B2482" s="12" t="s">
        <v>3723</v>
      </c>
      <c r="C2482" s="13" t="s">
        <v>3754</v>
      </c>
      <c r="D2482" s="13" t="s">
        <v>3761</v>
      </c>
      <c r="E2482" s="61" t="s">
        <v>318</v>
      </c>
      <c r="F2482" s="13" t="s">
        <v>768</v>
      </c>
      <c r="G2482" s="21">
        <v>1</v>
      </c>
      <c r="H2482" s="21">
        <v>4</v>
      </c>
      <c r="I2482" s="21"/>
      <c r="J2482" s="29" t="s">
        <v>3395</v>
      </c>
      <c r="K2482" s="55" t="s">
        <v>769</v>
      </c>
      <c r="L2482" s="29"/>
      <c r="M2482" s="68">
        <v>1</v>
      </c>
      <c r="N2482" s="68" t="s">
        <v>726</v>
      </c>
    </row>
    <row r="2483" spans="1:14" s="3" customFormat="1" ht="14.25" x14ac:dyDescent="0.2">
      <c r="A2483" s="11" t="s">
        <v>8125</v>
      </c>
      <c r="B2483" s="12" t="s">
        <v>3723</v>
      </c>
      <c r="C2483" s="13" t="s">
        <v>3754</v>
      </c>
      <c r="D2483" s="13" t="s">
        <v>3754</v>
      </c>
      <c r="E2483" s="55" t="s">
        <v>1143</v>
      </c>
      <c r="F2483" s="13" t="s">
        <v>6182</v>
      </c>
      <c r="G2483" s="21">
        <v>4</v>
      </c>
      <c r="H2483" s="21">
        <v>2</v>
      </c>
      <c r="I2483" s="21"/>
      <c r="J2483" s="29" t="s">
        <v>1254</v>
      </c>
      <c r="K2483" s="55" t="s">
        <v>6742</v>
      </c>
      <c r="L2483" s="29"/>
      <c r="M2483" s="68">
        <v>1</v>
      </c>
      <c r="N2483" s="68" t="s">
        <v>2755</v>
      </c>
    </row>
    <row r="2484" spans="1:14" s="3" customFormat="1" ht="14.25" x14ac:dyDescent="0.2">
      <c r="A2484" s="11" t="s">
        <v>8125</v>
      </c>
      <c r="B2484" s="12" t="s">
        <v>3723</v>
      </c>
      <c r="C2484" s="13" t="s">
        <v>3754</v>
      </c>
      <c r="D2484" s="13" t="s">
        <v>3754</v>
      </c>
      <c r="E2484" s="61" t="s">
        <v>5466</v>
      </c>
      <c r="F2484" s="13" t="s">
        <v>7176</v>
      </c>
      <c r="G2484" s="21">
        <v>8</v>
      </c>
      <c r="H2484" s="21">
        <v>6</v>
      </c>
      <c r="I2484" s="21"/>
      <c r="J2484" s="29" t="s">
        <v>1264</v>
      </c>
      <c r="K2484" s="55" t="s">
        <v>1659</v>
      </c>
      <c r="L2484" s="29"/>
      <c r="M2484" s="68">
        <v>1</v>
      </c>
      <c r="N2484" s="68" t="s">
        <v>2755</v>
      </c>
    </row>
    <row r="2485" spans="1:14" s="3" customFormat="1" ht="15" x14ac:dyDescent="0.2">
      <c r="A2485" s="11" t="s">
        <v>8125</v>
      </c>
      <c r="B2485" s="12" t="s">
        <v>3723</v>
      </c>
      <c r="C2485" s="13" t="s">
        <v>3754</v>
      </c>
      <c r="D2485" s="13" t="s">
        <v>3754</v>
      </c>
      <c r="E2485" s="61">
        <v>1851</v>
      </c>
      <c r="F2485" s="13" t="s">
        <v>3754</v>
      </c>
      <c r="G2485" s="21">
        <v>13</v>
      </c>
      <c r="H2485" s="21"/>
      <c r="I2485" s="21"/>
      <c r="J2485" s="29" t="s">
        <v>1264</v>
      </c>
      <c r="K2485" s="55"/>
      <c r="L2485" s="58"/>
      <c r="M2485" s="68">
        <v>1</v>
      </c>
      <c r="N2485" s="68" t="s">
        <v>2359</v>
      </c>
    </row>
    <row r="2486" spans="1:14" s="3" customFormat="1" ht="15" x14ac:dyDescent="0.2">
      <c r="A2486" s="14" t="s">
        <v>8125</v>
      </c>
      <c r="B2486" s="15" t="s">
        <v>3746</v>
      </c>
      <c r="C2486" s="16" t="s">
        <v>3757</v>
      </c>
      <c r="D2486" s="27" t="s">
        <v>3754</v>
      </c>
      <c r="E2486" s="45" t="s">
        <v>2409</v>
      </c>
      <c r="F2486" s="27" t="s">
        <v>2725</v>
      </c>
      <c r="G2486" s="21">
        <v>72</v>
      </c>
      <c r="H2486" s="21"/>
      <c r="I2486" s="21"/>
      <c r="J2486" s="27" t="s">
        <v>1271</v>
      </c>
      <c r="K2486" s="114" t="s">
        <v>2724</v>
      </c>
      <c r="L2486" s="65"/>
      <c r="M2486" s="68">
        <v>1</v>
      </c>
      <c r="N2486" s="68" t="s">
        <v>6124</v>
      </c>
    </row>
    <row r="2487" spans="1:14" s="3" customFormat="1" ht="28.5" x14ac:dyDescent="0.2">
      <c r="A2487" s="14" t="s">
        <v>8125</v>
      </c>
      <c r="B2487" s="15" t="s">
        <v>641</v>
      </c>
      <c r="C2487" s="16" t="s">
        <v>3757</v>
      </c>
      <c r="D2487" s="16" t="s">
        <v>3754</v>
      </c>
      <c r="E2487" s="46" t="s">
        <v>2504</v>
      </c>
      <c r="F2487" s="16" t="s">
        <v>642</v>
      </c>
      <c r="G2487" s="21">
        <v>32</v>
      </c>
      <c r="H2487" s="21"/>
      <c r="I2487" s="21"/>
      <c r="J2487" s="27" t="s">
        <v>4747</v>
      </c>
      <c r="K2487" s="45" t="s">
        <v>643</v>
      </c>
      <c r="L2487" s="29"/>
      <c r="M2487" s="68">
        <v>1</v>
      </c>
      <c r="N2487" s="68" t="s">
        <v>595</v>
      </c>
    </row>
    <row r="2488" spans="1:14" s="3" customFormat="1" ht="42.75" x14ac:dyDescent="0.2">
      <c r="A2488" s="11" t="s">
        <v>8125</v>
      </c>
      <c r="B2488" s="12" t="s">
        <v>683</v>
      </c>
      <c r="C2488" s="13">
        <v>1832</v>
      </c>
      <c r="D2488" s="13" t="s">
        <v>3754</v>
      </c>
      <c r="E2488" s="61" t="s">
        <v>682</v>
      </c>
      <c r="F2488" s="13" t="s">
        <v>562</v>
      </c>
      <c r="G2488" s="8">
        <v>32</v>
      </c>
      <c r="H2488" s="8"/>
      <c r="I2488" s="8"/>
      <c r="J2488" s="29" t="s">
        <v>3059</v>
      </c>
      <c r="K2488" s="55" t="s">
        <v>1765</v>
      </c>
      <c r="L2488" s="29" t="s">
        <v>684</v>
      </c>
      <c r="M2488" s="68">
        <v>1</v>
      </c>
      <c r="N2488" s="68" t="s">
        <v>1129</v>
      </c>
    </row>
    <row r="2489" spans="1:14" s="3" customFormat="1" ht="14.25" x14ac:dyDescent="0.2">
      <c r="A2489" s="11" t="s">
        <v>8125</v>
      </c>
      <c r="B2489" s="12" t="s">
        <v>3733</v>
      </c>
      <c r="C2489" s="13" t="s">
        <v>3757</v>
      </c>
      <c r="D2489" s="13"/>
      <c r="E2489" s="61" t="s">
        <v>583</v>
      </c>
      <c r="F2489" s="13" t="s">
        <v>584</v>
      </c>
      <c r="G2489" s="8">
        <v>57</v>
      </c>
      <c r="H2489" s="8"/>
      <c r="I2489" s="8"/>
      <c r="J2489" s="29" t="s">
        <v>284</v>
      </c>
      <c r="K2489" s="55" t="s">
        <v>2917</v>
      </c>
      <c r="L2489" s="29"/>
      <c r="M2489" s="68">
        <v>1</v>
      </c>
      <c r="N2489" s="68" t="s">
        <v>1129</v>
      </c>
    </row>
    <row r="2490" spans="1:14" s="3" customFormat="1" ht="14.25" x14ac:dyDescent="0.2">
      <c r="A2490" s="11" t="s">
        <v>8125</v>
      </c>
      <c r="B2490" s="12" t="s">
        <v>580</v>
      </c>
      <c r="C2490" s="13" t="s">
        <v>3754</v>
      </c>
      <c r="D2490" s="13"/>
      <c r="E2490" s="55" t="s">
        <v>2275</v>
      </c>
      <c r="F2490" s="13" t="s">
        <v>581</v>
      </c>
      <c r="G2490" s="8">
        <v>32</v>
      </c>
      <c r="H2490" s="8"/>
      <c r="I2490" s="8"/>
      <c r="J2490" s="29" t="s">
        <v>1264</v>
      </c>
      <c r="K2490" s="55" t="s">
        <v>2275</v>
      </c>
      <c r="L2490" s="29"/>
      <c r="M2490" s="68">
        <v>1</v>
      </c>
      <c r="N2490" s="68" t="s">
        <v>1129</v>
      </c>
    </row>
    <row r="2491" spans="1:14" s="3" customFormat="1" ht="14.25" x14ac:dyDescent="0.2">
      <c r="A2491" s="11" t="s">
        <v>8125</v>
      </c>
      <c r="B2491" s="12" t="s">
        <v>1445</v>
      </c>
      <c r="C2491" s="13" t="s">
        <v>3754</v>
      </c>
      <c r="D2491" s="13" t="s">
        <v>8621</v>
      </c>
      <c r="E2491" s="55" t="s">
        <v>1660</v>
      </c>
      <c r="F2491" s="13" t="s">
        <v>6159</v>
      </c>
      <c r="G2491" s="21">
        <v>24</v>
      </c>
      <c r="H2491" s="21"/>
      <c r="I2491" s="21"/>
      <c r="J2491" s="29" t="s">
        <v>1264</v>
      </c>
      <c r="K2491" s="55" t="s">
        <v>1662</v>
      </c>
      <c r="L2491" s="29"/>
      <c r="M2491" s="68">
        <v>1</v>
      </c>
      <c r="N2491" s="68" t="s">
        <v>2755</v>
      </c>
    </row>
    <row r="2492" spans="1:14" s="3" customFormat="1" ht="14.25" x14ac:dyDescent="0.2">
      <c r="A2492" s="11" t="s">
        <v>8125</v>
      </c>
      <c r="B2492" s="12" t="s">
        <v>1445</v>
      </c>
      <c r="C2492" s="13" t="s">
        <v>3754</v>
      </c>
      <c r="D2492" s="31" t="s">
        <v>3754</v>
      </c>
      <c r="E2492" s="55" t="s">
        <v>1151</v>
      </c>
      <c r="F2492" s="13" t="s">
        <v>6292</v>
      </c>
      <c r="G2492" s="21" t="s">
        <v>1314</v>
      </c>
      <c r="H2492" s="21" t="s">
        <v>1314</v>
      </c>
      <c r="I2492" s="21" t="s">
        <v>1314</v>
      </c>
      <c r="J2492" s="29" t="s">
        <v>6293</v>
      </c>
      <c r="K2492" s="55" t="s">
        <v>6294</v>
      </c>
      <c r="L2492" s="29"/>
      <c r="M2492" s="68">
        <v>1</v>
      </c>
      <c r="N2492" s="68" t="s">
        <v>6187</v>
      </c>
    </row>
    <row r="2493" spans="1:14" s="3" customFormat="1" ht="14.25" x14ac:dyDescent="0.2">
      <c r="A2493" s="14" t="s">
        <v>8125</v>
      </c>
      <c r="B2493" s="15" t="s">
        <v>3726</v>
      </c>
      <c r="C2493" s="16" t="s">
        <v>3757</v>
      </c>
      <c r="D2493" s="16" t="s">
        <v>3754</v>
      </c>
      <c r="E2493" s="46" t="s">
        <v>276</v>
      </c>
      <c r="F2493" s="16" t="s">
        <v>606</v>
      </c>
      <c r="G2493" s="21">
        <v>65</v>
      </c>
      <c r="H2493" s="21"/>
      <c r="I2493" s="21"/>
      <c r="J2493" s="27" t="s">
        <v>1928</v>
      </c>
      <c r="K2493" s="45" t="s">
        <v>607</v>
      </c>
      <c r="L2493" s="29"/>
      <c r="M2493" s="68">
        <v>1</v>
      </c>
      <c r="N2493" s="68" t="s">
        <v>595</v>
      </c>
    </row>
    <row r="2494" spans="1:14" s="3" customFormat="1" ht="15" x14ac:dyDescent="0.2">
      <c r="A2494" s="11" t="s">
        <v>8125</v>
      </c>
      <c r="B2494" s="12"/>
      <c r="C2494" s="13" t="s">
        <v>3754</v>
      </c>
      <c r="D2494" s="13" t="s">
        <v>3754</v>
      </c>
      <c r="E2494" s="55" t="s">
        <v>38</v>
      </c>
      <c r="F2494" s="13" t="s">
        <v>6280</v>
      </c>
      <c r="G2494" s="21"/>
      <c r="H2494" s="21"/>
      <c r="I2494" s="21">
        <v>1</v>
      </c>
      <c r="J2494" s="29" t="s">
        <v>1277</v>
      </c>
      <c r="K2494" s="61" t="s">
        <v>38</v>
      </c>
      <c r="L2494" s="58"/>
      <c r="M2494" s="68">
        <v>1</v>
      </c>
      <c r="N2494" s="68" t="s">
        <v>2359</v>
      </c>
    </row>
    <row r="2495" spans="1:14" s="3" customFormat="1" ht="14.25" x14ac:dyDescent="0.2">
      <c r="A2495" s="11" t="s">
        <v>4436</v>
      </c>
      <c r="B2495" s="12" t="s">
        <v>1432</v>
      </c>
      <c r="C2495" s="13" t="s">
        <v>3757</v>
      </c>
      <c r="D2495" s="13" t="s">
        <v>3754</v>
      </c>
      <c r="E2495" s="61">
        <v>1848</v>
      </c>
      <c r="F2495" s="13" t="s">
        <v>4506</v>
      </c>
      <c r="G2495" s="8">
        <v>23</v>
      </c>
      <c r="H2495" s="8"/>
      <c r="I2495" s="8"/>
      <c r="J2495" s="29" t="s">
        <v>1928</v>
      </c>
      <c r="K2495" s="55" t="s">
        <v>1289</v>
      </c>
      <c r="L2495" s="29"/>
      <c r="M2495" s="68">
        <v>1</v>
      </c>
      <c r="N2495" s="68" t="s">
        <v>4362</v>
      </c>
    </row>
    <row r="2496" spans="1:14" s="3" customFormat="1" ht="14.25" x14ac:dyDescent="0.2">
      <c r="A2496" s="11" t="s">
        <v>4436</v>
      </c>
      <c r="B2496" s="12" t="s">
        <v>3727</v>
      </c>
      <c r="C2496" s="13" t="s">
        <v>3757</v>
      </c>
      <c r="D2496" s="13" t="s">
        <v>3761</v>
      </c>
      <c r="E2496" s="55" t="s">
        <v>791</v>
      </c>
      <c r="F2496" s="13" t="s">
        <v>792</v>
      </c>
      <c r="G2496" s="21">
        <v>82</v>
      </c>
      <c r="H2496" s="21"/>
      <c r="I2496" s="21"/>
      <c r="J2496" s="29" t="s">
        <v>1271</v>
      </c>
      <c r="K2496" s="55"/>
      <c r="L2496" s="29"/>
      <c r="M2496" s="68">
        <v>1</v>
      </c>
      <c r="N2496" s="68" t="s">
        <v>726</v>
      </c>
    </row>
    <row r="2497" spans="1:14" s="3" customFormat="1" ht="14.25" x14ac:dyDescent="0.2">
      <c r="A2497" s="11" t="s">
        <v>4436</v>
      </c>
      <c r="B2497" s="12" t="s">
        <v>1092</v>
      </c>
      <c r="C2497" s="13" t="s">
        <v>3757</v>
      </c>
      <c r="D2497" s="13" t="s">
        <v>3754</v>
      </c>
      <c r="E2497" s="55" t="s">
        <v>1093</v>
      </c>
      <c r="F2497" s="13" t="s">
        <v>1094</v>
      </c>
      <c r="G2497" s="8">
        <v>61</v>
      </c>
      <c r="H2497" s="8"/>
      <c r="I2497" s="8"/>
      <c r="J2497" s="29" t="s">
        <v>1264</v>
      </c>
      <c r="K2497" s="55" t="s">
        <v>5946</v>
      </c>
      <c r="L2497" s="29"/>
      <c r="M2497" s="68">
        <v>1</v>
      </c>
      <c r="N2497" s="68" t="s">
        <v>4363</v>
      </c>
    </row>
    <row r="2498" spans="1:14" s="3" customFormat="1" ht="14.25" x14ac:dyDescent="0.2">
      <c r="A2498" s="11" t="s">
        <v>4436</v>
      </c>
      <c r="B2498" s="12" t="s">
        <v>7829</v>
      </c>
      <c r="C2498" s="13" t="s">
        <v>5699</v>
      </c>
      <c r="D2498" s="13" t="s">
        <v>3754</v>
      </c>
      <c r="E2498" s="61" t="s">
        <v>8746</v>
      </c>
      <c r="F2498" s="13" t="s">
        <v>5661</v>
      </c>
      <c r="G2498" s="8">
        <v>6</v>
      </c>
      <c r="H2498" s="8"/>
      <c r="I2498" s="8"/>
      <c r="J2498" s="29" t="s">
        <v>2595</v>
      </c>
      <c r="K2498" s="55" t="s">
        <v>4522</v>
      </c>
      <c r="L2498" s="29"/>
      <c r="M2498" s="68">
        <v>1</v>
      </c>
      <c r="N2498" s="68" t="s">
        <v>4362</v>
      </c>
    </row>
    <row r="2499" spans="1:14" s="3" customFormat="1" ht="14.25" x14ac:dyDescent="0.2">
      <c r="A2499" s="11" t="s">
        <v>4436</v>
      </c>
      <c r="B2499" s="12" t="s">
        <v>5057</v>
      </c>
      <c r="C2499" s="16" t="s">
        <v>3761</v>
      </c>
      <c r="D2499" s="13" t="s">
        <v>5699</v>
      </c>
      <c r="E2499" s="55"/>
      <c r="F2499" s="13" t="s">
        <v>5699</v>
      </c>
      <c r="G2499" s="8">
        <v>35</v>
      </c>
      <c r="H2499" s="8">
        <v>4</v>
      </c>
      <c r="I2499" s="8"/>
      <c r="J2499" s="29" t="s">
        <v>2335</v>
      </c>
      <c r="K2499" s="55" t="s">
        <v>1778</v>
      </c>
      <c r="L2499" s="29"/>
      <c r="M2499" s="68">
        <v>1</v>
      </c>
      <c r="N2499" s="68" t="s">
        <v>8451</v>
      </c>
    </row>
    <row r="2500" spans="1:14" s="3" customFormat="1" ht="14.25" x14ac:dyDescent="0.2">
      <c r="A2500" s="11" t="s">
        <v>4436</v>
      </c>
      <c r="B2500" s="12" t="s">
        <v>8616</v>
      </c>
      <c r="C2500" s="13" t="s">
        <v>3757</v>
      </c>
      <c r="D2500" s="13" t="s">
        <v>3754</v>
      </c>
      <c r="E2500" s="61" t="s">
        <v>4505</v>
      </c>
      <c r="F2500" s="13" t="s">
        <v>4506</v>
      </c>
      <c r="G2500" s="8">
        <v>52</v>
      </c>
      <c r="H2500" s="8"/>
      <c r="I2500" s="8"/>
      <c r="J2500" s="29" t="s">
        <v>1264</v>
      </c>
      <c r="K2500" s="55" t="s">
        <v>1289</v>
      </c>
      <c r="L2500" s="61"/>
      <c r="M2500" s="68">
        <v>1</v>
      </c>
      <c r="N2500" s="68" t="s">
        <v>4362</v>
      </c>
    </row>
    <row r="2501" spans="1:14" s="3" customFormat="1" ht="14.25" x14ac:dyDescent="0.2">
      <c r="A2501" s="9" t="s">
        <v>4436</v>
      </c>
      <c r="B2501" s="5" t="s">
        <v>4701</v>
      </c>
      <c r="C2501" s="10" t="s">
        <v>3757</v>
      </c>
      <c r="D2501" s="13" t="s">
        <v>3754</v>
      </c>
      <c r="E2501" s="55" t="s">
        <v>1508</v>
      </c>
      <c r="F2501" s="10" t="s">
        <v>1563</v>
      </c>
      <c r="G2501" s="21">
        <v>75</v>
      </c>
      <c r="H2501" s="21"/>
      <c r="I2501" s="21"/>
      <c r="J2501" s="55" t="s">
        <v>6573</v>
      </c>
      <c r="K2501" s="55" t="s">
        <v>6745</v>
      </c>
      <c r="L2501" s="61"/>
      <c r="M2501" s="68">
        <v>1</v>
      </c>
      <c r="N2501" s="68" t="s">
        <v>2755</v>
      </c>
    </row>
    <row r="2502" spans="1:14" s="3" customFormat="1" ht="14.25" x14ac:dyDescent="0.2">
      <c r="A2502" s="9" t="s">
        <v>4436</v>
      </c>
      <c r="B2502" s="5" t="s">
        <v>3733</v>
      </c>
      <c r="C2502" s="10" t="s">
        <v>3757</v>
      </c>
      <c r="D2502" s="13" t="s">
        <v>3754</v>
      </c>
      <c r="E2502" s="61" t="s">
        <v>498</v>
      </c>
      <c r="F2502" s="10" t="s">
        <v>499</v>
      </c>
      <c r="G2502" s="8">
        <v>34</v>
      </c>
      <c r="H2502" s="8"/>
      <c r="I2502" s="8"/>
      <c r="J2502" s="55" t="s">
        <v>1264</v>
      </c>
      <c r="K2502" s="55" t="s">
        <v>500</v>
      </c>
      <c r="L2502" s="61"/>
      <c r="M2502" s="68">
        <v>1</v>
      </c>
      <c r="N2502" s="68" t="s">
        <v>1129</v>
      </c>
    </row>
    <row r="2503" spans="1:14" s="3" customFormat="1" ht="14.25" x14ac:dyDescent="0.2">
      <c r="A2503" s="14" t="s">
        <v>5808</v>
      </c>
      <c r="B2503" s="15" t="s">
        <v>7779</v>
      </c>
      <c r="C2503" s="16" t="s">
        <v>3757</v>
      </c>
      <c r="D2503" s="16" t="s">
        <v>3754</v>
      </c>
      <c r="E2503" s="120" t="s">
        <v>2262</v>
      </c>
      <c r="F2503" s="16" t="s">
        <v>972</v>
      </c>
      <c r="G2503" s="26">
        <v>40</v>
      </c>
      <c r="H2503" s="26"/>
      <c r="I2503" s="26"/>
      <c r="J2503" s="27" t="s">
        <v>1264</v>
      </c>
      <c r="K2503" s="72" t="s">
        <v>5809</v>
      </c>
      <c r="L2503" s="99"/>
      <c r="M2503" s="68">
        <v>1</v>
      </c>
      <c r="N2503" s="68" t="s">
        <v>878</v>
      </c>
    </row>
    <row r="2504" spans="1:14" s="3" customFormat="1" ht="14.25" x14ac:dyDescent="0.2">
      <c r="A2504" s="14" t="s">
        <v>8132</v>
      </c>
      <c r="B2504" s="15" t="s">
        <v>3723</v>
      </c>
      <c r="C2504" s="16" t="s">
        <v>3761</v>
      </c>
      <c r="D2504" s="13" t="s">
        <v>3754</v>
      </c>
      <c r="E2504" s="53"/>
      <c r="F2504" s="16" t="s">
        <v>1541</v>
      </c>
      <c r="G2504" s="26">
        <v>30</v>
      </c>
      <c r="H2504" s="26"/>
      <c r="I2504" s="26"/>
      <c r="J2504" s="27" t="s">
        <v>1264</v>
      </c>
      <c r="K2504" s="27" t="s">
        <v>8133</v>
      </c>
      <c r="L2504" s="84"/>
      <c r="M2504" s="68">
        <v>1</v>
      </c>
      <c r="N2504" s="68" t="s">
        <v>491</v>
      </c>
    </row>
    <row r="2505" spans="1:14" s="3" customFormat="1" ht="14.25" x14ac:dyDescent="0.2">
      <c r="A2505" s="11" t="s">
        <v>8132</v>
      </c>
      <c r="B2505" s="12" t="s">
        <v>3733</v>
      </c>
      <c r="C2505" s="13" t="s">
        <v>3754</v>
      </c>
      <c r="D2505" s="13" t="s">
        <v>3754</v>
      </c>
      <c r="E2505" s="84" t="s">
        <v>6751</v>
      </c>
      <c r="F2505" s="13" t="s">
        <v>6171</v>
      </c>
      <c r="G2505" s="13">
        <v>4</v>
      </c>
      <c r="H2505" s="13"/>
      <c r="I2505" s="13"/>
      <c r="J2505" s="29" t="s">
        <v>1277</v>
      </c>
      <c r="K2505" s="29" t="s">
        <v>6170</v>
      </c>
      <c r="L2505" s="84"/>
      <c r="M2505" s="68">
        <v>1</v>
      </c>
      <c r="N2505" s="68" t="s">
        <v>2755</v>
      </c>
    </row>
    <row r="2506" spans="1:14" s="3" customFormat="1" ht="14.25" x14ac:dyDescent="0.2">
      <c r="A2506" s="11" t="s">
        <v>1089</v>
      </c>
      <c r="B2506" s="12" t="s">
        <v>2969</v>
      </c>
      <c r="C2506" s="13" t="s">
        <v>8621</v>
      </c>
      <c r="D2506" s="13"/>
      <c r="E2506" s="84" t="s">
        <v>1090</v>
      </c>
      <c r="F2506" s="13" t="s">
        <v>1091</v>
      </c>
      <c r="G2506" s="26"/>
      <c r="H2506" s="26">
        <v>4</v>
      </c>
      <c r="I2506" s="26">
        <v>2</v>
      </c>
      <c r="J2506" s="29" t="s">
        <v>5234</v>
      </c>
      <c r="K2506" s="29" t="s">
        <v>1090</v>
      </c>
      <c r="L2506" s="84"/>
      <c r="M2506" s="68">
        <v>1</v>
      </c>
      <c r="N2506" s="68" t="s">
        <v>4363</v>
      </c>
    </row>
    <row r="2507" spans="1:14" s="3" customFormat="1" ht="15" x14ac:dyDescent="0.2">
      <c r="A2507" s="14" t="s">
        <v>1089</v>
      </c>
      <c r="B2507" s="15" t="s">
        <v>3740</v>
      </c>
      <c r="C2507" s="16" t="s">
        <v>3754</v>
      </c>
      <c r="D2507" s="27" t="s">
        <v>3754</v>
      </c>
      <c r="E2507" s="53" t="s">
        <v>6552</v>
      </c>
      <c r="F2507" s="27" t="s">
        <v>3754</v>
      </c>
      <c r="G2507" s="13"/>
      <c r="H2507" s="13"/>
      <c r="I2507" s="13">
        <v>1</v>
      </c>
      <c r="J2507" s="27" t="s">
        <v>1277</v>
      </c>
      <c r="K2507" s="96" t="s">
        <v>6552</v>
      </c>
      <c r="L2507" s="102"/>
      <c r="M2507" s="68">
        <v>1</v>
      </c>
      <c r="N2507" s="68" t="s">
        <v>6124</v>
      </c>
    </row>
    <row r="2508" spans="1:14" s="3" customFormat="1" ht="14.25" x14ac:dyDescent="0.2">
      <c r="A2508" s="11" t="s">
        <v>1089</v>
      </c>
      <c r="B2508" s="12" t="s">
        <v>747</v>
      </c>
      <c r="C2508" s="13" t="s">
        <v>8621</v>
      </c>
      <c r="D2508" s="13" t="s">
        <v>1943</v>
      </c>
      <c r="E2508" s="84" t="s">
        <v>2105</v>
      </c>
      <c r="F2508" s="13" t="s">
        <v>748</v>
      </c>
      <c r="G2508" s="13">
        <v>1</v>
      </c>
      <c r="H2508" s="13">
        <v>3</v>
      </c>
      <c r="I2508" s="13"/>
      <c r="J2508" s="29" t="s">
        <v>1258</v>
      </c>
      <c r="K2508" s="29" t="s">
        <v>749</v>
      </c>
      <c r="L2508" s="84"/>
      <c r="M2508" s="68">
        <v>1</v>
      </c>
      <c r="N2508" s="68" t="s">
        <v>726</v>
      </c>
    </row>
    <row r="2509" spans="1:14" s="3" customFormat="1" ht="14.25" x14ac:dyDescent="0.2">
      <c r="A2509" s="11" t="s">
        <v>1089</v>
      </c>
      <c r="B2509" s="12" t="s">
        <v>764</v>
      </c>
      <c r="C2509" s="13" t="s">
        <v>8621</v>
      </c>
      <c r="D2509" s="13" t="s">
        <v>8621</v>
      </c>
      <c r="E2509" s="84" t="s">
        <v>1464</v>
      </c>
      <c r="F2509" s="13" t="s">
        <v>765</v>
      </c>
      <c r="G2509" s="13">
        <v>2</v>
      </c>
      <c r="H2509" s="13"/>
      <c r="I2509" s="13">
        <v>21</v>
      </c>
      <c r="J2509" s="29" t="s">
        <v>1258</v>
      </c>
      <c r="K2509" s="29" t="s">
        <v>6784</v>
      </c>
      <c r="L2509" s="84"/>
      <c r="M2509" s="68">
        <v>1</v>
      </c>
      <c r="N2509" s="68" t="s">
        <v>726</v>
      </c>
    </row>
    <row r="2510" spans="1:14" s="3" customFormat="1" ht="14.25" x14ac:dyDescent="0.2">
      <c r="A2510" s="11" t="s">
        <v>6357</v>
      </c>
      <c r="B2510" s="12" t="s">
        <v>4685</v>
      </c>
      <c r="C2510" s="13" t="s">
        <v>3757</v>
      </c>
      <c r="D2510" s="13" t="s">
        <v>3754</v>
      </c>
      <c r="E2510" s="84" t="s">
        <v>6358</v>
      </c>
      <c r="F2510" s="13" t="s">
        <v>6359</v>
      </c>
      <c r="G2510" s="13">
        <v>53</v>
      </c>
      <c r="H2510" s="13"/>
      <c r="I2510" s="13"/>
      <c r="J2510" s="29" t="s">
        <v>3453</v>
      </c>
      <c r="K2510" s="29" t="s">
        <v>5690</v>
      </c>
      <c r="L2510" s="84"/>
      <c r="M2510" s="68">
        <v>1</v>
      </c>
      <c r="N2510" s="68" t="s">
        <v>6321</v>
      </c>
    </row>
    <row r="2511" spans="1:14" s="3" customFormat="1" ht="14.25" x14ac:dyDescent="0.2">
      <c r="A2511" s="11" t="s">
        <v>6357</v>
      </c>
      <c r="B2511" s="12" t="s">
        <v>2969</v>
      </c>
      <c r="C2511" s="13" t="s">
        <v>3754</v>
      </c>
      <c r="D2511" s="13" t="s">
        <v>3754</v>
      </c>
      <c r="E2511" s="84" t="s">
        <v>8719</v>
      </c>
      <c r="F2511" s="13" t="s">
        <v>6360</v>
      </c>
      <c r="G2511" s="13">
        <v>8</v>
      </c>
      <c r="H2511" s="13">
        <v>3</v>
      </c>
      <c r="I2511" s="13"/>
      <c r="J2511" s="29" t="s">
        <v>4790</v>
      </c>
      <c r="K2511" s="29" t="s">
        <v>6361</v>
      </c>
      <c r="L2511" s="84"/>
      <c r="M2511" s="68">
        <v>1</v>
      </c>
      <c r="N2511" s="68" t="s">
        <v>6321</v>
      </c>
    </row>
    <row r="2512" spans="1:14" s="3" customFormat="1" ht="14.25" x14ac:dyDescent="0.2">
      <c r="A2512" s="11" t="s">
        <v>6354</v>
      </c>
      <c r="B2512" s="12" t="s">
        <v>4685</v>
      </c>
      <c r="C2512" s="13" t="s">
        <v>3757</v>
      </c>
      <c r="D2512" s="13" t="s">
        <v>3754</v>
      </c>
      <c r="E2512" s="84" t="s">
        <v>750</v>
      </c>
      <c r="F2512" s="13"/>
      <c r="G2512" s="13">
        <v>47</v>
      </c>
      <c r="H2512" s="13"/>
      <c r="I2512" s="13"/>
      <c r="J2512" s="29" t="s">
        <v>1264</v>
      </c>
      <c r="K2512" s="29" t="s">
        <v>6408</v>
      </c>
      <c r="L2512" s="84"/>
      <c r="M2512" s="68">
        <v>1</v>
      </c>
      <c r="N2512" s="68" t="s">
        <v>6401</v>
      </c>
    </row>
    <row r="2513" spans="1:14" s="3" customFormat="1" ht="28.5" x14ac:dyDescent="0.2">
      <c r="A2513" s="11" t="s">
        <v>6354</v>
      </c>
      <c r="B2513" s="12" t="s">
        <v>3740</v>
      </c>
      <c r="C2513" s="13" t="s">
        <v>5270</v>
      </c>
      <c r="D2513" s="13" t="s">
        <v>7175</v>
      </c>
      <c r="E2513" s="84" t="s">
        <v>6071</v>
      </c>
      <c r="F2513" s="13" t="s">
        <v>6409</v>
      </c>
      <c r="G2513" s="13">
        <v>5</v>
      </c>
      <c r="H2513" s="13"/>
      <c r="I2513" s="13"/>
      <c r="J2513" s="29" t="s">
        <v>1254</v>
      </c>
      <c r="K2513" s="29" t="s">
        <v>6072</v>
      </c>
      <c r="L2513" s="84"/>
      <c r="M2513" s="68">
        <v>1</v>
      </c>
      <c r="N2513" s="68" t="s">
        <v>6401</v>
      </c>
    </row>
    <row r="2514" spans="1:14" s="3" customFormat="1" ht="14.25" x14ac:dyDescent="0.2">
      <c r="A2514" s="11" t="s">
        <v>6354</v>
      </c>
      <c r="B2514" s="12" t="s">
        <v>3723</v>
      </c>
      <c r="C2514" s="13" t="s">
        <v>3754</v>
      </c>
      <c r="D2514" s="13" t="s">
        <v>3754</v>
      </c>
      <c r="E2514" s="84" t="s">
        <v>5656</v>
      </c>
      <c r="F2514" s="13" t="s">
        <v>6355</v>
      </c>
      <c r="G2514" s="13">
        <v>1</v>
      </c>
      <c r="H2514" s="13">
        <v>7</v>
      </c>
      <c r="I2514" s="13"/>
      <c r="J2514" s="29" t="s">
        <v>1258</v>
      </c>
      <c r="K2514" s="29" t="s">
        <v>6356</v>
      </c>
      <c r="L2514" s="84"/>
      <c r="M2514" s="68">
        <v>1</v>
      </c>
      <c r="N2514" s="68" t="s">
        <v>6321</v>
      </c>
    </row>
    <row r="2515" spans="1:14" s="3" customFormat="1" ht="14.25" x14ac:dyDescent="0.2">
      <c r="A2515" s="11" t="s">
        <v>6354</v>
      </c>
      <c r="B2515" s="12" t="s">
        <v>3746</v>
      </c>
      <c r="C2515" s="13" t="s">
        <v>6431</v>
      </c>
      <c r="D2515" s="69" t="s">
        <v>7175</v>
      </c>
      <c r="E2515" s="84" t="s">
        <v>7192</v>
      </c>
      <c r="F2515" s="13" t="s">
        <v>6432</v>
      </c>
      <c r="G2515" s="13">
        <v>5</v>
      </c>
      <c r="H2515" s="13"/>
      <c r="I2515" s="13"/>
      <c r="J2515" s="29" t="s">
        <v>7319</v>
      </c>
      <c r="K2515" s="29" t="s">
        <v>6980</v>
      </c>
      <c r="L2515" s="84"/>
      <c r="M2515" s="68">
        <v>1</v>
      </c>
      <c r="N2515" s="68" t="s">
        <v>6401</v>
      </c>
    </row>
    <row r="2516" spans="1:14" s="3" customFormat="1" ht="14.25" x14ac:dyDescent="0.2">
      <c r="A2516" s="11" t="s">
        <v>6327</v>
      </c>
      <c r="B2516" s="12" t="s">
        <v>4685</v>
      </c>
      <c r="C2516" s="13" t="s">
        <v>3767</v>
      </c>
      <c r="D2516" s="13" t="s">
        <v>3767</v>
      </c>
      <c r="E2516" s="84" t="s">
        <v>1464</v>
      </c>
      <c r="F2516" s="13" t="s">
        <v>1960</v>
      </c>
      <c r="G2516" s="13">
        <v>1</v>
      </c>
      <c r="H2516" s="13"/>
      <c r="I2516" s="13"/>
      <c r="J2516" s="29" t="s">
        <v>4790</v>
      </c>
      <c r="K2516" s="29" t="s">
        <v>8158</v>
      </c>
      <c r="L2516" s="84"/>
      <c r="M2516" s="68">
        <v>1</v>
      </c>
      <c r="N2516" s="68" t="s">
        <v>6321</v>
      </c>
    </row>
    <row r="2517" spans="1:14" s="3" customFormat="1" ht="14.25" x14ac:dyDescent="0.2">
      <c r="A2517" s="11" t="s">
        <v>6327</v>
      </c>
      <c r="B2517" s="12" t="s">
        <v>3732</v>
      </c>
      <c r="C2517" s="13" t="s">
        <v>3757</v>
      </c>
      <c r="D2517" s="13" t="s">
        <v>3767</v>
      </c>
      <c r="E2517" s="84" t="s">
        <v>1464</v>
      </c>
      <c r="F2517" s="13" t="s">
        <v>1960</v>
      </c>
      <c r="G2517" s="13">
        <v>29</v>
      </c>
      <c r="H2517" s="13"/>
      <c r="I2517" s="13"/>
      <c r="J2517" s="29" t="s">
        <v>1264</v>
      </c>
      <c r="K2517" s="29" t="s">
        <v>8158</v>
      </c>
      <c r="L2517" s="84"/>
      <c r="M2517" s="68">
        <v>1</v>
      </c>
      <c r="N2517" s="68" t="s">
        <v>6321</v>
      </c>
    </row>
    <row r="2518" spans="1:14" s="3" customFormat="1" ht="14.25" x14ac:dyDescent="0.2">
      <c r="A2518" s="11" t="s">
        <v>6327</v>
      </c>
      <c r="B2518" s="12" t="s">
        <v>1445</v>
      </c>
      <c r="C2518" s="13" t="s">
        <v>3767</v>
      </c>
      <c r="D2518" s="13" t="s">
        <v>3767</v>
      </c>
      <c r="E2518" s="84" t="s">
        <v>1464</v>
      </c>
      <c r="F2518" s="13" t="s">
        <v>7001</v>
      </c>
      <c r="G2518" s="13">
        <v>8</v>
      </c>
      <c r="H2518" s="13"/>
      <c r="I2518" s="13">
        <v>11</v>
      </c>
      <c r="J2518" s="29" t="s">
        <v>1264</v>
      </c>
      <c r="K2518" s="29" t="s">
        <v>8082</v>
      </c>
      <c r="L2518" s="84"/>
      <c r="M2518" s="68">
        <v>1</v>
      </c>
      <c r="N2518" s="68" t="s">
        <v>6321</v>
      </c>
    </row>
    <row r="2519" spans="1:14" s="3" customFormat="1" ht="14.25" x14ac:dyDescent="0.2">
      <c r="A2519" s="11" t="s">
        <v>6331</v>
      </c>
      <c r="B2519" s="12" t="s">
        <v>3732</v>
      </c>
      <c r="C2519" s="13" t="s">
        <v>3757</v>
      </c>
      <c r="D2519" s="13" t="s">
        <v>3754</v>
      </c>
      <c r="E2519" s="84" t="s">
        <v>1464</v>
      </c>
      <c r="F2519" s="13" t="s">
        <v>3754</v>
      </c>
      <c r="G2519" s="13">
        <v>81</v>
      </c>
      <c r="H2519" s="13"/>
      <c r="I2519" s="13"/>
      <c r="J2519" s="29" t="s">
        <v>1264</v>
      </c>
      <c r="K2519" s="29" t="s">
        <v>6332</v>
      </c>
      <c r="L2519" s="84"/>
      <c r="M2519" s="68">
        <v>1</v>
      </c>
      <c r="N2519" s="68" t="s">
        <v>6321</v>
      </c>
    </row>
    <row r="2520" spans="1:14" s="3" customFormat="1" ht="14.25" x14ac:dyDescent="0.2">
      <c r="A2520" s="11" t="s">
        <v>6424</v>
      </c>
      <c r="B2520" s="12" t="s">
        <v>4696</v>
      </c>
      <c r="C2520" s="13" t="s">
        <v>3757</v>
      </c>
      <c r="D2520" s="13" t="s">
        <v>3754</v>
      </c>
      <c r="E2520" s="84" t="s">
        <v>6425</v>
      </c>
      <c r="F2520" s="13" t="s">
        <v>6426</v>
      </c>
      <c r="G2520" s="13">
        <v>82</v>
      </c>
      <c r="H2520" s="13"/>
      <c r="I2520" s="13"/>
      <c r="J2520" s="29" t="s">
        <v>1271</v>
      </c>
      <c r="K2520" s="29" t="s">
        <v>5264</v>
      </c>
      <c r="L2520" s="84"/>
      <c r="M2520" s="68">
        <v>1</v>
      </c>
      <c r="N2520" s="68" t="s">
        <v>6401</v>
      </c>
    </row>
    <row r="2521" spans="1:14" s="3" customFormat="1" ht="14.25" x14ac:dyDescent="0.2">
      <c r="A2521" s="11" t="s">
        <v>6419</v>
      </c>
      <c r="B2521" s="12" t="s">
        <v>3752</v>
      </c>
      <c r="C2521" s="13" t="s">
        <v>3757</v>
      </c>
      <c r="D2521" s="13" t="s">
        <v>3754</v>
      </c>
      <c r="E2521" s="84" t="s">
        <v>5389</v>
      </c>
      <c r="F2521" s="13" t="s">
        <v>6420</v>
      </c>
      <c r="G2521" s="13">
        <v>78</v>
      </c>
      <c r="H2521" s="13"/>
      <c r="I2521" s="13"/>
      <c r="J2521" s="29" t="s">
        <v>6421</v>
      </c>
      <c r="K2521" s="29" t="s">
        <v>712</v>
      </c>
      <c r="L2521" s="84"/>
      <c r="M2521" s="68">
        <v>1</v>
      </c>
      <c r="N2521" s="68" t="s">
        <v>6401</v>
      </c>
    </row>
    <row r="2522" spans="1:14" s="3" customFormat="1" ht="14.25" x14ac:dyDescent="0.2">
      <c r="A2522" s="11" t="s">
        <v>6374</v>
      </c>
      <c r="B2522" s="12" t="s">
        <v>6375</v>
      </c>
      <c r="C2522" s="13" t="s">
        <v>3754</v>
      </c>
      <c r="D2522" s="13" t="s">
        <v>3754</v>
      </c>
      <c r="E2522" s="84" t="s">
        <v>6376</v>
      </c>
      <c r="F2522" s="13" t="s">
        <v>6377</v>
      </c>
      <c r="G2522" s="13">
        <v>34</v>
      </c>
      <c r="H2522" s="13"/>
      <c r="I2522" s="13"/>
      <c r="J2522" s="29" t="s">
        <v>6378</v>
      </c>
      <c r="K2522" s="29" t="s">
        <v>1783</v>
      </c>
      <c r="L2522" s="84"/>
      <c r="M2522" s="68">
        <v>1</v>
      </c>
      <c r="N2522" s="68" t="s">
        <v>6321</v>
      </c>
    </row>
    <row r="2523" spans="1:14" s="3" customFormat="1" ht="14.25" x14ac:dyDescent="0.2">
      <c r="A2523" s="11" t="s">
        <v>6333</v>
      </c>
      <c r="B2523" s="12" t="s">
        <v>6339</v>
      </c>
      <c r="C2523" s="13" t="s">
        <v>3757</v>
      </c>
      <c r="D2523" s="13" t="s">
        <v>3754</v>
      </c>
      <c r="E2523" s="84" t="s">
        <v>6340</v>
      </c>
      <c r="F2523" s="13" t="s">
        <v>3754</v>
      </c>
      <c r="G2523" s="13">
        <v>49</v>
      </c>
      <c r="H2523" s="13"/>
      <c r="I2523" s="13"/>
      <c r="J2523" s="29" t="s">
        <v>1264</v>
      </c>
      <c r="K2523" s="29" t="s">
        <v>1378</v>
      </c>
      <c r="L2523" s="84"/>
      <c r="M2523" s="68">
        <v>1</v>
      </c>
      <c r="N2523" s="68" t="s">
        <v>6321</v>
      </c>
    </row>
    <row r="2524" spans="1:14" s="3" customFormat="1" ht="14.25" x14ac:dyDescent="0.2">
      <c r="A2524" s="11" t="s">
        <v>6333</v>
      </c>
      <c r="B2524" s="12" t="s">
        <v>3723</v>
      </c>
      <c r="C2524" s="13" t="s">
        <v>3754</v>
      </c>
      <c r="D2524" s="13" t="s">
        <v>3754</v>
      </c>
      <c r="E2524" s="84" t="s">
        <v>6338</v>
      </c>
      <c r="F2524" s="13" t="s">
        <v>3754</v>
      </c>
      <c r="G2524" s="13">
        <v>3</v>
      </c>
      <c r="H2524" s="13">
        <v>1</v>
      </c>
      <c r="I2524" s="13"/>
      <c r="J2524" s="29" t="s">
        <v>1254</v>
      </c>
      <c r="K2524" s="29" t="s">
        <v>1378</v>
      </c>
      <c r="L2524" s="84"/>
      <c r="M2524" s="68">
        <v>1</v>
      </c>
      <c r="N2524" s="68" t="s">
        <v>6321</v>
      </c>
    </row>
    <row r="2525" spans="1:14" s="3" customFormat="1" ht="14.25" x14ac:dyDescent="0.2">
      <c r="A2525" s="11" t="s">
        <v>6333</v>
      </c>
      <c r="B2525" s="12" t="s">
        <v>3750</v>
      </c>
      <c r="C2525" s="13" t="s">
        <v>3754</v>
      </c>
      <c r="D2525" s="13" t="s">
        <v>3754</v>
      </c>
      <c r="E2525" s="84" t="s">
        <v>6341</v>
      </c>
      <c r="F2525" s="13" t="s">
        <v>3754</v>
      </c>
      <c r="G2525" s="13">
        <v>2</v>
      </c>
      <c r="H2525" s="13">
        <v>8</v>
      </c>
      <c r="I2525" s="13"/>
      <c r="J2525" s="29" t="s">
        <v>4750</v>
      </c>
      <c r="K2525" s="29" t="s">
        <v>1378</v>
      </c>
      <c r="L2525" s="84"/>
      <c r="M2525" s="68">
        <v>1</v>
      </c>
      <c r="N2525" s="68" t="s">
        <v>6321</v>
      </c>
    </row>
    <row r="2526" spans="1:14" s="3" customFormat="1" ht="14.25" x14ac:dyDescent="0.2">
      <c r="A2526" s="11" t="s">
        <v>6333</v>
      </c>
      <c r="B2526" s="12" t="s">
        <v>6334</v>
      </c>
      <c r="C2526" s="13" t="s">
        <v>3754</v>
      </c>
      <c r="D2526" s="13" t="s">
        <v>3754</v>
      </c>
      <c r="E2526" s="84" t="s">
        <v>4068</v>
      </c>
      <c r="F2526" s="13" t="s">
        <v>3754</v>
      </c>
      <c r="G2526" s="13">
        <v>8</v>
      </c>
      <c r="H2526" s="13"/>
      <c r="I2526" s="13"/>
      <c r="J2526" s="29" t="s">
        <v>4739</v>
      </c>
      <c r="K2526" s="29" t="s">
        <v>6335</v>
      </c>
      <c r="L2526" s="84"/>
      <c r="M2526" s="68">
        <v>1</v>
      </c>
      <c r="N2526" s="68" t="s">
        <v>6321</v>
      </c>
    </row>
    <row r="2527" spans="1:14" s="3" customFormat="1" ht="14.25" x14ac:dyDescent="0.2">
      <c r="A2527" s="11" t="s">
        <v>6333</v>
      </c>
      <c r="B2527" s="12" t="s">
        <v>1445</v>
      </c>
      <c r="C2527" s="13" t="s">
        <v>3754</v>
      </c>
      <c r="D2527" s="13" t="s">
        <v>3754</v>
      </c>
      <c r="E2527" s="84" t="s">
        <v>6342</v>
      </c>
      <c r="F2527" s="13" t="s">
        <v>3754</v>
      </c>
      <c r="G2527" s="13"/>
      <c r="H2527" s="13">
        <v>1</v>
      </c>
      <c r="I2527" s="13"/>
      <c r="J2527" s="29" t="s">
        <v>1261</v>
      </c>
      <c r="K2527" s="29" t="s">
        <v>1378</v>
      </c>
      <c r="L2527" s="84"/>
      <c r="M2527" s="68">
        <v>1</v>
      </c>
      <c r="N2527" s="68" t="s">
        <v>6321</v>
      </c>
    </row>
    <row r="2528" spans="1:14" s="3" customFormat="1" ht="14.25" x14ac:dyDescent="0.2">
      <c r="A2528" s="11" t="s">
        <v>6437</v>
      </c>
      <c r="B2528" s="12" t="s">
        <v>3732</v>
      </c>
      <c r="C2528" s="13" t="s">
        <v>6438</v>
      </c>
      <c r="D2528" s="13" t="s">
        <v>7175</v>
      </c>
      <c r="E2528" s="84" t="s">
        <v>3374</v>
      </c>
      <c r="F2528" s="13" t="s">
        <v>6439</v>
      </c>
      <c r="G2528" s="13">
        <v>40</v>
      </c>
      <c r="H2528" s="13"/>
      <c r="I2528" s="13"/>
      <c r="J2528" s="29" t="s">
        <v>1264</v>
      </c>
      <c r="K2528" s="29" t="s">
        <v>5907</v>
      </c>
      <c r="L2528" s="84"/>
      <c r="M2528" s="68">
        <v>1</v>
      </c>
      <c r="N2528" s="68" t="s">
        <v>6401</v>
      </c>
    </row>
    <row r="2529" spans="1:14" s="3" customFormat="1" ht="14.25" x14ac:dyDescent="0.2">
      <c r="A2529" s="11" t="s">
        <v>6348</v>
      </c>
      <c r="B2529" s="12" t="s">
        <v>3752</v>
      </c>
      <c r="C2529" s="13" t="s">
        <v>3757</v>
      </c>
      <c r="D2529" s="13" t="s">
        <v>3754</v>
      </c>
      <c r="E2529" s="84" t="s">
        <v>6349</v>
      </c>
      <c r="F2529" s="13" t="s">
        <v>6350</v>
      </c>
      <c r="G2529" s="13">
        <v>88</v>
      </c>
      <c r="H2529" s="13"/>
      <c r="I2529" s="13"/>
      <c r="J2529" s="29" t="s">
        <v>2108</v>
      </c>
      <c r="K2529" s="29" t="s">
        <v>6351</v>
      </c>
      <c r="L2529" s="84"/>
      <c r="M2529" s="68">
        <v>1</v>
      </c>
      <c r="N2529" s="68" t="s">
        <v>6321</v>
      </c>
    </row>
    <row r="2530" spans="1:14" s="3" customFormat="1" ht="14.25" x14ac:dyDescent="0.2">
      <c r="A2530" s="11" t="s">
        <v>6348</v>
      </c>
      <c r="B2530" s="12" t="s">
        <v>4701</v>
      </c>
      <c r="C2530" s="13" t="s">
        <v>3757</v>
      </c>
      <c r="D2530" s="13" t="s">
        <v>3754</v>
      </c>
      <c r="E2530" s="84" t="s">
        <v>6352</v>
      </c>
      <c r="F2530" s="13" t="s">
        <v>6350</v>
      </c>
      <c r="G2530" s="13">
        <v>26</v>
      </c>
      <c r="H2530" s="13"/>
      <c r="I2530" s="13"/>
      <c r="J2530" s="29" t="s">
        <v>1264</v>
      </c>
      <c r="K2530" s="29" t="s">
        <v>6351</v>
      </c>
      <c r="L2530" s="84"/>
      <c r="M2530" s="68">
        <v>1</v>
      </c>
      <c r="N2530" s="68" t="s">
        <v>6321</v>
      </c>
    </row>
    <row r="2531" spans="1:14" s="3" customFormat="1" ht="14.25" x14ac:dyDescent="0.2">
      <c r="A2531" s="11" t="s">
        <v>6344</v>
      </c>
      <c r="B2531" s="12" t="s">
        <v>6435</v>
      </c>
      <c r="C2531" s="13" t="s">
        <v>3754</v>
      </c>
      <c r="D2531" s="13" t="s">
        <v>3754</v>
      </c>
      <c r="E2531" s="84" t="s">
        <v>6298</v>
      </c>
      <c r="F2531" s="13" t="s">
        <v>6436</v>
      </c>
      <c r="G2531" s="13">
        <v>4</v>
      </c>
      <c r="H2531" s="13">
        <v>6</v>
      </c>
      <c r="I2531" s="13"/>
      <c r="J2531" s="29" t="s">
        <v>1258</v>
      </c>
      <c r="K2531" s="29" t="s">
        <v>6299</v>
      </c>
      <c r="L2531" s="84"/>
      <c r="M2531" s="68">
        <v>1</v>
      </c>
      <c r="N2531" s="68" t="s">
        <v>6401</v>
      </c>
    </row>
    <row r="2532" spans="1:14" s="3" customFormat="1" ht="14.25" x14ac:dyDescent="0.2">
      <c r="A2532" s="11" t="s">
        <v>6344</v>
      </c>
      <c r="B2532" s="12" t="s">
        <v>471</v>
      </c>
      <c r="C2532" s="13" t="s">
        <v>3754</v>
      </c>
      <c r="D2532" s="13" t="s">
        <v>3754</v>
      </c>
      <c r="E2532" s="84" t="s">
        <v>4304</v>
      </c>
      <c r="F2532" s="13" t="s">
        <v>6379</v>
      </c>
      <c r="G2532" s="13"/>
      <c r="H2532" s="13">
        <v>2</v>
      </c>
      <c r="I2532" s="13"/>
      <c r="J2532" s="29" t="s">
        <v>4748</v>
      </c>
      <c r="K2532" s="29" t="s">
        <v>6380</v>
      </c>
      <c r="L2532" s="84"/>
      <c r="M2532" s="68">
        <v>1</v>
      </c>
      <c r="N2532" s="68" t="s">
        <v>6321</v>
      </c>
    </row>
    <row r="2533" spans="1:14" s="3" customFormat="1" ht="14.25" x14ac:dyDescent="0.2">
      <c r="A2533" s="11" t="s">
        <v>6344</v>
      </c>
      <c r="B2533" s="12" t="s">
        <v>3733</v>
      </c>
      <c r="C2533" s="13" t="s">
        <v>3754</v>
      </c>
      <c r="D2533" s="13" t="s">
        <v>3754</v>
      </c>
      <c r="E2533" s="84" t="s">
        <v>6393</v>
      </c>
      <c r="F2533" s="13" t="s">
        <v>6379</v>
      </c>
      <c r="G2533" s="13">
        <v>4</v>
      </c>
      <c r="H2533" s="13">
        <v>10</v>
      </c>
      <c r="I2533" s="13"/>
      <c r="J2533" s="29" t="s">
        <v>6394</v>
      </c>
      <c r="K2533" s="29" t="s">
        <v>8752</v>
      </c>
      <c r="L2533" s="84"/>
      <c r="M2533" s="68">
        <v>1</v>
      </c>
      <c r="N2533" s="68" t="s">
        <v>6321</v>
      </c>
    </row>
    <row r="2534" spans="1:14" s="3" customFormat="1" ht="14.25" x14ac:dyDescent="0.2">
      <c r="A2534" s="11" t="s">
        <v>6344</v>
      </c>
      <c r="B2534" s="12" t="s">
        <v>3733</v>
      </c>
      <c r="C2534" s="13" t="s">
        <v>3754</v>
      </c>
      <c r="D2534" s="13" t="s">
        <v>3754</v>
      </c>
      <c r="E2534" s="84" t="s">
        <v>6345</v>
      </c>
      <c r="F2534" s="13" t="s">
        <v>6346</v>
      </c>
      <c r="G2534" s="13">
        <v>29</v>
      </c>
      <c r="H2534" s="13">
        <v>6</v>
      </c>
      <c r="I2534" s="13"/>
      <c r="J2534" s="29" t="s">
        <v>1264</v>
      </c>
      <c r="K2534" s="29" t="s">
        <v>6347</v>
      </c>
      <c r="L2534" s="84"/>
      <c r="M2534" s="68">
        <v>1</v>
      </c>
      <c r="N2534" s="68" t="s">
        <v>6321</v>
      </c>
    </row>
    <row r="2535" spans="1:14" s="3" customFormat="1" ht="28.5" x14ac:dyDescent="0.2">
      <c r="A2535" s="11" t="s">
        <v>6322</v>
      </c>
      <c r="B2535" s="12" t="s">
        <v>3748</v>
      </c>
      <c r="C2535" s="13" t="s">
        <v>3757</v>
      </c>
      <c r="D2535" s="13" t="s">
        <v>3754</v>
      </c>
      <c r="E2535" s="84" t="s">
        <v>5940</v>
      </c>
      <c r="F2535" s="13" t="s">
        <v>6383</v>
      </c>
      <c r="G2535" s="13">
        <v>78</v>
      </c>
      <c r="H2535" s="13"/>
      <c r="I2535" s="13"/>
      <c r="J2535" s="29" t="s">
        <v>2108</v>
      </c>
      <c r="K2535" s="29" t="s">
        <v>5882</v>
      </c>
      <c r="L2535" s="84" t="s">
        <v>6704</v>
      </c>
      <c r="M2535" s="68">
        <v>1</v>
      </c>
      <c r="N2535" s="68" t="s">
        <v>6321</v>
      </c>
    </row>
    <row r="2536" spans="1:14" s="3" customFormat="1" ht="14.25" x14ac:dyDescent="0.2">
      <c r="A2536" s="11" t="s">
        <v>6322</v>
      </c>
      <c r="B2536" s="12" t="s">
        <v>4292</v>
      </c>
      <c r="C2536" s="13" t="s">
        <v>3754</v>
      </c>
      <c r="D2536" s="13" t="s">
        <v>3754</v>
      </c>
      <c r="E2536" s="84" t="s">
        <v>2323</v>
      </c>
      <c r="F2536" s="13" t="s">
        <v>6402</v>
      </c>
      <c r="G2536" s="13">
        <v>3</v>
      </c>
      <c r="H2536" s="13">
        <v>11</v>
      </c>
      <c r="I2536" s="13"/>
      <c r="J2536" s="29" t="s">
        <v>5683</v>
      </c>
      <c r="K2536" s="29" t="s">
        <v>2325</v>
      </c>
      <c r="L2536" s="84"/>
      <c r="M2536" s="68">
        <v>1</v>
      </c>
      <c r="N2536" s="68" t="s">
        <v>6401</v>
      </c>
    </row>
    <row r="2537" spans="1:14" s="3" customFormat="1" ht="14.25" x14ac:dyDescent="0.2">
      <c r="A2537" s="11" t="s">
        <v>6322</v>
      </c>
      <c r="B2537" s="12" t="s">
        <v>3752</v>
      </c>
      <c r="C2537" s="13" t="s">
        <v>3757</v>
      </c>
      <c r="D2537" s="13" t="s">
        <v>3754</v>
      </c>
      <c r="E2537" s="84" t="s">
        <v>6353</v>
      </c>
      <c r="F2537" s="13" t="s">
        <v>1731</v>
      </c>
      <c r="G2537" s="13">
        <v>25</v>
      </c>
      <c r="H2537" s="13"/>
      <c r="I2537" s="13"/>
      <c r="J2537" s="29" t="s">
        <v>1264</v>
      </c>
      <c r="K2537" s="29" t="s">
        <v>4756</v>
      </c>
      <c r="L2537" s="84"/>
      <c r="M2537" s="68">
        <v>1</v>
      </c>
      <c r="N2537" s="68" t="s">
        <v>6321</v>
      </c>
    </row>
    <row r="2538" spans="1:14" s="3" customFormat="1" ht="14.25" x14ac:dyDescent="0.2">
      <c r="A2538" s="11" t="s">
        <v>6322</v>
      </c>
      <c r="B2538" s="12" t="s">
        <v>3752</v>
      </c>
      <c r="C2538" s="13" t="s">
        <v>3754</v>
      </c>
      <c r="D2538" s="13" t="s">
        <v>3754</v>
      </c>
      <c r="E2538" s="84" t="s">
        <v>6325</v>
      </c>
      <c r="F2538" s="13" t="s">
        <v>3754</v>
      </c>
      <c r="G2538" s="13">
        <v>28</v>
      </c>
      <c r="H2538" s="13"/>
      <c r="I2538" s="13"/>
      <c r="J2538" s="29" t="s">
        <v>6326</v>
      </c>
      <c r="K2538" s="29" t="s">
        <v>1390</v>
      </c>
      <c r="L2538" s="84"/>
      <c r="M2538" s="68">
        <v>1</v>
      </c>
      <c r="N2538" s="68" t="s">
        <v>6321</v>
      </c>
    </row>
    <row r="2539" spans="1:14" s="3" customFormat="1" ht="14.25" x14ac:dyDescent="0.2">
      <c r="A2539" s="70" t="s">
        <v>6322</v>
      </c>
      <c r="B2539" s="12" t="s">
        <v>4908</v>
      </c>
      <c r="C2539" s="13" t="s">
        <v>3754</v>
      </c>
      <c r="D2539" s="13" t="s">
        <v>3754</v>
      </c>
      <c r="E2539" s="84" t="s">
        <v>6403</v>
      </c>
      <c r="F2539" s="13" t="s">
        <v>7477</v>
      </c>
      <c r="G2539" s="13">
        <v>19</v>
      </c>
      <c r="H2539" s="13"/>
      <c r="I2539" s="13"/>
      <c r="J2539" s="29" t="s">
        <v>1264</v>
      </c>
      <c r="K2539" s="29" t="s">
        <v>6404</v>
      </c>
      <c r="L2539" s="84"/>
      <c r="M2539" s="68">
        <v>1</v>
      </c>
      <c r="N2539" s="68" t="s">
        <v>6401</v>
      </c>
    </row>
    <row r="2540" spans="1:14" s="3" customFormat="1" ht="14.25" x14ac:dyDescent="0.2">
      <c r="A2540" s="11" t="s">
        <v>6322</v>
      </c>
      <c r="B2540" s="12" t="s">
        <v>6381</v>
      </c>
      <c r="C2540" s="13" t="s">
        <v>3757</v>
      </c>
      <c r="D2540" s="13" t="s">
        <v>3754</v>
      </c>
      <c r="E2540" s="84" t="s">
        <v>6382</v>
      </c>
      <c r="F2540" s="13" t="s">
        <v>6383</v>
      </c>
      <c r="G2540" s="13">
        <v>43</v>
      </c>
      <c r="H2540" s="13"/>
      <c r="I2540" s="13"/>
      <c r="J2540" s="29" t="s">
        <v>6384</v>
      </c>
      <c r="K2540" s="29" t="s">
        <v>6385</v>
      </c>
      <c r="L2540" s="84"/>
      <c r="M2540" s="68">
        <v>1</v>
      </c>
      <c r="N2540" s="68" t="s">
        <v>6321</v>
      </c>
    </row>
    <row r="2541" spans="1:14" s="3" customFormat="1" ht="14.25" x14ac:dyDescent="0.2">
      <c r="A2541" s="11" t="s">
        <v>6322</v>
      </c>
      <c r="B2541" s="12" t="s">
        <v>3740</v>
      </c>
      <c r="C2541" s="13" t="s">
        <v>3754</v>
      </c>
      <c r="D2541" s="69"/>
      <c r="E2541" s="84" t="s">
        <v>2849</v>
      </c>
      <c r="F2541" s="13" t="s">
        <v>6411</v>
      </c>
      <c r="G2541" s="13">
        <v>1</v>
      </c>
      <c r="H2541" s="13">
        <v>3</v>
      </c>
      <c r="I2541" s="13"/>
      <c r="J2541" s="29" t="s">
        <v>4790</v>
      </c>
      <c r="K2541" s="29" t="s">
        <v>2852</v>
      </c>
      <c r="L2541" s="84"/>
      <c r="M2541" s="68">
        <v>1</v>
      </c>
      <c r="N2541" s="68" t="s">
        <v>6401</v>
      </c>
    </row>
    <row r="2542" spans="1:14" s="3" customFormat="1" ht="14.25" x14ac:dyDescent="0.2">
      <c r="A2542" s="11" t="s">
        <v>6322</v>
      </c>
      <c r="B2542" s="12" t="s">
        <v>5073</v>
      </c>
      <c r="C2542" s="13" t="s">
        <v>3754</v>
      </c>
      <c r="D2542" s="13" t="s">
        <v>3754</v>
      </c>
      <c r="E2542" s="84" t="s">
        <v>5255</v>
      </c>
      <c r="F2542" s="13" t="s">
        <v>6430</v>
      </c>
      <c r="G2542" s="13">
        <v>41</v>
      </c>
      <c r="H2542" s="13"/>
      <c r="I2542" s="13"/>
      <c r="J2542" s="29" t="s">
        <v>1264</v>
      </c>
      <c r="K2542" s="29" t="s">
        <v>3911</v>
      </c>
      <c r="L2542" s="84"/>
      <c r="M2542" s="68">
        <v>1</v>
      </c>
      <c r="N2542" s="68" t="s">
        <v>6401</v>
      </c>
    </row>
    <row r="2543" spans="1:14" s="3" customFormat="1" ht="14.25" x14ac:dyDescent="0.2">
      <c r="A2543" s="11" t="s">
        <v>6322</v>
      </c>
      <c r="B2543" s="12" t="s">
        <v>1073</v>
      </c>
      <c r="C2543" s="13" t="s">
        <v>3754</v>
      </c>
      <c r="D2543" s="69"/>
      <c r="E2543" s="84" t="s">
        <v>2868</v>
      </c>
      <c r="F2543" s="13" t="s">
        <v>6410</v>
      </c>
      <c r="G2543" s="13">
        <v>1</v>
      </c>
      <c r="H2543" s="13">
        <v>2</v>
      </c>
      <c r="I2543" s="13">
        <v>14</v>
      </c>
      <c r="J2543" s="29" t="s">
        <v>5234</v>
      </c>
      <c r="K2543" s="29" t="s">
        <v>335</v>
      </c>
      <c r="L2543" s="84"/>
      <c r="M2543" s="68">
        <v>1</v>
      </c>
      <c r="N2543" s="68" t="s">
        <v>6401</v>
      </c>
    </row>
    <row r="2544" spans="1:14" s="3" customFormat="1" ht="14.25" x14ac:dyDescent="0.2">
      <c r="A2544" s="9" t="s">
        <v>6322</v>
      </c>
      <c r="B2544" s="5" t="s">
        <v>1073</v>
      </c>
      <c r="C2544" s="21" t="s">
        <v>6416</v>
      </c>
      <c r="D2544" s="69"/>
      <c r="E2544" s="55" t="s">
        <v>2868</v>
      </c>
      <c r="F2544" s="10" t="s">
        <v>6417</v>
      </c>
      <c r="G2544" s="21">
        <v>1</v>
      </c>
      <c r="H2544" s="21">
        <v>2</v>
      </c>
      <c r="I2544" s="21">
        <v>14</v>
      </c>
      <c r="J2544" s="55" t="s">
        <v>4829</v>
      </c>
      <c r="K2544" s="61" t="s">
        <v>6418</v>
      </c>
      <c r="L2544" s="61"/>
      <c r="M2544" s="68">
        <v>1</v>
      </c>
      <c r="N2544" s="68" t="s">
        <v>6401</v>
      </c>
    </row>
    <row r="2545" spans="1:14" s="3" customFormat="1" ht="14.25" x14ac:dyDescent="0.2">
      <c r="A2545" s="9" t="s">
        <v>6322</v>
      </c>
      <c r="B2545" s="5" t="s">
        <v>4687</v>
      </c>
      <c r="C2545" s="10" t="s">
        <v>3754</v>
      </c>
      <c r="D2545" s="13" t="s">
        <v>3754</v>
      </c>
      <c r="E2545" s="55" t="s">
        <v>1464</v>
      </c>
      <c r="F2545" s="10" t="s">
        <v>3754</v>
      </c>
      <c r="G2545" s="21"/>
      <c r="H2545" s="21">
        <v>5</v>
      </c>
      <c r="I2545" s="21"/>
      <c r="J2545" s="55" t="s">
        <v>4075</v>
      </c>
      <c r="K2545" s="55" t="s">
        <v>1981</v>
      </c>
      <c r="L2545" s="61"/>
      <c r="M2545" s="68">
        <v>1</v>
      </c>
      <c r="N2545" s="68" t="s">
        <v>6321</v>
      </c>
    </row>
    <row r="2546" spans="1:14" s="3" customFormat="1" ht="14.25" x14ac:dyDescent="0.2">
      <c r="A2546" s="11" t="s">
        <v>6322</v>
      </c>
      <c r="B2546" s="12" t="s">
        <v>1422</v>
      </c>
      <c r="C2546" s="13" t="s">
        <v>3754</v>
      </c>
      <c r="D2546" s="13" t="s">
        <v>3754</v>
      </c>
      <c r="E2546" s="84" t="s">
        <v>1598</v>
      </c>
      <c r="F2546" s="39" t="s">
        <v>6398</v>
      </c>
      <c r="G2546" s="13"/>
      <c r="H2546" s="13">
        <v>4</v>
      </c>
      <c r="I2546" s="13"/>
      <c r="J2546" s="84" t="s">
        <v>4579</v>
      </c>
      <c r="K2546" s="84" t="s">
        <v>5972</v>
      </c>
      <c r="L2546" s="84"/>
      <c r="M2546" s="68">
        <v>1</v>
      </c>
      <c r="N2546" s="68" t="s">
        <v>6321</v>
      </c>
    </row>
    <row r="2547" spans="1:14" s="3" customFormat="1" ht="14.25" x14ac:dyDescent="0.2">
      <c r="A2547" s="11" t="s">
        <v>6322</v>
      </c>
      <c r="B2547" s="12" t="s">
        <v>3750</v>
      </c>
      <c r="C2547" s="13" t="s">
        <v>3757</v>
      </c>
      <c r="D2547" s="13" t="s">
        <v>3754</v>
      </c>
      <c r="E2547" s="84" t="s">
        <v>6422</v>
      </c>
      <c r="F2547" s="39" t="s">
        <v>5414</v>
      </c>
      <c r="G2547" s="13">
        <v>55</v>
      </c>
      <c r="H2547" s="13"/>
      <c r="I2547" s="13"/>
      <c r="J2547" s="84" t="s">
        <v>1264</v>
      </c>
      <c r="K2547" s="84" t="s">
        <v>6423</v>
      </c>
      <c r="L2547" s="84"/>
      <c r="M2547" s="68">
        <v>1</v>
      </c>
      <c r="N2547" s="68" t="s">
        <v>6401</v>
      </c>
    </row>
    <row r="2548" spans="1:14" s="3" customFormat="1" ht="14.25" x14ac:dyDescent="0.2">
      <c r="A2548" s="11" t="s">
        <v>6322</v>
      </c>
      <c r="B2548" s="12" t="s">
        <v>471</v>
      </c>
      <c r="C2548" s="13" t="s">
        <v>3754</v>
      </c>
      <c r="D2548" s="13" t="s">
        <v>3754</v>
      </c>
      <c r="E2548" s="84" t="s">
        <v>6397</v>
      </c>
      <c r="F2548" s="39" t="s">
        <v>6398</v>
      </c>
      <c r="G2548" s="13">
        <v>6</v>
      </c>
      <c r="H2548" s="13">
        <v>3</v>
      </c>
      <c r="I2548" s="13"/>
      <c r="J2548" s="84" t="s">
        <v>5010</v>
      </c>
      <c r="K2548" s="84" t="s">
        <v>5972</v>
      </c>
      <c r="L2548" s="84"/>
      <c r="M2548" s="68">
        <v>1</v>
      </c>
      <c r="N2548" s="68" t="s">
        <v>6321</v>
      </c>
    </row>
    <row r="2549" spans="1:14" s="3" customFormat="1" ht="14.25" x14ac:dyDescent="0.2">
      <c r="A2549" s="11" t="s">
        <v>6322</v>
      </c>
      <c r="B2549" s="12" t="s">
        <v>2055</v>
      </c>
      <c r="C2549" s="13" t="s">
        <v>3754</v>
      </c>
      <c r="D2549" s="13" t="s">
        <v>3754</v>
      </c>
      <c r="E2549" s="84" t="s">
        <v>6386</v>
      </c>
      <c r="F2549" s="39" t="s">
        <v>5156</v>
      </c>
      <c r="G2549" s="13">
        <v>3</v>
      </c>
      <c r="H2549" s="13">
        <v>4</v>
      </c>
      <c r="I2549" s="13"/>
      <c r="J2549" s="84" t="s">
        <v>1270</v>
      </c>
      <c r="K2549" s="84" t="s">
        <v>6387</v>
      </c>
      <c r="L2549" s="84"/>
      <c r="M2549" s="68">
        <v>1</v>
      </c>
      <c r="N2549" s="68" t="s">
        <v>6321</v>
      </c>
    </row>
    <row r="2550" spans="1:14" s="3" customFormat="1" ht="14.25" x14ac:dyDescent="0.2">
      <c r="A2550" s="11" t="s">
        <v>6322</v>
      </c>
      <c r="B2550" s="12" t="s">
        <v>2055</v>
      </c>
      <c r="C2550" s="13" t="s">
        <v>3754</v>
      </c>
      <c r="D2550" s="13" t="s">
        <v>3754</v>
      </c>
      <c r="E2550" s="84" t="s">
        <v>6433</v>
      </c>
      <c r="F2550" s="39" t="s">
        <v>6434</v>
      </c>
      <c r="G2550" s="13">
        <v>20</v>
      </c>
      <c r="H2550" s="13"/>
      <c r="I2550" s="13"/>
      <c r="J2550" s="84" t="s">
        <v>1264</v>
      </c>
      <c r="K2550" s="84" t="s">
        <v>3919</v>
      </c>
      <c r="L2550" s="84"/>
      <c r="M2550" s="68">
        <v>1</v>
      </c>
      <c r="N2550" s="68" t="s">
        <v>6401</v>
      </c>
    </row>
    <row r="2551" spans="1:14" s="3" customFormat="1" ht="14.25" x14ac:dyDescent="0.2">
      <c r="A2551" s="11" t="s">
        <v>6322</v>
      </c>
      <c r="B2551" s="12" t="s">
        <v>8813</v>
      </c>
      <c r="C2551" s="13" t="s">
        <v>3754</v>
      </c>
      <c r="D2551" s="13" t="s">
        <v>3754</v>
      </c>
      <c r="E2551" s="84" t="s">
        <v>6323</v>
      </c>
      <c r="F2551" s="39" t="s">
        <v>3754</v>
      </c>
      <c r="G2551" s="13">
        <v>27</v>
      </c>
      <c r="H2551" s="13"/>
      <c r="I2551" s="13"/>
      <c r="J2551" s="84" t="s">
        <v>5945</v>
      </c>
      <c r="K2551" s="84" t="s">
        <v>6324</v>
      </c>
      <c r="L2551" s="84"/>
      <c r="M2551" s="68">
        <v>1</v>
      </c>
      <c r="N2551" s="68" t="s">
        <v>6321</v>
      </c>
    </row>
    <row r="2552" spans="1:14" s="3" customFormat="1" ht="14.25" x14ac:dyDescent="0.2">
      <c r="A2552" s="11" t="s">
        <v>6336</v>
      </c>
      <c r="B2552" s="12" t="s">
        <v>3734</v>
      </c>
      <c r="C2552" s="13" t="s">
        <v>3757</v>
      </c>
      <c r="D2552" s="13" t="s">
        <v>3754</v>
      </c>
      <c r="E2552" s="84" t="s">
        <v>6337</v>
      </c>
      <c r="F2552" s="39" t="s">
        <v>3754</v>
      </c>
      <c r="G2552" s="13">
        <v>58</v>
      </c>
      <c r="H2552" s="13"/>
      <c r="I2552" s="13"/>
      <c r="J2552" s="84" t="s">
        <v>6573</v>
      </c>
      <c r="K2552" s="84" t="s">
        <v>5128</v>
      </c>
      <c r="L2552" s="84"/>
      <c r="M2552" s="68">
        <v>1</v>
      </c>
      <c r="N2552" s="68" t="s">
        <v>6321</v>
      </c>
    </row>
    <row r="2553" spans="1:14" s="3" customFormat="1" ht="14.25" x14ac:dyDescent="0.2">
      <c r="A2553" s="11" t="s">
        <v>6336</v>
      </c>
      <c r="B2553" s="12" t="s">
        <v>6370</v>
      </c>
      <c r="C2553" s="13" t="s">
        <v>3768</v>
      </c>
      <c r="D2553" s="13" t="s">
        <v>3754</v>
      </c>
      <c r="E2553" s="84" t="s">
        <v>6371</v>
      </c>
      <c r="F2553" s="39" t="s">
        <v>6364</v>
      </c>
      <c r="G2553" s="13">
        <v>19</v>
      </c>
      <c r="H2553" s="13"/>
      <c r="I2553" s="13"/>
      <c r="J2553" s="84" t="s">
        <v>5999</v>
      </c>
      <c r="K2553" s="84" t="s">
        <v>4265</v>
      </c>
      <c r="L2553" s="84"/>
      <c r="M2553" s="68">
        <v>1</v>
      </c>
      <c r="N2553" s="68" t="s">
        <v>6321</v>
      </c>
    </row>
    <row r="2554" spans="1:14" s="3" customFormat="1" ht="14.25" x14ac:dyDescent="0.2">
      <c r="A2554" s="11" t="s">
        <v>6336</v>
      </c>
      <c r="B2554" s="12" t="s">
        <v>3753</v>
      </c>
      <c r="C2554" s="13" t="s">
        <v>3757</v>
      </c>
      <c r="D2554" s="13" t="s">
        <v>3754</v>
      </c>
      <c r="E2554" s="84" t="s">
        <v>5023</v>
      </c>
      <c r="F2554" s="39" t="s">
        <v>6412</v>
      </c>
      <c r="G2554" s="13">
        <v>70</v>
      </c>
      <c r="H2554" s="13"/>
      <c r="I2554" s="13"/>
      <c r="J2554" s="84" t="s">
        <v>1277</v>
      </c>
      <c r="K2554" s="84" t="s">
        <v>853</v>
      </c>
      <c r="L2554" s="84"/>
      <c r="M2554" s="68">
        <v>1</v>
      </c>
      <c r="N2554" s="68" t="s">
        <v>6401</v>
      </c>
    </row>
    <row r="2555" spans="1:14" s="3" customFormat="1" ht="14.25" x14ac:dyDescent="0.2">
      <c r="A2555" s="11" t="s">
        <v>6336</v>
      </c>
      <c r="B2555" s="12" t="s">
        <v>3723</v>
      </c>
      <c r="C2555" s="13" t="s">
        <v>3757</v>
      </c>
      <c r="D2555" s="13" t="s">
        <v>3754</v>
      </c>
      <c r="E2555" s="84" t="s">
        <v>6366</v>
      </c>
      <c r="F2555" s="39" t="s">
        <v>6364</v>
      </c>
      <c r="G2555" s="13">
        <v>49</v>
      </c>
      <c r="H2555" s="13"/>
      <c r="I2555" s="13"/>
      <c r="J2555" s="84" t="s">
        <v>6367</v>
      </c>
      <c r="K2555" s="84" t="s">
        <v>4265</v>
      </c>
      <c r="L2555" s="84"/>
      <c r="M2555" s="68">
        <v>1</v>
      </c>
      <c r="N2555" s="68" t="s">
        <v>6321</v>
      </c>
    </row>
    <row r="2556" spans="1:14" s="3" customFormat="1" ht="14.25" x14ac:dyDescent="0.2">
      <c r="A2556" s="11" t="s">
        <v>6336</v>
      </c>
      <c r="B2556" s="12" t="s">
        <v>5904</v>
      </c>
      <c r="C2556" s="13" t="s">
        <v>3754</v>
      </c>
      <c r="D2556" s="13" t="s">
        <v>3754</v>
      </c>
      <c r="E2556" s="84" t="s">
        <v>6368</v>
      </c>
      <c r="F2556" s="39" t="s">
        <v>6364</v>
      </c>
      <c r="G2556" s="13">
        <v>1</v>
      </c>
      <c r="H2556" s="13">
        <v>5</v>
      </c>
      <c r="I2556" s="13"/>
      <c r="J2556" s="84" t="s">
        <v>6369</v>
      </c>
      <c r="K2556" s="84" t="s">
        <v>4265</v>
      </c>
      <c r="L2556" s="84"/>
      <c r="M2556" s="68">
        <v>1</v>
      </c>
      <c r="N2556" s="68" t="s">
        <v>6321</v>
      </c>
    </row>
    <row r="2557" spans="1:14" s="3" customFormat="1" ht="28.5" x14ac:dyDescent="0.2">
      <c r="A2557" s="11" t="s">
        <v>6336</v>
      </c>
      <c r="B2557" s="12" t="s">
        <v>8576</v>
      </c>
      <c r="C2557" s="13" t="s">
        <v>3757</v>
      </c>
      <c r="D2557" s="13" t="s">
        <v>3754</v>
      </c>
      <c r="E2557" s="84" t="s">
        <v>8546</v>
      </c>
      <c r="F2557" s="39" t="s">
        <v>5157</v>
      </c>
      <c r="G2557" s="13">
        <v>59</v>
      </c>
      <c r="H2557" s="13"/>
      <c r="I2557" s="13"/>
      <c r="J2557" s="84" t="s">
        <v>1504</v>
      </c>
      <c r="K2557" s="84" t="s">
        <v>6343</v>
      </c>
      <c r="L2557" s="84"/>
      <c r="M2557" s="68">
        <v>1</v>
      </c>
      <c r="N2557" s="68" t="s">
        <v>6321</v>
      </c>
    </row>
    <row r="2558" spans="1:14" s="3" customFormat="1" ht="14.25" x14ac:dyDescent="0.2">
      <c r="A2558" s="11" t="s">
        <v>6336</v>
      </c>
      <c r="B2558" s="12" t="s">
        <v>6362</v>
      </c>
      <c r="C2558" s="13" t="s">
        <v>3754</v>
      </c>
      <c r="D2558" s="13" t="s">
        <v>3754</v>
      </c>
      <c r="E2558" s="84" t="s">
        <v>6363</v>
      </c>
      <c r="F2558" s="39" t="s">
        <v>6364</v>
      </c>
      <c r="G2558" s="13">
        <v>17</v>
      </c>
      <c r="H2558" s="13">
        <v>11</v>
      </c>
      <c r="I2558" s="13"/>
      <c r="J2558" s="84" t="s">
        <v>1264</v>
      </c>
      <c r="K2558" s="84" t="s">
        <v>3202</v>
      </c>
      <c r="L2558" s="84"/>
      <c r="M2558" s="68">
        <v>1</v>
      </c>
      <c r="N2558" s="68" t="s">
        <v>6321</v>
      </c>
    </row>
    <row r="2559" spans="1:14" s="3" customFormat="1" ht="14.25" x14ac:dyDescent="0.2">
      <c r="A2559" s="11" t="s">
        <v>6336</v>
      </c>
      <c r="B2559" s="12" t="s">
        <v>3733</v>
      </c>
      <c r="C2559" s="13" t="s">
        <v>3757</v>
      </c>
      <c r="D2559" s="13" t="s">
        <v>3754</v>
      </c>
      <c r="E2559" s="84" t="s">
        <v>6365</v>
      </c>
      <c r="F2559" s="39" t="s">
        <v>6364</v>
      </c>
      <c r="G2559" s="13">
        <v>67</v>
      </c>
      <c r="H2559" s="13"/>
      <c r="I2559" s="13"/>
      <c r="J2559" s="84" t="s">
        <v>2132</v>
      </c>
      <c r="K2559" s="84" t="s">
        <v>4265</v>
      </c>
      <c r="L2559" s="84"/>
      <c r="M2559" s="68">
        <v>1</v>
      </c>
      <c r="N2559" s="68" t="s">
        <v>6321</v>
      </c>
    </row>
    <row r="2560" spans="1:14" s="3" customFormat="1" ht="14.25" x14ac:dyDescent="0.2">
      <c r="A2560" s="11" t="s">
        <v>6336</v>
      </c>
      <c r="B2560" s="12" t="s">
        <v>1602</v>
      </c>
      <c r="C2560" s="13" t="s">
        <v>3754</v>
      </c>
      <c r="D2560" s="13" t="s">
        <v>3754</v>
      </c>
      <c r="E2560" s="84" t="s">
        <v>6372</v>
      </c>
      <c r="F2560" s="39" t="s">
        <v>6364</v>
      </c>
      <c r="G2560" s="13"/>
      <c r="H2560" s="13"/>
      <c r="I2560" s="13" t="s">
        <v>6373</v>
      </c>
      <c r="J2560" s="84" t="s">
        <v>4052</v>
      </c>
      <c r="K2560" s="84" t="s">
        <v>4265</v>
      </c>
      <c r="L2560" s="84"/>
      <c r="M2560" s="68">
        <v>1</v>
      </c>
      <c r="N2560" s="68" t="s">
        <v>6321</v>
      </c>
    </row>
    <row r="2561" spans="1:14" s="3" customFormat="1" ht="14.25" x14ac:dyDescent="0.2">
      <c r="A2561" s="11" t="s">
        <v>6328</v>
      </c>
      <c r="B2561" s="12" t="s">
        <v>6405</v>
      </c>
      <c r="C2561" s="13" t="s">
        <v>3754</v>
      </c>
      <c r="D2561" s="13" t="s">
        <v>3754</v>
      </c>
      <c r="E2561" s="84" t="s">
        <v>3838</v>
      </c>
      <c r="F2561" s="39" t="s">
        <v>6406</v>
      </c>
      <c r="G2561" s="13">
        <v>4</v>
      </c>
      <c r="H2561" s="13">
        <v>1</v>
      </c>
      <c r="I2561" s="13">
        <v>6</v>
      </c>
      <c r="J2561" s="84" t="s">
        <v>1258</v>
      </c>
      <c r="K2561" s="84" t="s">
        <v>6407</v>
      </c>
      <c r="L2561" s="84"/>
      <c r="M2561" s="68">
        <v>1</v>
      </c>
      <c r="N2561" s="68" t="s">
        <v>6401</v>
      </c>
    </row>
    <row r="2562" spans="1:14" s="3" customFormat="1" ht="14.25" x14ac:dyDescent="0.2">
      <c r="A2562" s="11" t="s">
        <v>6328</v>
      </c>
      <c r="B2562" s="12" t="s">
        <v>3740</v>
      </c>
      <c r="C2562" s="13" t="s">
        <v>3754</v>
      </c>
      <c r="D2562" s="13" t="s">
        <v>3754</v>
      </c>
      <c r="E2562" s="84" t="s">
        <v>6427</v>
      </c>
      <c r="F2562" s="39" t="s">
        <v>6428</v>
      </c>
      <c r="G2562" s="13">
        <v>2</v>
      </c>
      <c r="H2562" s="13">
        <v>3</v>
      </c>
      <c r="I2562" s="13"/>
      <c r="J2562" s="84" t="s">
        <v>4738</v>
      </c>
      <c r="K2562" s="84" t="s">
        <v>6429</v>
      </c>
      <c r="L2562" s="84"/>
      <c r="M2562" s="68">
        <v>1</v>
      </c>
      <c r="N2562" s="68" t="s">
        <v>6401</v>
      </c>
    </row>
    <row r="2563" spans="1:14" s="3" customFormat="1" ht="28.5" x14ac:dyDescent="0.2">
      <c r="A2563" s="11" t="s">
        <v>6328</v>
      </c>
      <c r="B2563" s="12" t="s">
        <v>4799</v>
      </c>
      <c r="C2563" s="13" t="s">
        <v>3754</v>
      </c>
      <c r="D2563" s="13" t="s">
        <v>3754</v>
      </c>
      <c r="E2563" s="84" t="s">
        <v>6329</v>
      </c>
      <c r="F2563" s="39" t="s">
        <v>3754</v>
      </c>
      <c r="G2563" s="13">
        <v>1</v>
      </c>
      <c r="H2563" s="13">
        <v>1</v>
      </c>
      <c r="I2563" s="13">
        <v>9</v>
      </c>
      <c r="J2563" s="84" t="s">
        <v>5275</v>
      </c>
      <c r="K2563" s="84" t="s">
        <v>6330</v>
      </c>
      <c r="L2563" s="84"/>
      <c r="M2563" s="68">
        <v>1</v>
      </c>
      <c r="N2563" s="68" t="s">
        <v>6321</v>
      </c>
    </row>
    <row r="2564" spans="1:14" s="3" customFormat="1" ht="14.25" x14ac:dyDescent="0.2">
      <c r="A2564" s="11" t="s">
        <v>6388</v>
      </c>
      <c r="B2564" s="12" t="s">
        <v>3744</v>
      </c>
      <c r="C2564" s="13" t="s">
        <v>3754</v>
      </c>
      <c r="D2564" s="13" t="s">
        <v>3754</v>
      </c>
      <c r="E2564" s="84" t="s">
        <v>6392</v>
      </c>
      <c r="F2564" s="39" t="s">
        <v>8826</v>
      </c>
      <c r="G2564" s="13"/>
      <c r="H2564" s="13">
        <v>7</v>
      </c>
      <c r="I2564" s="13"/>
      <c r="J2564" s="84" t="s">
        <v>6391</v>
      </c>
      <c r="K2564" s="84" t="s">
        <v>6391</v>
      </c>
      <c r="L2564" s="84"/>
      <c r="M2564" s="68">
        <v>1</v>
      </c>
      <c r="N2564" s="68" t="s">
        <v>6321</v>
      </c>
    </row>
    <row r="2565" spans="1:14" s="3" customFormat="1" ht="14.25" x14ac:dyDescent="0.2">
      <c r="A2565" s="11" t="s">
        <v>6388</v>
      </c>
      <c r="B2565" s="12" t="s">
        <v>3746</v>
      </c>
      <c r="C2565" s="13" t="s">
        <v>3757</v>
      </c>
      <c r="D2565" s="13" t="s">
        <v>3754</v>
      </c>
      <c r="E2565" s="84" t="s">
        <v>6390</v>
      </c>
      <c r="F2565" s="39" t="s">
        <v>8826</v>
      </c>
      <c r="G2565" s="13">
        <v>25</v>
      </c>
      <c r="H2565" s="13"/>
      <c r="I2565" s="13"/>
      <c r="J2565" s="84" t="s">
        <v>1264</v>
      </c>
      <c r="K2565" s="84" t="s">
        <v>6391</v>
      </c>
      <c r="L2565" s="84"/>
      <c r="M2565" s="68">
        <v>1</v>
      </c>
      <c r="N2565" s="68" t="s">
        <v>6321</v>
      </c>
    </row>
    <row r="2566" spans="1:14" s="3" customFormat="1" ht="14.25" x14ac:dyDescent="0.2">
      <c r="A2566" s="11" t="s">
        <v>6388</v>
      </c>
      <c r="B2566" s="12" t="s">
        <v>6389</v>
      </c>
      <c r="C2566" s="13" t="s">
        <v>3754</v>
      </c>
      <c r="D2566" s="13" t="s">
        <v>3754</v>
      </c>
      <c r="E2566" s="84" t="s">
        <v>6390</v>
      </c>
      <c r="F2566" s="39" t="s">
        <v>8826</v>
      </c>
      <c r="G2566" s="13"/>
      <c r="H2566" s="13"/>
      <c r="I2566" s="13">
        <v>1</v>
      </c>
      <c r="J2566" s="84" t="s">
        <v>6391</v>
      </c>
      <c r="K2566" s="84" t="s">
        <v>6391</v>
      </c>
      <c r="L2566" s="84"/>
      <c r="M2566" s="68">
        <v>1</v>
      </c>
      <c r="N2566" s="68" t="s">
        <v>6321</v>
      </c>
    </row>
    <row r="2567" spans="1:14" s="3" customFormat="1" ht="28.5" x14ac:dyDescent="0.2">
      <c r="A2567" s="11" t="s">
        <v>6395</v>
      </c>
      <c r="B2567" s="12" t="s">
        <v>3752</v>
      </c>
      <c r="C2567" s="13" t="s">
        <v>3757</v>
      </c>
      <c r="D2567" s="13" t="s">
        <v>3754</v>
      </c>
      <c r="E2567" s="84" t="s">
        <v>8754</v>
      </c>
      <c r="F2567" s="39" t="s">
        <v>6396</v>
      </c>
      <c r="G2567" s="13">
        <v>50</v>
      </c>
      <c r="H2567" s="13"/>
      <c r="I2567" s="13"/>
      <c r="J2567" s="84" t="s">
        <v>2384</v>
      </c>
      <c r="K2567" s="84" t="s">
        <v>8750</v>
      </c>
      <c r="L2567" s="84" t="s">
        <v>7000</v>
      </c>
      <c r="M2567" s="68">
        <v>1</v>
      </c>
      <c r="N2567" s="68" t="s">
        <v>6321</v>
      </c>
    </row>
    <row r="2568" spans="1:14" s="3" customFormat="1" ht="14.25" x14ac:dyDescent="0.2">
      <c r="A2568" s="11" t="s">
        <v>6395</v>
      </c>
      <c r="B2568" s="12" t="s">
        <v>6399</v>
      </c>
      <c r="C2568" s="13" t="s">
        <v>3754</v>
      </c>
      <c r="D2568" s="13" t="s">
        <v>1464</v>
      </c>
      <c r="E2568" s="84" t="s">
        <v>6970</v>
      </c>
      <c r="F2568" s="39" t="s">
        <v>6400</v>
      </c>
      <c r="G2568" s="13"/>
      <c r="H2568" s="13">
        <v>9</v>
      </c>
      <c r="I2568" s="13"/>
      <c r="J2568" s="84" t="s">
        <v>4739</v>
      </c>
      <c r="K2568" s="84" t="s">
        <v>3207</v>
      </c>
      <c r="L2568" s="99"/>
      <c r="M2568" s="68">
        <v>1</v>
      </c>
      <c r="N2568" s="68" t="s">
        <v>6321</v>
      </c>
    </row>
    <row r="2569" spans="1:14" s="3" customFormat="1" ht="42.75" x14ac:dyDescent="0.2">
      <c r="A2569" s="11" t="s">
        <v>6395</v>
      </c>
      <c r="B2569" s="12" t="s">
        <v>3728</v>
      </c>
      <c r="C2569" s="13" t="s">
        <v>3757</v>
      </c>
      <c r="D2569" s="69" t="s">
        <v>3754</v>
      </c>
      <c r="E2569" s="84" t="s">
        <v>806</v>
      </c>
      <c r="F2569" s="39" t="s">
        <v>6413</v>
      </c>
      <c r="G2569" s="13">
        <v>67</v>
      </c>
      <c r="H2569" s="13"/>
      <c r="I2569" s="13"/>
      <c r="J2569" s="84" t="s">
        <v>1271</v>
      </c>
      <c r="K2569" s="84" t="s">
        <v>6414</v>
      </c>
      <c r="L2569" s="84" t="s">
        <v>6415</v>
      </c>
      <c r="M2569" s="68">
        <v>1</v>
      </c>
      <c r="N2569" s="68" t="s">
        <v>6401</v>
      </c>
    </row>
    <row r="2570" spans="1:14" s="3" customFormat="1" ht="14.25" x14ac:dyDescent="0.2">
      <c r="A2570" s="14" t="s">
        <v>2433</v>
      </c>
      <c r="B2570" s="15" t="s">
        <v>3740</v>
      </c>
      <c r="C2570" s="16" t="s">
        <v>4931</v>
      </c>
      <c r="D2570" s="13"/>
      <c r="E2570" s="84" t="s">
        <v>2434</v>
      </c>
      <c r="F2570" s="41" t="s">
        <v>1563</v>
      </c>
      <c r="G2570" s="26"/>
      <c r="H2570" s="26"/>
      <c r="I2570" s="26">
        <v>1</v>
      </c>
      <c r="J2570" s="53" t="s">
        <v>2435</v>
      </c>
      <c r="K2570" s="53" t="s">
        <v>2436</v>
      </c>
      <c r="L2570" s="99"/>
      <c r="M2570" s="68">
        <v>1</v>
      </c>
      <c r="N2570" s="68" t="s">
        <v>6487</v>
      </c>
    </row>
    <row r="2571" spans="1:14" s="3" customFormat="1" ht="14.25" x14ac:dyDescent="0.2">
      <c r="A2571" s="11" t="s">
        <v>2433</v>
      </c>
      <c r="B2571" s="12" t="s">
        <v>8297</v>
      </c>
      <c r="C2571" s="13" t="s">
        <v>3754</v>
      </c>
      <c r="D2571" s="13" t="s">
        <v>3754</v>
      </c>
      <c r="E2571" s="84" t="s">
        <v>5907</v>
      </c>
      <c r="F2571" s="39" t="s">
        <v>8298</v>
      </c>
      <c r="G2571" s="25">
        <v>3</v>
      </c>
      <c r="H2571" s="25"/>
      <c r="I2571" s="25"/>
      <c r="J2571" s="84" t="s">
        <v>7319</v>
      </c>
      <c r="K2571" s="84" t="s">
        <v>1681</v>
      </c>
      <c r="L2571" s="84"/>
      <c r="M2571" s="68">
        <v>1</v>
      </c>
      <c r="N2571" s="68" t="s">
        <v>3973</v>
      </c>
    </row>
    <row r="2572" spans="1:14" s="3" customFormat="1" ht="14.25" x14ac:dyDescent="0.2">
      <c r="A2572" s="11" t="s">
        <v>6456</v>
      </c>
      <c r="B2572" s="12" t="s">
        <v>8383</v>
      </c>
      <c r="C2572" s="13" t="s">
        <v>1509</v>
      </c>
      <c r="D2572" s="13" t="s">
        <v>3754</v>
      </c>
      <c r="E2572" s="84" t="s">
        <v>5366</v>
      </c>
      <c r="F2572" s="39" t="s">
        <v>2448</v>
      </c>
      <c r="G2572" s="25">
        <v>38</v>
      </c>
      <c r="H2572" s="25"/>
      <c r="I2572" s="25"/>
      <c r="J2572" s="84" t="s">
        <v>1270</v>
      </c>
      <c r="K2572" s="84" t="s">
        <v>5368</v>
      </c>
      <c r="L2572" s="84"/>
      <c r="M2572" s="68">
        <v>1</v>
      </c>
      <c r="N2572" s="68" t="s">
        <v>3973</v>
      </c>
    </row>
    <row r="2573" spans="1:14" s="3" customFormat="1" ht="14.25" x14ac:dyDescent="0.2">
      <c r="A2573" s="11" t="s">
        <v>6456</v>
      </c>
      <c r="B2573" s="12" t="s">
        <v>5470</v>
      </c>
      <c r="C2573" s="13" t="s">
        <v>3754</v>
      </c>
      <c r="D2573" s="13" t="s">
        <v>3754</v>
      </c>
      <c r="E2573" s="84" t="s">
        <v>6546</v>
      </c>
      <c r="F2573" s="39" t="s">
        <v>8278</v>
      </c>
      <c r="G2573" s="25"/>
      <c r="H2573" s="25">
        <v>2</v>
      </c>
      <c r="I2573" s="25"/>
      <c r="J2573" s="84" t="s">
        <v>4748</v>
      </c>
      <c r="K2573" s="84" t="s">
        <v>6983</v>
      </c>
      <c r="L2573" s="84"/>
      <c r="M2573" s="68">
        <v>1</v>
      </c>
      <c r="N2573" s="68" t="s">
        <v>3973</v>
      </c>
    </row>
    <row r="2574" spans="1:14" s="3" customFormat="1" ht="14.25" x14ac:dyDescent="0.2">
      <c r="A2574" s="14" t="s">
        <v>6456</v>
      </c>
      <c r="B2574" s="15" t="s">
        <v>3748</v>
      </c>
      <c r="C2574" s="16" t="s">
        <v>3757</v>
      </c>
      <c r="D2574" s="13" t="s">
        <v>3754</v>
      </c>
      <c r="E2574" s="84" t="s">
        <v>8585</v>
      </c>
      <c r="F2574" s="41" t="s">
        <v>2427</v>
      </c>
      <c r="G2574" s="26">
        <v>50</v>
      </c>
      <c r="H2574" s="26"/>
      <c r="I2574" s="26"/>
      <c r="J2574" s="53" t="s">
        <v>1264</v>
      </c>
      <c r="K2574" s="84" t="s">
        <v>5994</v>
      </c>
      <c r="L2574" s="53"/>
      <c r="M2574" s="68">
        <v>1</v>
      </c>
      <c r="N2574" s="68" t="s">
        <v>6487</v>
      </c>
    </row>
    <row r="2575" spans="1:14" s="3" customFormat="1" ht="14.25" x14ac:dyDescent="0.2">
      <c r="A2575" s="14" t="s">
        <v>6456</v>
      </c>
      <c r="B2575" s="15" t="s">
        <v>4690</v>
      </c>
      <c r="C2575" s="16" t="s">
        <v>3757</v>
      </c>
      <c r="D2575" s="13" t="s">
        <v>3754</v>
      </c>
      <c r="E2575" s="84" t="s">
        <v>5994</v>
      </c>
      <c r="F2575" s="41" t="s">
        <v>2431</v>
      </c>
      <c r="G2575" s="26">
        <v>55</v>
      </c>
      <c r="H2575" s="26"/>
      <c r="I2575" s="26"/>
      <c r="J2575" s="53" t="s">
        <v>2894</v>
      </c>
      <c r="K2575" s="84" t="s">
        <v>2432</v>
      </c>
      <c r="L2575" s="53"/>
      <c r="M2575" s="68">
        <v>1</v>
      </c>
      <c r="N2575" s="68" t="s">
        <v>6487</v>
      </c>
    </row>
    <row r="2576" spans="1:14" s="3" customFormat="1" ht="14.25" x14ac:dyDescent="0.2">
      <c r="A2576" s="14" t="s">
        <v>6456</v>
      </c>
      <c r="B2576" s="15" t="s">
        <v>6095</v>
      </c>
      <c r="C2576" s="16" t="s">
        <v>3754</v>
      </c>
      <c r="D2576" s="16" t="s">
        <v>3754</v>
      </c>
      <c r="E2576" s="53" t="s">
        <v>6093</v>
      </c>
      <c r="F2576" s="41" t="s">
        <v>6094</v>
      </c>
      <c r="G2576" s="26"/>
      <c r="H2576" s="26">
        <v>2</v>
      </c>
      <c r="I2576" s="26">
        <v>6</v>
      </c>
      <c r="J2576" s="53" t="s">
        <v>5082</v>
      </c>
      <c r="K2576" s="84" t="s">
        <v>3987</v>
      </c>
      <c r="L2576" s="53"/>
      <c r="M2576" s="68">
        <v>1</v>
      </c>
      <c r="N2576" s="68" t="s">
        <v>6440</v>
      </c>
    </row>
    <row r="2577" spans="1:14" s="3" customFormat="1" ht="14.25" x14ac:dyDescent="0.2">
      <c r="A2577" s="11" t="s">
        <v>6456</v>
      </c>
      <c r="B2577" s="12" t="s">
        <v>5924</v>
      </c>
      <c r="C2577" s="13" t="s">
        <v>3754</v>
      </c>
      <c r="D2577" s="13" t="s">
        <v>3754</v>
      </c>
      <c r="E2577" s="84" t="s">
        <v>7186</v>
      </c>
      <c r="F2577" s="39" t="s">
        <v>3594</v>
      </c>
      <c r="G2577" s="25">
        <v>21</v>
      </c>
      <c r="H2577" s="25">
        <v>11</v>
      </c>
      <c r="I2577" s="25">
        <v>19</v>
      </c>
      <c r="J2577" s="84" t="s">
        <v>1264</v>
      </c>
      <c r="K2577" s="84" t="s">
        <v>7188</v>
      </c>
      <c r="L2577" s="84"/>
      <c r="M2577" s="68">
        <v>1</v>
      </c>
      <c r="N2577" s="68" t="s">
        <v>3973</v>
      </c>
    </row>
    <row r="2578" spans="1:14" s="3" customFormat="1" ht="14.25" x14ac:dyDescent="0.2">
      <c r="A2578" s="11" t="s">
        <v>6456</v>
      </c>
      <c r="B2578" s="12" t="s">
        <v>3744</v>
      </c>
      <c r="C2578" s="13" t="s">
        <v>3757</v>
      </c>
      <c r="D2578" s="13" t="s">
        <v>3761</v>
      </c>
      <c r="E2578" s="84" t="s">
        <v>8404</v>
      </c>
      <c r="F2578" s="39" t="s">
        <v>8405</v>
      </c>
      <c r="G2578" s="25">
        <v>40</v>
      </c>
      <c r="H2578" s="25"/>
      <c r="I2578" s="25"/>
      <c r="J2578" s="84" t="s">
        <v>1270</v>
      </c>
      <c r="K2578" s="84" t="s">
        <v>3898</v>
      </c>
      <c r="L2578" s="84"/>
      <c r="M2578" s="68">
        <v>1</v>
      </c>
      <c r="N2578" s="68" t="s">
        <v>3973</v>
      </c>
    </row>
    <row r="2579" spans="1:14" s="3" customFormat="1" ht="14.25" x14ac:dyDescent="0.2">
      <c r="A2579" s="14" t="s">
        <v>6456</v>
      </c>
      <c r="B2579" s="15" t="s">
        <v>3734</v>
      </c>
      <c r="C2579" s="16" t="s">
        <v>3757</v>
      </c>
      <c r="D2579" s="13" t="s">
        <v>3754</v>
      </c>
      <c r="E2579" s="84">
        <v>1857</v>
      </c>
      <c r="F2579" s="41" t="s">
        <v>6500</v>
      </c>
      <c r="G2579" s="26">
        <v>30</v>
      </c>
      <c r="H2579" s="26"/>
      <c r="I2579" s="26"/>
      <c r="J2579" s="53" t="s">
        <v>1264</v>
      </c>
      <c r="K2579" s="84" t="s">
        <v>3197</v>
      </c>
      <c r="L2579" s="53"/>
      <c r="M2579" s="68">
        <v>1</v>
      </c>
      <c r="N2579" s="68" t="s">
        <v>6487</v>
      </c>
    </row>
    <row r="2580" spans="1:14" s="3" customFormat="1" ht="14.25" x14ac:dyDescent="0.2">
      <c r="A2580" s="11" t="s">
        <v>6456</v>
      </c>
      <c r="B2580" s="12" t="s">
        <v>3734</v>
      </c>
      <c r="C2580" s="13" t="s">
        <v>3757</v>
      </c>
      <c r="D2580" s="13" t="s">
        <v>3754</v>
      </c>
      <c r="E2580" s="84" t="s">
        <v>8390</v>
      </c>
      <c r="F2580" s="39" t="s">
        <v>8391</v>
      </c>
      <c r="G2580" s="25">
        <v>30</v>
      </c>
      <c r="H2580" s="25"/>
      <c r="I2580" s="25"/>
      <c r="J2580" s="84" t="s">
        <v>1264</v>
      </c>
      <c r="K2580" s="84" t="s">
        <v>8392</v>
      </c>
      <c r="L2580" s="84"/>
      <c r="M2580" s="68">
        <v>1</v>
      </c>
      <c r="N2580" s="68" t="s">
        <v>3973</v>
      </c>
    </row>
    <row r="2581" spans="1:14" s="3" customFormat="1" ht="14.25" x14ac:dyDescent="0.2">
      <c r="A2581" s="14" t="s">
        <v>6456</v>
      </c>
      <c r="B2581" s="15" t="s">
        <v>6488</v>
      </c>
      <c r="C2581" s="13" t="s">
        <v>3767</v>
      </c>
      <c r="D2581" s="13" t="s">
        <v>3767</v>
      </c>
      <c r="E2581" s="84" t="s">
        <v>4479</v>
      </c>
      <c r="F2581" s="41" t="s">
        <v>5158</v>
      </c>
      <c r="G2581" s="26">
        <v>5</v>
      </c>
      <c r="H2581" s="26"/>
      <c r="I2581" s="26">
        <v>10</v>
      </c>
      <c r="J2581" s="53" t="s">
        <v>1254</v>
      </c>
      <c r="K2581" s="84" t="s">
        <v>5870</v>
      </c>
      <c r="L2581" s="53"/>
      <c r="M2581" s="68">
        <v>1</v>
      </c>
      <c r="N2581" s="68" t="s">
        <v>6487</v>
      </c>
    </row>
    <row r="2582" spans="1:14" s="3" customFormat="1" ht="14.25" x14ac:dyDescent="0.2">
      <c r="A2582" s="11" t="s">
        <v>6456</v>
      </c>
      <c r="B2582" s="12" t="s">
        <v>8416</v>
      </c>
      <c r="C2582" s="13" t="s">
        <v>3754</v>
      </c>
      <c r="D2582" s="13" t="s">
        <v>3754</v>
      </c>
      <c r="E2582" s="84" t="s">
        <v>2123</v>
      </c>
      <c r="F2582" s="39" t="s">
        <v>8417</v>
      </c>
      <c r="G2582" s="25">
        <v>39</v>
      </c>
      <c r="H2582" s="25"/>
      <c r="I2582" s="25"/>
      <c r="J2582" s="84" t="s">
        <v>1264</v>
      </c>
      <c r="K2582" s="84" t="s">
        <v>1465</v>
      </c>
      <c r="L2582" s="84"/>
      <c r="M2582" s="68">
        <v>1</v>
      </c>
      <c r="N2582" s="68" t="s">
        <v>3973</v>
      </c>
    </row>
    <row r="2583" spans="1:14" s="3" customFormat="1" ht="14.25" x14ac:dyDescent="0.2">
      <c r="A2583" s="14" t="s">
        <v>6456</v>
      </c>
      <c r="B2583" s="15" t="s">
        <v>1809</v>
      </c>
      <c r="C2583" s="16" t="s">
        <v>3754</v>
      </c>
      <c r="D2583" s="13" t="s">
        <v>3754</v>
      </c>
      <c r="E2583" s="84">
        <v>1857</v>
      </c>
      <c r="F2583" s="41" t="s">
        <v>6500</v>
      </c>
      <c r="G2583" s="26">
        <v>1</v>
      </c>
      <c r="H2583" s="26"/>
      <c r="I2583" s="26"/>
      <c r="J2583" s="53" t="s">
        <v>120</v>
      </c>
      <c r="K2583" s="84" t="s">
        <v>3197</v>
      </c>
      <c r="L2583" s="53"/>
      <c r="M2583" s="68">
        <v>1</v>
      </c>
      <c r="N2583" s="68" t="s">
        <v>6487</v>
      </c>
    </row>
    <row r="2584" spans="1:14" s="3" customFormat="1" ht="14.25" x14ac:dyDescent="0.2">
      <c r="A2584" s="14" t="s">
        <v>6456</v>
      </c>
      <c r="B2584" s="15" t="s">
        <v>4908</v>
      </c>
      <c r="C2584" s="16" t="s">
        <v>3754</v>
      </c>
      <c r="D2584" s="13" t="s">
        <v>3754</v>
      </c>
      <c r="E2584" s="84">
        <v>1864</v>
      </c>
      <c r="F2584" s="41" t="s">
        <v>6499</v>
      </c>
      <c r="G2584" s="26">
        <v>1</v>
      </c>
      <c r="H2584" s="26">
        <v>6</v>
      </c>
      <c r="I2584" s="26"/>
      <c r="J2584" s="53" t="s">
        <v>5082</v>
      </c>
      <c r="K2584" s="84" t="s">
        <v>3197</v>
      </c>
      <c r="L2584" s="53"/>
      <c r="M2584" s="68">
        <v>1</v>
      </c>
      <c r="N2584" s="68" t="s">
        <v>6487</v>
      </c>
    </row>
    <row r="2585" spans="1:14" s="3" customFormat="1" ht="14.25" x14ac:dyDescent="0.2">
      <c r="A2585" s="14" t="s">
        <v>6456</v>
      </c>
      <c r="B2585" s="15" t="s">
        <v>4908</v>
      </c>
      <c r="C2585" s="16" t="s">
        <v>3754</v>
      </c>
      <c r="D2585" s="13"/>
      <c r="E2585" s="53"/>
      <c r="F2585" s="41" t="s">
        <v>3754</v>
      </c>
      <c r="G2585" s="26">
        <v>7</v>
      </c>
      <c r="H2585" s="26">
        <v>8</v>
      </c>
      <c r="I2585" s="26"/>
      <c r="J2585" s="53" t="s">
        <v>1272</v>
      </c>
      <c r="K2585" s="84" t="s">
        <v>1624</v>
      </c>
      <c r="L2585" s="53"/>
      <c r="M2585" s="68">
        <v>1</v>
      </c>
      <c r="N2585" s="68" t="s">
        <v>6440</v>
      </c>
    </row>
    <row r="2586" spans="1:14" s="3" customFormat="1" ht="14.25" x14ac:dyDescent="0.2">
      <c r="A2586" s="14" t="s">
        <v>6456</v>
      </c>
      <c r="B2586" s="15" t="s">
        <v>3728</v>
      </c>
      <c r="C2586" s="16" t="s">
        <v>1872</v>
      </c>
      <c r="D2586" s="16" t="s">
        <v>3754</v>
      </c>
      <c r="E2586" s="84" t="s">
        <v>4418</v>
      </c>
      <c r="F2586" s="41" t="s">
        <v>2662</v>
      </c>
      <c r="G2586" s="26">
        <v>19</v>
      </c>
      <c r="H2586" s="26"/>
      <c r="I2586" s="26"/>
      <c r="J2586" s="53" t="s">
        <v>1257</v>
      </c>
      <c r="K2586" s="84" t="s">
        <v>5526</v>
      </c>
      <c r="L2586" s="53"/>
      <c r="M2586" s="68">
        <v>1</v>
      </c>
      <c r="N2586" s="68" t="s">
        <v>6440</v>
      </c>
    </row>
    <row r="2587" spans="1:14" s="3" customFormat="1" ht="14.25" x14ac:dyDescent="0.2">
      <c r="A2587" s="9" t="s">
        <v>6456</v>
      </c>
      <c r="B2587" s="5" t="s">
        <v>4685</v>
      </c>
      <c r="C2587" s="10" t="s">
        <v>3757</v>
      </c>
      <c r="D2587" s="13" t="s">
        <v>3761</v>
      </c>
      <c r="E2587" s="61" t="s">
        <v>3916</v>
      </c>
      <c r="F2587" s="10" t="s">
        <v>8279</v>
      </c>
      <c r="G2587" s="22">
        <v>40</v>
      </c>
      <c r="H2587" s="22"/>
      <c r="I2587" s="22"/>
      <c r="J2587" s="55" t="s">
        <v>1264</v>
      </c>
      <c r="K2587" s="55" t="s">
        <v>3918</v>
      </c>
      <c r="L2587" s="61"/>
      <c r="M2587" s="68">
        <v>1</v>
      </c>
      <c r="N2587" s="68" t="s">
        <v>3973</v>
      </c>
    </row>
    <row r="2588" spans="1:14" s="3" customFormat="1" ht="14.25" x14ac:dyDescent="0.2">
      <c r="A2588" s="9" t="s">
        <v>6456</v>
      </c>
      <c r="B2588" s="5" t="s">
        <v>8412</v>
      </c>
      <c r="C2588" s="21" t="s">
        <v>3757</v>
      </c>
      <c r="D2588" s="13" t="s">
        <v>8413</v>
      </c>
      <c r="E2588" s="55" t="s">
        <v>8414</v>
      </c>
      <c r="F2588" s="10" t="s">
        <v>8415</v>
      </c>
      <c r="G2588" s="22">
        <v>83</v>
      </c>
      <c r="H2588" s="22"/>
      <c r="I2588" s="22"/>
      <c r="J2588" s="55" t="s">
        <v>1271</v>
      </c>
      <c r="K2588" s="55" t="s">
        <v>74</v>
      </c>
      <c r="L2588" s="61"/>
      <c r="M2588" s="68">
        <v>1</v>
      </c>
      <c r="N2588" s="68" t="s">
        <v>3973</v>
      </c>
    </row>
    <row r="2589" spans="1:14" s="3" customFormat="1" ht="14.25" x14ac:dyDescent="0.2">
      <c r="A2589" s="14" t="s">
        <v>6456</v>
      </c>
      <c r="B2589" s="15" t="s">
        <v>3740</v>
      </c>
      <c r="C2589" s="16" t="s">
        <v>3757</v>
      </c>
      <c r="D2589" s="13" t="s">
        <v>2456</v>
      </c>
      <c r="E2589" s="29" t="s">
        <v>2613</v>
      </c>
      <c r="F2589" s="16" t="s">
        <v>1563</v>
      </c>
      <c r="G2589" s="26">
        <v>68</v>
      </c>
      <c r="H2589" s="26"/>
      <c r="I2589" s="26"/>
      <c r="J2589" s="27" t="s">
        <v>2457</v>
      </c>
      <c r="K2589" s="29" t="s">
        <v>2613</v>
      </c>
      <c r="L2589" s="27"/>
      <c r="M2589" s="68">
        <v>1</v>
      </c>
      <c r="N2589" s="68" t="s">
        <v>6487</v>
      </c>
    </row>
    <row r="2590" spans="1:14" s="3" customFormat="1" ht="14.25" x14ac:dyDescent="0.2">
      <c r="A2590" s="11" t="s">
        <v>6456</v>
      </c>
      <c r="B2590" s="12" t="s">
        <v>5073</v>
      </c>
      <c r="C2590" s="13" t="s">
        <v>3754</v>
      </c>
      <c r="D2590" s="13" t="s">
        <v>3754</v>
      </c>
      <c r="E2590" s="29" t="s">
        <v>3598</v>
      </c>
      <c r="F2590" s="13" t="s">
        <v>3977</v>
      </c>
      <c r="G2590" s="25">
        <v>30</v>
      </c>
      <c r="H2590" s="25"/>
      <c r="I2590" s="25"/>
      <c r="J2590" s="29" t="s">
        <v>1264</v>
      </c>
      <c r="K2590" s="29" t="s">
        <v>4545</v>
      </c>
      <c r="L2590" s="29"/>
      <c r="M2590" s="68">
        <v>1</v>
      </c>
      <c r="N2590" s="68" t="s">
        <v>3973</v>
      </c>
    </row>
    <row r="2591" spans="1:14" s="3" customFormat="1" ht="14.25" x14ac:dyDescent="0.2">
      <c r="A2591" s="11" t="s">
        <v>6456</v>
      </c>
      <c r="B2591" s="12" t="s">
        <v>5073</v>
      </c>
      <c r="C2591" s="13" t="s">
        <v>3754</v>
      </c>
      <c r="D2591" s="13" t="s">
        <v>3759</v>
      </c>
      <c r="E2591" s="29" t="s">
        <v>8418</v>
      </c>
      <c r="F2591" s="13" t="s">
        <v>922</v>
      </c>
      <c r="G2591" s="25">
        <v>30</v>
      </c>
      <c r="H2591" s="25"/>
      <c r="I2591" s="25"/>
      <c r="J2591" s="29" t="s">
        <v>1264</v>
      </c>
      <c r="K2591" s="29" t="s">
        <v>8419</v>
      </c>
      <c r="L2591" s="29"/>
      <c r="M2591" s="68">
        <v>1</v>
      </c>
      <c r="N2591" s="68" t="s">
        <v>3973</v>
      </c>
    </row>
    <row r="2592" spans="1:14" s="3" customFormat="1" ht="14.25" x14ac:dyDescent="0.2">
      <c r="A2592" s="14" t="s">
        <v>6456</v>
      </c>
      <c r="B2592" s="15" t="s">
        <v>1922</v>
      </c>
      <c r="C2592" s="16" t="s">
        <v>3754</v>
      </c>
      <c r="D2592" s="16" t="s">
        <v>3754</v>
      </c>
      <c r="E2592" s="27" t="s">
        <v>6093</v>
      </c>
      <c r="F2592" s="16" t="s">
        <v>6094</v>
      </c>
      <c r="G2592" s="26">
        <v>5</v>
      </c>
      <c r="H2592" s="26">
        <v>6</v>
      </c>
      <c r="I2592" s="26"/>
      <c r="J2592" s="27" t="s">
        <v>5082</v>
      </c>
      <c r="K2592" s="29" t="s">
        <v>3987</v>
      </c>
      <c r="L2592" s="27"/>
      <c r="M2592" s="68">
        <v>1</v>
      </c>
      <c r="N2592" s="68" t="s">
        <v>6440</v>
      </c>
    </row>
    <row r="2593" spans="1:14" s="3" customFormat="1" ht="14.25" x14ac:dyDescent="0.2">
      <c r="A2593" s="14" t="s">
        <v>6456</v>
      </c>
      <c r="B2593" s="15" t="s">
        <v>1922</v>
      </c>
      <c r="C2593" s="16" t="s">
        <v>3754</v>
      </c>
      <c r="D2593" s="13" t="s">
        <v>3754</v>
      </c>
      <c r="E2593" s="29" t="s">
        <v>3792</v>
      </c>
      <c r="F2593" s="16" t="s">
        <v>2450</v>
      </c>
      <c r="G2593" s="26">
        <v>23</v>
      </c>
      <c r="H2593" s="26"/>
      <c r="I2593" s="26"/>
      <c r="J2593" s="27" t="s">
        <v>2451</v>
      </c>
      <c r="K2593" s="29" t="s">
        <v>2452</v>
      </c>
      <c r="L2593" s="27"/>
      <c r="M2593" s="68">
        <v>1</v>
      </c>
      <c r="N2593" s="68" t="s">
        <v>6487</v>
      </c>
    </row>
    <row r="2594" spans="1:14" s="3" customFormat="1" ht="14.25" x14ac:dyDescent="0.2">
      <c r="A2594" s="11" t="s">
        <v>6456</v>
      </c>
      <c r="B2594" s="12" t="s">
        <v>4982</v>
      </c>
      <c r="C2594" s="13" t="s">
        <v>3754</v>
      </c>
      <c r="D2594" s="13" t="s">
        <v>3754</v>
      </c>
      <c r="E2594" s="29" t="s">
        <v>8420</v>
      </c>
      <c r="F2594" s="13" t="s">
        <v>8421</v>
      </c>
      <c r="G2594" s="25">
        <v>5</v>
      </c>
      <c r="H2594" s="25">
        <v>8</v>
      </c>
      <c r="I2594" s="25">
        <v>10</v>
      </c>
      <c r="J2594" s="29" t="s">
        <v>1258</v>
      </c>
      <c r="K2594" s="29" t="s">
        <v>7177</v>
      </c>
      <c r="L2594" s="29"/>
      <c r="M2594" s="68">
        <v>1</v>
      </c>
      <c r="N2594" s="68" t="s">
        <v>3973</v>
      </c>
    </row>
    <row r="2595" spans="1:14" s="3" customFormat="1" ht="14.25" x14ac:dyDescent="0.2">
      <c r="A2595" s="11" t="s">
        <v>6456</v>
      </c>
      <c r="B2595" s="12" t="s">
        <v>1422</v>
      </c>
      <c r="C2595" s="13" t="s">
        <v>3757</v>
      </c>
      <c r="D2595" s="13" t="s">
        <v>3754</v>
      </c>
      <c r="E2595" s="29" t="s">
        <v>3310</v>
      </c>
      <c r="F2595" s="13" t="s">
        <v>3977</v>
      </c>
      <c r="G2595" s="25">
        <v>27</v>
      </c>
      <c r="H2595" s="25"/>
      <c r="I2595" s="25"/>
      <c r="J2595" s="29" t="s">
        <v>8381</v>
      </c>
      <c r="K2595" s="29" t="s">
        <v>8382</v>
      </c>
      <c r="L2595" s="29"/>
      <c r="M2595" s="68">
        <v>1</v>
      </c>
      <c r="N2595" s="68" t="s">
        <v>3973</v>
      </c>
    </row>
    <row r="2596" spans="1:14" s="3" customFormat="1" ht="14.25" x14ac:dyDescent="0.2">
      <c r="A2596" s="14" t="s">
        <v>6456</v>
      </c>
      <c r="B2596" s="15" t="s">
        <v>3723</v>
      </c>
      <c r="C2596" s="16" t="s">
        <v>3757</v>
      </c>
      <c r="D2596" s="13" t="s">
        <v>3754</v>
      </c>
      <c r="E2596" s="29" t="s">
        <v>2447</v>
      </c>
      <c r="F2596" s="16" t="s">
        <v>2448</v>
      </c>
      <c r="G2596" s="26">
        <v>60</v>
      </c>
      <c r="H2596" s="26"/>
      <c r="I2596" s="26"/>
      <c r="J2596" s="27" t="s">
        <v>1265</v>
      </c>
      <c r="K2596" s="29" t="s">
        <v>2449</v>
      </c>
      <c r="L2596" s="27"/>
      <c r="M2596" s="68">
        <v>1</v>
      </c>
      <c r="N2596" s="68" t="s">
        <v>6487</v>
      </c>
    </row>
    <row r="2597" spans="1:14" s="3" customFormat="1" ht="14.25" x14ac:dyDescent="0.2">
      <c r="A2597" s="11" t="s">
        <v>6456</v>
      </c>
      <c r="B2597" s="12" t="s">
        <v>3723</v>
      </c>
      <c r="C2597" s="13" t="s">
        <v>3757</v>
      </c>
      <c r="D2597" s="13" t="s">
        <v>3754</v>
      </c>
      <c r="E2597" s="29" t="s">
        <v>1037</v>
      </c>
      <c r="F2597" s="13" t="s">
        <v>8284</v>
      </c>
      <c r="G2597" s="25">
        <v>70</v>
      </c>
      <c r="H2597" s="25"/>
      <c r="I2597" s="25"/>
      <c r="J2597" s="29" t="s">
        <v>1271</v>
      </c>
      <c r="K2597" s="29" t="s">
        <v>8285</v>
      </c>
      <c r="L2597" s="29"/>
      <c r="M2597" s="68">
        <v>1</v>
      </c>
      <c r="N2597" s="68" t="s">
        <v>3973</v>
      </c>
    </row>
    <row r="2598" spans="1:14" s="3" customFormat="1" ht="14.25" x14ac:dyDescent="0.2">
      <c r="A2598" s="14" t="s">
        <v>6456</v>
      </c>
      <c r="B2598" s="15" t="s">
        <v>8532</v>
      </c>
      <c r="C2598" s="16" t="s">
        <v>3754</v>
      </c>
      <c r="D2598" s="16" t="s">
        <v>3754</v>
      </c>
      <c r="E2598" s="29" t="s">
        <v>1852</v>
      </c>
      <c r="F2598" s="16" t="s">
        <v>6098</v>
      </c>
      <c r="G2598" s="26">
        <v>2</v>
      </c>
      <c r="H2598" s="26">
        <v>6</v>
      </c>
      <c r="I2598" s="26"/>
      <c r="J2598" s="27" t="s">
        <v>1258</v>
      </c>
      <c r="K2598" s="29" t="s">
        <v>6099</v>
      </c>
      <c r="L2598" s="27"/>
      <c r="M2598" s="68">
        <v>1</v>
      </c>
      <c r="N2598" s="68" t="s">
        <v>6440</v>
      </c>
    </row>
    <row r="2599" spans="1:14" s="3" customFormat="1" ht="14.25" x14ac:dyDescent="0.2">
      <c r="A2599" s="14" t="s">
        <v>6456</v>
      </c>
      <c r="B2599" s="15" t="s">
        <v>2453</v>
      </c>
      <c r="C2599" s="16" t="s">
        <v>3754</v>
      </c>
      <c r="D2599" s="13" t="s">
        <v>3754</v>
      </c>
      <c r="E2599" s="29" t="s">
        <v>8825</v>
      </c>
      <c r="F2599" s="16" t="s">
        <v>2454</v>
      </c>
      <c r="G2599" s="26">
        <v>1</v>
      </c>
      <c r="H2599" s="26">
        <v>1</v>
      </c>
      <c r="I2599" s="26">
        <v>7</v>
      </c>
      <c r="J2599" s="27" t="s">
        <v>1254</v>
      </c>
      <c r="K2599" s="29" t="s">
        <v>2455</v>
      </c>
      <c r="L2599" s="27"/>
      <c r="M2599" s="68">
        <v>1</v>
      </c>
      <c r="N2599" s="68" t="s">
        <v>6487</v>
      </c>
    </row>
    <row r="2600" spans="1:14" s="3" customFormat="1" ht="14.25" x14ac:dyDescent="0.2">
      <c r="A2600" s="14" t="s">
        <v>6456</v>
      </c>
      <c r="B2600" s="15" t="s">
        <v>4701</v>
      </c>
      <c r="C2600" s="16" t="s">
        <v>3757</v>
      </c>
      <c r="D2600" s="16" t="s">
        <v>3754</v>
      </c>
      <c r="E2600" s="29" t="s">
        <v>6475</v>
      </c>
      <c r="F2600" s="16" t="s">
        <v>2405</v>
      </c>
      <c r="G2600" s="26">
        <v>54</v>
      </c>
      <c r="H2600" s="26"/>
      <c r="I2600" s="26"/>
      <c r="J2600" s="27" t="s">
        <v>2689</v>
      </c>
      <c r="K2600" s="29" t="s">
        <v>6092</v>
      </c>
      <c r="L2600" s="27"/>
      <c r="M2600" s="68">
        <v>1</v>
      </c>
      <c r="N2600" s="68" t="s">
        <v>6440</v>
      </c>
    </row>
    <row r="2601" spans="1:14" s="3" customFormat="1" ht="14.25" x14ac:dyDescent="0.2">
      <c r="A2601" s="11" t="s">
        <v>6456</v>
      </c>
      <c r="B2601" s="12" t="s">
        <v>4701</v>
      </c>
      <c r="C2601" s="13" t="s">
        <v>3757</v>
      </c>
      <c r="D2601" s="13" t="s">
        <v>3767</v>
      </c>
      <c r="E2601" s="29" t="s">
        <v>6</v>
      </c>
      <c r="F2601" s="13" t="s">
        <v>8388</v>
      </c>
      <c r="G2601" s="25">
        <v>54</v>
      </c>
      <c r="H2601" s="25"/>
      <c r="I2601" s="25"/>
      <c r="J2601" s="29" t="s">
        <v>1267</v>
      </c>
      <c r="K2601" s="29" t="s">
        <v>8389</v>
      </c>
      <c r="L2601" s="29"/>
      <c r="M2601" s="68">
        <v>1</v>
      </c>
      <c r="N2601" s="68" t="s">
        <v>3973</v>
      </c>
    </row>
    <row r="2602" spans="1:14" s="3" customFormat="1" ht="14.25" x14ac:dyDescent="0.2">
      <c r="A2602" s="14" t="s">
        <v>6456</v>
      </c>
      <c r="B2602" s="15" t="s">
        <v>3733</v>
      </c>
      <c r="C2602" s="16" t="s">
        <v>3757</v>
      </c>
      <c r="D2602" s="13"/>
      <c r="E2602" s="27"/>
      <c r="F2602" s="16" t="s">
        <v>3754</v>
      </c>
      <c r="G2602" s="26">
        <v>63</v>
      </c>
      <c r="H2602" s="26"/>
      <c r="I2602" s="26"/>
      <c r="J2602" s="27" t="s">
        <v>1266</v>
      </c>
      <c r="K2602" s="29" t="s">
        <v>1624</v>
      </c>
      <c r="L2602" s="27"/>
      <c r="M2602" s="68">
        <v>1</v>
      </c>
      <c r="N2602" s="68" t="s">
        <v>6440</v>
      </c>
    </row>
    <row r="2603" spans="1:14" s="3" customFormat="1" ht="14.25" x14ac:dyDescent="0.2">
      <c r="A2603" s="11" t="s">
        <v>6456</v>
      </c>
      <c r="B2603" s="12" t="s">
        <v>3733</v>
      </c>
      <c r="C2603" s="13" t="s">
        <v>3754</v>
      </c>
      <c r="D2603" s="13" t="s">
        <v>3754</v>
      </c>
      <c r="E2603" s="29" t="s">
        <v>447</v>
      </c>
      <c r="F2603" s="13" t="s">
        <v>8409</v>
      </c>
      <c r="G2603" s="25"/>
      <c r="H2603" s="25">
        <v>11</v>
      </c>
      <c r="I2603" s="25"/>
      <c r="J2603" s="29" t="s">
        <v>1258</v>
      </c>
      <c r="K2603" s="29" t="s">
        <v>3903</v>
      </c>
      <c r="L2603" s="29"/>
      <c r="M2603" s="68">
        <v>1</v>
      </c>
      <c r="N2603" s="68" t="s">
        <v>3973</v>
      </c>
    </row>
    <row r="2604" spans="1:14" s="3" customFormat="1" ht="14.25" x14ac:dyDescent="0.2">
      <c r="A2604" s="11" t="s">
        <v>6456</v>
      </c>
      <c r="B2604" s="12" t="s">
        <v>4256</v>
      </c>
      <c r="C2604" s="13" t="s">
        <v>3754</v>
      </c>
      <c r="D2604" s="13" t="s">
        <v>3754</v>
      </c>
      <c r="E2604" s="29" t="s">
        <v>2517</v>
      </c>
      <c r="F2604" s="13" t="s">
        <v>8394</v>
      </c>
      <c r="G2604" s="25">
        <v>38</v>
      </c>
      <c r="H2604" s="25"/>
      <c r="I2604" s="25"/>
      <c r="J2604" s="29" t="s">
        <v>1264</v>
      </c>
      <c r="K2604" s="29" t="s">
        <v>8395</v>
      </c>
      <c r="L2604" s="29"/>
      <c r="M2604" s="68">
        <v>1</v>
      </c>
      <c r="N2604" s="68" t="s">
        <v>3973</v>
      </c>
    </row>
    <row r="2605" spans="1:14" s="3" customFormat="1" ht="14.25" x14ac:dyDescent="0.2">
      <c r="A2605" s="14" t="s">
        <v>6458</v>
      </c>
      <c r="B2605" s="15" t="s">
        <v>6474</v>
      </c>
      <c r="C2605" s="16" t="s">
        <v>3767</v>
      </c>
      <c r="D2605" s="13" t="s">
        <v>3767</v>
      </c>
      <c r="E2605" s="29" t="s">
        <v>4762</v>
      </c>
      <c r="F2605" s="16" t="s">
        <v>5294</v>
      </c>
      <c r="G2605" s="26">
        <v>6</v>
      </c>
      <c r="H2605" s="26">
        <v>4</v>
      </c>
      <c r="I2605" s="26"/>
      <c r="J2605" s="27" t="s">
        <v>4737</v>
      </c>
      <c r="K2605" s="29" t="s">
        <v>1723</v>
      </c>
      <c r="L2605" s="27"/>
      <c r="M2605" s="68">
        <v>1</v>
      </c>
      <c r="N2605" s="68" t="s">
        <v>6440</v>
      </c>
    </row>
    <row r="2606" spans="1:14" s="3" customFormat="1" ht="14.25" x14ac:dyDescent="0.2">
      <c r="A2606" s="14" t="s">
        <v>6458</v>
      </c>
      <c r="B2606" s="15" t="s">
        <v>4795</v>
      </c>
      <c r="C2606" s="16" t="s">
        <v>3757</v>
      </c>
      <c r="D2606" s="16" t="s">
        <v>3754</v>
      </c>
      <c r="E2606" s="27">
        <v>1849</v>
      </c>
      <c r="F2606" s="16" t="s">
        <v>3754</v>
      </c>
      <c r="G2606" s="26">
        <v>55</v>
      </c>
      <c r="H2606" s="26"/>
      <c r="I2606" s="26"/>
      <c r="J2606" s="27" t="s">
        <v>1264</v>
      </c>
      <c r="K2606" s="29" t="s">
        <v>4769</v>
      </c>
      <c r="L2606" s="27"/>
      <c r="M2606" s="68">
        <v>1</v>
      </c>
      <c r="N2606" s="68" t="s">
        <v>6440</v>
      </c>
    </row>
    <row r="2607" spans="1:14" s="3" customFormat="1" ht="14.25" x14ac:dyDescent="0.2">
      <c r="A2607" s="14" t="s">
        <v>6469</v>
      </c>
      <c r="B2607" s="15" t="s">
        <v>6470</v>
      </c>
      <c r="C2607" s="16" t="s">
        <v>3754</v>
      </c>
      <c r="D2607" s="16" t="s">
        <v>3754</v>
      </c>
      <c r="E2607" s="27"/>
      <c r="F2607" s="16" t="s">
        <v>6471</v>
      </c>
      <c r="G2607" s="26"/>
      <c r="H2607" s="26">
        <v>8</v>
      </c>
      <c r="I2607" s="26">
        <v>6</v>
      </c>
      <c r="J2607" s="27" t="s">
        <v>6472</v>
      </c>
      <c r="K2607" s="29" t="s">
        <v>6473</v>
      </c>
      <c r="L2607" s="27"/>
      <c r="M2607" s="68">
        <v>1</v>
      </c>
      <c r="N2607" s="68" t="s">
        <v>6440</v>
      </c>
    </row>
    <row r="2608" spans="1:14" s="3" customFormat="1" ht="14.25" x14ac:dyDescent="0.2">
      <c r="A2608" s="11" t="s">
        <v>3974</v>
      </c>
      <c r="B2608" s="12" t="s">
        <v>3723</v>
      </c>
      <c r="C2608" s="13" t="s">
        <v>3754</v>
      </c>
      <c r="D2608" s="13" t="s">
        <v>3754</v>
      </c>
      <c r="E2608" s="29" t="s">
        <v>3975</v>
      </c>
      <c r="F2608" s="13" t="s">
        <v>3976</v>
      </c>
      <c r="G2608" s="25">
        <v>32</v>
      </c>
      <c r="H2608" s="25"/>
      <c r="I2608" s="25"/>
      <c r="J2608" s="29" t="s">
        <v>4738</v>
      </c>
      <c r="K2608" s="29" t="s">
        <v>3137</v>
      </c>
      <c r="L2608" s="29"/>
      <c r="M2608" s="68">
        <v>1</v>
      </c>
      <c r="N2608" s="68" t="s">
        <v>3973</v>
      </c>
    </row>
    <row r="2609" spans="1:14" s="3" customFormat="1" ht="14.25" x14ac:dyDescent="0.2">
      <c r="A2609" s="11" t="s">
        <v>3974</v>
      </c>
      <c r="B2609" s="12" t="s">
        <v>6077</v>
      </c>
      <c r="C2609" s="13" t="s">
        <v>3757</v>
      </c>
      <c r="D2609" s="13" t="s">
        <v>3754</v>
      </c>
      <c r="E2609" s="29" t="s">
        <v>8286</v>
      </c>
      <c r="F2609" s="13" t="s">
        <v>3976</v>
      </c>
      <c r="G2609" s="25">
        <v>76</v>
      </c>
      <c r="H2609" s="25"/>
      <c r="I2609" s="25"/>
      <c r="J2609" s="29" t="s">
        <v>6573</v>
      </c>
      <c r="K2609" s="29" t="s">
        <v>6174</v>
      </c>
      <c r="L2609" s="29"/>
      <c r="M2609" s="68">
        <v>1</v>
      </c>
      <c r="N2609" s="68" t="s">
        <v>3973</v>
      </c>
    </row>
    <row r="2610" spans="1:14" s="3" customFormat="1" ht="14.25" x14ac:dyDescent="0.2">
      <c r="A2610" s="14" t="s">
        <v>6441</v>
      </c>
      <c r="B2610" s="15" t="s">
        <v>4684</v>
      </c>
      <c r="C2610" s="16" t="s">
        <v>3754</v>
      </c>
      <c r="D2610" s="16" t="s">
        <v>3754</v>
      </c>
      <c r="E2610" s="72"/>
      <c r="F2610" s="16" t="s">
        <v>3754</v>
      </c>
      <c r="G2610" s="26">
        <v>1</v>
      </c>
      <c r="H2610" s="26"/>
      <c r="I2610" s="26"/>
      <c r="J2610" s="27" t="s">
        <v>4790</v>
      </c>
      <c r="K2610" s="29" t="s">
        <v>6442</v>
      </c>
      <c r="L2610" s="27"/>
      <c r="M2610" s="68">
        <v>1</v>
      </c>
      <c r="N2610" s="68" t="s">
        <v>6440</v>
      </c>
    </row>
    <row r="2611" spans="1:14" s="3" customFormat="1" ht="14.25" x14ac:dyDescent="0.2">
      <c r="A2611" s="14" t="s">
        <v>6441</v>
      </c>
      <c r="B2611" s="15" t="s">
        <v>1809</v>
      </c>
      <c r="C2611" s="16" t="s">
        <v>3754</v>
      </c>
      <c r="D2611" s="16" t="s">
        <v>3754</v>
      </c>
      <c r="E2611" s="72"/>
      <c r="F2611" s="16" t="s">
        <v>3754</v>
      </c>
      <c r="G2611" s="26">
        <v>1</v>
      </c>
      <c r="H2611" s="26"/>
      <c r="I2611" s="26"/>
      <c r="J2611" s="27" t="s">
        <v>1258</v>
      </c>
      <c r="K2611" s="29" t="s">
        <v>6442</v>
      </c>
      <c r="L2611" s="27"/>
      <c r="M2611" s="68">
        <v>1</v>
      </c>
      <c r="N2611" s="68" t="s">
        <v>6440</v>
      </c>
    </row>
    <row r="2612" spans="1:14" s="3" customFormat="1" ht="14.25" x14ac:dyDescent="0.2">
      <c r="A2612" s="14" t="s">
        <v>6441</v>
      </c>
      <c r="B2612" s="15" t="s">
        <v>4908</v>
      </c>
      <c r="C2612" s="16" t="s">
        <v>3757</v>
      </c>
      <c r="D2612" s="16" t="s">
        <v>3754</v>
      </c>
      <c r="E2612" s="72"/>
      <c r="F2612" s="16" t="s">
        <v>3754</v>
      </c>
      <c r="G2612" s="26">
        <v>26</v>
      </c>
      <c r="H2612" s="26"/>
      <c r="I2612" s="26"/>
      <c r="J2612" s="27" t="s">
        <v>2335</v>
      </c>
      <c r="K2612" s="29" t="s">
        <v>6442</v>
      </c>
      <c r="L2612" s="27"/>
      <c r="M2612" s="68">
        <v>1</v>
      </c>
      <c r="N2612" s="68" t="s">
        <v>6440</v>
      </c>
    </row>
    <row r="2613" spans="1:14" s="3" customFormat="1" ht="14.25" x14ac:dyDescent="0.2">
      <c r="A2613" s="14" t="s">
        <v>6441</v>
      </c>
      <c r="B2613" s="15" t="s">
        <v>6443</v>
      </c>
      <c r="C2613" s="16" t="s">
        <v>3754</v>
      </c>
      <c r="D2613" s="16" t="s">
        <v>3754</v>
      </c>
      <c r="E2613" s="72"/>
      <c r="F2613" s="16" t="s">
        <v>3754</v>
      </c>
      <c r="G2613" s="26">
        <v>2</v>
      </c>
      <c r="H2613" s="26"/>
      <c r="I2613" s="26"/>
      <c r="J2613" s="27" t="s">
        <v>2097</v>
      </c>
      <c r="K2613" s="29" t="s">
        <v>6442</v>
      </c>
      <c r="L2613" s="27"/>
      <c r="M2613" s="68">
        <v>1</v>
      </c>
      <c r="N2613" s="68" t="s">
        <v>6440</v>
      </c>
    </row>
    <row r="2614" spans="1:14" s="3" customFormat="1" ht="14.25" x14ac:dyDescent="0.2">
      <c r="A2614" s="14" t="s">
        <v>6441</v>
      </c>
      <c r="B2614" s="15" t="s">
        <v>4685</v>
      </c>
      <c r="C2614" s="16" t="s">
        <v>3754</v>
      </c>
      <c r="D2614" s="16" t="s">
        <v>3754</v>
      </c>
      <c r="E2614" s="29" t="s">
        <v>6451</v>
      </c>
      <c r="F2614" s="16" t="s">
        <v>3754</v>
      </c>
      <c r="G2614" s="26">
        <v>1</v>
      </c>
      <c r="H2614" s="26">
        <v>10</v>
      </c>
      <c r="I2614" s="26">
        <v>15</v>
      </c>
      <c r="J2614" s="27" t="s">
        <v>1254</v>
      </c>
      <c r="K2614" s="29" t="s">
        <v>4154</v>
      </c>
      <c r="L2614" s="27"/>
      <c r="M2614" s="68">
        <v>1</v>
      </c>
      <c r="N2614" s="68" t="s">
        <v>6440</v>
      </c>
    </row>
    <row r="2615" spans="1:14" s="3" customFormat="1" ht="14.25" x14ac:dyDescent="0.2">
      <c r="A2615" s="14" t="s">
        <v>6441</v>
      </c>
      <c r="B2615" s="15" t="s">
        <v>4685</v>
      </c>
      <c r="C2615" s="16" t="s">
        <v>3754</v>
      </c>
      <c r="D2615" s="16" t="s">
        <v>3754</v>
      </c>
      <c r="E2615" s="72"/>
      <c r="F2615" s="16" t="s">
        <v>3754</v>
      </c>
      <c r="G2615" s="26">
        <v>4</v>
      </c>
      <c r="H2615" s="26"/>
      <c r="I2615" s="26"/>
      <c r="J2615" s="27" t="s">
        <v>4790</v>
      </c>
      <c r="K2615" s="29" t="s">
        <v>6442</v>
      </c>
      <c r="L2615" s="27"/>
      <c r="M2615" s="68">
        <v>1</v>
      </c>
      <c r="N2615" s="68" t="s">
        <v>6440</v>
      </c>
    </row>
    <row r="2616" spans="1:14" s="3" customFormat="1" ht="14.25" x14ac:dyDescent="0.2">
      <c r="A2616" s="14" t="s">
        <v>6441</v>
      </c>
      <c r="B2616" s="15" t="s">
        <v>4685</v>
      </c>
      <c r="C2616" s="16" t="s">
        <v>3757</v>
      </c>
      <c r="D2616" s="16" t="s">
        <v>3754</v>
      </c>
      <c r="E2616" s="29" t="s">
        <v>2663</v>
      </c>
      <c r="F2616" s="16" t="s">
        <v>6476</v>
      </c>
      <c r="G2616" s="26">
        <v>65</v>
      </c>
      <c r="H2616" s="26"/>
      <c r="I2616" s="26"/>
      <c r="J2616" s="27"/>
      <c r="K2616" s="29"/>
      <c r="L2616" s="27"/>
      <c r="M2616" s="68">
        <v>1</v>
      </c>
      <c r="N2616" s="68" t="s">
        <v>6440</v>
      </c>
    </row>
    <row r="2617" spans="1:14" s="3" customFormat="1" ht="14.25" x14ac:dyDescent="0.2">
      <c r="A2617" s="14" t="s">
        <v>6441</v>
      </c>
      <c r="B2617" s="15" t="s">
        <v>1428</v>
      </c>
      <c r="C2617" s="16" t="s">
        <v>3757</v>
      </c>
      <c r="D2617" s="13" t="s">
        <v>3754</v>
      </c>
      <c r="E2617" s="29" t="s">
        <v>2848</v>
      </c>
      <c r="F2617" s="16" t="s">
        <v>2464</v>
      </c>
      <c r="G2617" s="26">
        <v>52</v>
      </c>
      <c r="H2617" s="26"/>
      <c r="I2617" s="26"/>
      <c r="J2617" s="27" t="s">
        <v>1264</v>
      </c>
      <c r="K2617" s="29" t="s">
        <v>2849</v>
      </c>
      <c r="L2617" s="27"/>
      <c r="M2617" s="68">
        <v>1</v>
      </c>
      <c r="N2617" s="68" t="s">
        <v>6487</v>
      </c>
    </row>
    <row r="2618" spans="1:14" s="3" customFormat="1" ht="14.25" x14ac:dyDescent="0.2">
      <c r="A2618" s="14" t="s">
        <v>6441</v>
      </c>
      <c r="B2618" s="15" t="s">
        <v>3740</v>
      </c>
      <c r="C2618" s="16" t="s">
        <v>3757</v>
      </c>
      <c r="D2618" s="16" t="s">
        <v>3754</v>
      </c>
      <c r="E2618" s="72"/>
      <c r="F2618" s="16" t="s">
        <v>3754</v>
      </c>
      <c r="G2618" s="26">
        <v>65</v>
      </c>
      <c r="H2618" s="26"/>
      <c r="I2618" s="26"/>
      <c r="J2618" s="27" t="s">
        <v>1263</v>
      </c>
      <c r="K2618" s="29" t="s">
        <v>6442</v>
      </c>
      <c r="L2618" s="27"/>
      <c r="M2618" s="68">
        <v>1</v>
      </c>
      <c r="N2618" s="68" t="s">
        <v>6440</v>
      </c>
    </row>
    <row r="2619" spans="1:14" s="3" customFormat="1" ht="14.25" x14ac:dyDescent="0.2">
      <c r="A2619" s="14" t="s">
        <v>6441</v>
      </c>
      <c r="B2619" s="15" t="s">
        <v>2469</v>
      </c>
      <c r="C2619" s="16" t="s">
        <v>3754</v>
      </c>
      <c r="D2619" s="13" t="s">
        <v>3754</v>
      </c>
      <c r="E2619" s="29" t="s">
        <v>7424</v>
      </c>
      <c r="F2619" s="16" t="s">
        <v>2470</v>
      </c>
      <c r="G2619" s="26"/>
      <c r="H2619" s="26">
        <v>3</v>
      </c>
      <c r="I2619" s="26"/>
      <c r="J2619" s="27"/>
      <c r="K2619" s="29" t="s">
        <v>7424</v>
      </c>
      <c r="L2619" s="27"/>
      <c r="M2619" s="68">
        <v>1</v>
      </c>
      <c r="N2619" s="68" t="s">
        <v>6487</v>
      </c>
    </row>
    <row r="2620" spans="1:14" s="3" customFormat="1" ht="14.25" x14ac:dyDescent="0.2">
      <c r="A2620" s="11" t="s">
        <v>6441</v>
      </c>
      <c r="B2620" s="12" t="s">
        <v>3732</v>
      </c>
      <c r="C2620" s="13" t="s">
        <v>3757</v>
      </c>
      <c r="D2620" s="13" t="s">
        <v>3754</v>
      </c>
      <c r="E2620" s="29" t="s">
        <v>473</v>
      </c>
      <c r="F2620" s="13" t="s">
        <v>8280</v>
      </c>
      <c r="G2620" s="25">
        <v>61</v>
      </c>
      <c r="H2620" s="25"/>
      <c r="I2620" s="25"/>
      <c r="J2620" s="29" t="s">
        <v>1271</v>
      </c>
      <c r="K2620" s="29" t="s">
        <v>6563</v>
      </c>
      <c r="L2620" s="29"/>
      <c r="M2620" s="68">
        <v>1</v>
      </c>
      <c r="N2620" s="68" t="s">
        <v>3973</v>
      </c>
    </row>
    <row r="2621" spans="1:14" s="3" customFormat="1" ht="14.25" x14ac:dyDescent="0.2">
      <c r="A2621" s="14" t="s">
        <v>6441</v>
      </c>
      <c r="B2621" s="15" t="s">
        <v>3741</v>
      </c>
      <c r="C2621" s="16" t="s">
        <v>3757</v>
      </c>
      <c r="D2621" s="13" t="s">
        <v>3754</v>
      </c>
      <c r="E2621" s="29" t="s">
        <v>5829</v>
      </c>
      <c r="F2621" s="16" t="s">
        <v>2490</v>
      </c>
      <c r="G2621" s="26">
        <v>55</v>
      </c>
      <c r="H2621" s="26"/>
      <c r="I2621" s="26"/>
      <c r="J2621" s="27" t="s">
        <v>3964</v>
      </c>
      <c r="K2621" s="29" t="s">
        <v>1340</v>
      </c>
      <c r="L2621" s="27"/>
      <c r="M2621" s="68">
        <v>1</v>
      </c>
      <c r="N2621" s="68" t="s">
        <v>6487</v>
      </c>
    </row>
    <row r="2622" spans="1:14" s="3" customFormat="1" ht="14.25" x14ac:dyDescent="0.2">
      <c r="A2622" s="14" t="s">
        <v>2465</v>
      </c>
      <c r="B2622" s="15" t="s">
        <v>3748</v>
      </c>
      <c r="C2622" s="16" t="s">
        <v>3757</v>
      </c>
      <c r="D2622" s="13" t="s">
        <v>3754</v>
      </c>
      <c r="E2622" s="29" t="s">
        <v>2466</v>
      </c>
      <c r="F2622" s="16" t="s">
        <v>2467</v>
      </c>
      <c r="G2622" s="26">
        <v>63</v>
      </c>
      <c r="H2622" s="26"/>
      <c r="I2622" s="26"/>
      <c r="J2622" s="27" t="s">
        <v>1264</v>
      </c>
      <c r="K2622" s="29" t="s">
        <v>2468</v>
      </c>
      <c r="L2622" s="27"/>
      <c r="M2622" s="68">
        <v>1</v>
      </c>
      <c r="N2622" s="68" t="s">
        <v>6487</v>
      </c>
    </row>
    <row r="2623" spans="1:14" s="3" customFormat="1" ht="14.25" x14ac:dyDescent="0.2">
      <c r="A2623" s="11" t="s">
        <v>2465</v>
      </c>
      <c r="B2623" s="12" t="s">
        <v>1432</v>
      </c>
      <c r="C2623" s="13" t="s">
        <v>3757</v>
      </c>
      <c r="D2623" s="13" t="s">
        <v>3754</v>
      </c>
      <c r="E2623" s="29" t="s">
        <v>3894</v>
      </c>
      <c r="F2623" s="13" t="s">
        <v>8403</v>
      </c>
      <c r="G2623" s="25"/>
      <c r="H2623" s="25"/>
      <c r="I2623" s="25"/>
      <c r="J2623" s="29" t="s">
        <v>1277</v>
      </c>
      <c r="K2623" s="29" t="s">
        <v>5200</v>
      </c>
      <c r="L2623" s="29"/>
      <c r="M2623" s="68">
        <v>1</v>
      </c>
      <c r="N2623" s="68" t="s">
        <v>3973</v>
      </c>
    </row>
    <row r="2624" spans="1:14" s="3" customFormat="1" ht="14.25" x14ac:dyDescent="0.2">
      <c r="A2624" s="14" t="s">
        <v>2465</v>
      </c>
      <c r="B2624" s="15" t="s">
        <v>4685</v>
      </c>
      <c r="C2624" s="16" t="s">
        <v>3757</v>
      </c>
      <c r="D2624" s="13"/>
      <c r="E2624" s="29" t="s">
        <v>2471</v>
      </c>
      <c r="F2624" s="16" t="s">
        <v>2472</v>
      </c>
      <c r="G2624" s="26">
        <v>84</v>
      </c>
      <c r="H2624" s="26"/>
      <c r="I2624" s="26"/>
      <c r="J2624" s="27" t="s">
        <v>2473</v>
      </c>
      <c r="K2624" s="29" t="s">
        <v>7432</v>
      </c>
      <c r="L2624" s="27"/>
      <c r="M2624" s="68">
        <v>1</v>
      </c>
      <c r="N2624" s="68" t="s">
        <v>6487</v>
      </c>
    </row>
    <row r="2625" spans="1:14" s="3" customFormat="1" ht="14.25" x14ac:dyDescent="0.2">
      <c r="A2625" s="14" t="s">
        <v>2465</v>
      </c>
      <c r="B2625" s="15" t="s">
        <v>3740</v>
      </c>
      <c r="C2625" s="16" t="s">
        <v>3757</v>
      </c>
      <c r="D2625" s="13" t="s">
        <v>3754</v>
      </c>
      <c r="E2625" s="29" t="s">
        <v>2245</v>
      </c>
      <c r="F2625" s="16" t="s">
        <v>2486</v>
      </c>
      <c r="G2625" s="26">
        <v>58</v>
      </c>
      <c r="H2625" s="26"/>
      <c r="I2625" s="26"/>
      <c r="J2625" s="27" t="s">
        <v>1270</v>
      </c>
      <c r="K2625" s="29" t="s">
        <v>2248</v>
      </c>
      <c r="L2625" s="27"/>
      <c r="M2625" s="68">
        <v>1</v>
      </c>
      <c r="N2625" s="68" t="s">
        <v>6487</v>
      </c>
    </row>
    <row r="2626" spans="1:14" s="3" customFormat="1" ht="28.5" x14ac:dyDescent="0.2">
      <c r="A2626" s="14" t="s">
        <v>2465</v>
      </c>
      <c r="B2626" s="15" t="s">
        <v>3732</v>
      </c>
      <c r="C2626" s="16" t="s">
        <v>3757</v>
      </c>
      <c r="D2626" s="13"/>
      <c r="E2626" s="29">
        <v>1865</v>
      </c>
      <c r="F2626" s="16" t="s">
        <v>6856</v>
      </c>
      <c r="G2626" s="26"/>
      <c r="H2626" s="26"/>
      <c r="I2626" s="26"/>
      <c r="J2626" s="27"/>
      <c r="K2626" s="29" t="s">
        <v>7432</v>
      </c>
      <c r="L2626" s="27"/>
      <c r="M2626" s="68">
        <v>1</v>
      </c>
      <c r="N2626" s="68" t="s">
        <v>6487</v>
      </c>
    </row>
    <row r="2627" spans="1:14" s="3" customFormat="1" ht="14.25" x14ac:dyDescent="0.2">
      <c r="A2627" s="11" t="s">
        <v>2465</v>
      </c>
      <c r="B2627" s="12" t="s">
        <v>3723</v>
      </c>
      <c r="C2627" s="13" t="s">
        <v>3754</v>
      </c>
      <c r="D2627" s="13" t="s">
        <v>3754</v>
      </c>
      <c r="E2627" s="29" t="s">
        <v>5396</v>
      </c>
      <c r="F2627" s="13" t="s">
        <v>8393</v>
      </c>
      <c r="G2627" s="25">
        <v>32</v>
      </c>
      <c r="H2627" s="25"/>
      <c r="I2627" s="25"/>
      <c r="J2627" s="29" t="s">
        <v>1270</v>
      </c>
      <c r="K2627" s="29" t="s">
        <v>983</v>
      </c>
      <c r="L2627" s="29"/>
      <c r="M2627" s="68">
        <v>1</v>
      </c>
      <c r="N2627" s="68" t="s">
        <v>3973</v>
      </c>
    </row>
    <row r="2628" spans="1:14" s="3" customFormat="1" ht="14.25" x14ac:dyDescent="0.2">
      <c r="A2628" s="11" t="s">
        <v>2465</v>
      </c>
      <c r="B2628" s="12" t="s">
        <v>3750</v>
      </c>
      <c r="C2628" s="13" t="s">
        <v>3754</v>
      </c>
      <c r="D2628" s="13" t="s">
        <v>3754</v>
      </c>
      <c r="E2628" s="29" t="s">
        <v>8287</v>
      </c>
      <c r="F2628" s="13" t="s">
        <v>8402</v>
      </c>
      <c r="G2628" s="25">
        <v>30</v>
      </c>
      <c r="H2628" s="25"/>
      <c r="I2628" s="25"/>
      <c r="J2628" s="29" t="s">
        <v>1277</v>
      </c>
      <c r="K2628" s="29" t="s">
        <v>6757</v>
      </c>
      <c r="L2628" s="29"/>
      <c r="M2628" s="68">
        <v>1</v>
      </c>
      <c r="N2628" s="68" t="s">
        <v>3973</v>
      </c>
    </row>
    <row r="2629" spans="1:14" s="3" customFormat="1" ht="14.25" x14ac:dyDescent="0.2">
      <c r="A2629" s="11" t="s">
        <v>2465</v>
      </c>
      <c r="B2629" s="12" t="s">
        <v>8401</v>
      </c>
      <c r="C2629" s="13" t="s">
        <v>3757</v>
      </c>
      <c r="D2629" s="13" t="s">
        <v>3754</v>
      </c>
      <c r="E2629" s="29" t="s">
        <v>425</v>
      </c>
      <c r="F2629" s="13" t="s">
        <v>8402</v>
      </c>
      <c r="G2629" s="25">
        <v>60</v>
      </c>
      <c r="H2629" s="25"/>
      <c r="I2629" s="25"/>
      <c r="J2629" s="29" t="s">
        <v>1264</v>
      </c>
      <c r="K2629" s="29" t="s">
        <v>3482</v>
      </c>
      <c r="L2629" s="61"/>
      <c r="M2629" s="68">
        <v>1</v>
      </c>
      <c r="N2629" s="68" t="s">
        <v>3973</v>
      </c>
    </row>
    <row r="2630" spans="1:14" s="3" customFormat="1" ht="14.25" x14ac:dyDescent="0.2">
      <c r="A2630" s="9" t="s">
        <v>8406</v>
      </c>
      <c r="B2630" s="5" t="s">
        <v>1935</v>
      </c>
      <c r="C2630" s="10" t="s">
        <v>3757</v>
      </c>
      <c r="D2630" s="13" t="s">
        <v>3754</v>
      </c>
      <c r="E2630" s="55" t="s">
        <v>719</v>
      </c>
      <c r="F2630" s="10" t="s">
        <v>8407</v>
      </c>
      <c r="G2630" s="22">
        <v>58</v>
      </c>
      <c r="H2630" s="22"/>
      <c r="I2630" s="22"/>
      <c r="J2630" s="55" t="s">
        <v>1272</v>
      </c>
      <c r="K2630" s="55" t="s">
        <v>8408</v>
      </c>
      <c r="L2630" s="61"/>
      <c r="M2630" s="68">
        <v>1</v>
      </c>
      <c r="N2630" s="68" t="s">
        <v>3973</v>
      </c>
    </row>
    <row r="2631" spans="1:14" s="3" customFormat="1" ht="14.25" x14ac:dyDescent="0.2">
      <c r="A2631" s="9" t="s">
        <v>8267</v>
      </c>
      <c r="B2631" s="5" t="s">
        <v>8268</v>
      </c>
      <c r="C2631" s="10" t="s">
        <v>3757</v>
      </c>
      <c r="D2631" s="13" t="s">
        <v>3754</v>
      </c>
      <c r="E2631" s="55" t="s">
        <v>2562</v>
      </c>
      <c r="F2631" s="10" t="s">
        <v>8269</v>
      </c>
      <c r="G2631" s="22">
        <v>50</v>
      </c>
      <c r="H2631" s="22"/>
      <c r="I2631" s="22"/>
      <c r="J2631" s="55" t="s">
        <v>1259</v>
      </c>
      <c r="K2631" s="55" t="s">
        <v>1474</v>
      </c>
      <c r="L2631" s="61"/>
      <c r="M2631" s="68">
        <v>1</v>
      </c>
      <c r="N2631" s="68" t="s">
        <v>3973</v>
      </c>
    </row>
    <row r="2632" spans="1:14" s="3" customFormat="1" ht="14.25" x14ac:dyDescent="0.2">
      <c r="A2632" s="11" t="s">
        <v>8288</v>
      </c>
      <c r="B2632" s="12" t="s">
        <v>8289</v>
      </c>
      <c r="C2632" s="13" t="s">
        <v>3757</v>
      </c>
      <c r="D2632" s="13" t="s">
        <v>3754</v>
      </c>
      <c r="E2632" s="29" t="s">
        <v>6757</v>
      </c>
      <c r="F2632" s="13" t="s">
        <v>8269</v>
      </c>
      <c r="G2632" s="25">
        <v>53</v>
      </c>
      <c r="H2632" s="25"/>
      <c r="I2632" s="25"/>
      <c r="J2632" s="29" t="s">
        <v>2989</v>
      </c>
      <c r="K2632" s="29" t="s">
        <v>8290</v>
      </c>
      <c r="L2632" s="29"/>
      <c r="M2632" s="68">
        <v>1</v>
      </c>
      <c r="N2632" s="68" t="s">
        <v>3973</v>
      </c>
    </row>
    <row r="2633" spans="1:14" s="3" customFormat="1" ht="14.25" x14ac:dyDescent="0.2">
      <c r="A2633" s="14" t="s">
        <v>2479</v>
      </c>
      <c r="B2633" s="15" t="s">
        <v>1432</v>
      </c>
      <c r="C2633" s="16" t="s">
        <v>3757</v>
      </c>
      <c r="D2633" s="13" t="s">
        <v>3754</v>
      </c>
      <c r="E2633" s="29" t="s">
        <v>2480</v>
      </c>
      <c r="F2633" s="16" t="s">
        <v>2481</v>
      </c>
      <c r="G2633" s="26">
        <v>55</v>
      </c>
      <c r="H2633" s="26"/>
      <c r="I2633" s="26"/>
      <c r="J2633" s="27" t="s">
        <v>1277</v>
      </c>
      <c r="K2633" s="29" t="s">
        <v>2482</v>
      </c>
      <c r="L2633" s="27"/>
      <c r="M2633" s="68">
        <v>1</v>
      </c>
      <c r="N2633" s="68" t="s">
        <v>6487</v>
      </c>
    </row>
    <row r="2634" spans="1:14" s="3" customFormat="1" ht="14.25" x14ac:dyDescent="0.2">
      <c r="A2634" s="14" t="s">
        <v>2428</v>
      </c>
      <c r="B2634" s="15" t="s">
        <v>3728</v>
      </c>
      <c r="C2634" s="16" t="s">
        <v>3754</v>
      </c>
      <c r="D2634" s="13" t="s">
        <v>3754</v>
      </c>
      <c r="E2634" s="29" t="s">
        <v>5875</v>
      </c>
      <c r="F2634" s="16" t="s">
        <v>2429</v>
      </c>
      <c r="G2634" s="26"/>
      <c r="H2634" s="26">
        <v>11</v>
      </c>
      <c r="I2634" s="26"/>
      <c r="J2634" s="27" t="s">
        <v>2430</v>
      </c>
      <c r="K2634" s="29" t="s">
        <v>2133</v>
      </c>
      <c r="L2634" s="27"/>
      <c r="M2634" s="68">
        <v>1</v>
      </c>
      <c r="N2634" s="68" t="s">
        <v>6487</v>
      </c>
    </row>
    <row r="2635" spans="1:14" s="3" customFormat="1" ht="14.25" x14ac:dyDescent="0.2">
      <c r="A2635" s="14" t="s">
        <v>2428</v>
      </c>
      <c r="B2635" s="15" t="s">
        <v>3733</v>
      </c>
      <c r="C2635" s="16" t="s">
        <v>3754</v>
      </c>
      <c r="D2635" s="13" t="s">
        <v>3754</v>
      </c>
      <c r="E2635" s="29" t="s">
        <v>4969</v>
      </c>
      <c r="F2635" s="16" t="s">
        <v>406</v>
      </c>
      <c r="G2635" s="26"/>
      <c r="H2635" s="26"/>
      <c r="I2635" s="26">
        <v>4</v>
      </c>
      <c r="J2635" s="27" t="s">
        <v>2451</v>
      </c>
      <c r="K2635" s="29" t="s">
        <v>4969</v>
      </c>
      <c r="L2635" s="27"/>
      <c r="M2635" s="68">
        <v>1</v>
      </c>
      <c r="N2635" s="68" t="s">
        <v>6487</v>
      </c>
    </row>
    <row r="2636" spans="1:14" s="3" customFormat="1" ht="14.25" x14ac:dyDescent="0.2">
      <c r="A2636" s="14" t="s">
        <v>2458</v>
      </c>
      <c r="B2636" s="15" t="s">
        <v>3739</v>
      </c>
      <c r="C2636" s="16" t="s">
        <v>3757</v>
      </c>
      <c r="D2636" s="13" t="s">
        <v>2459</v>
      </c>
      <c r="E2636" s="29" t="s">
        <v>3851</v>
      </c>
      <c r="F2636" s="16" t="s">
        <v>3754</v>
      </c>
      <c r="G2636" s="26">
        <v>48</v>
      </c>
      <c r="H2636" s="26"/>
      <c r="I2636" s="26"/>
      <c r="J2636" s="27" t="s">
        <v>2460</v>
      </c>
      <c r="K2636" s="29" t="s">
        <v>775</v>
      </c>
      <c r="L2636" s="27"/>
      <c r="M2636" s="68">
        <v>1</v>
      </c>
      <c r="N2636" s="68" t="s">
        <v>6487</v>
      </c>
    </row>
    <row r="2637" spans="1:14" s="3" customFormat="1" ht="14.25" x14ac:dyDescent="0.2">
      <c r="A2637" s="14" t="s">
        <v>6484</v>
      </c>
      <c r="B2637" s="15" t="s">
        <v>3724</v>
      </c>
      <c r="C2637" s="16" t="s">
        <v>3757</v>
      </c>
      <c r="D2637" s="16" t="s">
        <v>3754</v>
      </c>
      <c r="E2637" s="29" t="s">
        <v>6485</v>
      </c>
      <c r="F2637" s="16" t="s">
        <v>6486</v>
      </c>
      <c r="G2637" s="26">
        <v>79</v>
      </c>
      <c r="H2637" s="26"/>
      <c r="I2637" s="26"/>
      <c r="J2637" s="27" t="s">
        <v>1271</v>
      </c>
      <c r="K2637" s="29" t="s">
        <v>4825</v>
      </c>
      <c r="L2637" s="27"/>
      <c r="M2637" s="68">
        <v>1</v>
      </c>
      <c r="N2637" s="68" t="s">
        <v>6440</v>
      </c>
    </row>
    <row r="2638" spans="1:14" s="3" customFormat="1" ht="14.25" x14ac:dyDescent="0.2">
      <c r="A2638" s="14" t="s">
        <v>6484</v>
      </c>
      <c r="B2638" s="15" t="s">
        <v>3723</v>
      </c>
      <c r="C2638" s="16" t="s">
        <v>3757</v>
      </c>
      <c r="D2638" s="13" t="s">
        <v>3761</v>
      </c>
      <c r="E2638" s="29" t="s">
        <v>6493</v>
      </c>
      <c r="F2638" s="16" t="s">
        <v>6494</v>
      </c>
      <c r="G2638" s="26">
        <v>47</v>
      </c>
      <c r="H2638" s="26"/>
      <c r="I2638" s="26"/>
      <c r="J2638" s="27" t="s">
        <v>6573</v>
      </c>
      <c r="K2638" s="29" t="s">
        <v>6495</v>
      </c>
      <c r="L2638" s="27"/>
      <c r="M2638" s="68">
        <v>1</v>
      </c>
      <c r="N2638" s="68" t="s">
        <v>6487</v>
      </c>
    </row>
    <row r="2639" spans="1:14" s="3" customFormat="1" ht="14.25" x14ac:dyDescent="0.2">
      <c r="A2639" s="11" t="s">
        <v>6484</v>
      </c>
      <c r="B2639" s="12" t="s">
        <v>5057</v>
      </c>
      <c r="C2639" s="13" t="s">
        <v>3754</v>
      </c>
      <c r="D2639" s="13" t="s">
        <v>3754</v>
      </c>
      <c r="E2639" s="29" t="s">
        <v>2550</v>
      </c>
      <c r="F2639" s="13" t="s">
        <v>8410</v>
      </c>
      <c r="G2639" s="25">
        <v>1</v>
      </c>
      <c r="H2639" s="25"/>
      <c r="I2639" s="25">
        <v>27</v>
      </c>
      <c r="J2639" s="29" t="s">
        <v>7319</v>
      </c>
      <c r="K2639" s="29" t="s">
        <v>8411</v>
      </c>
      <c r="L2639" s="29"/>
      <c r="M2639" s="68">
        <v>1</v>
      </c>
      <c r="N2639" s="68" t="s">
        <v>3973</v>
      </c>
    </row>
    <row r="2640" spans="1:14" s="3" customFormat="1" ht="14.25" x14ac:dyDescent="0.2">
      <c r="A2640" s="14" t="s">
        <v>6444</v>
      </c>
      <c r="B2640" s="15" t="s">
        <v>6489</v>
      </c>
      <c r="C2640" s="13" t="s">
        <v>3767</v>
      </c>
      <c r="D2640" s="13" t="s">
        <v>3767</v>
      </c>
      <c r="E2640" s="29" t="s">
        <v>6490</v>
      </c>
      <c r="F2640" s="16" t="s">
        <v>6491</v>
      </c>
      <c r="G2640" s="26"/>
      <c r="H2640" s="26">
        <v>5</v>
      </c>
      <c r="I2640" s="26"/>
      <c r="J2640" s="27" t="s">
        <v>4745</v>
      </c>
      <c r="K2640" s="29" t="s">
        <v>6492</v>
      </c>
      <c r="L2640" s="27"/>
      <c r="M2640" s="68">
        <v>1</v>
      </c>
      <c r="N2640" s="68" t="s">
        <v>6487</v>
      </c>
    </row>
    <row r="2641" spans="1:14" s="3" customFormat="1" ht="14.25" x14ac:dyDescent="0.2">
      <c r="A2641" s="14" t="s">
        <v>6444</v>
      </c>
      <c r="B2641" s="15" t="s">
        <v>6496</v>
      </c>
      <c r="C2641" s="16" t="s">
        <v>3767</v>
      </c>
      <c r="D2641" s="13" t="s">
        <v>3767</v>
      </c>
      <c r="E2641" s="29" t="s">
        <v>6497</v>
      </c>
      <c r="F2641" s="16" t="s">
        <v>4142</v>
      </c>
      <c r="G2641" s="26"/>
      <c r="H2641" s="26">
        <v>3</v>
      </c>
      <c r="I2641" s="26"/>
      <c r="J2641" s="27" t="s">
        <v>6498</v>
      </c>
      <c r="K2641" s="29" t="s">
        <v>3195</v>
      </c>
      <c r="L2641" s="27"/>
      <c r="M2641" s="68">
        <v>1</v>
      </c>
      <c r="N2641" s="68" t="s">
        <v>6487</v>
      </c>
    </row>
    <row r="2642" spans="1:14" s="3" customFormat="1" ht="14.25" x14ac:dyDescent="0.2">
      <c r="A2642" s="14" t="s">
        <v>6444</v>
      </c>
      <c r="B2642" s="15" t="s">
        <v>3723</v>
      </c>
      <c r="C2642" s="13" t="s">
        <v>3767</v>
      </c>
      <c r="D2642" s="16" t="s">
        <v>3754</v>
      </c>
      <c r="E2642" s="27">
        <v>1870</v>
      </c>
      <c r="F2642" s="16" t="s">
        <v>1960</v>
      </c>
      <c r="G2642" s="26">
        <v>7</v>
      </c>
      <c r="H2642" s="26">
        <v>5</v>
      </c>
      <c r="I2642" s="26"/>
      <c r="J2642" s="27" t="s">
        <v>2136</v>
      </c>
      <c r="K2642" s="29" t="s">
        <v>6465</v>
      </c>
      <c r="L2642" s="27"/>
      <c r="M2642" s="68">
        <v>1</v>
      </c>
      <c r="N2642" s="68" t="s">
        <v>6440</v>
      </c>
    </row>
    <row r="2643" spans="1:14" s="3" customFormat="1" ht="14.25" x14ac:dyDescent="0.2">
      <c r="A2643" s="14" t="s">
        <v>6444</v>
      </c>
      <c r="B2643" s="15" t="s">
        <v>5057</v>
      </c>
      <c r="C2643" s="13" t="s">
        <v>3767</v>
      </c>
      <c r="D2643" s="13" t="s">
        <v>3767</v>
      </c>
      <c r="E2643" s="27" t="s">
        <v>1583</v>
      </c>
      <c r="F2643" s="16" t="s">
        <v>1960</v>
      </c>
      <c r="G2643" s="26">
        <v>15</v>
      </c>
      <c r="H2643" s="26">
        <v>11</v>
      </c>
      <c r="I2643" s="26"/>
      <c r="J2643" s="27" t="s">
        <v>6445</v>
      </c>
      <c r="K2643" s="29" t="s">
        <v>6446</v>
      </c>
      <c r="L2643" s="27"/>
      <c r="M2643" s="68">
        <v>1</v>
      </c>
      <c r="N2643" s="68" t="s">
        <v>6440</v>
      </c>
    </row>
    <row r="2644" spans="1:14" s="3" customFormat="1" ht="14.25" x14ac:dyDescent="0.2">
      <c r="A2644" s="14" t="s">
        <v>3965</v>
      </c>
      <c r="B2644" s="15" t="s">
        <v>3746</v>
      </c>
      <c r="C2644" s="16" t="s">
        <v>3757</v>
      </c>
      <c r="D2644" s="71" t="s">
        <v>3759</v>
      </c>
      <c r="E2644" s="125" t="s">
        <v>3966</v>
      </c>
      <c r="F2644" s="16" t="s">
        <v>3967</v>
      </c>
      <c r="G2644" s="26">
        <v>74</v>
      </c>
      <c r="H2644" s="26"/>
      <c r="I2644" s="26"/>
      <c r="J2644" s="27" t="s">
        <v>3968</v>
      </c>
      <c r="K2644" s="29" t="s">
        <v>3969</v>
      </c>
      <c r="L2644" s="27"/>
      <c r="M2644" s="68">
        <v>1</v>
      </c>
      <c r="N2644" s="68" t="s">
        <v>6487</v>
      </c>
    </row>
    <row r="2645" spans="1:14" s="3" customFormat="1" ht="14.25" x14ac:dyDescent="0.2">
      <c r="A2645" s="14" t="s">
        <v>2442</v>
      </c>
      <c r="B2645" s="15" t="s">
        <v>3734</v>
      </c>
      <c r="C2645" s="16" t="s">
        <v>3757</v>
      </c>
      <c r="D2645" s="13" t="s">
        <v>3754</v>
      </c>
      <c r="E2645" s="29" t="s">
        <v>7165</v>
      </c>
      <c r="F2645" s="16" t="s">
        <v>2463</v>
      </c>
      <c r="G2645" s="26">
        <v>35</v>
      </c>
      <c r="H2645" s="26"/>
      <c r="I2645" s="26"/>
      <c r="J2645" s="27"/>
      <c r="K2645" s="29" t="s">
        <v>3793</v>
      </c>
      <c r="L2645" s="27"/>
      <c r="M2645" s="68">
        <v>1</v>
      </c>
      <c r="N2645" s="68" t="s">
        <v>6487</v>
      </c>
    </row>
    <row r="2646" spans="1:14" s="3" customFormat="1" ht="14.25" x14ac:dyDescent="0.2">
      <c r="A2646" s="14" t="s">
        <v>2442</v>
      </c>
      <c r="B2646" s="15" t="s">
        <v>1432</v>
      </c>
      <c r="C2646" s="16" t="s">
        <v>3757</v>
      </c>
      <c r="D2646" s="13"/>
      <c r="E2646" s="29" t="s">
        <v>2443</v>
      </c>
      <c r="F2646" s="16" t="s">
        <v>2893</v>
      </c>
      <c r="G2646" s="26">
        <v>85</v>
      </c>
      <c r="H2646" s="26"/>
      <c r="I2646" s="26"/>
      <c r="J2646" s="27" t="s">
        <v>1271</v>
      </c>
      <c r="K2646" s="29" t="s">
        <v>2444</v>
      </c>
      <c r="L2646" s="27"/>
      <c r="M2646" s="68">
        <v>1</v>
      </c>
      <c r="N2646" s="68" t="s">
        <v>6487</v>
      </c>
    </row>
    <row r="2647" spans="1:14" s="3" customFormat="1" ht="14.25" x14ac:dyDescent="0.2">
      <c r="A2647" s="11" t="s">
        <v>2442</v>
      </c>
      <c r="B2647" s="12" t="s">
        <v>8291</v>
      </c>
      <c r="C2647" s="13" t="s">
        <v>3754</v>
      </c>
      <c r="D2647" s="13" t="s">
        <v>3754</v>
      </c>
      <c r="E2647" s="29" t="s">
        <v>6759</v>
      </c>
      <c r="F2647" s="13" t="s">
        <v>8292</v>
      </c>
      <c r="G2647" s="25">
        <v>2</v>
      </c>
      <c r="H2647" s="25">
        <v>6</v>
      </c>
      <c r="I2647" s="25"/>
      <c r="J2647" s="29" t="s">
        <v>8293</v>
      </c>
      <c r="K2647" s="29" t="s">
        <v>6759</v>
      </c>
      <c r="L2647" s="29"/>
      <c r="M2647" s="68">
        <v>1</v>
      </c>
      <c r="N2647" s="68" t="s">
        <v>3973</v>
      </c>
    </row>
    <row r="2648" spans="1:14" s="3" customFormat="1" ht="14.25" x14ac:dyDescent="0.2">
      <c r="A2648" s="64" t="s">
        <v>6479</v>
      </c>
      <c r="B2648" s="18" t="s">
        <v>3723</v>
      </c>
      <c r="C2648" s="19" t="s">
        <v>3757</v>
      </c>
      <c r="D2648" s="16" t="s">
        <v>3754</v>
      </c>
      <c r="E2648" s="61" t="s">
        <v>8726</v>
      </c>
      <c r="F2648" s="20" t="s">
        <v>6480</v>
      </c>
      <c r="G2648" s="8">
        <v>62</v>
      </c>
      <c r="H2648" s="8"/>
      <c r="I2648" s="8"/>
      <c r="J2648" s="46" t="s">
        <v>1266</v>
      </c>
      <c r="K2648" s="55" t="s">
        <v>6481</v>
      </c>
      <c r="L2648" s="46"/>
      <c r="M2648" s="68">
        <v>1</v>
      </c>
      <c r="N2648" s="68" t="s">
        <v>6440</v>
      </c>
    </row>
    <row r="2649" spans="1:14" s="3" customFormat="1" ht="14.25" x14ac:dyDescent="0.2">
      <c r="A2649" s="17" t="s">
        <v>6479</v>
      </c>
      <c r="B2649" s="18" t="s">
        <v>2483</v>
      </c>
      <c r="C2649" s="19" t="s">
        <v>3757</v>
      </c>
      <c r="D2649" s="13" t="s">
        <v>3754</v>
      </c>
      <c r="E2649" s="55" t="s">
        <v>4975</v>
      </c>
      <c r="F2649" s="19" t="s">
        <v>2484</v>
      </c>
      <c r="G2649" s="8">
        <v>79</v>
      </c>
      <c r="H2649" s="8"/>
      <c r="I2649" s="8"/>
      <c r="J2649" s="45" t="s">
        <v>1271</v>
      </c>
      <c r="K2649" s="55" t="s">
        <v>2485</v>
      </c>
      <c r="L2649" s="46"/>
      <c r="M2649" s="68">
        <v>1</v>
      </c>
      <c r="N2649" s="68" t="s">
        <v>6487</v>
      </c>
    </row>
    <row r="2650" spans="1:14" s="3" customFormat="1" ht="14.25" x14ac:dyDescent="0.2">
      <c r="A2650" s="14" t="s">
        <v>6479</v>
      </c>
      <c r="B2650" s="15" t="s">
        <v>3733</v>
      </c>
      <c r="C2650" s="16" t="s">
        <v>3757</v>
      </c>
      <c r="D2650" s="16" t="s">
        <v>3754</v>
      </c>
      <c r="E2650" s="125" t="s">
        <v>2692</v>
      </c>
      <c r="F2650" s="16" t="s">
        <v>6482</v>
      </c>
      <c r="G2650" s="26">
        <v>62</v>
      </c>
      <c r="H2650" s="26"/>
      <c r="I2650" s="26"/>
      <c r="J2650" s="27" t="s">
        <v>4732</v>
      </c>
      <c r="K2650" s="29" t="s">
        <v>6483</v>
      </c>
      <c r="L2650" s="27"/>
      <c r="M2650" s="68">
        <v>1</v>
      </c>
      <c r="N2650" s="68" t="s">
        <v>6440</v>
      </c>
    </row>
    <row r="2651" spans="1:14" s="3" customFormat="1" ht="14.25" x14ac:dyDescent="0.2">
      <c r="A2651" s="11" t="s">
        <v>8294</v>
      </c>
      <c r="B2651" s="12" t="s">
        <v>3746</v>
      </c>
      <c r="C2651" s="13" t="s">
        <v>3757</v>
      </c>
      <c r="D2651" s="13" t="s">
        <v>3754</v>
      </c>
      <c r="E2651" s="29" t="s">
        <v>3944</v>
      </c>
      <c r="F2651" s="13" t="s">
        <v>8295</v>
      </c>
      <c r="G2651" s="25">
        <v>75</v>
      </c>
      <c r="H2651" s="25"/>
      <c r="I2651" s="25"/>
      <c r="J2651" s="29" t="s">
        <v>8296</v>
      </c>
      <c r="K2651" s="29" t="s">
        <v>1671</v>
      </c>
      <c r="L2651" s="29"/>
      <c r="M2651" s="68">
        <v>1</v>
      </c>
      <c r="N2651" s="68" t="s">
        <v>3973</v>
      </c>
    </row>
    <row r="2652" spans="1:14" s="3" customFormat="1" ht="14.25" x14ac:dyDescent="0.2">
      <c r="A2652" s="11" t="s">
        <v>2487</v>
      </c>
      <c r="B2652" s="12" t="s">
        <v>1969</v>
      </c>
      <c r="C2652" s="13" t="s">
        <v>3757</v>
      </c>
      <c r="D2652" s="13" t="s">
        <v>8422</v>
      </c>
      <c r="E2652" s="29" t="s">
        <v>7179</v>
      </c>
      <c r="F2652" s="13" t="s">
        <v>8266</v>
      </c>
      <c r="G2652" s="25">
        <v>52</v>
      </c>
      <c r="H2652" s="25">
        <v>6</v>
      </c>
      <c r="I2652" s="25">
        <v>15</v>
      </c>
      <c r="J2652" s="29" t="s">
        <v>1272</v>
      </c>
      <c r="K2652" s="29" t="s">
        <v>2562</v>
      </c>
      <c r="L2652" s="29"/>
      <c r="M2652" s="68">
        <v>1</v>
      </c>
      <c r="N2652" s="68" t="s">
        <v>3973</v>
      </c>
    </row>
    <row r="2653" spans="1:14" s="3" customFormat="1" ht="14.25" x14ac:dyDescent="0.2">
      <c r="A2653" s="11" t="s">
        <v>2487</v>
      </c>
      <c r="B2653" s="12" t="s">
        <v>4701</v>
      </c>
      <c r="C2653" s="13" t="s">
        <v>3757</v>
      </c>
      <c r="D2653" s="13" t="s">
        <v>3754</v>
      </c>
      <c r="E2653" s="29" t="s">
        <v>8274</v>
      </c>
      <c r="F2653" s="13" t="s">
        <v>8387</v>
      </c>
      <c r="G2653" s="25">
        <v>50</v>
      </c>
      <c r="H2653" s="25"/>
      <c r="I2653" s="25"/>
      <c r="J2653" s="29" t="s">
        <v>1264</v>
      </c>
      <c r="K2653" s="29" t="s">
        <v>6980</v>
      </c>
      <c r="L2653" s="29"/>
      <c r="M2653" s="68">
        <v>1</v>
      </c>
      <c r="N2653" s="68" t="s">
        <v>3973</v>
      </c>
    </row>
    <row r="2654" spans="1:14" s="3" customFormat="1" ht="14.25" x14ac:dyDescent="0.2">
      <c r="A2654" s="14" t="s">
        <v>2487</v>
      </c>
      <c r="B2654" s="15" t="s">
        <v>3741</v>
      </c>
      <c r="C2654" s="16" t="s">
        <v>3757</v>
      </c>
      <c r="D2654" s="13" t="s">
        <v>3754</v>
      </c>
      <c r="E2654" s="29" t="s">
        <v>791</v>
      </c>
      <c r="F2654" s="16" t="s">
        <v>2488</v>
      </c>
      <c r="G2654" s="26">
        <v>45</v>
      </c>
      <c r="H2654" s="26"/>
      <c r="I2654" s="26"/>
      <c r="J2654" s="27" t="s">
        <v>2489</v>
      </c>
      <c r="K2654" s="29" t="s">
        <v>1301</v>
      </c>
      <c r="L2654" s="27"/>
      <c r="M2654" s="68">
        <v>1</v>
      </c>
      <c r="N2654" s="68" t="s">
        <v>6487</v>
      </c>
    </row>
    <row r="2655" spans="1:14" s="3" customFormat="1" ht="14.25" x14ac:dyDescent="0.2">
      <c r="A2655" s="11" t="s">
        <v>2487</v>
      </c>
      <c r="B2655" s="12" t="s">
        <v>8386</v>
      </c>
      <c r="C2655" s="13" t="s">
        <v>3754</v>
      </c>
      <c r="D2655" s="13" t="s">
        <v>3754</v>
      </c>
      <c r="E2655" s="29" t="s">
        <v>6</v>
      </c>
      <c r="F2655" s="13" t="s">
        <v>8387</v>
      </c>
      <c r="G2655" s="25">
        <v>24</v>
      </c>
      <c r="H2655" s="25">
        <v>5</v>
      </c>
      <c r="I2655" s="25"/>
      <c r="J2655" s="29" t="s">
        <v>1264</v>
      </c>
      <c r="K2655" s="29" t="s">
        <v>3393</v>
      </c>
      <c r="L2655" s="29"/>
      <c r="M2655" s="68">
        <v>1</v>
      </c>
      <c r="N2655" s="68" t="s">
        <v>3973</v>
      </c>
    </row>
    <row r="2656" spans="1:14" s="3" customFormat="1" ht="14.25" x14ac:dyDescent="0.2">
      <c r="A2656" s="14" t="s">
        <v>2474</v>
      </c>
      <c r="B2656" s="15" t="s">
        <v>3739</v>
      </c>
      <c r="C2656" s="16" t="s">
        <v>3754</v>
      </c>
      <c r="D2656" s="13" t="s">
        <v>3754</v>
      </c>
      <c r="E2656" s="29" t="s">
        <v>2475</v>
      </c>
      <c r="F2656" s="16" t="s">
        <v>2476</v>
      </c>
      <c r="G2656" s="26">
        <v>1</v>
      </c>
      <c r="H2656" s="26">
        <v>9</v>
      </c>
      <c r="I2656" s="26">
        <v>3</v>
      </c>
      <c r="J2656" s="27" t="s">
        <v>7319</v>
      </c>
      <c r="K2656" s="29" t="s">
        <v>2477</v>
      </c>
      <c r="L2656" s="27"/>
      <c r="M2656" s="68">
        <v>1</v>
      </c>
      <c r="N2656" s="68" t="s">
        <v>6487</v>
      </c>
    </row>
    <row r="2657" spans="1:14" s="3" customFormat="1" ht="14.25" x14ac:dyDescent="0.2">
      <c r="A2657" s="14" t="s">
        <v>6447</v>
      </c>
      <c r="B2657" s="15" t="s">
        <v>2077</v>
      </c>
      <c r="C2657" s="16" t="s">
        <v>3754</v>
      </c>
      <c r="D2657" s="16" t="s">
        <v>3754</v>
      </c>
      <c r="E2657" s="29" t="s">
        <v>4402</v>
      </c>
      <c r="F2657" s="16" t="s">
        <v>2659</v>
      </c>
      <c r="G2657" s="26">
        <v>9</v>
      </c>
      <c r="H2657" s="26">
        <v>6</v>
      </c>
      <c r="I2657" s="26">
        <v>5</v>
      </c>
      <c r="J2657" s="27" t="s">
        <v>7319</v>
      </c>
      <c r="K2657" s="29" t="s">
        <v>4402</v>
      </c>
      <c r="L2657" s="27"/>
      <c r="M2657" s="68">
        <v>1</v>
      </c>
      <c r="N2657" s="68" t="s">
        <v>6440</v>
      </c>
    </row>
    <row r="2658" spans="1:14" s="3" customFormat="1" ht="14.25" x14ac:dyDescent="0.2">
      <c r="A2658" s="11" t="s">
        <v>6447</v>
      </c>
      <c r="B2658" s="12" t="s">
        <v>4702</v>
      </c>
      <c r="C2658" s="13" t="s">
        <v>3757</v>
      </c>
      <c r="D2658" s="13" t="s">
        <v>3754</v>
      </c>
      <c r="E2658" s="29" t="s">
        <v>1749</v>
      </c>
      <c r="F2658" s="13" t="s">
        <v>8396</v>
      </c>
      <c r="G2658" s="25">
        <v>52</v>
      </c>
      <c r="H2658" s="25"/>
      <c r="I2658" s="25"/>
      <c r="J2658" s="29"/>
      <c r="K2658" s="29" t="s">
        <v>8397</v>
      </c>
      <c r="L2658" s="29"/>
      <c r="M2658" s="68">
        <v>1</v>
      </c>
      <c r="N2658" s="68" t="s">
        <v>3973</v>
      </c>
    </row>
    <row r="2659" spans="1:14" s="3" customFormat="1" ht="14.25" x14ac:dyDescent="0.2">
      <c r="A2659" s="14" t="s">
        <v>6447</v>
      </c>
      <c r="B2659" s="15" t="s">
        <v>6448</v>
      </c>
      <c r="C2659" s="16" t="s">
        <v>3754</v>
      </c>
      <c r="D2659" s="16" t="s">
        <v>3754</v>
      </c>
      <c r="E2659" s="29" t="s">
        <v>6449</v>
      </c>
      <c r="F2659" s="16" t="s">
        <v>3754</v>
      </c>
      <c r="G2659" s="26">
        <v>3</v>
      </c>
      <c r="H2659" s="26">
        <v>2</v>
      </c>
      <c r="I2659" s="26"/>
      <c r="J2659" s="27" t="s">
        <v>1254</v>
      </c>
      <c r="K2659" s="29" t="s">
        <v>6450</v>
      </c>
      <c r="L2659" s="27"/>
      <c r="M2659" s="68">
        <v>1</v>
      </c>
      <c r="N2659" s="68" t="s">
        <v>6440</v>
      </c>
    </row>
    <row r="2660" spans="1:14" s="3" customFormat="1" ht="14.25" x14ac:dyDescent="0.2">
      <c r="A2660" s="14" t="s">
        <v>6447</v>
      </c>
      <c r="B2660" s="15" t="s">
        <v>4685</v>
      </c>
      <c r="C2660" s="16" t="s">
        <v>3754</v>
      </c>
      <c r="D2660" s="13" t="s">
        <v>3754</v>
      </c>
      <c r="E2660" s="29" t="s">
        <v>2166</v>
      </c>
      <c r="F2660" s="16" t="s">
        <v>3754</v>
      </c>
      <c r="G2660" s="26">
        <v>1</v>
      </c>
      <c r="H2660" s="26">
        <v>1</v>
      </c>
      <c r="I2660" s="26"/>
      <c r="J2660" s="27"/>
      <c r="K2660" s="29" t="s">
        <v>4945</v>
      </c>
      <c r="L2660" s="27"/>
      <c r="M2660" s="68">
        <v>1</v>
      </c>
      <c r="N2660" s="68" t="s">
        <v>6487</v>
      </c>
    </row>
    <row r="2661" spans="1:14" s="3" customFormat="1" ht="14.25" x14ac:dyDescent="0.2">
      <c r="A2661" s="11" t="s">
        <v>6447</v>
      </c>
      <c r="B2661" s="12" t="s">
        <v>1969</v>
      </c>
      <c r="C2661" s="13" t="s">
        <v>3757</v>
      </c>
      <c r="D2661" s="13" t="s">
        <v>3754</v>
      </c>
      <c r="E2661" s="29" t="s">
        <v>3333</v>
      </c>
      <c r="F2661" s="13" t="s">
        <v>8384</v>
      </c>
      <c r="G2661" s="25">
        <v>35</v>
      </c>
      <c r="H2661" s="25"/>
      <c r="I2661" s="25"/>
      <c r="J2661" s="29" t="s">
        <v>8385</v>
      </c>
      <c r="K2661" s="29" t="s">
        <v>6228</v>
      </c>
      <c r="L2661" s="29"/>
      <c r="M2661" s="68">
        <v>1</v>
      </c>
      <c r="N2661" s="68" t="s">
        <v>3973</v>
      </c>
    </row>
    <row r="2662" spans="1:14" s="3" customFormat="1" ht="14.25" x14ac:dyDescent="0.2">
      <c r="A2662" s="14" t="s">
        <v>6447</v>
      </c>
      <c r="B2662" s="15" t="s">
        <v>3732</v>
      </c>
      <c r="C2662" s="16" t="s">
        <v>3757</v>
      </c>
      <c r="D2662" s="16" t="s">
        <v>3754</v>
      </c>
      <c r="E2662" s="29" t="s">
        <v>2660</v>
      </c>
      <c r="F2662" s="16" t="s">
        <v>2661</v>
      </c>
      <c r="G2662" s="26">
        <v>22</v>
      </c>
      <c r="H2662" s="26"/>
      <c r="I2662" s="26"/>
      <c r="J2662" s="27" t="s">
        <v>1264</v>
      </c>
      <c r="K2662" s="29" t="s">
        <v>4397</v>
      </c>
      <c r="L2662" s="27"/>
      <c r="M2662" s="68">
        <v>1</v>
      </c>
      <c r="N2662" s="68" t="s">
        <v>6440</v>
      </c>
    </row>
    <row r="2663" spans="1:14" s="3" customFormat="1" ht="14.25" x14ac:dyDescent="0.2">
      <c r="A2663" s="14" t="s">
        <v>6447</v>
      </c>
      <c r="B2663" s="15" t="s">
        <v>2445</v>
      </c>
      <c r="C2663" s="16" t="s">
        <v>3754</v>
      </c>
      <c r="D2663" s="13" t="s">
        <v>3754</v>
      </c>
      <c r="E2663" s="29" t="s">
        <v>2446</v>
      </c>
      <c r="F2663" s="16" t="s">
        <v>3754</v>
      </c>
      <c r="G2663" s="26">
        <v>1</v>
      </c>
      <c r="H2663" s="26">
        <v>1</v>
      </c>
      <c r="I2663" s="26"/>
      <c r="J2663" s="27"/>
      <c r="K2663" s="29" t="s">
        <v>4945</v>
      </c>
      <c r="L2663" s="27"/>
      <c r="M2663" s="68">
        <v>1</v>
      </c>
      <c r="N2663" s="68" t="s">
        <v>6487</v>
      </c>
    </row>
    <row r="2664" spans="1:14" s="3" customFormat="1" ht="14.25" x14ac:dyDescent="0.2">
      <c r="A2664" s="11" t="s">
        <v>6447</v>
      </c>
      <c r="B2664" s="12" t="s">
        <v>8398</v>
      </c>
      <c r="C2664" s="13" t="s">
        <v>3754</v>
      </c>
      <c r="D2664" s="13" t="s">
        <v>3754</v>
      </c>
      <c r="E2664" s="29" t="s">
        <v>6682</v>
      </c>
      <c r="F2664" s="13" t="s">
        <v>8399</v>
      </c>
      <c r="G2664" s="25"/>
      <c r="H2664" s="25">
        <v>7</v>
      </c>
      <c r="I2664" s="25"/>
      <c r="J2664" s="29" t="s">
        <v>4734</v>
      </c>
      <c r="K2664" s="29" t="s">
        <v>8400</v>
      </c>
      <c r="L2664" s="29"/>
      <c r="M2664" s="68">
        <v>1</v>
      </c>
      <c r="N2664" s="68" t="s">
        <v>3973</v>
      </c>
    </row>
    <row r="2665" spans="1:14" s="3" customFormat="1" ht="14.25" x14ac:dyDescent="0.2">
      <c r="A2665" s="14" t="s">
        <v>6467</v>
      </c>
      <c r="B2665" s="15" t="s">
        <v>6785</v>
      </c>
      <c r="C2665" s="16" t="s">
        <v>3757</v>
      </c>
      <c r="D2665" s="16" t="s">
        <v>3754</v>
      </c>
      <c r="E2665" s="27"/>
      <c r="F2665" s="16" t="s">
        <v>3754</v>
      </c>
      <c r="G2665" s="26">
        <v>36</v>
      </c>
      <c r="H2665" s="26"/>
      <c r="I2665" s="26"/>
      <c r="J2665" s="27" t="s">
        <v>4427</v>
      </c>
      <c r="K2665" s="29" t="s">
        <v>6468</v>
      </c>
      <c r="L2665" s="27"/>
      <c r="M2665" s="68">
        <v>1</v>
      </c>
      <c r="N2665" s="68" t="s">
        <v>6440</v>
      </c>
    </row>
    <row r="2666" spans="1:14" s="3" customFormat="1" ht="14.25" x14ac:dyDescent="0.2">
      <c r="A2666" s="11" t="s">
        <v>6457</v>
      </c>
      <c r="B2666" s="12" t="s">
        <v>8299</v>
      </c>
      <c r="C2666" s="13" t="s">
        <v>3754</v>
      </c>
      <c r="D2666" s="13" t="s">
        <v>3754</v>
      </c>
      <c r="E2666" s="29" t="s">
        <v>6318</v>
      </c>
      <c r="F2666" s="13" t="s">
        <v>3390</v>
      </c>
      <c r="G2666" s="25">
        <v>29</v>
      </c>
      <c r="H2666" s="25"/>
      <c r="I2666" s="25"/>
      <c r="J2666" s="29" t="s">
        <v>1270</v>
      </c>
      <c r="K2666" s="29" t="s">
        <v>8300</v>
      </c>
      <c r="L2666" s="29" t="s">
        <v>5019</v>
      </c>
      <c r="M2666" s="68">
        <v>1</v>
      </c>
      <c r="N2666" s="68" t="s">
        <v>3973</v>
      </c>
    </row>
    <row r="2667" spans="1:14" s="3" customFormat="1" ht="14.25" x14ac:dyDescent="0.2">
      <c r="A2667" s="14" t="s">
        <v>6457</v>
      </c>
      <c r="B2667" s="15" t="s">
        <v>3732</v>
      </c>
      <c r="C2667" s="16" t="s">
        <v>3757</v>
      </c>
      <c r="D2667" s="13" t="s">
        <v>3754</v>
      </c>
      <c r="E2667" s="29" t="s">
        <v>2437</v>
      </c>
      <c r="F2667" s="16" t="s">
        <v>2438</v>
      </c>
      <c r="G2667" s="26">
        <v>41</v>
      </c>
      <c r="H2667" s="26"/>
      <c r="I2667" s="26"/>
      <c r="J2667" s="27" t="s">
        <v>1264</v>
      </c>
      <c r="K2667" s="29" t="s">
        <v>2439</v>
      </c>
      <c r="L2667" s="27"/>
      <c r="M2667" s="68">
        <v>1</v>
      </c>
      <c r="N2667" s="68" t="s">
        <v>6487</v>
      </c>
    </row>
    <row r="2668" spans="1:14" s="3" customFormat="1" ht="14.25" x14ac:dyDescent="0.2">
      <c r="A2668" s="14" t="s">
        <v>6457</v>
      </c>
      <c r="B2668" s="15" t="s">
        <v>5057</v>
      </c>
      <c r="C2668" s="16" t="s">
        <v>3754</v>
      </c>
      <c r="D2668" s="13" t="s">
        <v>3754</v>
      </c>
      <c r="E2668" s="29" t="s">
        <v>864</v>
      </c>
      <c r="F2668" s="16" t="s">
        <v>2461</v>
      </c>
      <c r="G2668" s="26">
        <v>7</v>
      </c>
      <c r="H2668" s="26">
        <v>9</v>
      </c>
      <c r="I2668" s="26">
        <v>20</v>
      </c>
      <c r="J2668" s="27" t="s">
        <v>4745</v>
      </c>
      <c r="K2668" s="29" t="s">
        <v>1338</v>
      </c>
      <c r="L2668" s="27"/>
      <c r="M2668" s="68">
        <v>1</v>
      </c>
      <c r="N2668" s="68" t="s">
        <v>6487</v>
      </c>
    </row>
    <row r="2669" spans="1:14" s="3" customFormat="1" ht="14.25" x14ac:dyDescent="0.2">
      <c r="A2669" s="14" t="s">
        <v>6457</v>
      </c>
      <c r="B2669" s="15" t="s">
        <v>727</v>
      </c>
      <c r="C2669" s="16" t="s">
        <v>3757</v>
      </c>
      <c r="D2669" s="16" t="s">
        <v>3754</v>
      </c>
      <c r="E2669" s="27">
        <v>1870</v>
      </c>
      <c r="F2669" s="16" t="s">
        <v>3754</v>
      </c>
      <c r="G2669" s="26">
        <v>36</v>
      </c>
      <c r="H2669" s="26"/>
      <c r="I2669" s="26"/>
      <c r="J2669" s="27" t="s">
        <v>1272</v>
      </c>
      <c r="K2669" s="29" t="s">
        <v>4067</v>
      </c>
      <c r="L2669" s="27"/>
      <c r="M2669" s="68">
        <v>1</v>
      </c>
      <c r="N2669" s="68" t="s">
        <v>6440</v>
      </c>
    </row>
    <row r="2670" spans="1:14" s="3" customFormat="1" ht="14.25" x14ac:dyDescent="0.2">
      <c r="A2670" s="14" t="s">
        <v>6457</v>
      </c>
      <c r="B2670" s="15" t="s">
        <v>727</v>
      </c>
      <c r="C2670" s="16" t="s">
        <v>3754</v>
      </c>
      <c r="D2670" s="13" t="s">
        <v>3754</v>
      </c>
      <c r="E2670" s="29" t="s">
        <v>6799</v>
      </c>
      <c r="F2670" s="16" t="s">
        <v>2462</v>
      </c>
      <c r="G2670" s="26"/>
      <c r="H2670" s="26">
        <v>6</v>
      </c>
      <c r="I2670" s="26"/>
      <c r="J2670" s="27" t="s">
        <v>1412</v>
      </c>
      <c r="K2670" s="29" t="s">
        <v>799</v>
      </c>
      <c r="L2670" s="27"/>
      <c r="M2670" s="68">
        <v>1</v>
      </c>
      <c r="N2670" s="68" t="s">
        <v>6487</v>
      </c>
    </row>
    <row r="2671" spans="1:14" s="3" customFormat="1" ht="14.25" x14ac:dyDescent="0.2">
      <c r="A2671" s="14" t="s">
        <v>2657</v>
      </c>
      <c r="B2671" s="15" t="s">
        <v>1886</v>
      </c>
      <c r="C2671" s="16" t="s">
        <v>3757</v>
      </c>
      <c r="D2671" s="13" t="s">
        <v>3754</v>
      </c>
      <c r="E2671" s="29" t="s">
        <v>2478</v>
      </c>
      <c r="F2671" s="16" t="s">
        <v>3311</v>
      </c>
      <c r="G2671" s="26">
        <v>45</v>
      </c>
      <c r="H2671" s="26"/>
      <c r="I2671" s="26"/>
      <c r="J2671" s="27" t="s">
        <v>2989</v>
      </c>
      <c r="K2671" s="29" t="s">
        <v>2363</v>
      </c>
      <c r="L2671" s="27"/>
      <c r="M2671" s="68">
        <v>1</v>
      </c>
      <c r="N2671" s="68" t="s">
        <v>6487</v>
      </c>
    </row>
    <row r="2672" spans="1:14" s="3" customFormat="1" ht="14.25" x14ac:dyDescent="0.2">
      <c r="A2672" s="14" t="s">
        <v>2657</v>
      </c>
      <c r="B2672" s="15" t="s">
        <v>727</v>
      </c>
      <c r="C2672" s="16" t="s">
        <v>3757</v>
      </c>
      <c r="D2672" s="16" t="s">
        <v>3754</v>
      </c>
      <c r="E2672" s="29" t="s">
        <v>1425</v>
      </c>
      <c r="F2672" s="16" t="s">
        <v>2658</v>
      </c>
      <c r="G2672" s="26">
        <v>45</v>
      </c>
      <c r="H2672" s="26"/>
      <c r="I2672" s="26"/>
      <c r="J2672" s="27" t="s">
        <v>1264</v>
      </c>
      <c r="K2672" s="29" t="s">
        <v>2332</v>
      </c>
      <c r="L2672" s="27"/>
      <c r="M2672" s="68">
        <v>1</v>
      </c>
      <c r="N2672" s="68" t="s">
        <v>6440</v>
      </c>
    </row>
    <row r="2673" spans="1:14" s="3" customFormat="1" ht="14.25" x14ac:dyDescent="0.2">
      <c r="A2673" s="11" t="s">
        <v>8275</v>
      </c>
      <c r="B2673" s="12" t="s">
        <v>8276</v>
      </c>
      <c r="C2673" s="13" t="s">
        <v>8621</v>
      </c>
      <c r="D2673" s="13" t="s">
        <v>8621</v>
      </c>
      <c r="E2673" s="29" t="s">
        <v>2729</v>
      </c>
      <c r="F2673" s="13" t="s">
        <v>8277</v>
      </c>
      <c r="G2673" s="25">
        <v>1</v>
      </c>
      <c r="H2673" s="25">
        <v>4</v>
      </c>
      <c r="I2673" s="25">
        <v>8</v>
      </c>
      <c r="J2673" s="29" t="s">
        <v>1264</v>
      </c>
      <c r="K2673" s="29" t="s">
        <v>2579</v>
      </c>
      <c r="L2673" s="29"/>
      <c r="M2673" s="68">
        <v>1</v>
      </c>
      <c r="N2673" s="68" t="s">
        <v>3973</v>
      </c>
    </row>
    <row r="2674" spans="1:14" s="3" customFormat="1" ht="14.25" x14ac:dyDescent="0.2">
      <c r="A2674" s="14" t="s">
        <v>6464</v>
      </c>
      <c r="B2674" s="15" t="s">
        <v>3728</v>
      </c>
      <c r="C2674" s="16"/>
      <c r="D2674" s="16" t="s">
        <v>3754</v>
      </c>
      <c r="E2674" s="27">
        <v>1861</v>
      </c>
      <c r="F2674" s="16" t="s">
        <v>6461</v>
      </c>
      <c r="G2674" s="26">
        <v>74</v>
      </c>
      <c r="H2674" s="26"/>
      <c r="I2674" s="26"/>
      <c r="J2674" s="27" t="s">
        <v>1271</v>
      </c>
      <c r="K2674" s="29" t="s">
        <v>6462</v>
      </c>
      <c r="L2674" s="27"/>
      <c r="M2674" s="68">
        <v>1</v>
      </c>
      <c r="N2674" s="68" t="s">
        <v>6440</v>
      </c>
    </row>
    <row r="2675" spans="1:14" s="3" customFormat="1" ht="14.25" x14ac:dyDescent="0.2">
      <c r="A2675" s="14" t="s">
        <v>6459</v>
      </c>
      <c r="B2675" s="15" t="s">
        <v>3740</v>
      </c>
      <c r="C2675" s="16" t="s">
        <v>3757</v>
      </c>
      <c r="D2675" s="13"/>
      <c r="E2675" s="29" t="s">
        <v>6460</v>
      </c>
      <c r="F2675" s="16" t="s">
        <v>6461</v>
      </c>
      <c r="G2675" s="26">
        <v>60</v>
      </c>
      <c r="H2675" s="26"/>
      <c r="I2675" s="26"/>
      <c r="J2675" s="27" t="s">
        <v>4462</v>
      </c>
      <c r="K2675" s="29" t="s">
        <v>6462</v>
      </c>
      <c r="L2675" s="27"/>
      <c r="M2675" s="68">
        <v>1</v>
      </c>
      <c r="N2675" s="68" t="s">
        <v>6440</v>
      </c>
    </row>
    <row r="2676" spans="1:14" s="3" customFormat="1" ht="14.25" x14ac:dyDescent="0.2">
      <c r="A2676" s="14" t="s">
        <v>6459</v>
      </c>
      <c r="B2676" s="15" t="s">
        <v>1552</v>
      </c>
      <c r="C2676" s="16" t="s">
        <v>3757</v>
      </c>
      <c r="D2676" s="16" t="s">
        <v>3754</v>
      </c>
      <c r="E2676" s="27">
        <v>1855</v>
      </c>
      <c r="F2676" s="16" t="s">
        <v>6461</v>
      </c>
      <c r="G2676" s="26">
        <v>14</v>
      </c>
      <c r="H2676" s="26">
        <v>6</v>
      </c>
      <c r="I2676" s="26"/>
      <c r="J2676" s="27" t="s">
        <v>1264</v>
      </c>
      <c r="K2676" s="29" t="s">
        <v>6462</v>
      </c>
      <c r="L2676" s="27"/>
      <c r="M2676" s="68">
        <v>1</v>
      </c>
      <c r="N2676" s="68" t="s">
        <v>6440</v>
      </c>
    </row>
    <row r="2677" spans="1:14" s="3" customFormat="1" ht="14.25" x14ac:dyDescent="0.2">
      <c r="A2677" s="14" t="s">
        <v>6459</v>
      </c>
      <c r="B2677" s="15" t="s">
        <v>3732</v>
      </c>
      <c r="C2677" s="16" t="s">
        <v>3757</v>
      </c>
      <c r="D2677" s="16" t="s">
        <v>3754</v>
      </c>
      <c r="E2677" s="29" t="s">
        <v>6463</v>
      </c>
      <c r="F2677" s="16" t="s">
        <v>6461</v>
      </c>
      <c r="G2677" s="26">
        <v>74</v>
      </c>
      <c r="H2677" s="26"/>
      <c r="I2677" s="26"/>
      <c r="J2677" s="27" t="s">
        <v>1271</v>
      </c>
      <c r="K2677" s="29" t="s">
        <v>6462</v>
      </c>
      <c r="L2677" s="27"/>
      <c r="M2677" s="68">
        <v>1</v>
      </c>
      <c r="N2677" s="68" t="s">
        <v>6440</v>
      </c>
    </row>
    <row r="2678" spans="1:14" s="3" customFormat="1" ht="14.25" x14ac:dyDescent="0.2">
      <c r="A2678" s="11" t="s">
        <v>8281</v>
      </c>
      <c r="B2678" s="12" t="s">
        <v>4908</v>
      </c>
      <c r="C2678" s="13" t="s">
        <v>3754</v>
      </c>
      <c r="D2678" s="13" t="s">
        <v>3757</v>
      </c>
      <c r="E2678" s="29" t="s">
        <v>477</v>
      </c>
      <c r="F2678" s="13" t="s">
        <v>8282</v>
      </c>
      <c r="G2678" s="25">
        <v>92</v>
      </c>
      <c r="H2678" s="25"/>
      <c r="I2678" s="25"/>
      <c r="J2678" s="29" t="s">
        <v>1271</v>
      </c>
      <c r="K2678" s="29" t="s">
        <v>8283</v>
      </c>
      <c r="L2678" s="29"/>
      <c r="M2678" s="68">
        <v>1</v>
      </c>
      <c r="N2678" s="68" t="s">
        <v>3973</v>
      </c>
    </row>
    <row r="2679" spans="1:14" s="3" customFormat="1" ht="14.25" x14ac:dyDescent="0.2">
      <c r="A2679" s="11" t="s">
        <v>8616</v>
      </c>
      <c r="B2679" s="12" t="s">
        <v>8270</v>
      </c>
      <c r="C2679" s="13" t="s">
        <v>3768</v>
      </c>
      <c r="D2679" s="13" t="s">
        <v>3768</v>
      </c>
      <c r="E2679" s="29" t="s">
        <v>8271</v>
      </c>
      <c r="F2679" s="13" t="s">
        <v>8272</v>
      </c>
      <c r="G2679" s="25"/>
      <c r="H2679" s="25">
        <v>7</v>
      </c>
      <c r="I2679" s="25"/>
      <c r="J2679" s="29" t="s">
        <v>7319</v>
      </c>
      <c r="K2679" s="29" t="s">
        <v>8273</v>
      </c>
      <c r="L2679" s="29"/>
      <c r="M2679" s="68">
        <v>1</v>
      </c>
      <c r="N2679" s="68" t="s">
        <v>3973</v>
      </c>
    </row>
    <row r="2680" spans="1:14" s="3" customFormat="1" ht="14.25" x14ac:dyDescent="0.2">
      <c r="A2680" s="14" t="s">
        <v>6452</v>
      </c>
      <c r="B2680" s="15" t="s">
        <v>3748</v>
      </c>
      <c r="C2680" s="16" t="s">
        <v>3757</v>
      </c>
      <c r="D2680" s="16" t="s">
        <v>3754</v>
      </c>
      <c r="E2680" s="27" t="s">
        <v>6103</v>
      </c>
      <c r="F2680" s="16" t="s">
        <v>6101</v>
      </c>
      <c r="G2680" s="26">
        <v>70</v>
      </c>
      <c r="H2680" s="26"/>
      <c r="I2680" s="26"/>
      <c r="J2680" s="27"/>
      <c r="K2680" s="29" t="s">
        <v>4753</v>
      </c>
      <c r="L2680" s="27"/>
      <c r="M2680" s="68">
        <v>1</v>
      </c>
      <c r="N2680" s="68" t="s">
        <v>6440</v>
      </c>
    </row>
    <row r="2681" spans="1:14" s="3" customFormat="1" ht="14.25" x14ac:dyDescent="0.2">
      <c r="A2681" s="14" t="s">
        <v>6452</v>
      </c>
      <c r="B2681" s="15" t="s">
        <v>1432</v>
      </c>
      <c r="C2681" s="16" t="s">
        <v>3757</v>
      </c>
      <c r="D2681" s="16" t="s">
        <v>3754</v>
      </c>
      <c r="E2681" s="27">
        <v>1867</v>
      </c>
      <c r="F2681" s="16" t="s">
        <v>3754</v>
      </c>
      <c r="G2681" s="26">
        <v>64</v>
      </c>
      <c r="H2681" s="26"/>
      <c r="I2681" s="26"/>
      <c r="J2681" s="27" t="s">
        <v>1271</v>
      </c>
      <c r="K2681" s="29" t="s">
        <v>6466</v>
      </c>
      <c r="L2681" s="27"/>
      <c r="M2681" s="68">
        <v>1</v>
      </c>
      <c r="N2681" s="68" t="s">
        <v>6440</v>
      </c>
    </row>
    <row r="2682" spans="1:14" s="3" customFormat="1" ht="14.25" x14ac:dyDescent="0.2">
      <c r="A2682" s="14" t="s">
        <v>6452</v>
      </c>
      <c r="B2682" s="15" t="s">
        <v>1809</v>
      </c>
      <c r="C2682" s="16" t="s">
        <v>3754</v>
      </c>
      <c r="D2682" s="16" t="s">
        <v>3754</v>
      </c>
      <c r="E2682" s="29" t="s">
        <v>6477</v>
      </c>
      <c r="F2682" s="16" t="s">
        <v>6478</v>
      </c>
      <c r="G2682" s="26">
        <v>1</v>
      </c>
      <c r="H2682" s="26">
        <v>1</v>
      </c>
      <c r="I2682" s="26"/>
      <c r="J2682" s="27" t="s">
        <v>4579</v>
      </c>
      <c r="K2682" s="29" t="s">
        <v>1067</v>
      </c>
      <c r="L2682" s="27"/>
      <c r="M2682" s="68">
        <v>1</v>
      </c>
      <c r="N2682" s="68" t="s">
        <v>6440</v>
      </c>
    </row>
    <row r="2683" spans="1:14" s="3" customFormat="1" ht="14.25" x14ac:dyDescent="0.2">
      <c r="A2683" s="14" t="s">
        <v>6452</v>
      </c>
      <c r="B2683" s="15" t="s">
        <v>1809</v>
      </c>
      <c r="C2683" s="16" t="s">
        <v>6944</v>
      </c>
      <c r="D2683" s="13" t="s">
        <v>7175</v>
      </c>
      <c r="E2683" s="29" t="s">
        <v>2440</v>
      </c>
      <c r="F2683" s="16" t="s">
        <v>2441</v>
      </c>
      <c r="G2683" s="26"/>
      <c r="H2683" s="26">
        <v>3</v>
      </c>
      <c r="I2683" s="26"/>
      <c r="J2683" s="27" t="s">
        <v>6498</v>
      </c>
      <c r="K2683" s="29" t="s">
        <v>5622</v>
      </c>
      <c r="L2683" s="27"/>
      <c r="M2683" s="68">
        <v>1</v>
      </c>
      <c r="N2683" s="68" t="s">
        <v>6487</v>
      </c>
    </row>
    <row r="2684" spans="1:14" s="3" customFormat="1" ht="14.25" x14ac:dyDescent="0.2">
      <c r="A2684" s="14" t="s">
        <v>6452</v>
      </c>
      <c r="B2684" s="15" t="s">
        <v>3740</v>
      </c>
      <c r="C2684" s="16" t="s">
        <v>3754</v>
      </c>
      <c r="D2684" s="13" t="s">
        <v>3754</v>
      </c>
      <c r="E2684" s="29" t="s">
        <v>6501</v>
      </c>
      <c r="F2684" s="16" t="s">
        <v>6502</v>
      </c>
      <c r="G2684" s="26">
        <v>5</v>
      </c>
      <c r="H2684" s="26">
        <v>9</v>
      </c>
      <c r="I2684" s="26"/>
      <c r="J2684" s="27" t="s">
        <v>6503</v>
      </c>
      <c r="K2684" s="29" t="s">
        <v>8619</v>
      </c>
      <c r="L2684" s="27"/>
      <c r="M2684" s="68">
        <v>1</v>
      </c>
      <c r="N2684" s="68" t="s">
        <v>6487</v>
      </c>
    </row>
    <row r="2685" spans="1:14" s="3" customFormat="1" ht="14.25" x14ac:dyDescent="0.2">
      <c r="A2685" s="14" t="s">
        <v>6452</v>
      </c>
      <c r="B2685" s="15" t="s">
        <v>3740</v>
      </c>
      <c r="C2685" s="16" t="s">
        <v>3757</v>
      </c>
      <c r="D2685" s="13" t="s">
        <v>3754</v>
      </c>
      <c r="E2685" s="29" t="s">
        <v>2930</v>
      </c>
      <c r="F2685" s="16" t="s">
        <v>8598</v>
      </c>
      <c r="G2685" s="26">
        <v>78</v>
      </c>
      <c r="H2685" s="26"/>
      <c r="I2685" s="26"/>
      <c r="J2685" s="27" t="s">
        <v>5286</v>
      </c>
      <c r="K2685" s="29" t="s">
        <v>2426</v>
      </c>
      <c r="L2685" s="27"/>
      <c r="M2685" s="68">
        <v>1</v>
      </c>
      <c r="N2685" s="68" t="s">
        <v>6487</v>
      </c>
    </row>
    <row r="2686" spans="1:14" s="3" customFormat="1" ht="14.25" x14ac:dyDescent="0.2">
      <c r="A2686" s="14" t="s">
        <v>6452</v>
      </c>
      <c r="B2686" s="15" t="s">
        <v>5712</v>
      </c>
      <c r="C2686" s="16" t="s">
        <v>3754</v>
      </c>
      <c r="D2686" s="13" t="s">
        <v>3754</v>
      </c>
      <c r="E2686" s="125" t="s">
        <v>3970</v>
      </c>
      <c r="F2686" s="16" t="s">
        <v>3971</v>
      </c>
      <c r="G2686" s="26">
        <v>11</v>
      </c>
      <c r="H2686" s="26">
        <v>4</v>
      </c>
      <c r="I2686" s="26"/>
      <c r="J2686" s="27" t="s">
        <v>3972</v>
      </c>
      <c r="K2686" s="29" t="s">
        <v>2532</v>
      </c>
      <c r="L2686" s="27"/>
      <c r="M2686" s="68">
        <v>1</v>
      </c>
      <c r="N2686" s="68" t="s">
        <v>6487</v>
      </c>
    </row>
    <row r="2687" spans="1:14" s="3" customFormat="1" ht="14.25" x14ac:dyDescent="0.2">
      <c r="A2687" s="14" t="s">
        <v>6452</v>
      </c>
      <c r="B2687" s="15" t="s">
        <v>6453</v>
      </c>
      <c r="C2687" s="16" t="s">
        <v>3754</v>
      </c>
      <c r="D2687" s="13" t="s">
        <v>6454</v>
      </c>
      <c r="E2687" s="29" t="s">
        <v>1577</v>
      </c>
      <c r="F2687" s="16" t="s">
        <v>6455</v>
      </c>
      <c r="G2687" s="26">
        <v>17</v>
      </c>
      <c r="H2687" s="26">
        <v>14</v>
      </c>
      <c r="I2687" s="26"/>
      <c r="J2687" s="27" t="s">
        <v>4790</v>
      </c>
      <c r="K2687" s="29" t="s">
        <v>8102</v>
      </c>
      <c r="L2687" s="27"/>
      <c r="M2687" s="68">
        <v>1</v>
      </c>
      <c r="N2687" s="68" t="s">
        <v>6440</v>
      </c>
    </row>
    <row r="2688" spans="1:14" s="3" customFormat="1" ht="14.25" x14ac:dyDescent="0.2">
      <c r="A2688" s="14" t="s">
        <v>6452</v>
      </c>
      <c r="B2688" s="15" t="s">
        <v>3732</v>
      </c>
      <c r="C2688" s="16" t="s">
        <v>3754</v>
      </c>
      <c r="D2688" s="16" t="s">
        <v>3754</v>
      </c>
      <c r="E2688" s="27">
        <v>1843</v>
      </c>
      <c r="F2688" s="16" t="s">
        <v>2655</v>
      </c>
      <c r="G2688" s="26">
        <v>7</v>
      </c>
      <c r="H2688" s="26">
        <v>6</v>
      </c>
      <c r="I2688" s="26"/>
      <c r="J2688" s="27" t="s">
        <v>2656</v>
      </c>
      <c r="K2688" s="29" t="s">
        <v>4753</v>
      </c>
      <c r="L2688" s="27"/>
      <c r="M2688" s="68">
        <v>1</v>
      </c>
      <c r="N2688" s="68" t="s">
        <v>6440</v>
      </c>
    </row>
    <row r="2689" spans="1:14" s="3" customFormat="1" ht="14.25" x14ac:dyDescent="0.2">
      <c r="A2689" s="14" t="s">
        <v>6452</v>
      </c>
      <c r="B2689" s="15" t="s">
        <v>3723</v>
      </c>
      <c r="C2689" s="16" t="s">
        <v>3757</v>
      </c>
      <c r="D2689" s="16" t="s">
        <v>3754</v>
      </c>
      <c r="E2689" s="29" t="s">
        <v>6096</v>
      </c>
      <c r="F2689" s="16" t="s">
        <v>6097</v>
      </c>
      <c r="G2689" s="26">
        <v>56</v>
      </c>
      <c r="H2689" s="26"/>
      <c r="I2689" s="26"/>
      <c r="J2689" s="27" t="s">
        <v>6573</v>
      </c>
      <c r="K2689" s="29" t="s">
        <v>1850</v>
      </c>
      <c r="L2689" s="27"/>
      <c r="M2689" s="68">
        <v>1</v>
      </c>
      <c r="N2689" s="68" t="s">
        <v>6440</v>
      </c>
    </row>
    <row r="2690" spans="1:14" s="3" customFormat="1" ht="14.25" x14ac:dyDescent="0.2">
      <c r="A2690" s="14" t="s">
        <v>6452</v>
      </c>
      <c r="B2690" s="15" t="s">
        <v>5057</v>
      </c>
      <c r="C2690" s="16" t="s">
        <v>3754</v>
      </c>
      <c r="D2690" s="16" t="s">
        <v>3754</v>
      </c>
      <c r="E2690" s="29" t="s">
        <v>1280</v>
      </c>
      <c r="F2690" s="16" t="s">
        <v>3754</v>
      </c>
      <c r="G2690" s="26">
        <v>27</v>
      </c>
      <c r="H2690" s="26"/>
      <c r="I2690" s="26"/>
      <c r="J2690" s="27" t="s">
        <v>1264</v>
      </c>
      <c r="K2690" s="29" t="s">
        <v>8102</v>
      </c>
      <c r="L2690" s="46"/>
      <c r="M2690" s="68">
        <v>1</v>
      </c>
      <c r="N2690" s="68" t="s">
        <v>6440</v>
      </c>
    </row>
    <row r="2691" spans="1:14" s="3" customFormat="1" ht="14.25" x14ac:dyDescent="0.2">
      <c r="A2691" s="17" t="s">
        <v>6452</v>
      </c>
      <c r="B2691" s="18" t="s">
        <v>3738</v>
      </c>
      <c r="C2691" s="19" t="s">
        <v>3757</v>
      </c>
      <c r="D2691" s="16" t="s">
        <v>3754</v>
      </c>
      <c r="E2691" s="61" t="s">
        <v>6100</v>
      </c>
      <c r="F2691" s="19" t="s">
        <v>6101</v>
      </c>
      <c r="G2691" s="8">
        <v>37</v>
      </c>
      <c r="H2691" s="8"/>
      <c r="I2691" s="8"/>
      <c r="J2691" s="45" t="s">
        <v>6102</v>
      </c>
      <c r="K2691" s="55" t="s">
        <v>4753</v>
      </c>
      <c r="L2691" s="46"/>
      <c r="M2691" s="68">
        <v>1</v>
      </c>
      <c r="N2691" s="68" t="s">
        <v>6440</v>
      </c>
    </row>
    <row r="2692" spans="1:14" s="3" customFormat="1" ht="14.25" x14ac:dyDescent="0.2">
      <c r="A2692" s="9" t="s">
        <v>8342</v>
      </c>
      <c r="B2692" s="5" t="s">
        <v>1445</v>
      </c>
      <c r="C2692" s="10" t="s">
        <v>3757</v>
      </c>
      <c r="D2692" s="13" t="s">
        <v>3754</v>
      </c>
      <c r="E2692" s="61" t="s">
        <v>8343</v>
      </c>
      <c r="F2692" s="10" t="s">
        <v>8344</v>
      </c>
      <c r="G2692" s="22">
        <v>91</v>
      </c>
      <c r="H2692" s="22"/>
      <c r="I2692" s="22"/>
      <c r="J2692" s="55" t="s">
        <v>1271</v>
      </c>
      <c r="K2692" s="55" t="s">
        <v>8345</v>
      </c>
      <c r="L2692" s="61"/>
      <c r="M2692" s="68">
        <v>1</v>
      </c>
      <c r="N2692" s="68" t="s">
        <v>1734</v>
      </c>
    </row>
    <row r="2693" spans="1:14" s="3" customFormat="1" ht="14.25" x14ac:dyDescent="0.2">
      <c r="A2693" s="37" t="s">
        <v>4629</v>
      </c>
      <c r="B2693" s="38" t="s">
        <v>3740</v>
      </c>
      <c r="C2693" s="39" t="s">
        <v>3754</v>
      </c>
      <c r="D2693" s="13" t="s">
        <v>3754</v>
      </c>
      <c r="E2693" s="84" t="s">
        <v>3680</v>
      </c>
      <c r="F2693" s="39" t="s">
        <v>4630</v>
      </c>
      <c r="G2693" s="25">
        <v>40</v>
      </c>
      <c r="H2693" s="25"/>
      <c r="I2693" s="25"/>
      <c r="J2693" s="84" t="s">
        <v>1264</v>
      </c>
      <c r="K2693" s="84" t="s">
        <v>4631</v>
      </c>
      <c r="L2693" s="29"/>
      <c r="M2693" s="68">
        <v>1</v>
      </c>
      <c r="N2693" s="68" t="s">
        <v>1735</v>
      </c>
    </row>
    <row r="2694" spans="1:14" s="3" customFormat="1" ht="14.25" x14ac:dyDescent="0.2">
      <c r="A2694" s="37" t="s">
        <v>8356</v>
      </c>
      <c r="B2694" s="38" t="s">
        <v>3732</v>
      </c>
      <c r="C2694" s="39" t="s">
        <v>3754</v>
      </c>
      <c r="D2694" s="13" t="s">
        <v>3754</v>
      </c>
      <c r="E2694" s="84" t="s">
        <v>736</v>
      </c>
      <c r="F2694" s="39" t="s">
        <v>8357</v>
      </c>
      <c r="G2694" s="25"/>
      <c r="H2694" s="25">
        <v>1</v>
      </c>
      <c r="I2694" s="25"/>
      <c r="J2694" s="84"/>
      <c r="K2694" s="84" t="s">
        <v>8358</v>
      </c>
      <c r="L2694" s="29"/>
      <c r="M2694" s="68">
        <v>1</v>
      </c>
      <c r="N2694" s="68" t="s">
        <v>1734</v>
      </c>
    </row>
    <row r="2695" spans="1:14" s="3" customFormat="1" ht="14.25" x14ac:dyDescent="0.2">
      <c r="A2695" s="37" t="s">
        <v>8356</v>
      </c>
      <c r="B2695" s="38" t="s">
        <v>8380</v>
      </c>
      <c r="C2695" s="39" t="s">
        <v>3754</v>
      </c>
      <c r="D2695" s="13" t="s">
        <v>3754</v>
      </c>
      <c r="E2695" s="84" t="s">
        <v>6071</v>
      </c>
      <c r="F2695" s="39" t="s">
        <v>4227</v>
      </c>
      <c r="G2695" s="25"/>
      <c r="H2695" s="25">
        <v>3</v>
      </c>
      <c r="I2695" s="25"/>
      <c r="J2695" s="84" t="s">
        <v>4829</v>
      </c>
      <c r="K2695" s="84" t="s">
        <v>4228</v>
      </c>
      <c r="L2695" s="29"/>
      <c r="M2695" s="68">
        <v>1</v>
      </c>
      <c r="N2695" s="68" t="s">
        <v>1734</v>
      </c>
    </row>
    <row r="2696" spans="1:14" s="3" customFormat="1" ht="14.25" x14ac:dyDescent="0.2">
      <c r="A2696" s="37" t="s">
        <v>1742</v>
      </c>
      <c r="B2696" s="38" t="s">
        <v>3732</v>
      </c>
      <c r="C2696" s="39" t="s">
        <v>3757</v>
      </c>
      <c r="D2696" s="13" t="s">
        <v>3754</v>
      </c>
      <c r="E2696" s="84" t="s">
        <v>1746</v>
      </c>
      <c r="F2696" s="39" t="s">
        <v>1744</v>
      </c>
      <c r="G2696" s="25">
        <v>33</v>
      </c>
      <c r="H2696" s="25"/>
      <c r="I2696" s="25"/>
      <c r="J2696" s="84" t="s">
        <v>1264</v>
      </c>
      <c r="K2696" s="84" t="s">
        <v>1745</v>
      </c>
      <c r="L2696" s="29"/>
      <c r="M2696" s="68">
        <v>1</v>
      </c>
      <c r="N2696" s="68" t="s">
        <v>1735</v>
      </c>
    </row>
    <row r="2697" spans="1:14" s="3" customFormat="1" ht="14.25" x14ac:dyDescent="0.2">
      <c r="A2697" s="37" t="s">
        <v>1742</v>
      </c>
      <c r="B2697" s="38" t="s">
        <v>3750</v>
      </c>
      <c r="C2697" s="39" t="s">
        <v>4893</v>
      </c>
      <c r="D2697" s="13" t="s">
        <v>3754</v>
      </c>
      <c r="E2697" s="84" t="s">
        <v>1743</v>
      </c>
      <c r="F2697" s="39" t="s">
        <v>1744</v>
      </c>
      <c r="G2697" s="25">
        <v>17</v>
      </c>
      <c r="H2697" s="25">
        <v>10</v>
      </c>
      <c r="I2697" s="25"/>
      <c r="J2697" s="84" t="s">
        <v>1264</v>
      </c>
      <c r="K2697" s="84" t="s">
        <v>1745</v>
      </c>
      <c r="L2697" s="29"/>
      <c r="M2697" s="68">
        <v>1</v>
      </c>
      <c r="N2697" s="68" t="s">
        <v>1735</v>
      </c>
    </row>
    <row r="2698" spans="1:14" s="3" customFormat="1" ht="14.25" x14ac:dyDescent="0.2">
      <c r="A2698" s="37" t="s">
        <v>1747</v>
      </c>
      <c r="B2698" s="38" t="s">
        <v>3734</v>
      </c>
      <c r="C2698" s="39" t="s">
        <v>3757</v>
      </c>
      <c r="D2698" s="13" t="s">
        <v>3754</v>
      </c>
      <c r="E2698" s="84" t="s">
        <v>8121</v>
      </c>
      <c r="F2698" s="39" t="s">
        <v>4611</v>
      </c>
      <c r="G2698" s="25">
        <v>54</v>
      </c>
      <c r="H2698" s="25"/>
      <c r="I2698" s="25"/>
      <c r="J2698" s="84" t="s">
        <v>1270</v>
      </c>
      <c r="K2698" s="84" t="s">
        <v>2117</v>
      </c>
      <c r="L2698" s="29"/>
      <c r="M2698" s="68">
        <v>1</v>
      </c>
      <c r="N2698" s="68" t="s">
        <v>1735</v>
      </c>
    </row>
    <row r="2699" spans="1:14" s="3" customFormat="1" ht="14.25" x14ac:dyDescent="0.2">
      <c r="A2699" s="37" t="s">
        <v>1747</v>
      </c>
      <c r="B2699" s="38" t="s">
        <v>1748</v>
      </c>
      <c r="C2699" s="39" t="s">
        <v>3754</v>
      </c>
      <c r="D2699" s="13" t="s">
        <v>3754</v>
      </c>
      <c r="E2699" s="84" t="s">
        <v>1343</v>
      </c>
      <c r="F2699" s="39" t="s">
        <v>4609</v>
      </c>
      <c r="G2699" s="25">
        <v>25</v>
      </c>
      <c r="H2699" s="25"/>
      <c r="I2699" s="25"/>
      <c r="J2699" s="84" t="s">
        <v>1264</v>
      </c>
      <c r="K2699" s="84" t="s">
        <v>4610</v>
      </c>
      <c r="L2699" s="29"/>
      <c r="M2699" s="68">
        <v>1</v>
      </c>
      <c r="N2699" s="68" t="s">
        <v>1735</v>
      </c>
    </row>
    <row r="2700" spans="1:14" s="3" customFormat="1" ht="14.25" x14ac:dyDescent="0.2">
      <c r="A2700" s="37" t="s">
        <v>1747</v>
      </c>
      <c r="B2700" s="38" t="s">
        <v>2608</v>
      </c>
      <c r="C2700" s="39" t="s">
        <v>3757</v>
      </c>
      <c r="D2700" s="13" t="s">
        <v>3754</v>
      </c>
      <c r="E2700" s="84" t="s">
        <v>3375</v>
      </c>
      <c r="F2700" s="39" t="s">
        <v>4611</v>
      </c>
      <c r="G2700" s="25">
        <v>58</v>
      </c>
      <c r="H2700" s="25"/>
      <c r="I2700" s="25"/>
      <c r="J2700" s="84" t="s">
        <v>1277</v>
      </c>
      <c r="K2700" s="84" t="s">
        <v>1681</v>
      </c>
      <c r="L2700" s="29"/>
      <c r="M2700" s="68">
        <v>1</v>
      </c>
      <c r="N2700" s="68" t="s">
        <v>1735</v>
      </c>
    </row>
    <row r="2701" spans="1:14" s="3" customFormat="1" ht="14.25" x14ac:dyDescent="0.2">
      <c r="A2701" s="37" t="s">
        <v>8323</v>
      </c>
      <c r="B2701" s="38" t="s">
        <v>3734</v>
      </c>
      <c r="C2701" s="39" t="s">
        <v>3757</v>
      </c>
      <c r="D2701" s="13" t="s">
        <v>3754</v>
      </c>
      <c r="E2701" s="84" t="s">
        <v>1285</v>
      </c>
      <c r="F2701" s="39" t="s">
        <v>8324</v>
      </c>
      <c r="G2701" s="25">
        <v>81</v>
      </c>
      <c r="H2701" s="25"/>
      <c r="I2701" s="25"/>
      <c r="J2701" s="84" t="s">
        <v>1271</v>
      </c>
      <c r="K2701" s="84" t="s">
        <v>8325</v>
      </c>
      <c r="L2701" s="29"/>
      <c r="M2701" s="68">
        <v>1</v>
      </c>
      <c r="N2701" s="68" t="s">
        <v>1734</v>
      </c>
    </row>
    <row r="2702" spans="1:14" s="3" customFormat="1" ht="14.25" x14ac:dyDescent="0.2">
      <c r="A2702" s="37" t="s">
        <v>8323</v>
      </c>
      <c r="B2702" s="38" t="s">
        <v>4982</v>
      </c>
      <c r="C2702" s="39" t="s">
        <v>3754</v>
      </c>
      <c r="D2702" s="13" t="s">
        <v>3754</v>
      </c>
      <c r="E2702" s="84" t="s">
        <v>8373</v>
      </c>
      <c r="F2702" s="39" t="s">
        <v>8374</v>
      </c>
      <c r="G2702" s="25"/>
      <c r="H2702" s="25">
        <v>1</v>
      </c>
      <c r="I2702" s="25"/>
      <c r="J2702" s="84" t="s">
        <v>1254</v>
      </c>
      <c r="K2702" s="84" t="s">
        <v>2101</v>
      </c>
      <c r="L2702" s="29"/>
      <c r="M2702" s="68">
        <v>1</v>
      </c>
      <c r="N2702" s="68" t="s">
        <v>1734</v>
      </c>
    </row>
    <row r="2703" spans="1:14" s="3" customFormat="1" ht="14.25" x14ac:dyDescent="0.2">
      <c r="A2703" s="37" t="s">
        <v>1738</v>
      </c>
      <c r="B2703" s="38" t="s">
        <v>1739</v>
      </c>
      <c r="C2703" s="39" t="s">
        <v>3754</v>
      </c>
      <c r="D2703" s="13" t="s">
        <v>3754</v>
      </c>
      <c r="E2703" s="84" t="s">
        <v>6423</v>
      </c>
      <c r="F2703" s="39" t="s">
        <v>1740</v>
      </c>
      <c r="G2703" s="25">
        <v>1</v>
      </c>
      <c r="H2703" s="25">
        <v>10</v>
      </c>
      <c r="I2703" s="25"/>
      <c r="J2703" s="84"/>
      <c r="K2703" s="84" t="s">
        <v>1741</v>
      </c>
      <c r="L2703" s="29"/>
      <c r="M2703" s="68">
        <v>1</v>
      </c>
      <c r="N2703" s="68" t="s">
        <v>1735</v>
      </c>
    </row>
    <row r="2704" spans="1:14" s="3" customFormat="1" ht="14.25" x14ac:dyDescent="0.2">
      <c r="A2704" s="37" t="s">
        <v>8320</v>
      </c>
      <c r="B2704" s="38" t="s">
        <v>1432</v>
      </c>
      <c r="C2704" s="39" t="s">
        <v>3757</v>
      </c>
      <c r="D2704" s="13" t="s">
        <v>6944</v>
      </c>
      <c r="E2704" s="84" t="s">
        <v>8321</v>
      </c>
      <c r="F2704" s="39" t="s">
        <v>8322</v>
      </c>
      <c r="G2704" s="25">
        <v>48</v>
      </c>
      <c r="H2704" s="25"/>
      <c r="I2704" s="25"/>
      <c r="J2704" s="84" t="s">
        <v>1264</v>
      </c>
      <c r="K2704" s="84" t="s">
        <v>1846</v>
      </c>
      <c r="L2704" s="29"/>
      <c r="M2704" s="68">
        <v>1</v>
      </c>
      <c r="N2704" s="68" t="s">
        <v>1734</v>
      </c>
    </row>
    <row r="2705" spans="1:14" s="3" customFormat="1" ht="14.25" x14ac:dyDescent="0.2">
      <c r="A2705" s="37" t="s">
        <v>4625</v>
      </c>
      <c r="B2705" s="38" t="s">
        <v>4626</v>
      </c>
      <c r="C2705" s="39" t="s">
        <v>3754</v>
      </c>
      <c r="D2705" s="13" t="s">
        <v>3754</v>
      </c>
      <c r="E2705" s="84" t="s">
        <v>6433</v>
      </c>
      <c r="F2705" s="39" t="s">
        <v>4627</v>
      </c>
      <c r="G2705" s="25">
        <v>9</v>
      </c>
      <c r="H2705" s="25">
        <v>9</v>
      </c>
      <c r="I2705" s="25"/>
      <c r="J2705" s="84" t="s">
        <v>1266</v>
      </c>
      <c r="K2705" s="84" t="s">
        <v>4628</v>
      </c>
      <c r="L2705" s="29"/>
      <c r="M2705" s="68">
        <v>1</v>
      </c>
      <c r="N2705" s="68" t="s">
        <v>1735</v>
      </c>
    </row>
    <row r="2706" spans="1:14" s="3" customFormat="1" ht="14.25" x14ac:dyDescent="0.2">
      <c r="A2706" s="37" t="s">
        <v>8329</v>
      </c>
      <c r="B2706" s="38" t="s">
        <v>1809</v>
      </c>
      <c r="C2706" s="39" t="s">
        <v>3754</v>
      </c>
      <c r="D2706" s="13" t="s">
        <v>3754</v>
      </c>
      <c r="E2706" s="84" t="s">
        <v>4229</v>
      </c>
      <c r="F2706" s="39" t="s">
        <v>4230</v>
      </c>
      <c r="G2706" s="25">
        <v>17</v>
      </c>
      <c r="H2706" s="25">
        <v>6</v>
      </c>
      <c r="I2706" s="25"/>
      <c r="J2706" s="84" t="s">
        <v>1264</v>
      </c>
      <c r="K2706" s="84" t="s">
        <v>2861</v>
      </c>
      <c r="L2706" s="29"/>
      <c r="M2706" s="68">
        <v>1</v>
      </c>
      <c r="N2706" s="68" t="s">
        <v>1734</v>
      </c>
    </row>
    <row r="2707" spans="1:14" s="3" customFormat="1" ht="14.25" x14ac:dyDescent="0.2">
      <c r="A2707" s="37" t="s">
        <v>8329</v>
      </c>
      <c r="B2707" s="38" t="s">
        <v>8334</v>
      </c>
      <c r="C2707" s="39" t="s">
        <v>3754</v>
      </c>
      <c r="D2707" s="13" t="s">
        <v>3754</v>
      </c>
      <c r="E2707" s="84" t="s">
        <v>377</v>
      </c>
      <c r="F2707" s="39" t="s">
        <v>8335</v>
      </c>
      <c r="G2707" s="25">
        <v>38</v>
      </c>
      <c r="H2707" s="25"/>
      <c r="I2707" s="25"/>
      <c r="J2707" s="84" t="s">
        <v>1849</v>
      </c>
      <c r="K2707" s="84" t="s">
        <v>5650</v>
      </c>
      <c r="L2707" s="29"/>
      <c r="M2707" s="68">
        <v>1</v>
      </c>
      <c r="N2707" s="68" t="s">
        <v>1734</v>
      </c>
    </row>
    <row r="2708" spans="1:14" s="3" customFormat="1" ht="14.25" x14ac:dyDescent="0.2">
      <c r="A2708" s="37" t="s">
        <v>8329</v>
      </c>
      <c r="B2708" s="38" t="s">
        <v>3732</v>
      </c>
      <c r="C2708" s="39" t="s">
        <v>3757</v>
      </c>
      <c r="D2708" s="13" t="s">
        <v>3754</v>
      </c>
      <c r="E2708" s="84" t="s">
        <v>8332</v>
      </c>
      <c r="F2708" s="39" t="s">
        <v>8333</v>
      </c>
      <c r="G2708" s="25">
        <v>36</v>
      </c>
      <c r="H2708" s="25"/>
      <c r="I2708" s="25"/>
      <c r="J2708" s="84" t="s">
        <v>2948</v>
      </c>
      <c r="K2708" s="84" t="s">
        <v>3060</v>
      </c>
      <c r="L2708" s="29"/>
      <c r="M2708" s="68">
        <v>1</v>
      </c>
      <c r="N2708" s="68" t="s">
        <v>1734</v>
      </c>
    </row>
    <row r="2709" spans="1:14" s="3" customFormat="1" ht="14.25" x14ac:dyDescent="0.2">
      <c r="A2709" s="37" t="s">
        <v>8329</v>
      </c>
      <c r="B2709" s="38" t="s">
        <v>3733</v>
      </c>
      <c r="C2709" s="39" t="s">
        <v>3757</v>
      </c>
      <c r="D2709" s="13" t="s">
        <v>3754</v>
      </c>
      <c r="E2709" s="84" t="s">
        <v>8330</v>
      </c>
      <c r="F2709" s="39" t="s">
        <v>8331</v>
      </c>
      <c r="G2709" s="25">
        <v>62</v>
      </c>
      <c r="H2709" s="25"/>
      <c r="I2709" s="25"/>
      <c r="J2709" s="84" t="s">
        <v>1264</v>
      </c>
      <c r="K2709" s="84" t="s">
        <v>3060</v>
      </c>
      <c r="L2709" s="29"/>
      <c r="M2709" s="68">
        <v>1</v>
      </c>
      <c r="N2709" s="68" t="s">
        <v>1734</v>
      </c>
    </row>
    <row r="2710" spans="1:14" s="3" customFormat="1" ht="14.25" x14ac:dyDescent="0.2">
      <c r="A2710" s="37" t="s">
        <v>4615</v>
      </c>
      <c r="B2710" s="38" t="s">
        <v>4616</v>
      </c>
      <c r="C2710" s="39" t="s">
        <v>3754</v>
      </c>
      <c r="D2710" s="13" t="s">
        <v>3754</v>
      </c>
      <c r="E2710" s="84" t="s">
        <v>463</v>
      </c>
      <c r="F2710" s="39" t="s">
        <v>4617</v>
      </c>
      <c r="G2710" s="25">
        <v>28</v>
      </c>
      <c r="H2710" s="25"/>
      <c r="I2710" s="25"/>
      <c r="J2710" s="84" t="s">
        <v>1264</v>
      </c>
      <c r="K2710" s="84" t="s">
        <v>2574</v>
      </c>
      <c r="L2710" s="29"/>
      <c r="M2710" s="68">
        <v>1</v>
      </c>
      <c r="N2710" s="68" t="s">
        <v>1735</v>
      </c>
    </row>
    <row r="2711" spans="1:14" s="3" customFormat="1" ht="14.25" x14ac:dyDescent="0.2">
      <c r="A2711" s="37" t="s">
        <v>4615</v>
      </c>
      <c r="B2711" s="38" t="s">
        <v>3735</v>
      </c>
      <c r="C2711" s="39" t="s">
        <v>3754</v>
      </c>
      <c r="D2711" s="13" t="s">
        <v>3754</v>
      </c>
      <c r="E2711" s="84" t="s">
        <v>463</v>
      </c>
      <c r="F2711" s="39" t="s">
        <v>4617</v>
      </c>
      <c r="G2711" s="25">
        <v>30</v>
      </c>
      <c r="H2711" s="25"/>
      <c r="I2711" s="25"/>
      <c r="J2711" s="84" t="s">
        <v>1264</v>
      </c>
      <c r="K2711" s="84" t="s">
        <v>2577</v>
      </c>
      <c r="L2711" s="29"/>
      <c r="M2711" s="68">
        <v>1</v>
      </c>
      <c r="N2711" s="68" t="s">
        <v>1735</v>
      </c>
    </row>
    <row r="2712" spans="1:14" s="3" customFormat="1" ht="14.25" x14ac:dyDescent="0.2">
      <c r="A2712" s="9" t="s">
        <v>8310</v>
      </c>
      <c r="B2712" s="5" t="s">
        <v>4685</v>
      </c>
      <c r="C2712" s="10" t="s">
        <v>3754</v>
      </c>
      <c r="D2712" s="13" t="s">
        <v>3754</v>
      </c>
      <c r="E2712" s="55" t="s">
        <v>8311</v>
      </c>
      <c r="F2712" s="10" t="s">
        <v>3754</v>
      </c>
      <c r="G2712" s="22"/>
      <c r="H2712" s="22">
        <v>3</v>
      </c>
      <c r="I2712" s="22">
        <v>11</v>
      </c>
      <c r="J2712" s="55" t="s">
        <v>1255</v>
      </c>
      <c r="K2712" s="55" t="s">
        <v>8142</v>
      </c>
      <c r="L2712" s="61"/>
      <c r="M2712" s="68">
        <v>1</v>
      </c>
      <c r="N2712" s="68" t="s">
        <v>1734</v>
      </c>
    </row>
    <row r="2713" spans="1:14" s="3" customFormat="1" ht="14.25" x14ac:dyDescent="0.2">
      <c r="A2713" s="9" t="s">
        <v>4650</v>
      </c>
      <c r="B2713" s="5" t="s">
        <v>3740</v>
      </c>
      <c r="C2713" s="10" t="s">
        <v>3754</v>
      </c>
      <c r="D2713" s="13" t="s">
        <v>3754</v>
      </c>
      <c r="E2713" s="61" t="s">
        <v>1689</v>
      </c>
      <c r="F2713" s="10" t="s">
        <v>4651</v>
      </c>
      <c r="G2713" s="22">
        <v>2</v>
      </c>
      <c r="H2713" s="22">
        <v>3</v>
      </c>
      <c r="I2713" s="22">
        <v>20</v>
      </c>
      <c r="J2713" s="55" t="s">
        <v>1258</v>
      </c>
      <c r="K2713" s="61" t="s">
        <v>3389</v>
      </c>
      <c r="L2713" s="61"/>
      <c r="M2713" s="68">
        <v>1</v>
      </c>
      <c r="N2713" s="68" t="s">
        <v>1735</v>
      </c>
    </row>
    <row r="2714" spans="1:14" s="3" customFormat="1" ht="14.25" x14ac:dyDescent="0.2">
      <c r="A2714" s="11" t="s">
        <v>8352</v>
      </c>
      <c r="B2714" s="12" t="s">
        <v>8353</v>
      </c>
      <c r="C2714" s="13" t="s">
        <v>1509</v>
      </c>
      <c r="D2714" s="13" t="s">
        <v>3754</v>
      </c>
      <c r="E2714" s="55" t="s">
        <v>8354</v>
      </c>
      <c r="F2714" s="13" t="s">
        <v>8355</v>
      </c>
      <c r="G2714" s="22">
        <v>39</v>
      </c>
      <c r="H2714" s="22"/>
      <c r="I2714" s="22"/>
      <c r="J2714" s="29" t="s">
        <v>1264</v>
      </c>
      <c r="K2714" s="29" t="s">
        <v>8354</v>
      </c>
      <c r="L2714" s="29"/>
      <c r="M2714" s="68">
        <v>1</v>
      </c>
      <c r="N2714" s="68" t="s">
        <v>1734</v>
      </c>
    </row>
    <row r="2715" spans="1:14" s="3" customFormat="1" ht="14.25" x14ac:dyDescent="0.2">
      <c r="A2715" s="11" t="s">
        <v>8352</v>
      </c>
      <c r="B2715" s="12" t="s">
        <v>1732</v>
      </c>
      <c r="C2715" s="13" t="s">
        <v>4708</v>
      </c>
      <c r="D2715" s="13" t="s">
        <v>1733</v>
      </c>
      <c r="E2715" s="61"/>
      <c r="F2715" s="13" t="s">
        <v>1733</v>
      </c>
      <c r="G2715" s="22">
        <v>66</v>
      </c>
      <c r="H2715" s="22"/>
      <c r="I2715" s="22"/>
      <c r="J2715" s="29" t="s">
        <v>3308</v>
      </c>
      <c r="K2715" s="29" t="s">
        <v>6231</v>
      </c>
      <c r="L2715" s="95"/>
      <c r="M2715" s="68">
        <v>1</v>
      </c>
      <c r="N2715" s="68" t="s">
        <v>1734</v>
      </c>
    </row>
    <row r="2716" spans="1:14" s="3" customFormat="1" ht="14.25" x14ac:dyDescent="0.2">
      <c r="A2716" s="11" t="s">
        <v>1736</v>
      </c>
      <c r="B2716" s="12" t="s">
        <v>4908</v>
      </c>
      <c r="C2716" s="13" t="s">
        <v>3757</v>
      </c>
      <c r="D2716" s="13" t="s">
        <v>3754</v>
      </c>
      <c r="E2716" s="61" t="s">
        <v>3407</v>
      </c>
      <c r="F2716" s="13" t="s">
        <v>1733</v>
      </c>
      <c r="G2716" s="22">
        <v>75</v>
      </c>
      <c r="H2716" s="22"/>
      <c r="I2716" s="22"/>
      <c r="J2716" s="29" t="s">
        <v>2108</v>
      </c>
      <c r="K2716" s="29" t="s">
        <v>1737</v>
      </c>
      <c r="L2716" s="29"/>
      <c r="M2716" s="68">
        <v>1</v>
      </c>
      <c r="N2716" s="68" t="s">
        <v>1735</v>
      </c>
    </row>
    <row r="2717" spans="1:14" s="3" customFormat="1" ht="14.25" x14ac:dyDescent="0.2">
      <c r="A2717" s="11" t="s">
        <v>8346</v>
      </c>
      <c r="B2717" s="12" t="s">
        <v>4643</v>
      </c>
      <c r="C2717" s="13" t="s">
        <v>3754</v>
      </c>
      <c r="D2717" s="13" t="s">
        <v>3754</v>
      </c>
      <c r="E2717" s="55" t="s">
        <v>6763</v>
      </c>
      <c r="F2717" s="13" t="s">
        <v>4644</v>
      </c>
      <c r="G2717" s="22">
        <v>1</v>
      </c>
      <c r="H2717" s="22">
        <v>2</v>
      </c>
      <c r="I2717" s="22">
        <v>5</v>
      </c>
      <c r="J2717" s="29" t="s">
        <v>1277</v>
      </c>
      <c r="K2717" s="29" t="s">
        <v>1141</v>
      </c>
      <c r="L2717" s="29"/>
      <c r="M2717" s="68">
        <v>1</v>
      </c>
      <c r="N2717" s="68" t="s">
        <v>1735</v>
      </c>
    </row>
    <row r="2718" spans="1:14" s="3" customFormat="1" ht="14.25" x14ac:dyDescent="0.2">
      <c r="A2718" s="11" t="s">
        <v>8346</v>
      </c>
      <c r="B2718" s="12" t="s">
        <v>6800</v>
      </c>
      <c r="C2718" s="13" t="s">
        <v>3754</v>
      </c>
      <c r="D2718" s="13" t="s">
        <v>3240</v>
      </c>
      <c r="E2718" s="55" t="s">
        <v>4646</v>
      </c>
      <c r="F2718" s="13" t="s">
        <v>4647</v>
      </c>
      <c r="G2718" s="22">
        <v>30</v>
      </c>
      <c r="H2718" s="22"/>
      <c r="I2718" s="22"/>
      <c r="J2718" s="29" t="s">
        <v>1264</v>
      </c>
      <c r="K2718" s="29" t="s">
        <v>1154</v>
      </c>
      <c r="L2718" s="29"/>
      <c r="M2718" s="68">
        <v>1</v>
      </c>
      <c r="N2718" s="68" t="s">
        <v>1735</v>
      </c>
    </row>
    <row r="2719" spans="1:14" s="3" customFormat="1" ht="14.25" x14ac:dyDescent="0.2">
      <c r="A2719" s="11" t="s">
        <v>8346</v>
      </c>
      <c r="B2719" s="12" t="s">
        <v>5904</v>
      </c>
      <c r="C2719" s="13" t="s">
        <v>3754</v>
      </c>
      <c r="D2719" s="13" t="s">
        <v>3754</v>
      </c>
      <c r="E2719" s="61" t="s">
        <v>8347</v>
      </c>
      <c r="F2719" s="13" t="s">
        <v>3776</v>
      </c>
      <c r="G2719" s="22"/>
      <c r="H2719" s="22">
        <v>11</v>
      </c>
      <c r="I2719" s="22">
        <v>6</v>
      </c>
      <c r="J2719" s="29" t="s">
        <v>4750</v>
      </c>
      <c r="K2719" s="29" t="s">
        <v>8348</v>
      </c>
      <c r="L2719" s="29"/>
      <c r="M2719" s="68">
        <v>1</v>
      </c>
      <c r="N2719" s="68" t="s">
        <v>1734</v>
      </c>
    </row>
    <row r="2720" spans="1:14" s="3" customFormat="1" ht="14.25" x14ac:dyDescent="0.2">
      <c r="A2720" s="11" t="s">
        <v>4632</v>
      </c>
      <c r="B2720" s="12" t="s">
        <v>4685</v>
      </c>
      <c r="C2720" s="13" t="s">
        <v>3757</v>
      </c>
      <c r="D2720" s="13" t="s">
        <v>3754</v>
      </c>
      <c r="E2720" s="29" t="s">
        <v>4633</v>
      </c>
      <c r="F2720" s="13" t="s">
        <v>4634</v>
      </c>
      <c r="G2720" s="22">
        <v>69</v>
      </c>
      <c r="H2720" s="22"/>
      <c r="I2720" s="22"/>
      <c r="J2720" s="29" t="s">
        <v>1277</v>
      </c>
      <c r="K2720" s="29" t="s">
        <v>4635</v>
      </c>
      <c r="L2720" s="29"/>
      <c r="M2720" s="68">
        <v>1</v>
      </c>
      <c r="N2720" s="68" t="s">
        <v>1735</v>
      </c>
    </row>
    <row r="2721" spans="1:14" s="3" customFormat="1" ht="14.25" x14ac:dyDescent="0.2">
      <c r="A2721" s="11" t="s">
        <v>4639</v>
      </c>
      <c r="B2721" s="12" t="s">
        <v>3723</v>
      </c>
      <c r="C2721" s="13" t="s">
        <v>4640</v>
      </c>
      <c r="D2721" s="13" t="s">
        <v>3754</v>
      </c>
      <c r="E2721" s="29" t="s">
        <v>3345</v>
      </c>
      <c r="F2721" s="13" t="s">
        <v>4641</v>
      </c>
      <c r="G2721" s="22">
        <v>45</v>
      </c>
      <c r="H2721" s="22"/>
      <c r="I2721" s="22"/>
      <c r="J2721" s="29" t="s">
        <v>4642</v>
      </c>
      <c r="K2721" s="29" t="s">
        <v>6752</v>
      </c>
      <c r="L2721" s="29"/>
      <c r="M2721" s="68">
        <v>1</v>
      </c>
      <c r="N2721" s="68" t="s">
        <v>1735</v>
      </c>
    </row>
    <row r="2722" spans="1:14" s="3" customFormat="1" ht="14.25" x14ac:dyDescent="0.2">
      <c r="A2722" s="11" t="s">
        <v>8338</v>
      </c>
      <c r="B2722" s="12" t="s">
        <v>8339</v>
      </c>
      <c r="C2722" s="13" t="s">
        <v>5699</v>
      </c>
      <c r="D2722" s="13" t="s">
        <v>5699</v>
      </c>
      <c r="E2722" s="29" t="s">
        <v>8340</v>
      </c>
      <c r="F2722" s="13" t="s">
        <v>8341</v>
      </c>
      <c r="G2722" s="22"/>
      <c r="H2722" s="22">
        <v>1</v>
      </c>
      <c r="I2722" s="22">
        <v>7</v>
      </c>
      <c r="J2722" s="29"/>
      <c r="K2722" s="29" t="s">
        <v>3202</v>
      </c>
      <c r="L2722" s="29"/>
      <c r="M2722" s="68">
        <v>1</v>
      </c>
      <c r="N2722" s="68" t="s">
        <v>1734</v>
      </c>
    </row>
    <row r="2723" spans="1:14" s="3" customFormat="1" ht="14.25" x14ac:dyDescent="0.2">
      <c r="A2723" s="11" t="s">
        <v>8369</v>
      </c>
      <c r="B2723" s="12" t="s">
        <v>8370</v>
      </c>
      <c r="C2723" s="13" t="s">
        <v>3754</v>
      </c>
      <c r="D2723" s="13" t="s">
        <v>3767</v>
      </c>
      <c r="E2723" s="29" t="s">
        <v>8371</v>
      </c>
      <c r="F2723" s="13" t="s">
        <v>8372</v>
      </c>
      <c r="G2723" s="22">
        <v>25</v>
      </c>
      <c r="H2723" s="22"/>
      <c r="I2723" s="22"/>
      <c r="J2723" s="29" t="s">
        <v>1849</v>
      </c>
      <c r="K2723" s="29" t="s">
        <v>2280</v>
      </c>
      <c r="L2723" s="29"/>
      <c r="M2723" s="68">
        <v>1</v>
      </c>
      <c r="N2723" s="68" t="s">
        <v>1734</v>
      </c>
    </row>
    <row r="2724" spans="1:14" s="3" customFormat="1" ht="14.25" x14ac:dyDescent="0.2">
      <c r="A2724" s="11" t="s">
        <v>8359</v>
      </c>
      <c r="B2724" s="12" t="s">
        <v>3989</v>
      </c>
      <c r="C2724" s="13" t="s">
        <v>3767</v>
      </c>
      <c r="D2724" s="13" t="s">
        <v>3767</v>
      </c>
      <c r="E2724" s="29" t="s">
        <v>173</v>
      </c>
      <c r="F2724" s="13" t="s">
        <v>8361</v>
      </c>
      <c r="G2724" s="22">
        <v>3</v>
      </c>
      <c r="H2724" s="22">
        <v>2</v>
      </c>
      <c r="I2724" s="22"/>
      <c r="J2724" s="29" t="s">
        <v>1254</v>
      </c>
      <c r="K2724" s="29" t="s">
        <v>2280</v>
      </c>
      <c r="L2724" s="29"/>
      <c r="M2724" s="68">
        <v>1</v>
      </c>
      <c r="N2724" s="68" t="s">
        <v>1734</v>
      </c>
    </row>
    <row r="2725" spans="1:14" s="3" customFormat="1" ht="14.25" x14ac:dyDescent="0.2">
      <c r="A2725" s="11" t="s">
        <v>8359</v>
      </c>
      <c r="B2725" s="12" t="s">
        <v>8362</v>
      </c>
      <c r="C2725" s="13" t="s">
        <v>3767</v>
      </c>
      <c r="D2725" s="13" t="s">
        <v>3767</v>
      </c>
      <c r="E2725" s="29" t="s">
        <v>8363</v>
      </c>
      <c r="F2725" s="13" t="s">
        <v>8361</v>
      </c>
      <c r="G2725" s="22"/>
      <c r="H2725" s="22">
        <v>11</v>
      </c>
      <c r="I2725" s="22">
        <v>15</v>
      </c>
      <c r="J2725" s="29" t="s">
        <v>4750</v>
      </c>
      <c r="K2725" s="29" t="s">
        <v>2280</v>
      </c>
      <c r="L2725" s="29"/>
      <c r="M2725" s="68">
        <v>1</v>
      </c>
      <c r="N2725" s="68" t="s">
        <v>1734</v>
      </c>
    </row>
    <row r="2726" spans="1:14" s="3" customFormat="1" ht="14.25" x14ac:dyDescent="0.2">
      <c r="A2726" s="11" t="s">
        <v>8359</v>
      </c>
      <c r="B2726" s="12" t="s">
        <v>8365</v>
      </c>
      <c r="C2726" s="13" t="s">
        <v>3754</v>
      </c>
      <c r="D2726" s="13" t="s">
        <v>3767</v>
      </c>
      <c r="E2726" s="29" t="s">
        <v>8366</v>
      </c>
      <c r="F2726" s="13" t="s">
        <v>8367</v>
      </c>
      <c r="G2726" s="22">
        <v>20</v>
      </c>
      <c r="H2726" s="22">
        <v>5</v>
      </c>
      <c r="I2726" s="22"/>
      <c r="J2726" s="29" t="s">
        <v>8368</v>
      </c>
      <c r="K2726" s="29" t="s">
        <v>2280</v>
      </c>
      <c r="L2726" s="29"/>
      <c r="M2726" s="68">
        <v>1</v>
      </c>
      <c r="N2726" s="68" t="s">
        <v>1734</v>
      </c>
    </row>
    <row r="2727" spans="1:14" s="3" customFormat="1" ht="14.25" x14ac:dyDescent="0.2">
      <c r="A2727" s="11" t="s">
        <v>8359</v>
      </c>
      <c r="B2727" s="12" t="s">
        <v>5435</v>
      </c>
      <c r="C2727" s="13" t="s">
        <v>3757</v>
      </c>
      <c r="D2727" s="13" t="s">
        <v>3767</v>
      </c>
      <c r="E2727" s="29" t="s">
        <v>4622</v>
      </c>
      <c r="F2727" s="13" t="s">
        <v>4623</v>
      </c>
      <c r="G2727" s="22">
        <v>45</v>
      </c>
      <c r="H2727" s="22"/>
      <c r="I2727" s="22"/>
      <c r="J2727" s="29" t="s">
        <v>4624</v>
      </c>
      <c r="K2727" s="29" t="s">
        <v>2582</v>
      </c>
      <c r="L2727" s="29"/>
      <c r="M2727" s="68">
        <v>1</v>
      </c>
      <c r="N2727" s="68" t="s">
        <v>1735</v>
      </c>
    </row>
    <row r="2728" spans="1:14" s="3" customFormat="1" ht="14.25" x14ac:dyDescent="0.2">
      <c r="A2728" s="11" t="s">
        <v>8359</v>
      </c>
      <c r="B2728" s="12" t="s">
        <v>5435</v>
      </c>
      <c r="C2728" s="13" t="s">
        <v>3767</v>
      </c>
      <c r="D2728" s="13" t="s">
        <v>3767</v>
      </c>
      <c r="E2728" s="29" t="s">
        <v>8360</v>
      </c>
      <c r="F2728" s="13" t="s">
        <v>8361</v>
      </c>
      <c r="G2728" s="22"/>
      <c r="H2728" s="22"/>
      <c r="I2728" s="22">
        <v>1</v>
      </c>
      <c r="J2728" s="29"/>
      <c r="K2728" s="29" t="s">
        <v>2280</v>
      </c>
      <c r="L2728" s="29"/>
      <c r="M2728" s="68">
        <v>1</v>
      </c>
      <c r="N2728" s="68" t="s">
        <v>1734</v>
      </c>
    </row>
    <row r="2729" spans="1:14" s="3" customFormat="1" ht="14.25" x14ac:dyDescent="0.2">
      <c r="A2729" s="11" t="s">
        <v>8359</v>
      </c>
      <c r="B2729" s="12" t="s">
        <v>1648</v>
      </c>
      <c r="C2729" s="13" t="s">
        <v>3767</v>
      </c>
      <c r="D2729" s="13" t="s">
        <v>3767</v>
      </c>
      <c r="E2729" s="29" t="s">
        <v>4648</v>
      </c>
      <c r="F2729" s="13" t="s">
        <v>3767</v>
      </c>
      <c r="G2729" s="22">
        <v>2</v>
      </c>
      <c r="H2729" s="22"/>
      <c r="I2729" s="22"/>
      <c r="J2729" s="29" t="s">
        <v>7319</v>
      </c>
      <c r="K2729" s="29" t="s">
        <v>6770</v>
      </c>
      <c r="L2729" s="29"/>
      <c r="M2729" s="68">
        <v>1</v>
      </c>
      <c r="N2729" s="68" t="s">
        <v>1735</v>
      </c>
    </row>
    <row r="2730" spans="1:14" s="3" customFormat="1" ht="14.25" x14ac:dyDescent="0.2">
      <c r="A2730" s="11" t="s">
        <v>4649</v>
      </c>
      <c r="B2730" s="12" t="s">
        <v>5435</v>
      </c>
      <c r="C2730" s="13" t="s">
        <v>3767</v>
      </c>
      <c r="D2730" s="13" t="s">
        <v>3767</v>
      </c>
      <c r="E2730" s="29" t="s">
        <v>3374</v>
      </c>
      <c r="F2730" s="13" t="s">
        <v>3767</v>
      </c>
      <c r="G2730" s="22">
        <v>5</v>
      </c>
      <c r="H2730" s="22"/>
      <c r="I2730" s="22"/>
      <c r="J2730" s="29" t="s">
        <v>4750</v>
      </c>
      <c r="K2730" s="29" t="s">
        <v>490</v>
      </c>
      <c r="L2730" s="29"/>
      <c r="M2730" s="68">
        <v>1</v>
      </c>
      <c r="N2730" s="68" t="s">
        <v>1735</v>
      </c>
    </row>
    <row r="2731" spans="1:14" s="3" customFormat="1" ht="14.25" x14ac:dyDescent="0.2">
      <c r="A2731" s="11" t="s">
        <v>4636</v>
      </c>
      <c r="B2731" s="12" t="s">
        <v>5486</v>
      </c>
      <c r="C2731" s="13" t="s">
        <v>3754</v>
      </c>
      <c r="D2731" s="13" t="s">
        <v>3754</v>
      </c>
      <c r="E2731" s="29" t="s">
        <v>6740</v>
      </c>
      <c r="F2731" s="13" t="s">
        <v>4637</v>
      </c>
      <c r="G2731" s="22">
        <v>7</v>
      </c>
      <c r="H2731" s="22"/>
      <c r="I2731" s="22"/>
      <c r="J2731" s="29" t="s">
        <v>4638</v>
      </c>
      <c r="K2731" s="29" t="s">
        <v>2788</v>
      </c>
      <c r="L2731" s="29"/>
      <c r="M2731" s="68">
        <v>1</v>
      </c>
      <c r="N2731" s="68" t="s">
        <v>1735</v>
      </c>
    </row>
    <row r="2732" spans="1:14" s="3" customFormat="1" ht="14.25" x14ac:dyDescent="0.2">
      <c r="A2732" s="11" t="s">
        <v>8312</v>
      </c>
      <c r="B2732" s="12" t="s">
        <v>3740</v>
      </c>
      <c r="C2732" s="13" t="s">
        <v>3754</v>
      </c>
      <c r="D2732" s="13" t="s">
        <v>3754</v>
      </c>
      <c r="E2732" s="29" t="s">
        <v>8313</v>
      </c>
      <c r="F2732" s="13" t="s">
        <v>3754</v>
      </c>
      <c r="G2732" s="22">
        <v>27</v>
      </c>
      <c r="H2732" s="22"/>
      <c r="I2732" s="22"/>
      <c r="J2732" s="29" t="s">
        <v>1264</v>
      </c>
      <c r="K2732" s="29" t="s">
        <v>8314</v>
      </c>
      <c r="L2732" s="29"/>
      <c r="M2732" s="68">
        <v>1</v>
      </c>
      <c r="N2732" s="68" t="s">
        <v>1734</v>
      </c>
    </row>
    <row r="2733" spans="1:14" s="3" customFormat="1" ht="14.25" x14ac:dyDescent="0.2">
      <c r="A2733" s="11" t="s">
        <v>8312</v>
      </c>
      <c r="B2733" s="12" t="s">
        <v>3732</v>
      </c>
      <c r="C2733" s="13" t="s">
        <v>5405</v>
      </c>
      <c r="D2733" s="13" t="s">
        <v>3754</v>
      </c>
      <c r="E2733" s="29" t="s">
        <v>8317</v>
      </c>
      <c r="F2733" s="13" t="s">
        <v>3754</v>
      </c>
      <c r="G2733" s="22">
        <v>33</v>
      </c>
      <c r="H2733" s="22"/>
      <c r="I2733" s="22"/>
      <c r="J2733" s="29" t="s">
        <v>1264</v>
      </c>
      <c r="K2733" s="29" t="s">
        <v>8318</v>
      </c>
      <c r="L2733" s="29"/>
      <c r="M2733" s="68">
        <v>1</v>
      </c>
      <c r="N2733" s="68" t="s">
        <v>1734</v>
      </c>
    </row>
    <row r="2734" spans="1:14" s="3" customFormat="1" ht="14.25" x14ac:dyDescent="0.2">
      <c r="A2734" s="11" t="s">
        <v>8312</v>
      </c>
      <c r="B2734" s="12" t="s">
        <v>3732</v>
      </c>
      <c r="C2734" s="13" t="s">
        <v>3757</v>
      </c>
      <c r="D2734" s="13" t="s">
        <v>3754</v>
      </c>
      <c r="E2734" s="29" t="s">
        <v>3271</v>
      </c>
      <c r="F2734" s="13" t="s">
        <v>4235</v>
      </c>
      <c r="G2734" s="22">
        <v>73</v>
      </c>
      <c r="H2734" s="22"/>
      <c r="I2734" s="22"/>
      <c r="J2734" s="29" t="s">
        <v>3308</v>
      </c>
      <c r="K2734" s="29" t="s">
        <v>4236</v>
      </c>
      <c r="L2734" s="29"/>
      <c r="M2734" s="68">
        <v>1</v>
      </c>
      <c r="N2734" s="68" t="s">
        <v>1734</v>
      </c>
    </row>
    <row r="2735" spans="1:14" s="3" customFormat="1" ht="14.25" x14ac:dyDescent="0.2">
      <c r="A2735" s="11" t="s">
        <v>8301</v>
      </c>
      <c r="B2735" s="12" t="s">
        <v>3740</v>
      </c>
      <c r="C2735" s="13" t="s">
        <v>3754</v>
      </c>
      <c r="D2735" s="13" t="s">
        <v>3754</v>
      </c>
      <c r="E2735" s="29" t="s">
        <v>2990</v>
      </c>
      <c r="F2735" s="13" t="s">
        <v>3754</v>
      </c>
      <c r="G2735" s="22">
        <v>27</v>
      </c>
      <c r="H2735" s="22"/>
      <c r="I2735" s="22"/>
      <c r="J2735" s="29" t="s">
        <v>1264</v>
      </c>
      <c r="K2735" s="29" t="s">
        <v>8216</v>
      </c>
      <c r="L2735" s="29"/>
      <c r="M2735" s="68">
        <v>1</v>
      </c>
      <c r="N2735" s="68" t="s">
        <v>1734</v>
      </c>
    </row>
    <row r="2736" spans="1:14" s="3" customFormat="1" ht="14.25" x14ac:dyDescent="0.2">
      <c r="A2736" s="11" t="s">
        <v>8301</v>
      </c>
      <c r="B2736" s="12" t="s">
        <v>3733</v>
      </c>
      <c r="C2736" s="13" t="s">
        <v>3757</v>
      </c>
      <c r="D2736" s="13" t="s">
        <v>3754</v>
      </c>
      <c r="E2736" s="29" t="s">
        <v>8304</v>
      </c>
      <c r="F2736" s="13" t="s">
        <v>3754</v>
      </c>
      <c r="G2736" s="22">
        <v>69</v>
      </c>
      <c r="H2736" s="22">
        <v>6</v>
      </c>
      <c r="I2736" s="22"/>
      <c r="J2736" s="29" t="s">
        <v>1266</v>
      </c>
      <c r="K2736" s="29" t="s">
        <v>4013</v>
      </c>
      <c r="L2736" s="29"/>
      <c r="M2736" s="68">
        <v>1</v>
      </c>
      <c r="N2736" s="68" t="s">
        <v>1734</v>
      </c>
    </row>
    <row r="2737" spans="1:14" s="3" customFormat="1" ht="14.25" x14ac:dyDescent="0.2">
      <c r="A2737" s="11" t="s">
        <v>8301</v>
      </c>
      <c r="B2737" s="12" t="s">
        <v>8302</v>
      </c>
      <c r="C2737" s="13" t="s">
        <v>3754</v>
      </c>
      <c r="D2737" s="13" t="s">
        <v>3754</v>
      </c>
      <c r="E2737" s="29" t="s">
        <v>8303</v>
      </c>
      <c r="F2737" s="13" t="s">
        <v>3754</v>
      </c>
      <c r="G2737" s="22">
        <v>23</v>
      </c>
      <c r="H2737" s="22"/>
      <c r="I2737" s="22"/>
      <c r="J2737" s="29" t="s">
        <v>1264</v>
      </c>
      <c r="K2737" s="29" t="s">
        <v>4013</v>
      </c>
      <c r="L2737" s="29"/>
      <c r="M2737" s="68">
        <v>1</v>
      </c>
      <c r="N2737" s="68" t="s">
        <v>1734</v>
      </c>
    </row>
    <row r="2738" spans="1:14" s="3" customFormat="1" ht="14.25" x14ac:dyDescent="0.2">
      <c r="A2738" s="11" t="s">
        <v>8326</v>
      </c>
      <c r="B2738" s="12" t="s">
        <v>1809</v>
      </c>
      <c r="C2738" s="13" t="s">
        <v>1509</v>
      </c>
      <c r="D2738" s="13" t="s">
        <v>3240</v>
      </c>
      <c r="E2738" s="29" t="s">
        <v>4612</v>
      </c>
      <c r="F2738" s="13" t="s">
        <v>4613</v>
      </c>
      <c r="G2738" s="22">
        <v>47</v>
      </c>
      <c r="H2738" s="22"/>
      <c r="I2738" s="22"/>
      <c r="J2738" s="29" t="s">
        <v>1267</v>
      </c>
      <c r="K2738" s="29" t="s">
        <v>4614</v>
      </c>
      <c r="L2738" s="29"/>
      <c r="M2738" s="68">
        <v>1</v>
      </c>
      <c r="N2738" s="68" t="s">
        <v>1735</v>
      </c>
    </row>
    <row r="2739" spans="1:14" s="3" customFormat="1" ht="14.25" x14ac:dyDescent="0.2">
      <c r="A2739" s="11" t="s">
        <v>8326</v>
      </c>
      <c r="B2739" s="12" t="s">
        <v>1809</v>
      </c>
      <c r="C2739" s="13" t="s">
        <v>3754</v>
      </c>
      <c r="D2739" s="13" t="s">
        <v>3754</v>
      </c>
      <c r="E2739" s="29"/>
      <c r="F2739" s="13" t="s">
        <v>8327</v>
      </c>
      <c r="G2739" s="22"/>
      <c r="H2739" s="22">
        <v>18</v>
      </c>
      <c r="I2739" s="22"/>
      <c r="J2739" s="29" t="s">
        <v>1255</v>
      </c>
      <c r="K2739" s="29" t="s">
        <v>1850</v>
      </c>
      <c r="L2739" s="29"/>
      <c r="M2739" s="68">
        <v>1</v>
      </c>
      <c r="N2739" s="68" t="s">
        <v>1734</v>
      </c>
    </row>
    <row r="2740" spans="1:14" s="3" customFormat="1" ht="14.25" x14ac:dyDescent="0.2">
      <c r="A2740" s="11" t="s">
        <v>8326</v>
      </c>
      <c r="B2740" s="12" t="s">
        <v>5712</v>
      </c>
      <c r="C2740" s="13" t="s">
        <v>3754</v>
      </c>
      <c r="D2740" s="13" t="s">
        <v>3761</v>
      </c>
      <c r="E2740" s="29"/>
      <c r="F2740" s="13" t="s">
        <v>8327</v>
      </c>
      <c r="G2740" s="22">
        <v>1</v>
      </c>
      <c r="H2740" s="22"/>
      <c r="I2740" s="22"/>
      <c r="J2740" s="29" t="s">
        <v>1254</v>
      </c>
      <c r="K2740" s="29" t="s">
        <v>1850</v>
      </c>
      <c r="L2740" s="29"/>
      <c r="M2740" s="68">
        <v>1</v>
      </c>
      <c r="N2740" s="68" t="s">
        <v>1734</v>
      </c>
    </row>
    <row r="2741" spans="1:14" s="3" customFormat="1" ht="14.25" x14ac:dyDescent="0.2">
      <c r="A2741" s="11" t="s">
        <v>8326</v>
      </c>
      <c r="B2741" s="12" t="s">
        <v>4581</v>
      </c>
      <c r="C2741" s="13" t="s">
        <v>3754</v>
      </c>
      <c r="D2741" s="13" t="s">
        <v>3761</v>
      </c>
      <c r="E2741" s="29"/>
      <c r="F2741" s="13" t="s">
        <v>8327</v>
      </c>
      <c r="G2741" s="22"/>
      <c r="H2741" s="22">
        <v>17</v>
      </c>
      <c r="I2741" s="22"/>
      <c r="J2741" s="29" t="s">
        <v>8328</v>
      </c>
      <c r="K2741" s="29" t="s">
        <v>1850</v>
      </c>
      <c r="L2741" s="29"/>
      <c r="M2741" s="68">
        <v>1</v>
      </c>
      <c r="N2741" s="68" t="s">
        <v>1734</v>
      </c>
    </row>
    <row r="2742" spans="1:14" s="3" customFormat="1" ht="14.25" x14ac:dyDescent="0.2">
      <c r="A2742" s="11" t="s">
        <v>8326</v>
      </c>
      <c r="B2742" s="12" t="s">
        <v>3732</v>
      </c>
      <c r="C2742" s="13" t="s">
        <v>3757</v>
      </c>
      <c r="D2742" s="13" t="s">
        <v>3754</v>
      </c>
      <c r="E2742" s="29">
        <v>1874</v>
      </c>
      <c r="F2742" s="13" t="s">
        <v>8375</v>
      </c>
      <c r="G2742" s="22">
        <v>54</v>
      </c>
      <c r="H2742" s="22"/>
      <c r="I2742" s="22"/>
      <c r="J2742" s="29" t="s">
        <v>2989</v>
      </c>
      <c r="K2742" s="29" t="s">
        <v>8376</v>
      </c>
      <c r="L2742" s="29"/>
      <c r="M2742" s="68">
        <v>1</v>
      </c>
      <c r="N2742" s="68" t="s">
        <v>1734</v>
      </c>
    </row>
    <row r="2743" spans="1:14" s="3" customFormat="1" ht="14.25" x14ac:dyDescent="0.2">
      <c r="A2743" s="11" t="s">
        <v>8326</v>
      </c>
      <c r="B2743" s="12" t="s">
        <v>3723</v>
      </c>
      <c r="C2743" s="13" t="s">
        <v>3757</v>
      </c>
      <c r="D2743" s="13"/>
      <c r="E2743" s="29" t="s">
        <v>3161</v>
      </c>
      <c r="F2743" s="13" t="s">
        <v>5796</v>
      </c>
      <c r="G2743" s="22">
        <v>46</v>
      </c>
      <c r="H2743" s="22"/>
      <c r="I2743" s="22"/>
      <c r="J2743" s="29" t="s">
        <v>1264</v>
      </c>
      <c r="K2743" s="29" t="s">
        <v>8364</v>
      </c>
      <c r="L2743" s="29"/>
      <c r="M2743" s="68">
        <v>1</v>
      </c>
      <c r="N2743" s="68" t="s">
        <v>1734</v>
      </c>
    </row>
    <row r="2744" spans="1:14" s="3" customFormat="1" ht="14.25" x14ac:dyDescent="0.2">
      <c r="A2744" s="11" t="s">
        <v>8326</v>
      </c>
      <c r="B2744" s="12" t="s">
        <v>3733</v>
      </c>
      <c r="C2744" s="13" t="s">
        <v>3754</v>
      </c>
      <c r="D2744" s="13" t="s">
        <v>3754</v>
      </c>
      <c r="E2744" s="29" t="s">
        <v>5372</v>
      </c>
      <c r="F2744" s="13" t="s">
        <v>4562</v>
      </c>
      <c r="G2744" s="22">
        <v>1</v>
      </c>
      <c r="H2744" s="22">
        <v>7</v>
      </c>
      <c r="I2744" s="22"/>
      <c r="J2744" s="29" t="s">
        <v>4243</v>
      </c>
      <c r="K2744" s="29" t="s">
        <v>5045</v>
      </c>
      <c r="L2744" s="29"/>
      <c r="M2744" s="68">
        <v>1</v>
      </c>
      <c r="N2744" s="68" t="s">
        <v>1734</v>
      </c>
    </row>
    <row r="2745" spans="1:14" s="3" customFormat="1" ht="14.25" x14ac:dyDescent="0.2">
      <c r="A2745" s="11" t="s">
        <v>8305</v>
      </c>
      <c r="B2745" s="12" t="s">
        <v>4231</v>
      </c>
      <c r="C2745" s="13" t="s">
        <v>3754</v>
      </c>
      <c r="D2745" s="13" t="s">
        <v>4721</v>
      </c>
      <c r="E2745" s="29" t="s">
        <v>4232</v>
      </c>
      <c r="F2745" s="13" t="s">
        <v>4233</v>
      </c>
      <c r="G2745" s="22">
        <v>28</v>
      </c>
      <c r="H2745" s="22">
        <v>10</v>
      </c>
      <c r="I2745" s="22">
        <v>14</v>
      </c>
      <c r="J2745" s="29" t="s">
        <v>1264</v>
      </c>
      <c r="K2745" s="29" t="s">
        <v>4234</v>
      </c>
      <c r="L2745" s="29"/>
      <c r="M2745" s="68">
        <v>1</v>
      </c>
      <c r="N2745" s="68" t="s">
        <v>1734</v>
      </c>
    </row>
    <row r="2746" spans="1:14" s="3" customFormat="1" ht="14.25" x14ac:dyDescent="0.2">
      <c r="A2746" s="11" t="s">
        <v>8305</v>
      </c>
      <c r="B2746" s="12" t="s">
        <v>1819</v>
      </c>
      <c r="C2746" s="13" t="s">
        <v>3754</v>
      </c>
      <c r="D2746" s="13" t="s">
        <v>3754</v>
      </c>
      <c r="E2746" s="29" t="s">
        <v>8306</v>
      </c>
      <c r="F2746" s="13" t="s">
        <v>3754</v>
      </c>
      <c r="G2746" s="22">
        <v>1</v>
      </c>
      <c r="H2746" s="22"/>
      <c r="I2746" s="22">
        <v>3</v>
      </c>
      <c r="J2746" s="29" t="s">
        <v>7319</v>
      </c>
      <c r="K2746" s="29" t="s">
        <v>8307</v>
      </c>
      <c r="L2746" s="29"/>
      <c r="M2746" s="68">
        <v>1</v>
      </c>
      <c r="N2746" s="68" t="s">
        <v>1734</v>
      </c>
    </row>
    <row r="2747" spans="1:14" s="3" customFormat="1" ht="14.25" x14ac:dyDescent="0.2">
      <c r="A2747" s="11" t="s">
        <v>8305</v>
      </c>
      <c r="B2747" s="12" t="s">
        <v>4581</v>
      </c>
      <c r="C2747" s="13" t="s">
        <v>3754</v>
      </c>
      <c r="D2747" s="13"/>
      <c r="E2747" s="29" t="s">
        <v>5715</v>
      </c>
      <c r="F2747" s="13" t="s">
        <v>8319</v>
      </c>
      <c r="G2747" s="22">
        <v>5</v>
      </c>
      <c r="H2747" s="22"/>
      <c r="I2747" s="22"/>
      <c r="J2747" s="29" t="s">
        <v>5278</v>
      </c>
      <c r="K2747" s="29" t="s">
        <v>8534</v>
      </c>
      <c r="L2747" s="29"/>
      <c r="M2747" s="68">
        <v>1</v>
      </c>
      <c r="N2747" s="68" t="s">
        <v>1734</v>
      </c>
    </row>
    <row r="2748" spans="1:14" s="3" customFormat="1" ht="14.25" x14ac:dyDescent="0.2">
      <c r="A2748" s="11" t="s">
        <v>8305</v>
      </c>
      <c r="B2748" s="12" t="s">
        <v>8308</v>
      </c>
      <c r="C2748" s="13" t="s">
        <v>8309</v>
      </c>
      <c r="D2748" s="13" t="s">
        <v>3761</v>
      </c>
      <c r="E2748" s="29"/>
      <c r="F2748" s="13" t="s">
        <v>3754</v>
      </c>
      <c r="G2748" s="22">
        <v>1</v>
      </c>
      <c r="H2748" s="22">
        <v>8</v>
      </c>
      <c r="I2748" s="22"/>
      <c r="J2748" s="29" t="s">
        <v>8211</v>
      </c>
      <c r="K2748" s="29" t="s">
        <v>8307</v>
      </c>
      <c r="L2748" s="29"/>
      <c r="M2748" s="68">
        <v>1</v>
      </c>
      <c r="N2748" s="68" t="s">
        <v>1734</v>
      </c>
    </row>
    <row r="2749" spans="1:14" s="3" customFormat="1" ht="14.25" x14ac:dyDescent="0.2">
      <c r="A2749" s="11" t="s">
        <v>8305</v>
      </c>
      <c r="B2749" s="12" t="s">
        <v>4846</v>
      </c>
      <c r="C2749" s="13" t="s">
        <v>6944</v>
      </c>
      <c r="D2749" s="13" t="s">
        <v>4721</v>
      </c>
      <c r="E2749" s="29" t="s">
        <v>8315</v>
      </c>
      <c r="F2749" s="13" t="s">
        <v>4721</v>
      </c>
      <c r="G2749" s="22">
        <v>40</v>
      </c>
      <c r="H2749" s="22">
        <v>11</v>
      </c>
      <c r="I2749" s="22">
        <v>20</v>
      </c>
      <c r="J2749" s="29" t="s">
        <v>5076</v>
      </c>
      <c r="K2749" s="29" t="s">
        <v>8316</v>
      </c>
      <c r="L2749" s="29"/>
      <c r="M2749" s="68">
        <v>1</v>
      </c>
      <c r="N2749" s="68" t="s">
        <v>1734</v>
      </c>
    </row>
    <row r="2750" spans="1:14" s="3" customFormat="1" ht="14.25" x14ac:dyDescent="0.2">
      <c r="A2750" s="11" t="s">
        <v>8336</v>
      </c>
      <c r="B2750" s="12" t="s">
        <v>3733</v>
      </c>
      <c r="C2750" s="13" t="s">
        <v>636</v>
      </c>
      <c r="D2750" s="13" t="s">
        <v>3754</v>
      </c>
      <c r="E2750" s="29" t="s">
        <v>5237</v>
      </c>
      <c r="F2750" s="13" t="s">
        <v>8337</v>
      </c>
      <c r="G2750" s="22"/>
      <c r="H2750" s="22">
        <v>2</v>
      </c>
      <c r="I2750" s="22"/>
      <c r="J2750" s="29" t="s">
        <v>1255</v>
      </c>
      <c r="K2750" s="29" t="s">
        <v>3120</v>
      </c>
      <c r="L2750" s="29"/>
      <c r="M2750" s="68">
        <v>1</v>
      </c>
      <c r="N2750" s="68" t="s">
        <v>1734</v>
      </c>
    </row>
    <row r="2751" spans="1:14" s="3" customFormat="1" ht="14.25" x14ac:dyDescent="0.2">
      <c r="A2751" s="11" t="s">
        <v>8349</v>
      </c>
      <c r="B2751" s="12" t="s">
        <v>3723</v>
      </c>
      <c r="C2751" s="13" t="s">
        <v>3757</v>
      </c>
      <c r="D2751" s="13" t="s">
        <v>3759</v>
      </c>
      <c r="E2751" s="29" t="s">
        <v>6956</v>
      </c>
      <c r="F2751" s="13" t="s">
        <v>8350</v>
      </c>
      <c r="G2751" s="22">
        <v>56</v>
      </c>
      <c r="H2751" s="22"/>
      <c r="I2751" s="22"/>
      <c r="J2751" s="29" t="s">
        <v>1264</v>
      </c>
      <c r="K2751" s="29" t="s">
        <v>8351</v>
      </c>
      <c r="L2751" s="29"/>
      <c r="M2751" s="68">
        <v>1</v>
      </c>
      <c r="N2751" s="68" t="s">
        <v>1734</v>
      </c>
    </row>
    <row r="2752" spans="1:14" s="3" customFormat="1" ht="14.25" x14ac:dyDescent="0.2">
      <c r="A2752" s="11" t="s">
        <v>4237</v>
      </c>
      <c r="B2752" s="12" t="s">
        <v>4238</v>
      </c>
      <c r="C2752" s="13" t="s">
        <v>4239</v>
      </c>
      <c r="D2752" s="13" t="s">
        <v>3754</v>
      </c>
      <c r="E2752" s="29" t="s">
        <v>4240</v>
      </c>
      <c r="F2752" s="13" t="s">
        <v>4241</v>
      </c>
      <c r="G2752" s="22">
        <v>33</v>
      </c>
      <c r="H2752" s="22"/>
      <c r="I2752" s="22"/>
      <c r="J2752" s="29" t="s">
        <v>1264</v>
      </c>
      <c r="K2752" s="29" t="s">
        <v>4242</v>
      </c>
      <c r="L2752" s="29"/>
      <c r="M2752" s="68">
        <v>1</v>
      </c>
      <c r="N2752" s="68" t="s">
        <v>1734</v>
      </c>
    </row>
    <row r="2753" spans="1:14" s="3" customFormat="1" ht="14.25" x14ac:dyDescent="0.2">
      <c r="A2753" s="11" t="s">
        <v>8377</v>
      </c>
      <c r="B2753" s="12" t="s">
        <v>1413</v>
      </c>
      <c r="C2753" s="13" t="s">
        <v>3754</v>
      </c>
      <c r="D2753" s="13" t="s">
        <v>3754</v>
      </c>
      <c r="E2753" s="55" t="s">
        <v>6549</v>
      </c>
      <c r="F2753" s="13" t="s">
        <v>4618</v>
      </c>
      <c r="G2753" s="22">
        <v>5</v>
      </c>
      <c r="H2753" s="22">
        <v>11</v>
      </c>
      <c r="I2753" s="22">
        <v>16</v>
      </c>
      <c r="J2753" s="29" t="s">
        <v>4619</v>
      </c>
      <c r="K2753" s="29" t="s">
        <v>6984</v>
      </c>
      <c r="L2753" s="29"/>
      <c r="M2753" s="68">
        <v>1</v>
      </c>
      <c r="N2753" s="68" t="s">
        <v>1735</v>
      </c>
    </row>
    <row r="2754" spans="1:14" s="3" customFormat="1" ht="14.25" x14ac:dyDescent="0.2">
      <c r="A2754" s="11" t="s">
        <v>8377</v>
      </c>
      <c r="B2754" s="12" t="s">
        <v>3732</v>
      </c>
      <c r="C2754" s="13" t="s">
        <v>3754</v>
      </c>
      <c r="D2754" s="13" t="s">
        <v>3754</v>
      </c>
      <c r="E2754" s="29" t="s">
        <v>4620</v>
      </c>
      <c r="F2754" s="13" t="s">
        <v>1563</v>
      </c>
      <c r="G2754" s="22">
        <v>28</v>
      </c>
      <c r="H2754" s="22"/>
      <c r="I2754" s="22"/>
      <c r="J2754" s="29" t="s">
        <v>1264</v>
      </c>
      <c r="K2754" s="29" t="s">
        <v>4621</v>
      </c>
      <c r="L2754" s="29"/>
      <c r="M2754" s="68">
        <v>1</v>
      </c>
      <c r="N2754" s="68" t="s">
        <v>1735</v>
      </c>
    </row>
    <row r="2755" spans="1:14" s="3" customFormat="1" ht="14.25" x14ac:dyDescent="0.2">
      <c r="A2755" s="9" t="s">
        <v>8377</v>
      </c>
      <c r="B2755" s="5" t="s">
        <v>3732</v>
      </c>
      <c r="C2755" s="10" t="s">
        <v>3757</v>
      </c>
      <c r="D2755" s="13"/>
      <c r="E2755" s="55" t="s">
        <v>2309</v>
      </c>
      <c r="F2755" s="10" t="s">
        <v>8378</v>
      </c>
      <c r="G2755" s="22">
        <v>56</v>
      </c>
      <c r="H2755" s="22"/>
      <c r="I2755" s="22"/>
      <c r="J2755" s="55" t="s">
        <v>8379</v>
      </c>
      <c r="K2755" s="61" t="s">
        <v>2312</v>
      </c>
      <c r="L2755" s="61"/>
      <c r="M2755" s="68">
        <v>1</v>
      </c>
      <c r="N2755" s="68" t="s">
        <v>1734</v>
      </c>
    </row>
    <row r="2756" spans="1:14" s="3" customFormat="1" ht="14.25" x14ac:dyDescent="0.2">
      <c r="A2756" s="9" t="s">
        <v>8377</v>
      </c>
      <c r="B2756" s="5" t="s">
        <v>4701</v>
      </c>
      <c r="C2756" s="10" t="s">
        <v>3757</v>
      </c>
      <c r="D2756" s="13" t="s">
        <v>3754</v>
      </c>
      <c r="E2756" s="61" t="s">
        <v>3351</v>
      </c>
      <c r="F2756" s="10" t="s">
        <v>4645</v>
      </c>
      <c r="G2756" s="22">
        <v>70</v>
      </c>
      <c r="H2756" s="22"/>
      <c r="I2756" s="22"/>
      <c r="J2756" s="55" t="s">
        <v>1267</v>
      </c>
      <c r="K2756" s="55" t="s">
        <v>485</v>
      </c>
      <c r="L2756" s="61"/>
      <c r="M2756" s="68">
        <v>1</v>
      </c>
      <c r="N2756" s="68" t="s">
        <v>1735</v>
      </c>
    </row>
    <row r="2757" spans="1:14" s="3" customFormat="1" ht="14.25" x14ac:dyDescent="0.2">
      <c r="A2757" s="11" t="s">
        <v>7727</v>
      </c>
      <c r="B2757" s="12" t="s">
        <v>3723</v>
      </c>
      <c r="C2757" s="13" t="s">
        <v>3757</v>
      </c>
      <c r="D2757" s="13" t="s">
        <v>7728</v>
      </c>
      <c r="E2757" s="72" t="s">
        <v>7729</v>
      </c>
      <c r="F2757" s="13" t="s">
        <v>384</v>
      </c>
      <c r="G2757" s="8">
        <v>38</v>
      </c>
      <c r="H2757" s="8"/>
      <c r="I2757" s="8"/>
      <c r="J2757" s="29" t="s">
        <v>6788</v>
      </c>
      <c r="K2757" s="29" t="s">
        <v>385</v>
      </c>
      <c r="L2757" s="29"/>
      <c r="M2757" s="68">
        <v>1</v>
      </c>
      <c r="N2757" s="68" t="s">
        <v>4652</v>
      </c>
    </row>
    <row r="2758" spans="1:14" s="3" customFormat="1" ht="14.25" x14ac:dyDescent="0.2">
      <c r="A2758" s="11" t="s">
        <v>399</v>
      </c>
      <c r="B2758" s="12" t="s">
        <v>3732</v>
      </c>
      <c r="C2758" s="13" t="s">
        <v>4708</v>
      </c>
      <c r="D2758" s="13" t="s">
        <v>3767</v>
      </c>
      <c r="E2758" s="72" t="s">
        <v>3383</v>
      </c>
      <c r="F2758" s="13" t="s">
        <v>400</v>
      </c>
      <c r="G2758" s="8">
        <v>35</v>
      </c>
      <c r="H2758" s="8"/>
      <c r="I2758" s="8"/>
      <c r="J2758" s="29" t="s">
        <v>1928</v>
      </c>
      <c r="K2758" s="29" t="s">
        <v>401</v>
      </c>
      <c r="L2758" s="29"/>
      <c r="M2758" s="68">
        <v>1</v>
      </c>
      <c r="N2758" s="68" t="s">
        <v>4652</v>
      </c>
    </row>
    <row r="2759" spans="1:14" s="3" customFormat="1" ht="14.25" x14ac:dyDescent="0.2">
      <c r="A2759" s="11" t="s">
        <v>4669</v>
      </c>
      <c r="B2759" s="12" t="s">
        <v>3752</v>
      </c>
      <c r="C2759" s="13" t="s">
        <v>3767</v>
      </c>
      <c r="D2759" s="13" t="s">
        <v>3754</v>
      </c>
      <c r="E2759" s="72" t="s">
        <v>8736</v>
      </c>
      <c r="F2759" s="13" t="s">
        <v>3767</v>
      </c>
      <c r="G2759" s="8"/>
      <c r="H2759" s="8">
        <v>4</v>
      </c>
      <c r="I2759" s="8"/>
      <c r="J2759" s="29" t="s">
        <v>2097</v>
      </c>
      <c r="K2759" s="29" t="s">
        <v>4670</v>
      </c>
      <c r="L2759" s="29"/>
      <c r="M2759" s="68">
        <v>1</v>
      </c>
      <c r="N2759" s="68" t="s">
        <v>4652</v>
      </c>
    </row>
    <row r="2760" spans="1:14" s="3" customFormat="1" ht="14.25" x14ac:dyDescent="0.2">
      <c r="A2760" s="11" t="s">
        <v>4653</v>
      </c>
      <c r="B2760" s="12" t="s">
        <v>3748</v>
      </c>
      <c r="C2760" s="13" t="s">
        <v>3757</v>
      </c>
      <c r="D2760" s="13" t="s">
        <v>3754</v>
      </c>
      <c r="E2760" s="72"/>
      <c r="F2760" s="13" t="s">
        <v>4654</v>
      </c>
      <c r="G2760" s="8">
        <v>56</v>
      </c>
      <c r="H2760" s="8"/>
      <c r="I2760" s="8"/>
      <c r="J2760" s="29" t="s">
        <v>1264</v>
      </c>
      <c r="K2760" s="29" t="s">
        <v>4655</v>
      </c>
      <c r="L2760" s="29"/>
      <c r="M2760" s="68">
        <v>1</v>
      </c>
      <c r="N2760" s="68" t="s">
        <v>4652</v>
      </c>
    </row>
    <row r="2761" spans="1:14" s="3" customFormat="1" ht="14.25" x14ac:dyDescent="0.2">
      <c r="A2761" s="11" t="s">
        <v>4653</v>
      </c>
      <c r="B2761" s="12" t="s">
        <v>5097</v>
      </c>
      <c r="C2761" s="13" t="s">
        <v>3757</v>
      </c>
      <c r="D2761" s="13" t="s">
        <v>3754</v>
      </c>
      <c r="E2761" s="72" t="s">
        <v>7192</v>
      </c>
      <c r="F2761" s="13" t="s">
        <v>395</v>
      </c>
      <c r="G2761" s="8">
        <v>55</v>
      </c>
      <c r="H2761" s="8"/>
      <c r="I2761" s="8"/>
      <c r="J2761" s="29" t="s">
        <v>1277</v>
      </c>
      <c r="K2761" s="29" t="s">
        <v>396</v>
      </c>
      <c r="L2761" s="29"/>
      <c r="M2761" s="68">
        <v>1</v>
      </c>
      <c r="N2761" s="68" t="s">
        <v>4652</v>
      </c>
    </row>
    <row r="2762" spans="1:14" s="3" customFormat="1" ht="28.5" x14ac:dyDescent="0.2">
      <c r="A2762" s="11" t="s">
        <v>4653</v>
      </c>
      <c r="B2762" s="12" t="s">
        <v>7830</v>
      </c>
      <c r="C2762" s="16" t="s">
        <v>3761</v>
      </c>
      <c r="D2762" s="13" t="s">
        <v>3754</v>
      </c>
      <c r="E2762" s="72" t="s">
        <v>7229</v>
      </c>
      <c r="F2762" s="13" t="s">
        <v>4532</v>
      </c>
      <c r="G2762" s="8">
        <v>32</v>
      </c>
      <c r="H2762" s="8"/>
      <c r="I2762" s="8"/>
      <c r="J2762" s="29" t="s">
        <v>8489</v>
      </c>
      <c r="K2762" s="29" t="s">
        <v>5866</v>
      </c>
      <c r="L2762" s="29" t="s">
        <v>6704</v>
      </c>
      <c r="M2762" s="68">
        <v>1</v>
      </c>
      <c r="N2762" s="68" t="s">
        <v>4652</v>
      </c>
    </row>
    <row r="2763" spans="1:14" s="3" customFormat="1" ht="14.25" x14ac:dyDescent="0.2">
      <c r="A2763" s="11" t="s">
        <v>4653</v>
      </c>
      <c r="B2763" s="12" t="s">
        <v>2159</v>
      </c>
      <c r="C2763" s="13" t="s">
        <v>3757</v>
      </c>
      <c r="D2763" s="13" t="s">
        <v>3754</v>
      </c>
      <c r="E2763" s="72" t="s">
        <v>4661</v>
      </c>
      <c r="F2763" s="13" t="s">
        <v>4662</v>
      </c>
      <c r="G2763" s="8">
        <v>36</v>
      </c>
      <c r="H2763" s="8"/>
      <c r="I2763" s="8"/>
      <c r="J2763" s="29" t="s">
        <v>1264</v>
      </c>
      <c r="K2763" s="29" t="s">
        <v>4158</v>
      </c>
      <c r="L2763" s="29"/>
      <c r="M2763" s="68">
        <v>1</v>
      </c>
      <c r="N2763" s="68" t="s">
        <v>4652</v>
      </c>
    </row>
    <row r="2764" spans="1:14" s="3" customFormat="1" ht="14.25" x14ac:dyDescent="0.2">
      <c r="A2764" s="11" t="s">
        <v>4653</v>
      </c>
      <c r="B2764" s="12" t="s">
        <v>2159</v>
      </c>
      <c r="C2764" s="13" t="s">
        <v>3757</v>
      </c>
      <c r="D2764" s="13" t="s">
        <v>3754</v>
      </c>
      <c r="E2764" s="72" t="s">
        <v>463</v>
      </c>
      <c r="F2764" s="13" t="s">
        <v>397</v>
      </c>
      <c r="G2764" s="8">
        <v>56</v>
      </c>
      <c r="H2764" s="8"/>
      <c r="I2764" s="8"/>
      <c r="J2764" s="29" t="s">
        <v>1266</v>
      </c>
      <c r="K2764" s="29" t="s">
        <v>398</v>
      </c>
      <c r="L2764" s="29"/>
      <c r="M2764" s="68">
        <v>1</v>
      </c>
      <c r="N2764" s="68" t="s">
        <v>4652</v>
      </c>
    </row>
    <row r="2765" spans="1:14" s="3" customFormat="1" ht="14.25" x14ac:dyDescent="0.2">
      <c r="A2765" s="11" t="s">
        <v>4653</v>
      </c>
      <c r="B2765" s="12" t="s">
        <v>3734</v>
      </c>
      <c r="C2765" s="13" t="s">
        <v>3757</v>
      </c>
      <c r="D2765" s="13"/>
      <c r="E2765" s="72" t="s">
        <v>4658</v>
      </c>
      <c r="F2765" s="13" t="s">
        <v>1541</v>
      </c>
      <c r="G2765" s="8">
        <v>91</v>
      </c>
      <c r="H2765" s="8"/>
      <c r="I2765" s="8"/>
      <c r="J2765" s="29" t="s">
        <v>1271</v>
      </c>
      <c r="K2765" s="29" t="s">
        <v>4659</v>
      </c>
      <c r="L2765" s="29"/>
      <c r="M2765" s="68">
        <v>1</v>
      </c>
      <c r="N2765" s="68" t="s">
        <v>4652</v>
      </c>
    </row>
    <row r="2766" spans="1:14" s="3" customFormat="1" ht="14.25" x14ac:dyDescent="0.2">
      <c r="A2766" s="11" t="s">
        <v>4653</v>
      </c>
      <c r="B2766" s="12" t="s">
        <v>3728</v>
      </c>
      <c r="C2766" s="13" t="s">
        <v>3757</v>
      </c>
      <c r="D2766" s="23"/>
      <c r="E2766" s="72" t="s">
        <v>8837</v>
      </c>
      <c r="F2766" s="13" t="s">
        <v>386</v>
      </c>
      <c r="G2766" s="8">
        <v>76</v>
      </c>
      <c r="H2766" s="8"/>
      <c r="I2766" s="8"/>
      <c r="J2766" s="29" t="s">
        <v>1271</v>
      </c>
      <c r="K2766" s="29" t="s">
        <v>387</v>
      </c>
      <c r="L2766" s="29"/>
      <c r="M2766" s="68">
        <v>1</v>
      </c>
      <c r="N2766" s="68" t="s">
        <v>4652</v>
      </c>
    </row>
    <row r="2767" spans="1:14" s="3" customFormat="1" ht="14.25" x14ac:dyDescent="0.2">
      <c r="A2767" s="11" t="s">
        <v>4653</v>
      </c>
      <c r="B2767" s="12" t="s">
        <v>4685</v>
      </c>
      <c r="C2767" s="13" t="s">
        <v>3757</v>
      </c>
      <c r="D2767" s="13" t="s">
        <v>3754</v>
      </c>
      <c r="E2767" s="72"/>
      <c r="F2767" s="13" t="s">
        <v>4654</v>
      </c>
      <c r="G2767" s="8">
        <v>53</v>
      </c>
      <c r="H2767" s="8"/>
      <c r="I2767" s="8"/>
      <c r="J2767" s="29" t="s">
        <v>7431</v>
      </c>
      <c r="K2767" s="29" t="s">
        <v>4655</v>
      </c>
      <c r="L2767" s="29"/>
      <c r="M2767" s="68">
        <v>1</v>
      </c>
      <c r="N2767" s="68" t="s">
        <v>4652</v>
      </c>
    </row>
    <row r="2768" spans="1:14" s="3" customFormat="1" ht="14.25" x14ac:dyDescent="0.2">
      <c r="A2768" s="11" t="s">
        <v>4653</v>
      </c>
      <c r="B2768" s="12" t="s">
        <v>3338</v>
      </c>
      <c r="C2768" s="16" t="s">
        <v>3761</v>
      </c>
      <c r="D2768" s="13" t="s">
        <v>3754</v>
      </c>
      <c r="E2768" s="72"/>
      <c r="F2768" s="13" t="s">
        <v>4654</v>
      </c>
      <c r="G2768" s="8">
        <v>26</v>
      </c>
      <c r="H2768" s="8">
        <v>22</v>
      </c>
      <c r="I2768" s="8"/>
      <c r="J2768" s="29" t="s">
        <v>1264</v>
      </c>
      <c r="K2768" s="29" t="s">
        <v>4655</v>
      </c>
      <c r="L2768" s="29"/>
      <c r="M2768" s="68">
        <v>1</v>
      </c>
      <c r="N2768" s="68" t="s">
        <v>4652</v>
      </c>
    </row>
    <row r="2769" spans="1:14" s="3" customFormat="1" ht="14.25" x14ac:dyDescent="0.2">
      <c r="A2769" s="11" t="s">
        <v>4653</v>
      </c>
      <c r="B2769" s="12" t="s">
        <v>3740</v>
      </c>
      <c r="C2769" s="16" t="s">
        <v>3761</v>
      </c>
      <c r="D2769" s="13"/>
      <c r="E2769" s="72" t="s">
        <v>4660</v>
      </c>
      <c r="F2769" s="13" t="s">
        <v>1541</v>
      </c>
      <c r="G2769" s="8">
        <v>31</v>
      </c>
      <c r="H2769" s="8"/>
      <c r="I2769" s="8"/>
      <c r="J2769" s="29" t="s">
        <v>1264</v>
      </c>
      <c r="K2769" s="29" t="s">
        <v>1606</v>
      </c>
      <c r="L2769" s="61"/>
      <c r="M2769" s="68">
        <v>1</v>
      </c>
      <c r="N2769" s="68" t="s">
        <v>4652</v>
      </c>
    </row>
    <row r="2770" spans="1:14" s="3" customFormat="1" ht="14.25" x14ac:dyDescent="0.2">
      <c r="A2770" s="11" t="s">
        <v>4653</v>
      </c>
      <c r="B2770" s="12" t="s">
        <v>3740</v>
      </c>
      <c r="C2770" s="13" t="s">
        <v>3757</v>
      </c>
      <c r="D2770" s="13" t="s">
        <v>3754</v>
      </c>
      <c r="E2770" s="72">
        <v>1857</v>
      </c>
      <c r="F2770" s="13" t="s">
        <v>4656</v>
      </c>
      <c r="G2770" s="8">
        <v>47</v>
      </c>
      <c r="H2770" s="8"/>
      <c r="I2770" s="8"/>
      <c r="J2770" s="29" t="s">
        <v>1264</v>
      </c>
      <c r="K2770" s="29" t="s">
        <v>4657</v>
      </c>
      <c r="L2770" s="29"/>
      <c r="M2770" s="68">
        <v>1</v>
      </c>
      <c r="N2770" s="68" t="s">
        <v>4652</v>
      </c>
    </row>
    <row r="2771" spans="1:14" s="3" customFormat="1" ht="14.25" x14ac:dyDescent="0.2">
      <c r="A2771" s="11" t="s">
        <v>4653</v>
      </c>
      <c r="B2771" s="12" t="s">
        <v>4694</v>
      </c>
      <c r="C2771" s="16" t="s">
        <v>3761</v>
      </c>
      <c r="D2771" s="13" t="s">
        <v>3754</v>
      </c>
      <c r="E2771" s="72" t="s">
        <v>1465</v>
      </c>
      <c r="F2771" s="13" t="s">
        <v>393</v>
      </c>
      <c r="G2771" s="8">
        <v>26</v>
      </c>
      <c r="H2771" s="8"/>
      <c r="I2771" s="8"/>
      <c r="J2771" s="29" t="s">
        <v>1264</v>
      </c>
      <c r="K2771" s="29" t="s">
        <v>394</v>
      </c>
      <c r="L2771" s="29"/>
      <c r="M2771" s="68">
        <v>1</v>
      </c>
      <c r="N2771" s="68" t="s">
        <v>4652</v>
      </c>
    </row>
    <row r="2772" spans="1:14" s="3" customFormat="1" ht="14.25" x14ac:dyDescent="0.2">
      <c r="A2772" s="11" t="s">
        <v>4653</v>
      </c>
      <c r="B2772" s="12" t="s">
        <v>7831</v>
      </c>
      <c r="C2772" s="16" t="s">
        <v>3761</v>
      </c>
      <c r="D2772" s="13" t="s">
        <v>3754</v>
      </c>
      <c r="E2772" s="72" t="s">
        <v>1802</v>
      </c>
      <c r="F2772" s="13" t="s">
        <v>8840</v>
      </c>
      <c r="G2772" s="8">
        <v>22</v>
      </c>
      <c r="H2772" s="8"/>
      <c r="I2772" s="8"/>
      <c r="J2772" s="29" t="s">
        <v>1264</v>
      </c>
      <c r="K2772" s="29" t="s">
        <v>390</v>
      </c>
      <c r="L2772" s="29"/>
      <c r="M2772" s="68">
        <v>1</v>
      </c>
      <c r="N2772" s="68" t="s">
        <v>4652</v>
      </c>
    </row>
    <row r="2773" spans="1:14" s="3" customFormat="1" ht="14.25" x14ac:dyDescent="0.2">
      <c r="A2773" s="11" t="s">
        <v>4653</v>
      </c>
      <c r="B2773" s="12" t="s">
        <v>3732</v>
      </c>
      <c r="C2773" s="13" t="s">
        <v>3757</v>
      </c>
      <c r="D2773" s="13" t="s">
        <v>3754</v>
      </c>
      <c r="E2773" s="72">
        <v>1860</v>
      </c>
      <c r="F2773" s="13" t="s">
        <v>4656</v>
      </c>
      <c r="G2773" s="8">
        <v>44</v>
      </c>
      <c r="H2773" s="8"/>
      <c r="I2773" s="8"/>
      <c r="J2773" s="29" t="s">
        <v>1264</v>
      </c>
      <c r="K2773" s="29" t="s">
        <v>4657</v>
      </c>
      <c r="L2773" s="29"/>
      <c r="M2773" s="68">
        <v>1</v>
      </c>
      <c r="N2773" s="68" t="s">
        <v>4652</v>
      </c>
    </row>
    <row r="2774" spans="1:14" s="3" customFormat="1" ht="14.25" x14ac:dyDescent="0.2">
      <c r="A2774" s="11" t="s">
        <v>4653</v>
      </c>
      <c r="B2774" s="12" t="s">
        <v>7832</v>
      </c>
      <c r="C2774" s="16" t="s">
        <v>3761</v>
      </c>
      <c r="D2774" s="13" t="s">
        <v>3754</v>
      </c>
      <c r="E2774" s="72"/>
      <c r="F2774" s="13" t="s">
        <v>4654</v>
      </c>
      <c r="G2774" s="8">
        <v>18</v>
      </c>
      <c r="H2774" s="8"/>
      <c r="I2774" s="8"/>
      <c r="J2774" s="29" t="s">
        <v>1264</v>
      </c>
      <c r="K2774" s="29" t="s">
        <v>4655</v>
      </c>
      <c r="L2774" s="29"/>
      <c r="M2774" s="68">
        <v>1</v>
      </c>
      <c r="N2774" s="68" t="s">
        <v>4652</v>
      </c>
    </row>
    <row r="2775" spans="1:14" s="3" customFormat="1" ht="14.25" x14ac:dyDescent="0.2">
      <c r="A2775" s="11" t="s">
        <v>4653</v>
      </c>
      <c r="B2775" s="12" t="s">
        <v>7833</v>
      </c>
      <c r="C2775" s="16" t="s">
        <v>3761</v>
      </c>
      <c r="D2775" s="13" t="s">
        <v>3754</v>
      </c>
      <c r="E2775" s="72" t="s">
        <v>343</v>
      </c>
      <c r="F2775" s="13" t="s">
        <v>388</v>
      </c>
      <c r="G2775" s="8">
        <v>47</v>
      </c>
      <c r="H2775" s="8"/>
      <c r="I2775" s="8"/>
      <c r="J2775" s="29" t="s">
        <v>7431</v>
      </c>
      <c r="K2775" s="29" t="s">
        <v>389</v>
      </c>
      <c r="L2775" s="29"/>
      <c r="M2775" s="68">
        <v>1</v>
      </c>
      <c r="N2775" s="68" t="s">
        <v>4652</v>
      </c>
    </row>
    <row r="2776" spans="1:14" s="3" customFormat="1" ht="14.25" x14ac:dyDescent="0.2">
      <c r="A2776" s="11" t="s">
        <v>4653</v>
      </c>
      <c r="B2776" s="12" t="s">
        <v>7834</v>
      </c>
      <c r="C2776" s="16" t="s">
        <v>3761</v>
      </c>
      <c r="D2776" s="13" t="s">
        <v>3754</v>
      </c>
      <c r="E2776" s="72" t="s">
        <v>1306</v>
      </c>
      <c r="F2776" s="13" t="s">
        <v>391</v>
      </c>
      <c r="G2776" s="8">
        <v>8</v>
      </c>
      <c r="H2776" s="8">
        <v>7</v>
      </c>
      <c r="I2776" s="8">
        <v>0</v>
      </c>
      <c r="J2776" s="29" t="s">
        <v>1277</v>
      </c>
      <c r="K2776" s="29" t="s">
        <v>392</v>
      </c>
      <c r="L2776" s="29"/>
      <c r="M2776" s="68">
        <v>1</v>
      </c>
      <c r="N2776" s="68" t="s">
        <v>4652</v>
      </c>
    </row>
    <row r="2777" spans="1:14" s="3" customFormat="1" ht="14.25" x14ac:dyDescent="0.2">
      <c r="A2777" s="11" t="s">
        <v>4663</v>
      </c>
      <c r="B2777" s="12" t="s">
        <v>7771</v>
      </c>
      <c r="C2777" s="13" t="s">
        <v>3757</v>
      </c>
      <c r="D2777" s="13" t="s">
        <v>3754</v>
      </c>
      <c r="E2777" s="72" t="s">
        <v>4666</v>
      </c>
      <c r="F2777" s="13" t="s">
        <v>4667</v>
      </c>
      <c r="G2777" s="8">
        <v>33</v>
      </c>
      <c r="H2777" s="8"/>
      <c r="I2777" s="8"/>
      <c r="J2777" s="29" t="s">
        <v>1264</v>
      </c>
      <c r="K2777" s="29" t="s">
        <v>4668</v>
      </c>
      <c r="L2777" s="29"/>
      <c r="M2777" s="68">
        <v>1</v>
      </c>
      <c r="N2777" s="68" t="s">
        <v>4652</v>
      </c>
    </row>
    <row r="2778" spans="1:14" s="3" customFormat="1" ht="14.25" x14ac:dyDescent="0.2">
      <c r="A2778" s="11" t="s">
        <v>4663</v>
      </c>
      <c r="B2778" s="12" t="s">
        <v>3740</v>
      </c>
      <c r="C2778" s="16" t="s">
        <v>3761</v>
      </c>
      <c r="D2778" s="13" t="s">
        <v>3754</v>
      </c>
      <c r="E2778" s="72" t="s">
        <v>4664</v>
      </c>
      <c r="F2778" s="13" t="s">
        <v>8831</v>
      </c>
      <c r="G2778" s="8">
        <v>2</v>
      </c>
      <c r="H2778" s="8">
        <v>2</v>
      </c>
      <c r="I2778" s="8">
        <v>20</v>
      </c>
      <c r="J2778" s="29" t="s">
        <v>4748</v>
      </c>
      <c r="K2778" s="29" t="s">
        <v>3038</v>
      </c>
      <c r="L2778" s="29"/>
      <c r="M2778" s="68">
        <v>1</v>
      </c>
      <c r="N2778" s="68" t="s">
        <v>4652</v>
      </c>
    </row>
    <row r="2779" spans="1:14" s="3" customFormat="1" ht="14.25" x14ac:dyDescent="0.2">
      <c r="A2779" s="11" t="s">
        <v>4663</v>
      </c>
      <c r="B2779" s="12" t="s">
        <v>3740</v>
      </c>
      <c r="C2779" s="16" t="s">
        <v>3761</v>
      </c>
      <c r="D2779" s="13" t="s">
        <v>3754</v>
      </c>
      <c r="E2779" s="72" t="s">
        <v>4665</v>
      </c>
      <c r="F2779" s="13" t="s">
        <v>8831</v>
      </c>
      <c r="G2779" s="8"/>
      <c r="H2779" s="8"/>
      <c r="I2779" s="8"/>
      <c r="J2779" s="29" t="s">
        <v>1261</v>
      </c>
      <c r="K2779" s="29" t="s">
        <v>3038</v>
      </c>
      <c r="L2779" s="29"/>
      <c r="M2779" s="68">
        <v>1</v>
      </c>
      <c r="N2779" s="68" t="s">
        <v>4652</v>
      </c>
    </row>
    <row r="2780" spans="1:14" s="3" customFormat="1" ht="14.25" x14ac:dyDescent="0.2">
      <c r="A2780" s="11" t="s">
        <v>4663</v>
      </c>
      <c r="B2780" s="12" t="s">
        <v>3749</v>
      </c>
      <c r="C2780" s="16" t="s">
        <v>3761</v>
      </c>
      <c r="D2780" s="13" t="s">
        <v>3754</v>
      </c>
      <c r="E2780" s="72" t="s">
        <v>4533</v>
      </c>
      <c r="F2780" s="13" t="s">
        <v>4534</v>
      </c>
      <c r="G2780" s="8">
        <v>3</v>
      </c>
      <c r="H2780" s="8">
        <v>9</v>
      </c>
      <c r="I2780" s="8"/>
      <c r="J2780" s="29" t="s">
        <v>4579</v>
      </c>
      <c r="K2780" s="29" t="s">
        <v>7726</v>
      </c>
      <c r="L2780" s="29"/>
      <c r="M2780" s="68">
        <v>1</v>
      </c>
      <c r="N2780" s="68" t="s">
        <v>4652</v>
      </c>
    </row>
    <row r="2781" spans="1:14" s="3" customFormat="1" ht="14.25" x14ac:dyDescent="0.2">
      <c r="A2781" s="11" t="s">
        <v>4663</v>
      </c>
      <c r="B2781" s="12" t="s">
        <v>7835</v>
      </c>
      <c r="C2781" s="16" t="s">
        <v>3761</v>
      </c>
      <c r="D2781" s="13" t="s">
        <v>3754</v>
      </c>
      <c r="E2781" s="72" t="s">
        <v>4144</v>
      </c>
      <c r="F2781" s="13" t="s">
        <v>4667</v>
      </c>
      <c r="G2781" s="8"/>
      <c r="H2781" s="8"/>
      <c r="I2781" s="8">
        <v>4</v>
      </c>
      <c r="J2781" s="29" t="s">
        <v>4790</v>
      </c>
      <c r="K2781" s="29" t="s">
        <v>195</v>
      </c>
      <c r="L2781" s="29"/>
      <c r="M2781" s="68">
        <v>1</v>
      </c>
      <c r="N2781" s="68" t="s">
        <v>4652</v>
      </c>
    </row>
    <row r="2782" spans="1:14" s="3" customFormat="1" ht="28.5" x14ac:dyDescent="0.2">
      <c r="A2782" s="11" t="s">
        <v>4663</v>
      </c>
      <c r="B2782" s="12" t="s">
        <v>468</v>
      </c>
      <c r="C2782" s="13" t="s">
        <v>3757</v>
      </c>
      <c r="D2782" s="13" t="s">
        <v>3754</v>
      </c>
      <c r="E2782" s="72" t="s">
        <v>2690</v>
      </c>
      <c r="F2782" s="13" t="s">
        <v>4530</v>
      </c>
      <c r="G2782" s="8">
        <v>35</v>
      </c>
      <c r="H2782" s="8"/>
      <c r="I2782" s="8"/>
      <c r="J2782" s="29" t="s">
        <v>1264</v>
      </c>
      <c r="K2782" s="29" t="s">
        <v>4531</v>
      </c>
      <c r="L2782" s="29" t="s">
        <v>6704</v>
      </c>
      <c r="M2782" s="68">
        <v>1</v>
      </c>
      <c r="N2782" s="68" t="s">
        <v>4652</v>
      </c>
    </row>
    <row r="2783" spans="1:14" s="3" customFormat="1" ht="14.25" x14ac:dyDescent="0.2">
      <c r="A2783" s="56" t="s">
        <v>2796</v>
      </c>
      <c r="B2783" s="57" t="s">
        <v>7836</v>
      </c>
      <c r="C2783" s="16" t="s">
        <v>3761</v>
      </c>
      <c r="D2783" s="13" t="s">
        <v>3754</v>
      </c>
      <c r="E2783" s="72" t="s">
        <v>2797</v>
      </c>
      <c r="F2783" s="29" t="s">
        <v>2798</v>
      </c>
      <c r="G2783" s="8">
        <v>26</v>
      </c>
      <c r="H2783" s="8"/>
      <c r="I2783" s="8"/>
      <c r="J2783" s="29" t="s">
        <v>1264</v>
      </c>
      <c r="K2783" s="72" t="s">
        <v>1419</v>
      </c>
      <c r="L2783" s="29"/>
      <c r="M2783" s="68">
        <v>1</v>
      </c>
      <c r="N2783" s="68" t="s">
        <v>1253</v>
      </c>
    </row>
    <row r="2784" spans="1:14" s="3" customFormat="1" ht="14.25" x14ac:dyDescent="0.2">
      <c r="A2784" s="73" t="s">
        <v>2796</v>
      </c>
      <c r="B2784" s="12" t="s">
        <v>4684</v>
      </c>
      <c r="C2784" s="74" t="s">
        <v>3754</v>
      </c>
      <c r="D2784" s="74" t="s">
        <v>3754</v>
      </c>
      <c r="E2784" s="74" t="s">
        <v>7077</v>
      </c>
      <c r="F2784" s="74" t="s">
        <v>7078</v>
      </c>
      <c r="G2784" s="8"/>
      <c r="H2784" s="8">
        <v>2</v>
      </c>
      <c r="I2784" s="8"/>
      <c r="J2784" s="74" t="s">
        <v>1264</v>
      </c>
      <c r="K2784" s="115" t="s">
        <v>353</v>
      </c>
      <c r="L2784" s="29"/>
      <c r="M2784" s="68">
        <v>1</v>
      </c>
      <c r="N2784" s="68" t="s">
        <v>7025</v>
      </c>
    </row>
    <row r="2785" spans="1:14" s="3" customFormat="1" ht="14.25" x14ac:dyDescent="0.2">
      <c r="A2785" s="56" t="s">
        <v>2796</v>
      </c>
      <c r="B2785" s="57" t="s">
        <v>5105</v>
      </c>
      <c r="C2785" s="29" t="s">
        <v>3757</v>
      </c>
      <c r="D2785" s="13" t="s">
        <v>3754</v>
      </c>
      <c r="E2785" s="72" t="s">
        <v>2799</v>
      </c>
      <c r="F2785" s="29" t="s">
        <v>2587</v>
      </c>
      <c r="G2785" s="8">
        <v>90</v>
      </c>
      <c r="H2785" s="8"/>
      <c r="I2785" s="8"/>
      <c r="J2785" s="29" t="s">
        <v>1271</v>
      </c>
      <c r="K2785" s="72" t="s">
        <v>1419</v>
      </c>
      <c r="L2785" s="29"/>
      <c r="M2785" s="68">
        <v>1</v>
      </c>
      <c r="N2785" s="68" t="s">
        <v>1253</v>
      </c>
    </row>
    <row r="2786" spans="1:14" s="3" customFormat="1" ht="14.25" x14ac:dyDescent="0.2">
      <c r="A2786" s="56" t="s">
        <v>1237</v>
      </c>
      <c r="B2786" s="57" t="s">
        <v>5542</v>
      </c>
      <c r="C2786" s="29" t="s">
        <v>4288</v>
      </c>
      <c r="D2786" s="29" t="s">
        <v>1238</v>
      </c>
      <c r="E2786" s="72" t="s">
        <v>1239</v>
      </c>
      <c r="F2786" s="29" t="s">
        <v>1238</v>
      </c>
      <c r="G2786" s="8"/>
      <c r="H2786" s="8">
        <v>11</v>
      </c>
      <c r="I2786" s="8">
        <v>17</v>
      </c>
      <c r="J2786" s="29" t="s">
        <v>1958</v>
      </c>
      <c r="K2786" s="72" t="s">
        <v>1240</v>
      </c>
      <c r="L2786" s="29"/>
      <c r="M2786" s="68">
        <v>1</v>
      </c>
      <c r="N2786" s="68" t="s">
        <v>402</v>
      </c>
    </row>
    <row r="2787" spans="1:14" s="3" customFormat="1" ht="14.25" x14ac:dyDescent="0.2">
      <c r="A2787" s="56" t="s">
        <v>1237</v>
      </c>
      <c r="B2787" s="57" t="s">
        <v>7837</v>
      </c>
      <c r="C2787" s="29" t="s">
        <v>8621</v>
      </c>
      <c r="D2787" s="29"/>
      <c r="E2787" s="72" t="s">
        <v>4350</v>
      </c>
      <c r="F2787" s="29" t="s">
        <v>6581</v>
      </c>
      <c r="G2787" s="8">
        <v>16</v>
      </c>
      <c r="H2787" s="8">
        <v>1</v>
      </c>
      <c r="I2787" s="8"/>
      <c r="J2787" s="29" t="s">
        <v>4579</v>
      </c>
      <c r="K2787" s="72" t="s">
        <v>6582</v>
      </c>
      <c r="L2787" s="29"/>
      <c r="M2787" s="68">
        <v>1</v>
      </c>
      <c r="N2787" s="68" t="s">
        <v>1253</v>
      </c>
    </row>
    <row r="2788" spans="1:14" s="3" customFormat="1" ht="14.25" x14ac:dyDescent="0.2">
      <c r="A2788" s="56" t="s">
        <v>2842</v>
      </c>
      <c r="B2788" s="57" t="s">
        <v>7838</v>
      </c>
      <c r="C2788" s="16" t="s">
        <v>3761</v>
      </c>
      <c r="D2788" s="13" t="s">
        <v>3754</v>
      </c>
      <c r="E2788" s="72" t="s">
        <v>4791</v>
      </c>
      <c r="F2788" s="29" t="s">
        <v>6577</v>
      </c>
      <c r="G2788" s="8">
        <v>1</v>
      </c>
      <c r="H2788" s="8">
        <v>8</v>
      </c>
      <c r="I2788" s="8"/>
      <c r="J2788" s="29" t="s">
        <v>1254</v>
      </c>
      <c r="K2788" s="72" t="s">
        <v>4800</v>
      </c>
      <c r="L2788" s="29"/>
      <c r="M2788" s="68">
        <v>1</v>
      </c>
      <c r="N2788" s="68" t="s">
        <v>1253</v>
      </c>
    </row>
    <row r="2789" spans="1:14" s="3" customFormat="1" ht="14.25" x14ac:dyDescent="0.2">
      <c r="A2789" s="73" t="s">
        <v>2842</v>
      </c>
      <c r="B2789" s="12" t="s">
        <v>3728</v>
      </c>
      <c r="C2789" s="74" t="s">
        <v>3757</v>
      </c>
      <c r="D2789" s="74" t="s">
        <v>3754</v>
      </c>
      <c r="E2789" s="74" t="s">
        <v>7030</v>
      </c>
      <c r="F2789" s="74" t="s">
        <v>7031</v>
      </c>
      <c r="G2789" s="8">
        <v>76</v>
      </c>
      <c r="H2789" s="8"/>
      <c r="I2789" s="8"/>
      <c r="J2789" s="74" t="s">
        <v>1271</v>
      </c>
      <c r="K2789" s="115" t="s">
        <v>7032</v>
      </c>
      <c r="L2789" s="29"/>
      <c r="M2789" s="68">
        <v>1</v>
      </c>
      <c r="N2789" s="68" t="s">
        <v>7025</v>
      </c>
    </row>
    <row r="2790" spans="1:14" s="3" customFormat="1" ht="15" x14ac:dyDescent="0.2">
      <c r="A2790" s="56" t="s">
        <v>2842</v>
      </c>
      <c r="B2790" s="57" t="s">
        <v>3492</v>
      </c>
      <c r="C2790" s="29" t="s">
        <v>3754</v>
      </c>
      <c r="D2790" s="29" t="s">
        <v>3754</v>
      </c>
      <c r="E2790" s="29" t="s">
        <v>3663</v>
      </c>
      <c r="F2790" s="29" t="s">
        <v>3493</v>
      </c>
      <c r="G2790" s="8">
        <v>45</v>
      </c>
      <c r="H2790" s="8"/>
      <c r="I2790" s="8"/>
      <c r="J2790" s="29" t="s">
        <v>1264</v>
      </c>
      <c r="K2790" s="103" t="s">
        <v>3489</v>
      </c>
      <c r="L2790" s="58"/>
      <c r="M2790" s="68">
        <v>1</v>
      </c>
      <c r="N2790" s="68" t="s">
        <v>7149</v>
      </c>
    </row>
    <row r="2791" spans="1:14" s="3" customFormat="1" ht="14.25" x14ac:dyDescent="0.2">
      <c r="A2791" s="73" t="s">
        <v>2842</v>
      </c>
      <c r="B2791" s="12" t="s">
        <v>3740</v>
      </c>
      <c r="C2791" s="74" t="s">
        <v>3754</v>
      </c>
      <c r="D2791" s="74" t="s">
        <v>3754</v>
      </c>
      <c r="E2791" s="74" t="s">
        <v>2196</v>
      </c>
      <c r="F2791" s="74" t="s">
        <v>7061</v>
      </c>
      <c r="G2791" s="8">
        <v>37</v>
      </c>
      <c r="H2791" s="8"/>
      <c r="I2791" s="8"/>
      <c r="J2791" s="74" t="s">
        <v>1788</v>
      </c>
      <c r="K2791" s="115" t="s">
        <v>7062</v>
      </c>
      <c r="L2791" s="29"/>
      <c r="M2791" s="68">
        <v>1</v>
      </c>
      <c r="N2791" s="68" t="s">
        <v>7025</v>
      </c>
    </row>
    <row r="2792" spans="1:14" s="3" customFormat="1" ht="14.25" x14ac:dyDescent="0.2">
      <c r="A2792" s="56" t="s">
        <v>2842</v>
      </c>
      <c r="B2792" s="57" t="s">
        <v>3723</v>
      </c>
      <c r="C2792" s="29" t="s">
        <v>3757</v>
      </c>
      <c r="D2792" s="29"/>
      <c r="E2792" s="72" t="s">
        <v>6580</v>
      </c>
      <c r="F2792" s="29" t="s">
        <v>1541</v>
      </c>
      <c r="G2792" s="8">
        <v>55</v>
      </c>
      <c r="H2792" s="8"/>
      <c r="I2792" s="8"/>
      <c r="J2792" s="29" t="s">
        <v>1572</v>
      </c>
      <c r="K2792" s="72" t="s">
        <v>6580</v>
      </c>
      <c r="L2792" s="29"/>
      <c r="M2792" s="68">
        <v>1</v>
      </c>
      <c r="N2792" s="68" t="s">
        <v>1253</v>
      </c>
    </row>
    <row r="2793" spans="1:14" s="3" customFormat="1" ht="14.25" x14ac:dyDescent="0.2">
      <c r="A2793" s="73" t="s">
        <v>2842</v>
      </c>
      <c r="B2793" s="12" t="s">
        <v>8576</v>
      </c>
      <c r="C2793" s="74" t="s">
        <v>3757</v>
      </c>
      <c r="D2793" s="74" t="s">
        <v>3754</v>
      </c>
      <c r="E2793" s="74" t="s">
        <v>8597</v>
      </c>
      <c r="F2793" s="74" t="s">
        <v>7080</v>
      </c>
      <c r="G2793" s="8">
        <v>46</v>
      </c>
      <c r="H2793" s="8"/>
      <c r="I2793" s="8"/>
      <c r="J2793" s="74" t="s">
        <v>1259</v>
      </c>
      <c r="K2793" s="115" t="s">
        <v>7081</v>
      </c>
      <c r="L2793" s="29"/>
      <c r="M2793" s="68">
        <v>1</v>
      </c>
      <c r="N2793" s="68" t="s">
        <v>7025</v>
      </c>
    </row>
    <row r="2794" spans="1:14" s="3" customFormat="1" ht="14.25" x14ac:dyDescent="0.2">
      <c r="A2794" s="73" t="s">
        <v>2842</v>
      </c>
      <c r="B2794" s="12" t="s">
        <v>3746</v>
      </c>
      <c r="C2794" s="74" t="s">
        <v>3757</v>
      </c>
      <c r="D2794" s="74" t="s">
        <v>3754</v>
      </c>
      <c r="E2794" s="74" t="s">
        <v>8596</v>
      </c>
      <c r="F2794" s="74" t="s">
        <v>5159</v>
      </c>
      <c r="G2794" s="8">
        <v>66</v>
      </c>
      <c r="H2794" s="8"/>
      <c r="I2794" s="8"/>
      <c r="J2794" s="74" t="s">
        <v>1266</v>
      </c>
      <c r="K2794" s="115" t="s">
        <v>7028</v>
      </c>
      <c r="L2794" s="29"/>
      <c r="M2794" s="68">
        <v>1</v>
      </c>
      <c r="N2794" s="68" t="s">
        <v>7025</v>
      </c>
    </row>
    <row r="2795" spans="1:14" s="3" customFormat="1" ht="14.25" x14ac:dyDescent="0.2">
      <c r="A2795" s="56" t="s">
        <v>1217</v>
      </c>
      <c r="B2795" s="57" t="s">
        <v>3744</v>
      </c>
      <c r="C2795" s="16" t="s">
        <v>3761</v>
      </c>
      <c r="D2795" s="13" t="s">
        <v>3754</v>
      </c>
      <c r="E2795" s="72" t="s">
        <v>1218</v>
      </c>
      <c r="F2795" s="29" t="s">
        <v>1541</v>
      </c>
      <c r="G2795" s="8">
        <v>4</v>
      </c>
      <c r="H2795" s="8">
        <v>3</v>
      </c>
      <c r="I2795" s="8"/>
      <c r="J2795" s="29" t="s">
        <v>2136</v>
      </c>
      <c r="K2795" s="72" t="s">
        <v>8227</v>
      </c>
      <c r="L2795" s="29"/>
      <c r="M2795" s="68">
        <v>1</v>
      </c>
      <c r="N2795" s="68" t="s">
        <v>402</v>
      </c>
    </row>
    <row r="2796" spans="1:14" s="3" customFormat="1" ht="14.25" x14ac:dyDescent="0.2">
      <c r="A2796" s="73" t="s">
        <v>1217</v>
      </c>
      <c r="B2796" s="12" t="s">
        <v>1432</v>
      </c>
      <c r="C2796" s="74" t="s">
        <v>3757</v>
      </c>
      <c r="D2796" s="74" t="s">
        <v>7034</v>
      </c>
      <c r="E2796" s="78" t="s">
        <v>3228</v>
      </c>
      <c r="F2796" s="74" t="s">
        <v>8309</v>
      </c>
      <c r="G2796" s="8">
        <v>84</v>
      </c>
      <c r="H2796" s="8"/>
      <c r="I2796" s="8"/>
      <c r="J2796" s="74" t="s">
        <v>1271</v>
      </c>
      <c r="K2796" s="115" t="s">
        <v>7035</v>
      </c>
      <c r="L2796" s="29"/>
      <c r="M2796" s="68">
        <v>1</v>
      </c>
      <c r="N2796" s="68" t="s">
        <v>7025</v>
      </c>
    </row>
    <row r="2797" spans="1:14" s="3" customFormat="1" ht="14.25" x14ac:dyDescent="0.2">
      <c r="A2797" s="56" t="s">
        <v>1217</v>
      </c>
      <c r="B2797" s="57" t="s">
        <v>7017</v>
      </c>
      <c r="C2797" s="16" t="s">
        <v>3761</v>
      </c>
      <c r="D2797" s="13" t="s">
        <v>3754</v>
      </c>
      <c r="E2797" s="68" t="s">
        <v>1221</v>
      </c>
      <c r="F2797" s="29" t="s">
        <v>1541</v>
      </c>
      <c r="G2797" s="8">
        <v>4</v>
      </c>
      <c r="H2797" s="8"/>
      <c r="I2797" s="8"/>
      <c r="J2797" s="29" t="s">
        <v>1277</v>
      </c>
      <c r="K2797" s="72" t="s">
        <v>8318</v>
      </c>
      <c r="L2797" s="29"/>
      <c r="M2797" s="68">
        <v>1</v>
      </c>
      <c r="N2797" s="68" t="s">
        <v>402</v>
      </c>
    </row>
    <row r="2798" spans="1:14" s="3" customFormat="1" ht="14.25" x14ac:dyDescent="0.2">
      <c r="A2798" s="63" t="s">
        <v>1217</v>
      </c>
      <c r="B2798" s="60" t="s">
        <v>1879</v>
      </c>
      <c r="C2798" s="61" t="s">
        <v>3757</v>
      </c>
      <c r="D2798" s="13" t="s">
        <v>3754</v>
      </c>
      <c r="E2798" s="68" t="s">
        <v>2809</v>
      </c>
      <c r="F2798" s="55" t="s">
        <v>2810</v>
      </c>
      <c r="G2798" s="8">
        <v>38</v>
      </c>
      <c r="H2798" s="8"/>
      <c r="I2798" s="8"/>
      <c r="J2798" s="55" t="s">
        <v>1985</v>
      </c>
      <c r="K2798" s="112" t="s">
        <v>1860</v>
      </c>
      <c r="L2798" s="61"/>
      <c r="M2798" s="68">
        <v>1</v>
      </c>
      <c r="N2798" s="68" t="s">
        <v>1253</v>
      </c>
    </row>
    <row r="2799" spans="1:14" s="3" customFormat="1" ht="14.25" x14ac:dyDescent="0.2">
      <c r="A2799" s="63" t="s">
        <v>1217</v>
      </c>
      <c r="B2799" s="60" t="s">
        <v>4581</v>
      </c>
      <c r="C2799" s="20" t="s">
        <v>3761</v>
      </c>
      <c r="D2799" s="29"/>
      <c r="E2799" s="112" t="s">
        <v>8475</v>
      </c>
      <c r="F2799" s="55"/>
      <c r="G2799" s="8">
        <v>27</v>
      </c>
      <c r="H2799" s="8"/>
      <c r="I2799" s="8"/>
      <c r="J2799" s="55" t="s">
        <v>1266</v>
      </c>
      <c r="K2799" s="112"/>
      <c r="L2799" s="61"/>
      <c r="M2799" s="68">
        <v>1</v>
      </c>
      <c r="N2799" s="68" t="s">
        <v>1253</v>
      </c>
    </row>
    <row r="2800" spans="1:14" s="3" customFormat="1" ht="14.25" x14ac:dyDescent="0.2">
      <c r="A2800" s="56" t="s">
        <v>1217</v>
      </c>
      <c r="B2800" s="57" t="s">
        <v>3723</v>
      </c>
      <c r="C2800" s="29" t="s">
        <v>3757</v>
      </c>
      <c r="D2800" s="13" t="s">
        <v>3754</v>
      </c>
      <c r="E2800" s="72" t="s">
        <v>4276</v>
      </c>
      <c r="F2800" s="29" t="s">
        <v>2811</v>
      </c>
      <c r="G2800" s="26">
        <v>65</v>
      </c>
      <c r="H2800" s="26"/>
      <c r="I2800" s="26"/>
      <c r="J2800" s="29" t="s">
        <v>1267</v>
      </c>
      <c r="K2800" s="72" t="s">
        <v>1435</v>
      </c>
      <c r="L2800" s="29"/>
      <c r="M2800" s="68">
        <v>1</v>
      </c>
      <c r="N2800" s="68" t="s">
        <v>1253</v>
      </c>
    </row>
    <row r="2801" spans="1:14" s="3" customFormat="1" ht="14.25" x14ac:dyDescent="0.2">
      <c r="A2801" s="73" t="s">
        <v>1217</v>
      </c>
      <c r="B2801" s="12" t="s">
        <v>1679</v>
      </c>
      <c r="C2801" s="74" t="s">
        <v>3754</v>
      </c>
      <c r="D2801" s="74" t="s">
        <v>3754</v>
      </c>
      <c r="E2801" s="74" t="s">
        <v>7072</v>
      </c>
      <c r="F2801" s="74" t="s">
        <v>7073</v>
      </c>
      <c r="G2801" s="26">
        <v>23</v>
      </c>
      <c r="H2801" s="26"/>
      <c r="I2801" s="26"/>
      <c r="J2801" s="74" t="s">
        <v>1264</v>
      </c>
      <c r="K2801" s="115" t="s">
        <v>7074</v>
      </c>
      <c r="L2801" s="29"/>
      <c r="M2801" s="68">
        <v>1</v>
      </c>
      <c r="N2801" s="68" t="s">
        <v>7025</v>
      </c>
    </row>
    <row r="2802" spans="1:14" s="3" customFormat="1" ht="14.25" x14ac:dyDescent="0.2">
      <c r="A2802" s="43" t="s">
        <v>7016</v>
      </c>
      <c r="B2802" s="12" t="s">
        <v>7017</v>
      </c>
      <c r="C2802" s="27" t="s">
        <v>3757</v>
      </c>
      <c r="D2802" s="27"/>
      <c r="E2802" s="72" t="s">
        <v>532</v>
      </c>
      <c r="F2802" s="27" t="s">
        <v>7018</v>
      </c>
      <c r="G2802" s="75">
        <v>72</v>
      </c>
      <c r="H2802" s="26"/>
      <c r="I2802" s="26"/>
      <c r="J2802" s="76" t="s">
        <v>1271</v>
      </c>
      <c r="K2802" s="116" t="s">
        <v>7015</v>
      </c>
      <c r="L2802" s="29"/>
      <c r="M2802" s="68">
        <v>1</v>
      </c>
      <c r="N2802" s="68" t="s">
        <v>7024</v>
      </c>
    </row>
    <row r="2803" spans="1:14" s="3" customFormat="1" ht="15" x14ac:dyDescent="0.2">
      <c r="A2803" s="56" t="s">
        <v>3500</v>
      </c>
      <c r="B2803" s="57" t="s">
        <v>3501</v>
      </c>
      <c r="C2803" s="29" t="s">
        <v>3754</v>
      </c>
      <c r="D2803" s="29" t="s">
        <v>3754</v>
      </c>
      <c r="E2803" s="29" t="s">
        <v>3345</v>
      </c>
      <c r="F2803" s="29" t="s">
        <v>3502</v>
      </c>
      <c r="G2803" s="26">
        <v>24</v>
      </c>
      <c r="H2803" s="26"/>
      <c r="I2803" s="26"/>
      <c r="J2803" s="29" t="s">
        <v>4732</v>
      </c>
      <c r="K2803" s="29" t="s">
        <v>3503</v>
      </c>
      <c r="L2803" s="58" t="s">
        <v>3504</v>
      </c>
      <c r="M2803" s="68">
        <v>1</v>
      </c>
      <c r="N2803" s="68" t="s">
        <v>7149</v>
      </c>
    </row>
    <row r="2804" spans="1:14" s="3" customFormat="1" ht="14.25" x14ac:dyDescent="0.2">
      <c r="A2804" s="43" t="s">
        <v>2800</v>
      </c>
      <c r="B2804" s="12" t="s">
        <v>3740</v>
      </c>
      <c r="C2804" s="27" t="s">
        <v>3757</v>
      </c>
      <c r="D2804" s="27" t="s">
        <v>3754</v>
      </c>
      <c r="E2804" s="72" t="s">
        <v>2329</v>
      </c>
      <c r="F2804" s="27" t="s">
        <v>6643</v>
      </c>
      <c r="G2804" s="75">
        <v>65</v>
      </c>
      <c r="H2804" s="26"/>
      <c r="I2804" s="26"/>
      <c r="J2804" s="76" t="s">
        <v>1271</v>
      </c>
      <c r="K2804" s="116" t="s">
        <v>4946</v>
      </c>
      <c r="L2804" s="29"/>
      <c r="M2804" s="68">
        <v>1</v>
      </c>
      <c r="N2804" s="68" t="s">
        <v>7024</v>
      </c>
    </row>
    <row r="2805" spans="1:14" s="3" customFormat="1" ht="14.25" x14ac:dyDescent="0.2">
      <c r="A2805" s="56" t="s">
        <v>2800</v>
      </c>
      <c r="B2805" s="57" t="s">
        <v>3723</v>
      </c>
      <c r="C2805" s="29" t="s">
        <v>3757</v>
      </c>
      <c r="D2805" s="13" t="s">
        <v>3754</v>
      </c>
      <c r="E2805" s="72" t="s">
        <v>4325</v>
      </c>
      <c r="F2805" s="29" t="s">
        <v>5210</v>
      </c>
      <c r="G2805" s="26">
        <v>56</v>
      </c>
      <c r="H2805" s="26"/>
      <c r="I2805" s="26"/>
      <c r="J2805" s="29" t="s">
        <v>1266</v>
      </c>
      <c r="K2805" s="72" t="s">
        <v>2801</v>
      </c>
      <c r="L2805" s="29"/>
      <c r="M2805" s="68">
        <v>1</v>
      </c>
      <c r="N2805" s="68" t="s">
        <v>1253</v>
      </c>
    </row>
    <row r="2806" spans="1:14" s="3" customFormat="1" ht="14.25" x14ac:dyDescent="0.2">
      <c r="A2806" s="56" t="s">
        <v>1210</v>
      </c>
      <c r="B2806" s="57" t="s">
        <v>7107</v>
      </c>
      <c r="C2806" s="29" t="s">
        <v>3757</v>
      </c>
      <c r="D2806" s="29" t="s">
        <v>3754</v>
      </c>
      <c r="E2806" s="29" t="s">
        <v>7108</v>
      </c>
      <c r="F2806" s="29" t="s">
        <v>7109</v>
      </c>
      <c r="G2806" s="26">
        <v>66</v>
      </c>
      <c r="H2806" s="26"/>
      <c r="I2806" s="26"/>
      <c r="J2806" s="29" t="s">
        <v>4746</v>
      </c>
      <c r="K2806" s="29" t="s">
        <v>10</v>
      </c>
      <c r="L2806" s="103"/>
      <c r="M2806" s="68">
        <v>1</v>
      </c>
      <c r="N2806" s="68" t="s">
        <v>7094</v>
      </c>
    </row>
    <row r="2807" spans="1:14" s="3" customFormat="1" ht="14.25" x14ac:dyDescent="0.2">
      <c r="A2807" s="56" t="s">
        <v>1210</v>
      </c>
      <c r="B2807" s="57" t="s">
        <v>3748</v>
      </c>
      <c r="C2807" s="16" t="s">
        <v>3761</v>
      </c>
      <c r="D2807" s="13" t="s">
        <v>3754</v>
      </c>
      <c r="E2807" s="72"/>
      <c r="F2807" s="29" t="s">
        <v>6578</v>
      </c>
      <c r="G2807" s="26">
        <v>3</v>
      </c>
      <c r="H2807" s="26">
        <v>2</v>
      </c>
      <c r="I2807" s="26"/>
      <c r="J2807" s="29"/>
      <c r="K2807" s="72" t="s">
        <v>8706</v>
      </c>
      <c r="L2807" s="29"/>
      <c r="M2807" s="68">
        <v>1</v>
      </c>
      <c r="N2807" s="68" t="s">
        <v>1253</v>
      </c>
    </row>
    <row r="2808" spans="1:14" s="3" customFormat="1" ht="14.25" x14ac:dyDescent="0.2">
      <c r="A2808" s="56" t="s">
        <v>1210</v>
      </c>
      <c r="B2808" s="57" t="s">
        <v>3734</v>
      </c>
      <c r="C2808" s="16" t="s">
        <v>3761</v>
      </c>
      <c r="D2808" s="13" t="s">
        <v>3754</v>
      </c>
      <c r="E2808" s="72"/>
      <c r="F2808" s="29" t="s">
        <v>6578</v>
      </c>
      <c r="G2808" s="26">
        <v>1</v>
      </c>
      <c r="H2808" s="26">
        <v>3</v>
      </c>
      <c r="I2808" s="26"/>
      <c r="J2808" s="29"/>
      <c r="K2808" s="72" t="s">
        <v>8706</v>
      </c>
      <c r="L2808" s="29"/>
      <c r="M2808" s="68">
        <v>1</v>
      </c>
      <c r="N2808" s="68" t="s">
        <v>1253</v>
      </c>
    </row>
    <row r="2809" spans="1:14" s="3" customFormat="1" ht="14.25" x14ac:dyDescent="0.2">
      <c r="A2809" s="56" t="s">
        <v>1210</v>
      </c>
      <c r="B2809" s="57" t="s">
        <v>1809</v>
      </c>
      <c r="C2809" s="16" t="s">
        <v>3761</v>
      </c>
      <c r="D2809" s="13" t="s">
        <v>3754</v>
      </c>
      <c r="E2809" s="72" t="s">
        <v>1214</v>
      </c>
      <c r="F2809" s="29" t="s">
        <v>1541</v>
      </c>
      <c r="G2809" s="26"/>
      <c r="H2809" s="26">
        <v>5</v>
      </c>
      <c r="I2809" s="26">
        <v>24</v>
      </c>
      <c r="J2809" s="29"/>
      <c r="K2809" s="72" t="s">
        <v>4772</v>
      </c>
      <c r="L2809" s="29"/>
      <c r="M2809" s="68">
        <v>1</v>
      </c>
      <c r="N2809" s="68" t="s">
        <v>402</v>
      </c>
    </row>
    <row r="2810" spans="1:14" s="3" customFormat="1" ht="14.25" x14ac:dyDescent="0.2">
      <c r="A2810" s="56" t="s">
        <v>1210</v>
      </c>
      <c r="B2810" s="57" t="s">
        <v>3740</v>
      </c>
      <c r="C2810" s="29" t="s">
        <v>3757</v>
      </c>
      <c r="D2810" s="29" t="s">
        <v>3754</v>
      </c>
      <c r="E2810" s="29" t="s">
        <v>7099</v>
      </c>
      <c r="F2810" s="29" t="s">
        <v>7100</v>
      </c>
      <c r="G2810" s="26">
        <v>49</v>
      </c>
      <c r="H2810" s="26"/>
      <c r="I2810" s="26"/>
      <c r="J2810" s="29" t="s">
        <v>7101</v>
      </c>
      <c r="K2810" s="29" t="s">
        <v>3271</v>
      </c>
      <c r="L2810" s="103"/>
      <c r="M2810" s="68">
        <v>1</v>
      </c>
      <c r="N2810" s="68" t="s">
        <v>7094</v>
      </c>
    </row>
    <row r="2811" spans="1:14" s="3" customFormat="1" ht="15" x14ac:dyDescent="0.2">
      <c r="A2811" s="56" t="s">
        <v>1210</v>
      </c>
      <c r="B2811" s="57" t="s">
        <v>4694</v>
      </c>
      <c r="C2811" s="29" t="s">
        <v>3754</v>
      </c>
      <c r="D2811" s="29" t="s">
        <v>3754</v>
      </c>
      <c r="E2811" s="29" t="s">
        <v>1536</v>
      </c>
      <c r="F2811" s="29" t="s">
        <v>3511</v>
      </c>
      <c r="G2811" s="26">
        <v>9</v>
      </c>
      <c r="H2811" s="26">
        <v>1</v>
      </c>
      <c r="I2811" s="26"/>
      <c r="J2811" s="29" t="s">
        <v>7319</v>
      </c>
      <c r="K2811" s="29" t="s">
        <v>3512</v>
      </c>
      <c r="L2811" s="58"/>
      <c r="M2811" s="68">
        <v>1</v>
      </c>
      <c r="N2811" s="68" t="s">
        <v>7149</v>
      </c>
    </row>
    <row r="2812" spans="1:14" s="3" customFormat="1" ht="15" x14ac:dyDescent="0.2">
      <c r="A2812" s="56" t="s">
        <v>1210</v>
      </c>
      <c r="B2812" s="57" t="s">
        <v>966</v>
      </c>
      <c r="C2812" s="29" t="s">
        <v>3754</v>
      </c>
      <c r="D2812" s="29" t="s">
        <v>3754</v>
      </c>
      <c r="E2812" s="29" t="s">
        <v>436</v>
      </c>
      <c r="F2812" s="29" t="s">
        <v>7151</v>
      </c>
      <c r="G2812" s="26">
        <v>16</v>
      </c>
      <c r="H2812" s="26">
        <v>10</v>
      </c>
      <c r="I2812" s="26"/>
      <c r="J2812" s="29" t="s">
        <v>6537</v>
      </c>
      <c r="K2812" s="103" t="s">
        <v>3902</v>
      </c>
      <c r="L2812" s="58"/>
      <c r="M2812" s="68">
        <v>1</v>
      </c>
      <c r="N2812" s="68" t="s">
        <v>7149</v>
      </c>
    </row>
    <row r="2813" spans="1:14" s="3" customFormat="1" ht="14.25" x14ac:dyDescent="0.2">
      <c r="A2813" s="73" t="s">
        <v>1210</v>
      </c>
      <c r="B2813" s="12" t="s">
        <v>4616</v>
      </c>
      <c r="C2813" s="74" t="s">
        <v>3754</v>
      </c>
      <c r="D2813" s="74" t="s">
        <v>3754</v>
      </c>
      <c r="E2813" s="74" t="s">
        <v>343</v>
      </c>
      <c r="F2813" s="74" t="s">
        <v>7079</v>
      </c>
      <c r="G2813" s="26">
        <v>24</v>
      </c>
      <c r="H2813" s="26">
        <v>6</v>
      </c>
      <c r="I2813" s="26"/>
      <c r="J2813" s="74" t="s">
        <v>1264</v>
      </c>
      <c r="K2813" s="115" t="s">
        <v>389</v>
      </c>
      <c r="L2813" s="29"/>
      <c r="M2813" s="68">
        <v>1</v>
      </c>
      <c r="N2813" s="68" t="s">
        <v>7025</v>
      </c>
    </row>
    <row r="2814" spans="1:14" s="3" customFormat="1" ht="15" x14ac:dyDescent="0.2">
      <c r="A2814" s="56" t="s">
        <v>1210</v>
      </c>
      <c r="B2814" s="57" t="s">
        <v>4982</v>
      </c>
      <c r="C2814" s="29" t="s">
        <v>3757</v>
      </c>
      <c r="D2814" s="29" t="s">
        <v>3754</v>
      </c>
      <c r="E2814" s="29" t="s">
        <v>3929</v>
      </c>
      <c r="F2814" s="29" t="s">
        <v>3494</v>
      </c>
      <c r="G2814" s="26">
        <v>25</v>
      </c>
      <c r="H2814" s="26"/>
      <c r="I2814" s="26">
        <v>20</v>
      </c>
      <c r="J2814" s="29" t="s">
        <v>1264</v>
      </c>
      <c r="K2814" s="103" t="s">
        <v>1501</v>
      </c>
      <c r="L2814" s="58"/>
      <c r="M2814" s="68">
        <v>1</v>
      </c>
      <c r="N2814" s="68" t="s">
        <v>7149</v>
      </c>
    </row>
    <row r="2815" spans="1:14" s="3" customFormat="1" ht="14.25" x14ac:dyDescent="0.2">
      <c r="A2815" s="73" t="s">
        <v>1210</v>
      </c>
      <c r="B2815" s="12" t="s">
        <v>73</v>
      </c>
      <c r="C2815" s="74" t="s">
        <v>3754</v>
      </c>
      <c r="D2815" s="74" t="s">
        <v>3754</v>
      </c>
      <c r="E2815" s="74" t="s">
        <v>2468</v>
      </c>
      <c r="F2815" s="74" t="s">
        <v>7089</v>
      </c>
      <c r="G2815" s="26"/>
      <c r="H2815" s="26">
        <v>5</v>
      </c>
      <c r="I2815" s="26">
        <v>17</v>
      </c>
      <c r="J2815" s="74" t="s">
        <v>1258</v>
      </c>
      <c r="K2815" s="115" t="s">
        <v>7090</v>
      </c>
      <c r="L2815" s="29"/>
      <c r="M2815" s="68">
        <v>1</v>
      </c>
      <c r="N2815" s="68" t="s">
        <v>7025</v>
      </c>
    </row>
    <row r="2816" spans="1:14" s="3" customFormat="1" ht="14.25" x14ac:dyDescent="0.2">
      <c r="A2816" s="56" t="s">
        <v>1210</v>
      </c>
      <c r="B2816" s="57" t="s">
        <v>3723</v>
      </c>
      <c r="C2816" s="29" t="s">
        <v>3757</v>
      </c>
      <c r="D2816" s="29" t="s">
        <v>3754</v>
      </c>
      <c r="E2816" s="29" t="s">
        <v>8138</v>
      </c>
      <c r="F2816" s="29" t="s">
        <v>7115</v>
      </c>
      <c r="G2816" s="26">
        <v>64</v>
      </c>
      <c r="H2816" s="26"/>
      <c r="I2816" s="26"/>
      <c r="J2816" s="29" t="s">
        <v>4746</v>
      </c>
      <c r="K2816" s="29" t="s">
        <v>5599</v>
      </c>
      <c r="L2816" s="103"/>
      <c r="M2816" s="68">
        <v>1</v>
      </c>
      <c r="N2816" s="68" t="s">
        <v>7094</v>
      </c>
    </row>
    <row r="2817" spans="1:14" s="3" customFormat="1" ht="14.25" x14ac:dyDescent="0.2">
      <c r="A2817" s="56" t="s">
        <v>1210</v>
      </c>
      <c r="B2817" s="57" t="s">
        <v>3723</v>
      </c>
      <c r="C2817" s="16" t="s">
        <v>3761</v>
      </c>
      <c r="D2817" s="13" t="s">
        <v>3754</v>
      </c>
      <c r="E2817" s="72" t="s">
        <v>1215</v>
      </c>
      <c r="F2817" s="29" t="s">
        <v>1541</v>
      </c>
      <c r="G2817" s="26"/>
      <c r="H2817" s="26">
        <v>11</v>
      </c>
      <c r="I2817" s="26">
        <v>11</v>
      </c>
      <c r="J2817" s="29"/>
      <c r="K2817" s="72" t="s">
        <v>4772</v>
      </c>
      <c r="L2817" s="29"/>
      <c r="M2817" s="68">
        <v>1</v>
      </c>
      <c r="N2817" s="68" t="s">
        <v>402</v>
      </c>
    </row>
    <row r="2818" spans="1:14" s="3" customFormat="1" ht="14.25" x14ac:dyDescent="0.2">
      <c r="A2818" s="56" t="s">
        <v>1210</v>
      </c>
      <c r="B2818" s="57" t="s">
        <v>3723</v>
      </c>
      <c r="C2818" s="16" t="s">
        <v>3761</v>
      </c>
      <c r="D2818" s="13" t="s">
        <v>3754</v>
      </c>
      <c r="E2818" s="72"/>
      <c r="F2818" s="29" t="s">
        <v>6578</v>
      </c>
      <c r="G2818" s="26"/>
      <c r="H2818" s="26"/>
      <c r="I2818" s="26">
        <v>14</v>
      </c>
      <c r="J2818" s="29"/>
      <c r="K2818" s="72" t="s">
        <v>8706</v>
      </c>
      <c r="L2818" s="29"/>
      <c r="M2818" s="68">
        <v>1</v>
      </c>
      <c r="N2818" s="68" t="s">
        <v>1253</v>
      </c>
    </row>
    <row r="2819" spans="1:14" s="3" customFormat="1" ht="14.25" x14ac:dyDescent="0.2">
      <c r="A2819" s="56" t="s">
        <v>1210</v>
      </c>
      <c r="B2819" s="57" t="s">
        <v>4900</v>
      </c>
      <c r="C2819" s="16" t="s">
        <v>3761</v>
      </c>
      <c r="D2819" s="13" t="s">
        <v>3754</v>
      </c>
      <c r="E2819" s="72"/>
      <c r="F2819" s="29" t="s">
        <v>6578</v>
      </c>
      <c r="G2819" s="26">
        <v>8</v>
      </c>
      <c r="H2819" s="26">
        <v>9</v>
      </c>
      <c r="I2819" s="26"/>
      <c r="J2819" s="29"/>
      <c r="K2819" s="72" t="s">
        <v>8706</v>
      </c>
      <c r="L2819" s="29"/>
      <c r="M2819" s="68">
        <v>1</v>
      </c>
      <c r="N2819" s="68" t="s">
        <v>1253</v>
      </c>
    </row>
    <row r="2820" spans="1:14" s="3" customFormat="1" ht="14.25" x14ac:dyDescent="0.2">
      <c r="A2820" s="56" t="s">
        <v>1210</v>
      </c>
      <c r="B2820" s="57" t="s">
        <v>3733</v>
      </c>
      <c r="C2820" s="16" t="s">
        <v>3761</v>
      </c>
      <c r="D2820" s="13" t="s">
        <v>3754</v>
      </c>
      <c r="E2820" s="72" t="s">
        <v>1211</v>
      </c>
      <c r="F2820" s="29" t="s">
        <v>1541</v>
      </c>
      <c r="G2820" s="26"/>
      <c r="H2820" s="26">
        <v>3</v>
      </c>
      <c r="I2820" s="26">
        <v>13</v>
      </c>
      <c r="J2820" s="29" t="s">
        <v>1258</v>
      </c>
      <c r="K2820" s="72" t="s">
        <v>1212</v>
      </c>
      <c r="L2820" s="29"/>
      <c r="M2820" s="68">
        <v>1</v>
      </c>
      <c r="N2820" s="68" t="s">
        <v>402</v>
      </c>
    </row>
    <row r="2821" spans="1:14" s="3" customFormat="1" ht="28.5" x14ac:dyDescent="0.2">
      <c r="A2821" s="56" t="s">
        <v>1210</v>
      </c>
      <c r="B2821" s="57" t="s">
        <v>3733</v>
      </c>
      <c r="C2821" s="16" t="s">
        <v>3761</v>
      </c>
      <c r="D2821" s="13" t="s">
        <v>3754</v>
      </c>
      <c r="E2821" s="72"/>
      <c r="F2821" s="29" t="s">
        <v>6578</v>
      </c>
      <c r="G2821" s="26"/>
      <c r="H2821" s="26"/>
      <c r="I2821" s="26" t="s">
        <v>6579</v>
      </c>
      <c r="J2821" s="29"/>
      <c r="K2821" s="72" t="s">
        <v>8706</v>
      </c>
      <c r="L2821" s="29"/>
      <c r="M2821" s="68">
        <v>1</v>
      </c>
      <c r="N2821" s="68" t="s">
        <v>1253</v>
      </c>
    </row>
    <row r="2822" spans="1:14" s="3" customFormat="1" ht="14.25" x14ac:dyDescent="0.2">
      <c r="A2822" s="56" t="s">
        <v>1210</v>
      </c>
      <c r="B2822" s="57" t="s">
        <v>1445</v>
      </c>
      <c r="C2822" s="16" t="s">
        <v>3761</v>
      </c>
      <c r="D2822" s="13" t="s">
        <v>3754</v>
      </c>
      <c r="E2822" s="72" t="s">
        <v>1213</v>
      </c>
      <c r="F2822" s="29" t="s">
        <v>1541</v>
      </c>
      <c r="G2822" s="26"/>
      <c r="H2822" s="26">
        <v>2</v>
      </c>
      <c r="I2822" s="26">
        <v>21</v>
      </c>
      <c r="J2822" s="29"/>
      <c r="K2822" s="72" t="s">
        <v>4772</v>
      </c>
      <c r="L2822" s="29"/>
      <c r="M2822" s="68">
        <v>1</v>
      </c>
      <c r="N2822" s="68" t="s">
        <v>402</v>
      </c>
    </row>
    <row r="2823" spans="1:14" s="3" customFormat="1" ht="14.25" x14ac:dyDescent="0.2">
      <c r="A2823" s="43" t="s">
        <v>6632</v>
      </c>
      <c r="B2823" s="12" t="s">
        <v>6633</v>
      </c>
      <c r="C2823" s="27" t="s">
        <v>3754</v>
      </c>
      <c r="D2823" s="27" t="s">
        <v>3754</v>
      </c>
      <c r="E2823" s="72" t="s">
        <v>6634</v>
      </c>
      <c r="F2823" s="27" t="s">
        <v>6635</v>
      </c>
      <c r="G2823" s="75">
        <v>17</v>
      </c>
      <c r="H2823" s="75">
        <v>14</v>
      </c>
      <c r="I2823" s="26"/>
      <c r="J2823" s="76" t="s">
        <v>1264</v>
      </c>
      <c r="K2823" s="116" t="s">
        <v>6636</v>
      </c>
      <c r="L2823" s="29"/>
      <c r="M2823" s="68">
        <v>1</v>
      </c>
      <c r="N2823" s="68" t="s">
        <v>7024</v>
      </c>
    </row>
    <row r="2824" spans="1:14" s="3" customFormat="1" ht="15" x14ac:dyDescent="0.2">
      <c r="A2824" s="56" t="s">
        <v>3507</v>
      </c>
      <c r="B2824" s="57" t="s">
        <v>3746</v>
      </c>
      <c r="C2824" s="29" t="s">
        <v>3754</v>
      </c>
      <c r="D2824" s="29" t="s">
        <v>3754</v>
      </c>
      <c r="E2824" s="29" t="s">
        <v>3359</v>
      </c>
      <c r="F2824" s="29" t="s">
        <v>3508</v>
      </c>
      <c r="G2824" s="26">
        <v>27</v>
      </c>
      <c r="H2824" s="26"/>
      <c r="I2824" s="26"/>
      <c r="J2824" s="29" t="s">
        <v>8157</v>
      </c>
      <c r="K2824" s="103" t="s">
        <v>3509</v>
      </c>
      <c r="L2824" s="58"/>
      <c r="M2824" s="68">
        <v>1</v>
      </c>
      <c r="N2824" s="68" t="s">
        <v>7149</v>
      </c>
    </row>
    <row r="2825" spans="1:14" s="3" customFormat="1" ht="14.25" x14ac:dyDescent="0.2">
      <c r="A2825" s="56" t="s">
        <v>2802</v>
      </c>
      <c r="B2825" s="57" t="s">
        <v>7142</v>
      </c>
      <c r="C2825" s="29" t="s">
        <v>3754</v>
      </c>
      <c r="D2825" s="29" t="s">
        <v>3754</v>
      </c>
      <c r="E2825" s="29" t="s">
        <v>6425</v>
      </c>
      <c r="F2825" s="29" t="s">
        <v>7143</v>
      </c>
      <c r="G2825" s="26">
        <v>32</v>
      </c>
      <c r="H2825" s="26"/>
      <c r="I2825" s="26"/>
      <c r="J2825" s="29" t="s">
        <v>1264</v>
      </c>
      <c r="K2825" s="29" t="s">
        <v>6694</v>
      </c>
      <c r="L2825" s="103"/>
      <c r="M2825" s="68">
        <v>1</v>
      </c>
      <c r="N2825" s="68" t="s">
        <v>7094</v>
      </c>
    </row>
    <row r="2826" spans="1:14" s="3" customFormat="1" ht="14.25" x14ac:dyDescent="0.2">
      <c r="A2826" s="56" t="s">
        <v>2802</v>
      </c>
      <c r="B2826" s="57" t="s">
        <v>3746</v>
      </c>
      <c r="C2826" s="16" t="s">
        <v>3761</v>
      </c>
      <c r="D2826" s="13" t="s">
        <v>3754</v>
      </c>
      <c r="E2826" s="72" t="s">
        <v>5651</v>
      </c>
      <c r="F2826" s="29" t="s">
        <v>2803</v>
      </c>
      <c r="G2826" s="26">
        <v>29</v>
      </c>
      <c r="H2826" s="26"/>
      <c r="I2826" s="26"/>
      <c r="J2826" s="29" t="s">
        <v>1264</v>
      </c>
      <c r="K2826" s="72" t="s">
        <v>1954</v>
      </c>
      <c r="L2826" s="29"/>
      <c r="M2826" s="68">
        <v>1</v>
      </c>
      <c r="N2826" s="68" t="s">
        <v>1253</v>
      </c>
    </row>
    <row r="2827" spans="1:14" s="3" customFormat="1" ht="14.25" x14ac:dyDescent="0.2">
      <c r="A2827" s="56" t="s">
        <v>2802</v>
      </c>
      <c r="B2827" s="57" t="s">
        <v>8612</v>
      </c>
      <c r="C2827" s="29" t="s">
        <v>3757</v>
      </c>
      <c r="D2827" s="29" t="s">
        <v>3754</v>
      </c>
      <c r="E2827" s="29" t="s">
        <v>8860</v>
      </c>
      <c r="F2827" s="29" t="s">
        <v>7138</v>
      </c>
      <c r="G2827" s="26">
        <v>67</v>
      </c>
      <c r="H2827" s="26"/>
      <c r="I2827" s="26"/>
      <c r="J2827" s="29" t="s">
        <v>1267</v>
      </c>
      <c r="K2827" s="29" t="s">
        <v>2528</v>
      </c>
      <c r="L2827" s="103"/>
      <c r="M2827" s="68">
        <v>1</v>
      </c>
      <c r="N2827" s="68" t="s">
        <v>7094</v>
      </c>
    </row>
    <row r="2828" spans="1:14" s="3" customFormat="1" ht="14.25" x14ac:dyDescent="0.2">
      <c r="A2828" s="56" t="s">
        <v>1209</v>
      </c>
      <c r="B2828" s="57" t="s">
        <v>3728</v>
      </c>
      <c r="C2828" s="29" t="s">
        <v>3757</v>
      </c>
      <c r="D2828" s="13" t="s">
        <v>3754</v>
      </c>
      <c r="E2828" s="72" t="s">
        <v>2804</v>
      </c>
      <c r="F2828" s="29" t="s">
        <v>2805</v>
      </c>
      <c r="G2828" s="26">
        <v>75</v>
      </c>
      <c r="H2828" s="26"/>
      <c r="I2828" s="26"/>
      <c r="J2828" s="29" t="s">
        <v>1271</v>
      </c>
      <c r="K2828" s="72" t="s">
        <v>1870</v>
      </c>
      <c r="L2828" s="29"/>
      <c r="M2828" s="68">
        <v>1</v>
      </c>
      <c r="N2828" s="68" t="s">
        <v>1253</v>
      </c>
    </row>
    <row r="2829" spans="1:14" s="3" customFormat="1" ht="14.25" x14ac:dyDescent="0.2">
      <c r="A2829" s="56" t="s">
        <v>1209</v>
      </c>
      <c r="B2829" s="57" t="s">
        <v>197</v>
      </c>
      <c r="C2829" s="16" t="s">
        <v>3761</v>
      </c>
      <c r="D2829" s="13" t="s">
        <v>3754</v>
      </c>
      <c r="E2829" s="72" t="s">
        <v>2808</v>
      </c>
      <c r="F2829" s="29" t="s">
        <v>2805</v>
      </c>
      <c r="G2829" s="26">
        <v>5</v>
      </c>
      <c r="H2829" s="26"/>
      <c r="I2829" s="26"/>
      <c r="J2829" s="29" t="s">
        <v>4750</v>
      </c>
      <c r="K2829" s="72" t="s">
        <v>1870</v>
      </c>
      <c r="L2829" s="29"/>
      <c r="M2829" s="68">
        <v>1</v>
      </c>
      <c r="N2829" s="68" t="s">
        <v>1253</v>
      </c>
    </row>
    <row r="2830" spans="1:14" s="3" customFormat="1" ht="14.25" x14ac:dyDescent="0.2">
      <c r="A2830" s="56" t="s">
        <v>1209</v>
      </c>
      <c r="B2830" s="57" t="s">
        <v>6080</v>
      </c>
      <c r="C2830" s="29" t="s">
        <v>3757</v>
      </c>
      <c r="D2830" s="13" t="s">
        <v>3754</v>
      </c>
      <c r="E2830" s="72" t="s">
        <v>4080</v>
      </c>
      <c r="F2830" s="29" t="s">
        <v>1541</v>
      </c>
      <c r="G2830" s="26">
        <v>38</v>
      </c>
      <c r="H2830" s="26"/>
      <c r="I2830" s="26"/>
      <c r="J2830" s="29" t="s">
        <v>1641</v>
      </c>
      <c r="K2830" s="72" t="s">
        <v>5139</v>
      </c>
      <c r="L2830" s="29"/>
      <c r="M2830" s="68">
        <v>1</v>
      </c>
      <c r="N2830" s="68" t="s">
        <v>402</v>
      </c>
    </row>
    <row r="2831" spans="1:14" s="3" customFormat="1" ht="14.25" x14ac:dyDescent="0.2">
      <c r="A2831" s="56" t="s">
        <v>1209</v>
      </c>
      <c r="B2831" s="57" t="s">
        <v>7839</v>
      </c>
      <c r="C2831" s="16" t="s">
        <v>3761</v>
      </c>
      <c r="D2831" s="13" t="s">
        <v>3754</v>
      </c>
      <c r="E2831" s="72" t="s">
        <v>2806</v>
      </c>
      <c r="F2831" s="29" t="s">
        <v>2807</v>
      </c>
      <c r="G2831" s="26">
        <v>18</v>
      </c>
      <c r="H2831" s="26">
        <v>10</v>
      </c>
      <c r="I2831" s="26"/>
      <c r="J2831" s="29" t="s">
        <v>1264</v>
      </c>
      <c r="K2831" s="72" t="s">
        <v>1870</v>
      </c>
      <c r="L2831" s="29"/>
      <c r="M2831" s="68">
        <v>1</v>
      </c>
      <c r="N2831" s="68" t="s">
        <v>1253</v>
      </c>
    </row>
    <row r="2832" spans="1:14" s="3" customFormat="1" ht="14.25" x14ac:dyDescent="0.2">
      <c r="A2832" s="56" t="s">
        <v>4222</v>
      </c>
      <c r="B2832" s="57" t="s">
        <v>3752</v>
      </c>
      <c r="C2832" s="29" t="s">
        <v>3757</v>
      </c>
      <c r="D2832" s="13" t="s">
        <v>3754</v>
      </c>
      <c r="E2832" s="72" t="s">
        <v>2822</v>
      </c>
      <c r="F2832" s="29" t="s">
        <v>2823</v>
      </c>
      <c r="G2832" s="26">
        <v>72</v>
      </c>
      <c r="H2832" s="26"/>
      <c r="I2832" s="26"/>
      <c r="J2832" s="29" t="s">
        <v>5287</v>
      </c>
      <c r="K2832" s="72" t="s">
        <v>5645</v>
      </c>
      <c r="L2832" s="29"/>
      <c r="M2832" s="68">
        <v>1</v>
      </c>
      <c r="N2832" s="68" t="s">
        <v>1253</v>
      </c>
    </row>
    <row r="2833" spans="1:14" s="3" customFormat="1" ht="14.25" x14ac:dyDescent="0.2">
      <c r="A2833" s="56" t="s">
        <v>4222</v>
      </c>
      <c r="B2833" s="57" t="s">
        <v>3724</v>
      </c>
      <c r="C2833" s="16" t="s">
        <v>3761</v>
      </c>
      <c r="D2833" s="13" t="s">
        <v>3754</v>
      </c>
      <c r="E2833" s="72" t="s">
        <v>4086</v>
      </c>
      <c r="F2833" s="29" t="s">
        <v>1845</v>
      </c>
      <c r="G2833" s="26">
        <v>60</v>
      </c>
      <c r="H2833" s="26"/>
      <c r="I2833" s="26"/>
      <c r="J2833" s="29" t="s">
        <v>1259</v>
      </c>
      <c r="K2833" s="72" t="s">
        <v>4088</v>
      </c>
      <c r="L2833" s="29"/>
      <c r="M2833" s="68">
        <v>1</v>
      </c>
      <c r="N2833" s="68" t="s">
        <v>402</v>
      </c>
    </row>
    <row r="2834" spans="1:14" s="3" customFormat="1" ht="14.25" x14ac:dyDescent="0.2">
      <c r="A2834" s="56" t="s">
        <v>4222</v>
      </c>
      <c r="B2834" s="57" t="s">
        <v>3732</v>
      </c>
      <c r="C2834" s="29" t="s">
        <v>3757</v>
      </c>
      <c r="D2834" s="13" t="s">
        <v>3754</v>
      </c>
      <c r="E2834" s="72" t="s">
        <v>5571</v>
      </c>
      <c r="F2834" s="29" t="s">
        <v>2821</v>
      </c>
      <c r="G2834" s="26">
        <v>58</v>
      </c>
      <c r="H2834" s="26"/>
      <c r="I2834" s="26"/>
      <c r="J2834" s="29" t="s">
        <v>1928</v>
      </c>
      <c r="K2834" s="72" t="s">
        <v>1431</v>
      </c>
      <c r="L2834" s="29"/>
      <c r="M2834" s="68">
        <v>1</v>
      </c>
      <c r="N2834" s="68" t="s">
        <v>1253</v>
      </c>
    </row>
    <row r="2835" spans="1:14" s="3" customFormat="1" ht="14.25" x14ac:dyDescent="0.2">
      <c r="A2835" s="56" t="s">
        <v>4222</v>
      </c>
      <c r="B2835" s="57" t="s">
        <v>727</v>
      </c>
      <c r="C2835" s="29" t="s">
        <v>3757</v>
      </c>
      <c r="D2835" s="13" t="s">
        <v>3754</v>
      </c>
      <c r="E2835" s="72" t="s">
        <v>4221</v>
      </c>
      <c r="F2835" s="29" t="s">
        <v>1541</v>
      </c>
      <c r="G2835" s="26">
        <v>52</v>
      </c>
      <c r="H2835" s="26"/>
      <c r="I2835" s="26"/>
      <c r="J2835" s="29" t="s">
        <v>4223</v>
      </c>
      <c r="K2835" s="72" t="s">
        <v>4859</v>
      </c>
      <c r="L2835" s="29"/>
      <c r="M2835" s="68">
        <v>1</v>
      </c>
      <c r="N2835" s="68" t="s">
        <v>402</v>
      </c>
    </row>
    <row r="2836" spans="1:14" s="3" customFormat="1" ht="14.25" x14ac:dyDescent="0.2">
      <c r="A2836" s="56" t="s">
        <v>4222</v>
      </c>
      <c r="B2836" s="57" t="s">
        <v>7840</v>
      </c>
      <c r="C2836" s="29" t="s">
        <v>3757</v>
      </c>
      <c r="D2836" s="13" t="s">
        <v>3754</v>
      </c>
      <c r="E2836" s="72" t="s">
        <v>2824</v>
      </c>
      <c r="F2836" s="29" t="s">
        <v>2825</v>
      </c>
      <c r="G2836" s="26">
        <v>62</v>
      </c>
      <c r="H2836" s="26"/>
      <c r="I2836" s="26"/>
      <c r="J2836" s="29" t="s">
        <v>1259</v>
      </c>
      <c r="K2836" s="72" t="s">
        <v>6347</v>
      </c>
      <c r="L2836" s="29"/>
      <c r="M2836" s="68">
        <v>1</v>
      </c>
      <c r="N2836" s="68" t="s">
        <v>1253</v>
      </c>
    </row>
    <row r="2837" spans="1:14" s="3" customFormat="1" ht="14.25" x14ac:dyDescent="0.2">
      <c r="A2837" s="56" t="s">
        <v>1224</v>
      </c>
      <c r="B2837" s="57" t="s">
        <v>3724</v>
      </c>
      <c r="C2837" s="16" t="s">
        <v>3761</v>
      </c>
      <c r="D2837" s="13" t="s">
        <v>3754</v>
      </c>
      <c r="E2837" s="72" t="s">
        <v>1225</v>
      </c>
      <c r="F2837" s="29" t="s">
        <v>1541</v>
      </c>
      <c r="G2837" s="26">
        <v>21</v>
      </c>
      <c r="H2837" s="26"/>
      <c r="I2837" s="26"/>
      <c r="J2837" s="29" t="s">
        <v>5010</v>
      </c>
      <c r="K2837" s="72" t="s">
        <v>5112</v>
      </c>
      <c r="L2837" s="29"/>
      <c r="M2837" s="68">
        <v>1</v>
      </c>
      <c r="N2837" s="68" t="s">
        <v>402</v>
      </c>
    </row>
    <row r="2838" spans="1:14" s="3" customFormat="1" ht="15" x14ac:dyDescent="0.2">
      <c r="A2838" s="56" t="s">
        <v>1201</v>
      </c>
      <c r="B2838" s="57" t="s">
        <v>1432</v>
      </c>
      <c r="C2838" s="29" t="s">
        <v>3768</v>
      </c>
      <c r="D2838" s="29" t="s">
        <v>3754</v>
      </c>
      <c r="E2838" s="29" t="s">
        <v>3370</v>
      </c>
      <c r="F2838" s="29" t="s">
        <v>3510</v>
      </c>
      <c r="G2838" s="26">
        <v>9</v>
      </c>
      <c r="H2838" s="26">
        <v>7</v>
      </c>
      <c r="I2838" s="26">
        <v>5</v>
      </c>
      <c r="J2838" s="29" t="s">
        <v>1254</v>
      </c>
      <c r="K2838" s="29" t="s">
        <v>3371</v>
      </c>
      <c r="L2838" s="58"/>
      <c r="M2838" s="68">
        <v>1</v>
      </c>
      <c r="N2838" s="68" t="s">
        <v>7149</v>
      </c>
    </row>
    <row r="2839" spans="1:14" s="3" customFormat="1" ht="14.25" x14ac:dyDescent="0.2">
      <c r="A2839" s="56" t="s">
        <v>1201</v>
      </c>
      <c r="B2839" s="57" t="s">
        <v>3752</v>
      </c>
      <c r="C2839" s="16" t="s">
        <v>3761</v>
      </c>
      <c r="D2839" s="29"/>
      <c r="E2839" s="72" t="s">
        <v>1245</v>
      </c>
      <c r="F2839" s="29" t="s">
        <v>1246</v>
      </c>
      <c r="G2839" s="26">
        <v>3</v>
      </c>
      <c r="H2839" s="26">
        <v>7</v>
      </c>
      <c r="I2839" s="26"/>
      <c r="J2839" s="29" t="s">
        <v>1264</v>
      </c>
      <c r="K2839" s="72" t="s">
        <v>1244</v>
      </c>
      <c r="L2839" s="29"/>
      <c r="M2839" s="68">
        <v>1</v>
      </c>
      <c r="N2839" s="68" t="s">
        <v>402</v>
      </c>
    </row>
    <row r="2840" spans="1:14" s="3" customFormat="1" ht="15" x14ac:dyDescent="0.2">
      <c r="A2840" s="63" t="s">
        <v>1201</v>
      </c>
      <c r="B2840" s="60" t="s">
        <v>3724</v>
      </c>
      <c r="C2840" s="61" t="s">
        <v>3757</v>
      </c>
      <c r="D2840" s="55" t="s">
        <v>3754</v>
      </c>
      <c r="E2840" s="61" t="s">
        <v>2743</v>
      </c>
      <c r="F2840" s="55" t="s">
        <v>3491</v>
      </c>
      <c r="G2840" s="8">
        <v>31</v>
      </c>
      <c r="H2840" s="8">
        <v>8</v>
      </c>
      <c r="I2840" s="8"/>
      <c r="J2840" s="55" t="s">
        <v>1264</v>
      </c>
      <c r="K2840" s="111" t="s">
        <v>3665</v>
      </c>
      <c r="L2840" s="62"/>
      <c r="M2840" s="68">
        <v>1</v>
      </c>
      <c r="N2840" s="68" t="s">
        <v>7149</v>
      </c>
    </row>
    <row r="2841" spans="1:14" s="3" customFormat="1" ht="14.25" x14ac:dyDescent="0.2">
      <c r="A2841" s="77" t="s">
        <v>1201</v>
      </c>
      <c r="B2841" s="5" t="s">
        <v>4683</v>
      </c>
      <c r="C2841" s="78" t="s">
        <v>3754</v>
      </c>
      <c r="D2841" s="78" t="s">
        <v>3754</v>
      </c>
      <c r="E2841" s="78" t="s">
        <v>660</v>
      </c>
      <c r="F2841" s="78" t="s">
        <v>7049</v>
      </c>
      <c r="G2841" s="8">
        <v>3</v>
      </c>
      <c r="H2841" s="8"/>
      <c r="I2841" s="8"/>
      <c r="J2841" s="78" t="s">
        <v>5276</v>
      </c>
      <c r="K2841" s="117" t="s">
        <v>7050</v>
      </c>
      <c r="L2841" s="61"/>
      <c r="M2841" s="68">
        <v>1</v>
      </c>
      <c r="N2841" s="68" t="s">
        <v>7025</v>
      </c>
    </row>
    <row r="2842" spans="1:14" s="3" customFormat="1" ht="14.25" x14ac:dyDescent="0.2">
      <c r="A2842" s="56" t="s">
        <v>1201</v>
      </c>
      <c r="B2842" s="57" t="s">
        <v>6974</v>
      </c>
      <c r="C2842" s="16" t="s">
        <v>3761</v>
      </c>
      <c r="D2842" s="13" t="s">
        <v>3754</v>
      </c>
      <c r="E2842" s="72" t="s">
        <v>2819</v>
      </c>
      <c r="F2842" s="29" t="s">
        <v>8455</v>
      </c>
      <c r="G2842" s="26"/>
      <c r="H2842" s="26">
        <v>5</v>
      </c>
      <c r="I2842" s="26">
        <v>15</v>
      </c>
      <c r="J2842" s="29" t="s">
        <v>5281</v>
      </c>
      <c r="K2842" s="72" t="s">
        <v>2820</v>
      </c>
      <c r="L2842" s="29"/>
      <c r="M2842" s="68">
        <v>1</v>
      </c>
      <c r="N2842" s="68" t="s">
        <v>1253</v>
      </c>
    </row>
    <row r="2843" spans="1:14" s="3" customFormat="1" ht="14.25" x14ac:dyDescent="0.2">
      <c r="A2843" s="56" t="s">
        <v>1201</v>
      </c>
      <c r="B2843" s="57" t="s">
        <v>3740</v>
      </c>
      <c r="C2843" s="16" t="s">
        <v>3761</v>
      </c>
      <c r="D2843" s="13" t="s">
        <v>3754</v>
      </c>
      <c r="E2843" s="72" t="s">
        <v>1202</v>
      </c>
      <c r="F2843" s="29" t="s">
        <v>1541</v>
      </c>
      <c r="G2843" s="26"/>
      <c r="H2843" s="26">
        <v>6</v>
      </c>
      <c r="I2843" s="26">
        <v>11</v>
      </c>
      <c r="J2843" s="29" t="s">
        <v>4829</v>
      </c>
      <c r="K2843" s="72" t="s">
        <v>2642</v>
      </c>
      <c r="L2843" s="29"/>
      <c r="M2843" s="68">
        <v>1</v>
      </c>
      <c r="N2843" s="68" t="s">
        <v>402</v>
      </c>
    </row>
    <row r="2844" spans="1:14" s="3" customFormat="1" ht="14.25" x14ac:dyDescent="0.2">
      <c r="A2844" s="56" t="s">
        <v>1201</v>
      </c>
      <c r="B2844" s="57" t="s">
        <v>1648</v>
      </c>
      <c r="C2844" s="29" t="s">
        <v>3757</v>
      </c>
      <c r="D2844" s="13" t="s">
        <v>3754</v>
      </c>
      <c r="E2844" s="72" t="s">
        <v>2818</v>
      </c>
      <c r="F2844" s="29" t="s">
        <v>181</v>
      </c>
      <c r="G2844" s="26">
        <v>47</v>
      </c>
      <c r="H2844" s="26"/>
      <c r="I2844" s="26"/>
      <c r="J2844" s="29" t="s">
        <v>1264</v>
      </c>
      <c r="K2844" s="72" t="s">
        <v>5147</v>
      </c>
      <c r="L2844" s="29"/>
      <c r="M2844" s="68">
        <v>1</v>
      </c>
      <c r="N2844" s="68" t="s">
        <v>1253</v>
      </c>
    </row>
    <row r="2845" spans="1:14" s="3" customFormat="1" ht="14.25" x14ac:dyDescent="0.2">
      <c r="A2845" s="43" t="s">
        <v>1201</v>
      </c>
      <c r="B2845" s="12" t="s">
        <v>5073</v>
      </c>
      <c r="C2845" s="27" t="s">
        <v>3754</v>
      </c>
      <c r="D2845" s="27" t="s">
        <v>3754</v>
      </c>
      <c r="E2845" s="72" t="s">
        <v>8744</v>
      </c>
      <c r="F2845" s="27" t="s">
        <v>6626</v>
      </c>
      <c r="G2845" s="75">
        <v>1</v>
      </c>
      <c r="H2845" s="75">
        <v>1</v>
      </c>
      <c r="I2845" s="75">
        <v>2</v>
      </c>
      <c r="J2845" s="76" t="s">
        <v>1264</v>
      </c>
      <c r="K2845" s="116" t="s">
        <v>8746</v>
      </c>
      <c r="L2845" s="29"/>
      <c r="M2845" s="68">
        <v>1</v>
      </c>
      <c r="N2845" s="68" t="s">
        <v>7024</v>
      </c>
    </row>
    <row r="2846" spans="1:14" s="3" customFormat="1" ht="14.25" x14ac:dyDescent="0.2">
      <c r="A2846" s="56" t="s">
        <v>1201</v>
      </c>
      <c r="B2846" s="57" t="s">
        <v>5073</v>
      </c>
      <c r="C2846" s="16" t="s">
        <v>3761</v>
      </c>
      <c r="D2846" s="13" t="s">
        <v>3754</v>
      </c>
      <c r="E2846" s="72" t="s">
        <v>2814</v>
      </c>
      <c r="F2846" s="29" t="s">
        <v>2815</v>
      </c>
      <c r="G2846" s="26">
        <v>35</v>
      </c>
      <c r="H2846" s="26"/>
      <c r="I2846" s="26"/>
      <c r="J2846" s="29" t="s">
        <v>1264</v>
      </c>
      <c r="K2846" s="72" t="s">
        <v>5147</v>
      </c>
      <c r="L2846" s="29"/>
      <c r="M2846" s="68">
        <v>1</v>
      </c>
      <c r="N2846" s="68" t="s">
        <v>1253</v>
      </c>
    </row>
    <row r="2847" spans="1:14" s="3" customFormat="1" ht="14.25" x14ac:dyDescent="0.2">
      <c r="A2847" s="43" t="s">
        <v>1201</v>
      </c>
      <c r="B2847" s="12" t="s">
        <v>3732</v>
      </c>
      <c r="C2847" s="27" t="s">
        <v>3757</v>
      </c>
      <c r="D2847" s="27" t="s">
        <v>3754</v>
      </c>
      <c r="E2847" s="72"/>
      <c r="F2847" s="27" t="s">
        <v>3768</v>
      </c>
      <c r="G2847" s="75">
        <v>38</v>
      </c>
      <c r="H2847" s="26"/>
      <c r="I2847" s="26"/>
      <c r="J2847" s="76" t="s">
        <v>1264</v>
      </c>
      <c r="K2847" s="116" t="s">
        <v>6604</v>
      </c>
      <c r="L2847" s="29"/>
      <c r="M2847" s="68">
        <v>1</v>
      </c>
      <c r="N2847" s="68" t="s">
        <v>7024</v>
      </c>
    </row>
    <row r="2848" spans="1:14" s="3" customFormat="1" ht="14.25" x14ac:dyDescent="0.2">
      <c r="A2848" s="56" t="s">
        <v>1201</v>
      </c>
      <c r="B2848" s="57" t="s">
        <v>471</v>
      </c>
      <c r="C2848" s="16" t="s">
        <v>3761</v>
      </c>
      <c r="D2848" s="13" t="s">
        <v>3754</v>
      </c>
      <c r="E2848" s="72" t="s">
        <v>2812</v>
      </c>
      <c r="F2848" s="29" t="s">
        <v>2813</v>
      </c>
      <c r="G2848" s="26">
        <v>17</v>
      </c>
      <c r="H2848" s="26"/>
      <c r="I2848" s="26"/>
      <c r="J2848" s="29" t="s">
        <v>1272</v>
      </c>
      <c r="K2848" s="72" t="s">
        <v>5147</v>
      </c>
      <c r="L2848" s="29"/>
      <c r="M2848" s="68">
        <v>1</v>
      </c>
      <c r="N2848" s="68" t="s">
        <v>1253</v>
      </c>
    </row>
    <row r="2849" spans="1:14" s="3" customFormat="1" ht="15" x14ac:dyDescent="0.2">
      <c r="A2849" s="56" t="s">
        <v>1201</v>
      </c>
      <c r="B2849" s="57" t="s">
        <v>8576</v>
      </c>
      <c r="C2849" s="29" t="s">
        <v>3757</v>
      </c>
      <c r="D2849" s="29" t="s">
        <v>3754</v>
      </c>
      <c r="E2849" s="29" t="s">
        <v>109</v>
      </c>
      <c r="F2849" s="29" t="s">
        <v>3513</v>
      </c>
      <c r="G2849" s="26">
        <v>65</v>
      </c>
      <c r="H2849" s="26"/>
      <c r="I2849" s="26"/>
      <c r="J2849" s="29" t="s">
        <v>1259</v>
      </c>
      <c r="K2849" s="29" t="s">
        <v>3514</v>
      </c>
      <c r="L2849" s="58"/>
      <c r="M2849" s="68">
        <v>1</v>
      </c>
      <c r="N2849" s="68" t="s">
        <v>7149</v>
      </c>
    </row>
    <row r="2850" spans="1:14" s="3" customFormat="1" ht="14.25" x14ac:dyDescent="0.2">
      <c r="A2850" s="56" t="s">
        <v>1201</v>
      </c>
      <c r="B2850" s="57" t="s">
        <v>3746</v>
      </c>
      <c r="C2850" s="16" t="s">
        <v>3761</v>
      </c>
      <c r="D2850" s="29"/>
      <c r="E2850" s="72" t="s">
        <v>1241</v>
      </c>
      <c r="F2850" s="29" t="s">
        <v>1242</v>
      </c>
      <c r="G2850" s="26">
        <v>12</v>
      </c>
      <c r="H2850" s="26">
        <v>7</v>
      </c>
      <c r="I2850" s="26"/>
      <c r="J2850" s="29" t="s">
        <v>1243</v>
      </c>
      <c r="K2850" s="72" t="s">
        <v>1244</v>
      </c>
      <c r="L2850" s="29"/>
      <c r="M2850" s="68">
        <v>1</v>
      </c>
      <c r="N2850" s="68" t="s">
        <v>402</v>
      </c>
    </row>
    <row r="2851" spans="1:14" s="3" customFormat="1" ht="14.25" x14ac:dyDescent="0.2">
      <c r="A2851" s="56" t="s">
        <v>1201</v>
      </c>
      <c r="B2851" s="57" t="s">
        <v>7841</v>
      </c>
      <c r="C2851" s="16" t="s">
        <v>3761</v>
      </c>
      <c r="D2851" s="13" t="s">
        <v>3754</v>
      </c>
      <c r="E2851" s="72" t="s">
        <v>2817</v>
      </c>
      <c r="F2851" s="29" t="s">
        <v>2293</v>
      </c>
      <c r="G2851" s="26">
        <v>24</v>
      </c>
      <c r="H2851" s="26"/>
      <c r="I2851" s="26"/>
      <c r="J2851" s="29" t="s">
        <v>1264</v>
      </c>
      <c r="K2851" s="72" t="s">
        <v>5147</v>
      </c>
      <c r="L2851" s="29"/>
      <c r="M2851" s="68">
        <v>1</v>
      </c>
      <c r="N2851" s="68" t="s">
        <v>1253</v>
      </c>
    </row>
    <row r="2852" spans="1:14" s="3" customFormat="1" ht="14.25" x14ac:dyDescent="0.2">
      <c r="A2852" s="56" t="s">
        <v>1201</v>
      </c>
      <c r="B2852" s="57" t="s">
        <v>3733</v>
      </c>
      <c r="C2852" s="29" t="s">
        <v>3757</v>
      </c>
      <c r="D2852" s="29" t="s">
        <v>3754</v>
      </c>
      <c r="E2852" s="29" t="s">
        <v>6239</v>
      </c>
      <c r="F2852" s="29" t="s">
        <v>7110</v>
      </c>
      <c r="G2852" s="26">
        <v>65</v>
      </c>
      <c r="H2852" s="26"/>
      <c r="I2852" s="26"/>
      <c r="J2852" s="29" t="s">
        <v>1264</v>
      </c>
      <c r="K2852" s="29" t="s">
        <v>3407</v>
      </c>
      <c r="L2852" s="103"/>
      <c r="M2852" s="68">
        <v>1</v>
      </c>
      <c r="N2852" s="68" t="s">
        <v>7094</v>
      </c>
    </row>
    <row r="2853" spans="1:14" s="3" customFormat="1" ht="14.25" x14ac:dyDescent="0.2">
      <c r="A2853" s="56" t="s">
        <v>1201</v>
      </c>
      <c r="B2853" s="57" t="s">
        <v>2029</v>
      </c>
      <c r="C2853" s="16" t="s">
        <v>3761</v>
      </c>
      <c r="D2853" s="13" t="s">
        <v>3754</v>
      </c>
      <c r="E2853" s="72" t="s">
        <v>5217</v>
      </c>
      <c r="F2853" s="29" t="s">
        <v>2816</v>
      </c>
      <c r="G2853" s="26">
        <v>33</v>
      </c>
      <c r="H2853" s="26"/>
      <c r="I2853" s="26"/>
      <c r="J2853" s="29" t="s">
        <v>1266</v>
      </c>
      <c r="K2853" s="72" t="s">
        <v>5147</v>
      </c>
      <c r="L2853" s="29"/>
      <c r="M2853" s="68">
        <v>1</v>
      </c>
      <c r="N2853" s="68" t="s">
        <v>1253</v>
      </c>
    </row>
    <row r="2854" spans="1:14" s="3" customFormat="1" ht="14.25" x14ac:dyDescent="0.2">
      <c r="A2854" s="73" t="s">
        <v>1201</v>
      </c>
      <c r="B2854" s="12" t="s">
        <v>7045</v>
      </c>
      <c r="C2854" s="74" t="s">
        <v>3757</v>
      </c>
      <c r="D2854" s="74" t="s">
        <v>3754</v>
      </c>
      <c r="E2854" s="74" t="s">
        <v>637</v>
      </c>
      <c r="F2854" s="74" t="s">
        <v>7046</v>
      </c>
      <c r="G2854" s="26">
        <v>50</v>
      </c>
      <c r="H2854" s="26"/>
      <c r="I2854" s="26"/>
      <c r="J2854" s="74" t="s">
        <v>6938</v>
      </c>
      <c r="K2854" s="115" t="s">
        <v>629</v>
      </c>
      <c r="L2854" s="29"/>
      <c r="M2854" s="68">
        <v>1</v>
      </c>
      <c r="N2854" s="68" t="s">
        <v>7025</v>
      </c>
    </row>
    <row r="2855" spans="1:14" s="3" customFormat="1" ht="14.25" x14ac:dyDescent="0.2">
      <c r="A2855" s="56" t="s">
        <v>4226</v>
      </c>
      <c r="B2855" s="57" t="s">
        <v>3723</v>
      </c>
      <c r="C2855" s="16" t="s">
        <v>3761</v>
      </c>
      <c r="D2855" s="13" t="s">
        <v>3754</v>
      </c>
      <c r="E2855" s="72" t="s">
        <v>1199</v>
      </c>
      <c r="F2855" s="29" t="s">
        <v>1541</v>
      </c>
      <c r="G2855" s="26">
        <v>39</v>
      </c>
      <c r="H2855" s="26"/>
      <c r="I2855" s="26"/>
      <c r="J2855" s="29" t="s">
        <v>1572</v>
      </c>
      <c r="K2855" s="72" t="s">
        <v>2642</v>
      </c>
      <c r="L2855" s="29"/>
      <c r="M2855" s="68">
        <v>1</v>
      </c>
      <c r="N2855" s="68" t="s">
        <v>402</v>
      </c>
    </row>
    <row r="2856" spans="1:14" s="3" customFormat="1" ht="14.25" x14ac:dyDescent="0.2">
      <c r="A2856" s="56" t="s">
        <v>4226</v>
      </c>
      <c r="B2856" s="57" t="s">
        <v>4861</v>
      </c>
      <c r="C2856" s="16" t="s">
        <v>3761</v>
      </c>
      <c r="D2856" s="13" t="s">
        <v>3754</v>
      </c>
      <c r="E2856" s="72" t="s">
        <v>1200</v>
      </c>
      <c r="F2856" s="29" t="s">
        <v>1541</v>
      </c>
      <c r="G2856" s="26"/>
      <c r="H2856" s="26">
        <v>9</v>
      </c>
      <c r="I2856" s="26"/>
      <c r="J2856" s="29" t="s">
        <v>4829</v>
      </c>
      <c r="K2856" s="72" t="s">
        <v>2642</v>
      </c>
      <c r="L2856" s="29"/>
      <c r="M2856" s="68">
        <v>1</v>
      </c>
      <c r="N2856" s="68" t="s">
        <v>402</v>
      </c>
    </row>
    <row r="2857" spans="1:14" s="3" customFormat="1" ht="15" x14ac:dyDescent="0.2">
      <c r="A2857" s="56" t="s">
        <v>3495</v>
      </c>
      <c r="B2857" s="57" t="s">
        <v>1445</v>
      </c>
      <c r="C2857" s="29" t="s">
        <v>3757</v>
      </c>
      <c r="D2857" s="29" t="s">
        <v>3754</v>
      </c>
      <c r="E2857" s="29" t="s">
        <v>3496</v>
      </c>
      <c r="F2857" s="29"/>
      <c r="G2857" s="26">
        <v>61</v>
      </c>
      <c r="H2857" s="26"/>
      <c r="I2857" s="26"/>
      <c r="J2857" s="29" t="s">
        <v>1264</v>
      </c>
      <c r="K2857" s="103" t="s">
        <v>3497</v>
      </c>
      <c r="L2857" s="58"/>
      <c r="M2857" s="68">
        <v>1</v>
      </c>
      <c r="N2857" s="68" t="s">
        <v>7149</v>
      </c>
    </row>
    <row r="2858" spans="1:14" s="3" customFormat="1" ht="14.25" x14ac:dyDescent="0.2">
      <c r="A2858" s="43" t="s">
        <v>6611</v>
      </c>
      <c r="B2858" s="12" t="s">
        <v>5029</v>
      </c>
      <c r="C2858" s="27" t="s">
        <v>3754</v>
      </c>
      <c r="D2858" s="27" t="s">
        <v>3754</v>
      </c>
      <c r="E2858" s="72" t="s">
        <v>6612</v>
      </c>
      <c r="F2858" s="27" t="s">
        <v>4294</v>
      </c>
      <c r="G2858" s="75">
        <v>6</v>
      </c>
      <c r="H2858" s="75">
        <v>8</v>
      </c>
      <c r="I2858" s="75">
        <v>22</v>
      </c>
      <c r="J2858" s="76" t="s">
        <v>4734</v>
      </c>
      <c r="K2858" s="116" t="s">
        <v>4295</v>
      </c>
      <c r="L2858" s="29"/>
      <c r="M2858" s="68">
        <v>1</v>
      </c>
      <c r="N2858" s="68" t="s">
        <v>7024</v>
      </c>
    </row>
    <row r="2859" spans="1:14" s="3" customFormat="1" ht="14.25" x14ac:dyDescent="0.2">
      <c r="A2859" s="73" t="s">
        <v>6611</v>
      </c>
      <c r="B2859" s="12" t="s">
        <v>4701</v>
      </c>
      <c r="C2859" s="74" t="s">
        <v>3757</v>
      </c>
      <c r="D2859" s="74" t="s">
        <v>3754</v>
      </c>
      <c r="E2859" s="74"/>
      <c r="F2859" s="74" t="s">
        <v>7037</v>
      </c>
      <c r="G2859" s="26">
        <v>74</v>
      </c>
      <c r="H2859" s="26"/>
      <c r="I2859" s="26"/>
      <c r="J2859" s="74" t="s">
        <v>1271</v>
      </c>
      <c r="K2859" s="115" t="s">
        <v>7038</v>
      </c>
      <c r="L2859" s="29"/>
      <c r="M2859" s="68">
        <v>1</v>
      </c>
      <c r="N2859" s="68" t="s">
        <v>7025</v>
      </c>
    </row>
    <row r="2860" spans="1:14" s="3" customFormat="1" ht="14.25" x14ac:dyDescent="0.2">
      <c r="A2860" s="56" t="s">
        <v>6611</v>
      </c>
      <c r="B2860" s="57" t="s">
        <v>3738</v>
      </c>
      <c r="C2860" s="29" t="s">
        <v>3754</v>
      </c>
      <c r="D2860" s="29" t="s">
        <v>3754</v>
      </c>
      <c r="E2860" s="113" t="s">
        <v>5202</v>
      </c>
      <c r="F2860" s="29" t="s">
        <v>7147</v>
      </c>
      <c r="G2860" s="26">
        <v>35</v>
      </c>
      <c r="H2860" s="26"/>
      <c r="I2860" s="26"/>
      <c r="J2860" s="29" t="s">
        <v>1259</v>
      </c>
      <c r="K2860" s="113" t="s">
        <v>717</v>
      </c>
      <c r="L2860" s="103"/>
      <c r="M2860" s="68">
        <v>1</v>
      </c>
      <c r="N2860" s="68" t="s">
        <v>7094</v>
      </c>
    </row>
    <row r="2861" spans="1:14" s="3" customFormat="1" ht="14.25" x14ac:dyDescent="0.2">
      <c r="A2861" s="43" t="s">
        <v>6611</v>
      </c>
      <c r="B2861" s="12" t="s">
        <v>6613</v>
      </c>
      <c r="C2861" s="27" t="s">
        <v>3754</v>
      </c>
      <c r="D2861" s="27" t="s">
        <v>3754</v>
      </c>
      <c r="E2861" s="72" t="s">
        <v>6614</v>
      </c>
      <c r="F2861" s="27" t="s">
        <v>6615</v>
      </c>
      <c r="G2861" s="26"/>
      <c r="H2861" s="75">
        <v>9</v>
      </c>
      <c r="I2861" s="26"/>
      <c r="J2861" s="76" t="s">
        <v>6616</v>
      </c>
      <c r="K2861" s="116" t="s">
        <v>4295</v>
      </c>
      <c r="L2861" s="29"/>
      <c r="M2861" s="68">
        <v>1</v>
      </c>
      <c r="N2861" s="68" t="s">
        <v>7024</v>
      </c>
    </row>
    <row r="2862" spans="1:14" s="3" customFormat="1" ht="14.25" x14ac:dyDescent="0.2">
      <c r="A2862" s="43" t="s">
        <v>6617</v>
      </c>
      <c r="B2862" s="12" t="s">
        <v>1432</v>
      </c>
      <c r="C2862" s="27" t="s">
        <v>3754</v>
      </c>
      <c r="D2862" s="27" t="s">
        <v>3754</v>
      </c>
      <c r="E2862" s="72" t="s">
        <v>6618</v>
      </c>
      <c r="F2862" s="27" t="s">
        <v>6619</v>
      </c>
      <c r="G2862" s="75">
        <v>19</v>
      </c>
      <c r="H2862" s="75">
        <v>11</v>
      </c>
      <c r="I2862" s="26"/>
      <c r="J2862" s="76" t="s">
        <v>1264</v>
      </c>
      <c r="K2862" s="116" t="s">
        <v>6620</v>
      </c>
      <c r="L2862" s="29"/>
      <c r="M2862" s="68">
        <v>1</v>
      </c>
      <c r="N2862" s="68" t="s">
        <v>7024</v>
      </c>
    </row>
    <row r="2863" spans="1:14" s="3" customFormat="1" ht="15" x14ac:dyDescent="0.2">
      <c r="A2863" s="56" t="s">
        <v>6617</v>
      </c>
      <c r="B2863" s="57" t="s">
        <v>3746</v>
      </c>
      <c r="C2863" s="29" t="s">
        <v>3754</v>
      </c>
      <c r="D2863" s="29" t="s">
        <v>7175</v>
      </c>
      <c r="E2863" s="29" t="s">
        <v>1306</v>
      </c>
      <c r="F2863" s="29" t="s">
        <v>6944</v>
      </c>
      <c r="G2863" s="26">
        <v>24</v>
      </c>
      <c r="H2863" s="26"/>
      <c r="I2863" s="26"/>
      <c r="J2863" s="29" t="s">
        <v>1264</v>
      </c>
      <c r="K2863" s="103" t="s">
        <v>4610</v>
      </c>
      <c r="L2863" s="58"/>
      <c r="M2863" s="68">
        <v>1</v>
      </c>
      <c r="N2863" s="68" t="s">
        <v>7149</v>
      </c>
    </row>
    <row r="2864" spans="1:14" s="3" customFormat="1" ht="14.25" x14ac:dyDescent="0.2">
      <c r="A2864" s="73" t="s">
        <v>6617</v>
      </c>
      <c r="B2864" s="12" t="s">
        <v>3747</v>
      </c>
      <c r="C2864" s="74" t="s">
        <v>3754</v>
      </c>
      <c r="D2864" s="74" t="s">
        <v>3754</v>
      </c>
      <c r="E2864" s="74" t="s">
        <v>3826</v>
      </c>
      <c r="F2864" s="74" t="s">
        <v>7076</v>
      </c>
      <c r="G2864" s="26">
        <v>24</v>
      </c>
      <c r="H2864" s="26"/>
      <c r="I2864" s="26"/>
      <c r="J2864" s="74" t="s">
        <v>1264</v>
      </c>
      <c r="K2864" s="115" t="s">
        <v>3828</v>
      </c>
      <c r="L2864" s="29"/>
      <c r="M2864" s="68">
        <v>1</v>
      </c>
      <c r="N2864" s="68" t="s">
        <v>7025</v>
      </c>
    </row>
    <row r="2865" spans="1:14" s="3" customFormat="1" ht="14.25" x14ac:dyDescent="0.2">
      <c r="A2865" s="56" t="s">
        <v>1226</v>
      </c>
      <c r="B2865" s="57" t="s">
        <v>7842</v>
      </c>
      <c r="C2865" s="16" t="s">
        <v>3761</v>
      </c>
      <c r="D2865" s="13" t="s">
        <v>3754</v>
      </c>
      <c r="E2865" s="72" t="s">
        <v>2826</v>
      </c>
      <c r="F2865" s="29" t="s">
        <v>2827</v>
      </c>
      <c r="G2865" s="26"/>
      <c r="H2865" s="26">
        <v>11</v>
      </c>
      <c r="I2865" s="26">
        <v>11</v>
      </c>
      <c r="J2865" s="29" t="s">
        <v>5082</v>
      </c>
      <c r="K2865" s="72" t="s">
        <v>8434</v>
      </c>
      <c r="L2865" s="29"/>
      <c r="M2865" s="68">
        <v>1</v>
      </c>
      <c r="N2865" s="68" t="s">
        <v>1253</v>
      </c>
    </row>
    <row r="2866" spans="1:14" s="3" customFormat="1" ht="14.25" x14ac:dyDescent="0.2">
      <c r="A2866" s="73" t="s">
        <v>1226</v>
      </c>
      <c r="B2866" s="12" t="s">
        <v>7091</v>
      </c>
      <c r="C2866" s="74" t="s">
        <v>3754</v>
      </c>
      <c r="D2866" s="74" t="s">
        <v>3754</v>
      </c>
      <c r="E2866" s="74" t="s">
        <v>2468</v>
      </c>
      <c r="F2866" s="74" t="s">
        <v>7092</v>
      </c>
      <c r="G2866" s="26">
        <v>3</v>
      </c>
      <c r="H2866" s="26"/>
      <c r="I2866" s="26"/>
      <c r="J2866" s="74" t="s">
        <v>1258</v>
      </c>
      <c r="K2866" s="115" t="s">
        <v>7090</v>
      </c>
      <c r="L2866" s="29"/>
      <c r="M2866" s="68">
        <v>1</v>
      </c>
      <c r="N2866" s="68" t="s">
        <v>7025</v>
      </c>
    </row>
    <row r="2867" spans="1:14" s="3" customFormat="1" ht="14.25" x14ac:dyDescent="0.2">
      <c r="A2867" s="73" t="s">
        <v>1226</v>
      </c>
      <c r="B2867" s="12" t="s">
        <v>4908</v>
      </c>
      <c r="C2867" s="74" t="s">
        <v>3754</v>
      </c>
      <c r="D2867" s="74" t="s">
        <v>3754</v>
      </c>
      <c r="E2867" s="74" t="s">
        <v>2328</v>
      </c>
      <c r="F2867" s="74" t="s">
        <v>7036</v>
      </c>
      <c r="G2867" s="26">
        <v>6</v>
      </c>
      <c r="H2867" s="26"/>
      <c r="I2867" s="26"/>
      <c r="J2867" s="74" t="s">
        <v>7182</v>
      </c>
      <c r="K2867" s="115" t="s">
        <v>2328</v>
      </c>
      <c r="L2867" s="29"/>
      <c r="M2867" s="68">
        <v>1</v>
      </c>
      <c r="N2867" s="68" t="s">
        <v>7025</v>
      </c>
    </row>
    <row r="2868" spans="1:14" s="3" customFormat="1" ht="14.25" x14ac:dyDescent="0.2">
      <c r="A2868" s="73" t="s">
        <v>1226</v>
      </c>
      <c r="B2868" s="12" t="s">
        <v>4908</v>
      </c>
      <c r="C2868" s="74" t="s">
        <v>3754</v>
      </c>
      <c r="D2868" s="74" t="s">
        <v>3754</v>
      </c>
      <c r="E2868" s="74" t="s">
        <v>2328</v>
      </c>
      <c r="F2868" s="74" t="s">
        <v>7033</v>
      </c>
      <c r="G2868" s="26">
        <v>6</v>
      </c>
      <c r="H2868" s="26">
        <v>6</v>
      </c>
      <c r="I2868" s="26"/>
      <c r="J2868" s="74" t="s">
        <v>7182</v>
      </c>
      <c r="K2868" s="115" t="s">
        <v>1300</v>
      </c>
      <c r="L2868" s="29"/>
      <c r="M2868" s="68">
        <v>1</v>
      </c>
      <c r="N2868" s="68" t="s">
        <v>7025</v>
      </c>
    </row>
    <row r="2869" spans="1:14" s="3" customFormat="1" ht="28.5" x14ac:dyDescent="0.2">
      <c r="A2869" s="56" t="s">
        <v>1226</v>
      </c>
      <c r="B2869" s="57" t="s">
        <v>7843</v>
      </c>
      <c r="C2869" s="16" t="s">
        <v>3761</v>
      </c>
      <c r="D2869" s="13" t="s">
        <v>3754</v>
      </c>
      <c r="E2869" s="72" t="s">
        <v>1228</v>
      </c>
      <c r="F2869" s="29" t="s">
        <v>1541</v>
      </c>
      <c r="G2869" s="26">
        <v>10</v>
      </c>
      <c r="H2869" s="26"/>
      <c r="I2869" s="26"/>
      <c r="J2869" s="29" t="s">
        <v>1229</v>
      </c>
      <c r="K2869" s="72" t="s">
        <v>1378</v>
      </c>
      <c r="L2869" s="29"/>
      <c r="M2869" s="68">
        <v>1</v>
      </c>
      <c r="N2869" s="68" t="s">
        <v>402</v>
      </c>
    </row>
    <row r="2870" spans="1:14" s="3" customFormat="1" ht="14.25" x14ac:dyDescent="0.2">
      <c r="A2870" s="56" t="s">
        <v>1226</v>
      </c>
      <c r="B2870" s="57" t="s">
        <v>6339</v>
      </c>
      <c r="C2870" s="16" t="s">
        <v>3761</v>
      </c>
      <c r="D2870" s="13" t="s">
        <v>3754</v>
      </c>
      <c r="E2870" s="72" t="s">
        <v>1227</v>
      </c>
      <c r="F2870" s="29" t="s">
        <v>1541</v>
      </c>
      <c r="G2870" s="26">
        <v>4</v>
      </c>
      <c r="H2870" s="26">
        <v>10</v>
      </c>
      <c r="I2870" s="26"/>
      <c r="J2870" s="29" t="s">
        <v>1254</v>
      </c>
      <c r="K2870" s="72" t="s">
        <v>1378</v>
      </c>
      <c r="L2870" s="29"/>
      <c r="M2870" s="68">
        <v>1</v>
      </c>
      <c r="N2870" s="68" t="s">
        <v>402</v>
      </c>
    </row>
    <row r="2871" spans="1:14" s="3" customFormat="1" ht="14.25" x14ac:dyDescent="0.2">
      <c r="A2871" s="56" t="s">
        <v>1226</v>
      </c>
      <c r="B2871" s="57" t="s">
        <v>3740</v>
      </c>
      <c r="C2871" s="16" t="s">
        <v>3761</v>
      </c>
      <c r="D2871" s="13" t="s">
        <v>3754</v>
      </c>
      <c r="E2871" s="72"/>
      <c r="F2871" s="29" t="s">
        <v>2830</v>
      </c>
      <c r="G2871" s="26"/>
      <c r="H2871" s="26">
        <v>7</v>
      </c>
      <c r="I2871" s="26">
        <v>14</v>
      </c>
      <c r="J2871" s="29" t="s">
        <v>1254</v>
      </c>
      <c r="K2871" s="72" t="s">
        <v>4756</v>
      </c>
      <c r="L2871" s="29"/>
      <c r="M2871" s="68">
        <v>1</v>
      </c>
      <c r="N2871" s="68" t="s">
        <v>1253</v>
      </c>
    </row>
    <row r="2872" spans="1:14" s="3" customFormat="1" ht="14.25" x14ac:dyDescent="0.2">
      <c r="A2872" s="56" t="s">
        <v>1226</v>
      </c>
      <c r="B2872" s="57" t="s">
        <v>3723</v>
      </c>
      <c r="C2872" s="16" t="s">
        <v>3761</v>
      </c>
      <c r="D2872" s="13" t="s">
        <v>3754</v>
      </c>
      <c r="E2872" s="72" t="s">
        <v>2828</v>
      </c>
      <c r="F2872" s="29" t="s">
        <v>2829</v>
      </c>
      <c r="G2872" s="26">
        <v>34</v>
      </c>
      <c r="H2872" s="26">
        <v>1</v>
      </c>
      <c r="I2872" s="26">
        <v>1</v>
      </c>
      <c r="J2872" s="29" t="s">
        <v>1264</v>
      </c>
      <c r="K2872" s="72" t="s">
        <v>4756</v>
      </c>
      <c r="L2872" s="29"/>
      <c r="M2872" s="68">
        <v>1</v>
      </c>
      <c r="N2872" s="68" t="s">
        <v>1253</v>
      </c>
    </row>
    <row r="2873" spans="1:14" s="3" customFormat="1" ht="14.25" x14ac:dyDescent="0.2">
      <c r="A2873" s="43" t="s">
        <v>6607</v>
      </c>
      <c r="B2873" s="12" t="s">
        <v>4873</v>
      </c>
      <c r="C2873" s="27" t="s">
        <v>3754</v>
      </c>
      <c r="D2873" s="27" t="s">
        <v>3754</v>
      </c>
      <c r="E2873" s="72" t="s">
        <v>6608</v>
      </c>
      <c r="F2873" s="27" t="s">
        <v>6609</v>
      </c>
      <c r="G2873" s="75">
        <v>2</v>
      </c>
      <c r="H2873" s="26"/>
      <c r="I2873" s="26"/>
      <c r="J2873" s="76" t="s">
        <v>4790</v>
      </c>
      <c r="K2873" s="116" t="s">
        <v>6610</v>
      </c>
      <c r="L2873" s="29"/>
      <c r="M2873" s="68">
        <v>1</v>
      </c>
      <c r="N2873" s="68" t="s">
        <v>7024</v>
      </c>
    </row>
    <row r="2874" spans="1:14" s="3" customFormat="1" ht="14.25" x14ac:dyDescent="0.2">
      <c r="A2874" s="43" t="s">
        <v>6637</v>
      </c>
      <c r="B2874" s="12" t="s">
        <v>501</v>
      </c>
      <c r="C2874" s="27" t="s">
        <v>3754</v>
      </c>
      <c r="D2874" s="27" t="s">
        <v>3754</v>
      </c>
      <c r="E2874" s="72" t="s">
        <v>3442</v>
      </c>
      <c r="F2874" s="27" t="s">
        <v>6635</v>
      </c>
      <c r="G2874" s="26"/>
      <c r="H2874" s="75">
        <v>3</v>
      </c>
      <c r="I2874" s="75">
        <v>13</v>
      </c>
      <c r="J2874" s="76" t="s">
        <v>6638</v>
      </c>
      <c r="K2874" s="116" t="s">
        <v>6636</v>
      </c>
      <c r="L2874" s="29"/>
      <c r="M2874" s="68">
        <v>1</v>
      </c>
      <c r="N2874" s="68" t="s">
        <v>7024</v>
      </c>
    </row>
    <row r="2875" spans="1:14" s="3" customFormat="1" ht="14.25" x14ac:dyDescent="0.2">
      <c r="A2875" s="73" t="s">
        <v>7068</v>
      </c>
      <c r="B2875" s="12" t="s">
        <v>3747</v>
      </c>
      <c r="C2875" s="74" t="s">
        <v>3757</v>
      </c>
      <c r="D2875" s="74" t="s">
        <v>3754</v>
      </c>
      <c r="E2875" s="74" t="s">
        <v>7069</v>
      </c>
      <c r="F2875" s="74" t="s">
        <v>7070</v>
      </c>
      <c r="G2875" s="26">
        <v>65</v>
      </c>
      <c r="H2875" s="26"/>
      <c r="I2875" s="26"/>
      <c r="J2875" s="74" t="s">
        <v>1267</v>
      </c>
      <c r="K2875" s="115" t="s">
        <v>7067</v>
      </c>
      <c r="L2875" s="29"/>
      <c r="M2875" s="68">
        <v>1</v>
      </c>
      <c r="N2875" s="68" t="s">
        <v>7025</v>
      </c>
    </row>
    <row r="2876" spans="1:14" s="3" customFormat="1" ht="14.25" x14ac:dyDescent="0.2">
      <c r="A2876" s="56" t="s">
        <v>1220</v>
      </c>
      <c r="B2876" s="57" t="s">
        <v>7120</v>
      </c>
      <c r="C2876" s="29" t="s">
        <v>3757</v>
      </c>
      <c r="D2876" s="29" t="s">
        <v>3754</v>
      </c>
      <c r="E2876" s="29"/>
      <c r="F2876" s="29" t="s">
        <v>7121</v>
      </c>
      <c r="G2876" s="26">
        <v>36</v>
      </c>
      <c r="H2876" s="26"/>
      <c r="I2876" s="26"/>
      <c r="J2876" s="29"/>
      <c r="K2876" s="29" t="s">
        <v>6468</v>
      </c>
      <c r="L2876" s="103"/>
      <c r="M2876" s="68">
        <v>1</v>
      </c>
      <c r="N2876" s="68" t="s">
        <v>7094</v>
      </c>
    </row>
    <row r="2877" spans="1:14" s="3" customFormat="1" ht="14.25" x14ac:dyDescent="0.2">
      <c r="A2877" s="56" t="s">
        <v>1220</v>
      </c>
      <c r="B2877" s="57" t="s">
        <v>6785</v>
      </c>
      <c r="C2877" s="16" t="s">
        <v>3761</v>
      </c>
      <c r="D2877" s="13" t="s">
        <v>3754</v>
      </c>
      <c r="E2877" s="72" t="s">
        <v>5713</v>
      </c>
      <c r="F2877" s="29" t="s">
        <v>1230</v>
      </c>
      <c r="G2877" s="26">
        <v>25</v>
      </c>
      <c r="H2877" s="26"/>
      <c r="I2877" s="26"/>
      <c r="J2877" s="29" t="s">
        <v>1264</v>
      </c>
      <c r="K2877" s="72" t="s">
        <v>5715</v>
      </c>
      <c r="L2877" s="29"/>
      <c r="M2877" s="68">
        <v>1</v>
      </c>
      <c r="N2877" s="68" t="s">
        <v>402</v>
      </c>
    </row>
    <row r="2878" spans="1:14" s="3" customFormat="1" ht="14.25" x14ac:dyDescent="0.2">
      <c r="A2878" s="43" t="s">
        <v>1220</v>
      </c>
      <c r="B2878" s="12" t="s">
        <v>3734</v>
      </c>
      <c r="C2878" s="27" t="s">
        <v>3754</v>
      </c>
      <c r="D2878" s="27" t="s">
        <v>3754</v>
      </c>
      <c r="E2878" s="72">
        <v>1861</v>
      </c>
      <c r="F2878" s="27" t="s">
        <v>6647</v>
      </c>
      <c r="G2878" s="26"/>
      <c r="H2878" s="26"/>
      <c r="I2878" s="75">
        <v>1</v>
      </c>
      <c r="J2878" s="76"/>
      <c r="K2878" s="116" t="s">
        <v>5774</v>
      </c>
      <c r="L2878" s="29"/>
      <c r="M2878" s="68">
        <v>1</v>
      </c>
      <c r="N2878" s="68" t="s">
        <v>7024</v>
      </c>
    </row>
    <row r="2879" spans="1:14" s="3" customFormat="1" ht="14.25" x14ac:dyDescent="0.2">
      <c r="A2879" s="56" t="s">
        <v>1220</v>
      </c>
      <c r="B2879" s="57" t="s">
        <v>7095</v>
      </c>
      <c r="C2879" s="29" t="s">
        <v>3757</v>
      </c>
      <c r="D2879" s="29"/>
      <c r="E2879" s="29" t="s">
        <v>762</v>
      </c>
      <c r="F2879" s="29" t="s">
        <v>7096</v>
      </c>
      <c r="G2879" s="26">
        <v>51</v>
      </c>
      <c r="H2879" s="26"/>
      <c r="I2879" s="26"/>
      <c r="J2879" s="29" t="s">
        <v>1264</v>
      </c>
      <c r="K2879" s="29" t="s">
        <v>8846</v>
      </c>
      <c r="L2879" s="103"/>
      <c r="M2879" s="68">
        <v>1</v>
      </c>
      <c r="N2879" s="68" t="s">
        <v>7094</v>
      </c>
    </row>
    <row r="2880" spans="1:14" s="3" customFormat="1" ht="14.25" x14ac:dyDescent="0.2">
      <c r="A2880" s="43" t="s">
        <v>1220</v>
      </c>
      <c r="B2880" s="12" t="s">
        <v>1432</v>
      </c>
      <c r="C2880" s="27" t="s">
        <v>3757</v>
      </c>
      <c r="D2880" s="27" t="s">
        <v>3754</v>
      </c>
      <c r="E2880" s="72" t="s">
        <v>6646</v>
      </c>
      <c r="F2880" s="27" t="s">
        <v>6647</v>
      </c>
      <c r="G2880" s="75">
        <v>46</v>
      </c>
      <c r="H2880" s="26"/>
      <c r="I2880" s="26"/>
      <c r="J2880" s="76" t="s">
        <v>2335</v>
      </c>
      <c r="K2880" s="116" t="s">
        <v>5774</v>
      </c>
      <c r="L2880" s="29"/>
      <c r="M2880" s="68">
        <v>1</v>
      </c>
      <c r="N2880" s="68" t="s">
        <v>7024</v>
      </c>
    </row>
    <row r="2881" spans="1:14" s="3" customFormat="1" ht="14.25" x14ac:dyDescent="0.2">
      <c r="A2881" s="56" t="s">
        <v>1220</v>
      </c>
      <c r="B2881" s="57" t="s">
        <v>3752</v>
      </c>
      <c r="C2881" s="29" t="s">
        <v>3757</v>
      </c>
      <c r="D2881" s="13" t="s">
        <v>3754</v>
      </c>
      <c r="E2881" s="72" t="s">
        <v>1235</v>
      </c>
      <c r="F2881" s="29" t="s">
        <v>1236</v>
      </c>
      <c r="G2881" s="26">
        <v>37</v>
      </c>
      <c r="H2881" s="26"/>
      <c r="I2881" s="26"/>
      <c r="J2881" s="29" t="s">
        <v>6573</v>
      </c>
      <c r="K2881" s="72" t="s">
        <v>1846</v>
      </c>
      <c r="L2881" s="29"/>
      <c r="M2881" s="68">
        <v>1</v>
      </c>
      <c r="N2881" s="68" t="s">
        <v>402</v>
      </c>
    </row>
    <row r="2882" spans="1:14" s="3" customFormat="1" ht="14.25" x14ac:dyDescent="0.2">
      <c r="A2882" s="73" t="s">
        <v>1220</v>
      </c>
      <c r="B2882" s="12" t="s">
        <v>8536</v>
      </c>
      <c r="C2882" s="74" t="s">
        <v>3754</v>
      </c>
      <c r="D2882" s="74" t="s">
        <v>7054</v>
      </c>
      <c r="E2882" s="74" t="s">
        <v>7055</v>
      </c>
      <c r="F2882" s="74" t="s">
        <v>7056</v>
      </c>
      <c r="G2882" s="26">
        <v>24</v>
      </c>
      <c r="H2882" s="26"/>
      <c r="I2882" s="26"/>
      <c r="J2882" s="74" t="s">
        <v>1272</v>
      </c>
      <c r="K2882" s="115" t="s">
        <v>3836</v>
      </c>
      <c r="L2882" s="61"/>
      <c r="M2882" s="68">
        <v>1</v>
      </c>
      <c r="N2882" s="68" t="s">
        <v>7025</v>
      </c>
    </row>
    <row r="2883" spans="1:14" s="3" customFormat="1" ht="14.25" x14ac:dyDescent="0.2">
      <c r="A2883" s="63" t="s">
        <v>1220</v>
      </c>
      <c r="B2883" s="60" t="s">
        <v>1413</v>
      </c>
      <c r="C2883" s="55" t="s">
        <v>3754</v>
      </c>
      <c r="D2883" s="55" t="s">
        <v>3754</v>
      </c>
      <c r="E2883" s="61"/>
      <c r="F2883" s="55" t="s">
        <v>7130</v>
      </c>
      <c r="G2883" s="8">
        <v>2</v>
      </c>
      <c r="H2883" s="8">
        <v>10</v>
      </c>
      <c r="I2883" s="8"/>
      <c r="J2883" s="55" t="s">
        <v>1255</v>
      </c>
      <c r="K2883" s="55"/>
      <c r="L2883" s="104"/>
      <c r="M2883" s="68">
        <v>1</v>
      </c>
      <c r="N2883" s="68" t="s">
        <v>7094</v>
      </c>
    </row>
    <row r="2884" spans="1:14" s="3" customFormat="1" ht="14.25" x14ac:dyDescent="0.2">
      <c r="A2884" s="47" t="s">
        <v>1220</v>
      </c>
      <c r="B2884" s="5" t="s">
        <v>4908</v>
      </c>
      <c r="C2884" s="45" t="s">
        <v>3754</v>
      </c>
      <c r="D2884" s="45" t="s">
        <v>3754</v>
      </c>
      <c r="E2884" s="68">
        <v>1853</v>
      </c>
      <c r="F2884" s="45" t="s">
        <v>1859</v>
      </c>
      <c r="G2884" s="8"/>
      <c r="H2884" s="79">
        <v>9</v>
      </c>
      <c r="I2884" s="8"/>
      <c r="J2884" s="80" t="s">
        <v>4745</v>
      </c>
      <c r="K2884" s="118" t="s">
        <v>5774</v>
      </c>
      <c r="L2884" s="61"/>
      <c r="M2884" s="68">
        <v>1</v>
      </c>
      <c r="N2884" s="68" t="s">
        <v>7024</v>
      </c>
    </row>
    <row r="2885" spans="1:14" s="3" customFormat="1" ht="14.25" x14ac:dyDescent="0.2">
      <c r="A2885" s="73" t="s">
        <v>1220</v>
      </c>
      <c r="B2885" s="36" t="s">
        <v>4683</v>
      </c>
      <c r="C2885" s="74" t="s">
        <v>3754</v>
      </c>
      <c r="D2885" s="74" t="s">
        <v>3754</v>
      </c>
      <c r="E2885" s="74" t="s">
        <v>2874</v>
      </c>
      <c r="F2885" s="74" t="s">
        <v>7093</v>
      </c>
      <c r="G2885" s="26"/>
      <c r="H2885" s="26">
        <v>17</v>
      </c>
      <c r="I2885" s="26">
        <v>23</v>
      </c>
      <c r="J2885" s="74" t="s">
        <v>4748</v>
      </c>
      <c r="K2885" s="115"/>
      <c r="L2885" s="95"/>
      <c r="M2885" s="68">
        <v>1</v>
      </c>
      <c r="N2885" s="68" t="s">
        <v>7025</v>
      </c>
    </row>
    <row r="2886" spans="1:14" s="3" customFormat="1" ht="14.25" x14ac:dyDescent="0.2">
      <c r="A2886" s="73" t="s">
        <v>1220</v>
      </c>
      <c r="B2886" s="12" t="s">
        <v>7083</v>
      </c>
      <c r="C2886" s="74" t="s">
        <v>3754</v>
      </c>
      <c r="D2886" s="74" t="s">
        <v>3754</v>
      </c>
      <c r="E2886" s="74" t="s">
        <v>7084</v>
      </c>
      <c r="F2886" s="74" t="s">
        <v>7085</v>
      </c>
      <c r="G2886" s="26">
        <v>6</v>
      </c>
      <c r="H2886" s="26">
        <v>9</v>
      </c>
      <c r="I2886" s="26"/>
      <c r="J2886" s="74" t="s">
        <v>6158</v>
      </c>
      <c r="K2886" s="115" t="s">
        <v>2380</v>
      </c>
      <c r="L2886" s="29"/>
      <c r="M2886" s="68">
        <v>1</v>
      </c>
      <c r="N2886" s="68" t="s">
        <v>7025</v>
      </c>
    </row>
    <row r="2887" spans="1:14" s="3" customFormat="1" ht="14.25" x14ac:dyDescent="0.2">
      <c r="A2887" s="56" t="s">
        <v>1220</v>
      </c>
      <c r="B2887" s="57" t="s">
        <v>3739</v>
      </c>
      <c r="C2887" s="16" t="s">
        <v>3761</v>
      </c>
      <c r="D2887" s="13" t="s">
        <v>3754</v>
      </c>
      <c r="E2887" s="72" t="s">
        <v>1232</v>
      </c>
      <c r="F2887" s="29" t="s">
        <v>1233</v>
      </c>
      <c r="G2887" s="26">
        <v>19</v>
      </c>
      <c r="H2887" s="26"/>
      <c r="I2887" s="26"/>
      <c r="J2887" s="29" t="s">
        <v>2335</v>
      </c>
      <c r="K2887" s="72" t="s">
        <v>1846</v>
      </c>
      <c r="L2887" s="29"/>
      <c r="M2887" s="68">
        <v>1</v>
      </c>
      <c r="N2887" s="68" t="s">
        <v>402</v>
      </c>
    </row>
    <row r="2888" spans="1:14" s="3" customFormat="1" ht="14.25" x14ac:dyDescent="0.2">
      <c r="A2888" s="56" t="s">
        <v>1220</v>
      </c>
      <c r="B2888" s="57" t="s">
        <v>7102</v>
      </c>
      <c r="C2888" s="29" t="s">
        <v>3754</v>
      </c>
      <c r="D2888" s="29" t="s">
        <v>3754</v>
      </c>
      <c r="E2888" s="29" t="s">
        <v>7103</v>
      </c>
      <c r="F2888" s="29" t="s">
        <v>7104</v>
      </c>
      <c r="G2888" s="26">
        <v>23</v>
      </c>
      <c r="H2888" s="26"/>
      <c r="I2888" s="26"/>
      <c r="J2888" s="29" t="s">
        <v>1264</v>
      </c>
      <c r="K2888" s="29" t="s">
        <v>7105</v>
      </c>
      <c r="L2888" s="103"/>
      <c r="M2888" s="68">
        <v>1</v>
      </c>
      <c r="N2888" s="68" t="s">
        <v>7094</v>
      </c>
    </row>
    <row r="2889" spans="1:14" s="3" customFormat="1" ht="14.25" x14ac:dyDescent="0.2">
      <c r="A2889" s="56" t="s">
        <v>1220</v>
      </c>
      <c r="B2889" s="57" t="s">
        <v>4685</v>
      </c>
      <c r="C2889" s="29" t="s">
        <v>3757</v>
      </c>
      <c r="D2889" s="13" t="s">
        <v>3754</v>
      </c>
      <c r="E2889" s="72" t="s">
        <v>1234</v>
      </c>
      <c r="F2889" s="29" t="s">
        <v>7861</v>
      </c>
      <c r="G2889" s="26">
        <v>24</v>
      </c>
      <c r="H2889" s="26"/>
      <c r="I2889" s="26"/>
      <c r="J2889" s="29" t="s">
        <v>2948</v>
      </c>
      <c r="K2889" s="72" t="s">
        <v>1846</v>
      </c>
      <c r="L2889" s="29"/>
      <c r="M2889" s="68">
        <v>1</v>
      </c>
      <c r="N2889" s="68" t="s">
        <v>402</v>
      </c>
    </row>
    <row r="2890" spans="1:14" s="3" customFormat="1" ht="14.25" x14ac:dyDescent="0.2">
      <c r="A2890" s="56" t="s">
        <v>1220</v>
      </c>
      <c r="B2890" s="57" t="s">
        <v>1886</v>
      </c>
      <c r="C2890" s="29" t="s">
        <v>3757</v>
      </c>
      <c r="D2890" s="29"/>
      <c r="E2890" s="29" t="s">
        <v>2478</v>
      </c>
      <c r="F2890" s="29" t="s">
        <v>3311</v>
      </c>
      <c r="G2890" s="26">
        <v>45</v>
      </c>
      <c r="H2890" s="26"/>
      <c r="I2890" s="26"/>
      <c r="J2890" s="29" t="s">
        <v>2989</v>
      </c>
      <c r="K2890" s="29" t="s">
        <v>2249</v>
      </c>
      <c r="L2890" s="103"/>
      <c r="M2890" s="68">
        <v>1</v>
      </c>
      <c r="N2890" s="68" t="s">
        <v>7094</v>
      </c>
    </row>
    <row r="2891" spans="1:14" s="3" customFormat="1" ht="14.25" x14ac:dyDescent="0.2">
      <c r="A2891" s="43" t="s">
        <v>1220</v>
      </c>
      <c r="B2891" s="12" t="s">
        <v>1428</v>
      </c>
      <c r="C2891" s="27" t="s">
        <v>3754</v>
      </c>
      <c r="D2891" s="27" t="s">
        <v>3754</v>
      </c>
      <c r="E2891" s="72">
        <v>1857</v>
      </c>
      <c r="F2891" s="27" t="s">
        <v>6647</v>
      </c>
      <c r="G2891" s="26"/>
      <c r="H2891" s="75">
        <v>10</v>
      </c>
      <c r="I2891" s="26"/>
      <c r="J2891" s="76" t="s">
        <v>1958</v>
      </c>
      <c r="K2891" s="116" t="s">
        <v>5774</v>
      </c>
      <c r="L2891" s="29"/>
      <c r="M2891" s="68">
        <v>1</v>
      </c>
      <c r="N2891" s="68" t="s">
        <v>7024</v>
      </c>
    </row>
    <row r="2892" spans="1:14" s="3" customFormat="1" ht="14.25" x14ac:dyDescent="0.2">
      <c r="A2892" s="43" t="s">
        <v>1220</v>
      </c>
      <c r="B2892" s="12" t="s">
        <v>3740</v>
      </c>
      <c r="C2892" s="27" t="s">
        <v>3757</v>
      </c>
      <c r="D2892" s="27" t="s">
        <v>3768</v>
      </c>
      <c r="E2892" s="72"/>
      <c r="F2892" s="27" t="s">
        <v>3768</v>
      </c>
      <c r="G2892" s="75">
        <v>78</v>
      </c>
      <c r="H2892" s="26"/>
      <c r="I2892" s="26"/>
      <c r="J2892" s="76" t="s">
        <v>1271</v>
      </c>
      <c r="K2892" s="116" t="s">
        <v>7015</v>
      </c>
      <c r="L2892" s="29"/>
      <c r="M2892" s="68">
        <v>1</v>
      </c>
      <c r="N2892" s="68" t="s">
        <v>7024</v>
      </c>
    </row>
    <row r="2893" spans="1:14" s="3" customFormat="1" ht="14.25" x14ac:dyDescent="0.2">
      <c r="A2893" s="56" t="s">
        <v>1220</v>
      </c>
      <c r="B2893" s="57" t="s">
        <v>7844</v>
      </c>
      <c r="C2893" s="29" t="s">
        <v>3757</v>
      </c>
      <c r="D2893" s="13" t="s">
        <v>3754</v>
      </c>
      <c r="E2893" s="72">
        <v>40169</v>
      </c>
      <c r="F2893" s="29" t="s">
        <v>1541</v>
      </c>
      <c r="G2893" s="26">
        <v>55</v>
      </c>
      <c r="H2893" s="26"/>
      <c r="I2893" s="26"/>
      <c r="J2893" s="29" t="s">
        <v>3395</v>
      </c>
      <c r="K2893" s="72" t="s">
        <v>5112</v>
      </c>
      <c r="L2893" s="29"/>
      <c r="M2893" s="68">
        <v>1</v>
      </c>
      <c r="N2893" s="68" t="s">
        <v>402</v>
      </c>
    </row>
    <row r="2894" spans="1:14" s="3" customFormat="1" ht="15" x14ac:dyDescent="0.2">
      <c r="A2894" s="56" t="s">
        <v>1220</v>
      </c>
      <c r="B2894" s="57" t="s">
        <v>4982</v>
      </c>
      <c r="C2894" s="29" t="s">
        <v>3757</v>
      </c>
      <c r="D2894" s="29" t="s">
        <v>3754</v>
      </c>
      <c r="E2894" s="29" t="s">
        <v>2783</v>
      </c>
      <c r="F2894" s="29" t="s">
        <v>3498</v>
      </c>
      <c r="G2894" s="26">
        <v>84</v>
      </c>
      <c r="H2894" s="26"/>
      <c r="I2894" s="26"/>
      <c r="J2894" s="29" t="s">
        <v>1270</v>
      </c>
      <c r="K2894" s="103" t="s">
        <v>6738</v>
      </c>
      <c r="L2894" s="58"/>
      <c r="M2894" s="68">
        <v>1</v>
      </c>
      <c r="N2894" s="68" t="s">
        <v>7149</v>
      </c>
    </row>
    <row r="2895" spans="1:14" s="3" customFormat="1" ht="14.25" x14ac:dyDescent="0.2">
      <c r="A2895" s="43" t="s">
        <v>1220</v>
      </c>
      <c r="B2895" s="12" t="s">
        <v>3732</v>
      </c>
      <c r="C2895" s="27" t="s">
        <v>3757</v>
      </c>
      <c r="D2895" s="27" t="s">
        <v>3754</v>
      </c>
      <c r="E2895" s="72" t="s">
        <v>6640</v>
      </c>
      <c r="F2895" s="27" t="s">
        <v>6641</v>
      </c>
      <c r="G2895" s="75">
        <v>63</v>
      </c>
      <c r="H2895" s="26"/>
      <c r="I2895" s="26"/>
      <c r="J2895" s="76" t="s">
        <v>1270</v>
      </c>
      <c r="K2895" s="116" t="s">
        <v>6642</v>
      </c>
      <c r="L2895" s="29"/>
      <c r="M2895" s="68">
        <v>1</v>
      </c>
      <c r="N2895" s="68" t="s">
        <v>7024</v>
      </c>
    </row>
    <row r="2896" spans="1:14" s="3" customFormat="1" ht="14.25" x14ac:dyDescent="0.2">
      <c r="A2896" s="56" t="s">
        <v>1220</v>
      </c>
      <c r="B2896" s="57" t="s">
        <v>1422</v>
      </c>
      <c r="C2896" s="29" t="s">
        <v>3757</v>
      </c>
      <c r="D2896" s="29"/>
      <c r="E2896" s="29" t="s">
        <v>831</v>
      </c>
      <c r="F2896" s="29" t="s">
        <v>7097</v>
      </c>
      <c r="G2896" s="26">
        <v>50</v>
      </c>
      <c r="H2896" s="26"/>
      <c r="I2896" s="26"/>
      <c r="J2896" s="29" t="s">
        <v>1255</v>
      </c>
      <c r="K2896" s="29" t="s">
        <v>7098</v>
      </c>
      <c r="L2896" s="103"/>
      <c r="M2896" s="68">
        <v>1</v>
      </c>
      <c r="N2896" s="68" t="s">
        <v>7094</v>
      </c>
    </row>
    <row r="2897" spans="1:14" s="3" customFormat="1" ht="14.25" x14ac:dyDescent="0.2">
      <c r="A2897" s="56" t="s">
        <v>1220</v>
      </c>
      <c r="B2897" s="57" t="s">
        <v>3723</v>
      </c>
      <c r="C2897" s="16" t="s">
        <v>3761</v>
      </c>
      <c r="D2897" s="13" t="s">
        <v>3754</v>
      </c>
      <c r="E2897" s="72">
        <v>1850</v>
      </c>
      <c r="F2897" s="29" t="s">
        <v>181</v>
      </c>
      <c r="G2897" s="26">
        <v>18</v>
      </c>
      <c r="H2897" s="26"/>
      <c r="I2897" s="26"/>
      <c r="J2897" s="29"/>
      <c r="K2897" s="72" t="s">
        <v>5147</v>
      </c>
      <c r="L2897" s="29"/>
      <c r="M2897" s="68">
        <v>1</v>
      </c>
      <c r="N2897" s="68" t="s">
        <v>1253</v>
      </c>
    </row>
    <row r="2898" spans="1:14" s="3" customFormat="1" ht="14.25" x14ac:dyDescent="0.2">
      <c r="A2898" s="43" t="s">
        <v>1220</v>
      </c>
      <c r="B2898" s="12" t="s">
        <v>2055</v>
      </c>
      <c r="C2898" s="27" t="s">
        <v>3754</v>
      </c>
      <c r="D2898" s="27" t="s">
        <v>3754</v>
      </c>
      <c r="E2898" s="72" t="s">
        <v>8761</v>
      </c>
      <c r="F2898" s="27" t="s">
        <v>6630</v>
      </c>
      <c r="G2898" s="75">
        <v>6</v>
      </c>
      <c r="H2898" s="75">
        <v>6</v>
      </c>
      <c r="I2898" s="75">
        <v>2</v>
      </c>
      <c r="J2898" s="76" t="s">
        <v>7319</v>
      </c>
      <c r="K2898" s="116" t="s">
        <v>6631</v>
      </c>
      <c r="L2898" s="29"/>
      <c r="M2898" s="68">
        <v>1</v>
      </c>
      <c r="N2898" s="68" t="s">
        <v>7024</v>
      </c>
    </row>
    <row r="2899" spans="1:14" s="3" customFormat="1" ht="14.25" x14ac:dyDescent="0.2">
      <c r="A2899" s="73" t="s">
        <v>1220</v>
      </c>
      <c r="B2899" s="12" t="s">
        <v>4701</v>
      </c>
      <c r="C2899" s="74" t="s">
        <v>3757</v>
      </c>
      <c r="D2899" s="74" t="s">
        <v>3754</v>
      </c>
      <c r="E2899" s="74" t="s">
        <v>256</v>
      </c>
      <c r="F2899" s="74" t="s">
        <v>7026</v>
      </c>
      <c r="G2899" s="26">
        <v>48</v>
      </c>
      <c r="H2899" s="26"/>
      <c r="I2899" s="26"/>
      <c r="J2899" s="74" t="s">
        <v>1266</v>
      </c>
      <c r="K2899" s="115" t="s">
        <v>3209</v>
      </c>
      <c r="L2899" s="29"/>
      <c r="M2899" s="68">
        <v>1</v>
      </c>
      <c r="N2899" s="68" t="s">
        <v>7025</v>
      </c>
    </row>
    <row r="2900" spans="1:14" s="3" customFormat="1" ht="14.25" x14ac:dyDescent="0.2">
      <c r="A2900" s="43" t="s">
        <v>1220</v>
      </c>
      <c r="B2900" s="36" t="s">
        <v>4701</v>
      </c>
      <c r="C2900" s="27" t="s">
        <v>3757</v>
      </c>
      <c r="D2900" s="27"/>
      <c r="E2900" s="72" t="s">
        <v>540</v>
      </c>
      <c r="F2900" s="27" t="s">
        <v>7022</v>
      </c>
      <c r="G2900" s="75">
        <v>48</v>
      </c>
      <c r="H2900" s="26"/>
      <c r="I2900" s="26"/>
      <c r="J2900" s="76" t="s">
        <v>1266</v>
      </c>
      <c r="K2900" s="116" t="s">
        <v>7023</v>
      </c>
      <c r="L2900" s="95"/>
      <c r="M2900" s="68">
        <v>1</v>
      </c>
      <c r="N2900" s="68" t="s">
        <v>7024</v>
      </c>
    </row>
    <row r="2901" spans="1:14" s="3" customFormat="1" ht="14.25" x14ac:dyDescent="0.2">
      <c r="A2901" s="43" t="s">
        <v>1220</v>
      </c>
      <c r="B2901" s="12" t="s">
        <v>3733</v>
      </c>
      <c r="C2901" s="27" t="s">
        <v>3754</v>
      </c>
      <c r="D2901" s="27" t="s">
        <v>3754</v>
      </c>
      <c r="E2901" s="72">
        <v>1855</v>
      </c>
      <c r="F2901" s="27" t="s">
        <v>1859</v>
      </c>
      <c r="G2901" s="26"/>
      <c r="H2901" s="75">
        <v>13</v>
      </c>
      <c r="I2901" s="26"/>
      <c r="J2901" s="76" t="s">
        <v>4745</v>
      </c>
      <c r="K2901" s="116" t="s">
        <v>5774</v>
      </c>
      <c r="L2901" s="29"/>
      <c r="M2901" s="68">
        <v>1</v>
      </c>
      <c r="N2901" s="68" t="s">
        <v>7024</v>
      </c>
    </row>
    <row r="2902" spans="1:14" s="3" customFormat="1" ht="14.25" x14ac:dyDescent="0.2">
      <c r="A2902" s="43" t="s">
        <v>1220</v>
      </c>
      <c r="B2902" s="12" t="s">
        <v>1445</v>
      </c>
      <c r="C2902" s="27" t="s">
        <v>3757</v>
      </c>
      <c r="D2902" s="27" t="s">
        <v>3754</v>
      </c>
      <c r="E2902" s="72">
        <v>1851</v>
      </c>
      <c r="F2902" s="27" t="s">
        <v>1859</v>
      </c>
      <c r="G2902" s="26"/>
      <c r="H2902" s="75">
        <v>17</v>
      </c>
      <c r="I2902" s="26"/>
      <c r="J2902" s="76" t="s">
        <v>6648</v>
      </c>
      <c r="K2902" s="116" t="s">
        <v>5774</v>
      </c>
      <c r="L2902" s="29"/>
      <c r="M2902" s="68">
        <v>1</v>
      </c>
      <c r="N2902" s="68" t="s">
        <v>7024</v>
      </c>
    </row>
    <row r="2903" spans="1:14" s="3" customFormat="1" ht="14.25" x14ac:dyDescent="0.2">
      <c r="A2903" s="73" t="s">
        <v>7086</v>
      </c>
      <c r="B2903" s="12" t="s">
        <v>4685</v>
      </c>
      <c r="C2903" s="74" t="s">
        <v>3757</v>
      </c>
      <c r="D2903" s="74" t="s">
        <v>3754</v>
      </c>
      <c r="E2903" s="74" t="s">
        <v>2388</v>
      </c>
      <c r="F2903" s="74" t="s">
        <v>7087</v>
      </c>
      <c r="G2903" s="26">
        <v>38</v>
      </c>
      <c r="H2903" s="26"/>
      <c r="I2903" s="26"/>
      <c r="J2903" s="74" t="s">
        <v>1264</v>
      </c>
      <c r="K2903" s="115" t="s">
        <v>7088</v>
      </c>
      <c r="L2903" s="29"/>
      <c r="M2903" s="68">
        <v>1</v>
      </c>
      <c r="N2903" s="68" t="s">
        <v>7025</v>
      </c>
    </row>
    <row r="2904" spans="1:14" s="3" customFormat="1" ht="14.25" x14ac:dyDescent="0.2">
      <c r="A2904" s="43" t="s">
        <v>6587</v>
      </c>
      <c r="B2904" s="12" t="s">
        <v>5057</v>
      </c>
      <c r="C2904" s="27" t="s">
        <v>3754</v>
      </c>
      <c r="D2904" s="27"/>
      <c r="E2904" s="72" t="s">
        <v>6588</v>
      </c>
      <c r="F2904" s="27" t="s">
        <v>6589</v>
      </c>
      <c r="G2904" s="75">
        <v>21</v>
      </c>
      <c r="H2904" s="75">
        <v>10</v>
      </c>
      <c r="I2904" s="26"/>
      <c r="J2904" s="76" t="s">
        <v>1264</v>
      </c>
      <c r="K2904" s="116" t="s">
        <v>6590</v>
      </c>
      <c r="L2904" s="29"/>
      <c r="M2904" s="68">
        <v>1</v>
      </c>
      <c r="N2904" s="68" t="s">
        <v>7024</v>
      </c>
    </row>
    <row r="2905" spans="1:14" s="3" customFormat="1" ht="15" x14ac:dyDescent="0.2">
      <c r="A2905" s="56" t="s">
        <v>7065</v>
      </c>
      <c r="B2905" s="57" t="s">
        <v>4685</v>
      </c>
      <c r="C2905" s="29" t="s">
        <v>3757</v>
      </c>
      <c r="D2905" s="29" t="s">
        <v>2227</v>
      </c>
      <c r="E2905" s="29" t="s">
        <v>5628</v>
      </c>
      <c r="F2905" s="29" t="s">
        <v>7152</v>
      </c>
      <c r="G2905" s="26">
        <v>40</v>
      </c>
      <c r="H2905" s="26"/>
      <c r="I2905" s="26"/>
      <c r="J2905" s="29" t="s">
        <v>1264</v>
      </c>
      <c r="K2905" s="103" t="s">
        <v>55</v>
      </c>
      <c r="L2905" s="58"/>
      <c r="M2905" s="68">
        <v>1</v>
      </c>
      <c r="N2905" s="68" t="s">
        <v>7149</v>
      </c>
    </row>
    <row r="2906" spans="1:14" s="3" customFormat="1" ht="14.25" x14ac:dyDescent="0.2">
      <c r="A2906" s="73" t="s">
        <v>7065</v>
      </c>
      <c r="B2906" s="12" t="s">
        <v>3740</v>
      </c>
      <c r="C2906" s="74" t="s">
        <v>3757</v>
      </c>
      <c r="D2906" s="74" t="s">
        <v>3754</v>
      </c>
      <c r="E2906" s="74" t="s">
        <v>3800</v>
      </c>
      <c r="F2906" s="74" t="s">
        <v>7066</v>
      </c>
      <c r="G2906" s="26">
        <v>45</v>
      </c>
      <c r="H2906" s="26"/>
      <c r="I2906" s="26"/>
      <c r="J2906" s="74" t="s">
        <v>1264</v>
      </c>
      <c r="K2906" s="115" t="s">
        <v>7067</v>
      </c>
      <c r="L2906" s="29"/>
      <c r="M2906" s="68">
        <v>1</v>
      </c>
      <c r="N2906" s="68" t="s">
        <v>7025</v>
      </c>
    </row>
    <row r="2907" spans="1:14" s="3" customFormat="1" ht="14.25" x14ac:dyDescent="0.2">
      <c r="A2907" s="56" t="s">
        <v>1203</v>
      </c>
      <c r="B2907" s="57" t="s">
        <v>3752</v>
      </c>
      <c r="C2907" s="29" t="s">
        <v>3757</v>
      </c>
      <c r="D2907" s="13" t="s">
        <v>3754</v>
      </c>
      <c r="E2907" s="72" t="s">
        <v>1206</v>
      </c>
      <c r="F2907" s="29" t="s">
        <v>1541</v>
      </c>
      <c r="G2907" s="26">
        <v>41</v>
      </c>
      <c r="H2907" s="26"/>
      <c r="I2907" s="26"/>
      <c r="J2907" s="29" t="s">
        <v>1277</v>
      </c>
      <c r="K2907" s="72" t="s">
        <v>1205</v>
      </c>
      <c r="L2907" s="29"/>
      <c r="M2907" s="68">
        <v>1</v>
      </c>
      <c r="N2907" s="68" t="s">
        <v>402</v>
      </c>
    </row>
    <row r="2908" spans="1:14" s="3" customFormat="1" ht="14.25" x14ac:dyDescent="0.2">
      <c r="A2908" s="56" t="s">
        <v>1203</v>
      </c>
      <c r="B2908" s="57" t="s">
        <v>4685</v>
      </c>
      <c r="C2908" s="16" t="s">
        <v>3761</v>
      </c>
      <c r="D2908" s="13" t="s">
        <v>3754</v>
      </c>
      <c r="E2908" s="72" t="s">
        <v>1204</v>
      </c>
      <c r="F2908" s="29" t="s">
        <v>1541</v>
      </c>
      <c r="G2908" s="26">
        <v>1</v>
      </c>
      <c r="H2908" s="26">
        <v>3</v>
      </c>
      <c r="I2908" s="26"/>
      <c r="J2908" s="29" t="s">
        <v>4790</v>
      </c>
      <c r="K2908" s="72" t="s">
        <v>1205</v>
      </c>
      <c r="L2908" s="29"/>
      <c r="M2908" s="68">
        <v>1</v>
      </c>
      <c r="N2908" s="68" t="s">
        <v>402</v>
      </c>
    </row>
    <row r="2909" spans="1:14" s="3" customFormat="1" ht="14.25" x14ac:dyDescent="0.2">
      <c r="A2909" s="63" t="s">
        <v>1231</v>
      </c>
      <c r="B2909" s="60" t="s">
        <v>3732</v>
      </c>
      <c r="C2909" s="55" t="s">
        <v>3757</v>
      </c>
      <c r="D2909" s="55" t="s">
        <v>3754</v>
      </c>
      <c r="E2909" s="55" t="s">
        <v>7139</v>
      </c>
      <c r="F2909" s="55" t="s">
        <v>7140</v>
      </c>
      <c r="G2909" s="8">
        <v>75</v>
      </c>
      <c r="H2909" s="8"/>
      <c r="I2909" s="8"/>
      <c r="J2909" s="55" t="s">
        <v>1277</v>
      </c>
      <c r="K2909" s="55" t="s">
        <v>8864</v>
      </c>
      <c r="L2909" s="104"/>
      <c r="M2909" s="68">
        <v>1</v>
      </c>
      <c r="N2909" s="68" t="s">
        <v>7094</v>
      </c>
    </row>
    <row r="2910" spans="1:14" s="3" customFormat="1" ht="28.5" x14ac:dyDescent="0.2">
      <c r="A2910" s="63" t="s">
        <v>1231</v>
      </c>
      <c r="B2910" s="60" t="s">
        <v>3746</v>
      </c>
      <c r="C2910" s="61" t="s">
        <v>3757</v>
      </c>
      <c r="D2910" s="10" t="s">
        <v>3754</v>
      </c>
      <c r="E2910" s="68" t="s">
        <v>4098</v>
      </c>
      <c r="F2910" s="55" t="s">
        <v>2293</v>
      </c>
      <c r="G2910" s="8">
        <v>25</v>
      </c>
      <c r="H2910" s="8"/>
      <c r="I2910" s="8"/>
      <c r="J2910" s="55" t="s">
        <v>4747</v>
      </c>
      <c r="K2910" s="112" t="s">
        <v>1846</v>
      </c>
      <c r="L2910" s="61"/>
      <c r="M2910" s="68">
        <v>1</v>
      </c>
      <c r="N2910" s="68" t="s">
        <v>402</v>
      </c>
    </row>
    <row r="2911" spans="1:14" s="3" customFormat="1" ht="14.25" x14ac:dyDescent="0.2">
      <c r="A2911" s="56" t="s">
        <v>403</v>
      </c>
      <c r="B2911" s="57" t="s">
        <v>8518</v>
      </c>
      <c r="C2911" s="16" t="s">
        <v>3761</v>
      </c>
      <c r="D2911" s="13" t="s">
        <v>3754</v>
      </c>
      <c r="E2911" s="68" t="s">
        <v>4219</v>
      </c>
      <c r="F2911" s="29" t="s">
        <v>1541</v>
      </c>
      <c r="G2911" s="8">
        <v>35</v>
      </c>
      <c r="H2911" s="8"/>
      <c r="I2911" s="8"/>
      <c r="J2911" s="29" t="s">
        <v>1264</v>
      </c>
      <c r="K2911" s="72" t="s">
        <v>2625</v>
      </c>
      <c r="L2911" s="29"/>
      <c r="M2911" s="68">
        <v>1</v>
      </c>
      <c r="N2911" s="68" t="s">
        <v>402</v>
      </c>
    </row>
    <row r="2912" spans="1:14" s="3" customFormat="1" ht="14.25" x14ac:dyDescent="0.2">
      <c r="A2912" s="43" t="s">
        <v>403</v>
      </c>
      <c r="B2912" s="12" t="s">
        <v>5435</v>
      </c>
      <c r="C2912" s="27" t="s">
        <v>6944</v>
      </c>
      <c r="D2912" s="27" t="s">
        <v>3754</v>
      </c>
      <c r="E2912" s="68" t="s">
        <v>6601</v>
      </c>
      <c r="F2912" s="27" t="s">
        <v>6602</v>
      </c>
      <c r="G2912" s="8"/>
      <c r="H2912" s="79">
        <v>6</v>
      </c>
      <c r="I2912" s="8"/>
      <c r="J2912" s="76" t="s">
        <v>4790</v>
      </c>
      <c r="K2912" s="116" t="s">
        <v>6603</v>
      </c>
      <c r="L2912" s="29"/>
      <c r="M2912" s="68">
        <v>1</v>
      </c>
      <c r="N2912" s="68" t="s">
        <v>7024</v>
      </c>
    </row>
    <row r="2913" spans="1:14" s="3" customFormat="1" ht="14.25" x14ac:dyDescent="0.2">
      <c r="A2913" s="73" t="s">
        <v>403</v>
      </c>
      <c r="B2913" s="12" t="s">
        <v>4685</v>
      </c>
      <c r="C2913" s="74" t="s">
        <v>3754</v>
      </c>
      <c r="D2913" s="74" t="s">
        <v>3754</v>
      </c>
      <c r="E2913" s="78" t="s">
        <v>4754</v>
      </c>
      <c r="F2913" s="74" t="s">
        <v>7053</v>
      </c>
      <c r="G2913" s="8">
        <v>3</v>
      </c>
      <c r="H2913" s="8">
        <v>2</v>
      </c>
      <c r="I2913" s="8"/>
      <c r="J2913" s="74" t="s">
        <v>6927</v>
      </c>
      <c r="K2913" s="115" t="s">
        <v>2174</v>
      </c>
      <c r="L2913" s="29"/>
      <c r="M2913" s="68">
        <v>1</v>
      </c>
      <c r="N2913" s="68" t="s">
        <v>7025</v>
      </c>
    </row>
    <row r="2914" spans="1:14" s="3" customFormat="1" ht="14.25" x14ac:dyDescent="0.2">
      <c r="A2914" s="43" t="s">
        <v>403</v>
      </c>
      <c r="B2914" s="12" t="s">
        <v>3723</v>
      </c>
      <c r="C2914" s="27" t="s">
        <v>3754</v>
      </c>
      <c r="D2914" s="27"/>
      <c r="E2914" s="112" t="s">
        <v>8617</v>
      </c>
      <c r="F2914" s="27" t="s">
        <v>7011</v>
      </c>
      <c r="G2914" s="8"/>
      <c r="H2914" s="8"/>
      <c r="I2914" s="79">
        <v>1</v>
      </c>
      <c r="J2914" s="76" t="s">
        <v>7012</v>
      </c>
      <c r="K2914" s="116" t="s">
        <v>8617</v>
      </c>
      <c r="L2914" s="29"/>
      <c r="M2914" s="68">
        <v>1</v>
      </c>
      <c r="N2914" s="68" t="s">
        <v>7024</v>
      </c>
    </row>
    <row r="2915" spans="1:14" s="3" customFormat="1" ht="14.25" x14ac:dyDescent="0.2">
      <c r="A2915" s="43" t="s">
        <v>403</v>
      </c>
      <c r="B2915" s="12" t="s">
        <v>1560</v>
      </c>
      <c r="C2915" s="27" t="s">
        <v>3757</v>
      </c>
      <c r="D2915" s="27" t="s">
        <v>3754</v>
      </c>
      <c r="E2915" s="112" t="s">
        <v>6493</v>
      </c>
      <c r="F2915" s="27" t="s">
        <v>4146</v>
      </c>
      <c r="G2915" s="79">
        <v>62</v>
      </c>
      <c r="H2915" s="8"/>
      <c r="I2915" s="8"/>
      <c r="J2915" s="76" t="s">
        <v>1259</v>
      </c>
      <c r="K2915" s="116" t="s">
        <v>6495</v>
      </c>
      <c r="L2915" s="29"/>
      <c r="M2915" s="68">
        <v>1</v>
      </c>
      <c r="N2915" s="68" t="s">
        <v>7024</v>
      </c>
    </row>
    <row r="2916" spans="1:14" s="3" customFormat="1" ht="14.25" x14ac:dyDescent="0.2">
      <c r="A2916" s="43" t="s">
        <v>6627</v>
      </c>
      <c r="B2916" s="12" t="s">
        <v>4695</v>
      </c>
      <c r="C2916" s="27" t="s">
        <v>3754</v>
      </c>
      <c r="D2916" s="27" t="s">
        <v>3754</v>
      </c>
      <c r="E2916" s="68" t="s">
        <v>555</v>
      </c>
      <c r="F2916" s="27" t="s">
        <v>7021</v>
      </c>
      <c r="G2916" s="79">
        <v>1</v>
      </c>
      <c r="H2916" s="79">
        <v>10</v>
      </c>
      <c r="I2916" s="8"/>
      <c r="J2916" s="76" t="s">
        <v>1254</v>
      </c>
      <c r="K2916" s="116" t="s">
        <v>1765</v>
      </c>
      <c r="L2916" s="29"/>
      <c r="M2916" s="68">
        <v>1</v>
      </c>
      <c r="N2916" s="68" t="s">
        <v>7024</v>
      </c>
    </row>
    <row r="2917" spans="1:14" s="3" customFormat="1" ht="14.25" x14ac:dyDescent="0.2">
      <c r="A2917" s="56" t="s">
        <v>6627</v>
      </c>
      <c r="B2917" s="57" t="s">
        <v>4701</v>
      </c>
      <c r="C2917" s="29" t="s">
        <v>3757</v>
      </c>
      <c r="D2917" s="29" t="s">
        <v>3754</v>
      </c>
      <c r="E2917" s="61" t="s">
        <v>5039</v>
      </c>
      <c r="F2917" s="29" t="s">
        <v>7116</v>
      </c>
      <c r="G2917" s="8">
        <v>51</v>
      </c>
      <c r="H2917" s="8"/>
      <c r="I2917" s="8"/>
      <c r="J2917" s="29" t="s">
        <v>5152</v>
      </c>
      <c r="K2917" s="29" t="s">
        <v>19</v>
      </c>
      <c r="L2917" s="103"/>
      <c r="M2917" s="68">
        <v>1</v>
      </c>
      <c r="N2917" s="68" t="s">
        <v>7094</v>
      </c>
    </row>
    <row r="2918" spans="1:14" s="3" customFormat="1" ht="14.25" x14ac:dyDescent="0.2">
      <c r="A2918" s="43" t="s">
        <v>6627</v>
      </c>
      <c r="B2918" s="12" t="s">
        <v>3735</v>
      </c>
      <c r="C2918" s="27" t="s">
        <v>3754</v>
      </c>
      <c r="D2918" s="27" t="s">
        <v>3754</v>
      </c>
      <c r="E2918" s="68" t="s">
        <v>6628</v>
      </c>
      <c r="F2918" s="27" t="s">
        <v>5038</v>
      </c>
      <c r="G2918" s="79">
        <v>63</v>
      </c>
      <c r="H2918" s="8"/>
      <c r="I2918" s="8"/>
      <c r="J2918" s="76" t="s">
        <v>1271</v>
      </c>
      <c r="K2918" s="116" t="s">
        <v>6629</v>
      </c>
      <c r="L2918" s="29"/>
      <c r="M2918" s="68">
        <v>1</v>
      </c>
      <c r="N2918" s="68" t="s">
        <v>7024</v>
      </c>
    </row>
    <row r="2919" spans="1:14" s="3" customFormat="1" ht="14.25" x14ac:dyDescent="0.2">
      <c r="A2919" s="73" t="s">
        <v>1207</v>
      </c>
      <c r="B2919" s="12" t="s">
        <v>3748</v>
      </c>
      <c r="C2919" s="74" t="s">
        <v>3757</v>
      </c>
      <c r="D2919" s="74" t="s">
        <v>3754</v>
      </c>
      <c r="E2919" s="78" t="s">
        <v>271</v>
      </c>
      <c r="F2919" s="74" t="s">
        <v>3238</v>
      </c>
      <c r="G2919" s="8">
        <v>95</v>
      </c>
      <c r="H2919" s="8"/>
      <c r="I2919" s="8"/>
      <c r="J2919" s="74" t="s">
        <v>1271</v>
      </c>
      <c r="K2919" s="115" t="s">
        <v>7027</v>
      </c>
      <c r="L2919" s="29"/>
      <c r="M2919" s="68">
        <v>1</v>
      </c>
      <c r="N2919" s="68" t="s">
        <v>7025</v>
      </c>
    </row>
    <row r="2920" spans="1:14" s="3" customFormat="1" ht="14.25" x14ac:dyDescent="0.2">
      <c r="A2920" s="56" t="s">
        <v>1207</v>
      </c>
      <c r="B2920" s="57" t="s">
        <v>4703</v>
      </c>
      <c r="C2920" s="29" t="s">
        <v>3757</v>
      </c>
      <c r="D2920" s="13" t="s">
        <v>3754</v>
      </c>
      <c r="E2920" s="68" t="s">
        <v>1208</v>
      </c>
      <c r="F2920" s="29" t="s">
        <v>1541</v>
      </c>
      <c r="G2920" s="8">
        <v>32</v>
      </c>
      <c r="H2920" s="8"/>
      <c r="I2920" s="8"/>
      <c r="J2920" s="29" t="s">
        <v>1641</v>
      </c>
      <c r="K2920" s="72" t="s">
        <v>1642</v>
      </c>
      <c r="L2920" s="29"/>
      <c r="M2920" s="68">
        <v>1</v>
      </c>
      <c r="N2920" s="68" t="s">
        <v>402</v>
      </c>
    </row>
    <row r="2921" spans="1:14" s="3" customFormat="1" ht="14.25" x14ac:dyDescent="0.2">
      <c r="A2921" s="56" t="s">
        <v>1207</v>
      </c>
      <c r="B2921" s="57" t="s">
        <v>4701</v>
      </c>
      <c r="C2921" s="29" t="s">
        <v>3757</v>
      </c>
      <c r="D2921" s="29" t="s">
        <v>3767</v>
      </c>
      <c r="E2921" s="55" t="s">
        <v>7119</v>
      </c>
      <c r="F2921" s="29" t="s">
        <v>434</v>
      </c>
      <c r="G2921" s="8">
        <v>74</v>
      </c>
      <c r="H2921" s="8"/>
      <c r="I2921" s="8"/>
      <c r="J2921" s="29" t="s">
        <v>5945</v>
      </c>
      <c r="K2921" s="29" t="s">
        <v>3339</v>
      </c>
      <c r="L2921" s="103"/>
      <c r="M2921" s="68">
        <v>1</v>
      </c>
      <c r="N2921" s="68" t="s">
        <v>7094</v>
      </c>
    </row>
    <row r="2922" spans="1:14" s="3" customFormat="1" ht="14.25" x14ac:dyDescent="0.2">
      <c r="A2922" s="56" t="s">
        <v>1207</v>
      </c>
      <c r="B2922" s="57" t="s">
        <v>3747</v>
      </c>
      <c r="C2922" s="29" t="s">
        <v>3757</v>
      </c>
      <c r="D2922" s="29" t="s">
        <v>3767</v>
      </c>
      <c r="E2922" s="61" t="s">
        <v>7117</v>
      </c>
      <c r="F2922" s="29" t="s">
        <v>434</v>
      </c>
      <c r="G2922" s="8">
        <v>72</v>
      </c>
      <c r="H2922" s="8"/>
      <c r="I2922" s="8"/>
      <c r="J2922" s="29" t="s">
        <v>1270</v>
      </c>
      <c r="K2922" s="29" t="s">
        <v>25</v>
      </c>
      <c r="L2922" s="103"/>
      <c r="M2922" s="68">
        <v>1</v>
      </c>
      <c r="N2922" s="68" t="s">
        <v>7094</v>
      </c>
    </row>
    <row r="2923" spans="1:14" s="3" customFormat="1" ht="14.25" x14ac:dyDescent="0.2">
      <c r="A2923" s="56" t="s">
        <v>4220</v>
      </c>
      <c r="B2923" s="57" t="s">
        <v>7845</v>
      </c>
      <c r="C2923" s="16" t="s">
        <v>3761</v>
      </c>
      <c r="D2923" s="29"/>
      <c r="E2923" s="112" t="s">
        <v>1247</v>
      </c>
      <c r="F2923" s="29" t="s">
        <v>1248</v>
      </c>
      <c r="G2923" s="8">
        <v>1</v>
      </c>
      <c r="H2923" s="8">
        <v>8</v>
      </c>
      <c r="I2923" s="8"/>
      <c r="J2923" s="29" t="s">
        <v>1254</v>
      </c>
      <c r="K2923" s="72" t="s">
        <v>1249</v>
      </c>
      <c r="L2923" s="29"/>
      <c r="M2923" s="68">
        <v>1</v>
      </c>
      <c r="N2923" s="68" t="s">
        <v>402</v>
      </c>
    </row>
    <row r="2924" spans="1:14" s="3" customFormat="1" ht="14.25" x14ac:dyDescent="0.2">
      <c r="A2924" s="56" t="s">
        <v>4220</v>
      </c>
      <c r="B2924" s="57" t="s">
        <v>7846</v>
      </c>
      <c r="C2924" s="16" t="s">
        <v>3761</v>
      </c>
      <c r="D2924" s="29"/>
      <c r="E2924" s="112" t="s">
        <v>1250</v>
      </c>
      <c r="F2924" s="29" t="s">
        <v>1251</v>
      </c>
      <c r="G2924" s="8">
        <v>30</v>
      </c>
      <c r="H2924" s="8"/>
      <c r="I2924" s="8"/>
      <c r="J2924" s="29" t="s">
        <v>1264</v>
      </c>
      <c r="K2924" s="72" t="s">
        <v>4755</v>
      </c>
      <c r="L2924" s="29"/>
      <c r="M2924" s="68">
        <v>1</v>
      </c>
      <c r="N2924" s="68" t="s">
        <v>402</v>
      </c>
    </row>
    <row r="2925" spans="1:14" s="3" customFormat="1" ht="14.25" x14ac:dyDescent="0.2">
      <c r="A2925" s="56" t="s">
        <v>4220</v>
      </c>
      <c r="B2925" s="57" t="s">
        <v>4688</v>
      </c>
      <c r="C2925" s="16" t="s">
        <v>3761</v>
      </c>
      <c r="D2925" s="13" t="s">
        <v>3754</v>
      </c>
      <c r="E2925" s="112">
        <v>1872</v>
      </c>
      <c r="F2925" s="29" t="s">
        <v>1252</v>
      </c>
      <c r="G2925" s="8"/>
      <c r="H2925" s="8"/>
      <c r="I2925" s="8">
        <v>7</v>
      </c>
      <c r="J2925" s="29" t="s">
        <v>1258</v>
      </c>
      <c r="K2925" s="72" t="s">
        <v>4753</v>
      </c>
      <c r="L2925" s="95"/>
      <c r="M2925" s="68">
        <v>1</v>
      </c>
      <c r="N2925" s="68" t="s">
        <v>402</v>
      </c>
    </row>
    <row r="2926" spans="1:14" s="3" customFormat="1" ht="14.25" x14ac:dyDescent="0.2">
      <c r="A2926" s="56" t="s">
        <v>4220</v>
      </c>
      <c r="B2926" s="57" t="s">
        <v>1432</v>
      </c>
      <c r="C2926" s="29" t="s">
        <v>3754</v>
      </c>
      <c r="D2926" s="29" t="s">
        <v>3754</v>
      </c>
      <c r="E2926" s="61" t="s">
        <v>7132</v>
      </c>
      <c r="F2926" s="29" t="s">
        <v>3754</v>
      </c>
      <c r="G2926" s="8">
        <v>4</v>
      </c>
      <c r="H2926" s="8"/>
      <c r="I2926" s="8"/>
      <c r="J2926" s="29" t="s">
        <v>1412</v>
      </c>
      <c r="K2926" s="29"/>
      <c r="L2926" s="103"/>
      <c r="M2926" s="68">
        <v>1</v>
      </c>
      <c r="N2926" s="68" t="s">
        <v>7094</v>
      </c>
    </row>
    <row r="2927" spans="1:14" s="3" customFormat="1" ht="14.25" x14ac:dyDescent="0.2">
      <c r="A2927" s="56" t="s">
        <v>4220</v>
      </c>
      <c r="B2927" s="57" t="s">
        <v>3727</v>
      </c>
      <c r="C2927" s="16" t="s">
        <v>3761</v>
      </c>
      <c r="D2927" s="13" t="s">
        <v>3754</v>
      </c>
      <c r="E2927" s="112">
        <v>1861</v>
      </c>
      <c r="F2927" s="29" t="s">
        <v>1252</v>
      </c>
      <c r="G2927" s="8">
        <v>1</v>
      </c>
      <c r="H2927" s="8">
        <v>1</v>
      </c>
      <c r="I2927" s="8"/>
      <c r="J2927" s="29" t="s">
        <v>1258</v>
      </c>
      <c r="K2927" s="72" t="s">
        <v>4753</v>
      </c>
      <c r="L2927" s="29"/>
      <c r="M2927" s="68">
        <v>1</v>
      </c>
      <c r="N2927" s="68" t="s">
        <v>402</v>
      </c>
    </row>
    <row r="2928" spans="1:14" s="3" customFormat="1" ht="15" x14ac:dyDescent="0.2">
      <c r="A2928" s="56" t="s">
        <v>4220</v>
      </c>
      <c r="B2928" s="57" t="s">
        <v>4685</v>
      </c>
      <c r="C2928" s="29" t="s">
        <v>3754</v>
      </c>
      <c r="D2928" s="29" t="s">
        <v>3754</v>
      </c>
      <c r="E2928" s="61" t="s">
        <v>53</v>
      </c>
      <c r="F2928" s="29" t="s">
        <v>7153</v>
      </c>
      <c r="G2928" s="8">
        <v>20</v>
      </c>
      <c r="H2928" s="8">
        <v>10</v>
      </c>
      <c r="I2928" s="8"/>
      <c r="J2928" s="29" t="s">
        <v>1264</v>
      </c>
      <c r="K2928" s="103" t="s">
        <v>55</v>
      </c>
      <c r="L2928" s="58"/>
      <c r="M2928" s="68">
        <v>1</v>
      </c>
      <c r="N2928" s="68" t="s">
        <v>7149</v>
      </c>
    </row>
    <row r="2929" spans="1:14" s="3" customFormat="1" ht="14.25" x14ac:dyDescent="0.2">
      <c r="A2929" s="56" t="s">
        <v>4220</v>
      </c>
      <c r="B2929" s="57" t="s">
        <v>7133</v>
      </c>
      <c r="C2929" s="29" t="s">
        <v>3754</v>
      </c>
      <c r="D2929" s="29"/>
      <c r="E2929" s="55" t="s">
        <v>7134</v>
      </c>
      <c r="F2929" s="29" t="s">
        <v>3754</v>
      </c>
      <c r="G2929" s="8">
        <v>1</v>
      </c>
      <c r="H2929" s="8">
        <v>7</v>
      </c>
      <c r="I2929" s="8"/>
      <c r="J2929" s="29" t="s">
        <v>1258</v>
      </c>
      <c r="K2929" s="29"/>
      <c r="L2929" s="103"/>
      <c r="M2929" s="68">
        <v>1</v>
      </c>
      <c r="N2929" s="68" t="s">
        <v>7094</v>
      </c>
    </row>
    <row r="2930" spans="1:14" s="3" customFormat="1" ht="14.25" x14ac:dyDescent="0.2">
      <c r="A2930" s="56" t="s">
        <v>4220</v>
      </c>
      <c r="B2930" s="57" t="s">
        <v>7847</v>
      </c>
      <c r="C2930" s="29" t="s">
        <v>3754</v>
      </c>
      <c r="D2930" s="29" t="s">
        <v>3754</v>
      </c>
      <c r="E2930" s="55" t="s">
        <v>7136</v>
      </c>
      <c r="F2930" s="29" t="s">
        <v>3754</v>
      </c>
      <c r="G2930" s="8">
        <v>1</v>
      </c>
      <c r="H2930" s="8">
        <v>3</v>
      </c>
      <c r="I2930" s="8"/>
      <c r="J2930" s="29" t="s">
        <v>6927</v>
      </c>
      <c r="K2930" s="29"/>
      <c r="L2930" s="103"/>
      <c r="M2930" s="68">
        <v>1</v>
      </c>
      <c r="N2930" s="68" t="s">
        <v>7094</v>
      </c>
    </row>
    <row r="2931" spans="1:14" s="3" customFormat="1" ht="14.25" x14ac:dyDescent="0.2">
      <c r="A2931" s="43" t="s">
        <v>4220</v>
      </c>
      <c r="B2931" s="12" t="s">
        <v>7013</v>
      </c>
      <c r="C2931" s="27" t="s">
        <v>3754</v>
      </c>
      <c r="D2931" s="27"/>
      <c r="E2931" s="112" t="s">
        <v>2426</v>
      </c>
      <c r="F2931" s="27" t="s">
        <v>7014</v>
      </c>
      <c r="G2931" s="79">
        <v>21</v>
      </c>
      <c r="H2931" s="79">
        <v>6</v>
      </c>
      <c r="I2931" s="8"/>
      <c r="J2931" s="76" t="s">
        <v>1264</v>
      </c>
      <c r="K2931" s="116" t="s">
        <v>518</v>
      </c>
      <c r="L2931" s="29"/>
      <c r="M2931" s="68">
        <v>1</v>
      </c>
      <c r="N2931" s="68" t="s">
        <v>7024</v>
      </c>
    </row>
    <row r="2932" spans="1:14" s="3" customFormat="1" ht="14.25" x14ac:dyDescent="0.2">
      <c r="A2932" s="73" t="s">
        <v>4220</v>
      </c>
      <c r="B2932" s="12" t="s">
        <v>3732</v>
      </c>
      <c r="C2932" s="74" t="s">
        <v>3757</v>
      </c>
      <c r="D2932" s="74" t="s">
        <v>3754</v>
      </c>
      <c r="E2932" s="78" t="s">
        <v>866</v>
      </c>
      <c r="F2932" s="74" t="s">
        <v>7075</v>
      </c>
      <c r="G2932" s="8">
        <v>46</v>
      </c>
      <c r="H2932" s="8"/>
      <c r="I2932" s="8"/>
      <c r="J2932" s="74" t="s">
        <v>1264</v>
      </c>
      <c r="K2932" s="115" t="s">
        <v>2980</v>
      </c>
      <c r="L2932" s="29"/>
      <c r="M2932" s="68">
        <v>1</v>
      </c>
      <c r="N2932" s="68" t="s">
        <v>7025</v>
      </c>
    </row>
    <row r="2933" spans="1:14" s="3" customFormat="1" ht="14.25" x14ac:dyDescent="0.2">
      <c r="A2933" s="56" t="s">
        <v>4220</v>
      </c>
      <c r="B2933" s="57" t="s">
        <v>468</v>
      </c>
      <c r="C2933" s="29" t="s">
        <v>3768</v>
      </c>
      <c r="D2933" s="29" t="s">
        <v>3768</v>
      </c>
      <c r="E2933" s="61" t="s">
        <v>7135</v>
      </c>
      <c r="F2933" s="29" t="s">
        <v>3754</v>
      </c>
      <c r="G2933" s="8"/>
      <c r="H2933" s="8">
        <v>3</v>
      </c>
      <c r="I2933" s="8"/>
      <c r="J2933" s="29" t="s">
        <v>1849</v>
      </c>
      <c r="K2933" s="29"/>
      <c r="L2933" s="103"/>
      <c r="M2933" s="68">
        <v>1</v>
      </c>
      <c r="N2933" s="68" t="s">
        <v>7094</v>
      </c>
    </row>
    <row r="2934" spans="1:14" s="3" customFormat="1" ht="14.25" x14ac:dyDescent="0.2">
      <c r="A2934" s="56" t="s">
        <v>4220</v>
      </c>
      <c r="B2934" s="57" t="s">
        <v>4695</v>
      </c>
      <c r="C2934" s="16" t="s">
        <v>3761</v>
      </c>
      <c r="D2934" s="13" t="s">
        <v>3754</v>
      </c>
      <c r="E2934" s="112">
        <v>1859</v>
      </c>
      <c r="F2934" s="29" t="s">
        <v>1252</v>
      </c>
      <c r="G2934" s="8"/>
      <c r="H2934" s="8"/>
      <c r="I2934" s="8">
        <v>11</v>
      </c>
      <c r="J2934" s="29" t="s">
        <v>1258</v>
      </c>
      <c r="K2934" s="72" t="s">
        <v>4753</v>
      </c>
      <c r="L2934" s="29"/>
      <c r="M2934" s="68">
        <v>1</v>
      </c>
      <c r="N2934" s="68" t="s">
        <v>402</v>
      </c>
    </row>
    <row r="2935" spans="1:14" s="3" customFormat="1" ht="14.25" x14ac:dyDescent="0.2">
      <c r="A2935" s="56" t="s">
        <v>4220</v>
      </c>
      <c r="B2935" s="57" t="s">
        <v>3723</v>
      </c>
      <c r="C2935" s="29" t="s">
        <v>3757</v>
      </c>
      <c r="D2935" s="29" t="s">
        <v>3754</v>
      </c>
      <c r="E2935" s="55" t="s">
        <v>1370</v>
      </c>
      <c r="F2935" s="29" t="s">
        <v>3754</v>
      </c>
      <c r="G2935" s="8">
        <v>1</v>
      </c>
      <c r="H2935" s="8">
        <v>6</v>
      </c>
      <c r="I2935" s="8"/>
      <c r="J2935" s="29" t="s">
        <v>1257</v>
      </c>
      <c r="K2935" s="29"/>
      <c r="L2935" s="103"/>
      <c r="M2935" s="68">
        <v>1</v>
      </c>
      <c r="N2935" s="68" t="s">
        <v>7094</v>
      </c>
    </row>
    <row r="2936" spans="1:14" s="3" customFormat="1" ht="14.25" x14ac:dyDescent="0.2">
      <c r="A2936" s="43" t="s">
        <v>4220</v>
      </c>
      <c r="B2936" s="12" t="s">
        <v>5057</v>
      </c>
      <c r="C2936" s="27" t="s">
        <v>3754</v>
      </c>
      <c r="D2936" s="27"/>
      <c r="E2936" s="68" t="s">
        <v>6003</v>
      </c>
      <c r="F2936" s="27" t="s">
        <v>7014</v>
      </c>
      <c r="G2936" s="79">
        <v>23</v>
      </c>
      <c r="H2936" s="8"/>
      <c r="I2936" s="8"/>
      <c r="J2936" s="76" t="s">
        <v>1264</v>
      </c>
      <c r="K2936" s="116" t="s">
        <v>8638</v>
      </c>
      <c r="L2936" s="29"/>
      <c r="M2936" s="68">
        <v>1</v>
      </c>
      <c r="N2936" s="68" t="s">
        <v>7024</v>
      </c>
    </row>
    <row r="2937" spans="1:14" s="3" customFormat="1" ht="14.25" x14ac:dyDescent="0.2">
      <c r="A2937" s="47" t="s">
        <v>4220</v>
      </c>
      <c r="B2937" s="5" t="s">
        <v>5057</v>
      </c>
      <c r="C2937" s="45" t="s">
        <v>3759</v>
      </c>
      <c r="D2937" s="45"/>
      <c r="E2937" s="112" t="s">
        <v>6003</v>
      </c>
      <c r="F2937" s="45" t="s">
        <v>7014</v>
      </c>
      <c r="G2937" s="79">
        <v>23</v>
      </c>
      <c r="H2937" s="79">
        <v>2</v>
      </c>
      <c r="I2937" s="8"/>
      <c r="J2937" s="80" t="s">
        <v>1264</v>
      </c>
      <c r="K2937" s="118" t="s">
        <v>7019</v>
      </c>
      <c r="L2937" s="61"/>
      <c r="M2937" s="68">
        <v>1</v>
      </c>
      <c r="N2937" s="68" t="s">
        <v>7024</v>
      </c>
    </row>
    <row r="2938" spans="1:14" s="3" customFormat="1" ht="14.25" x14ac:dyDescent="0.2">
      <c r="A2938" s="63" t="s">
        <v>4220</v>
      </c>
      <c r="B2938" s="60" t="s">
        <v>3746</v>
      </c>
      <c r="C2938" s="19" t="s">
        <v>3761</v>
      </c>
      <c r="D2938" s="10" t="s">
        <v>3754</v>
      </c>
      <c r="E2938" s="68" t="s">
        <v>4221</v>
      </c>
      <c r="F2938" s="55" t="s">
        <v>1541</v>
      </c>
      <c r="G2938" s="8">
        <v>62</v>
      </c>
      <c r="H2938" s="8"/>
      <c r="I2938" s="8"/>
      <c r="J2938" s="55" t="s">
        <v>1264</v>
      </c>
      <c r="K2938" s="112" t="s">
        <v>4221</v>
      </c>
      <c r="L2938" s="61"/>
      <c r="M2938" s="68">
        <v>1</v>
      </c>
      <c r="N2938" s="68" t="s">
        <v>402</v>
      </c>
    </row>
    <row r="2939" spans="1:14" s="3" customFormat="1" ht="14.25" x14ac:dyDescent="0.2">
      <c r="A2939" s="51" t="s">
        <v>4220</v>
      </c>
      <c r="B2939" s="38" t="s">
        <v>2055</v>
      </c>
      <c r="C2939" s="53" t="s">
        <v>3754</v>
      </c>
      <c r="D2939" s="53" t="s">
        <v>3768</v>
      </c>
      <c r="E2939" s="68" t="s">
        <v>6605</v>
      </c>
      <c r="F2939" s="53" t="s">
        <v>8520</v>
      </c>
      <c r="G2939" s="8"/>
      <c r="H2939" s="79">
        <v>7</v>
      </c>
      <c r="I2939" s="8"/>
      <c r="J2939" s="81" t="s">
        <v>8487</v>
      </c>
      <c r="K2939" s="118" t="s">
        <v>6606</v>
      </c>
      <c r="L2939" s="29"/>
      <c r="M2939" s="68">
        <v>1</v>
      </c>
      <c r="N2939" s="68" t="s">
        <v>7024</v>
      </c>
    </row>
    <row r="2940" spans="1:14" s="3" customFormat="1" ht="14.25" x14ac:dyDescent="0.2">
      <c r="A2940" s="82" t="s">
        <v>4220</v>
      </c>
      <c r="B2940" s="83" t="s">
        <v>8302</v>
      </c>
      <c r="C2940" s="84" t="s">
        <v>3754</v>
      </c>
      <c r="D2940" s="84" t="s">
        <v>3754</v>
      </c>
      <c r="E2940" s="61" t="s">
        <v>7131</v>
      </c>
      <c r="F2940" s="84" t="s">
        <v>3754</v>
      </c>
      <c r="G2940" s="8"/>
      <c r="H2940" s="8">
        <v>7</v>
      </c>
      <c r="I2940" s="8"/>
      <c r="J2940" s="84" t="s">
        <v>3059</v>
      </c>
      <c r="K2940" s="55"/>
      <c r="L2940" s="103"/>
      <c r="M2940" s="68">
        <v>1</v>
      </c>
      <c r="N2940" s="68" t="s">
        <v>7094</v>
      </c>
    </row>
    <row r="2941" spans="1:14" s="3" customFormat="1" ht="14.25" x14ac:dyDescent="0.2">
      <c r="A2941" s="51" t="s">
        <v>7020</v>
      </c>
      <c r="B2941" s="38" t="s">
        <v>4369</v>
      </c>
      <c r="C2941" s="53" t="s">
        <v>3754</v>
      </c>
      <c r="D2941" s="53"/>
      <c r="E2941" s="68" t="s">
        <v>2426</v>
      </c>
      <c r="F2941" s="53" t="s">
        <v>7014</v>
      </c>
      <c r="G2941" s="79">
        <v>21</v>
      </c>
      <c r="H2941" s="79">
        <v>6</v>
      </c>
      <c r="I2941" s="8"/>
      <c r="J2941" s="81" t="s">
        <v>1264</v>
      </c>
      <c r="K2941" s="118" t="s">
        <v>7019</v>
      </c>
      <c r="L2941" s="29"/>
      <c r="M2941" s="68">
        <v>1</v>
      </c>
      <c r="N2941" s="68" t="s">
        <v>7024</v>
      </c>
    </row>
    <row r="2942" spans="1:14" s="3" customFormat="1" ht="14.25" x14ac:dyDescent="0.2">
      <c r="A2942" s="82" t="s">
        <v>6591</v>
      </c>
      <c r="B2942" s="83" t="s">
        <v>1041</v>
      </c>
      <c r="C2942" s="84" t="s">
        <v>3754</v>
      </c>
      <c r="D2942" s="39" t="s">
        <v>3754</v>
      </c>
      <c r="E2942" s="112"/>
      <c r="F2942" s="84" t="s">
        <v>6625</v>
      </c>
      <c r="G2942" s="8">
        <v>2</v>
      </c>
      <c r="H2942" s="8">
        <v>3</v>
      </c>
      <c r="I2942" s="8"/>
      <c r="J2942" s="84" t="s">
        <v>7319</v>
      </c>
      <c r="K2942" s="55" t="s">
        <v>5320</v>
      </c>
      <c r="L2942" s="103"/>
      <c r="M2942" s="68">
        <v>1</v>
      </c>
      <c r="N2942" s="68" t="s">
        <v>7094</v>
      </c>
    </row>
    <row r="2943" spans="1:14" s="3" customFormat="1" ht="14.25" x14ac:dyDescent="0.2">
      <c r="A2943" s="51" t="s">
        <v>6591</v>
      </c>
      <c r="B2943" s="38" t="s">
        <v>3740</v>
      </c>
      <c r="C2943" s="53" t="s">
        <v>3754</v>
      </c>
      <c r="D2943" s="53" t="s">
        <v>3754</v>
      </c>
      <c r="E2943" s="68"/>
      <c r="F2943" s="53" t="s">
        <v>5160</v>
      </c>
      <c r="G2943" s="79">
        <v>12</v>
      </c>
      <c r="H2943" s="79">
        <v>2</v>
      </c>
      <c r="I2943" s="8"/>
      <c r="J2943" s="81" t="s">
        <v>4737</v>
      </c>
      <c r="K2943" s="118" t="s">
        <v>6594</v>
      </c>
      <c r="L2943" s="29"/>
      <c r="M2943" s="68">
        <v>1</v>
      </c>
      <c r="N2943" s="68" t="s">
        <v>7024</v>
      </c>
    </row>
    <row r="2944" spans="1:14" s="3" customFormat="1" ht="14.25" x14ac:dyDescent="0.2">
      <c r="A2944" s="51" t="s">
        <v>6591</v>
      </c>
      <c r="B2944" s="38" t="s">
        <v>3723</v>
      </c>
      <c r="C2944" s="53" t="s">
        <v>3754</v>
      </c>
      <c r="D2944" s="53" t="s">
        <v>3754</v>
      </c>
      <c r="E2944" s="68" t="s">
        <v>4503</v>
      </c>
      <c r="F2944" s="53" t="s">
        <v>6625</v>
      </c>
      <c r="G2944" s="8"/>
      <c r="H2944" s="79">
        <v>10</v>
      </c>
      <c r="I2944" s="79">
        <v>8</v>
      </c>
      <c r="J2944" s="81" t="s">
        <v>6616</v>
      </c>
      <c r="K2944" s="118" t="s">
        <v>6620</v>
      </c>
      <c r="L2944" s="29"/>
      <c r="M2944" s="68">
        <v>1</v>
      </c>
      <c r="N2944" s="68" t="s">
        <v>7024</v>
      </c>
    </row>
    <row r="2945" spans="1:14" s="3" customFormat="1" ht="14.25" x14ac:dyDescent="0.2">
      <c r="A2945" s="51" t="s">
        <v>6591</v>
      </c>
      <c r="B2945" s="38" t="s">
        <v>8576</v>
      </c>
      <c r="C2945" s="53" t="s">
        <v>3757</v>
      </c>
      <c r="D2945" s="53" t="s">
        <v>3754</v>
      </c>
      <c r="E2945" s="112" t="s">
        <v>6592</v>
      </c>
      <c r="F2945" s="53" t="s">
        <v>6593</v>
      </c>
      <c r="G2945" s="79">
        <v>27</v>
      </c>
      <c r="H2945" s="8"/>
      <c r="I2945" s="8"/>
      <c r="J2945" s="81" t="s">
        <v>4737</v>
      </c>
      <c r="K2945" s="118" t="s">
        <v>6594</v>
      </c>
      <c r="L2945" s="29"/>
      <c r="M2945" s="68">
        <v>1</v>
      </c>
      <c r="N2945" s="68" t="s">
        <v>7024</v>
      </c>
    </row>
    <row r="2946" spans="1:14" s="3" customFormat="1" ht="14.25" x14ac:dyDescent="0.2">
      <c r="A2946" s="85" t="s">
        <v>6591</v>
      </c>
      <c r="B2946" s="38" t="s">
        <v>7029</v>
      </c>
      <c r="C2946" s="86" t="s">
        <v>3757</v>
      </c>
      <c r="D2946" s="86" t="s">
        <v>3754</v>
      </c>
      <c r="E2946" s="78"/>
      <c r="F2946" s="86" t="s">
        <v>3769</v>
      </c>
      <c r="G2946" s="8">
        <v>37</v>
      </c>
      <c r="H2946" s="8"/>
      <c r="I2946" s="8"/>
      <c r="J2946" s="86" t="s">
        <v>3769</v>
      </c>
      <c r="K2946" s="117" t="s">
        <v>4923</v>
      </c>
      <c r="L2946" s="29"/>
      <c r="M2946" s="68">
        <v>1</v>
      </c>
      <c r="N2946" s="68" t="s">
        <v>7025</v>
      </c>
    </row>
    <row r="2947" spans="1:14" s="3" customFormat="1" ht="14.25" x14ac:dyDescent="0.2">
      <c r="A2947" s="82" t="s">
        <v>6591</v>
      </c>
      <c r="B2947" s="83" t="s">
        <v>8813</v>
      </c>
      <c r="C2947" s="84" t="s">
        <v>3754</v>
      </c>
      <c r="D2947" s="84" t="s">
        <v>3754</v>
      </c>
      <c r="E2947" s="55" t="s">
        <v>2892</v>
      </c>
      <c r="F2947" s="84" t="s">
        <v>7106</v>
      </c>
      <c r="G2947" s="8">
        <v>22</v>
      </c>
      <c r="H2947" s="8">
        <v>7</v>
      </c>
      <c r="I2947" s="8"/>
      <c r="J2947" s="84" t="s">
        <v>1264</v>
      </c>
      <c r="K2947" s="55" t="s">
        <v>2895</v>
      </c>
      <c r="L2947" s="103"/>
      <c r="M2947" s="68">
        <v>1</v>
      </c>
      <c r="N2947" s="68" t="s">
        <v>7094</v>
      </c>
    </row>
    <row r="2948" spans="1:14" s="3" customFormat="1" ht="14.25" x14ac:dyDescent="0.2">
      <c r="A2948" s="82" t="s">
        <v>2793</v>
      </c>
      <c r="B2948" s="83" t="s">
        <v>8660</v>
      </c>
      <c r="C2948" s="84" t="s">
        <v>3757</v>
      </c>
      <c r="D2948" s="39" t="s">
        <v>3754</v>
      </c>
      <c r="E2948" s="68"/>
      <c r="F2948" s="84" t="s">
        <v>2794</v>
      </c>
      <c r="G2948" s="8">
        <v>18</v>
      </c>
      <c r="H2948" s="8"/>
      <c r="I2948" s="8"/>
      <c r="J2948" s="84" t="s">
        <v>1264</v>
      </c>
      <c r="K2948" s="112" t="s">
        <v>6347</v>
      </c>
      <c r="L2948" s="29"/>
      <c r="M2948" s="68">
        <v>1</v>
      </c>
      <c r="N2948" s="68" t="s">
        <v>1253</v>
      </c>
    </row>
    <row r="2949" spans="1:14" s="3" customFormat="1" ht="14.25" x14ac:dyDescent="0.2">
      <c r="A2949" s="82" t="s">
        <v>2793</v>
      </c>
      <c r="B2949" s="83" t="s">
        <v>3723</v>
      </c>
      <c r="C2949" s="84" t="s">
        <v>3757</v>
      </c>
      <c r="D2949" s="39" t="s">
        <v>3754</v>
      </c>
      <c r="E2949" s="68"/>
      <c r="F2949" s="84" t="s">
        <v>2794</v>
      </c>
      <c r="G2949" s="8">
        <v>81</v>
      </c>
      <c r="H2949" s="8"/>
      <c r="I2949" s="8"/>
      <c r="J2949" s="84" t="s">
        <v>1271</v>
      </c>
      <c r="K2949" s="112" t="s">
        <v>6347</v>
      </c>
      <c r="L2949" s="29"/>
      <c r="M2949" s="68">
        <v>1</v>
      </c>
      <c r="N2949" s="68" t="s">
        <v>1253</v>
      </c>
    </row>
    <row r="2950" spans="1:14" s="3" customFormat="1" ht="14.25" x14ac:dyDescent="0.2">
      <c r="A2950" s="82" t="s">
        <v>2793</v>
      </c>
      <c r="B2950" s="83" t="s">
        <v>3733</v>
      </c>
      <c r="C2950" s="84" t="s">
        <v>3757</v>
      </c>
      <c r="D2950" s="39" t="s">
        <v>3754</v>
      </c>
      <c r="E2950" s="112"/>
      <c r="F2950" s="84" t="s">
        <v>2794</v>
      </c>
      <c r="G2950" s="8">
        <v>25</v>
      </c>
      <c r="H2950" s="8"/>
      <c r="I2950" s="8"/>
      <c r="J2950" s="84" t="s">
        <v>2795</v>
      </c>
      <c r="K2950" s="112" t="s">
        <v>6347</v>
      </c>
      <c r="L2950" s="29"/>
      <c r="M2950" s="68">
        <v>1</v>
      </c>
      <c r="N2950" s="68" t="s">
        <v>1253</v>
      </c>
    </row>
    <row r="2951" spans="1:14" s="3" customFormat="1" ht="14.25" x14ac:dyDescent="0.2">
      <c r="A2951" s="82" t="s">
        <v>7146</v>
      </c>
      <c r="B2951" s="83" t="s">
        <v>5523</v>
      </c>
      <c r="C2951" s="84" t="s">
        <v>5699</v>
      </c>
      <c r="D2951" s="84" t="s">
        <v>5699</v>
      </c>
      <c r="E2951" s="55" t="s">
        <v>2536</v>
      </c>
      <c r="F2951" s="84" t="s">
        <v>2293</v>
      </c>
      <c r="G2951" s="8"/>
      <c r="H2951" s="8">
        <v>2</v>
      </c>
      <c r="I2951" s="8">
        <v>18</v>
      </c>
      <c r="J2951" s="84" t="s">
        <v>1258</v>
      </c>
      <c r="K2951" s="55" t="s">
        <v>2539</v>
      </c>
      <c r="L2951" s="103"/>
      <c r="M2951" s="68">
        <v>1</v>
      </c>
      <c r="N2951" s="68" t="s">
        <v>7094</v>
      </c>
    </row>
    <row r="2952" spans="1:14" s="3" customFormat="1" ht="28.5" x14ac:dyDescent="0.2">
      <c r="A2952" s="85" t="s">
        <v>7039</v>
      </c>
      <c r="B2952" s="38" t="s">
        <v>8616</v>
      </c>
      <c r="C2952" s="86" t="s">
        <v>3757</v>
      </c>
      <c r="D2952" s="86" t="s">
        <v>3754</v>
      </c>
      <c r="E2952" s="78" t="s">
        <v>7040</v>
      </c>
      <c r="F2952" s="86" t="s">
        <v>7041</v>
      </c>
      <c r="G2952" s="8">
        <v>60</v>
      </c>
      <c r="H2952" s="8"/>
      <c r="I2952" s="8"/>
      <c r="J2952" s="86" t="s">
        <v>7042</v>
      </c>
      <c r="K2952" s="117" t="s">
        <v>624</v>
      </c>
      <c r="L2952" s="29"/>
      <c r="M2952" s="68">
        <v>1</v>
      </c>
      <c r="N2952" s="68" t="s">
        <v>7025</v>
      </c>
    </row>
    <row r="2953" spans="1:14" s="3" customFormat="1" ht="14.25" x14ac:dyDescent="0.2">
      <c r="A2953" s="51" t="s">
        <v>2838</v>
      </c>
      <c r="B2953" s="38" t="s">
        <v>3734</v>
      </c>
      <c r="C2953" s="53" t="s">
        <v>3757</v>
      </c>
      <c r="D2953" s="53" t="s">
        <v>3754</v>
      </c>
      <c r="E2953" s="112" t="s">
        <v>5913</v>
      </c>
      <c r="F2953" s="53" t="s">
        <v>6639</v>
      </c>
      <c r="G2953" s="79">
        <v>68</v>
      </c>
      <c r="H2953" s="8"/>
      <c r="I2953" s="8"/>
      <c r="J2953" s="81" t="s">
        <v>1271</v>
      </c>
      <c r="K2953" s="118" t="s">
        <v>253</v>
      </c>
      <c r="L2953" s="29"/>
      <c r="M2953" s="68">
        <v>1</v>
      </c>
      <c r="N2953" s="68" t="s">
        <v>7024</v>
      </c>
    </row>
    <row r="2954" spans="1:14" s="3" customFormat="1" ht="14.25" x14ac:dyDescent="0.2">
      <c r="A2954" s="82" t="s">
        <v>2838</v>
      </c>
      <c r="B2954" s="83" t="s">
        <v>3738</v>
      </c>
      <c r="C2954" s="41" t="s">
        <v>3761</v>
      </c>
      <c r="D2954" s="39" t="s">
        <v>3754</v>
      </c>
      <c r="E2954" s="68" t="s">
        <v>2839</v>
      </c>
      <c r="F2954" s="84" t="s">
        <v>2840</v>
      </c>
      <c r="G2954" s="8">
        <v>1</v>
      </c>
      <c r="H2954" s="8">
        <v>4</v>
      </c>
      <c r="I2954" s="8"/>
      <c r="J2954" s="84" t="s">
        <v>4829</v>
      </c>
      <c r="K2954" s="112" t="s">
        <v>1926</v>
      </c>
      <c r="L2954" s="29"/>
      <c r="M2954" s="68">
        <v>1</v>
      </c>
      <c r="N2954" s="68" t="s">
        <v>1253</v>
      </c>
    </row>
    <row r="2955" spans="1:14" s="3" customFormat="1" ht="14.25" x14ac:dyDescent="0.2">
      <c r="A2955" s="82" t="s">
        <v>2838</v>
      </c>
      <c r="B2955" s="83" t="s">
        <v>8612</v>
      </c>
      <c r="C2955" s="41" t="s">
        <v>3761</v>
      </c>
      <c r="D2955" s="39" t="s">
        <v>3754</v>
      </c>
      <c r="E2955" s="112" t="s">
        <v>2841</v>
      </c>
      <c r="F2955" s="84" t="s">
        <v>2840</v>
      </c>
      <c r="G2955" s="8">
        <v>1</v>
      </c>
      <c r="H2955" s="8">
        <v>6</v>
      </c>
      <c r="I2955" s="8">
        <v>21</v>
      </c>
      <c r="J2955" s="84" t="s">
        <v>4829</v>
      </c>
      <c r="K2955" s="112" t="s">
        <v>1926</v>
      </c>
      <c r="L2955" s="29"/>
      <c r="M2955" s="68">
        <v>1</v>
      </c>
      <c r="N2955" s="68" t="s">
        <v>1253</v>
      </c>
    </row>
    <row r="2956" spans="1:14" s="3" customFormat="1" ht="14.25" x14ac:dyDescent="0.2">
      <c r="A2956" s="51" t="s">
        <v>6595</v>
      </c>
      <c r="B2956" s="38" t="s">
        <v>6596</v>
      </c>
      <c r="C2956" s="53" t="s">
        <v>8090</v>
      </c>
      <c r="D2956" s="53"/>
      <c r="E2956" s="68" t="s">
        <v>6597</v>
      </c>
      <c r="F2956" s="53" t="s">
        <v>6598</v>
      </c>
      <c r="G2956" s="79">
        <v>48</v>
      </c>
      <c r="H2956" s="8"/>
      <c r="I2956" s="8"/>
      <c r="J2956" s="81" t="s">
        <v>1267</v>
      </c>
      <c r="K2956" s="118" t="s">
        <v>6599</v>
      </c>
      <c r="L2956" s="29"/>
      <c r="M2956" s="68">
        <v>1</v>
      </c>
      <c r="N2956" s="68" t="s">
        <v>7024</v>
      </c>
    </row>
    <row r="2957" spans="1:14" s="3" customFormat="1" ht="14.25" x14ac:dyDescent="0.2">
      <c r="A2957" s="51" t="s">
        <v>6595</v>
      </c>
      <c r="B2957" s="38" t="s">
        <v>6621</v>
      </c>
      <c r="C2957" s="53" t="s">
        <v>3754</v>
      </c>
      <c r="D2957" s="53" t="s">
        <v>3754</v>
      </c>
      <c r="E2957" s="68" t="s">
        <v>6622</v>
      </c>
      <c r="F2957" s="53" t="s">
        <v>6623</v>
      </c>
      <c r="G2957" s="79">
        <v>50</v>
      </c>
      <c r="H2957" s="8"/>
      <c r="I2957" s="8"/>
      <c r="J2957" s="81" t="s">
        <v>1264</v>
      </c>
      <c r="K2957" s="118" t="s">
        <v>6624</v>
      </c>
      <c r="L2957" s="29"/>
      <c r="M2957" s="68">
        <v>1</v>
      </c>
      <c r="N2957" s="68" t="s">
        <v>7024</v>
      </c>
    </row>
    <row r="2958" spans="1:14" s="3" customFormat="1" ht="15" x14ac:dyDescent="0.2">
      <c r="A2958" s="82" t="s">
        <v>7155</v>
      </c>
      <c r="B2958" s="83" t="s">
        <v>1432</v>
      </c>
      <c r="C2958" s="84" t="s">
        <v>3757</v>
      </c>
      <c r="D2958" s="84" t="s">
        <v>3754</v>
      </c>
      <c r="E2958" s="61" t="s">
        <v>2119</v>
      </c>
      <c r="F2958" s="84" t="s">
        <v>7156</v>
      </c>
      <c r="G2958" s="8">
        <v>60</v>
      </c>
      <c r="H2958" s="8"/>
      <c r="I2958" s="8"/>
      <c r="J2958" s="84" t="s">
        <v>1264</v>
      </c>
      <c r="K2958" s="104" t="s">
        <v>7157</v>
      </c>
      <c r="L2958" s="58"/>
      <c r="M2958" s="68">
        <v>1</v>
      </c>
      <c r="N2958" s="68" t="s">
        <v>7149</v>
      </c>
    </row>
    <row r="2959" spans="1:14" s="3" customFormat="1" ht="14.25" x14ac:dyDescent="0.2">
      <c r="A2959" s="82" t="s">
        <v>4224</v>
      </c>
      <c r="B2959" s="83" t="s">
        <v>7112</v>
      </c>
      <c r="C2959" s="84" t="s">
        <v>3754</v>
      </c>
      <c r="D2959" s="84" t="s">
        <v>3754</v>
      </c>
      <c r="E2959" s="61" t="s">
        <v>2910</v>
      </c>
      <c r="F2959" s="84" t="s">
        <v>7113</v>
      </c>
      <c r="G2959" s="8"/>
      <c r="H2959" s="8">
        <v>2</v>
      </c>
      <c r="I2959" s="8"/>
      <c r="J2959" s="84" t="s">
        <v>1277</v>
      </c>
      <c r="K2959" s="55" t="s">
        <v>7114</v>
      </c>
      <c r="L2959" s="103"/>
      <c r="M2959" s="68">
        <v>1</v>
      </c>
      <c r="N2959" s="68" t="s">
        <v>7094</v>
      </c>
    </row>
    <row r="2960" spans="1:14" s="3" customFormat="1" ht="14.25" x14ac:dyDescent="0.2">
      <c r="A2960" s="82" t="s">
        <v>4224</v>
      </c>
      <c r="B2960" s="83" t="s">
        <v>3704</v>
      </c>
      <c r="C2960" s="84" t="s">
        <v>3757</v>
      </c>
      <c r="D2960" s="39" t="s">
        <v>3754</v>
      </c>
      <c r="E2960" s="68" t="s">
        <v>2831</v>
      </c>
      <c r="F2960" s="84" t="s">
        <v>2832</v>
      </c>
      <c r="G2960" s="8">
        <v>42</v>
      </c>
      <c r="H2960" s="8"/>
      <c r="I2960" s="8"/>
      <c r="J2960" s="84" t="s">
        <v>1572</v>
      </c>
      <c r="K2960" s="68" t="s">
        <v>2833</v>
      </c>
      <c r="L2960" s="29"/>
      <c r="M2960" s="68">
        <v>1</v>
      </c>
      <c r="N2960" s="68" t="s">
        <v>1253</v>
      </c>
    </row>
    <row r="2961" spans="1:14" s="3" customFormat="1" ht="14.25" x14ac:dyDescent="0.2">
      <c r="A2961" s="85" t="s">
        <v>4224</v>
      </c>
      <c r="B2961" s="38" t="s">
        <v>3748</v>
      </c>
      <c r="C2961" s="86" t="s">
        <v>3754</v>
      </c>
      <c r="D2961" s="86" t="s">
        <v>3759</v>
      </c>
      <c r="E2961" s="78" t="s">
        <v>2849</v>
      </c>
      <c r="F2961" s="86" t="s">
        <v>7082</v>
      </c>
      <c r="G2961" s="8">
        <v>13</v>
      </c>
      <c r="H2961" s="8"/>
      <c r="I2961" s="8"/>
      <c r="J2961" s="86" t="s">
        <v>1264</v>
      </c>
      <c r="K2961" s="117" t="s">
        <v>5265</v>
      </c>
      <c r="L2961" s="29"/>
      <c r="M2961" s="68">
        <v>1</v>
      </c>
      <c r="N2961" s="68" t="s">
        <v>7025</v>
      </c>
    </row>
    <row r="2962" spans="1:14" s="3" customFormat="1" ht="14.25" x14ac:dyDescent="0.2">
      <c r="A2962" s="85" t="s">
        <v>4224</v>
      </c>
      <c r="B2962" s="38" t="s">
        <v>3748</v>
      </c>
      <c r="C2962" s="86" t="s">
        <v>3757</v>
      </c>
      <c r="D2962" s="86" t="s">
        <v>3754</v>
      </c>
      <c r="E2962" s="78" t="s">
        <v>3242</v>
      </c>
      <c r="F2962" s="86" t="s">
        <v>7043</v>
      </c>
      <c r="G2962" s="8">
        <v>37</v>
      </c>
      <c r="H2962" s="8"/>
      <c r="I2962" s="8"/>
      <c r="J2962" s="86" t="s">
        <v>1264</v>
      </c>
      <c r="K2962" s="117" t="s">
        <v>7044</v>
      </c>
      <c r="L2962" s="29"/>
      <c r="M2962" s="68">
        <v>1</v>
      </c>
      <c r="N2962" s="68" t="s">
        <v>7025</v>
      </c>
    </row>
    <row r="2963" spans="1:14" s="3" customFormat="1" ht="14.25" x14ac:dyDescent="0.2">
      <c r="A2963" s="85" t="s">
        <v>4224</v>
      </c>
      <c r="B2963" s="38" t="s">
        <v>3748</v>
      </c>
      <c r="C2963" s="86" t="s">
        <v>3757</v>
      </c>
      <c r="D2963" s="86" t="s">
        <v>3754</v>
      </c>
      <c r="E2963" s="78" t="s">
        <v>2190</v>
      </c>
      <c r="F2963" s="86" t="s">
        <v>7059</v>
      </c>
      <c r="G2963" s="8">
        <v>69</v>
      </c>
      <c r="H2963" s="8"/>
      <c r="I2963" s="8"/>
      <c r="J2963" s="86" t="s">
        <v>1271</v>
      </c>
      <c r="K2963" s="117" t="s">
        <v>7060</v>
      </c>
      <c r="L2963" s="29"/>
      <c r="M2963" s="68">
        <v>1</v>
      </c>
      <c r="N2963" s="68" t="s">
        <v>7025</v>
      </c>
    </row>
    <row r="2964" spans="1:14" s="3" customFormat="1" ht="14.25" x14ac:dyDescent="0.2">
      <c r="A2964" s="85" t="s">
        <v>4224</v>
      </c>
      <c r="B2964" s="38" t="s">
        <v>3748</v>
      </c>
      <c r="C2964" s="86" t="s">
        <v>3757</v>
      </c>
      <c r="D2964" s="86" t="s">
        <v>3754</v>
      </c>
      <c r="E2964" s="78"/>
      <c r="F2964" s="86" t="s">
        <v>3754</v>
      </c>
      <c r="G2964" s="8"/>
      <c r="H2964" s="8"/>
      <c r="I2964" s="8"/>
      <c r="J2964" s="87" t="s">
        <v>1261</v>
      </c>
      <c r="K2964" s="117" t="s">
        <v>5589</v>
      </c>
      <c r="L2964" s="29"/>
      <c r="M2964" s="68">
        <v>1</v>
      </c>
      <c r="N2964" s="68" t="s">
        <v>7025</v>
      </c>
    </row>
    <row r="2965" spans="1:14" s="3" customFormat="1" ht="15" x14ac:dyDescent="0.2">
      <c r="A2965" s="82" t="s">
        <v>4224</v>
      </c>
      <c r="B2965" s="83" t="s">
        <v>3744</v>
      </c>
      <c r="C2965" s="84" t="s">
        <v>3757</v>
      </c>
      <c r="D2965" s="84" t="s">
        <v>3754</v>
      </c>
      <c r="E2965" s="55" t="s">
        <v>3375</v>
      </c>
      <c r="F2965" s="84" t="s">
        <v>8335</v>
      </c>
      <c r="G2965" s="8">
        <v>41</v>
      </c>
      <c r="H2965" s="8"/>
      <c r="I2965" s="8"/>
      <c r="J2965" s="84" t="s">
        <v>1277</v>
      </c>
      <c r="K2965" s="55" t="s">
        <v>1681</v>
      </c>
      <c r="L2965" s="58"/>
      <c r="M2965" s="68">
        <v>1</v>
      </c>
      <c r="N2965" s="68" t="s">
        <v>7149</v>
      </c>
    </row>
    <row r="2966" spans="1:14" s="3" customFormat="1" ht="14.25" x14ac:dyDescent="0.2">
      <c r="A2966" s="82" t="s">
        <v>4224</v>
      </c>
      <c r="B2966" s="83" t="s">
        <v>7848</v>
      </c>
      <c r="C2966" s="39" t="s">
        <v>3767</v>
      </c>
      <c r="D2966" s="39" t="s">
        <v>3767</v>
      </c>
      <c r="E2966" s="112" t="s">
        <v>2835</v>
      </c>
      <c r="F2966" s="84" t="s">
        <v>2836</v>
      </c>
      <c r="G2966" s="8">
        <v>22</v>
      </c>
      <c r="H2966" s="8">
        <v>8</v>
      </c>
      <c r="I2966" s="8"/>
      <c r="J2966" s="84" t="s">
        <v>2837</v>
      </c>
      <c r="K2966" s="112" t="s">
        <v>6345</v>
      </c>
      <c r="L2966" s="29"/>
      <c r="M2966" s="68">
        <v>1</v>
      </c>
      <c r="N2966" s="68" t="s">
        <v>1253</v>
      </c>
    </row>
    <row r="2967" spans="1:14" s="3" customFormat="1" ht="14.25" x14ac:dyDescent="0.2">
      <c r="A2967" s="82" t="s">
        <v>4224</v>
      </c>
      <c r="B2967" s="83" t="s">
        <v>1432</v>
      </c>
      <c r="C2967" s="84" t="s">
        <v>3768</v>
      </c>
      <c r="D2967" s="84" t="s">
        <v>3754</v>
      </c>
      <c r="E2967" s="61" t="s">
        <v>8587</v>
      </c>
      <c r="F2967" s="84" t="s">
        <v>7122</v>
      </c>
      <c r="G2967" s="8">
        <v>24</v>
      </c>
      <c r="H2967" s="8">
        <v>10</v>
      </c>
      <c r="I2967" s="8"/>
      <c r="J2967" s="84" t="s">
        <v>1264</v>
      </c>
      <c r="K2967" s="55" t="s">
        <v>3442</v>
      </c>
      <c r="L2967" s="103"/>
      <c r="M2967" s="68">
        <v>1</v>
      </c>
      <c r="N2967" s="68" t="s">
        <v>7094</v>
      </c>
    </row>
    <row r="2968" spans="1:14" s="3" customFormat="1" ht="15" x14ac:dyDescent="0.2">
      <c r="A2968" s="82" t="s">
        <v>4224</v>
      </c>
      <c r="B2968" s="83" t="s">
        <v>1432</v>
      </c>
      <c r="C2968" s="84" t="s">
        <v>3754</v>
      </c>
      <c r="D2968" s="84" t="s">
        <v>3754</v>
      </c>
      <c r="E2968" s="55" t="s">
        <v>3503</v>
      </c>
      <c r="F2968" s="84" t="s">
        <v>5460</v>
      </c>
      <c r="G2968" s="8">
        <v>29</v>
      </c>
      <c r="H2968" s="8"/>
      <c r="I2968" s="8"/>
      <c r="J2968" s="84" t="s">
        <v>2460</v>
      </c>
      <c r="K2968" s="55" t="s">
        <v>6755</v>
      </c>
      <c r="L2968" s="58"/>
      <c r="M2968" s="68">
        <v>1</v>
      </c>
      <c r="N2968" s="68" t="s">
        <v>7149</v>
      </c>
    </row>
    <row r="2969" spans="1:14" s="3" customFormat="1" ht="14.25" x14ac:dyDescent="0.2">
      <c r="A2969" s="82" t="s">
        <v>4224</v>
      </c>
      <c r="B2969" s="83" t="s">
        <v>1432</v>
      </c>
      <c r="C2969" s="84" t="s">
        <v>3757</v>
      </c>
      <c r="D2969" s="84" t="s">
        <v>3754</v>
      </c>
      <c r="E2969" s="119" t="s">
        <v>5626</v>
      </c>
      <c r="F2969" s="84" t="s">
        <v>8662</v>
      </c>
      <c r="G2969" s="8">
        <v>80</v>
      </c>
      <c r="H2969" s="8"/>
      <c r="I2969" s="8"/>
      <c r="J2969" s="84" t="s">
        <v>2108</v>
      </c>
      <c r="K2969" s="119" t="s">
        <v>7148</v>
      </c>
      <c r="L2969" s="103"/>
      <c r="M2969" s="68">
        <v>1</v>
      </c>
      <c r="N2969" s="68" t="s">
        <v>7094</v>
      </c>
    </row>
    <row r="2970" spans="1:14" s="3" customFormat="1" ht="14.25" x14ac:dyDescent="0.2">
      <c r="A2970" s="82" t="s">
        <v>4224</v>
      </c>
      <c r="B2970" s="83" t="s">
        <v>1809</v>
      </c>
      <c r="C2970" s="84" t="s">
        <v>6842</v>
      </c>
      <c r="D2970" s="84"/>
      <c r="E2970" s="112" t="s">
        <v>6585</v>
      </c>
      <c r="F2970" s="84" t="s">
        <v>6586</v>
      </c>
      <c r="G2970" s="8">
        <v>18</v>
      </c>
      <c r="H2970" s="8">
        <v>1</v>
      </c>
      <c r="I2970" s="8">
        <v>6</v>
      </c>
      <c r="J2970" s="84" t="s">
        <v>4739</v>
      </c>
      <c r="K2970" s="112" t="s">
        <v>6580</v>
      </c>
      <c r="L2970" s="95"/>
      <c r="M2970" s="68">
        <v>1</v>
      </c>
      <c r="N2970" s="68" t="s">
        <v>1253</v>
      </c>
    </row>
    <row r="2971" spans="1:14" s="3" customFormat="1" ht="14.25" x14ac:dyDescent="0.2">
      <c r="A2971" s="82" t="s">
        <v>4224</v>
      </c>
      <c r="B2971" s="83" t="s">
        <v>1809</v>
      </c>
      <c r="C2971" s="84" t="s">
        <v>3757</v>
      </c>
      <c r="D2971" s="39" t="s">
        <v>3754</v>
      </c>
      <c r="E2971" s="112" t="s">
        <v>1222</v>
      </c>
      <c r="F2971" s="84" t="s">
        <v>1541</v>
      </c>
      <c r="G2971" s="8">
        <v>48</v>
      </c>
      <c r="H2971" s="8"/>
      <c r="I2971" s="8"/>
      <c r="J2971" s="84" t="s">
        <v>1264</v>
      </c>
      <c r="K2971" s="112" t="s">
        <v>1223</v>
      </c>
      <c r="L2971" s="29"/>
      <c r="M2971" s="68">
        <v>1</v>
      </c>
      <c r="N2971" s="68" t="s">
        <v>402</v>
      </c>
    </row>
    <row r="2972" spans="1:14" s="3" customFormat="1" ht="14.25" x14ac:dyDescent="0.2">
      <c r="A2972" s="82" t="s">
        <v>4224</v>
      </c>
      <c r="B2972" s="83" t="s">
        <v>1809</v>
      </c>
      <c r="C2972" s="84" t="s">
        <v>3757</v>
      </c>
      <c r="D2972" s="84" t="s">
        <v>3754</v>
      </c>
      <c r="E2972" s="61" t="s">
        <v>8246</v>
      </c>
      <c r="F2972" s="84" t="s">
        <v>7126</v>
      </c>
      <c r="G2972" s="8">
        <v>48</v>
      </c>
      <c r="H2972" s="8"/>
      <c r="I2972" s="8"/>
      <c r="J2972" s="84" t="s">
        <v>1270</v>
      </c>
      <c r="K2972" s="55" t="s">
        <v>7127</v>
      </c>
      <c r="L2972" s="103"/>
      <c r="M2972" s="68">
        <v>1</v>
      </c>
      <c r="N2972" s="68" t="s">
        <v>7094</v>
      </c>
    </row>
    <row r="2973" spans="1:14" s="3" customFormat="1" ht="15" x14ac:dyDescent="0.2">
      <c r="A2973" s="82" t="s">
        <v>4224</v>
      </c>
      <c r="B2973" s="83" t="s">
        <v>7158</v>
      </c>
      <c r="C2973" s="84" t="s">
        <v>3754</v>
      </c>
      <c r="D2973" s="84" t="s">
        <v>3754</v>
      </c>
      <c r="E2973" s="55" t="s">
        <v>7159</v>
      </c>
      <c r="F2973" s="84" t="s">
        <v>7160</v>
      </c>
      <c r="G2973" s="8">
        <v>18</v>
      </c>
      <c r="H2973" s="8">
        <v>1</v>
      </c>
      <c r="I2973" s="8">
        <v>24</v>
      </c>
      <c r="J2973" s="84" t="s">
        <v>6127</v>
      </c>
      <c r="K2973" s="111" t="s">
        <v>1789</v>
      </c>
      <c r="L2973" s="58"/>
      <c r="M2973" s="68">
        <v>1</v>
      </c>
      <c r="N2973" s="68" t="s">
        <v>7149</v>
      </c>
    </row>
    <row r="2974" spans="1:14" s="3" customFormat="1" ht="15" x14ac:dyDescent="0.2">
      <c r="A2974" s="82" t="s">
        <v>4224</v>
      </c>
      <c r="B2974" s="83" t="s">
        <v>1413</v>
      </c>
      <c r="C2974" s="84" t="s">
        <v>3754</v>
      </c>
      <c r="D2974" s="84" t="s">
        <v>3754</v>
      </c>
      <c r="E2974" s="61" t="s">
        <v>7185</v>
      </c>
      <c r="F2974" s="84" t="s">
        <v>1790</v>
      </c>
      <c r="G2974" s="8">
        <v>32</v>
      </c>
      <c r="H2974" s="8"/>
      <c r="I2974" s="8"/>
      <c r="J2974" s="84" t="s">
        <v>1270</v>
      </c>
      <c r="K2974" s="111" t="s">
        <v>1791</v>
      </c>
      <c r="L2974" s="58"/>
      <c r="M2974" s="68">
        <v>1</v>
      </c>
      <c r="N2974" s="68" t="s">
        <v>7149</v>
      </c>
    </row>
    <row r="2975" spans="1:14" s="3" customFormat="1" ht="14.25" x14ac:dyDescent="0.2">
      <c r="A2975" s="82" t="s">
        <v>4224</v>
      </c>
      <c r="B2975" s="83" t="s">
        <v>4908</v>
      </c>
      <c r="C2975" s="84" t="s">
        <v>4708</v>
      </c>
      <c r="D2975" s="84" t="s">
        <v>3754</v>
      </c>
      <c r="E2975" s="61" t="s">
        <v>3403</v>
      </c>
      <c r="F2975" s="84" t="s">
        <v>7111</v>
      </c>
      <c r="G2975" s="8">
        <v>43</v>
      </c>
      <c r="H2975" s="8"/>
      <c r="I2975" s="8"/>
      <c r="J2975" s="84" t="s">
        <v>1264</v>
      </c>
      <c r="K2975" s="55" t="s">
        <v>1737</v>
      </c>
      <c r="L2975" s="103"/>
      <c r="M2975" s="68">
        <v>1</v>
      </c>
      <c r="N2975" s="68" t="s">
        <v>7094</v>
      </c>
    </row>
    <row r="2976" spans="1:14" s="3" customFormat="1" ht="14.25" x14ac:dyDescent="0.2">
      <c r="A2976" s="82" t="s">
        <v>4224</v>
      </c>
      <c r="B2976" s="83" t="s">
        <v>4908</v>
      </c>
      <c r="C2976" s="84" t="s">
        <v>3754</v>
      </c>
      <c r="D2976" s="84" t="s">
        <v>3754</v>
      </c>
      <c r="E2976" s="55" t="s">
        <v>3480</v>
      </c>
      <c r="F2976" s="84" t="s">
        <v>7141</v>
      </c>
      <c r="G2976" s="8"/>
      <c r="H2976" s="8">
        <v>4</v>
      </c>
      <c r="I2976" s="8"/>
      <c r="J2976" s="84" t="s">
        <v>1412</v>
      </c>
      <c r="K2976" s="55" t="s">
        <v>3482</v>
      </c>
      <c r="L2976" s="103"/>
      <c r="M2976" s="68">
        <v>1</v>
      </c>
      <c r="N2976" s="68" t="s">
        <v>7094</v>
      </c>
    </row>
    <row r="2977" spans="1:14" s="3" customFormat="1" ht="14.25" x14ac:dyDescent="0.2">
      <c r="A2977" s="82" t="s">
        <v>4224</v>
      </c>
      <c r="B2977" s="83" t="s">
        <v>1569</v>
      </c>
      <c r="C2977" s="39" t="s">
        <v>3767</v>
      </c>
      <c r="D2977" s="39" t="s">
        <v>3767</v>
      </c>
      <c r="E2977" s="112" t="s">
        <v>6356</v>
      </c>
      <c r="F2977" s="84" t="s">
        <v>2834</v>
      </c>
      <c r="G2977" s="8"/>
      <c r="H2977" s="8">
        <v>4</v>
      </c>
      <c r="I2977" s="8"/>
      <c r="J2977" s="84" t="s">
        <v>4790</v>
      </c>
      <c r="K2977" s="112" t="s">
        <v>8682</v>
      </c>
      <c r="L2977" s="29"/>
      <c r="M2977" s="68">
        <v>1</v>
      </c>
      <c r="N2977" s="68" t="s">
        <v>1253</v>
      </c>
    </row>
    <row r="2978" spans="1:14" s="3" customFormat="1" ht="14.25" x14ac:dyDescent="0.2">
      <c r="A2978" s="82" t="s">
        <v>4224</v>
      </c>
      <c r="B2978" s="83" t="s">
        <v>4685</v>
      </c>
      <c r="C2978" s="84" t="s">
        <v>3754</v>
      </c>
      <c r="D2978" s="84" t="s">
        <v>3754</v>
      </c>
      <c r="E2978" s="55" t="s">
        <v>7123</v>
      </c>
      <c r="F2978" s="84" t="s">
        <v>7122</v>
      </c>
      <c r="G2978" s="8"/>
      <c r="H2978" s="8"/>
      <c r="I2978" s="8">
        <v>1</v>
      </c>
      <c r="J2978" s="84" t="s">
        <v>4829</v>
      </c>
      <c r="K2978" s="55" t="s">
        <v>3442</v>
      </c>
      <c r="L2978" s="103"/>
      <c r="M2978" s="68">
        <v>1</v>
      </c>
      <c r="N2978" s="68" t="s">
        <v>7094</v>
      </c>
    </row>
    <row r="2979" spans="1:14" s="3" customFormat="1" ht="14.25" x14ac:dyDescent="0.2">
      <c r="A2979" s="82" t="s">
        <v>4224</v>
      </c>
      <c r="B2979" s="83" t="s">
        <v>7849</v>
      </c>
      <c r="C2979" s="41" t="s">
        <v>3761</v>
      </c>
      <c r="D2979" s="39" t="s">
        <v>3754</v>
      </c>
      <c r="E2979" s="112" t="s">
        <v>1219</v>
      </c>
      <c r="F2979" s="84" t="s">
        <v>1541</v>
      </c>
      <c r="G2979" s="8">
        <v>1</v>
      </c>
      <c r="H2979" s="8">
        <v>2</v>
      </c>
      <c r="I2979" s="8"/>
      <c r="J2979" s="84" t="s">
        <v>4243</v>
      </c>
      <c r="K2979" s="112" t="s">
        <v>2999</v>
      </c>
      <c r="L2979" s="61"/>
      <c r="M2979" s="68">
        <v>1</v>
      </c>
      <c r="N2979" s="68" t="s">
        <v>402</v>
      </c>
    </row>
    <row r="2980" spans="1:14" s="3" customFormat="1" ht="14.25" x14ac:dyDescent="0.2">
      <c r="A2980" s="77" t="s">
        <v>4224</v>
      </c>
      <c r="B2980" s="5" t="s">
        <v>1177</v>
      </c>
      <c r="C2980" s="78" t="s">
        <v>3754</v>
      </c>
      <c r="D2980" s="78" t="s">
        <v>3754</v>
      </c>
      <c r="E2980" s="78" t="s">
        <v>7063</v>
      </c>
      <c r="F2980" s="78" t="s">
        <v>7064</v>
      </c>
      <c r="G2980" s="8">
        <v>14</v>
      </c>
      <c r="H2980" s="8">
        <v>8</v>
      </c>
      <c r="I2980" s="8">
        <v>4</v>
      </c>
      <c r="J2980" s="78" t="s">
        <v>1258</v>
      </c>
      <c r="K2980" s="117" t="s">
        <v>788</v>
      </c>
      <c r="L2980" s="61"/>
      <c r="M2980" s="68">
        <v>1</v>
      </c>
      <c r="N2980" s="68" t="s">
        <v>7025</v>
      </c>
    </row>
    <row r="2981" spans="1:14" s="3" customFormat="1" ht="14.25" x14ac:dyDescent="0.2">
      <c r="A2981" s="49" t="s">
        <v>4224</v>
      </c>
      <c r="B2981" s="5" t="s">
        <v>3753</v>
      </c>
      <c r="C2981" s="45" t="s">
        <v>3757</v>
      </c>
      <c r="D2981" s="46" t="s">
        <v>3754</v>
      </c>
      <c r="E2981" s="112" t="s">
        <v>2690</v>
      </c>
      <c r="F2981" s="46" t="s">
        <v>6600</v>
      </c>
      <c r="G2981" s="79">
        <v>62</v>
      </c>
      <c r="H2981" s="8"/>
      <c r="I2981" s="8"/>
      <c r="J2981" s="80" t="s">
        <v>1265</v>
      </c>
      <c r="K2981" s="118" t="s">
        <v>2690</v>
      </c>
      <c r="L2981" s="61"/>
      <c r="M2981" s="68">
        <v>1</v>
      </c>
      <c r="N2981" s="68" t="s">
        <v>7024</v>
      </c>
    </row>
    <row r="2982" spans="1:14" s="3" customFormat="1" ht="14.25" x14ac:dyDescent="0.2">
      <c r="A2982" s="82" t="s">
        <v>4224</v>
      </c>
      <c r="B2982" s="83" t="s">
        <v>3740</v>
      </c>
      <c r="C2982" s="84" t="s">
        <v>3754</v>
      </c>
      <c r="D2982" s="84" t="s">
        <v>3754</v>
      </c>
      <c r="E2982" s="55" t="s">
        <v>7125</v>
      </c>
      <c r="F2982" s="84" t="s">
        <v>7126</v>
      </c>
      <c r="G2982" s="8">
        <v>9</v>
      </c>
      <c r="H2982" s="8">
        <v>14</v>
      </c>
      <c r="I2982" s="8"/>
      <c r="J2982" s="84" t="s">
        <v>1266</v>
      </c>
      <c r="K2982" s="55" t="s">
        <v>3442</v>
      </c>
      <c r="L2982" s="103"/>
      <c r="M2982" s="68">
        <v>1</v>
      </c>
      <c r="N2982" s="68" t="s">
        <v>7094</v>
      </c>
    </row>
    <row r="2983" spans="1:14" s="3" customFormat="1" ht="14.25" x14ac:dyDescent="0.2">
      <c r="A2983" s="82" t="s">
        <v>4224</v>
      </c>
      <c r="B2983" s="83" t="s">
        <v>3740</v>
      </c>
      <c r="C2983" s="84" t="s">
        <v>3754</v>
      </c>
      <c r="D2983" s="84" t="s">
        <v>3754</v>
      </c>
      <c r="E2983" s="61" t="s">
        <v>3608</v>
      </c>
      <c r="F2983" s="84" t="s">
        <v>7118</v>
      </c>
      <c r="G2983" s="8">
        <v>35</v>
      </c>
      <c r="H2983" s="8"/>
      <c r="I2983" s="8"/>
      <c r="J2983" s="84" t="s">
        <v>1264</v>
      </c>
      <c r="K2983" s="55" t="s">
        <v>6223</v>
      </c>
      <c r="L2983" s="103"/>
      <c r="M2983" s="68">
        <v>1</v>
      </c>
      <c r="N2983" s="68" t="s">
        <v>7094</v>
      </c>
    </row>
    <row r="2984" spans="1:14" s="3" customFormat="1" ht="15" x14ac:dyDescent="0.2">
      <c r="A2984" s="82" t="s">
        <v>4224</v>
      </c>
      <c r="B2984" s="83" t="s">
        <v>3740</v>
      </c>
      <c r="C2984" s="84" t="s">
        <v>3757</v>
      </c>
      <c r="D2984" s="84" t="s">
        <v>3754</v>
      </c>
      <c r="E2984" s="55" t="s">
        <v>3514</v>
      </c>
      <c r="F2984" s="84" t="s">
        <v>3515</v>
      </c>
      <c r="G2984" s="8">
        <v>68</v>
      </c>
      <c r="H2984" s="8"/>
      <c r="I2984" s="8"/>
      <c r="J2984" s="84"/>
      <c r="K2984" s="55" t="s">
        <v>3514</v>
      </c>
      <c r="L2984" s="58" t="s">
        <v>5019</v>
      </c>
      <c r="M2984" s="68">
        <v>1</v>
      </c>
      <c r="N2984" s="68" t="s">
        <v>7149</v>
      </c>
    </row>
    <row r="2985" spans="1:14" s="3" customFormat="1" ht="14.25" x14ac:dyDescent="0.2">
      <c r="A2985" s="82" t="s">
        <v>4224</v>
      </c>
      <c r="B2985" s="83" t="s">
        <v>3740</v>
      </c>
      <c r="C2985" s="84" t="s">
        <v>3754</v>
      </c>
      <c r="D2985" s="84" t="s">
        <v>3754</v>
      </c>
      <c r="E2985" s="61" t="s">
        <v>8400</v>
      </c>
      <c r="F2985" s="84" t="s">
        <v>7137</v>
      </c>
      <c r="G2985" s="8"/>
      <c r="H2985" s="8"/>
      <c r="I2985" s="8">
        <v>1</v>
      </c>
      <c r="J2985" s="84" t="s">
        <v>1277</v>
      </c>
      <c r="K2985" s="55" t="s">
        <v>3466</v>
      </c>
      <c r="L2985" s="103"/>
      <c r="M2985" s="68">
        <v>1</v>
      </c>
      <c r="N2985" s="68" t="s">
        <v>7094</v>
      </c>
    </row>
    <row r="2986" spans="1:14" s="3" customFormat="1" ht="14.25" x14ac:dyDescent="0.2">
      <c r="A2986" s="82" t="s">
        <v>4224</v>
      </c>
      <c r="B2986" s="83" t="s">
        <v>7850</v>
      </c>
      <c r="C2986" s="84" t="s">
        <v>3754</v>
      </c>
      <c r="D2986" s="84" t="s">
        <v>7144</v>
      </c>
      <c r="E2986" s="61" t="s">
        <v>7145</v>
      </c>
      <c r="F2986" s="84" t="s">
        <v>2484</v>
      </c>
      <c r="G2986" s="8">
        <v>28</v>
      </c>
      <c r="H2986" s="8"/>
      <c r="I2986" s="8"/>
      <c r="J2986" s="84" t="s">
        <v>2989</v>
      </c>
      <c r="K2986" s="55" t="s">
        <v>2536</v>
      </c>
      <c r="L2986" s="103"/>
      <c r="M2986" s="68">
        <v>1</v>
      </c>
      <c r="N2986" s="68" t="s">
        <v>7094</v>
      </c>
    </row>
    <row r="2987" spans="1:14" s="3" customFormat="1" ht="14.25" x14ac:dyDescent="0.2">
      <c r="A2987" s="85" t="s">
        <v>4224</v>
      </c>
      <c r="B2987" s="38" t="s">
        <v>4581</v>
      </c>
      <c r="C2987" s="86" t="s">
        <v>3754</v>
      </c>
      <c r="D2987" s="86" t="s">
        <v>3754</v>
      </c>
      <c r="E2987" s="78" t="s">
        <v>7047</v>
      </c>
      <c r="F2987" s="86" t="s">
        <v>7048</v>
      </c>
      <c r="G2987" s="8">
        <v>1</v>
      </c>
      <c r="H2987" s="8">
        <v>3</v>
      </c>
      <c r="I2987" s="8"/>
      <c r="J2987" s="86" t="s">
        <v>4579</v>
      </c>
      <c r="K2987" s="117" t="s">
        <v>2063</v>
      </c>
      <c r="L2987" s="29"/>
      <c r="M2987" s="68">
        <v>1</v>
      </c>
      <c r="N2987" s="68" t="s">
        <v>7025</v>
      </c>
    </row>
    <row r="2988" spans="1:14" s="3" customFormat="1" ht="14.25" x14ac:dyDescent="0.2">
      <c r="A2988" s="85" t="s">
        <v>4224</v>
      </c>
      <c r="B2988" s="38" t="s">
        <v>1922</v>
      </c>
      <c r="C2988" s="86" t="s">
        <v>3757</v>
      </c>
      <c r="D2988" s="86" t="s">
        <v>3754</v>
      </c>
      <c r="E2988" s="78"/>
      <c r="F2988" s="86" t="s">
        <v>3754</v>
      </c>
      <c r="G2988" s="8"/>
      <c r="H2988" s="8"/>
      <c r="I2988" s="8"/>
      <c r="J2988" s="87" t="s">
        <v>1261</v>
      </c>
      <c r="K2988" s="117" t="s">
        <v>5589</v>
      </c>
      <c r="L2988" s="29"/>
      <c r="M2988" s="68">
        <v>1</v>
      </c>
      <c r="N2988" s="68" t="s">
        <v>7025</v>
      </c>
    </row>
    <row r="2989" spans="1:14" s="3" customFormat="1" ht="15" x14ac:dyDescent="0.2">
      <c r="A2989" s="82" t="s">
        <v>4224</v>
      </c>
      <c r="B2989" s="83" t="s">
        <v>4556</v>
      </c>
      <c r="C2989" s="84" t="s">
        <v>3757</v>
      </c>
      <c r="D2989" s="84" t="s">
        <v>3754</v>
      </c>
      <c r="E2989" s="61" t="s">
        <v>3489</v>
      </c>
      <c r="F2989" s="84" t="s">
        <v>3490</v>
      </c>
      <c r="G2989" s="8">
        <v>50</v>
      </c>
      <c r="H2989" s="8"/>
      <c r="I2989" s="8"/>
      <c r="J2989" s="84" t="s">
        <v>1264</v>
      </c>
      <c r="K2989" s="111" t="s">
        <v>4620</v>
      </c>
      <c r="L2989" s="58"/>
      <c r="M2989" s="68">
        <v>1</v>
      </c>
      <c r="N2989" s="68" t="s">
        <v>7149</v>
      </c>
    </row>
    <row r="2990" spans="1:14" s="3" customFormat="1" ht="14.25" x14ac:dyDescent="0.2">
      <c r="A2990" s="82" t="s">
        <v>4224</v>
      </c>
      <c r="B2990" s="83" t="s">
        <v>3732</v>
      </c>
      <c r="C2990" s="84" t="s">
        <v>3754</v>
      </c>
      <c r="D2990" s="84" t="s">
        <v>3754</v>
      </c>
      <c r="E2990" s="61" t="s">
        <v>2370</v>
      </c>
      <c r="F2990" s="84" t="s">
        <v>7122</v>
      </c>
      <c r="G2990" s="8">
        <v>3</v>
      </c>
      <c r="H2990" s="8">
        <v>11</v>
      </c>
      <c r="I2990" s="8"/>
      <c r="J2990" s="84" t="s">
        <v>6927</v>
      </c>
      <c r="K2990" s="55" t="s">
        <v>3442</v>
      </c>
      <c r="L2990" s="103"/>
      <c r="M2990" s="68">
        <v>1</v>
      </c>
      <c r="N2990" s="68" t="s">
        <v>7094</v>
      </c>
    </row>
    <row r="2991" spans="1:14" s="3" customFormat="1" ht="14.25" x14ac:dyDescent="0.2">
      <c r="A2991" s="82" t="s">
        <v>4224</v>
      </c>
      <c r="B2991" s="83" t="s">
        <v>3732</v>
      </c>
      <c r="C2991" s="84" t="s">
        <v>3757</v>
      </c>
      <c r="D2991" s="39" t="s">
        <v>3754</v>
      </c>
      <c r="E2991" s="112"/>
      <c r="F2991" s="84" t="s">
        <v>1541</v>
      </c>
      <c r="G2991" s="8">
        <v>40</v>
      </c>
      <c r="H2991" s="8"/>
      <c r="I2991" s="8"/>
      <c r="J2991" s="84" t="s">
        <v>1264</v>
      </c>
      <c r="K2991" s="112" t="s">
        <v>1223</v>
      </c>
      <c r="L2991" s="29"/>
      <c r="M2991" s="68">
        <v>1</v>
      </c>
      <c r="N2991" s="68" t="s">
        <v>402</v>
      </c>
    </row>
    <row r="2992" spans="1:14" s="3" customFormat="1" ht="15" x14ac:dyDescent="0.2">
      <c r="A2992" s="82" t="s">
        <v>4224</v>
      </c>
      <c r="B2992" s="83" t="s">
        <v>3732</v>
      </c>
      <c r="C2992" s="84" t="s">
        <v>3757</v>
      </c>
      <c r="D2992" s="84" t="s">
        <v>3754</v>
      </c>
      <c r="E2992" s="61" t="s">
        <v>5439</v>
      </c>
      <c r="F2992" s="84" t="s">
        <v>7154</v>
      </c>
      <c r="G2992" s="8">
        <v>68</v>
      </c>
      <c r="H2992" s="8"/>
      <c r="I2992" s="8"/>
      <c r="J2992" s="84" t="s">
        <v>1928</v>
      </c>
      <c r="K2992" s="111" t="s">
        <v>5441</v>
      </c>
      <c r="L2992" s="58"/>
      <c r="M2992" s="68">
        <v>1</v>
      </c>
      <c r="N2992" s="68" t="s">
        <v>7149</v>
      </c>
    </row>
    <row r="2993" spans="1:14" s="3" customFormat="1" ht="14.25" x14ac:dyDescent="0.2">
      <c r="A2993" s="82" t="s">
        <v>4224</v>
      </c>
      <c r="B2993" s="83" t="s">
        <v>3723</v>
      </c>
      <c r="C2993" s="84" t="s">
        <v>3754</v>
      </c>
      <c r="D2993" s="84" t="s">
        <v>3754</v>
      </c>
      <c r="E2993" s="61" t="s">
        <v>5626</v>
      </c>
      <c r="F2993" s="84" t="s">
        <v>7150</v>
      </c>
      <c r="G2993" s="8">
        <v>22</v>
      </c>
      <c r="H2993" s="8"/>
      <c r="I2993" s="8"/>
      <c r="J2993" s="84" t="s">
        <v>1268</v>
      </c>
      <c r="K2993" s="111" t="s">
        <v>43</v>
      </c>
      <c r="L2993" s="29"/>
      <c r="M2993" s="68">
        <v>1</v>
      </c>
      <c r="N2993" s="68" t="s">
        <v>7149</v>
      </c>
    </row>
    <row r="2994" spans="1:14" s="3" customFormat="1" ht="15" x14ac:dyDescent="0.2">
      <c r="A2994" s="82" t="s">
        <v>4224</v>
      </c>
      <c r="B2994" s="83" t="s">
        <v>3723</v>
      </c>
      <c r="C2994" s="84" t="s">
        <v>3757</v>
      </c>
      <c r="D2994" s="84" t="s">
        <v>3754</v>
      </c>
      <c r="E2994" s="61" t="s">
        <v>6749</v>
      </c>
      <c r="F2994" s="84" t="s">
        <v>3499</v>
      </c>
      <c r="G2994" s="8">
        <v>81</v>
      </c>
      <c r="H2994" s="8"/>
      <c r="I2994" s="8"/>
      <c r="J2994" s="84" t="s">
        <v>1271</v>
      </c>
      <c r="K2994" s="55" t="s">
        <v>6751</v>
      </c>
      <c r="L2994" s="58"/>
      <c r="M2994" s="68">
        <v>1</v>
      </c>
      <c r="N2994" s="68" t="s">
        <v>7149</v>
      </c>
    </row>
    <row r="2995" spans="1:14" s="3" customFormat="1" ht="14.25" x14ac:dyDescent="0.2">
      <c r="A2995" s="82" t="s">
        <v>4224</v>
      </c>
      <c r="B2995" s="83" t="s">
        <v>1524</v>
      </c>
      <c r="C2995" s="84" t="s">
        <v>4070</v>
      </c>
      <c r="D2995" s="84" t="s">
        <v>4070</v>
      </c>
      <c r="E2995" s="55" t="s">
        <v>7446</v>
      </c>
      <c r="F2995" s="84"/>
      <c r="G2995" s="8">
        <v>18</v>
      </c>
      <c r="H2995" s="8"/>
      <c r="I2995" s="8"/>
      <c r="J2995" s="84" t="s">
        <v>1264</v>
      </c>
      <c r="K2995" s="55" t="s">
        <v>5387</v>
      </c>
      <c r="L2995" s="103"/>
      <c r="M2995" s="68">
        <v>1</v>
      </c>
      <c r="N2995" s="68" t="s">
        <v>7094</v>
      </c>
    </row>
    <row r="2996" spans="1:14" s="3" customFormat="1" ht="14.25" x14ac:dyDescent="0.2">
      <c r="A2996" s="82" t="s">
        <v>4224</v>
      </c>
      <c r="B2996" s="83" t="s">
        <v>3746</v>
      </c>
      <c r="C2996" s="41" t="s">
        <v>3761</v>
      </c>
      <c r="D2996" s="39" t="s">
        <v>3754</v>
      </c>
      <c r="E2996" s="112" t="s">
        <v>4098</v>
      </c>
      <c r="F2996" s="84" t="s">
        <v>963</v>
      </c>
      <c r="G2996" s="8">
        <v>24</v>
      </c>
      <c r="H2996" s="8">
        <v>10</v>
      </c>
      <c r="I2996" s="8"/>
      <c r="J2996" s="84" t="s">
        <v>1641</v>
      </c>
      <c r="K2996" s="112" t="s">
        <v>1846</v>
      </c>
      <c r="L2996" s="29"/>
      <c r="M2996" s="68">
        <v>1</v>
      </c>
      <c r="N2996" s="68" t="s">
        <v>402</v>
      </c>
    </row>
    <row r="2997" spans="1:14" s="3" customFormat="1" ht="14.25" x14ac:dyDescent="0.2">
      <c r="A2997" s="85" t="s">
        <v>4224</v>
      </c>
      <c r="B2997" s="38" t="s">
        <v>3746</v>
      </c>
      <c r="C2997" s="86" t="s">
        <v>3757</v>
      </c>
      <c r="D2997" s="86" t="s">
        <v>3754</v>
      </c>
      <c r="E2997" s="78" t="s">
        <v>8083</v>
      </c>
      <c r="F2997" s="86" t="s">
        <v>7051</v>
      </c>
      <c r="G2997" s="8">
        <v>39</v>
      </c>
      <c r="H2997" s="8"/>
      <c r="I2997" s="8"/>
      <c r="J2997" s="86" t="s">
        <v>7052</v>
      </c>
      <c r="K2997" s="117" t="s">
        <v>2174</v>
      </c>
      <c r="L2997" s="29"/>
      <c r="M2997" s="68">
        <v>1</v>
      </c>
      <c r="N2997" s="68" t="s">
        <v>7025</v>
      </c>
    </row>
    <row r="2998" spans="1:14" s="3" customFormat="1" ht="14.25" x14ac:dyDescent="0.2">
      <c r="A2998" s="82" t="s">
        <v>4224</v>
      </c>
      <c r="B2998" s="83" t="s">
        <v>3746</v>
      </c>
      <c r="C2998" s="84" t="s">
        <v>3757</v>
      </c>
      <c r="D2998" s="39" t="s">
        <v>3754</v>
      </c>
      <c r="E2998" s="68" t="s">
        <v>1216</v>
      </c>
      <c r="F2998" s="84" t="s">
        <v>1541</v>
      </c>
      <c r="G2998" s="8">
        <v>60</v>
      </c>
      <c r="H2998" s="8"/>
      <c r="I2998" s="8"/>
      <c r="J2998" s="84" t="s">
        <v>2108</v>
      </c>
      <c r="K2998" s="112" t="s">
        <v>2999</v>
      </c>
      <c r="L2998" s="29"/>
      <c r="M2998" s="68">
        <v>1</v>
      </c>
      <c r="N2998" s="68" t="s">
        <v>402</v>
      </c>
    </row>
    <row r="2999" spans="1:14" s="3" customFormat="1" ht="14.25" x14ac:dyDescent="0.2">
      <c r="A2999" s="82" t="s">
        <v>4224</v>
      </c>
      <c r="B2999" s="83" t="s">
        <v>3746</v>
      </c>
      <c r="C2999" s="84" t="s">
        <v>3757</v>
      </c>
      <c r="D2999" s="84"/>
      <c r="E2999" s="68" t="s">
        <v>4802</v>
      </c>
      <c r="F2999" s="84" t="s">
        <v>6583</v>
      </c>
      <c r="G2999" s="8">
        <v>64</v>
      </c>
      <c r="H2999" s="8"/>
      <c r="I2999" s="8"/>
      <c r="J2999" s="84" t="s">
        <v>1262</v>
      </c>
      <c r="K2999" s="112" t="s">
        <v>6584</v>
      </c>
      <c r="L2999" s="29"/>
      <c r="M2999" s="68">
        <v>1</v>
      </c>
      <c r="N2999" s="68" t="s">
        <v>1253</v>
      </c>
    </row>
    <row r="3000" spans="1:14" s="3" customFormat="1" ht="14.25" x14ac:dyDescent="0.2">
      <c r="A3000" s="51" t="s">
        <v>4224</v>
      </c>
      <c r="B3000" s="38" t="s">
        <v>7008</v>
      </c>
      <c r="C3000" s="53" t="s">
        <v>3757</v>
      </c>
      <c r="D3000" s="53" t="s">
        <v>3767</v>
      </c>
      <c r="E3000" s="112" t="s">
        <v>7009</v>
      </c>
      <c r="F3000" s="53"/>
      <c r="G3000" s="79">
        <v>64</v>
      </c>
      <c r="H3000" s="8"/>
      <c r="I3000" s="8"/>
      <c r="J3000" s="81" t="s">
        <v>6573</v>
      </c>
      <c r="K3000" s="118" t="s">
        <v>7010</v>
      </c>
      <c r="L3000" s="29"/>
      <c r="M3000" s="68">
        <v>1</v>
      </c>
      <c r="N3000" s="68" t="s">
        <v>7024</v>
      </c>
    </row>
    <row r="3001" spans="1:14" s="3" customFormat="1" ht="14.25" x14ac:dyDescent="0.2">
      <c r="A3001" s="82" t="s">
        <v>4224</v>
      </c>
      <c r="B3001" s="83" t="s">
        <v>4045</v>
      </c>
      <c r="C3001" s="84" t="s">
        <v>3754</v>
      </c>
      <c r="D3001" s="84" t="s">
        <v>3754</v>
      </c>
      <c r="E3001" s="55" t="s">
        <v>7128</v>
      </c>
      <c r="F3001" s="84" t="s">
        <v>7126</v>
      </c>
      <c r="G3001" s="8"/>
      <c r="H3001" s="8">
        <v>9</v>
      </c>
      <c r="I3001" s="8"/>
      <c r="J3001" s="84" t="s">
        <v>7129</v>
      </c>
      <c r="K3001" s="55" t="s">
        <v>7127</v>
      </c>
      <c r="L3001" s="103"/>
      <c r="M3001" s="68">
        <v>1</v>
      </c>
      <c r="N3001" s="68" t="s">
        <v>7094</v>
      </c>
    </row>
    <row r="3002" spans="1:14" s="3" customFormat="1" ht="14.25" x14ac:dyDescent="0.2">
      <c r="A3002" s="51" t="s">
        <v>4224</v>
      </c>
      <c r="B3002" s="38" t="s">
        <v>4701</v>
      </c>
      <c r="C3002" s="53" t="s">
        <v>3757</v>
      </c>
      <c r="D3002" s="53" t="s">
        <v>3754</v>
      </c>
      <c r="E3002" s="68"/>
      <c r="F3002" s="53" t="s">
        <v>6649</v>
      </c>
      <c r="G3002" s="79">
        <v>40</v>
      </c>
      <c r="H3002" s="8"/>
      <c r="I3002" s="8"/>
      <c r="J3002" s="81" t="s">
        <v>1264</v>
      </c>
      <c r="K3002" s="118" t="s">
        <v>7007</v>
      </c>
      <c r="L3002" s="29"/>
      <c r="M3002" s="68">
        <v>1</v>
      </c>
      <c r="N3002" s="68" t="s">
        <v>7024</v>
      </c>
    </row>
    <row r="3003" spans="1:14" s="3" customFormat="1" ht="14.25" x14ac:dyDescent="0.2">
      <c r="A3003" s="51" t="s">
        <v>4224</v>
      </c>
      <c r="B3003" s="38" t="s">
        <v>4701</v>
      </c>
      <c r="C3003" s="53" t="s">
        <v>3757</v>
      </c>
      <c r="D3003" s="53" t="s">
        <v>4070</v>
      </c>
      <c r="E3003" s="68" t="s">
        <v>5953</v>
      </c>
      <c r="F3003" s="53" t="s">
        <v>6644</v>
      </c>
      <c r="G3003" s="79">
        <v>50</v>
      </c>
      <c r="H3003" s="8"/>
      <c r="I3003" s="8"/>
      <c r="J3003" s="81" t="s">
        <v>6645</v>
      </c>
      <c r="K3003" s="118" t="s">
        <v>8607</v>
      </c>
      <c r="L3003" s="29"/>
      <c r="M3003" s="68">
        <v>1</v>
      </c>
      <c r="N3003" s="68" t="s">
        <v>7024</v>
      </c>
    </row>
    <row r="3004" spans="1:14" s="3" customFormat="1" ht="14.25" x14ac:dyDescent="0.2">
      <c r="A3004" s="85" t="s">
        <v>4224</v>
      </c>
      <c r="B3004" s="38" t="s">
        <v>4701</v>
      </c>
      <c r="C3004" s="86" t="s">
        <v>3757</v>
      </c>
      <c r="D3004" s="86" t="s">
        <v>3754</v>
      </c>
      <c r="E3004" s="78" t="s">
        <v>7057</v>
      </c>
      <c r="F3004" s="86" t="s">
        <v>2096</v>
      </c>
      <c r="G3004" s="8">
        <v>79</v>
      </c>
      <c r="H3004" s="8"/>
      <c r="I3004" s="8"/>
      <c r="J3004" s="86" t="s">
        <v>1271</v>
      </c>
      <c r="K3004" s="117" t="s">
        <v>4945</v>
      </c>
      <c r="L3004" s="29"/>
      <c r="M3004" s="68">
        <v>1</v>
      </c>
      <c r="N3004" s="68" t="s">
        <v>7025</v>
      </c>
    </row>
    <row r="3005" spans="1:14" s="3" customFormat="1" ht="14.25" x14ac:dyDescent="0.2">
      <c r="A3005" s="85" t="s">
        <v>4224</v>
      </c>
      <c r="B3005" s="38" t="s">
        <v>4701</v>
      </c>
      <c r="C3005" s="86" t="s">
        <v>3757</v>
      </c>
      <c r="D3005" s="86" t="s">
        <v>3754</v>
      </c>
      <c r="E3005" s="78"/>
      <c r="F3005" s="86" t="s">
        <v>3754</v>
      </c>
      <c r="G3005" s="8"/>
      <c r="H3005" s="8"/>
      <c r="I3005" s="8"/>
      <c r="J3005" s="87" t="s">
        <v>1261</v>
      </c>
      <c r="K3005" s="117" t="s">
        <v>5589</v>
      </c>
      <c r="L3005" s="29"/>
      <c r="M3005" s="68">
        <v>1</v>
      </c>
      <c r="N3005" s="68" t="s">
        <v>7025</v>
      </c>
    </row>
    <row r="3006" spans="1:14" s="3" customFormat="1" ht="14.25" x14ac:dyDescent="0.2">
      <c r="A3006" s="85" t="s">
        <v>4224</v>
      </c>
      <c r="B3006" s="38" t="s">
        <v>3733</v>
      </c>
      <c r="C3006" s="86" t="s">
        <v>3757</v>
      </c>
      <c r="D3006" s="86" t="s">
        <v>3754</v>
      </c>
      <c r="E3006" s="78" t="s">
        <v>7071</v>
      </c>
      <c r="F3006" s="86" t="s">
        <v>5965</v>
      </c>
      <c r="G3006" s="8">
        <v>49</v>
      </c>
      <c r="H3006" s="8"/>
      <c r="I3006" s="8"/>
      <c r="J3006" s="86" t="s">
        <v>1270</v>
      </c>
      <c r="K3006" s="117">
        <v>1879</v>
      </c>
      <c r="L3006" s="29"/>
      <c r="M3006" s="68">
        <v>1</v>
      </c>
      <c r="N3006" s="68" t="s">
        <v>7025</v>
      </c>
    </row>
    <row r="3007" spans="1:14" s="3" customFormat="1" ht="14.25" x14ac:dyDescent="0.2">
      <c r="A3007" s="82" t="s">
        <v>4224</v>
      </c>
      <c r="B3007" s="83" t="s">
        <v>3741</v>
      </c>
      <c r="C3007" s="84" t="s">
        <v>3754</v>
      </c>
      <c r="D3007" s="84" t="s">
        <v>3754</v>
      </c>
      <c r="E3007" s="55" t="s">
        <v>7124</v>
      </c>
      <c r="F3007" s="84" t="s">
        <v>7122</v>
      </c>
      <c r="G3007" s="8">
        <v>1</v>
      </c>
      <c r="H3007" s="8">
        <v>6</v>
      </c>
      <c r="I3007" s="8"/>
      <c r="J3007" s="84" t="s">
        <v>1264</v>
      </c>
      <c r="K3007" s="61" t="s">
        <v>3442</v>
      </c>
      <c r="L3007" s="103"/>
      <c r="M3007" s="68">
        <v>1</v>
      </c>
      <c r="N3007" s="68" t="s">
        <v>7094</v>
      </c>
    </row>
    <row r="3008" spans="1:14" s="3" customFormat="1" ht="14.25" x14ac:dyDescent="0.2">
      <c r="A3008" s="85" t="s">
        <v>4224</v>
      </c>
      <c r="B3008" s="38" t="s">
        <v>3741</v>
      </c>
      <c r="C3008" s="86" t="s">
        <v>3757</v>
      </c>
      <c r="D3008" s="86" t="s">
        <v>3754</v>
      </c>
      <c r="E3008" s="78"/>
      <c r="F3008" s="86" t="s">
        <v>3754</v>
      </c>
      <c r="G3008" s="8"/>
      <c r="H3008" s="8"/>
      <c r="I3008" s="8"/>
      <c r="J3008" s="87" t="s">
        <v>1261</v>
      </c>
      <c r="K3008" s="117" t="s">
        <v>5589</v>
      </c>
      <c r="L3008" s="29"/>
      <c r="M3008" s="68">
        <v>1</v>
      </c>
      <c r="N3008" s="68" t="s">
        <v>7025</v>
      </c>
    </row>
    <row r="3009" spans="1:14" s="3" customFormat="1" ht="15" x14ac:dyDescent="0.2">
      <c r="A3009" s="82" t="s">
        <v>4224</v>
      </c>
      <c r="B3009" s="83" t="s">
        <v>8648</v>
      </c>
      <c r="C3009" s="84" t="s">
        <v>3240</v>
      </c>
      <c r="D3009" s="84" t="s">
        <v>3754</v>
      </c>
      <c r="E3009" s="55" t="s">
        <v>3505</v>
      </c>
      <c r="F3009" s="84" t="s">
        <v>3506</v>
      </c>
      <c r="G3009" s="8"/>
      <c r="H3009" s="8">
        <v>8</v>
      </c>
      <c r="I3009" s="8"/>
      <c r="J3009" s="84" t="s">
        <v>5391</v>
      </c>
      <c r="K3009" s="55" t="s">
        <v>1671</v>
      </c>
      <c r="L3009" s="58"/>
      <c r="M3009" s="68">
        <v>1</v>
      </c>
      <c r="N3009" s="68" t="s">
        <v>7149</v>
      </c>
    </row>
    <row r="3010" spans="1:14" s="3" customFormat="1" ht="14.25" x14ac:dyDescent="0.2">
      <c r="A3010" s="82" t="s">
        <v>4224</v>
      </c>
      <c r="B3010" s="83" t="s">
        <v>1445</v>
      </c>
      <c r="C3010" s="41" t="s">
        <v>3761</v>
      </c>
      <c r="D3010" s="39" t="s">
        <v>3754</v>
      </c>
      <c r="E3010" s="112" t="s">
        <v>4225</v>
      </c>
      <c r="F3010" s="84" t="s">
        <v>1541</v>
      </c>
      <c r="G3010" s="8">
        <v>1</v>
      </c>
      <c r="H3010" s="8">
        <v>3</v>
      </c>
      <c r="I3010" s="8"/>
      <c r="J3010" s="84" t="s">
        <v>1254</v>
      </c>
      <c r="K3010" s="112" t="s">
        <v>4019</v>
      </c>
      <c r="L3010" s="29"/>
      <c r="M3010" s="68">
        <v>1</v>
      </c>
      <c r="N3010" s="68" t="s">
        <v>402</v>
      </c>
    </row>
    <row r="3011" spans="1:14" s="3" customFormat="1" ht="14.25" x14ac:dyDescent="0.2">
      <c r="A3011" s="82" t="s">
        <v>4224</v>
      </c>
      <c r="B3011" s="83" t="s">
        <v>1445</v>
      </c>
      <c r="C3011" s="41" t="s">
        <v>3761</v>
      </c>
      <c r="D3011" s="39" t="s">
        <v>3754</v>
      </c>
      <c r="E3011" s="68"/>
      <c r="F3011" s="84" t="s">
        <v>1541</v>
      </c>
      <c r="G3011" s="8">
        <v>4</v>
      </c>
      <c r="H3011" s="8"/>
      <c r="I3011" s="8"/>
      <c r="J3011" s="84" t="s">
        <v>1254</v>
      </c>
      <c r="K3011" s="112" t="s">
        <v>1223</v>
      </c>
      <c r="L3011" s="29"/>
      <c r="M3011" s="68">
        <v>1</v>
      </c>
      <c r="N3011" s="68" t="s">
        <v>402</v>
      </c>
    </row>
    <row r="3012" spans="1:14" s="3" customFormat="1" ht="14.25" x14ac:dyDescent="0.2">
      <c r="A3012" s="85" t="s">
        <v>4224</v>
      </c>
      <c r="B3012" s="38" t="s">
        <v>1445</v>
      </c>
      <c r="C3012" s="86" t="s">
        <v>3757</v>
      </c>
      <c r="D3012" s="86" t="s">
        <v>8621</v>
      </c>
      <c r="E3012" s="78" t="s">
        <v>7058</v>
      </c>
      <c r="F3012" s="86" t="s">
        <v>3767</v>
      </c>
      <c r="G3012" s="8">
        <v>28</v>
      </c>
      <c r="H3012" s="8"/>
      <c r="I3012" s="8"/>
      <c r="J3012" s="86" t="s">
        <v>5945</v>
      </c>
      <c r="K3012" s="117" t="s">
        <v>4945</v>
      </c>
      <c r="L3012" s="29"/>
      <c r="M3012" s="68">
        <v>1</v>
      </c>
      <c r="N3012" s="68" t="s">
        <v>7025</v>
      </c>
    </row>
    <row r="3013" spans="1:14" s="3" customFormat="1" ht="15" x14ac:dyDescent="0.2">
      <c r="A3013" s="82" t="s">
        <v>1792</v>
      </c>
      <c r="B3013" s="83" t="s">
        <v>1793</v>
      </c>
      <c r="C3013" s="84" t="s">
        <v>3754</v>
      </c>
      <c r="D3013" s="84" t="s">
        <v>3754</v>
      </c>
      <c r="E3013" s="61" t="s">
        <v>4614</v>
      </c>
      <c r="F3013" s="84" t="s">
        <v>3488</v>
      </c>
      <c r="G3013" s="8"/>
      <c r="H3013" s="8"/>
      <c r="I3013" s="8"/>
      <c r="J3013" s="84" t="s">
        <v>1277</v>
      </c>
      <c r="K3013" s="111" t="s">
        <v>7186</v>
      </c>
      <c r="L3013" s="58"/>
      <c r="M3013" s="68">
        <v>1</v>
      </c>
      <c r="N3013" s="68" t="s">
        <v>7149</v>
      </c>
    </row>
    <row r="3014" spans="1:14" s="3" customFormat="1" ht="14.25" x14ac:dyDescent="0.2">
      <c r="A3014" s="82" t="s">
        <v>3519</v>
      </c>
      <c r="B3014" s="83" t="s">
        <v>3520</v>
      </c>
      <c r="C3014" s="84" t="s">
        <v>3768</v>
      </c>
      <c r="D3014" s="84" t="s">
        <v>3754</v>
      </c>
      <c r="E3014" s="55" t="s">
        <v>3521</v>
      </c>
      <c r="F3014" s="84" t="s">
        <v>3754</v>
      </c>
      <c r="G3014" s="8">
        <v>60</v>
      </c>
      <c r="H3014" s="8"/>
      <c r="I3014" s="8"/>
      <c r="J3014" s="84" t="s">
        <v>5185</v>
      </c>
      <c r="K3014" s="55" t="s">
        <v>3522</v>
      </c>
      <c r="L3014" s="103"/>
      <c r="M3014" s="68">
        <v>1</v>
      </c>
      <c r="N3014" s="68" t="s">
        <v>3516</v>
      </c>
    </row>
    <row r="3015" spans="1:14" s="3" customFormat="1" ht="14.25" x14ac:dyDescent="0.2">
      <c r="A3015" s="51" t="s">
        <v>3519</v>
      </c>
      <c r="B3015" s="38" t="s">
        <v>4703</v>
      </c>
      <c r="C3015" s="53" t="s">
        <v>4708</v>
      </c>
      <c r="D3015" s="53" t="s">
        <v>3754</v>
      </c>
      <c r="E3015" s="112" t="s">
        <v>8729</v>
      </c>
      <c r="F3015" s="53" t="s">
        <v>7354</v>
      </c>
      <c r="G3015" s="79">
        <v>52</v>
      </c>
      <c r="H3015" s="79">
        <v>6</v>
      </c>
      <c r="I3015" s="8"/>
      <c r="J3015" s="81" t="s">
        <v>1266</v>
      </c>
      <c r="K3015" s="118" t="s">
        <v>2514</v>
      </c>
      <c r="L3015" s="29"/>
      <c r="M3015" s="68">
        <v>1</v>
      </c>
      <c r="N3015" s="68" t="s">
        <v>7293</v>
      </c>
    </row>
    <row r="3016" spans="1:14" s="3" customFormat="1" ht="14.25" x14ac:dyDescent="0.2">
      <c r="A3016" s="51" t="s">
        <v>3519</v>
      </c>
      <c r="B3016" s="38" t="s">
        <v>7355</v>
      </c>
      <c r="C3016" s="53" t="s">
        <v>3754</v>
      </c>
      <c r="D3016" s="53" t="s">
        <v>3754</v>
      </c>
      <c r="E3016" s="112" t="s">
        <v>7356</v>
      </c>
      <c r="F3016" s="53" t="s">
        <v>7354</v>
      </c>
      <c r="G3016" s="8"/>
      <c r="H3016" s="79">
        <v>4</v>
      </c>
      <c r="I3016" s="79">
        <v>2</v>
      </c>
      <c r="J3016" s="81" t="s">
        <v>7357</v>
      </c>
      <c r="K3016" s="118" t="s">
        <v>2514</v>
      </c>
      <c r="L3016" s="29"/>
      <c r="M3016" s="68">
        <v>1</v>
      </c>
      <c r="N3016" s="68" t="s">
        <v>7293</v>
      </c>
    </row>
    <row r="3017" spans="1:14" s="3" customFormat="1" ht="14.25" x14ac:dyDescent="0.2">
      <c r="A3017" s="82" t="s">
        <v>7408</v>
      </c>
      <c r="B3017" s="38" t="s">
        <v>7409</v>
      </c>
      <c r="C3017" s="84" t="s">
        <v>3757</v>
      </c>
      <c r="D3017" s="84" t="s">
        <v>8621</v>
      </c>
      <c r="E3017" s="61" t="s">
        <v>8809</v>
      </c>
      <c r="F3017" s="84" t="s">
        <v>8621</v>
      </c>
      <c r="G3017" s="8">
        <v>59</v>
      </c>
      <c r="H3017" s="8"/>
      <c r="I3017" s="8"/>
      <c r="J3017" s="84" t="s">
        <v>1267</v>
      </c>
      <c r="K3017" s="111" t="s">
        <v>7410</v>
      </c>
      <c r="L3017" s="29"/>
      <c r="M3017" s="68">
        <v>1</v>
      </c>
      <c r="N3017" s="68" t="s">
        <v>7378</v>
      </c>
    </row>
    <row r="3018" spans="1:14" s="3" customFormat="1" ht="14.25" x14ac:dyDescent="0.2">
      <c r="A3018" s="82" t="s">
        <v>3565</v>
      </c>
      <c r="B3018" s="38" t="s">
        <v>8500</v>
      </c>
      <c r="C3018" s="84" t="s">
        <v>3754</v>
      </c>
      <c r="D3018" s="84" t="s">
        <v>3754</v>
      </c>
      <c r="E3018" s="55" t="s">
        <v>4209</v>
      </c>
      <c r="F3018" s="84" t="s">
        <v>4210</v>
      </c>
      <c r="G3018" s="8">
        <v>5</v>
      </c>
      <c r="H3018" s="8"/>
      <c r="I3018" s="8"/>
      <c r="J3018" s="84" t="s">
        <v>4750</v>
      </c>
      <c r="K3018" s="111" t="s">
        <v>8561</v>
      </c>
      <c r="L3018" s="29"/>
      <c r="M3018" s="68">
        <v>1</v>
      </c>
      <c r="N3018" s="68" t="s">
        <v>7378</v>
      </c>
    </row>
    <row r="3019" spans="1:14" s="3" customFormat="1" ht="14.25" x14ac:dyDescent="0.2">
      <c r="A3019" s="82" t="s">
        <v>3565</v>
      </c>
      <c r="B3019" s="38" t="s">
        <v>4685</v>
      </c>
      <c r="C3019" s="84" t="s">
        <v>3754</v>
      </c>
      <c r="D3019" s="84" t="s">
        <v>3754</v>
      </c>
      <c r="E3019" s="61" t="s">
        <v>6843</v>
      </c>
      <c r="F3019" s="84" t="s">
        <v>7417</v>
      </c>
      <c r="G3019" s="8">
        <v>2</v>
      </c>
      <c r="H3019" s="8"/>
      <c r="I3019" s="8"/>
      <c r="J3019" s="84" t="s">
        <v>4579</v>
      </c>
      <c r="K3019" s="111" t="s">
        <v>6845</v>
      </c>
      <c r="L3019" s="29"/>
      <c r="M3019" s="68">
        <v>1</v>
      </c>
      <c r="N3019" s="68" t="s">
        <v>7378</v>
      </c>
    </row>
    <row r="3020" spans="1:14" s="3" customFormat="1" ht="15" x14ac:dyDescent="0.2">
      <c r="A3020" s="82" t="s">
        <v>3565</v>
      </c>
      <c r="B3020" s="83" t="s">
        <v>7210</v>
      </c>
      <c r="C3020" s="84" t="s">
        <v>3754</v>
      </c>
      <c r="D3020" s="84"/>
      <c r="E3020" s="55" t="s">
        <v>8715</v>
      </c>
      <c r="F3020" s="84" t="s">
        <v>7211</v>
      </c>
      <c r="G3020" s="8">
        <v>21</v>
      </c>
      <c r="H3020" s="8">
        <v>7</v>
      </c>
      <c r="I3020" s="8"/>
      <c r="J3020" s="84" t="s">
        <v>1788</v>
      </c>
      <c r="K3020" s="55" t="s">
        <v>2665</v>
      </c>
      <c r="L3020" s="58"/>
      <c r="M3020" s="68">
        <v>1</v>
      </c>
      <c r="N3020" s="68" t="s">
        <v>7204</v>
      </c>
    </row>
    <row r="3021" spans="1:14" s="3" customFormat="1" ht="14.25" x14ac:dyDescent="0.2">
      <c r="A3021" s="82" t="s">
        <v>3565</v>
      </c>
      <c r="B3021" s="83" t="s">
        <v>2071</v>
      </c>
      <c r="C3021" s="84" t="s">
        <v>3754</v>
      </c>
      <c r="D3021" s="84" t="s">
        <v>3754</v>
      </c>
      <c r="E3021" s="61" t="s">
        <v>4143</v>
      </c>
      <c r="F3021" s="84" t="s">
        <v>3566</v>
      </c>
      <c r="G3021" s="8">
        <v>22</v>
      </c>
      <c r="H3021" s="8">
        <v>6</v>
      </c>
      <c r="I3021" s="8"/>
      <c r="J3021" s="84" t="s">
        <v>2335</v>
      </c>
      <c r="K3021" s="55" t="s">
        <v>4150</v>
      </c>
      <c r="L3021" s="103"/>
      <c r="M3021" s="68">
        <v>1</v>
      </c>
      <c r="N3021" s="68" t="s">
        <v>3516</v>
      </c>
    </row>
    <row r="3022" spans="1:14" s="3" customFormat="1" ht="14.25" x14ac:dyDescent="0.2">
      <c r="A3022" s="82" t="s">
        <v>3565</v>
      </c>
      <c r="B3022" s="38" t="s">
        <v>8612</v>
      </c>
      <c r="C3022" s="84" t="s">
        <v>3754</v>
      </c>
      <c r="D3022" s="84" t="s">
        <v>3754</v>
      </c>
      <c r="E3022" s="61" t="s">
        <v>369</v>
      </c>
      <c r="F3022" s="84" t="s">
        <v>4208</v>
      </c>
      <c r="G3022" s="8"/>
      <c r="H3022" s="8"/>
      <c r="I3022" s="8">
        <v>10</v>
      </c>
      <c r="J3022" s="84" t="s">
        <v>2097</v>
      </c>
      <c r="K3022" s="111" t="s">
        <v>8561</v>
      </c>
      <c r="L3022" s="61"/>
      <c r="M3022" s="68">
        <v>1</v>
      </c>
      <c r="N3022" s="68" t="s">
        <v>7378</v>
      </c>
    </row>
    <row r="3023" spans="1:14" s="3" customFormat="1" ht="15" x14ac:dyDescent="0.2">
      <c r="A3023" s="63" t="s">
        <v>7290</v>
      </c>
      <c r="B3023" s="60" t="s">
        <v>1432</v>
      </c>
      <c r="C3023" s="55" t="s">
        <v>3757</v>
      </c>
      <c r="D3023" s="55" t="s">
        <v>3754</v>
      </c>
      <c r="E3023" s="61" t="s">
        <v>278</v>
      </c>
      <c r="F3023" s="55" t="s">
        <v>7291</v>
      </c>
      <c r="G3023" s="8">
        <v>80</v>
      </c>
      <c r="H3023" s="8"/>
      <c r="I3023" s="8"/>
      <c r="J3023" s="55" t="s">
        <v>2108</v>
      </c>
      <c r="K3023" s="55" t="s">
        <v>7292</v>
      </c>
      <c r="L3023" s="62"/>
      <c r="M3023" s="68">
        <v>1</v>
      </c>
      <c r="N3023" s="68" t="s">
        <v>7204</v>
      </c>
    </row>
    <row r="3024" spans="1:14" s="3" customFormat="1" ht="14.25" x14ac:dyDescent="0.2">
      <c r="A3024" s="47" t="s">
        <v>7290</v>
      </c>
      <c r="B3024" s="5" t="s">
        <v>5435</v>
      </c>
      <c r="C3024" s="45" t="s">
        <v>3754</v>
      </c>
      <c r="D3024" s="45" t="s">
        <v>3754</v>
      </c>
      <c r="E3024" s="68" t="s">
        <v>7371</v>
      </c>
      <c r="F3024" s="45" t="s">
        <v>7372</v>
      </c>
      <c r="G3024" s="79">
        <v>4</v>
      </c>
      <c r="H3024" s="79">
        <v>3</v>
      </c>
      <c r="I3024" s="79">
        <v>30</v>
      </c>
      <c r="J3024" s="80" t="s">
        <v>1258</v>
      </c>
      <c r="K3024" s="118" t="s">
        <v>3797</v>
      </c>
      <c r="L3024" s="61"/>
      <c r="M3024" s="68">
        <v>1</v>
      </c>
      <c r="N3024" s="68" t="s">
        <v>7293</v>
      </c>
    </row>
    <row r="3025" spans="1:14" s="3" customFormat="1" ht="15" x14ac:dyDescent="0.2">
      <c r="A3025" s="82" t="s">
        <v>7290</v>
      </c>
      <c r="B3025" s="57" t="s">
        <v>6800</v>
      </c>
      <c r="C3025" s="41" t="s">
        <v>3761</v>
      </c>
      <c r="D3025" s="39" t="s">
        <v>3754</v>
      </c>
      <c r="E3025" s="112" t="s">
        <v>1534</v>
      </c>
      <c r="F3025" s="84" t="s">
        <v>7545</v>
      </c>
      <c r="G3025" s="8"/>
      <c r="H3025" s="8">
        <v>7</v>
      </c>
      <c r="I3025" s="8"/>
      <c r="J3025" s="84" t="s">
        <v>3276</v>
      </c>
      <c r="K3025" s="120" t="s">
        <v>1534</v>
      </c>
      <c r="L3025" s="58"/>
      <c r="M3025" s="68">
        <v>1</v>
      </c>
      <c r="N3025" s="68" t="s">
        <v>7490</v>
      </c>
    </row>
    <row r="3026" spans="1:14" s="3" customFormat="1" ht="14.25" x14ac:dyDescent="0.2">
      <c r="A3026" s="82" t="s">
        <v>7386</v>
      </c>
      <c r="B3026" s="12" t="s">
        <v>7387</v>
      </c>
      <c r="C3026" s="84" t="s">
        <v>3754</v>
      </c>
      <c r="D3026" s="84" t="s">
        <v>3754</v>
      </c>
      <c r="E3026" s="61" t="s">
        <v>7388</v>
      </c>
      <c r="F3026" s="84" t="s">
        <v>7389</v>
      </c>
      <c r="G3026" s="8"/>
      <c r="H3026" s="8"/>
      <c r="I3026" s="8">
        <v>21</v>
      </c>
      <c r="J3026" s="84"/>
      <c r="K3026" s="105" t="s">
        <v>3828</v>
      </c>
      <c r="L3026" s="29"/>
      <c r="M3026" s="68">
        <v>1</v>
      </c>
      <c r="N3026" s="68" t="s">
        <v>7378</v>
      </c>
    </row>
    <row r="3027" spans="1:14" s="3" customFormat="1" ht="15" x14ac:dyDescent="0.2">
      <c r="A3027" s="82" t="s">
        <v>5506</v>
      </c>
      <c r="B3027" s="57" t="s">
        <v>7212</v>
      </c>
      <c r="C3027" s="84" t="s">
        <v>3757</v>
      </c>
      <c r="D3027" s="84"/>
      <c r="E3027" s="61" t="s">
        <v>7213</v>
      </c>
      <c r="F3027" s="84" t="s">
        <v>7214</v>
      </c>
      <c r="G3027" s="8">
        <v>76</v>
      </c>
      <c r="H3027" s="8"/>
      <c r="I3027" s="8"/>
      <c r="J3027" s="84" t="s">
        <v>1554</v>
      </c>
      <c r="K3027" s="84" t="s">
        <v>7215</v>
      </c>
      <c r="L3027" s="58"/>
      <c r="M3027" s="68">
        <v>1</v>
      </c>
      <c r="N3027" s="68" t="s">
        <v>7204</v>
      </c>
    </row>
    <row r="3028" spans="1:14" s="3" customFormat="1" ht="15" x14ac:dyDescent="0.2">
      <c r="A3028" s="82" t="s">
        <v>7242</v>
      </c>
      <c r="B3028" s="57" t="s">
        <v>2211</v>
      </c>
      <c r="C3028" s="84" t="s">
        <v>7736</v>
      </c>
      <c r="D3028" s="84" t="s">
        <v>3754</v>
      </c>
      <c r="E3028" s="55" t="s">
        <v>8737</v>
      </c>
      <c r="F3028" s="84" t="s">
        <v>7244</v>
      </c>
      <c r="G3028" s="8">
        <v>1</v>
      </c>
      <c r="H3028" s="8">
        <v>1</v>
      </c>
      <c r="I3028" s="8"/>
      <c r="J3028" s="84" t="s">
        <v>6616</v>
      </c>
      <c r="K3028" s="84" t="s">
        <v>4494</v>
      </c>
      <c r="L3028" s="58"/>
      <c r="M3028" s="68">
        <v>1</v>
      </c>
      <c r="N3028" s="68" t="s">
        <v>7204</v>
      </c>
    </row>
    <row r="3029" spans="1:14" s="3" customFormat="1" ht="45" x14ac:dyDescent="0.2">
      <c r="A3029" s="82" t="s">
        <v>7528</v>
      </c>
      <c r="B3029" s="57" t="s">
        <v>3734</v>
      </c>
      <c r="C3029" s="84" t="s">
        <v>3757</v>
      </c>
      <c r="D3029" s="39" t="s">
        <v>3754</v>
      </c>
      <c r="E3029" s="68" t="s">
        <v>3924</v>
      </c>
      <c r="F3029" s="84" t="s">
        <v>7529</v>
      </c>
      <c r="G3029" s="8">
        <v>31</v>
      </c>
      <c r="H3029" s="8"/>
      <c r="I3029" s="8"/>
      <c r="J3029" s="84" t="s">
        <v>7530</v>
      </c>
      <c r="K3029" s="120" t="s">
        <v>1491</v>
      </c>
      <c r="L3029" s="58" t="s">
        <v>7531</v>
      </c>
      <c r="M3029" s="68">
        <v>1</v>
      </c>
      <c r="N3029" s="68" t="s">
        <v>7490</v>
      </c>
    </row>
    <row r="3030" spans="1:14" s="3" customFormat="1" ht="14.25" x14ac:dyDescent="0.2">
      <c r="A3030" s="51" t="s">
        <v>7310</v>
      </c>
      <c r="B3030" s="12" t="s">
        <v>7311</v>
      </c>
      <c r="C3030" s="53" t="s">
        <v>3757</v>
      </c>
      <c r="D3030" s="53" t="s">
        <v>3754</v>
      </c>
      <c r="E3030" s="68" t="s">
        <v>2949</v>
      </c>
      <c r="F3030" s="53" t="s">
        <v>7312</v>
      </c>
      <c r="G3030" s="79">
        <v>50</v>
      </c>
      <c r="H3030" s="8"/>
      <c r="I3030" s="8"/>
      <c r="J3030" s="81" t="s">
        <v>4739</v>
      </c>
      <c r="K3030" s="121" t="s">
        <v>418</v>
      </c>
      <c r="L3030" s="29"/>
      <c r="M3030" s="68">
        <v>1</v>
      </c>
      <c r="N3030" s="68" t="s">
        <v>7293</v>
      </c>
    </row>
    <row r="3031" spans="1:14" s="3" customFormat="1" ht="14.25" x14ac:dyDescent="0.2">
      <c r="A3031" s="82" t="s">
        <v>4174</v>
      </c>
      <c r="B3031" s="12" t="s">
        <v>3733</v>
      </c>
      <c r="C3031" s="84" t="s">
        <v>3757</v>
      </c>
      <c r="D3031" s="84" t="s">
        <v>3754</v>
      </c>
      <c r="E3031" s="61" t="s">
        <v>6230</v>
      </c>
      <c r="F3031" s="84" t="s">
        <v>4175</v>
      </c>
      <c r="G3031" s="8">
        <v>53</v>
      </c>
      <c r="H3031" s="8"/>
      <c r="I3031" s="8"/>
      <c r="J3031" s="84" t="s">
        <v>7272</v>
      </c>
      <c r="K3031" s="105" t="s">
        <v>6231</v>
      </c>
      <c r="L3031" s="29"/>
      <c r="M3031" s="68">
        <v>1</v>
      </c>
      <c r="N3031" s="68" t="s">
        <v>7378</v>
      </c>
    </row>
    <row r="3032" spans="1:14" s="3" customFormat="1" ht="14.25" x14ac:dyDescent="0.2">
      <c r="A3032" s="51" t="s">
        <v>3567</v>
      </c>
      <c r="B3032" s="12" t="s">
        <v>3723</v>
      </c>
      <c r="C3032" s="53" t="s">
        <v>3754</v>
      </c>
      <c r="D3032" s="53" t="s">
        <v>3754</v>
      </c>
      <c r="E3032" s="68" t="s">
        <v>3251</v>
      </c>
      <c r="F3032" s="53" t="s">
        <v>7365</v>
      </c>
      <c r="G3032" s="79">
        <v>59</v>
      </c>
      <c r="H3032" s="8"/>
      <c r="I3032" s="8"/>
      <c r="J3032" s="81" t="s">
        <v>2108</v>
      </c>
      <c r="K3032" s="121" t="s">
        <v>7366</v>
      </c>
      <c r="L3032" s="29"/>
      <c r="M3032" s="68">
        <v>1</v>
      </c>
      <c r="N3032" s="68" t="s">
        <v>7293</v>
      </c>
    </row>
    <row r="3033" spans="1:14" s="3" customFormat="1" ht="14.25" x14ac:dyDescent="0.2">
      <c r="A3033" s="82" t="s">
        <v>3567</v>
      </c>
      <c r="B3033" s="57" t="s">
        <v>3733</v>
      </c>
      <c r="C3033" s="84" t="s">
        <v>3754</v>
      </c>
      <c r="D3033" s="84" t="s">
        <v>3754</v>
      </c>
      <c r="E3033" s="61" t="s">
        <v>4422</v>
      </c>
      <c r="F3033" s="84" t="s">
        <v>7195</v>
      </c>
      <c r="G3033" s="8">
        <v>24</v>
      </c>
      <c r="H3033" s="8">
        <v>6</v>
      </c>
      <c r="I3033" s="8"/>
      <c r="J3033" s="84" t="s">
        <v>1264</v>
      </c>
      <c r="K3033" s="84" t="s">
        <v>5650</v>
      </c>
      <c r="L3033" s="103"/>
      <c r="M3033" s="68">
        <v>1</v>
      </c>
      <c r="N3033" s="68" t="s">
        <v>3516</v>
      </c>
    </row>
    <row r="3034" spans="1:14" s="3" customFormat="1" ht="14.25" x14ac:dyDescent="0.2">
      <c r="A3034" s="82" t="s">
        <v>3567</v>
      </c>
      <c r="B3034" s="57" t="s">
        <v>1445</v>
      </c>
      <c r="C3034" s="84" t="s">
        <v>3757</v>
      </c>
      <c r="D3034" s="84" t="s">
        <v>3754</v>
      </c>
      <c r="E3034" s="61" t="s">
        <v>3568</v>
      </c>
      <c r="F3034" s="84" t="s">
        <v>3569</v>
      </c>
      <c r="G3034" s="8">
        <v>66</v>
      </c>
      <c r="H3034" s="8"/>
      <c r="I3034" s="8"/>
      <c r="J3034" s="84" t="s">
        <v>5076</v>
      </c>
      <c r="K3034" s="84" t="s">
        <v>6347</v>
      </c>
      <c r="L3034" s="103"/>
      <c r="M3034" s="68">
        <v>1</v>
      </c>
      <c r="N3034" s="68" t="s">
        <v>3516</v>
      </c>
    </row>
    <row r="3035" spans="1:14" s="3" customFormat="1" ht="14.25" x14ac:dyDescent="0.2">
      <c r="A3035" s="82" t="s">
        <v>4176</v>
      </c>
      <c r="B3035" s="12" t="s">
        <v>3732</v>
      </c>
      <c r="C3035" s="84" t="s">
        <v>3757</v>
      </c>
      <c r="D3035" s="84" t="s">
        <v>3754</v>
      </c>
      <c r="E3035" s="55" t="s">
        <v>2901</v>
      </c>
      <c r="F3035" s="84" t="s">
        <v>4177</v>
      </c>
      <c r="G3035" s="8">
        <v>75</v>
      </c>
      <c r="H3035" s="8"/>
      <c r="I3035" s="8"/>
      <c r="J3035" s="84" t="s">
        <v>2108</v>
      </c>
      <c r="K3035" s="105" t="s">
        <v>4178</v>
      </c>
      <c r="L3035" s="29"/>
      <c r="M3035" s="68">
        <v>1</v>
      </c>
      <c r="N3035" s="68" t="s">
        <v>7378</v>
      </c>
    </row>
    <row r="3036" spans="1:14" s="3" customFormat="1" ht="14.25" x14ac:dyDescent="0.2">
      <c r="A3036" s="82" t="s">
        <v>4211</v>
      </c>
      <c r="B3036" s="12" t="s">
        <v>4212</v>
      </c>
      <c r="C3036" s="84" t="s">
        <v>4708</v>
      </c>
      <c r="D3036" s="84" t="s">
        <v>3754</v>
      </c>
      <c r="E3036" s="61" t="s">
        <v>5058</v>
      </c>
      <c r="F3036" s="84" t="s">
        <v>7482</v>
      </c>
      <c r="G3036" s="8">
        <v>49</v>
      </c>
      <c r="H3036" s="8"/>
      <c r="I3036" s="8"/>
      <c r="J3036" s="84"/>
      <c r="K3036" s="105" t="s">
        <v>7127</v>
      </c>
      <c r="L3036" s="29"/>
      <c r="M3036" s="68">
        <v>1</v>
      </c>
      <c r="N3036" s="68" t="s">
        <v>7378</v>
      </c>
    </row>
    <row r="3037" spans="1:14" s="3" customFormat="1" ht="14.25" x14ac:dyDescent="0.2">
      <c r="A3037" s="82" t="s">
        <v>7411</v>
      </c>
      <c r="B3037" s="12" t="s">
        <v>7412</v>
      </c>
      <c r="C3037" s="84" t="s">
        <v>4708</v>
      </c>
      <c r="D3037" s="84" t="s">
        <v>3754</v>
      </c>
      <c r="E3037" s="55" t="s">
        <v>7413</v>
      </c>
      <c r="F3037" s="84" t="s">
        <v>7414</v>
      </c>
      <c r="G3037" s="8">
        <v>22</v>
      </c>
      <c r="H3037" s="8">
        <v>5</v>
      </c>
      <c r="I3037" s="8"/>
      <c r="J3037" s="84" t="s">
        <v>1264</v>
      </c>
      <c r="K3037" s="105" t="s">
        <v>5320</v>
      </c>
      <c r="L3037" s="29"/>
      <c r="M3037" s="68">
        <v>1</v>
      </c>
      <c r="N3037" s="68" t="s">
        <v>7378</v>
      </c>
    </row>
    <row r="3038" spans="1:14" s="3" customFormat="1" ht="14.25" x14ac:dyDescent="0.2">
      <c r="A3038" s="82" t="s">
        <v>7262</v>
      </c>
      <c r="B3038" s="12" t="s">
        <v>3748</v>
      </c>
      <c r="C3038" s="84" t="s">
        <v>3757</v>
      </c>
      <c r="D3038" s="84" t="s">
        <v>3754</v>
      </c>
      <c r="E3038" s="61" t="s">
        <v>7395</v>
      </c>
      <c r="F3038" s="84" t="s">
        <v>7396</v>
      </c>
      <c r="G3038" s="8">
        <v>79</v>
      </c>
      <c r="H3038" s="8"/>
      <c r="I3038" s="8"/>
      <c r="J3038" s="84" t="s">
        <v>2894</v>
      </c>
      <c r="K3038" s="105" t="s">
        <v>7395</v>
      </c>
      <c r="L3038" s="29"/>
      <c r="M3038" s="68">
        <v>1</v>
      </c>
      <c r="N3038" s="68" t="s">
        <v>7378</v>
      </c>
    </row>
    <row r="3039" spans="1:14" s="3" customFormat="1" ht="15" x14ac:dyDescent="0.2">
      <c r="A3039" s="82" t="s">
        <v>7262</v>
      </c>
      <c r="B3039" s="57" t="s">
        <v>3740</v>
      </c>
      <c r="C3039" s="84" t="s">
        <v>3758</v>
      </c>
      <c r="D3039" s="84" t="s">
        <v>3754</v>
      </c>
      <c r="E3039" s="61" t="s">
        <v>6936</v>
      </c>
      <c r="F3039" s="84" t="s">
        <v>7263</v>
      </c>
      <c r="G3039" s="8">
        <v>66</v>
      </c>
      <c r="H3039" s="8"/>
      <c r="I3039" s="8"/>
      <c r="J3039" s="84" t="s">
        <v>1259</v>
      </c>
      <c r="K3039" s="84" t="s">
        <v>6939</v>
      </c>
      <c r="L3039" s="58"/>
      <c r="M3039" s="68">
        <v>1</v>
      </c>
      <c r="N3039" s="68" t="s">
        <v>7204</v>
      </c>
    </row>
    <row r="3040" spans="1:14" s="3" customFormat="1" ht="15" x14ac:dyDescent="0.2">
      <c r="A3040" s="82" t="s">
        <v>7548</v>
      </c>
      <c r="B3040" s="57" t="s">
        <v>7851</v>
      </c>
      <c r="C3040" s="84" t="s">
        <v>4708</v>
      </c>
      <c r="D3040" s="84" t="s">
        <v>1604</v>
      </c>
      <c r="E3040" s="112" t="s">
        <v>6318</v>
      </c>
      <c r="F3040" s="84" t="s">
        <v>1604</v>
      </c>
      <c r="G3040" s="8">
        <v>31</v>
      </c>
      <c r="H3040" s="8"/>
      <c r="I3040" s="8"/>
      <c r="J3040" s="84" t="s">
        <v>3206</v>
      </c>
      <c r="K3040" s="120" t="s">
        <v>1158</v>
      </c>
      <c r="L3040" s="58" t="s">
        <v>7547</v>
      </c>
      <c r="M3040" s="68">
        <v>1</v>
      </c>
      <c r="N3040" s="68" t="s">
        <v>7490</v>
      </c>
    </row>
    <row r="3041" spans="1:14" s="3" customFormat="1" ht="15" x14ac:dyDescent="0.2">
      <c r="A3041" s="82" t="s">
        <v>7517</v>
      </c>
      <c r="B3041" s="57" t="s">
        <v>1432</v>
      </c>
      <c r="C3041" s="84" t="s">
        <v>3757</v>
      </c>
      <c r="D3041" s="39" t="s">
        <v>3754</v>
      </c>
      <c r="E3041" s="112" t="s">
        <v>1007</v>
      </c>
      <c r="F3041" s="84" t="s">
        <v>7518</v>
      </c>
      <c r="G3041" s="8">
        <v>49</v>
      </c>
      <c r="H3041" s="8"/>
      <c r="I3041" s="8"/>
      <c r="J3041" s="84" t="s">
        <v>3206</v>
      </c>
      <c r="K3041" s="120" t="s">
        <v>7185</v>
      </c>
      <c r="L3041" s="58"/>
      <c r="M3041" s="68">
        <v>1</v>
      </c>
      <c r="N3041" s="68" t="s">
        <v>7490</v>
      </c>
    </row>
    <row r="3042" spans="1:14" s="3" customFormat="1" ht="14.25" x14ac:dyDescent="0.2">
      <c r="A3042" s="82" t="s">
        <v>7382</v>
      </c>
      <c r="B3042" s="12" t="s">
        <v>8641</v>
      </c>
      <c r="C3042" s="84" t="s">
        <v>3754</v>
      </c>
      <c r="D3042" s="84" t="s">
        <v>3754</v>
      </c>
      <c r="E3042" s="55" t="s">
        <v>7383</v>
      </c>
      <c r="F3042" s="84" t="s">
        <v>7384</v>
      </c>
      <c r="G3042" s="8">
        <v>33</v>
      </c>
      <c r="H3042" s="8">
        <v>9</v>
      </c>
      <c r="I3042" s="8">
        <v>27</v>
      </c>
      <c r="J3042" s="84" t="s">
        <v>2989</v>
      </c>
      <c r="K3042" s="105" t="s">
        <v>872</v>
      </c>
      <c r="L3042" s="29"/>
      <c r="M3042" s="68">
        <v>1</v>
      </c>
      <c r="N3042" s="68" t="s">
        <v>7378</v>
      </c>
    </row>
    <row r="3043" spans="1:14" s="3" customFormat="1" ht="14.25" x14ac:dyDescent="0.2">
      <c r="A3043" s="82" t="s">
        <v>4186</v>
      </c>
      <c r="B3043" s="12" t="s">
        <v>4187</v>
      </c>
      <c r="C3043" s="84" t="s">
        <v>3754</v>
      </c>
      <c r="D3043" s="84" t="s">
        <v>3754</v>
      </c>
      <c r="E3043" s="61" t="s">
        <v>2905</v>
      </c>
      <c r="F3043" s="84" t="s">
        <v>4188</v>
      </c>
      <c r="G3043" s="8">
        <v>83</v>
      </c>
      <c r="H3043" s="8"/>
      <c r="I3043" s="8"/>
      <c r="J3043" s="84" t="s">
        <v>4189</v>
      </c>
      <c r="K3043" s="105" t="s">
        <v>3393</v>
      </c>
      <c r="L3043" s="29"/>
      <c r="M3043" s="68">
        <v>1</v>
      </c>
      <c r="N3043" s="68" t="s">
        <v>7378</v>
      </c>
    </row>
    <row r="3044" spans="1:14" s="3" customFormat="1" ht="14.25" x14ac:dyDescent="0.2">
      <c r="A3044" s="82" t="s">
        <v>3536</v>
      </c>
      <c r="B3044" s="57" t="s">
        <v>3733</v>
      </c>
      <c r="C3044" s="84" t="s">
        <v>3757</v>
      </c>
      <c r="D3044" s="84" t="s">
        <v>3754</v>
      </c>
      <c r="E3044" s="55" t="s">
        <v>3537</v>
      </c>
      <c r="F3044" s="84" t="s">
        <v>3754</v>
      </c>
      <c r="G3044" s="8">
        <v>27</v>
      </c>
      <c r="H3044" s="8"/>
      <c r="I3044" s="8"/>
      <c r="J3044" s="84" t="s">
        <v>5185</v>
      </c>
      <c r="K3044" s="84" t="s">
        <v>3538</v>
      </c>
      <c r="L3044" s="103"/>
      <c r="M3044" s="68">
        <v>1</v>
      </c>
      <c r="N3044" s="68" t="s">
        <v>3516</v>
      </c>
    </row>
    <row r="3045" spans="1:14" s="3" customFormat="1" ht="14.25" x14ac:dyDescent="0.2">
      <c r="A3045" s="82" t="s">
        <v>3561</v>
      </c>
      <c r="B3045" s="57" t="s">
        <v>3748</v>
      </c>
      <c r="C3045" s="84" t="s">
        <v>3562</v>
      </c>
      <c r="D3045" s="84" t="s">
        <v>5675</v>
      </c>
      <c r="E3045" s="61" t="s">
        <v>593</v>
      </c>
      <c r="F3045" s="84" t="s">
        <v>5748</v>
      </c>
      <c r="G3045" s="8">
        <v>23</v>
      </c>
      <c r="H3045" s="8">
        <v>6</v>
      </c>
      <c r="I3045" s="8"/>
      <c r="J3045" s="84" t="s">
        <v>2335</v>
      </c>
      <c r="K3045" s="84" t="s">
        <v>1889</v>
      </c>
      <c r="L3045" s="103"/>
      <c r="M3045" s="68">
        <v>1</v>
      </c>
      <c r="N3045" s="68" t="s">
        <v>3516</v>
      </c>
    </row>
    <row r="3046" spans="1:14" s="3" customFormat="1" ht="14.25" x14ac:dyDescent="0.2">
      <c r="A3046" s="82" t="s">
        <v>3561</v>
      </c>
      <c r="B3046" s="57" t="s">
        <v>7763</v>
      </c>
      <c r="C3046" s="84" t="s">
        <v>5675</v>
      </c>
      <c r="D3046" s="84" t="s">
        <v>5675</v>
      </c>
      <c r="E3046" s="55" t="s">
        <v>5502</v>
      </c>
      <c r="F3046" s="84" t="s">
        <v>7196</v>
      </c>
      <c r="G3046" s="8">
        <v>1</v>
      </c>
      <c r="H3046" s="8">
        <v>11</v>
      </c>
      <c r="I3046" s="8"/>
      <c r="J3046" s="84" t="s">
        <v>1262</v>
      </c>
      <c r="K3046" s="84" t="s">
        <v>1444</v>
      </c>
      <c r="L3046" s="103"/>
      <c r="M3046" s="68">
        <v>1</v>
      </c>
      <c r="N3046" s="68" t="s">
        <v>3516</v>
      </c>
    </row>
    <row r="3047" spans="1:14" s="3" customFormat="1" ht="14.25" x14ac:dyDescent="0.2">
      <c r="A3047" s="51" t="s">
        <v>3561</v>
      </c>
      <c r="B3047" s="12" t="s">
        <v>3723</v>
      </c>
      <c r="C3047" s="53" t="s">
        <v>3757</v>
      </c>
      <c r="D3047" s="53" t="s">
        <v>3754</v>
      </c>
      <c r="E3047" s="112" t="s">
        <v>7360</v>
      </c>
      <c r="F3047" s="53" t="s">
        <v>3052</v>
      </c>
      <c r="G3047" s="79">
        <v>68</v>
      </c>
      <c r="H3047" s="8"/>
      <c r="I3047" s="8"/>
      <c r="J3047" s="81" t="s">
        <v>1267</v>
      </c>
      <c r="K3047" s="121" t="s">
        <v>3221</v>
      </c>
      <c r="L3047" s="29"/>
      <c r="M3047" s="68">
        <v>1</v>
      </c>
      <c r="N3047" s="68" t="s">
        <v>7293</v>
      </c>
    </row>
    <row r="3048" spans="1:14" s="3" customFormat="1" ht="14.25" x14ac:dyDescent="0.2">
      <c r="A3048" s="82" t="s">
        <v>3561</v>
      </c>
      <c r="B3048" s="57" t="s">
        <v>3563</v>
      </c>
      <c r="C3048" s="84" t="s">
        <v>5675</v>
      </c>
      <c r="D3048" s="84" t="s">
        <v>5675</v>
      </c>
      <c r="E3048" s="61" t="s">
        <v>3564</v>
      </c>
      <c r="F3048" s="84" t="s">
        <v>5748</v>
      </c>
      <c r="G3048" s="8">
        <v>3</v>
      </c>
      <c r="H3048" s="8"/>
      <c r="I3048" s="8">
        <v>28</v>
      </c>
      <c r="J3048" s="84" t="s">
        <v>5076</v>
      </c>
      <c r="K3048" s="84" t="s">
        <v>1889</v>
      </c>
      <c r="L3048" s="103"/>
      <c r="M3048" s="68">
        <v>1</v>
      </c>
      <c r="N3048" s="68" t="s">
        <v>3516</v>
      </c>
    </row>
    <row r="3049" spans="1:14" s="3" customFormat="1" ht="15" x14ac:dyDescent="0.2">
      <c r="A3049" s="82" t="s">
        <v>7491</v>
      </c>
      <c r="B3049" s="57" t="s">
        <v>3723</v>
      </c>
      <c r="C3049" s="84" t="s">
        <v>3757</v>
      </c>
      <c r="D3049" s="39" t="s">
        <v>3754</v>
      </c>
      <c r="E3049" s="68" t="s">
        <v>7492</v>
      </c>
      <c r="F3049" s="84" t="s">
        <v>7493</v>
      </c>
      <c r="G3049" s="8">
        <v>25</v>
      </c>
      <c r="H3049" s="8"/>
      <c r="I3049" s="8"/>
      <c r="J3049" s="84" t="s">
        <v>7494</v>
      </c>
      <c r="K3049" s="120" t="s">
        <v>7495</v>
      </c>
      <c r="L3049" s="58"/>
      <c r="M3049" s="68">
        <v>1</v>
      </c>
      <c r="N3049" s="68" t="s">
        <v>7490</v>
      </c>
    </row>
    <row r="3050" spans="1:14" s="3" customFormat="1" ht="15" x14ac:dyDescent="0.2">
      <c r="A3050" s="82" t="s">
        <v>7496</v>
      </c>
      <c r="B3050" s="57" t="s">
        <v>4908</v>
      </c>
      <c r="C3050" s="41" t="s">
        <v>3761</v>
      </c>
      <c r="D3050" s="39" t="s">
        <v>3754</v>
      </c>
      <c r="E3050" s="68" t="s">
        <v>5192</v>
      </c>
      <c r="F3050" s="84" t="s">
        <v>7497</v>
      </c>
      <c r="G3050" s="8"/>
      <c r="H3050" s="8">
        <v>10</v>
      </c>
      <c r="I3050" s="8">
        <v>9</v>
      </c>
      <c r="J3050" s="84" t="s">
        <v>3287</v>
      </c>
      <c r="K3050" s="120" t="s">
        <v>5421</v>
      </c>
      <c r="L3050" s="58"/>
      <c r="M3050" s="68">
        <v>1</v>
      </c>
      <c r="N3050" s="68" t="s">
        <v>7490</v>
      </c>
    </row>
    <row r="3051" spans="1:14" s="3" customFormat="1" ht="14.25" x14ac:dyDescent="0.2">
      <c r="A3051" s="82" t="s">
        <v>3558</v>
      </c>
      <c r="B3051" s="57" t="s">
        <v>5712</v>
      </c>
      <c r="C3051" s="84" t="s">
        <v>3757</v>
      </c>
      <c r="D3051" s="84" t="s">
        <v>3754</v>
      </c>
      <c r="E3051" s="61" t="s">
        <v>2047</v>
      </c>
      <c r="F3051" s="84" t="s">
        <v>3559</v>
      </c>
      <c r="G3051" s="8">
        <v>29</v>
      </c>
      <c r="H3051" s="8"/>
      <c r="I3051" s="8"/>
      <c r="J3051" s="84" t="s">
        <v>4751</v>
      </c>
      <c r="K3051" s="84" t="s">
        <v>3560</v>
      </c>
      <c r="L3051" s="103"/>
      <c r="M3051" s="68">
        <v>1</v>
      </c>
      <c r="N3051" s="68" t="s">
        <v>3516</v>
      </c>
    </row>
    <row r="3052" spans="1:14" s="3" customFormat="1" ht="14.25" x14ac:dyDescent="0.2">
      <c r="A3052" s="51" t="s">
        <v>3558</v>
      </c>
      <c r="B3052" s="12" t="s">
        <v>4701</v>
      </c>
      <c r="C3052" s="53" t="s">
        <v>3757</v>
      </c>
      <c r="D3052" s="53" t="s">
        <v>3754</v>
      </c>
      <c r="E3052" s="112" t="s">
        <v>7349</v>
      </c>
      <c r="F3052" s="53" t="s">
        <v>7350</v>
      </c>
      <c r="G3052" s="79">
        <v>40</v>
      </c>
      <c r="H3052" s="8"/>
      <c r="I3052" s="8"/>
      <c r="J3052" s="81" t="s">
        <v>5010</v>
      </c>
      <c r="K3052" s="121" t="s">
        <v>674</v>
      </c>
      <c r="L3052" s="29"/>
      <c r="M3052" s="68">
        <v>1</v>
      </c>
      <c r="N3052" s="68" t="s">
        <v>7293</v>
      </c>
    </row>
    <row r="3053" spans="1:14" s="3" customFormat="1" ht="14.25" x14ac:dyDescent="0.2">
      <c r="A3053" s="82" t="s">
        <v>4201</v>
      </c>
      <c r="B3053" s="12" t="s">
        <v>4202</v>
      </c>
      <c r="C3053" s="84" t="s">
        <v>3754</v>
      </c>
      <c r="D3053" s="84" t="s">
        <v>3754</v>
      </c>
      <c r="E3053" s="61" t="s">
        <v>4203</v>
      </c>
      <c r="F3053" s="84" t="s">
        <v>4204</v>
      </c>
      <c r="G3053" s="8">
        <v>4</v>
      </c>
      <c r="H3053" s="8">
        <v>7</v>
      </c>
      <c r="I3053" s="8"/>
      <c r="J3053" s="84" t="s">
        <v>4205</v>
      </c>
      <c r="K3053" s="105" t="s">
        <v>4206</v>
      </c>
      <c r="L3053" s="29"/>
      <c r="M3053" s="68">
        <v>1</v>
      </c>
      <c r="N3053" s="68" t="s">
        <v>7378</v>
      </c>
    </row>
    <row r="3054" spans="1:14" s="3" customFormat="1" ht="15" x14ac:dyDescent="0.2">
      <c r="A3054" s="82" t="s">
        <v>3523</v>
      </c>
      <c r="B3054" s="57" t="s">
        <v>4908</v>
      </c>
      <c r="C3054" s="84" t="s">
        <v>3757</v>
      </c>
      <c r="D3054" s="84" t="s">
        <v>3754</v>
      </c>
      <c r="E3054" s="61" t="s">
        <v>7281</v>
      </c>
      <c r="F3054" s="84" t="s">
        <v>7282</v>
      </c>
      <c r="G3054" s="8">
        <v>70</v>
      </c>
      <c r="H3054" s="8"/>
      <c r="I3054" s="8"/>
      <c r="J3054" s="84" t="s">
        <v>4732</v>
      </c>
      <c r="K3054" s="84" t="s">
        <v>6007</v>
      </c>
      <c r="L3054" s="58"/>
      <c r="M3054" s="68">
        <v>1</v>
      </c>
      <c r="N3054" s="68" t="s">
        <v>7204</v>
      </c>
    </row>
    <row r="3055" spans="1:14" s="3" customFormat="1" ht="14.25" x14ac:dyDescent="0.2">
      <c r="A3055" s="82" t="s">
        <v>3523</v>
      </c>
      <c r="B3055" s="57" t="s">
        <v>4581</v>
      </c>
      <c r="C3055" s="84" t="s">
        <v>3754</v>
      </c>
      <c r="D3055" s="84" t="s">
        <v>3754</v>
      </c>
      <c r="E3055" s="55"/>
      <c r="F3055" s="84" t="s">
        <v>3754</v>
      </c>
      <c r="G3055" s="8"/>
      <c r="H3055" s="8"/>
      <c r="I3055" s="8">
        <v>1</v>
      </c>
      <c r="J3055" s="84" t="s">
        <v>1264</v>
      </c>
      <c r="K3055" s="84" t="s">
        <v>3525</v>
      </c>
      <c r="L3055" s="103"/>
      <c r="M3055" s="68">
        <v>1</v>
      </c>
      <c r="N3055" s="68" t="s">
        <v>3516</v>
      </c>
    </row>
    <row r="3056" spans="1:14" s="3" customFormat="1" ht="14.25" x14ac:dyDescent="0.2">
      <c r="A3056" s="82" t="s">
        <v>3523</v>
      </c>
      <c r="B3056" s="57" t="s">
        <v>3524</v>
      </c>
      <c r="C3056" s="84" t="s">
        <v>3757</v>
      </c>
      <c r="D3056" s="84" t="s">
        <v>3754</v>
      </c>
      <c r="E3056" s="61"/>
      <c r="F3056" s="84" t="s">
        <v>3754</v>
      </c>
      <c r="G3056" s="8">
        <v>23</v>
      </c>
      <c r="H3056" s="8"/>
      <c r="I3056" s="8"/>
      <c r="J3056" s="84" t="s">
        <v>1264</v>
      </c>
      <c r="K3056" s="84" t="s">
        <v>3525</v>
      </c>
      <c r="L3056" s="103"/>
      <c r="M3056" s="68">
        <v>1</v>
      </c>
      <c r="N3056" s="68" t="s">
        <v>3516</v>
      </c>
    </row>
    <row r="3057" spans="1:14" s="3" customFormat="1" ht="14.25" x14ac:dyDescent="0.2">
      <c r="A3057" s="82" t="s">
        <v>3523</v>
      </c>
      <c r="B3057" s="57" t="s">
        <v>3723</v>
      </c>
      <c r="C3057" s="84" t="s">
        <v>3757</v>
      </c>
      <c r="D3057" s="84" t="s">
        <v>3754</v>
      </c>
      <c r="E3057" s="55"/>
      <c r="F3057" s="84" t="s">
        <v>3754</v>
      </c>
      <c r="G3057" s="8">
        <v>19</v>
      </c>
      <c r="H3057" s="8"/>
      <c r="I3057" s="8"/>
      <c r="J3057" s="84" t="s">
        <v>1264</v>
      </c>
      <c r="K3057" s="84" t="s">
        <v>3525</v>
      </c>
      <c r="L3057" s="103"/>
      <c r="M3057" s="68">
        <v>1</v>
      </c>
      <c r="N3057" s="68" t="s">
        <v>3516</v>
      </c>
    </row>
    <row r="3058" spans="1:14" s="3" customFormat="1" ht="15" x14ac:dyDescent="0.2">
      <c r="A3058" s="82" t="s">
        <v>7252</v>
      </c>
      <c r="B3058" s="57" t="s">
        <v>3723</v>
      </c>
      <c r="C3058" s="84" t="s">
        <v>3754</v>
      </c>
      <c r="D3058" s="84" t="s">
        <v>3754</v>
      </c>
      <c r="E3058" s="55" t="s">
        <v>7253</v>
      </c>
      <c r="F3058" s="84" t="s">
        <v>7254</v>
      </c>
      <c r="G3058" s="8">
        <v>37</v>
      </c>
      <c r="H3058" s="8"/>
      <c r="I3058" s="8"/>
      <c r="J3058" s="84" t="s">
        <v>5152</v>
      </c>
      <c r="K3058" s="84" t="s">
        <v>6929</v>
      </c>
      <c r="L3058" s="58"/>
      <c r="M3058" s="68">
        <v>1</v>
      </c>
      <c r="N3058" s="68" t="s">
        <v>7204</v>
      </c>
    </row>
    <row r="3059" spans="1:14" s="3" customFormat="1" ht="14.25" x14ac:dyDescent="0.2">
      <c r="A3059" s="51" t="s">
        <v>7368</v>
      </c>
      <c r="B3059" s="12" t="s">
        <v>3748</v>
      </c>
      <c r="C3059" s="53" t="s">
        <v>3757</v>
      </c>
      <c r="D3059" s="53" t="s">
        <v>3754</v>
      </c>
      <c r="E3059" s="68" t="s">
        <v>7369</v>
      </c>
      <c r="F3059" s="53" t="s">
        <v>7370</v>
      </c>
      <c r="G3059" s="79">
        <v>69</v>
      </c>
      <c r="H3059" s="8"/>
      <c r="I3059" s="8"/>
      <c r="J3059" s="81" t="s">
        <v>2108</v>
      </c>
      <c r="K3059" s="121" t="s">
        <v>7371</v>
      </c>
      <c r="L3059" s="29"/>
      <c r="M3059" s="68">
        <v>1</v>
      </c>
      <c r="N3059" s="68" t="s">
        <v>7293</v>
      </c>
    </row>
    <row r="3060" spans="1:14" s="3" customFormat="1" ht="14.25" x14ac:dyDescent="0.2">
      <c r="A3060" s="82" t="s">
        <v>7201</v>
      </c>
      <c r="B3060" s="57" t="s">
        <v>3738</v>
      </c>
      <c r="C3060" s="84" t="s">
        <v>3757</v>
      </c>
      <c r="D3060" s="84" t="s">
        <v>3754</v>
      </c>
      <c r="E3060" s="112"/>
      <c r="F3060" s="84" t="s">
        <v>7202</v>
      </c>
      <c r="G3060" s="8">
        <v>56</v>
      </c>
      <c r="H3060" s="8"/>
      <c r="I3060" s="8"/>
      <c r="J3060" s="84" t="s">
        <v>2989</v>
      </c>
      <c r="K3060" s="84" t="s">
        <v>5668</v>
      </c>
      <c r="L3060" s="103"/>
      <c r="M3060" s="68">
        <v>1</v>
      </c>
      <c r="N3060" s="68" t="s">
        <v>3516</v>
      </c>
    </row>
    <row r="3061" spans="1:14" s="3" customFormat="1" ht="14.25" x14ac:dyDescent="0.2">
      <c r="A3061" s="51" t="s">
        <v>7302</v>
      </c>
      <c r="B3061" s="12" t="s">
        <v>7303</v>
      </c>
      <c r="C3061" s="53" t="s">
        <v>3754</v>
      </c>
      <c r="D3061" s="53" t="s">
        <v>3754</v>
      </c>
      <c r="E3061" s="68" t="s">
        <v>7304</v>
      </c>
      <c r="F3061" s="53" t="s">
        <v>7305</v>
      </c>
      <c r="G3061" s="79">
        <v>2</v>
      </c>
      <c r="H3061" s="79">
        <v>5</v>
      </c>
      <c r="I3061" s="79">
        <v>21</v>
      </c>
      <c r="J3061" s="81" t="s">
        <v>1472</v>
      </c>
      <c r="K3061" s="121" t="s">
        <v>7306</v>
      </c>
      <c r="L3061" s="29"/>
      <c r="M3061" s="68">
        <v>1</v>
      </c>
      <c r="N3061" s="68" t="s">
        <v>7293</v>
      </c>
    </row>
    <row r="3062" spans="1:14" s="3" customFormat="1" ht="14.25" x14ac:dyDescent="0.2">
      <c r="A3062" s="51" t="s">
        <v>7302</v>
      </c>
      <c r="B3062" s="12" t="s">
        <v>7307</v>
      </c>
      <c r="C3062" s="53" t="s">
        <v>3754</v>
      </c>
      <c r="D3062" s="53" t="s">
        <v>3754</v>
      </c>
      <c r="E3062" s="112" t="s">
        <v>7308</v>
      </c>
      <c r="F3062" s="53" t="s">
        <v>7305</v>
      </c>
      <c r="G3062" s="79">
        <v>26</v>
      </c>
      <c r="H3062" s="79">
        <v>1</v>
      </c>
      <c r="I3062" s="8"/>
      <c r="J3062" s="81" t="s">
        <v>1264</v>
      </c>
      <c r="K3062" s="121" t="s">
        <v>7309</v>
      </c>
      <c r="L3062" s="29"/>
      <c r="M3062" s="68">
        <v>1</v>
      </c>
      <c r="N3062" s="68" t="s">
        <v>7293</v>
      </c>
    </row>
    <row r="3063" spans="1:14" s="3" customFormat="1" ht="14.25" x14ac:dyDescent="0.2">
      <c r="A3063" s="51" t="s">
        <v>3584</v>
      </c>
      <c r="B3063" s="12" t="s">
        <v>3734</v>
      </c>
      <c r="C3063" s="53" t="s">
        <v>3757</v>
      </c>
      <c r="D3063" s="53" t="s">
        <v>7327</v>
      </c>
      <c r="E3063" s="112">
        <v>1866</v>
      </c>
      <c r="F3063" s="53" t="s">
        <v>7328</v>
      </c>
      <c r="G3063" s="79">
        <v>50</v>
      </c>
      <c r="H3063" s="8"/>
      <c r="I3063" s="8"/>
      <c r="J3063" s="81" t="s">
        <v>7327</v>
      </c>
      <c r="K3063" s="121" t="s">
        <v>2284</v>
      </c>
      <c r="L3063" s="29"/>
      <c r="M3063" s="68">
        <v>1</v>
      </c>
      <c r="N3063" s="68" t="s">
        <v>7293</v>
      </c>
    </row>
    <row r="3064" spans="1:14" s="3" customFormat="1" ht="14.25" x14ac:dyDescent="0.2">
      <c r="A3064" s="82" t="s">
        <v>3584</v>
      </c>
      <c r="B3064" s="57" t="s">
        <v>8536</v>
      </c>
      <c r="C3064" s="84" t="s">
        <v>3757</v>
      </c>
      <c r="D3064" s="84" t="s">
        <v>3754</v>
      </c>
      <c r="E3064" s="55" t="s">
        <v>5241</v>
      </c>
      <c r="F3064" s="84" t="s">
        <v>7194</v>
      </c>
      <c r="G3064" s="8">
        <v>71</v>
      </c>
      <c r="H3064" s="8"/>
      <c r="I3064" s="8"/>
      <c r="J3064" s="84" t="s">
        <v>1266</v>
      </c>
      <c r="K3064" s="84" t="s">
        <v>3109</v>
      </c>
      <c r="L3064" s="103"/>
      <c r="M3064" s="68">
        <v>1</v>
      </c>
      <c r="N3064" s="68" t="s">
        <v>3516</v>
      </c>
    </row>
    <row r="3065" spans="1:14" s="3" customFormat="1" ht="15" x14ac:dyDescent="0.2">
      <c r="A3065" s="82" t="s">
        <v>3531</v>
      </c>
      <c r="B3065" s="60" t="s">
        <v>3724</v>
      </c>
      <c r="C3065" s="41" t="s">
        <v>3761</v>
      </c>
      <c r="D3065" s="39" t="s">
        <v>3754</v>
      </c>
      <c r="E3065" s="112" t="s">
        <v>3922</v>
      </c>
      <c r="F3065" s="84" t="s">
        <v>711</v>
      </c>
      <c r="G3065" s="8">
        <v>7</v>
      </c>
      <c r="H3065" s="8"/>
      <c r="I3065" s="8"/>
      <c r="J3065" s="84" t="s">
        <v>5282</v>
      </c>
      <c r="K3065" s="120" t="s">
        <v>2592</v>
      </c>
      <c r="L3065" s="62"/>
      <c r="M3065" s="68">
        <v>1</v>
      </c>
      <c r="N3065" s="68" t="s">
        <v>7490</v>
      </c>
    </row>
    <row r="3066" spans="1:14" s="3" customFormat="1" ht="15" x14ac:dyDescent="0.2">
      <c r="A3066" s="63" t="s">
        <v>3531</v>
      </c>
      <c r="B3066" s="60" t="s">
        <v>3727</v>
      </c>
      <c r="C3066" s="55" t="s">
        <v>3757</v>
      </c>
      <c r="D3066" s="10" t="s">
        <v>3754</v>
      </c>
      <c r="E3066" s="68" t="s">
        <v>7546</v>
      </c>
      <c r="F3066" s="55" t="s">
        <v>7507</v>
      </c>
      <c r="G3066" s="8">
        <v>55</v>
      </c>
      <c r="H3066" s="8"/>
      <c r="I3066" s="8"/>
      <c r="J3066" s="55" t="s">
        <v>3254</v>
      </c>
      <c r="K3066" s="112" t="s">
        <v>6771</v>
      </c>
      <c r="L3066" s="62" t="s">
        <v>7547</v>
      </c>
      <c r="M3066" s="68">
        <v>1</v>
      </c>
      <c r="N3066" s="68" t="s">
        <v>7490</v>
      </c>
    </row>
    <row r="3067" spans="1:14" s="3" customFormat="1" ht="14.25" x14ac:dyDescent="0.2">
      <c r="A3067" s="63" t="s">
        <v>3531</v>
      </c>
      <c r="B3067" s="60" t="s">
        <v>3728</v>
      </c>
      <c r="C3067" s="55" t="s">
        <v>3757</v>
      </c>
      <c r="D3067" s="55" t="s">
        <v>3754</v>
      </c>
      <c r="E3067" s="55" t="s">
        <v>3532</v>
      </c>
      <c r="F3067" s="55" t="s">
        <v>3754</v>
      </c>
      <c r="G3067" s="8">
        <v>74</v>
      </c>
      <c r="H3067" s="8"/>
      <c r="I3067" s="8"/>
      <c r="J3067" s="55" t="s">
        <v>1271</v>
      </c>
      <c r="K3067" s="55" t="s">
        <v>6462</v>
      </c>
      <c r="L3067" s="104"/>
      <c r="M3067" s="68">
        <v>1</v>
      </c>
      <c r="N3067" s="68" t="s">
        <v>3516</v>
      </c>
    </row>
    <row r="3068" spans="1:14" s="3" customFormat="1" ht="15" x14ac:dyDescent="0.2">
      <c r="A3068" s="82" t="s">
        <v>3531</v>
      </c>
      <c r="B3068" s="57" t="s">
        <v>7852</v>
      </c>
      <c r="C3068" s="41" t="s">
        <v>3761</v>
      </c>
      <c r="D3068" s="39" t="s">
        <v>3754</v>
      </c>
      <c r="E3068" s="120" t="s">
        <v>7526</v>
      </c>
      <c r="F3068" s="84" t="s">
        <v>7527</v>
      </c>
      <c r="G3068" s="8">
        <v>6</v>
      </c>
      <c r="H3068" s="8">
        <v>6</v>
      </c>
      <c r="I3068" s="8">
        <v>9</v>
      </c>
      <c r="J3068" s="84"/>
      <c r="K3068" s="120" t="s">
        <v>6563</v>
      </c>
      <c r="L3068" s="58"/>
      <c r="M3068" s="68">
        <v>1</v>
      </c>
      <c r="N3068" s="68" t="s">
        <v>7490</v>
      </c>
    </row>
    <row r="3069" spans="1:14" s="3" customFormat="1" ht="15" x14ac:dyDescent="0.2">
      <c r="A3069" s="82" t="s">
        <v>7506</v>
      </c>
      <c r="B3069" s="57" t="s">
        <v>1432</v>
      </c>
      <c r="C3069" s="84" t="s">
        <v>3757</v>
      </c>
      <c r="D3069" s="39" t="s">
        <v>3754</v>
      </c>
      <c r="E3069" s="120" t="s">
        <v>53</v>
      </c>
      <c r="F3069" s="84" t="s">
        <v>7507</v>
      </c>
      <c r="G3069" s="8">
        <v>47</v>
      </c>
      <c r="H3069" s="8"/>
      <c r="I3069" s="8"/>
      <c r="J3069" s="84" t="s">
        <v>3261</v>
      </c>
      <c r="K3069" s="120" t="s">
        <v>7508</v>
      </c>
      <c r="L3069" s="58"/>
      <c r="M3069" s="68">
        <v>1</v>
      </c>
      <c r="N3069" s="68" t="s">
        <v>7490</v>
      </c>
    </row>
    <row r="3070" spans="1:14" s="3" customFormat="1" ht="14.25" x14ac:dyDescent="0.2">
      <c r="A3070" s="82" t="s">
        <v>3555</v>
      </c>
      <c r="B3070" s="57" t="s">
        <v>1809</v>
      </c>
      <c r="C3070" s="84" t="s">
        <v>3754</v>
      </c>
      <c r="D3070" s="84" t="s">
        <v>3754</v>
      </c>
      <c r="E3070" s="84" t="s">
        <v>3557</v>
      </c>
      <c r="F3070" s="84" t="s">
        <v>4277</v>
      </c>
      <c r="G3070" s="8"/>
      <c r="H3070" s="8">
        <v>9</v>
      </c>
      <c r="I3070" s="8"/>
      <c r="J3070" s="84"/>
      <c r="K3070" s="84" t="s">
        <v>1860</v>
      </c>
      <c r="L3070" s="103"/>
      <c r="M3070" s="68">
        <v>1</v>
      </c>
      <c r="N3070" s="68" t="s">
        <v>3516</v>
      </c>
    </row>
    <row r="3071" spans="1:14" s="3" customFormat="1" ht="14.25" x14ac:dyDescent="0.2">
      <c r="A3071" s="82" t="s">
        <v>3555</v>
      </c>
      <c r="B3071" s="57" t="s">
        <v>4701</v>
      </c>
      <c r="C3071" s="84" t="s">
        <v>3754</v>
      </c>
      <c r="D3071" s="84" t="s">
        <v>3754</v>
      </c>
      <c r="E3071" s="84" t="s">
        <v>3556</v>
      </c>
      <c r="F3071" s="84" t="s">
        <v>4277</v>
      </c>
      <c r="G3071" s="8">
        <v>35</v>
      </c>
      <c r="H3071" s="8"/>
      <c r="I3071" s="8"/>
      <c r="J3071" s="84" t="s">
        <v>1259</v>
      </c>
      <c r="K3071" s="84" t="s">
        <v>1860</v>
      </c>
      <c r="L3071" s="103"/>
      <c r="M3071" s="68">
        <v>1</v>
      </c>
      <c r="N3071" s="68" t="s">
        <v>3516</v>
      </c>
    </row>
    <row r="3072" spans="1:14" s="3" customFormat="1" ht="14.25" x14ac:dyDescent="0.2">
      <c r="A3072" s="82" t="s">
        <v>3555</v>
      </c>
      <c r="B3072" s="57" t="s">
        <v>4701</v>
      </c>
      <c r="C3072" s="84" t="s">
        <v>3754</v>
      </c>
      <c r="D3072" s="84" t="s">
        <v>3754</v>
      </c>
      <c r="E3072" s="84" t="s">
        <v>1566</v>
      </c>
      <c r="F3072" s="84" t="s">
        <v>4277</v>
      </c>
      <c r="G3072" s="8"/>
      <c r="H3072" s="8">
        <v>9</v>
      </c>
      <c r="I3072" s="8"/>
      <c r="J3072" s="84"/>
      <c r="K3072" s="84" t="s">
        <v>1860</v>
      </c>
      <c r="L3072" s="103"/>
      <c r="M3072" s="68">
        <v>1</v>
      </c>
      <c r="N3072" s="68" t="s">
        <v>3516</v>
      </c>
    </row>
    <row r="3073" spans="1:14" s="3" customFormat="1" ht="15" x14ac:dyDescent="0.2">
      <c r="A3073" s="82" t="s">
        <v>7509</v>
      </c>
      <c r="B3073" s="57" t="s">
        <v>7853</v>
      </c>
      <c r="C3073" s="84" t="s">
        <v>3757</v>
      </c>
      <c r="D3073" s="39" t="s">
        <v>3754</v>
      </c>
      <c r="E3073" s="120" t="s">
        <v>7511</v>
      </c>
      <c r="F3073" s="84" t="s">
        <v>7512</v>
      </c>
      <c r="G3073" s="8">
        <v>30</v>
      </c>
      <c r="H3073" s="8"/>
      <c r="I3073" s="8"/>
      <c r="J3073" s="84" t="s">
        <v>3206</v>
      </c>
      <c r="K3073" s="120" t="s">
        <v>7513</v>
      </c>
      <c r="L3073" s="58"/>
      <c r="M3073" s="68">
        <v>1</v>
      </c>
      <c r="N3073" s="68" t="s">
        <v>7490</v>
      </c>
    </row>
    <row r="3074" spans="1:14" s="3" customFormat="1" ht="15" x14ac:dyDescent="0.2">
      <c r="A3074" s="82" t="s">
        <v>7509</v>
      </c>
      <c r="B3074" s="57" t="s">
        <v>3740</v>
      </c>
      <c r="C3074" s="84" t="s">
        <v>3757</v>
      </c>
      <c r="D3074" s="39" t="s">
        <v>3754</v>
      </c>
      <c r="E3074" s="120" t="s">
        <v>1473</v>
      </c>
      <c r="F3074" s="84" t="s">
        <v>7510</v>
      </c>
      <c r="G3074" s="8">
        <v>45</v>
      </c>
      <c r="H3074" s="8"/>
      <c r="I3074" s="8"/>
      <c r="J3074" s="84" t="s">
        <v>3276</v>
      </c>
      <c r="K3074" s="120" t="s">
        <v>5255</v>
      </c>
      <c r="L3074" s="58"/>
      <c r="M3074" s="68">
        <v>1</v>
      </c>
      <c r="N3074" s="68" t="s">
        <v>7490</v>
      </c>
    </row>
    <row r="3075" spans="1:14" s="3" customFormat="1" ht="14.25" x14ac:dyDescent="0.2">
      <c r="A3075" s="82" t="s">
        <v>3580</v>
      </c>
      <c r="B3075" s="57" t="s">
        <v>3752</v>
      </c>
      <c r="C3075" s="84" t="s">
        <v>3757</v>
      </c>
      <c r="D3075" s="84" t="s">
        <v>3754</v>
      </c>
      <c r="E3075" s="84" t="s">
        <v>1442</v>
      </c>
      <c r="F3075" s="84" t="s">
        <v>3582</v>
      </c>
      <c r="G3075" s="8">
        <v>32</v>
      </c>
      <c r="H3075" s="8"/>
      <c r="I3075" s="8"/>
      <c r="J3075" s="84" t="s">
        <v>2956</v>
      </c>
      <c r="K3075" s="84" t="s">
        <v>1954</v>
      </c>
      <c r="L3075" s="103"/>
      <c r="M3075" s="68">
        <v>1</v>
      </c>
      <c r="N3075" s="68" t="s">
        <v>3516</v>
      </c>
    </row>
    <row r="3076" spans="1:14" s="3" customFormat="1" ht="14.25" x14ac:dyDescent="0.2">
      <c r="A3076" s="82" t="s">
        <v>3580</v>
      </c>
      <c r="B3076" s="57" t="s">
        <v>3723</v>
      </c>
      <c r="C3076" s="84" t="s">
        <v>3757</v>
      </c>
      <c r="D3076" s="84" t="s">
        <v>3754</v>
      </c>
      <c r="E3076" s="84" t="s">
        <v>3581</v>
      </c>
      <c r="F3076" s="84" t="s">
        <v>3582</v>
      </c>
      <c r="G3076" s="8"/>
      <c r="H3076" s="8"/>
      <c r="I3076" s="8"/>
      <c r="J3076" s="84" t="s">
        <v>8629</v>
      </c>
      <c r="K3076" s="84" t="s">
        <v>1954</v>
      </c>
      <c r="L3076" s="103"/>
      <c r="M3076" s="68">
        <v>1</v>
      </c>
      <c r="N3076" s="68" t="s">
        <v>3516</v>
      </c>
    </row>
    <row r="3077" spans="1:14" s="3" customFormat="1" ht="14.25" x14ac:dyDescent="0.2">
      <c r="A3077" s="82" t="s">
        <v>3580</v>
      </c>
      <c r="B3077" s="57" t="s">
        <v>3741</v>
      </c>
      <c r="C3077" s="84" t="s">
        <v>3757</v>
      </c>
      <c r="D3077" s="84" t="s">
        <v>3754</v>
      </c>
      <c r="E3077" s="84" t="s">
        <v>3583</v>
      </c>
      <c r="F3077" s="84" t="s">
        <v>3582</v>
      </c>
      <c r="G3077" s="8">
        <v>36</v>
      </c>
      <c r="H3077" s="8"/>
      <c r="I3077" s="8"/>
      <c r="J3077" s="84" t="s">
        <v>4737</v>
      </c>
      <c r="K3077" s="84" t="s">
        <v>1954</v>
      </c>
      <c r="L3077" s="103"/>
      <c r="M3077" s="68">
        <v>1</v>
      </c>
      <c r="N3077" s="68" t="s">
        <v>3516</v>
      </c>
    </row>
    <row r="3078" spans="1:14" s="3" customFormat="1" ht="15" x14ac:dyDescent="0.2">
      <c r="A3078" s="82" t="s">
        <v>7230</v>
      </c>
      <c r="B3078" s="57" t="s">
        <v>4690</v>
      </c>
      <c r="C3078" s="84" t="s">
        <v>3754</v>
      </c>
      <c r="D3078" s="84" t="s">
        <v>3754</v>
      </c>
      <c r="E3078" s="84"/>
      <c r="F3078" s="84" t="s">
        <v>7232</v>
      </c>
      <c r="G3078" s="8"/>
      <c r="H3078" s="8">
        <v>1</v>
      </c>
      <c r="I3078" s="8">
        <v>21</v>
      </c>
      <c r="J3078" s="84" t="s">
        <v>1276</v>
      </c>
      <c r="K3078" s="84" t="s">
        <v>7229</v>
      </c>
      <c r="L3078" s="58"/>
      <c r="M3078" s="68">
        <v>1</v>
      </c>
      <c r="N3078" s="68" t="s">
        <v>7204</v>
      </c>
    </row>
    <row r="3079" spans="1:14" s="3" customFormat="1" ht="15" x14ac:dyDescent="0.2">
      <c r="A3079" s="82" t="s">
        <v>7230</v>
      </c>
      <c r="B3079" s="57" t="s">
        <v>1837</v>
      </c>
      <c r="C3079" s="84" t="s">
        <v>3754</v>
      </c>
      <c r="D3079" s="84" t="s">
        <v>3754</v>
      </c>
      <c r="E3079" s="84"/>
      <c r="F3079" s="84" t="s">
        <v>7233</v>
      </c>
      <c r="G3079" s="8"/>
      <c r="H3079" s="8"/>
      <c r="I3079" s="8">
        <v>6</v>
      </c>
      <c r="J3079" s="84" t="s">
        <v>1276</v>
      </c>
      <c r="K3079" s="84" t="s">
        <v>7229</v>
      </c>
      <c r="L3079" s="58"/>
      <c r="M3079" s="68">
        <v>1</v>
      </c>
      <c r="N3079" s="68" t="s">
        <v>7204</v>
      </c>
    </row>
    <row r="3080" spans="1:14" s="3" customFormat="1" ht="15" x14ac:dyDescent="0.2">
      <c r="A3080" s="82" t="s">
        <v>7230</v>
      </c>
      <c r="B3080" s="57" t="s">
        <v>1428</v>
      </c>
      <c r="C3080" s="84" t="s">
        <v>3754</v>
      </c>
      <c r="D3080" s="84" t="s">
        <v>3754</v>
      </c>
      <c r="E3080" s="84"/>
      <c r="F3080" s="84" t="s">
        <v>7231</v>
      </c>
      <c r="G3080" s="8">
        <v>3</v>
      </c>
      <c r="H3080" s="8">
        <v>3</v>
      </c>
      <c r="I3080" s="8"/>
      <c r="J3080" s="84" t="s">
        <v>1276</v>
      </c>
      <c r="K3080" s="84" t="s">
        <v>7229</v>
      </c>
      <c r="L3080" s="58"/>
      <c r="M3080" s="68">
        <v>1</v>
      </c>
      <c r="N3080" s="68" t="s">
        <v>7204</v>
      </c>
    </row>
    <row r="3081" spans="1:14" s="3" customFormat="1" ht="15" x14ac:dyDescent="0.2">
      <c r="A3081" s="82" t="s">
        <v>7226</v>
      </c>
      <c r="B3081" s="57" t="s">
        <v>7227</v>
      </c>
      <c r="C3081" s="84" t="s">
        <v>3754</v>
      </c>
      <c r="D3081" s="84" t="s">
        <v>3754</v>
      </c>
      <c r="E3081" s="84"/>
      <c r="F3081" s="84" t="s">
        <v>7228</v>
      </c>
      <c r="G3081" s="8">
        <v>12</v>
      </c>
      <c r="H3081" s="8">
        <v>11</v>
      </c>
      <c r="I3081" s="8"/>
      <c r="J3081" s="84" t="s">
        <v>1572</v>
      </c>
      <c r="K3081" s="84" t="s">
        <v>7229</v>
      </c>
      <c r="L3081" s="58"/>
      <c r="M3081" s="68">
        <v>1</v>
      </c>
      <c r="N3081" s="68" t="s">
        <v>7204</v>
      </c>
    </row>
    <row r="3082" spans="1:14" s="3" customFormat="1" ht="14.25" x14ac:dyDescent="0.2">
      <c r="A3082" s="51" t="s">
        <v>7338</v>
      </c>
      <c r="B3082" s="12" t="s">
        <v>5712</v>
      </c>
      <c r="C3082" s="53" t="s">
        <v>3754</v>
      </c>
      <c r="D3082" s="53" t="s">
        <v>3754</v>
      </c>
      <c r="E3082" s="120" t="s">
        <v>7341</v>
      </c>
      <c r="F3082" s="53" t="s">
        <v>7342</v>
      </c>
      <c r="G3082" s="8"/>
      <c r="H3082" s="79">
        <v>10</v>
      </c>
      <c r="I3082" s="8"/>
      <c r="J3082" s="81" t="s">
        <v>7343</v>
      </c>
      <c r="K3082" s="121" t="s">
        <v>2174</v>
      </c>
      <c r="L3082" s="29"/>
      <c r="M3082" s="68">
        <v>1</v>
      </c>
      <c r="N3082" s="68" t="s">
        <v>7293</v>
      </c>
    </row>
    <row r="3083" spans="1:14" s="3" customFormat="1" ht="14.25" x14ac:dyDescent="0.2">
      <c r="A3083" s="51" t="s">
        <v>7338</v>
      </c>
      <c r="B3083" s="12" t="s">
        <v>4982</v>
      </c>
      <c r="C3083" s="53" t="s">
        <v>3754</v>
      </c>
      <c r="D3083" s="53" t="s">
        <v>3754</v>
      </c>
      <c r="E3083" s="120" t="s">
        <v>7339</v>
      </c>
      <c r="F3083" s="53" t="s">
        <v>7340</v>
      </c>
      <c r="G3083" s="79">
        <v>22</v>
      </c>
      <c r="H3083" s="8"/>
      <c r="I3083" s="8"/>
      <c r="J3083" s="81" t="s">
        <v>4809</v>
      </c>
      <c r="K3083" s="121" t="s">
        <v>2174</v>
      </c>
      <c r="L3083" s="29"/>
      <c r="M3083" s="68">
        <v>1</v>
      </c>
      <c r="N3083" s="68" t="s">
        <v>7293</v>
      </c>
    </row>
    <row r="3084" spans="1:14" s="3" customFormat="1" ht="15" x14ac:dyDescent="0.2">
      <c r="A3084" s="82" t="s">
        <v>7338</v>
      </c>
      <c r="B3084" s="57" t="s">
        <v>6077</v>
      </c>
      <c r="C3084" s="84" t="s">
        <v>3757</v>
      </c>
      <c r="D3084" s="39" t="s">
        <v>3754</v>
      </c>
      <c r="E3084" s="120" t="s">
        <v>5607</v>
      </c>
      <c r="F3084" s="84" t="s">
        <v>7498</v>
      </c>
      <c r="G3084" s="8">
        <v>55</v>
      </c>
      <c r="H3084" s="8"/>
      <c r="I3084" s="8"/>
      <c r="J3084" s="84" t="s">
        <v>7499</v>
      </c>
      <c r="K3084" s="120" t="s">
        <v>6121</v>
      </c>
      <c r="L3084" s="58"/>
      <c r="M3084" s="68">
        <v>1</v>
      </c>
      <c r="N3084" s="68" t="s">
        <v>7490</v>
      </c>
    </row>
    <row r="3085" spans="1:14" s="3" customFormat="1" ht="15" x14ac:dyDescent="0.2">
      <c r="A3085" s="82" t="s">
        <v>7217</v>
      </c>
      <c r="B3085" s="57" t="s">
        <v>3728</v>
      </c>
      <c r="C3085" s="84" t="s">
        <v>3757</v>
      </c>
      <c r="D3085" s="84" t="s">
        <v>7218</v>
      </c>
      <c r="E3085" s="84" t="s">
        <v>7219</v>
      </c>
      <c r="F3085" s="84" t="s">
        <v>7220</v>
      </c>
      <c r="G3085" s="8">
        <v>28</v>
      </c>
      <c r="H3085" s="8"/>
      <c r="I3085" s="8"/>
      <c r="J3085" s="84" t="s">
        <v>3231</v>
      </c>
      <c r="K3085" s="84" t="s">
        <v>8477</v>
      </c>
      <c r="L3085" s="58"/>
      <c r="M3085" s="68">
        <v>1</v>
      </c>
      <c r="N3085" s="68" t="s">
        <v>7204</v>
      </c>
    </row>
    <row r="3086" spans="1:14" s="3" customFormat="1" ht="15" x14ac:dyDescent="0.2">
      <c r="A3086" s="82" t="s">
        <v>7247</v>
      </c>
      <c r="B3086" s="57" t="s">
        <v>7248</v>
      </c>
      <c r="C3086" s="84" t="s">
        <v>3754</v>
      </c>
      <c r="D3086" s="84" t="s">
        <v>3754</v>
      </c>
      <c r="E3086" s="84" t="s">
        <v>4374</v>
      </c>
      <c r="F3086" s="84" t="s">
        <v>7249</v>
      </c>
      <c r="G3086" s="8">
        <v>2</v>
      </c>
      <c r="H3086" s="8">
        <v>7</v>
      </c>
      <c r="I3086" s="8"/>
      <c r="J3086" s="84" t="s">
        <v>7319</v>
      </c>
      <c r="K3086" s="84" t="s">
        <v>1192</v>
      </c>
      <c r="L3086" s="58"/>
      <c r="M3086" s="68">
        <v>1</v>
      </c>
      <c r="N3086" s="68" t="s">
        <v>7204</v>
      </c>
    </row>
    <row r="3087" spans="1:14" s="3" customFormat="1" ht="14.25" x14ac:dyDescent="0.2">
      <c r="A3087" s="51" t="s">
        <v>7247</v>
      </c>
      <c r="B3087" s="12" t="s">
        <v>7313</v>
      </c>
      <c r="C3087" s="53" t="s">
        <v>3754</v>
      </c>
      <c r="D3087" s="53" t="s">
        <v>3754</v>
      </c>
      <c r="E3087" s="120" t="s">
        <v>7314</v>
      </c>
      <c r="F3087" s="53" t="s">
        <v>7315</v>
      </c>
      <c r="G3087" s="79">
        <v>25</v>
      </c>
      <c r="H3087" s="8"/>
      <c r="I3087" s="8"/>
      <c r="J3087" s="81" t="s">
        <v>1264</v>
      </c>
      <c r="K3087" s="121" t="s">
        <v>7316</v>
      </c>
      <c r="L3087" s="29"/>
      <c r="M3087" s="68">
        <v>1</v>
      </c>
      <c r="N3087" s="68" t="s">
        <v>7293</v>
      </c>
    </row>
    <row r="3088" spans="1:14" s="3" customFormat="1" ht="14.25" x14ac:dyDescent="0.2">
      <c r="A3088" s="51" t="s">
        <v>7247</v>
      </c>
      <c r="B3088" s="12" t="s">
        <v>727</v>
      </c>
      <c r="C3088" s="53" t="s">
        <v>3757</v>
      </c>
      <c r="D3088" s="53" t="s">
        <v>7327</v>
      </c>
      <c r="E3088" s="120" t="s">
        <v>7329</v>
      </c>
      <c r="F3088" s="53" t="s">
        <v>7315</v>
      </c>
      <c r="G3088" s="79">
        <v>45</v>
      </c>
      <c r="H3088" s="8"/>
      <c r="I3088" s="8"/>
      <c r="J3088" s="81" t="s">
        <v>1264</v>
      </c>
      <c r="K3088" s="121" t="s">
        <v>2284</v>
      </c>
      <c r="L3088" s="29"/>
      <c r="M3088" s="68">
        <v>1</v>
      </c>
      <c r="N3088" s="68" t="s">
        <v>7293</v>
      </c>
    </row>
    <row r="3089" spans="1:14" s="3" customFormat="1" ht="14.25" x14ac:dyDescent="0.2">
      <c r="A3089" s="51" t="s">
        <v>7247</v>
      </c>
      <c r="B3089" s="12" t="s">
        <v>3733</v>
      </c>
      <c r="C3089" s="53" t="s">
        <v>3754</v>
      </c>
      <c r="D3089" s="53" t="s">
        <v>7327</v>
      </c>
      <c r="E3089" s="120">
        <v>1861</v>
      </c>
      <c r="F3089" s="53" t="s">
        <v>7315</v>
      </c>
      <c r="G3089" s="79">
        <v>5</v>
      </c>
      <c r="H3089" s="8"/>
      <c r="I3089" s="8"/>
      <c r="J3089" s="81" t="s">
        <v>7327</v>
      </c>
      <c r="K3089" s="121" t="s">
        <v>2282</v>
      </c>
      <c r="L3089" s="29"/>
      <c r="M3089" s="68">
        <v>1</v>
      </c>
      <c r="N3089" s="68" t="s">
        <v>7293</v>
      </c>
    </row>
    <row r="3090" spans="1:14" s="3" customFormat="1" ht="14.25" x14ac:dyDescent="0.2">
      <c r="A3090" s="51" t="s">
        <v>7247</v>
      </c>
      <c r="B3090" s="12" t="s">
        <v>1445</v>
      </c>
      <c r="C3090" s="53" t="s">
        <v>3757</v>
      </c>
      <c r="D3090" s="53" t="s">
        <v>7327</v>
      </c>
      <c r="E3090" s="120" t="s">
        <v>7330</v>
      </c>
      <c r="F3090" s="53" t="s">
        <v>7315</v>
      </c>
      <c r="G3090" s="79">
        <v>45</v>
      </c>
      <c r="H3090" s="8"/>
      <c r="I3090" s="8"/>
      <c r="J3090" s="81" t="s">
        <v>1264</v>
      </c>
      <c r="K3090" s="121" t="s">
        <v>2284</v>
      </c>
      <c r="L3090" s="29"/>
      <c r="M3090" s="68">
        <v>1</v>
      </c>
      <c r="N3090" s="68" t="s">
        <v>7293</v>
      </c>
    </row>
    <row r="3091" spans="1:14" s="3" customFormat="1" ht="15" x14ac:dyDescent="0.2">
      <c r="A3091" s="82" t="s">
        <v>7205</v>
      </c>
      <c r="B3091" s="57" t="s">
        <v>7206</v>
      </c>
      <c r="C3091" s="84" t="s">
        <v>3754</v>
      </c>
      <c r="D3091" s="84"/>
      <c r="E3091" s="84" t="s">
        <v>4788</v>
      </c>
      <c r="F3091" s="84" t="s">
        <v>7207</v>
      </c>
      <c r="G3091" s="8"/>
      <c r="H3091" s="8">
        <v>9</v>
      </c>
      <c r="I3091" s="8">
        <v>26</v>
      </c>
      <c r="J3091" s="84" t="s">
        <v>7208</v>
      </c>
      <c r="K3091" s="84" t="s">
        <v>7209</v>
      </c>
      <c r="L3091" s="58"/>
      <c r="M3091" s="68">
        <v>1</v>
      </c>
      <c r="N3091" s="68" t="s">
        <v>7204</v>
      </c>
    </row>
    <row r="3092" spans="1:14" s="3" customFormat="1" ht="15" x14ac:dyDescent="0.2">
      <c r="A3092" s="82" t="s">
        <v>7502</v>
      </c>
      <c r="B3092" s="57" t="s">
        <v>3732</v>
      </c>
      <c r="C3092" s="84" t="s">
        <v>3757</v>
      </c>
      <c r="D3092" s="39" t="s">
        <v>3754</v>
      </c>
      <c r="E3092" s="120" t="s">
        <v>7503</v>
      </c>
      <c r="F3092" s="84" t="s">
        <v>7504</v>
      </c>
      <c r="G3092" s="8">
        <v>56</v>
      </c>
      <c r="H3092" s="8"/>
      <c r="I3092" s="8"/>
      <c r="J3092" s="84" t="s">
        <v>3206</v>
      </c>
      <c r="K3092" s="120" t="s">
        <v>7505</v>
      </c>
      <c r="L3092" s="58"/>
      <c r="M3092" s="68">
        <v>1</v>
      </c>
      <c r="N3092" s="68" t="s">
        <v>7490</v>
      </c>
    </row>
    <row r="3093" spans="1:14" s="3" customFormat="1" ht="14.25" x14ac:dyDescent="0.2">
      <c r="A3093" s="82" t="s">
        <v>4191</v>
      </c>
      <c r="B3093" s="12" t="s">
        <v>5073</v>
      </c>
      <c r="C3093" s="84" t="s">
        <v>3754</v>
      </c>
      <c r="D3093" s="84" t="s">
        <v>3754</v>
      </c>
      <c r="E3093" s="84" t="s">
        <v>4192</v>
      </c>
      <c r="F3093" s="84" t="s">
        <v>4193</v>
      </c>
      <c r="G3093" s="8">
        <v>31</v>
      </c>
      <c r="H3093" s="8"/>
      <c r="I3093" s="8"/>
      <c r="J3093" s="84" t="s">
        <v>7863</v>
      </c>
      <c r="K3093" s="105" t="s">
        <v>6236</v>
      </c>
      <c r="L3093" s="29"/>
      <c r="M3093" s="68">
        <v>1</v>
      </c>
      <c r="N3093" s="68" t="s">
        <v>7378</v>
      </c>
    </row>
    <row r="3094" spans="1:14" s="3" customFormat="1" ht="15" x14ac:dyDescent="0.2">
      <c r="A3094" s="82" t="s">
        <v>4191</v>
      </c>
      <c r="B3094" s="57" t="s">
        <v>8648</v>
      </c>
      <c r="C3094" s="84" t="s">
        <v>3757</v>
      </c>
      <c r="D3094" s="39" t="s">
        <v>3754</v>
      </c>
      <c r="E3094" s="120" t="s">
        <v>6745</v>
      </c>
      <c r="F3094" s="84" t="s">
        <v>7539</v>
      </c>
      <c r="G3094" s="8">
        <v>65</v>
      </c>
      <c r="H3094" s="8"/>
      <c r="I3094" s="8"/>
      <c r="J3094" s="84" t="s">
        <v>7540</v>
      </c>
      <c r="K3094" s="120" t="s">
        <v>6162</v>
      </c>
      <c r="L3094" s="58"/>
      <c r="M3094" s="68">
        <v>1</v>
      </c>
      <c r="N3094" s="68" t="s">
        <v>7490</v>
      </c>
    </row>
    <row r="3095" spans="1:14" s="3" customFormat="1" ht="14.25" x14ac:dyDescent="0.2">
      <c r="A3095" s="82" t="s">
        <v>4160</v>
      </c>
      <c r="B3095" s="12" t="s">
        <v>3736</v>
      </c>
      <c r="C3095" s="84" t="s">
        <v>4161</v>
      </c>
      <c r="D3095" s="84" t="s">
        <v>3754</v>
      </c>
      <c r="E3095" s="84" t="s">
        <v>4162</v>
      </c>
      <c r="F3095" s="84" t="s">
        <v>4163</v>
      </c>
      <c r="G3095" s="8">
        <v>26</v>
      </c>
      <c r="H3095" s="8"/>
      <c r="I3095" s="8"/>
      <c r="J3095" s="84" t="s">
        <v>4164</v>
      </c>
      <c r="K3095" s="105" t="s">
        <v>3966</v>
      </c>
      <c r="L3095" s="29"/>
      <c r="M3095" s="68">
        <v>1</v>
      </c>
      <c r="N3095" s="68" t="s">
        <v>7378</v>
      </c>
    </row>
    <row r="3096" spans="1:14" s="3" customFormat="1" ht="14.25" x14ac:dyDescent="0.2">
      <c r="A3096" s="82" t="s">
        <v>7415</v>
      </c>
      <c r="B3096" s="12" t="s">
        <v>175</v>
      </c>
      <c r="C3096" s="84" t="s">
        <v>1095</v>
      </c>
      <c r="D3096" s="84"/>
      <c r="E3096" s="84" t="s">
        <v>5316</v>
      </c>
      <c r="F3096" s="84" t="s">
        <v>7416</v>
      </c>
      <c r="G3096" s="8">
        <v>47</v>
      </c>
      <c r="H3096" s="8"/>
      <c r="I3096" s="8"/>
      <c r="J3096" s="84" t="s">
        <v>1264</v>
      </c>
      <c r="K3096" s="105"/>
      <c r="L3096" s="29"/>
      <c r="M3096" s="68">
        <v>1</v>
      </c>
      <c r="N3096" s="68" t="s">
        <v>7378</v>
      </c>
    </row>
    <row r="3097" spans="1:14" s="3" customFormat="1" ht="14.25" x14ac:dyDescent="0.2">
      <c r="A3097" s="82" t="s">
        <v>4167</v>
      </c>
      <c r="B3097" s="12" t="s">
        <v>4690</v>
      </c>
      <c r="C3097" s="84" t="s">
        <v>3754</v>
      </c>
      <c r="D3097" s="84" t="s">
        <v>3754</v>
      </c>
      <c r="E3097" s="84" t="s">
        <v>4548</v>
      </c>
      <c r="F3097" s="84" t="s">
        <v>4168</v>
      </c>
      <c r="G3097" s="8"/>
      <c r="H3097" s="8">
        <v>6</v>
      </c>
      <c r="I3097" s="8"/>
      <c r="J3097" s="84"/>
      <c r="K3097" s="105" t="s">
        <v>4550</v>
      </c>
      <c r="L3097" s="29"/>
      <c r="M3097" s="68">
        <v>1</v>
      </c>
      <c r="N3097" s="68" t="s">
        <v>7378</v>
      </c>
    </row>
    <row r="3098" spans="1:14" s="3" customFormat="1" ht="28.5" x14ac:dyDescent="0.2">
      <c r="A3098" s="82" t="s">
        <v>3526</v>
      </c>
      <c r="B3098" s="57" t="s">
        <v>3527</v>
      </c>
      <c r="C3098" s="84" t="s">
        <v>3528</v>
      </c>
      <c r="D3098" s="84" t="s">
        <v>3529</v>
      </c>
      <c r="E3098" s="84"/>
      <c r="F3098" s="84" t="s">
        <v>1604</v>
      </c>
      <c r="G3098" s="8">
        <v>1</v>
      </c>
      <c r="H3098" s="8">
        <v>1</v>
      </c>
      <c r="I3098" s="8"/>
      <c r="J3098" s="84" t="s">
        <v>1257</v>
      </c>
      <c r="K3098" s="84" t="s">
        <v>3530</v>
      </c>
      <c r="L3098" s="103"/>
      <c r="M3098" s="68">
        <v>1</v>
      </c>
      <c r="N3098" s="68" t="s">
        <v>3516</v>
      </c>
    </row>
    <row r="3099" spans="1:14" s="3" customFormat="1" ht="14.25" x14ac:dyDescent="0.2">
      <c r="A3099" s="82" t="s">
        <v>7406</v>
      </c>
      <c r="B3099" s="12" t="s">
        <v>6140</v>
      </c>
      <c r="C3099" s="84" t="s">
        <v>3754</v>
      </c>
      <c r="D3099" s="84" t="s">
        <v>3754</v>
      </c>
      <c r="E3099" s="84" t="s">
        <v>2477</v>
      </c>
      <c r="F3099" s="84" t="s">
        <v>7407</v>
      </c>
      <c r="G3099" s="8">
        <v>3</v>
      </c>
      <c r="H3099" s="8">
        <v>7</v>
      </c>
      <c r="I3099" s="8"/>
      <c r="J3099" s="84" t="s">
        <v>1258</v>
      </c>
      <c r="K3099" s="105" t="s">
        <v>5817</v>
      </c>
      <c r="L3099" s="29"/>
      <c r="M3099" s="68">
        <v>1</v>
      </c>
      <c r="N3099" s="68" t="s">
        <v>7378</v>
      </c>
    </row>
    <row r="3100" spans="1:14" s="3" customFormat="1" ht="15" x14ac:dyDescent="0.2">
      <c r="A3100" s="82" t="s">
        <v>7532</v>
      </c>
      <c r="B3100" s="57" t="s">
        <v>4369</v>
      </c>
      <c r="C3100" s="41" t="s">
        <v>3761</v>
      </c>
      <c r="D3100" s="39" t="s">
        <v>3754</v>
      </c>
      <c r="E3100" s="120" t="s">
        <v>7533</v>
      </c>
      <c r="F3100" s="84" t="s">
        <v>2727</v>
      </c>
      <c r="G3100" s="8">
        <v>23</v>
      </c>
      <c r="H3100" s="8"/>
      <c r="I3100" s="8"/>
      <c r="J3100" s="84" t="s">
        <v>3276</v>
      </c>
      <c r="K3100" s="120" t="s">
        <v>1308</v>
      </c>
      <c r="L3100" s="58"/>
      <c r="M3100" s="68">
        <v>1</v>
      </c>
      <c r="N3100" s="68" t="s">
        <v>7490</v>
      </c>
    </row>
    <row r="3101" spans="1:14" s="3" customFormat="1" ht="15" x14ac:dyDescent="0.2">
      <c r="A3101" s="82" t="s">
        <v>7390</v>
      </c>
      <c r="B3101" s="57" t="s">
        <v>3740</v>
      </c>
      <c r="C3101" s="41" t="s">
        <v>3761</v>
      </c>
      <c r="D3101" s="39" t="s">
        <v>3754</v>
      </c>
      <c r="E3101" s="120" t="s">
        <v>1505</v>
      </c>
      <c r="F3101" s="84" t="s">
        <v>7534</v>
      </c>
      <c r="G3101" s="8">
        <v>36</v>
      </c>
      <c r="H3101" s="8"/>
      <c r="I3101" s="8"/>
      <c r="J3101" s="84" t="s">
        <v>7535</v>
      </c>
      <c r="K3101" s="120" t="s">
        <v>6141</v>
      </c>
      <c r="L3101" s="58"/>
      <c r="M3101" s="68">
        <v>1</v>
      </c>
      <c r="N3101" s="68" t="s">
        <v>7490</v>
      </c>
    </row>
    <row r="3102" spans="1:14" s="3" customFormat="1" ht="14.25" x14ac:dyDescent="0.2">
      <c r="A3102" s="82" t="s">
        <v>7390</v>
      </c>
      <c r="B3102" s="12" t="s">
        <v>5647</v>
      </c>
      <c r="C3102" s="84" t="s">
        <v>4712</v>
      </c>
      <c r="D3102" s="84" t="s">
        <v>3754</v>
      </c>
      <c r="E3102" s="84" t="s">
        <v>7391</v>
      </c>
      <c r="F3102" s="84" t="s">
        <v>7392</v>
      </c>
      <c r="G3102" s="8">
        <v>27</v>
      </c>
      <c r="H3102" s="8"/>
      <c r="I3102" s="8"/>
      <c r="J3102" s="84" t="s">
        <v>5945</v>
      </c>
      <c r="K3102" s="105" t="s">
        <v>5309</v>
      </c>
      <c r="L3102" s="29"/>
      <c r="M3102" s="68">
        <v>1</v>
      </c>
      <c r="N3102" s="68" t="s">
        <v>7378</v>
      </c>
    </row>
    <row r="3103" spans="1:14" s="3" customFormat="1" ht="15" x14ac:dyDescent="0.2">
      <c r="A3103" s="82" t="s">
        <v>7537</v>
      </c>
      <c r="B3103" s="57" t="s">
        <v>1879</v>
      </c>
      <c r="C3103" s="41" t="s">
        <v>3761</v>
      </c>
      <c r="D3103" s="39" t="s">
        <v>3754</v>
      </c>
      <c r="E3103" s="120" t="s">
        <v>1309</v>
      </c>
      <c r="F3103" s="84" t="s">
        <v>7538</v>
      </c>
      <c r="G3103" s="8">
        <v>30</v>
      </c>
      <c r="H3103" s="8"/>
      <c r="I3103" s="8"/>
      <c r="J3103" s="84" t="s">
        <v>3206</v>
      </c>
      <c r="K3103" s="120" t="s">
        <v>2596</v>
      </c>
      <c r="L3103" s="58"/>
      <c r="M3103" s="68">
        <v>1</v>
      </c>
      <c r="N3103" s="68" t="s">
        <v>7490</v>
      </c>
    </row>
    <row r="3104" spans="1:14" s="3" customFormat="1" ht="15" x14ac:dyDescent="0.2">
      <c r="A3104" s="82" t="s">
        <v>7537</v>
      </c>
      <c r="B3104" s="57" t="s">
        <v>1879</v>
      </c>
      <c r="C3104" s="41" t="s">
        <v>3761</v>
      </c>
      <c r="D3104" s="39" t="s">
        <v>3754</v>
      </c>
      <c r="E3104" s="120" t="s">
        <v>6320</v>
      </c>
      <c r="F3104" s="84" t="s">
        <v>7549</v>
      </c>
      <c r="G3104" s="8"/>
      <c r="H3104" s="8"/>
      <c r="I3104" s="8">
        <v>14</v>
      </c>
      <c r="J3104" s="84" t="s">
        <v>3235</v>
      </c>
      <c r="K3104" s="120" t="s">
        <v>1158</v>
      </c>
      <c r="L3104" s="58" t="s">
        <v>7547</v>
      </c>
      <c r="M3104" s="68">
        <v>1</v>
      </c>
      <c r="N3104" s="68" t="s">
        <v>7490</v>
      </c>
    </row>
    <row r="3105" spans="1:14" s="3" customFormat="1" ht="14.25" x14ac:dyDescent="0.2">
      <c r="A3105" s="82" t="s">
        <v>7397</v>
      </c>
      <c r="B3105" s="12" t="s">
        <v>1543</v>
      </c>
      <c r="C3105" s="84" t="s">
        <v>3757</v>
      </c>
      <c r="D3105" s="84" t="s">
        <v>3754</v>
      </c>
      <c r="E3105" s="84" t="s">
        <v>7398</v>
      </c>
      <c r="F3105" s="84" t="s">
        <v>7399</v>
      </c>
      <c r="G3105" s="8">
        <v>60</v>
      </c>
      <c r="H3105" s="8"/>
      <c r="I3105" s="8"/>
      <c r="J3105" s="84" t="s">
        <v>5945</v>
      </c>
      <c r="K3105" s="105" t="s">
        <v>7434</v>
      </c>
      <c r="L3105" s="29"/>
      <c r="M3105" s="68">
        <v>1</v>
      </c>
      <c r="N3105" s="68" t="s">
        <v>7378</v>
      </c>
    </row>
    <row r="3106" spans="1:14" s="3" customFormat="1" ht="15" x14ac:dyDescent="0.2">
      <c r="A3106" s="82" t="s">
        <v>3517</v>
      </c>
      <c r="B3106" s="57" t="s">
        <v>6053</v>
      </c>
      <c r="C3106" s="41" t="s">
        <v>3761</v>
      </c>
      <c r="D3106" s="39" t="s">
        <v>3754</v>
      </c>
      <c r="E3106" s="120" t="s">
        <v>5451</v>
      </c>
      <c r="F3106" s="84" t="s">
        <v>7525</v>
      </c>
      <c r="G3106" s="8">
        <v>10</v>
      </c>
      <c r="H3106" s="8"/>
      <c r="I3106" s="8"/>
      <c r="J3106" s="84" t="s">
        <v>3276</v>
      </c>
      <c r="K3106" s="120" t="s">
        <v>5451</v>
      </c>
      <c r="L3106" s="58"/>
      <c r="M3106" s="68">
        <v>1</v>
      </c>
      <c r="N3106" s="68" t="s">
        <v>7490</v>
      </c>
    </row>
    <row r="3107" spans="1:14" s="3" customFormat="1" ht="15" x14ac:dyDescent="0.2">
      <c r="A3107" s="82" t="s">
        <v>3517</v>
      </c>
      <c r="B3107" s="57" t="s">
        <v>5044</v>
      </c>
      <c r="C3107" s="84" t="s">
        <v>3757</v>
      </c>
      <c r="D3107" s="84" t="s">
        <v>3754</v>
      </c>
      <c r="E3107" s="84" t="s">
        <v>7264</v>
      </c>
      <c r="F3107" s="84" t="s">
        <v>7265</v>
      </c>
      <c r="G3107" s="8">
        <v>71</v>
      </c>
      <c r="H3107" s="8"/>
      <c r="I3107" s="8"/>
      <c r="J3107" s="84"/>
      <c r="K3107" s="84" t="s">
        <v>7266</v>
      </c>
      <c r="L3107" s="58"/>
      <c r="M3107" s="68">
        <v>1</v>
      </c>
      <c r="N3107" s="68" t="s">
        <v>7204</v>
      </c>
    </row>
    <row r="3108" spans="1:14" s="3" customFormat="1" ht="14.25" x14ac:dyDescent="0.2">
      <c r="A3108" s="82" t="s">
        <v>3517</v>
      </c>
      <c r="B3108" s="5" t="s">
        <v>5044</v>
      </c>
      <c r="C3108" s="84" t="s">
        <v>3754</v>
      </c>
      <c r="D3108" s="84"/>
      <c r="E3108" s="84" t="s">
        <v>2197</v>
      </c>
      <c r="F3108" s="84" t="s">
        <v>7380</v>
      </c>
      <c r="G3108" s="8"/>
      <c r="H3108" s="8"/>
      <c r="I3108" s="8">
        <v>1</v>
      </c>
      <c r="J3108" s="84"/>
      <c r="K3108" s="105" t="s">
        <v>8837</v>
      </c>
      <c r="L3108" s="61"/>
      <c r="M3108" s="68">
        <v>1</v>
      </c>
      <c r="N3108" s="68" t="s">
        <v>7378</v>
      </c>
    </row>
    <row r="3109" spans="1:14" s="3" customFormat="1" ht="14.25" x14ac:dyDescent="0.2">
      <c r="A3109" s="47" t="s">
        <v>3517</v>
      </c>
      <c r="B3109" s="7" t="s">
        <v>4688</v>
      </c>
      <c r="C3109" s="45" t="s">
        <v>7256</v>
      </c>
      <c r="D3109" s="45" t="s">
        <v>3754</v>
      </c>
      <c r="E3109" s="112" t="s">
        <v>2612</v>
      </c>
      <c r="F3109" s="45" t="s">
        <v>7376</v>
      </c>
      <c r="G3109" s="79">
        <v>42</v>
      </c>
      <c r="H3109" s="8"/>
      <c r="I3109" s="8"/>
      <c r="J3109" s="80" t="s">
        <v>1264</v>
      </c>
      <c r="K3109" s="118" t="s">
        <v>7377</v>
      </c>
      <c r="L3109" s="94"/>
      <c r="M3109" s="68">
        <v>1</v>
      </c>
      <c r="N3109" s="68" t="s">
        <v>7293</v>
      </c>
    </row>
    <row r="3110" spans="1:14" s="3" customFormat="1" ht="14.25" x14ac:dyDescent="0.2">
      <c r="A3110" s="63" t="s">
        <v>3517</v>
      </c>
      <c r="B3110" s="5" t="s">
        <v>4690</v>
      </c>
      <c r="C3110" s="55" t="s">
        <v>3754</v>
      </c>
      <c r="D3110" s="55" t="s">
        <v>3754</v>
      </c>
      <c r="E3110" s="55" t="s">
        <v>884</v>
      </c>
      <c r="F3110" s="55" t="s">
        <v>4165</v>
      </c>
      <c r="G3110" s="8">
        <v>1</v>
      </c>
      <c r="H3110" s="8"/>
      <c r="I3110" s="8"/>
      <c r="J3110" s="55" t="s">
        <v>1258</v>
      </c>
      <c r="K3110" s="111" t="s">
        <v>4166</v>
      </c>
      <c r="L3110" s="61"/>
      <c r="M3110" s="68">
        <v>1</v>
      </c>
      <c r="N3110" s="68" t="s">
        <v>7378</v>
      </c>
    </row>
    <row r="3111" spans="1:14" s="3" customFormat="1" ht="14.25" x14ac:dyDescent="0.2">
      <c r="A3111" s="51" t="s">
        <v>3517</v>
      </c>
      <c r="B3111" s="38" t="s">
        <v>3744</v>
      </c>
      <c r="C3111" s="53" t="s">
        <v>3754</v>
      </c>
      <c r="D3111" s="53" t="s">
        <v>3761</v>
      </c>
      <c r="E3111" s="72" t="s">
        <v>2927</v>
      </c>
      <c r="F3111" s="53" t="s">
        <v>7297</v>
      </c>
      <c r="G3111" s="79">
        <v>4</v>
      </c>
      <c r="H3111" s="8"/>
      <c r="I3111" s="8"/>
      <c r="J3111" s="81" t="s">
        <v>1254</v>
      </c>
      <c r="K3111" s="116" t="s">
        <v>3151</v>
      </c>
      <c r="L3111" s="84"/>
      <c r="M3111" s="68">
        <v>1</v>
      </c>
      <c r="N3111" s="68" t="s">
        <v>7293</v>
      </c>
    </row>
    <row r="3112" spans="1:14" s="3" customFormat="1" ht="42.75" x14ac:dyDescent="0.2">
      <c r="A3112" s="82" t="s">
        <v>3517</v>
      </c>
      <c r="B3112" s="83" t="s">
        <v>2159</v>
      </c>
      <c r="C3112" s="84" t="s">
        <v>3757</v>
      </c>
      <c r="D3112" s="84" t="s">
        <v>3754</v>
      </c>
      <c r="E3112" s="29" t="s">
        <v>7277</v>
      </c>
      <c r="F3112" s="84" t="s">
        <v>7278</v>
      </c>
      <c r="G3112" s="8">
        <v>46</v>
      </c>
      <c r="H3112" s="8"/>
      <c r="I3112" s="8"/>
      <c r="J3112" s="84" t="s">
        <v>1264</v>
      </c>
      <c r="K3112" s="29" t="s">
        <v>7279</v>
      </c>
      <c r="L3112" s="82" t="s">
        <v>7280</v>
      </c>
      <c r="M3112" s="68">
        <v>1</v>
      </c>
      <c r="N3112" s="68" t="s">
        <v>7204</v>
      </c>
    </row>
    <row r="3113" spans="1:14" s="3" customFormat="1" ht="15" x14ac:dyDescent="0.2">
      <c r="A3113" s="82" t="s">
        <v>3517</v>
      </c>
      <c r="B3113" s="83" t="s">
        <v>4703</v>
      </c>
      <c r="C3113" s="84" t="s">
        <v>3757</v>
      </c>
      <c r="D3113" s="84" t="s">
        <v>3754</v>
      </c>
      <c r="E3113" s="29" t="s">
        <v>4811</v>
      </c>
      <c r="F3113" s="84" t="s">
        <v>8723</v>
      </c>
      <c r="G3113" s="8">
        <v>73</v>
      </c>
      <c r="H3113" s="8"/>
      <c r="I3113" s="8"/>
      <c r="J3113" s="84" t="s">
        <v>1554</v>
      </c>
      <c r="K3113" s="29" t="s">
        <v>8724</v>
      </c>
      <c r="L3113" s="88"/>
      <c r="M3113" s="68">
        <v>1</v>
      </c>
      <c r="N3113" s="68" t="s">
        <v>7204</v>
      </c>
    </row>
    <row r="3114" spans="1:14" s="3" customFormat="1" ht="15" x14ac:dyDescent="0.2">
      <c r="A3114" s="82" t="s">
        <v>3517</v>
      </c>
      <c r="B3114" s="83" t="s">
        <v>1432</v>
      </c>
      <c r="C3114" s="84" t="s">
        <v>3754</v>
      </c>
      <c r="D3114" s="84" t="s">
        <v>3754</v>
      </c>
      <c r="E3114" s="61" t="s">
        <v>7224</v>
      </c>
      <c r="F3114" s="84" t="s">
        <v>3754</v>
      </c>
      <c r="G3114" s="8">
        <v>1</v>
      </c>
      <c r="H3114" s="8"/>
      <c r="I3114" s="8"/>
      <c r="J3114" s="84" t="s">
        <v>1261</v>
      </c>
      <c r="K3114" s="29" t="s">
        <v>8724</v>
      </c>
      <c r="L3114" s="88"/>
      <c r="M3114" s="68">
        <v>1</v>
      </c>
      <c r="N3114" s="68" t="s">
        <v>7204</v>
      </c>
    </row>
    <row r="3115" spans="1:14" s="3" customFormat="1" ht="15" x14ac:dyDescent="0.2">
      <c r="A3115" s="82" t="s">
        <v>3517</v>
      </c>
      <c r="B3115" s="83" t="s">
        <v>1432</v>
      </c>
      <c r="C3115" s="84" t="s">
        <v>3757</v>
      </c>
      <c r="D3115" s="39" t="s">
        <v>3754</v>
      </c>
      <c r="E3115" s="72" t="s">
        <v>59</v>
      </c>
      <c r="F3115" s="84" t="s">
        <v>7500</v>
      </c>
      <c r="G3115" s="8">
        <v>65</v>
      </c>
      <c r="H3115" s="8"/>
      <c r="I3115" s="8"/>
      <c r="J3115" s="84" t="s">
        <v>325</v>
      </c>
      <c r="K3115" s="72" t="s">
        <v>7501</v>
      </c>
      <c r="L3115" s="88"/>
      <c r="M3115" s="68">
        <v>1</v>
      </c>
      <c r="N3115" s="68" t="s">
        <v>7490</v>
      </c>
    </row>
    <row r="3116" spans="1:14" s="3" customFormat="1" ht="14.25" x14ac:dyDescent="0.2">
      <c r="A3116" s="51" t="s">
        <v>3517</v>
      </c>
      <c r="B3116" s="38" t="s">
        <v>3752</v>
      </c>
      <c r="C3116" s="53" t="s">
        <v>3757</v>
      </c>
      <c r="D3116" s="53" t="s">
        <v>3754</v>
      </c>
      <c r="E3116" s="72" t="s">
        <v>280</v>
      </c>
      <c r="F3116" s="53" t="s">
        <v>7351</v>
      </c>
      <c r="G3116" s="79">
        <v>77</v>
      </c>
      <c r="H3116" s="8"/>
      <c r="I3116" s="8"/>
      <c r="J3116" s="124" t="s">
        <v>1267</v>
      </c>
      <c r="K3116" s="116" t="s">
        <v>2436</v>
      </c>
      <c r="L3116" s="84"/>
      <c r="M3116" s="68">
        <v>1</v>
      </c>
      <c r="N3116" s="68" t="s">
        <v>7293</v>
      </c>
    </row>
    <row r="3117" spans="1:14" s="3" customFormat="1" ht="14.25" x14ac:dyDescent="0.2">
      <c r="A3117" s="51" t="s">
        <v>3517</v>
      </c>
      <c r="B3117" s="38" t="s">
        <v>7331</v>
      </c>
      <c r="C3117" s="53" t="s">
        <v>3757</v>
      </c>
      <c r="D3117" s="53" t="s">
        <v>3754</v>
      </c>
      <c r="E3117" s="72" t="s">
        <v>3216</v>
      </c>
      <c r="F3117" s="53" t="s">
        <v>7332</v>
      </c>
      <c r="G3117" s="79">
        <v>70</v>
      </c>
      <c r="H3117" s="8"/>
      <c r="I3117" s="8"/>
      <c r="J3117" s="81" t="s">
        <v>7333</v>
      </c>
      <c r="K3117" s="116" t="s">
        <v>7334</v>
      </c>
      <c r="L3117" s="84"/>
      <c r="M3117" s="68">
        <v>1</v>
      </c>
      <c r="N3117" s="68" t="s">
        <v>7293</v>
      </c>
    </row>
    <row r="3118" spans="1:14" s="3" customFormat="1" ht="14.25" x14ac:dyDescent="0.2">
      <c r="A3118" s="51" t="s">
        <v>3517</v>
      </c>
      <c r="B3118" s="38" t="s">
        <v>2077</v>
      </c>
      <c r="C3118" s="53" t="s">
        <v>3754</v>
      </c>
      <c r="D3118" s="53" t="s">
        <v>3754</v>
      </c>
      <c r="E3118" s="72" t="s">
        <v>2927</v>
      </c>
      <c r="F3118" s="53" t="s">
        <v>7297</v>
      </c>
      <c r="G3118" s="79">
        <v>3</v>
      </c>
      <c r="H3118" s="8"/>
      <c r="I3118" s="8"/>
      <c r="J3118" s="81" t="s">
        <v>1254</v>
      </c>
      <c r="K3118" s="116" t="s">
        <v>3151</v>
      </c>
      <c r="L3118" s="84"/>
      <c r="M3118" s="68">
        <v>1</v>
      </c>
      <c r="N3118" s="68" t="s">
        <v>7293</v>
      </c>
    </row>
    <row r="3119" spans="1:14" s="3" customFormat="1" ht="14.25" x14ac:dyDescent="0.2">
      <c r="A3119" s="82" t="s">
        <v>3517</v>
      </c>
      <c r="B3119" s="83" t="s">
        <v>4021</v>
      </c>
      <c r="C3119" s="84" t="s">
        <v>3757</v>
      </c>
      <c r="D3119" s="84" t="s">
        <v>3754</v>
      </c>
      <c r="E3119" s="29"/>
      <c r="F3119" s="84" t="s">
        <v>3754</v>
      </c>
      <c r="G3119" s="8">
        <v>47</v>
      </c>
      <c r="H3119" s="8"/>
      <c r="I3119" s="8"/>
      <c r="J3119" s="84" t="s">
        <v>1264</v>
      </c>
      <c r="K3119" s="29" t="s">
        <v>119</v>
      </c>
      <c r="L3119" s="105"/>
      <c r="M3119" s="68">
        <v>1</v>
      </c>
      <c r="N3119" s="68" t="s">
        <v>3516</v>
      </c>
    </row>
    <row r="3120" spans="1:14" s="3" customFormat="1" ht="15" x14ac:dyDescent="0.2">
      <c r="A3120" s="82" t="s">
        <v>3517</v>
      </c>
      <c r="B3120" s="83" t="s">
        <v>4908</v>
      </c>
      <c r="C3120" s="84" t="s">
        <v>3754</v>
      </c>
      <c r="D3120" s="84" t="s">
        <v>3754</v>
      </c>
      <c r="E3120" s="29" t="s">
        <v>7223</v>
      </c>
      <c r="F3120" s="84" t="s">
        <v>3754</v>
      </c>
      <c r="G3120" s="8">
        <v>19</v>
      </c>
      <c r="H3120" s="8"/>
      <c r="I3120" s="8"/>
      <c r="J3120" s="84" t="s">
        <v>1259</v>
      </c>
      <c r="K3120" s="29" t="s">
        <v>8724</v>
      </c>
      <c r="L3120" s="88"/>
      <c r="M3120" s="68">
        <v>1</v>
      </c>
      <c r="N3120" s="68" t="s">
        <v>7204</v>
      </c>
    </row>
    <row r="3121" spans="1:14" s="3" customFormat="1" ht="15" x14ac:dyDescent="0.2">
      <c r="A3121" s="82" t="s">
        <v>3517</v>
      </c>
      <c r="B3121" s="83" t="s">
        <v>4908</v>
      </c>
      <c r="C3121" s="84" t="s">
        <v>3757</v>
      </c>
      <c r="D3121" s="84" t="s">
        <v>3754</v>
      </c>
      <c r="E3121" s="29"/>
      <c r="F3121" s="84" t="s">
        <v>3754</v>
      </c>
      <c r="G3121" s="8">
        <v>75</v>
      </c>
      <c r="H3121" s="8"/>
      <c r="I3121" s="8"/>
      <c r="J3121" s="84" t="s">
        <v>2108</v>
      </c>
      <c r="K3121" s="29" t="s">
        <v>8724</v>
      </c>
      <c r="L3121" s="88"/>
      <c r="M3121" s="68">
        <v>1</v>
      </c>
      <c r="N3121" s="68" t="s">
        <v>7204</v>
      </c>
    </row>
    <row r="3122" spans="1:14" s="3" customFormat="1" ht="15" x14ac:dyDescent="0.2">
      <c r="A3122" s="82" t="s">
        <v>3517</v>
      </c>
      <c r="B3122" s="83" t="s">
        <v>7234</v>
      </c>
      <c r="C3122" s="84" t="s">
        <v>3768</v>
      </c>
      <c r="D3122" s="84" t="s">
        <v>3768</v>
      </c>
      <c r="E3122" s="29"/>
      <c r="F3122" s="84" t="s">
        <v>3768</v>
      </c>
      <c r="G3122" s="8"/>
      <c r="H3122" s="8">
        <v>2</v>
      </c>
      <c r="I3122" s="8">
        <v>12</v>
      </c>
      <c r="J3122" s="84" t="s">
        <v>7235</v>
      </c>
      <c r="K3122" s="29" t="s">
        <v>7236</v>
      </c>
      <c r="L3122" s="88"/>
      <c r="M3122" s="68">
        <v>1</v>
      </c>
      <c r="N3122" s="68" t="s">
        <v>7204</v>
      </c>
    </row>
    <row r="3123" spans="1:14" s="3" customFormat="1" ht="15" x14ac:dyDescent="0.2">
      <c r="A3123" s="82" t="s">
        <v>3517</v>
      </c>
      <c r="B3123" s="83" t="s">
        <v>3728</v>
      </c>
      <c r="C3123" s="84" t="s">
        <v>3757</v>
      </c>
      <c r="D3123" s="84" t="s">
        <v>3754</v>
      </c>
      <c r="E3123" s="29" t="s">
        <v>7222</v>
      </c>
      <c r="F3123" s="84" t="s">
        <v>8723</v>
      </c>
      <c r="G3123" s="8">
        <v>70</v>
      </c>
      <c r="H3123" s="8"/>
      <c r="I3123" s="8"/>
      <c r="J3123" s="84" t="s">
        <v>1928</v>
      </c>
      <c r="K3123" s="29" t="s">
        <v>8724</v>
      </c>
      <c r="L3123" s="88"/>
      <c r="M3123" s="68">
        <v>1</v>
      </c>
      <c r="N3123" s="68" t="s">
        <v>7204</v>
      </c>
    </row>
    <row r="3124" spans="1:14" s="3" customFormat="1" ht="15" x14ac:dyDescent="0.2">
      <c r="A3124" s="82" t="s">
        <v>3517</v>
      </c>
      <c r="B3124" s="83" t="s">
        <v>7250</v>
      </c>
      <c r="C3124" s="84" t="s">
        <v>3754</v>
      </c>
      <c r="D3124" s="84" t="s">
        <v>3754</v>
      </c>
      <c r="E3124" s="29" t="s">
        <v>5886</v>
      </c>
      <c r="F3124" s="84" t="s">
        <v>7251</v>
      </c>
      <c r="G3124" s="8">
        <v>27</v>
      </c>
      <c r="H3124" s="8"/>
      <c r="I3124" s="8"/>
      <c r="J3124" s="84" t="s">
        <v>1264</v>
      </c>
      <c r="K3124" s="29" t="s">
        <v>5918</v>
      </c>
      <c r="L3124" s="88"/>
      <c r="M3124" s="68">
        <v>1</v>
      </c>
      <c r="N3124" s="68" t="s">
        <v>7204</v>
      </c>
    </row>
    <row r="3125" spans="1:14" s="3" customFormat="1" ht="14.25" x14ac:dyDescent="0.2">
      <c r="A3125" s="51" t="s">
        <v>3517</v>
      </c>
      <c r="B3125" s="38" t="s">
        <v>320</v>
      </c>
      <c r="C3125" s="53" t="s">
        <v>3754</v>
      </c>
      <c r="D3125" s="53" t="s">
        <v>3754</v>
      </c>
      <c r="E3125" s="72" t="s">
        <v>7294</v>
      </c>
      <c r="F3125" s="53" t="s">
        <v>7295</v>
      </c>
      <c r="G3125" s="8"/>
      <c r="H3125" s="79">
        <v>10</v>
      </c>
      <c r="I3125" s="8"/>
      <c r="J3125" s="81" t="s">
        <v>2079</v>
      </c>
      <c r="K3125" s="116" t="s">
        <v>3151</v>
      </c>
      <c r="L3125" s="84"/>
      <c r="M3125" s="68">
        <v>1</v>
      </c>
      <c r="N3125" s="68" t="s">
        <v>7293</v>
      </c>
    </row>
    <row r="3126" spans="1:14" s="3" customFormat="1" ht="14.25" x14ac:dyDescent="0.2">
      <c r="A3126" s="82" t="s">
        <v>3517</v>
      </c>
      <c r="B3126" s="38" t="s">
        <v>4207</v>
      </c>
      <c r="C3126" s="84" t="s">
        <v>3754</v>
      </c>
      <c r="D3126" s="84" t="s">
        <v>3754</v>
      </c>
      <c r="E3126" s="29" t="s">
        <v>3430</v>
      </c>
      <c r="F3126" s="84" t="s">
        <v>1563</v>
      </c>
      <c r="G3126" s="8">
        <v>4</v>
      </c>
      <c r="H3126" s="8"/>
      <c r="I3126" s="8"/>
      <c r="J3126" s="84" t="s">
        <v>1258</v>
      </c>
      <c r="K3126" s="103" t="s">
        <v>3432</v>
      </c>
      <c r="L3126" s="84"/>
      <c r="M3126" s="68">
        <v>1</v>
      </c>
      <c r="N3126" s="68" t="s">
        <v>7378</v>
      </c>
    </row>
    <row r="3127" spans="1:14" s="3" customFormat="1" ht="14.25" x14ac:dyDescent="0.2">
      <c r="A3127" s="82" t="s">
        <v>3517</v>
      </c>
      <c r="B3127" s="83" t="s">
        <v>6310</v>
      </c>
      <c r="C3127" s="84" t="s">
        <v>3768</v>
      </c>
      <c r="D3127" s="84" t="s">
        <v>3754</v>
      </c>
      <c r="E3127" s="29" t="s">
        <v>3518</v>
      </c>
      <c r="F3127" s="84" t="s">
        <v>3754</v>
      </c>
      <c r="G3127" s="8">
        <v>85</v>
      </c>
      <c r="H3127" s="8"/>
      <c r="I3127" s="8"/>
      <c r="J3127" s="84" t="s">
        <v>1271</v>
      </c>
      <c r="K3127" s="29" t="s">
        <v>8307</v>
      </c>
      <c r="L3127" s="105"/>
      <c r="M3127" s="68">
        <v>1</v>
      </c>
      <c r="N3127" s="68" t="s">
        <v>3516</v>
      </c>
    </row>
    <row r="3128" spans="1:14" s="3" customFormat="1" ht="14.25" x14ac:dyDescent="0.2">
      <c r="A3128" s="51" t="s">
        <v>3517</v>
      </c>
      <c r="B3128" s="38" t="s">
        <v>3740</v>
      </c>
      <c r="C3128" s="53" t="s">
        <v>3754</v>
      </c>
      <c r="D3128" s="53" t="s">
        <v>3761</v>
      </c>
      <c r="E3128" s="72" t="s">
        <v>7296</v>
      </c>
      <c r="F3128" s="53" t="s">
        <v>7297</v>
      </c>
      <c r="G3128" s="79">
        <v>6</v>
      </c>
      <c r="H3128" s="79">
        <v>10</v>
      </c>
      <c r="I3128" s="8"/>
      <c r="J3128" s="81" t="s">
        <v>1254</v>
      </c>
      <c r="K3128" s="116" t="s">
        <v>3151</v>
      </c>
      <c r="L3128" s="84"/>
      <c r="M3128" s="68">
        <v>1</v>
      </c>
      <c r="N3128" s="68" t="s">
        <v>7293</v>
      </c>
    </row>
    <row r="3129" spans="1:14" s="3" customFormat="1" ht="14.25" x14ac:dyDescent="0.2">
      <c r="A3129" s="51" t="s">
        <v>3517</v>
      </c>
      <c r="B3129" s="38" t="s">
        <v>3740</v>
      </c>
      <c r="C3129" s="53" t="s">
        <v>3757</v>
      </c>
      <c r="D3129" s="53" t="s">
        <v>3761</v>
      </c>
      <c r="E3129" s="72" t="s">
        <v>7298</v>
      </c>
      <c r="F3129" s="53" t="s">
        <v>7299</v>
      </c>
      <c r="G3129" s="79">
        <v>65</v>
      </c>
      <c r="H3129" s="8"/>
      <c r="I3129" s="8"/>
      <c r="J3129" s="81" t="s">
        <v>1264</v>
      </c>
      <c r="K3129" s="116" t="s">
        <v>3151</v>
      </c>
      <c r="L3129" s="84"/>
      <c r="M3129" s="68">
        <v>1</v>
      </c>
      <c r="N3129" s="68" t="s">
        <v>7293</v>
      </c>
    </row>
    <row r="3130" spans="1:14" s="3" customFormat="1" ht="15" x14ac:dyDescent="0.2">
      <c r="A3130" s="82" t="s">
        <v>3517</v>
      </c>
      <c r="B3130" s="83" t="s">
        <v>5712</v>
      </c>
      <c r="C3130" s="84" t="s">
        <v>4708</v>
      </c>
      <c r="D3130" s="84" t="s">
        <v>3754</v>
      </c>
      <c r="E3130" s="29" t="s">
        <v>6948</v>
      </c>
      <c r="F3130" s="84" t="s">
        <v>7271</v>
      </c>
      <c r="G3130" s="8">
        <v>60</v>
      </c>
      <c r="H3130" s="8">
        <v>5</v>
      </c>
      <c r="I3130" s="8"/>
      <c r="J3130" s="84" t="s">
        <v>7272</v>
      </c>
      <c r="K3130" s="29" t="s">
        <v>6949</v>
      </c>
      <c r="L3130" s="88"/>
      <c r="M3130" s="68">
        <v>1</v>
      </c>
      <c r="N3130" s="68" t="s">
        <v>7204</v>
      </c>
    </row>
    <row r="3131" spans="1:14" s="3" customFormat="1" ht="15" x14ac:dyDescent="0.2">
      <c r="A3131" s="82" t="s">
        <v>3517</v>
      </c>
      <c r="B3131" s="83" t="s">
        <v>5712</v>
      </c>
      <c r="C3131" s="84" t="s">
        <v>3754</v>
      </c>
      <c r="D3131" s="84" t="s">
        <v>3754</v>
      </c>
      <c r="E3131" s="29" t="s">
        <v>4447</v>
      </c>
      <c r="F3131" s="84" t="s">
        <v>4528</v>
      </c>
      <c r="G3131" s="8"/>
      <c r="H3131" s="8">
        <v>6</v>
      </c>
      <c r="I3131" s="8"/>
      <c r="J3131" s="84" t="s">
        <v>4790</v>
      </c>
      <c r="K3131" s="29" t="s">
        <v>5552</v>
      </c>
      <c r="L3131" s="88"/>
      <c r="M3131" s="68">
        <v>1</v>
      </c>
      <c r="N3131" s="68" t="s">
        <v>7204</v>
      </c>
    </row>
    <row r="3132" spans="1:14" s="3" customFormat="1" ht="14.25" x14ac:dyDescent="0.2">
      <c r="A3132" s="51" t="s">
        <v>3517</v>
      </c>
      <c r="B3132" s="38" t="s">
        <v>2469</v>
      </c>
      <c r="C3132" s="53" t="s">
        <v>3754</v>
      </c>
      <c r="D3132" s="53" t="s">
        <v>3761</v>
      </c>
      <c r="E3132" s="72" t="s">
        <v>2930</v>
      </c>
      <c r="F3132" s="53" t="s">
        <v>7297</v>
      </c>
      <c r="G3132" s="8"/>
      <c r="H3132" s="79">
        <v>10</v>
      </c>
      <c r="I3132" s="8"/>
      <c r="J3132" s="81" t="s">
        <v>1262</v>
      </c>
      <c r="K3132" s="116" t="s">
        <v>3151</v>
      </c>
      <c r="L3132" s="84"/>
      <c r="M3132" s="68">
        <v>1</v>
      </c>
      <c r="N3132" s="68" t="s">
        <v>7293</v>
      </c>
    </row>
    <row r="3133" spans="1:14" s="3" customFormat="1" ht="15" x14ac:dyDescent="0.2">
      <c r="A3133" s="82" t="s">
        <v>3517</v>
      </c>
      <c r="B3133" s="83" t="s">
        <v>7255</v>
      </c>
      <c r="C3133" s="84" t="s">
        <v>3754</v>
      </c>
      <c r="D3133" s="84" t="s">
        <v>7256</v>
      </c>
      <c r="E3133" s="29" t="s">
        <v>5946</v>
      </c>
      <c r="F3133" s="84" t="s">
        <v>3754</v>
      </c>
      <c r="G3133" s="8">
        <v>1</v>
      </c>
      <c r="H3133" s="8">
        <v>10</v>
      </c>
      <c r="I3133" s="8"/>
      <c r="J3133" s="84" t="s">
        <v>1264</v>
      </c>
      <c r="K3133" s="29" t="s">
        <v>8347</v>
      </c>
      <c r="L3133" s="88"/>
      <c r="M3133" s="68">
        <v>1</v>
      </c>
      <c r="N3133" s="68" t="s">
        <v>7204</v>
      </c>
    </row>
    <row r="3134" spans="1:14" s="3" customFormat="1" ht="14.25" x14ac:dyDescent="0.2">
      <c r="A3134" s="51" t="s">
        <v>3517</v>
      </c>
      <c r="B3134" s="38" t="s">
        <v>7321</v>
      </c>
      <c r="C3134" s="53" t="s">
        <v>3757</v>
      </c>
      <c r="D3134" s="53" t="s">
        <v>7322</v>
      </c>
      <c r="E3134" s="72" t="s">
        <v>7323</v>
      </c>
      <c r="F3134" s="53" t="s">
        <v>7324</v>
      </c>
      <c r="G3134" s="79">
        <v>12</v>
      </c>
      <c r="H3134" s="79">
        <v>6</v>
      </c>
      <c r="I3134" s="8"/>
      <c r="J3134" s="81" t="s">
        <v>7325</v>
      </c>
      <c r="K3134" s="116" t="s">
        <v>7326</v>
      </c>
      <c r="L3134" s="84"/>
      <c r="M3134" s="68">
        <v>1</v>
      </c>
      <c r="N3134" s="68" t="s">
        <v>7293</v>
      </c>
    </row>
    <row r="3135" spans="1:14" s="3" customFormat="1" ht="15" x14ac:dyDescent="0.2">
      <c r="A3135" s="82" t="s">
        <v>3517</v>
      </c>
      <c r="B3135" s="83" t="s">
        <v>1422</v>
      </c>
      <c r="C3135" s="84" t="s">
        <v>3757</v>
      </c>
      <c r="D3135" s="84" t="s">
        <v>3754</v>
      </c>
      <c r="E3135" s="29" t="s">
        <v>6393</v>
      </c>
      <c r="F3135" s="84" t="s">
        <v>7265</v>
      </c>
      <c r="G3135" s="8">
        <v>30</v>
      </c>
      <c r="H3135" s="8"/>
      <c r="I3135" s="8"/>
      <c r="J3135" s="84" t="s">
        <v>8834</v>
      </c>
      <c r="K3135" s="29" t="s">
        <v>7266</v>
      </c>
      <c r="L3135" s="88"/>
      <c r="M3135" s="68">
        <v>1</v>
      </c>
      <c r="N3135" s="68" t="s">
        <v>7204</v>
      </c>
    </row>
    <row r="3136" spans="1:14" s="3" customFormat="1" ht="14.25" x14ac:dyDescent="0.2">
      <c r="A3136" s="82" t="s">
        <v>3517</v>
      </c>
      <c r="B3136" s="38" t="s">
        <v>1422</v>
      </c>
      <c r="C3136" s="84" t="s">
        <v>3754</v>
      </c>
      <c r="D3136" s="84"/>
      <c r="E3136" s="29" t="s">
        <v>7381</v>
      </c>
      <c r="F3136" s="84" t="s">
        <v>5161</v>
      </c>
      <c r="G3136" s="8"/>
      <c r="H3136" s="8"/>
      <c r="I3136" s="8">
        <v>2</v>
      </c>
      <c r="J3136" s="84" t="s">
        <v>5636</v>
      </c>
      <c r="K3136" s="103" t="s">
        <v>762</v>
      </c>
      <c r="L3136" s="84"/>
      <c r="M3136" s="68">
        <v>1</v>
      </c>
      <c r="N3136" s="68" t="s">
        <v>7378</v>
      </c>
    </row>
    <row r="3137" spans="1:14" s="3" customFormat="1" ht="14.25" x14ac:dyDescent="0.2">
      <c r="A3137" s="82" t="s">
        <v>3517</v>
      </c>
      <c r="B3137" s="38" t="s">
        <v>2094</v>
      </c>
      <c r="C3137" s="84" t="s">
        <v>3754</v>
      </c>
      <c r="D3137" s="84" t="s">
        <v>3754</v>
      </c>
      <c r="E3137" s="29" t="s">
        <v>7418</v>
      </c>
      <c r="F3137" s="84" t="s">
        <v>7419</v>
      </c>
      <c r="G3137" s="8">
        <v>29</v>
      </c>
      <c r="H3137" s="8"/>
      <c r="I3137" s="8"/>
      <c r="J3137" s="84" t="s">
        <v>8157</v>
      </c>
      <c r="K3137" s="103" t="s">
        <v>4159</v>
      </c>
      <c r="L3137" s="84"/>
      <c r="M3137" s="68">
        <v>1</v>
      </c>
      <c r="N3137" s="68" t="s">
        <v>7378</v>
      </c>
    </row>
    <row r="3138" spans="1:14" s="3" customFormat="1" ht="14.25" x14ac:dyDescent="0.2">
      <c r="A3138" s="82" t="s">
        <v>3517</v>
      </c>
      <c r="B3138" s="38" t="s">
        <v>7400</v>
      </c>
      <c r="C3138" s="84" t="s">
        <v>4708</v>
      </c>
      <c r="D3138" s="84" t="s">
        <v>3754</v>
      </c>
      <c r="E3138" s="29" t="s">
        <v>7434</v>
      </c>
      <c r="F3138" s="84" t="s">
        <v>7401</v>
      </c>
      <c r="G3138" s="8">
        <v>64</v>
      </c>
      <c r="H3138" s="8"/>
      <c r="I3138" s="8">
        <v>70</v>
      </c>
      <c r="J3138" s="84"/>
      <c r="K3138" s="103" t="s">
        <v>6906</v>
      </c>
      <c r="L3138" s="84"/>
      <c r="M3138" s="68">
        <v>1</v>
      </c>
      <c r="N3138" s="68" t="s">
        <v>7378</v>
      </c>
    </row>
    <row r="3139" spans="1:14" s="3" customFormat="1" ht="15" x14ac:dyDescent="0.2">
      <c r="A3139" s="82" t="s">
        <v>3517</v>
      </c>
      <c r="B3139" s="83" t="s">
        <v>3746</v>
      </c>
      <c r="C3139" s="84" t="s">
        <v>3754</v>
      </c>
      <c r="D3139" s="84" t="s">
        <v>3754</v>
      </c>
      <c r="E3139" s="29" t="s">
        <v>5758</v>
      </c>
      <c r="F3139" s="84" t="s">
        <v>7245</v>
      </c>
      <c r="G3139" s="8"/>
      <c r="H3139" s="8">
        <v>2</v>
      </c>
      <c r="I3139" s="8">
        <v>9</v>
      </c>
      <c r="J3139" s="84" t="s">
        <v>4750</v>
      </c>
      <c r="K3139" s="29" t="s">
        <v>7246</v>
      </c>
      <c r="L3139" s="88"/>
      <c r="M3139" s="68">
        <v>1</v>
      </c>
      <c r="N3139" s="68" t="s">
        <v>7204</v>
      </c>
    </row>
    <row r="3140" spans="1:14" s="3" customFormat="1" ht="14.25" x14ac:dyDescent="0.2">
      <c r="A3140" s="82" t="s">
        <v>3517</v>
      </c>
      <c r="B3140" s="38" t="s">
        <v>4004</v>
      </c>
      <c r="C3140" s="84" t="s">
        <v>3754</v>
      </c>
      <c r="D3140" s="84" t="s">
        <v>3754</v>
      </c>
      <c r="E3140" s="29" t="s">
        <v>4198</v>
      </c>
      <c r="F3140" s="84" t="s">
        <v>4199</v>
      </c>
      <c r="G3140" s="8">
        <v>3</v>
      </c>
      <c r="H3140" s="8">
        <v>3</v>
      </c>
      <c r="I3140" s="8"/>
      <c r="J3140" s="84" t="s">
        <v>1277</v>
      </c>
      <c r="K3140" s="103" t="s">
        <v>4200</v>
      </c>
      <c r="L3140" s="84"/>
      <c r="M3140" s="68">
        <v>1</v>
      </c>
      <c r="N3140" s="68" t="s">
        <v>7378</v>
      </c>
    </row>
    <row r="3141" spans="1:14" s="3" customFormat="1" ht="15" x14ac:dyDescent="0.2">
      <c r="A3141" s="82" t="s">
        <v>3517</v>
      </c>
      <c r="B3141" s="83" t="s">
        <v>8616</v>
      </c>
      <c r="C3141" s="84" t="s">
        <v>3754</v>
      </c>
      <c r="D3141" s="84" t="s">
        <v>3754</v>
      </c>
      <c r="E3141" s="29" t="s">
        <v>7267</v>
      </c>
      <c r="F3141" s="84" t="s">
        <v>7265</v>
      </c>
      <c r="G3141" s="8"/>
      <c r="H3141" s="8">
        <v>10</v>
      </c>
      <c r="I3141" s="8">
        <v>20</v>
      </c>
      <c r="J3141" s="84" t="s">
        <v>7268</v>
      </c>
      <c r="K3141" s="29" t="s">
        <v>7266</v>
      </c>
      <c r="L3141" s="88"/>
      <c r="M3141" s="68">
        <v>1</v>
      </c>
      <c r="N3141" s="68" t="s">
        <v>7204</v>
      </c>
    </row>
    <row r="3142" spans="1:14" s="3" customFormat="1" ht="15" x14ac:dyDescent="0.2">
      <c r="A3142" s="82" t="s">
        <v>3517</v>
      </c>
      <c r="B3142" s="83" t="s">
        <v>4701</v>
      </c>
      <c r="C3142" s="84" t="s">
        <v>3757</v>
      </c>
      <c r="D3142" s="84" t="s">
        <v>3754</v>
      </c>
      <c r="E3142" s="29" t="s">
        <v>7225</v>
      </c>
      <c r="F3142" s="84" t="s">
        <v>3754</v>
      </c>
      <c r="G3142" s="8">
        <v>24</v>
      </c>
      <c r="H3142" s="8"/>
      <c r="I3142" s="8"/>
      <c r="J3142" s="84" t="s">
        <v>1261</v>
      </c>
      <c r="K3142" s="29" t="s">
        <v>8724</v>
      </c>
      <c r="L3142" s="88"/>
      <c r="M3142" s="68">
        <v>1</v>
      </c>
      <c r="N3142" s="68" t="s">
        <v>7204</v>
      </c>
    </row>
    <row r="3143" spans="1:14" s="3" customFormat="1" ht="14.25" x14ac:dyDescent="0.2">
      <c r="A3143" s="51" t="s">
        <v>3517</v>
      </c>
      <c r="B3143" s="38" t="s">
        <v>4701</v>
      </c>
      <c r="C3143" s="53" t="s">
        <v>3757</v>
      </c>
      <c r="D3143" s="53" t="s">
        <v>3754</v>
      </c>
      <c r="E3143" s="72" t="s">
        <v>7300</v>
      </c>
      <c r="F3143" s="53" t="s">
        <v>7301</v>
      </c>
      <c r="G3143" s="79">
        <v>37</v>
      </c>
      <c r="H3143" s="8"/>
      <c r="I3143" s="8"/>
      <c r="J3143" s="81" t="s">
        <v>1264</v>
      </c>
      <c r="K3143" s="116" t="s">
        <v>3151</v>
      </c>
      <c r="L3143" s="84"/>
      <c r="M3143" s="68">
        <v>1</v>
      </c>
      <c r="N3143" s="68" t="s">
        <v>7293</v>
      </c>
    </row>
    <row r="3144" spans="1:14" s="3" customFormat="1" ht="15" x14ac:dyDescent="0.2">
      <c r="A3144" s="82" t="s">
        <v>3517</v>
      </c>
      <c r="B3144" s="83" t="s">
        <v>3738</v>
      </c>
      <c r="C3144" s="84" t="s">
        <v>1095</v>
      </c>
      <c r="D3144" s="39" t="s">
        <v>3754</v>
      </c>
      <c r="E3144" s="72" t="s">
        <v>1310</v>
      </c>
      <c r="F3144" s="84" t="s">
        <v>7541</v>
      </c>
      <c r="G3144" s="8">
        <v>50</v>
      </c>
      <c r="H3144" s="8"/>
      <c r="I3144" s="8"/>
      <c r="J3144" s="84" t="s">
        <v>3231</v>
      </c>
      <c r="K3144" s="72" t="s">
        <v>2602</v>
      </c>
      <c r="L3144" s="88"/>
      <c r="M3144" s="68">
        <v>1</v>
      </c>
      <c r="N3144" s="68" t="s">
        <v>7490</v>
      </c>
    </row>
    <row r="3145" spans="1:14" s="3" customFormat="1" ht="15" x14ac:dyDescent="0.2">
      <c r="A3145" s="82" t="s">
        <v>3517</v>
      </c>
      <c r="B3145" s="83" t="s">
        <v>3738</v>
      </c>
      <c r="C3145" s="84" t="s">
        <v>3757</v>
      </c>
      <c r="D3145" s="39" t="s">
        <v>3754</v>
      </c>
      <c r="E3145" s="72" t="s">
        <v>3389</v>
      </c>
      <c r="F3145" s="84" t="s">
        <v>5842</v>
      </c>
      <c r="G3145" s="8">
        <v>63</v>
      </c>
      <c r="H3145" s="8"/>
      <c r="I3145" s="8"/>
      <c r="J3145" s="84" t="s">
        <v>3276</v>
      </c>
      <c r="K3145" s="72" t="s">
        <v>7550</v>
      </c>
      <c r="L3145" s="88" t="s">
        <v>7547</v>
      </c>
      <c r="M3145" s="68">
        <v>1</v>
      </c>
      <c r="N3145" s="68" t="s">
        <v>7490</v>
      </c>
    </row>
    <row r="3146" spans="1:14" s="3" customFormat="1" ht="28.5" x14ac:dyDescent="0.2">
      <c r="A3146" s="82" t="s">
        <v>3517</v>
      </c>
      <c r="B3146" s="83" t="s">
        <v>3733</v>
      </c>
      <c r="C3146" s="84" t="s">
        <v>3754</v>
      </c>
      <c r="D3146" s="84" t="s">
        <v>3754</v>
      </c>
      <c r="E3146" s="29" t="s">
        <v>7269</v>
      </c>
      <c r="F3146" s="84" t="s">
        <v>7265</v>
      </c>
      <c r="G3146" s="8"/>
      <c r="H3146" s="8"/>
      <c r="I3146" s="8">
        <v>2</v>
      </c>
      <c r="J3146" s="84" t="s">
        <v>7270</v>
      </c>
      <c r="K3146" s="29" t="s">
        <v>7266</v>
      </c>
      <c r="L3146" s="88"/>
      <c r="M3146" s="68">
        <v>1</v>
      </c>
      <c r="N3146" s="68" t="s">
        <v>7204</v>
      </c>
    </row>
    <row r="3147" spans="1:14" s="3" customFormat="1" ht="14.25" x14ac:dyDescent="0.2">
      <c r="A3147" s="51" t="s">
        <v>3517</v>
      </c>
      <c r="B3147" s="38" t="s">
        <v>8648</v>
      </c>
      <c r="C3147" s="53" t="s">
        <v>3754</v>
      </c>
      <c r="D3147" s="53" t="s">
        <v>3754</v>
      </c>
      <c r="E3147" s="72" t="s">
        <v>7317</v>
      </c>
      <c r="F3147" s="53" t="s">
        <v>7318</v>
      </c>
      <c r="G3147" s="79">
        <v>5</v>
      </c>
      <c r="H3147" s="79">
        <v>6</v>
      </c>
      <c r="I3147" s="8"/>
      <c r="J3147" s="81" t="s">
        <v>7319</v>
      </c>
      <c r="K3147" s="116" t="s">
        <v>7320</v>
      </c>
      <c r="L3147" s="84"/>
      <c r="M3147" s="68">
        <v>1</v>
      </c>
      <c r="N3147" s="68" t="s">
        <v>7293</v>
      </c>
    </row>
    <row r="3148" spans="1:14" s="3" customFormat="1" ht="14.25" x14ac:dyDescent="0.2">
      <c r="A3148" s="82" t="s">
        <v>3517</v>
      </c>
      <c r="B3148" s="83" t="s">
        <v>1445</v>
      </c>
      <c r="C3148" s="84" t="s">
        <v>636</v>
      </c>
      <c r="D3148" s="84" t="s">
        <v>3754</v>
      </c>
      <c r="E3148" s="29"/>
      <c r="F3148" s="84" t="s">
        <v>3754</v>
      </c>
      <c r="G3148" s="8">
        <v>37</v>
      </c>
      <c r="H3148" s="8"/>
      <c r="I3148" s="8"/>
      <c r="J3148" s="84" t="s">
        <v>1264</v>
      </c>
      <c r="K3148" s="29" t="s">
        <v>119</v>
      </c>
      <c r="L3148" s="105"/>
      <c r="M3148" s="68">
        <v>1</v>
      </c>
      <c r="N3148" s="68" t="s">
        <v>3516</v>
      </c>
    </row>
    <row r="3149" spans="1:14" s="3" customFormat="1" ht="15" x14ac:dyDescent="0.2">
      <c r="A3149" s="82" t="s">
        <v>7257</v>
      </c>
      <c r="B3149" s="83" t="s">
        <v>5904</v>
      </c>
      <c r="C3149" s="84" t="s">
        <v>3754</v>
      </c>
      <c r="D3149" s="84" t="s">
        <v>3754</v>
      </c>
      <c r="E3149" s="29" t="s">
        <v>4577</v>
      </c>
      <c r="F3149" s="84" t="s">
        <v>7258</v>
      </c>
      <c r="G3149" s="8">
        <v>3</v>
      </c>
      <c r="H3149" s="8">
        <v>3</v>
      </c>
      <c r="I3149" s="8">
        <v>4</v>
      </c>
      <c r="J3149" s="84" t="s">
        <v>1262</v>
      </c>
      <c r="K3149" s="29" t="s">
        <v>7259</v>
      </c>
      <c r="L3149" s="88"/>
      <c r="M3149" s="68">
        <v>1</v>
      </c>
      <c r="N3149" s="68" t="s">
        <v>7204</v>
      </c>
    </row>
    <row r="3150" spans="1:14" s="3" customFormat="1" ht="14.25" x14ac:dyDescent="0.2">
      <c r="A3150" s="51" t="s">
        <v>7363</v>
      </c>
      <c r="B3150" s="38" t="s">
        <v>7373</v>
      </c>
      <c r="C3150" s="53" t="s">
        <v>3754</v>
      </c>
      <c r="D3150" s="53" t="s">
        <v>3754</v>
      </c>
      <c r="E3150" s="112" t="s">
        <v>3800</v>
      </c>
      <c r="F3150" s="53" t="s">
        <v>5795</v>
      </c>
      <c r="G3150" s="8"/>
      <c r="H3150" s="79">
        <v>1</v>
      </c>
      <c r="I3150" s="79">
        <v>4</v>
      </c>
      <c r="J3150" s="81" t="s">
        <v>7374</v>
      </c>
      <c r="K3150" s="118" t="s">
        <v>3800</v>
      </c>
      <c r="L3150" s="84"/>
      <c r="M3150" s="68">
        <v>1</v>
      </c>
      <c r="N3150" s="68" t="s">
        <v>7293</v>
      </c>
    </row>
    <row r="3151" spans="1:14" s="3" customFormat="1" ht="14.25" x14ac:dyDescent="0.2">
      <c r="A3151" s="51" t="s">
        <v>7363</v>
      </c>
      <c r="B3151" s="38" t="s">
        <v>3723</v>
      </c>
      <c r="C3151" s="53" t="s">
        <v>3757</v>
      </c>
      <c r="D3151" s="53" t="s">
        <v>3754</v>
      </c>
      <c r="E3151" s="68" t="s">
        <v>7364</v>
      </c>
      <c r="F3151" s="53" t="s">
        <v>5162</v>
      </c>
      <c r="G3151" s="79">
        <v>32</v>
      </c>
      <c r="H3151" s="8"/>
      <c r="I3151" s="8"/>
      <c r="J3151" s="81" t="s">
        <v>4732</v>
      </c>
      <c r="K3151" s="118" t="s">
        <v>2605</v>
      </c>
      <c r="L3151" s="84"/>
      <c r="M3151" s="68">
        <v>1</v>
      </c>
      <c r="N3151" s="68" t="s">
        <v>7293</v>
      </c>
    </row>
    <row r="3152" spans="1:14" s="3" customFormat="1" ht="28.5" x14ac:dyDescent="0.2">
      <c r="A3152" s="63" t="s">
        <v>3544</v>
      </c>
      <c r="B3152" s="60" t="s">
        <v>3545</v>
      </c>
      <c r="C3152" s="61" t="s">
        <v>3754</v>
      </c>
      <c r="D3152" s="55" t="s">
        <v>3754</v>
      </c>
      <c r="E3152" s="55" t="s">
        <v>1923</v>
      </c>
      <c r="F3152" s="55" t="s">
        <v>3754</v>
      </c>
      <c r="G3152" s="8">
        <v>5</v>
      </c>
      <c r="H3152" s="8">
        <v>11</v>
      </c>
      <c r="I3152" s="8"/>
      <c r="J3152" s="55" t="s">
        <v>2333</v>
      </c>
      <c r="K3152" s="55"/>
      <c r="L3152" s="104"/>
      <c r="M3152" s="68">
        <v>1</v>
      </c>
      <c r="N3152" s="68" t="s">
        <v>3516</v>
      </c>
    </row>
    <row r="3153" spans="1:14" s="3" customFormat="1" ht="14.25" x14ac:dyDescent="0.2">
      <c r="A3153" s="47" t="s">
        <v>7352</v>
      </c>
      <c r="B3153" s="5" t="s">
        <v>1809</v>
      </c>
      <c r="C3153" s="46" t="s">
        <v>3754</v>
      </c>
      <c r="D3153" s="45" t="s">
        <v>3754</v>
      </c>
      <c r="E3153" s="112" t="s">
        <v>7353</v>
      </c>
      <c r="F3153" s="45" t="s">
        <v>5163</v>
      </c>
      <c r="G3153" s="79">
        <v>16</v>
      </c>
      <c r="H3153" s="8"/>
      <c r="I3153" s="8"/>
      <c r="J3153" s="80" t="s">
        <v>1254</v>
      </c>
      <c r="K3153" s="118" t="s">
        <v>282</v>
      </c>
      <c r="L3153" s="61"/>
      <c r="M3153" s="68">
        <v>1</v>
      </c>
      <c r="N3153" s="68" t="s">
        <v>7293</v>
      </c>
    </row>
    <row r="3154" spans="1:14" s="3" customFormat="1" ht="14.25" x14ac:dyDescent="0.2">
      <c r="A3154" s="82" t="s">
        <v>4179</v>
      </c>
      <c r="B3154" s="38" t="s">
        <v>4180</v>
      </c>
      <c r="C3154" s="84" t="s">
        <v>3757</v>
      </c>
      <c r="D3154" s="84" t="s">
        <v>3754</v>
      </c>
      <c r="E3154" s="84" t="s">
        <v>4181</v>
      </c>
      <c r="F3154" s="84" t="s">
        <v>4182</v>
      </c>
      <c r="G3154" s="8">
        <v>29</v>
      </c>
      <c r="H3154" s="8"/>
      <c r="I3154" s="8"/>
      <c r="J3154" s="84" t="s">
        <v>1277</v>
      </c>
      <c r="K3154" s="105" t="s">
        <v>2903</v>
      </c>
      <c r="L3154" s="29"/>
      <c r="M3154" s="68">
        <v>1</v>
      </c>
      <c r="N3154" s="68" t="s">
        <v>7378</v>
      </c>
    </row>
    <row r="3155" spans="1:14" s="3" customFormat="1" ht="14.25" x14ac:dyDescent="0.2">
      <c r="A3155" s="82" t="s">
        <v>7402</v>
      </c>
      <c r="B3155" s="38" t="s">
        <v>1432</v>
      </c>
      <c r="C3155" s="84" t="s">
        <v>3757</v>
      </c>
      <c r="D3155" s="84" t="s">
        <v>3754</v>
      </c>
      <c r="E3155" s="84" t="s">
        <v>7403</v>
      </c>
      <c r="F3155" s="84" t="s">
        <v>7404</v>
      </c>
      <c r="G3155" s="8">
        <v>52</v>
      </c>
      <c r="H3155" s="8"/>
      <c r="I3155" s="8"/>
      <c r="J3155" s="84" t="s">
        <v>6669</v>
      </c>
      <c r="K3155" s="105" t="s">
        <v>7405</v>
      </c>
      <c r="L3155" s="84"/>
      <c r="M3155" s="68">
        <v>1</v>
      </c>
      <c r="N3155" s="68" t="s">
        <v>7378</v>
      </c>
    </row>
    <row r="3156" spans="1:14" s="3" customFormat="1" ht="14.25" x14ac:dyDescent="0.2">
      <c r="A3156" s="82" t="s">
        <v>3533</v>
      </c>
      <c r="B3156" s="83" t="s">
        <v>3740</v>
      </c>
      <c r="C3156" s="84" t="s">
        <v>3757</v>
      </c>
      <c r="D3156" s="84" t="s">
        <v>3754</v>
      </c>
      <c r="E3156" s="84" t="s">
        <v>3534</v>
      </c>
      <c r="F3156" s="84" t="s">
        <v>3754</v>
      </c>
      <c r="G3156" s="8">
        <v>56</v>
      </c>
      <c r="H3156" s="8"/>
      <c r="I3156" s="8"/>
      <c r="J3156" s="84" t="s">
        <v>1264</v>
      </c>
      <c r="K3156" s="84" t="s">
        <v>3535</v>
      </c>
      <c r="L3156" s="105"/>
      <c r="M3156" s="68">
        <v>1</v>
      </c>
      <c r="N3156" s="68" t="s">
        <v>3516</v>
      </c>
    </row>
    <row r="3157" spans="1:14" s="3" customFormat="1" ht="14.25" x14ac:dyDescent="0.2">
      <c r="A3157" s="82" t="s">
        <v>7197</v>
      </c>
      <c r="B3157" s="83" t="s">
        <v>1990</v>
      </c>
      <c r="C3157" s="84" t="s">
        <v>3754</v>
      </c>
      <c r="D3157" s="84" t="s">
        <v>3754</v>
      </c>
      <c r="E3157" s="84" t="s">
        <v>1383</v>
      </c>
      <c r="F3157" s="84" t="s">
        <v>7198</v>
      </c>
      <c r="G3157" s="8"/>
      <c r="H3157" s="8">
        <v>7</v>
      </c>
      <c r="I3157" s="8">
        <v>22</v>
      </c>
      <c r="J3157" s="84" t="s">
        <v>1264</v>
      </c>
      <c r="K3157" s="84" t="s">
        <v>5516</v>
      </c>
      <c r="L3157" s="105"/>
      <c r="M3157" s="68">
        <v>1</v>
      </c>
      <c r="N3157" s="68" t="s">
        <v>3516</v>
      </c>
    </row>
    <row r="3158" spans="1:14" s="3" customFormat="1" ht="14.25" x14ac:dyDescent="0.2">
      <c r="A3158" s="82" t="s">
        <v>7197</v>
      </c>
      <c r="B3158" s="83" t="s">
        <v>5057</v>
      </c>
      <c r="C3158" s="84" t="s">
        <v>4712</v>
      </c>
      <c r="D3158" s="84" t="s">
        <v>3754</v>
      </c>
      <c r="E3158" s="84" t="s">
        <v>7199</v>
      </c>
      <c r="F3158" s="84" t="s">
        <v>7200</v>
      </c>
      <c r="G3158" s="8">
        <v>19</v>
      </c>
      <c r="H3158" s="8">
        <v>8</v>
      </c>
      <c r="I3158" s="8"/>
      <c r="J3158" s="84" t="s">
        <v>1264</v>
      </c>
      <c r="K3158" s="84" t="s">
        <v>5516</v>
      </c>
      <c r="L3158" s="105"/>
      <c r="M3158" s="68">
        <v>1</v>
      </c>
      <c r="N3158" s="68" t="s">
        <v>3516</v>
      </c>
    </row>
    <row r="3159" spans="1:14" s="3" customFormat="1" ht="15" x14ac:dyDescent="0.2">
      <c r="A3159" s="82" t="s">
        <v>7345</v>
      </c>
      <c r="B3159" s="83" t="s">
        <v>1432</v>
      </c>
      <c r="C3159" s="84" t="s">
        <v>3757</v>
      </c>
      <c r="D3159" s="39" t="s">
        <v>3754</v>
      </c>
      <c r="E3159" s="120" t="s">
        <v>485</v>
      </c>
      <c r="F3159" s="84" t="s">
        <v>7544</v>
      </c>
      <c r="G3159" s="8">
        <v>45</v>
      </c>
      <c r="H3159" s="8"/>
      <c r="I3159" s="8"/>
      <c r="J3159" s="84"/>
      <c r="K3159" s="120" t="s">
        <v>3356</v>
      </c>
      <c r="L3159" s="88"/>
      <c r="M3159" s="68">
        <v>1</v>
      </c>
      <c r="N3159" s="68" t="s">
        <v>7490</v>
      </c>
    </row>
    <row r="3160" spans="1:14" s="3" customFormat="1" ht="14.25" x14ac:dyDescent="0.2">
      <c r="A3160" s="51" t="s">
        <v>7345</v>
      </c>
      <c r="B3160" s="38" t="s">
        <v>7346</v>
      </c>
      <c r="C3160" s="53" t="s">
        <v>3757</v>
      </c>
      <c r="D3160" s="53" t="s">
        <v>3754</v>
      </c>
      <c r="E3160" s="120" t="s">
        <v>7347</v>
      </c>
      <c r="F3160" s="53" t="s">
        <v>7348</v>
      </c>
      <c r="G3160" s="79">
        <v>28</v>
      </c>
      <c r="H3160" s="8"/>
      <c r="I3160" s="8"/>
      <c r="J3160" s="81" t="s">
        <v>2335</v>
      </c>
      <c r="K3160" s="121" t="s">
        <v>2500</v>
      </c>
      <c r="L3160" s="84"/>
      <c r="M3160" s="68">
        <v>1</v>
      </c>
      <c r="N3160" s="68" t="s">
        <v>7293</v>
      </c>
    </row>
    <row r="3161" spans="1:14" s="3" customFormat="1" ht="14.25" x14ac:dyDescent="0.2">
      <c r="A3161" s="51" t="s">
        <v>7237</v>
      </c>
      <c r="B3161" s="38" t="s">
        <v>3748</v>
      </c>
      <c r="C3161" s="53" t="s">
        <v>3757</v>
      </c>
      <c r="D3161" s="53" t="s">
        <v>3754</v>
      </c>
      <c r="E3161" s="120" t="s">
        <v>1185</v>
      </c>
      <c r="F3161" s="53" t="s">
        <v>7361</v>
      </c>
      <c r="G3161" s="79">
        <v>56</v>
      </c>
      <c r="H3161" s="8"/>
      <c r="I3161" s="8"/>
      <c r="J3161" s="81" t="s">
        <v>1264</v>
      </c>
      <c r="K3161" s="121" t="s">
        <v>2328</v>
      </c>
      <c r="L3161" s="84"/>
      <c r="M3161" s="68">
        <v>1</v>
      </c>
      <c r="N3161" s="68" t="s">
        <v>7293</v>
      </c>
    </row>
    <row r="3162" spans="1:14" s="3" customFormat="1" ht="14.25" x14ac:dyDescent="0.2">
      <c r="A3162" s="82" t="s">
        <v>7237</v>
      </c>
      <c r="B3162" s="38" t="s">
        <v>3744</v>
      </c>
      <c r="C3162" s="84" t="s">
        <v>3754</v>
      </c>
      <c r="D3162" s="84" t="s">
        <v>3754</v>
      </c>
      <c r="E3162" s="84" t="s">
        <v>5376</v>
      </c>
      <c r="F3162" s="84" t="s">
        <v>4169</v>
      </c>
      <c r="G3162" s="8">
        <v>14</v>
      </c>
      <c r="H3162" s="8">
        <v>9</v>
      </c>
      <c r="I3162" s="8"/>
      <c r="J3162" s="84" t="s">
        <v>1264</v>
      </c>
      <c r="K3162" s="105" t="s">
        <v>4170</v>
      </c>
      <c r="L3162" s="84"/>
      <c r="M3162" s="68">
        <v>1</v>
      </c>
      <c r="N3162" s="68" t="s">
        <v>7378</v>
      </c>
    </row>
    <row r="3163" spans="1:14" s="3" customFormat="1" ht="15" x14ac:dyDescent="0.2">
      <c r="A3163" s="82" t="s">
        <v>7237</v>
      </c>
      <c r="B3163" s="83" t="s">
        <v>7006</v>
      </c>
      <c r="C3163" s="84" t="s">
        <v>3754</v>
      </c>
      <c r="D3163" s="84" t="s">
        <v>3754</v>
      </c>
      <c r="E3163" s="84" t="s">
        <v>2697</v>
      </c>
      <c r="F3163" s="84" t="s">
        <v>7238</v>
      </c>
      <c r="G3163" s="8">
        <v>76</v>
      </c>
      <c r="H3163" s="8">
        <v>9</v>
      </c>
      <c r="I3163" s="8"/>
      <c r="J3163" s="84" t="s">
        <v>2108</v>
      </c>
      <c r="K3163" s="84" t="s">
        <v>7239</v>
      </c>
      <c r="L3163" s="88"/>
      <c r="M3163" s="68">
        <v>1</v>
      </c>
      <c r="N3163" s="68" t="s">
        <v>7204</v>
      </c>
    </row>
    <row r="3164" spans="1:14" s="3" customFormat="1" ht="14.25" x14ac:dyDescent="0.2">
      <c r="A3164" s="51" t="s">
        <v>7237</v>
      </c>
      <c r="B3164" s="38" t="s">
        <v>3752</v>
      </c>
      <c r="C3164" s="53" t="s">
        <v>3754</v>
      </c>
      <c r="D3164" s="53" t="s">
        <v>3754</v>
      </c>
      <c r="E3164" s="120" t="s">
        <v>532</v>
      </c>
      <c r="F3164" s="53" t="s">
        <v>7361</v>
      </c>
      <c r="G3164" s="79">
        <v>16</v>
      </c>
      <c r="H3164" s="8"/>
      <c r="I3164" s="8"/>
      <c r="J3164" s="81" t="s">
        <v>1264</v>
      </c>
      <c r="K3164" s="121" t="s">
        <v>2328</v>
      </c>
      <c r="L3164" s="84"/>
      <c r="M3164" s="68">
        <v>1</v>
      </c>
      <c r="N3164" s="68" t="s">
        <v>7293</v>
      </c>
    </row>
    <row r="3165" spans="1:14" s="3" customFormat="1" ht="14.25" x14ac:dyDescent="0.2">
      <c r="A3165" s="51" t="s">
        <v>7237</v>
      </c>
      <c r="B3165" s="38" t="s">
        <v>1809</v>
      </c>
      <c r="C3165" s="53" t="s">
        <v>3757</v>
      </c>
      <c r="D3165" s="53" t="s">
        <v>3754</v>
      </c>
      <c r="E3165" s="120"/>
      <c r="F3165" s="53" t="s">
        <v>7367</v>
      </c>
      <c r="G3165" s="79">
        <v>65</v>
      </c>
      <c r="H3165" s="8"/>
      <c r="I3165" s="8"/>
      <c r="J3165" s="81" t="s">
        <v>1267</v>
      </c>
      <c r="K3165" s="121" t="s">
        <v>7366</v>
      </c>
      <c r="L3165" s="84"/>
      <c r="M3165" s="68">
        <v>1</v>
      </c>
      <c r="N3165" s="68" t="s">
        <v>7293</v>
      </c>
    </row>
    <row r="3166" spans="1:14" s="3" customFormat="1" ht="14.25" x14ac:dyDescent="0.2">
      <c r="A3166" s="51" t="s">
        <v>7237</v>
      </c>
      <c r="B3166" s="38" t="s">
        <v>1935</v>
      </c>
      <c r="C3166" s="53" t="s">
        <v>3754</v>
      </c>
      <c r="D3166" s="53" t="s">
        <v>3754</v>
      </c>
      <c r="E3166" s="120" t="s">
        <v>2500</v>
      </c>
      <c r="F3166" s="53" t="s">
        <v>7344</v>
      </c>
      <c r="G3166" s="79">
        <v>17</v>
      </c>
      <c r="H3166" s="8"/>
      <c r="I3166" s="8"/>
      <c r="J3166" s="81" t="s">
        <v>1264</v>
      </c>
      <c r="K3166" s="121" t="s">
        <v>8832</v>
      </c>
      <c r="L3166" s="84"/>
      <c r="M3166" s="68">
        <v>1</v>
      </c>
      <c r="N3166" s="68" t="s">
        <v>7293</v>
      </c>
    </row>
    <row r="3167" spans="1:14" s="3" customFormat="1" ht="14.25" x14ac:dyDescent="0.2">
      <c r="A3167" s="82" t="s">
        <v>7237</v>
      </c>
      <c r="B3167" s="38" t="s">
        <v>4190</v>
      </c>
      <c r="C3167" s="84" t="s">
        <v>3754</v>
      </c>
      <c r="D3167" s="84" t="s">
        <v>3754</v>
      </c>
      <c r="E3167" s="84" t="s">
        <v>8389</v>
      </c>
      <c r="F3167" s="84" t="s">
        <v>4169</v>
      </c>
      <c r="G3167" s="8">
        <v>24</v>
      </c>
      <c r="H3167" s="8"/>
      <c r="I3167" s="8"/>
      <c r="J3167" s="84" t="s">
        <v>1264</v>
      </c>
      <c r="K3167" s="105" t="s">
        <v>3396</v>
      </c>
      <c r="L3167" s="84"/>
      <c r="M3167" s="68">
        <v>1</v>
      </c>
      <c r="N3167" s="68" t="s">
        <v>7378</v>
      </c>
    </row>
    <row r="3168" spans="1:14" s="3" customFormat="1" ht="14.25" x14ac:dyDescent="0.2">
      <c r="A3168" s="51" t="s">
        <v>7237</v>
      </c>
      <c r="B3168" s="38" t="s">
        <v>5920</v>
      </c>
      <c r="C3168" s="53" t="s">
        <v>3754</v>
      </c>
      <c r="D3168" s="53" t="s">
        <v>3754</v>
      </c>
      <c r="E3168" s="120" t="s">
        <v>7362</v>
      </c>
      <c r="F3168" s="53" t="s">
        <v>7344</v>
      </c>
      <c r="G3168" s="79">
        <v>22</v>
      </c>
      <c r="H3168" s="8"/>
      <c r="I3168" s="8"/>
      <c r="J3168" s="81" t="s">
        <v>1264</v>
      </c>
      <c r="K3168" s="121" t="s">
        <v>2328</v>
      </c>
      <c r="L3168" s="84"/>
      <c r="M3168" s="68">
        <v>1</v>
      </c>
      <c r="N3168" s="68" t="s">
        <v>7293</v>
      </c>
    </row>
    <row r="3169" spans="1:14" s="3" customFormat="1" ht="14.25" x14ac:dyDescent="0.2">
      <c r="A3169" s="82" t="s">
        <v>4183</v>
      </c>
      <c r="B3169" s="38" t="s">
        <v>5044</v>
      </c>
      <c r="C3169" s="84" t="s">
        <v>3754</v>
      </c>
      <c r="D3169" s="84" t="s">
        <v>3754</v>
      </c>
      <c r="E3169" s="84" t="s">
        <v>4565</v>
      </c>
      <c r="F3169" s="84" t="s">
        <v>4184</v>
      </c>
      <c r="G3169" s="8">
        <v>21</v>
      </c>
      <c r="H3169" s="8"/>
      <c r="I3169" s="8"/>
      <c r="J3169" s="84" t="s">
        <v>4185</v>
      </c>
      <c r="K3169" s="105" t="s">
        <v>712</v>
      </c>
      <c r="L3169" s="84"/>
      <c r="M3169" s="68">
        <v>1</v>
      </c>
      <c r="N3169" s="68" t="s">
        <v>7378</v>
      </c>
    </row>
    <row r="3170" spans="1:14" s="3" customFormat="1" ht="14.25" x14ac:dyDescent="0.2">
      <c r="A3170" s="51" t="s">
        <v>7358</v>
      </c>
      <c r="B3170" s="38" t="s">
        <v>1445</v>
      </c>
      <c r="C3170" s="53" t="s">
        <v>3757</v>
      </c>
      <c r="D3170" s="53" t="s">
        <v>3754</v>
      </c>
      <c r="E3170" s="120" t="s">
        <v>283</v>
      </c>
      <c r="F3170" s="53" t="s">
        <v>7359</v>
      </c>
      <c r="G3170" s="79">
        <v>75</v>
      </c>
      <c r="H3170" s="8"/>
      <c r="I3170" s="8"/>
      <c r="J3170" s="81" t="s">
        <v>8482</v>
      </c>
      <c r="K3170" s="121" t="s">
        <v>7035</v>
      </c>
      <c r="L3170" s="84"/>
      <c r="M3170" s="68">
        <v>1</v>
      </c>
      <c r="N3170" s="68" t="s">
        <v>7293</v>
      </c>
    </row>
    <row r="3171" spans="1:14" s="3" customFormat="1" ht="14.25" x14ac:dyDescent="0.2">
      <c r="A3171" s="82" t="s">
        <v>3539</v>
      </c>
      <c r="B3171" s="83" t="s">
        <v>1432</v>
      </c>
      <c r="C3171" s="84" t="s">
        <v>3754</v>
      </c>
      <c r="D3171" s="84" t="s">
        <v>3754</v>
      </c>
      <c r="E3171" s="84" t="s">
        <v>3540</v>
      </c>
      <c r="F3171" s="84" t="s">
        <v>3754</v>
      </c>
      <c r="G3171" s="8">
        <v>10</v>
      </c>
      <c r="H3171" s="8">
        <v>7</v>
      </c>
      <c r="I3171" s="8"/>
      <c r="J3171" s="84" t="s">
        <v>1254</v>
      </c>
      <c r="K3171" s="84" t="s">
        <v>3541</v>
      </c>
      <c r="L3171" s="105"/>
      <c r="M3171" s="68">
        <v>1</v>
      </c>
      <c r="N3171" s="68" t="s">
        <v>3516</v>
      </c>
    </row>
    <row r="3172" spans="1:14" s="3" customFormat="1" ht="14.25" x14ac:dyDescent="0.2">
      <c r="A3172" s="82" t="s">
        <v>3539</v>
      </c>
      <c r="B3172" s="38" t="s">
        <v>3740</v>
      </c>
      <c r="C3172" s="84" t="s">
        <v>3757</v>
      </c>
      <c r="D3172" s="84" t="s">
        <v>3754</v>
      </c>
      <c r="E3172" s="84" t="s">
        <v>7483</v>
      </c>
      <c r="F3172" s="84" t="s">
        <v>7484</v>
      </c>
      <c r="G3172" s="8">
        <v>40</v>
      </c>
      <c r="H3172" s="8"/>
      <c r="I3172" s="8"/>
      <c r="J3172" s="84" t="s">
        <v>1264</v>
      </c>
      <c r="K3172" s="105" t="s">
        <v>3450</v>
      </c>
      <c r="L3172" s="84"/>
      <c r="M3172" s="68">
        <v>1</v>
      </c>
      <c r="N3172" s="68" t="s">
        <v>7378</v>
      </c>
    </row>
    <row r="3173" spans="1:14" s="3" customFormat="1" ht="15" x14ac:dyDescent="0.2">
      <c r="A3173" s="82" t="s">
        <v>3539</v>
      </c>
      <c r="B3173" s="83" t="s">
        <v>5057</v>
      </c>
      <c r="C3173" s="84" t="s">
        <v>3754</v>
      </c>
      <c r="D3173" s="84" t="s">
        <v>5291</v>
      </c>
      <c r="E3173" s="84"/>
      <c r="F3173" s="84" t="s">
        <v>7221</v>
      </c>
      <c r="G3173" s="8">
        <v>32</v>
      </c>
      <c r="H3173" s="8"/>
      <c r="I3173" s="8"/>
      <c r="J3173" s="84" t="s">
        <v>1264</v>
      </c>
      <c r="K3173" s="84" t="s">
        <v>1287</v>
      </c>
      <c r="L3173" s="88"/>
      <c r="M3173" s="68">
        <v>1</v>
      </c>
      <c r="N3173" s="68" t="s">
        <v>7204</v>
      </c>
    </row>
    <row r="3174" spans="1:14" s="3" customFormat="1" ht="14.25" x14ac:dyDescent="0.2">
      <c r="A3174" s="82" t="s">
        <v>7273</v>
      </c>
      <c r="B3174" s="38" t="s">
        <v>5044</v>
      </c>
      <c r="C3174" s="84" t="s">
        <v>3757</v>
      </c>
      <c r="D3174" s="84" t="s">
        <v>3754</v>
      </c>
      <c r="E3174" s="84" t="s">
        <v>1338</v>
      </c>
      <c r="F3174" s="84" t="s">
        <v>7385</v>
      </c>
      <c r="G3174" s="8">
        <v>73</v>
      </c>
      <c r="H3174" s="8"/>
      <c r="I3174" s="8"/>
      <c r="J3174" s="84" t="s">
        <v>1277</v>
      </c>
      <c r="K3174" s="105" t="s">
        <v>791</v>
      </c>
      <c r="L3174" s="84"/>
      <c r="M3174" s="68">
        <v>1</v>
      </c>
      <c r="N3174" s="68" t="s">
        <v>7378</v>
      </c>
    </row>
    <row r="3175" spans="1:14" s="3" customFormat="1" ht="15" x14ac:dyDescent="0.2">
      <c r="A3175" s="82" t="s">
        <v>7273</v>
      </c>
      <c r="B3175" s="83" t="s">
        <v>6080</v>
      </c>
      <c r="C3175" s="84" t="s">
        <v>3757</v>
      </c>
      <c r="D3175" s="84" t="s">
        <v>3754</v>
      </c>
      <c r="E3175" s="126" t="s">
        <v>261</v>
      </c>
      <c r="F3175" s="84" t="s">
        <v>7275</v>
      </c>
      <c r="G3175" s="8">
        <v>52</v>
      </c>
      <c r="H3175" s="8"/>
      <c r="I3175" s="8"/>
      <c r="J3175" s="84" t="s">
        <v>1264</v>
      </c>
      <c r="K3175" s="122" t="s">
        <v>7289</v>
      </c>
      <c r="L3175" s="88"/>
      <c r="M3175" s="68">
        <v>1</v>
      </c>
      <c r="N3175" s="68" t="s">
        <v>7204</v>
      </c>
    </row>
    <row r="3176" spans="1:14" s="3" customFormat="1" ht="15" x14ac:dyDescent="0.2">
      <c r="A3176" s="82" t="s">
        <v>7273</v>
      </c>
      <c r="B3176" s="83" t="s">
        <v>4879</v>
      </c>
      <c r="C3176" s="84" t="s">
        <v>3754</v>
      </c>
      <c r="D3176" s="84" t="s">
        <v>3754</v>
      </c>
      <c r="E3176" s="84" t="s">
        <v>7274</v>
      </c>
      <c r="F3176" s="84" t="s">
        <v>7275</v>
      </c>
      <c r="G3176" s="8">
        <v>18</v>
      </c>
      <c r="H3176" s="8"/>
      <c r="I3176" s="8"/>
      <c r="J3176" s="84" t="s">
        <v>1264</v>
      </c>
      <c r="K3176" s="84" t="s">
        <v>7276</v>
      </c>
      <c r="L3176" s="88"/>
      <c r="M3176" s="68">
        <v>1</v>
      </c>
      <c r="N3176" s="68" t="s">
        <v>7204</v>
      </c>
    </row>
    <row r="3177" spans="1:14" s="3" customFormat="1" ht="15" x14ac:dyDescent="0.2">
      <c r="A3177" s="82" t="s">
        <v>7273</v>
      </c>
      <c r="B3177" s="83" t="s">
        <v>3723</v>
      </c>
      <c r="C3177" s="84" t="s">
        <v>3754</v>
      </c>
      <c r="D3177" s="84" t="s">
        <v>3754</v>
      </c>
      <c r="E3177" s="84" t="s">
        <v>7283</v>
      </c>
      <c r="F3177" s="84" t="s">
        <v>7284</v>
      </c>
      <c r="G3177" s="8">
        <v>1</v>
      </c>
      <c r="H3177" s="8"/>
      <c r="I3177" s="8"/>
      <c r="J3177" s="84" t="s">
        <v>4790</v>
      </c>
      <c r="K3177" s="84" t="s">
        <v>6011</v>
      </c>
      <c r="L3177" s="88"/>
      <c r="M3177" s="68">
        <v>1</v>
      </c>
      <c r="N3177" s="68" t="s">
        <v>7204</v>
      </c>
    </row>
    <row r="3178" spans="1:14" s="3" customFormat="1" ht="14.25" x14ac:dyDescent="0.2">
      <c r="A3178" s="82" t="s">
        <v>7485</v>
      </c>
      <c r="B3178" s="38" t="s">
        <v>7486</v>
      </c>
      <c r="C3178" s="84" t="s">
        <v>3754</v>
      </c>
      <c r="D3178" s="84" t="s">
        <v>3754</v>
      </c>
      <c r="E3178" s="84" t="s">
        <v>7259</v>
      </c>
      <c r="F3178" s="84" t="s">
        <v>7487</v>
      </c>
      <c r="G3178" s="8"/>
      <c r="H3178" s="8">
        <v>10</v>
      </c>
      <c r="I3178" s="8">
        <v>20</v>
      </c>
      <c r="J3178" s="84"/>
      <c r="K3178" s="105" t="s">
        <v>6973</v>
      </c>
      <c r="L3178" s="84"/>
      <c r="M3178" s="68">
        <v>1</v>
      </c>
      <c r="N3178" s="68" t="s">
        <v>7378</v>
      </c>
    </row>
    <row r="3179" spans="1:14" s="3" customFormat="1" ht="15" x14ac:dyDescent="0.2">
      <c r="A3179" s="82" t="s">
        <v>3542</v>
      </c>
      <c r="B3179" s="83" t="s">
        <v>4703</v>
      </c>
      <c r="C3179" s="84" t="s">
        <v>3754</v>
      </c>
      <c r="D3179" s="84" t="s">
        <v>3754</v>
      </c>
      <c r="E3179" s="84" t="s">
        <v>8754</v>
      </c>
      <c r="F3179" s="84" t="s">
        <v>7260</v>
      </c>
      <c r="G3179" s="8"/>
      <c r="H3179" s="8"/>
      <c r="I3179" s="8"/>
      <c r="J3179" s="84"/>
      <c r="K3179" s="84" t="s">
        <v>7261</v>
      </c>
      <c r="L3179" s="88"/>
      <c r="M3179" s="68">
        <v>1</v>
      </c>
      <c r="N3179" s="68" t="s">
        <v>7204</v>
      </c>
    </row>
    <row r="3180" spans="1:14" s="3" customFormat="1" ht="14.25" x14ac:dyDescent="0.2">
      <c r="A3180" s="56" t="s">
        <v>3542</v>
      </c>
      <c r="B3180" s="57" t="s">
        <v>4908</v>
      </c>
      <c r="C3180" s="29" t="s">
        <v>3754</v>
      </c>
      <c r="D3180" s="29" t="s">
        <v>3754</v>
      </c>
      <c r="E3180" s="29" t="s">
        <v>3549</v>
      </c>
      <c r="F3180" s="29" t="s">
        <v>3550</v>
      </c>
      <c r="G3180" s="8"/>
      <c r="H3180" s="8"/>
      <c r="I3180" s="8">
        <v>11</v>
      </c>
      <c r="J3180" s="29"/>
      <c r="K3180" s="29" t="s">
        <v>4118</v>
      </c>
      <c r="L3180" s="105"/>
      <c r="M3180" s="68">
        <v>1</v>
      </c>
      <c r="N3180" s="68" t="s">
        <v>3516</v>
      </c>
    </row>
    <row r="3181" spans="1:14" s="3" customFormat="1" ht="14.25" x14ac:dyDescent="0.2">
      <c r="A3181" s="59" t="s">
        <v>3542</v>
      </c>
      <c r="B3181" s="60" t="s">
        <v>6080</v>
      </c>
      <c r="C3181" s="55" t="s">
        <v>3754</v>
      </c>
      <c r="D3181" s="55" t="s">
        <v>3754</v>
      </c>
      <c r="E3181" s="61" t="s">
        <v>3553</v>
      </c>
      <c r="F3181" s="61" t="s">
        <v>3554</v>
      </c>
      <c r="G3181" s="8"/>
      <c r="H3181" s="8">
        <v>7</v>
      </c>
      <c r="I3181" s="8"/>
      <c r="J3181" s="55" t="s">
        <v>1261</v>
      </c>
      <c r="K3181" s="55" t="s">
        <v>4118</v>
      </c>
      <c r="L3181" s="104"/>
      <c r="M3181" s="68">
        <v>1</v>
      </c>
      <c r="N3181" s="68" t="s">
        <v>3516</v>
      </c>
    </row>
    <row r="3182" spans="1:14" s="3" customFormat="1" ht="28.5" x14ac:dyDescent="0.2">
      <c r="A3182" s="82" t="s">
        <v>3542</v>
      </c>
      <c r="B3182" s="38" t="s">
        <v>3740</v>
      </c>
      <c r="C3182" s="84" t="s">
        <v>3757</v>
      </c>
      <c r="D3182" s="84" t="s">
        <v>3754</v>
      </c>
      <c r="E3182" s="29" t="s">
        <v>102</v>
      </c>
      <c r="F3182" s="84" t="s">
        <v>4196</v>
      </c>
      <c r="G3182" s="8">
        <v>65</v>
      </c>
      <c r="H3182" s="8"/>
      <c r="I3182" s="8"/>
      <c r="J3182" s="84" t="s">
        <v>4197</v>
      </c>
      <c r="K3182" s="103" t="s">
        <v>104</v>
      </c>
      <c r="L3182" s="84"/>
      <c r="M3182" s="68">
        <v>1</v>
      </c>
      <c r="N3182" s="68" t="s">
        <v>7378</v>
      </c>
    </row>
    <row r="3183" spans="1:14" s="3" customFormat="1" ht="14.25" x14ac:dyDescent="0.2">
      <c r="A3183" s="82" t="s">
        <v>3542</v>
      </c>
      <c r="B3183" s="83" t="s">
        <v>3740</v>
      </c>
      <c r="C3183" s="84" t="s">
        <v>3754</v>
      </c>
      <c r="D3183" s="84" t="s">
        <v>3754</v>
      </c>
      <c r="E3183" s="29" t="s">
        <v>3551</v>
      </c>
      <c r="F3183" s="84" t="s">
        <v>3552</v>
      </c>
      <c r="G3183" s="8"/>
      <c r="H3183" s="8">
        <v>5</v>
      </c>
      <c r="I3183" s="8"/>
      <c r="J3183" s="84" t="s">
        <v>1258</v>
      </c>
      <c r="K3183" s="29" t="s">
        <v>4118</v>
      </c>
      <c r="L3183" s="105"/>
      <c r="M3183" s="68">
        <v>1</v>
      </c>
      <c r="N3183" s="68" t="s">
        <v>3516</v>
      </c>
    </row>
    <row r="3184" spans="1:14" s="3" customFormat="1" ht="14.25" x14ac:dyDescent="0.2">
      <c r="A3184" s="82" t="s">
        <v>3542</v>
      </c>
      <c r="B3184" s="83" t="s">
        <v>1552</v>
      </c>
      <c r="C3184" s="84" t="s">
        <v>3754</v>
      </c>
      <c r="D3184" s="84" t="s">
        <v>3754</v>
      </c>
      <c r="E3184" s="29" t="s">
        <v>3543</v>
      </c>
      <c r="F3184" s="84" t="s">
        <v>3754</v>
      </c>
      <c r="G3184" s="8">
        <v>19</v>
      </c>
      <c r="H3184" s="8"/>
      <c r="I3184" s="8"/>
      <c r="J3184" s="84" t="s">
        <v>1572</v>
      </c>
      <c r="K3184" s="29" t="s">
        <v>5125</v>
      </c>
      <c r="L3184" s="105"/>
      <c r="M3184" s="68">
        <v>1</v>
      </c>
      <c r="N3184" s="68" t="s">
        <v>3516</v>
      </c>
    </row>
    <row r="3185" spans="1:14" s="3" customFormat="1" ht="14.25" x14ac:dyDescent="0.2">
      <c r="A3185" s="51" t="s">
        <v>3542</v>
      </c>
      <c r="B3185" s="38" t="s">
        <v>3723</v>
      </c>
      <c r="C3185" s="53" t="s">
        <v>3754</v>
      </c>
      <c r="D3185" s="53" t="s">
        <v>7335</v>
      </c>
      <c r="E3185" s="72" t="s">
        <v>7336</v>
      </c>
      <c r="F3185" s="53" t="s">
        <v>2406</v>
      </c>
      <c r="G3185" s="8"/>
      <c r="H3185" s="79">
        <v>6</v>
      </c>
      <c r="I3185" s="79">
        <v>7</v>
      </c>
      <c r="J3185" s="81" t="s">
        <v>7327</v>
      </c>
      <c r="K3185" s="116" t="s">
        <v>7337</v>
      </c>
      <c r="L3185" s="84"/>
      <c r="M3185" s="68">
        <v>1</v>
      </c>
      <c r="N3185" s="68" t="s">
        <v>7293</v>
      </c>
    </row>
    <row r="3186" spans="1:14" s="3" customFormat="1" ht="15" x14ac:dyDescent="0.2">
      <c r="A3186" s="82" t="s">
        <v>3546</v>
      </c>
      <c r="B3186" s="83" t="s">
        <v>3727</v>
      </c>
      <c r="C3186" s="41" t="s">
        <v>3761</v>
      </c>
      <c r="D3186" s="39" t="s">
        <v>3754</v>
      </c>
      <c r="E3186" s="72" t="s">
        <v>46</v>
      </c>
      <c r="F3186" s="84" t="s">
        <v>3686</v>
      </c>
      <c r="G3186" s="8">
        <v>35</v>
      </c>
      <c r="H3186" s="8"/>
      <c r="I3186" s="8"/>
      <c r="J3186" s="84" t="s">
        <v>3206</v>
      </c>
      <c r="K3186" s="72" t="s">
        <v>445</v>
      </c>
      <c r="L3186" s="88"/>
      <c r="M3186" s="68">
        <v>1</v>
      </c>
      <c r="N3186" s="68" t="s">
        <v>7490</v>
      </c>
    </row>
    <row r="3187" spans="1:14" s="3" customFormat="1" ht="15" x14ac:dyDescent="0.2">
      <c r="A3187" s="82" t="s">
        <v>3546</v>
      </c>
      <c r="B3187" s="83" t="s">
        <v>3727</v>
      </c>
      <c r="C3187" s="84" t="s">
        <v>3757</v>
      </c>
      <c r="D3187" s="84"/>
      <c r="E3187" s="29" t="s">
        <v>7216</v>
      </c>
      <c r="F3187" s="84" t="s">
        <v>5164</v>
      </c>
      <c r="G3187" s="8">
        <v>45</v>
      </c>
      <c r="H3187" s="8"/>
      <c r="I3187" s="8"/>
      <c r="J3187" s="84" t="s">
        <v>1267</v>
      </c>
      <c r="K3187" s="29" t="s">
        <v>3200</v>
      </c>
      <c r="L3187" s="88"/>
      <c r="M3187" s="68">
        <v>1</v>
      </c>
      <c r="N3187" s="68" t="s">
        <v>7204</v>
      </c>
    </row>
    <row r="3188" spans="1:14" s="3" customFormat="1" ht="14.25" x14ac:dyDescent="0.2">
      <c r="A3188" s="82" t="s">
        <v>3546</v>
      </c>
      <c r="B3188" s="83" t="s">
        <v>3727</v>
      </c>
      <c r="C3188" s="84" t="s">
        <v>3757</v>
      </c>
      <c r="D3188" s="84"/>
      <c r="E3188" s="29" t="s">
        <v>3577</v>
      </c>
      <c r="F3188" s="84" t="s">
        <v>3578</v>
      </c>
      <c r="G3188" s="8">
        <v>66</v>
      </c>
      <c r="H3188" s="8"/>
      <c r="I3188" s="8"/>
      <c r="J3188" s="84" t="s">
        <v>3579</v>
      </c>
      <c r="K3188" s="29" t="s">
        <v>1949</v>
      </c>
      <c r="L3188" s="105"/>
      <c r="M3188" s="68">
        <v>1</v>
      </c>
      <c r="N3188" s="68" t="s">
        <v>3516</v>
      </c>
    </row>
    <row r="3189" spans="1:14" s="3" customFormat="1" ht="15" x14ac:dyDescent="0.2">
      <c r="A3189" s="82" t="s">
        <v>3546</v>
      </c>
      <c r="B3189" s="83" t="s">
        <v>4021</v>
      </c>
      <c r="C3189" s="84" t="s">
        <v>3754</v>
      </c>
      <c r="D3189" s="84" t="s">
        <v>3754</v>
      </c>
      <c r="E3189" s="29" t="s">
        <v>5871</v>
      </c>
      <c r="F3189" s="84" t="s">
        <v>7240</v>
      </c>
      <c r="G3189" s="8">
        <v>2</v>
      </c>
      <c r="H3189" s="8">
        <v>5</v>
      </c>
      <c r="I3189" s="8">
        <v>26</v>
      </c>
      <c r="J3189" s="84" t="s">
        <v>1258</v>
      </c>
      <c r="K3189" s="29" t="s">
        <v>7241</v>
      </c>
      <c r="L3189" s="88"/>
      <c r="M3189" s="68">
        <v>1</v>
      </c>
      <c r="N3189" s="68" t="s">
        <v>7204</v>
      </c>
    </row>
    <row r="3190" spans="1:14" s="3" customFormat="1" ht="14.25" x14ac:dyDescent="0.2">
      <c r="A3190" s="82" t="s">
        <v>3546</v>
      </c>
      <c r="B3190" s="83" t="s">
        <v>4908</v>
      </c>
      <c r="C3190" s="84" t="s">
        <v>3754</v>
      </c>
      <c r="D3190" s="84" t="s">
        <v>3754</v>
      </c>
      <c r="E3190" s="29" t="s">
        <v>5239</v>
      </c>
      <c r="F3190" s="84" t="s">
        <v>7203</v>
      </c>
      <c r="G3190" s="8">
        <v>5</v>
      </c>
      <c r="H3190" s="8">
        <v>4</v>
      </c>
      <c r="I3190" s="8"/>
      <c r="J3190" s="84" t="s">
        <v>1257</v>
      </c>
      <c r="K3190" s="29" t="s">
        <v>8466</v>
      </c>
      <c r="L3190" s="105"/>
      <c r="M3190" s="68">
        <v>1</v>
      </c>
      <c r="N3190" s="68" t="s">
        <v>3516</v>
      </c>
    </row>
    <row r="3191" spans="1:14" s="3" customFormat="1" ht="15" x14ac:dyDescent="0.2">
      <c r="A3191" s="82" t="s">
        <v>3546</v>
      </c>
      <c r="B3191" s="83" t="s">
        <v>7017</v>
      </c>
      <c r="C3191" s="84" t="s">
        <v>3757</v>
      </c>
      <c r="D3191" s="39" t="s">
        <v>3754</v>
      </c>
      <c r="E3191" s="72" t="s">
        <v>7536</v>
      </c>
      <c r="F3191" s="84" t="s">
        <v>1563</v>
      </c>
      <c r="G3191" s="8">
        <v>47</v>
      </c>
      <c r="H3191" s="8"/>
      <c r="I3191" s="8"/>
      <c r="J3191" s="84" t="s">
        <v>3206</v>
      </c>
      <c r="K3191" s="72" t="s">
        <v>6156</v>
      </c>
      <c r="L3191" s="88"/>
      <c r="M3191" s="68">
        <v>1</v>
      </c>
      <c r="N3191" s="68" t="s">
        <v>7490</v>
      </c>
    </row>
    <row r="3192" spans="1:14" s="3" customFormat="1" ht="14.25" x14ac:dyDescent="0.2">
      <c r="A3192" s="82" t="s">
        <v>3546</v>
      </c>
      <c r="B3192" s="83" t="s">
        <v>1879</v>
      </c>
      <c r="C3192" s="84" t="s">
        <v>3754</v>
      </c>
      <c r="D3192" s="84" t="s">
        <v>3754</v>
      </c>
      <c r="E3192" s="29" t="s">
        <v>5124</v>
      </c>
      <c r="F3192" s="84" t="s">
        <v>3754</v>
      </c>
      <c r="G3192" s="8"/>
      <c r="H3192" s="8">
        <v>9</v>
      </c>
      <c r="I3192" s="8"/>
      <c r="J3192" s="84" t="s">
        <v>1258</v>
      </c>
      <c r="K3192" s="29" t="s">
        <v>3548</v>
      </c>
      <c r="L3192" s="105"/>
      <c r="M3192" s="68">
        <v>1</v>
      </c>
      <c r="N3192" s="68" t="s">
        <v>3516</v>
      </c>
    </row>
    <row r="3193" spans="1:14" s="3" customFormat="1" ht="14.25" x14ac:dyDescent="0.2">
      <c r="A3193" s="82" t="s">
        <v>3546</v>
      </c>
      <c r="B3193" s="83" t="s">
        <v>4685</v>
      </c>
      <c r="C3193" s="84" t="s">
        <v>3757</v>
      </c>
      <c r="D3193" s="84" t="s">
        <v>3754</v>
      </c>
      <c r="E3193" s="29" t="s">
        <v>3570</v>
      </c>
      <c r="F3193" s="84" t="s">
        <v>3571</v>
      </c>
      <c r="G3193" s="8">
        <v>62</v>
      </c>
      <c r="H3193" s="8"/>
      <c r="I3193" s="8"/>
      <c r="J3193" s="84" t="s">
        <v>1261</v>
      </c>
      <c r="K3193" s="29" t="s">
        <v>3572</v>
      </c>
      <c r="L3193" s="105"/>
      <c r="M3193" s="68">
        <v>1</v>
      </c>
      <c r="N3193" s="68" t="s">
        <v>3516</v>
      </c>
    </row>
    <row r="3194" spans="1:14" s="3" customFormat="1" ht="15" x14ac:dyDescent="0.2">
      <c r="A3194" s="82" t="s">
        <v>3546</v>
      </c>
      <c r="B3194" s="83" t="s">
        <v>3753</v>
      </c>
      <c r="C3194" s="84" t="s">
        <v>7285</v>
      </c>
      <c r="D3194" s="84" t="s">
        <v>7243</v>
      </c>
      <c r="E3194" s="29" t="s">
        <v>1762</v>
      </c>
      <c r="F3194" s="84" t="s">
        <v>7286</v>
      </c>
      <c r="G3194" s="8">
        <v>25</v>
      </c>
      <c r="H3194" s="8"/>
      <c r="I3194" s="8"/>
      <c r="J3194" s="84" t="s">
        <v>7287</v>
      </c>
      <c r="K3194" s="29" t="s">
        <v>7288</v>
      </c>
      <c r="L3194" s="88"/>
      <c r="M3194" s="68">
        <v>1</v>
      </c>
      <c r="N3194" s="68" t="s">
        <v>7204</v>
      </c>
    </row>
    <row r="3195" spans="1:14" s="3" customFormat="1" ht="14.25" x14ac:dyDescent="0.2">
      <c r="A3195" s="51" t="s">
        <v>3546</v>
      </c>
      <c r="B3195" s="38" t="s">
        <v>1922</v>
      </c>
      <c r="C3195" s="53" t="s">
        <v>3754</v>
      </c>
      <c r="D3195" s="53" t="s">
        <v>3754</v>
      </c>
      <c r="E3195" s="72" t="s">
        <v>7371</v>
      </c>
      <c r="F3195" s="53" t="s">
        <v>7375</v>
      </c>
      <c r="G3195" s="79">
        <v>22</v>
      </c>
      <c r="H3195" s="8"/>
      <c r="I3195" s="8"/>
      <c r="J3195" s="81" t="s">
        <v>1264</v>
      </c>
      <c r="K3195" s="116" t="s">
        <v>3800</v>
      </c>
      <c r="L3195" s="84"/>
      <c r="M3195" s="68">
        <v>1</v>
      </c>
      <c r="N3195" s="68" t="s">
        <v>7293</v>
      </c>
    </row>
    <row r="3196" spans="1:14" s="3" customFormat="1" ht="14.25" x14ac:dyDescent="0.2">
      <c r="A3196" s="82" t="s">
        <v>3546</v>
      </c>
      <c r="B3196" s="83" t="s">
        <v>3723</v>
      </c>
      <c r="C3196" s="84" t="s">
        <v>3754</v>
      </c>
      <c r="D3196" s="84" t="s">
        <v>3754</v>
      </c>
      <c r="E3196" s="29" t="s">
        <v>3547</v>
      </c>
      <c r="F3196" s="84" t="s">
        <v>3754</v>
      </c>
      <c r="G3196" s="8">
        <v>4</v>
      </c>
      <c r="H3196" s="8">
        <v>6</v>
      </c>
      <c r="I3196" s="8"/>
      <c r="J3196" s="84" t="s">
        <v>1258</v>
      </c>
      <c r="K3196" s="29" t="s">
        <v>3548</v>
      </c>
      <c r="L3196" s="105"/>
      <c r="M3196" s="68">
        <v>1</v>
      </c>
      <c r="N3196" s="68" t="s">
        <v>3516</v>
      </c>
    </row>
    <row r="3197" spans="1:14" s="3" customFormat="1" ht="14.25" x14ac:dyDescent="0.2">
      <c r="A3197" s="82" t="s">
        <v>3546</v>
      </c>
      <c r="B3197" s="38" t="s">
        <v>5057</v>
      </c>
      <c r="C3197" s="84" t="s">
        <v>3754</v>
      </c>
      <c r="D3197" s="84" t="s">
        <v>3754</v>
      </c>
      <c r="E3197" s="29" t="s">
        <v>2612</v>
      </c>
      <c r="F3197" s="84" t="s">
        <v>7379</v>
      </c>
      <c r="G3197" s="8">
        <v>21</v>
      </c>
      <c r="H3197" s="8"/>
      <c r="I3197" s="8"/>
      <c r="J3197" s="84" t="s">
        <v>1264</v>
      </c>
      <c r="K3197" s="103" t="s">
        <v>7377</v>
      </c>
      <c r="L3197" s="84"/>
      <c r="M3197" s="68">
        <v>1</v>
      </c>
      <c r="N3197" s="68" t="s">
        <v>7378</v>
      </c>
    </row>
    <row r="3198" spans="1:14" s="3" customFormat="1" ht="14.25" x14ac:dyDescent="0.2">
      <c r="A3198" s="82" t="s">
        <v>3546</v>
      </c>
      <c r="B3198" s="42" t="s">
        <v>5904</v>
      </c>
      <c r="C3198" s="84" t="s">
        <v>3754</v>
      </c>
      <c r="D3198" s="84" t="s">
        <v>3754</v>
      </c>
      <c r="E3198" s="29" t="s">
        <v>8853</v>
      </c>
      <c r="F3198" s="84" t="s">
        <v>7488</v>
      </c>
      <c r="G3198" s="8">
        <v>33</v>
      </c>
      <c r="H3198" s="8"/>
      <c r="I3198" s="8"/>
      <c r="J3198" s="84" t="s">
        <v>1264</v>
      </c>
      <c r="K3198" s="103" t="s">
        <v>7489</v>
      </c>
      <c r="L3198" s="99"/>
      <c r="M3198" s="68">
        <v>1</v>
      </c>
      <c r="N3198" s="68" t="s">
        <v>7378</v>
      </c>
    </row>
    <row r="3199" spans="1:14" s="3" customFormat="1" ht="15" x14ac:dyDescent="0.2">
      <c r="A3199" s="82" t="s">
        <v>3546</v>
      </c>
      <c r="B3199" s="83" t="s">
        <v>685</v>
      </c>
      <c r="C3199" s="41" t="s">
        <v>3761</v>
      </c>
      <c r="D3199" s="39" t="s">
        <v>3754</v>
      </c>
      <c r="E3199" s="72" t="s">
        <v>7521</v>
      </c>
      <c r="F3199" s="84" t="s">
        <v>7522</v>
      </c>
      <c r="G3199" s="8">
        <v>40</v>
      </c>
      <c r="H3199" s="8"/>
      <c r="I3199" s="8"/>
      <c r="J3199" s="84" t="s">
        <v>7523</v>
      </c>
      <c r="K3199" s="72" t="s">
        <v>7524</v>
      </c>
      <c r="L3199" s="88"/>
      <c r="M3199" s="68">
        <v>1</v>
      </c>
      <c r="N3199" s="68" t="s">
        <v>7490</v>
      </c>
    </row>
    <row r="3200" spans="1:14" s="3" customFormat="1" ht="15" x14ac:dyDescent="0.2">
      <c r="A3200" s="82" t="s">
        <v>7519</v>
      </c>
      <c r="B3200" s="83" t="s">
        <v>5435</v>
      </c>
      <c r="C3200" s="84" t="s">
        <v>3757</v>
      </c>
      <c r="D3200" s="39" t="s">
        <v>3754</v>
      </c>
      <c r="E3200" s="72"/>
      <c r="F3200" s="84" t="s">
        <v>7520</v>
      </c>
      <c r="G3200" s="8">
        <v>34</v>
      </c>
      <c r="H3200" s="8"/>
      <c r="I3200" s="8"/>
      <c r="J3200" s="84" t="s">
        <v>3206</v>
      </c>
      <c r="K3200" s="72" t="s">
        <v>6285</v>
      </c>
      <c r="L3200" s="88"/>
      <c r="M3200" s="68">
        <v>1</v>
      </c>
      <c r="N3200" s="68" t="s">
        <v>7490</v>
      </c>
    </row>
    <row r="3201" spans="1:14" s="3" customFormat="1" ht="14.25" x14ac:dyDescent="0.2">
      <c r="A3201" s="82" t="s">
        <v>3573</v>
      </c>
      <c r="B3201" s="38" t="s">
        <v>1432</v>
      </c>
      <c r="C3201" s="84" t="s">
        <v>3757</v>
      </c>
      <c r="D3201" s="84" t="s">
        <v>3754</v>
      </c>
      <c r="E3201" s="29" t="s">
        <v>102</v>
      </c>
      <c r="F3201" s="84" t="s">
        <v>4194</v>
      </c>
      <c r="G3201" s="8">
        <v>28</v>
      </c>
      <c r="H3201" s="8"/>
      <c r="I3201" s="8"/>
      <c r="J3201" s="84" t="s">
        <v>1264</v>
      </c>
      <c r="K3201" s="103" t="s">
        <v>4195</v>
      </c>
      <c r="L3201" s="84"/>
      <c r="M3201" s="68">
        <v>1</v>
      </c>
      <c r="N3201" s="68" t="s">
        <v>7378</v>
      </c>
    </row>
    <row r="3202" spans="1:14" s="3" customFormat="1" ht="15" x14ac:dyDescent="0.2">
      <c r="A3202" s="82" t="s">
        <v>3573</v>
      </c>
      <c r="B3202" s="83" t="s">
        <v>4685</v>
      </c>
      <c r="C3202" s="84" t="s">
        <v>3757</v>
      </c>
      <c r="D3202" s="39" t="s">
        <v>3754</v>
      </c>
      <c r="E3202" s="72" t="s">
        <v>3942</v>
      </c>
      <c r="F3202" s="84" t="s">
        <v>7542</v>
      </c>
      <c r="G3202" s="8">
        <v>30</v>
      </c>
      <c r="H3202" s="8"/>
      <c r="I3202" s="8"/>
      <c r="J3202" s="84" t="s">
        <v>7543</v>
      </c>
      <c r="K3202" s="72" t="s">
        <v>1671</v>
      </c>
      <c r="L3202" s="88"/>
      <c r="M3202" s="68">
        <v>1</v>
      </c>
      <c r="N3202" s="68" t="s">
        <v>7490</v>
      </c>
    </row>
    <row r="3203" spans="1:14" s="3" customFormat="1" ht="14.25" x14ac:dyDescent="0.2">
      <c r="A3203" s="82" t="s">
        <v>3573</v>
      </c>
      <c r="B3203" s="38" t="s">
        <v>3740</v>
      </c>
      <c r="C3203" s="84" t="s">
        <v>3754</v>
      </c>
      <c r="D3203" s="84" t="s">
        <v>3754</v>
      </c>
      <c r="E3203" s="29" t="s">
        <v>4171</v>
      </c>
      <c r="F3203" s="84" t="s">
        <v>4172</v>
      </c>
      <c r="G3203" s="8">
        <v>36</v>
      </c>
      <c r="H3203" s="8"/>
      <c r="I3203" s="8"/>
      <c r="J3203" s="84" t="s">
        <v>2451</v>
      </c>
      <c r="K3203" s="103" t="s">
        <v>4173</v>
      </c>
      <c r="L3203" s="84"/>
      <c r="M3203" s="68">
        <v>1</v>
      </c>
      <c r="N3203" s="68" t="s">
        <v>7378</v>
      </c>
    </row>
    <row r="3204" spans="1:14" s="3" customFormat="1" ht="14.25" x14ac:dyDescent="0.2">
      <c r="A3204" s="82" t="s">
        <v>3573</v>
      </c>
      <c r="B3204" s="83" t="s">
        <v>3574</v>
      </c>
      <c r="C3204" s="84" t="s">
        <v>3754</v>
      </c>
      <c r="D3204" s="84" t="s">
        <v>3754</v>
      </c>
      <c r="E3204" s="29" t="s">
        <v>3575</v>
      </c>
      <c r="F3204" s="84" t="s">
        <v>245</v>
      </c>
      <c r="G3204" s="8">
        <v>3</v>
      </c>
      <c r="H3204" s="8"/>
      <c r="I3204" s="8"/>
      <c r="J3204" s="84" t="s">
        <v>1258</v>
      </c>
      <c r="K3204" s="29" t="s">
        <v>3454</v>
      </c>
      <c r="L3204" s="105"/>
      <c r="M3204" s="68">
        <v>1</v>
      </c>
      <c r="N3204" s="68" t="s">
        <v>3516</v>
      </c>
    </row>
    <row r="3205" spans="1:14" s="3" customFormat="1" ht="14.25" x14ac:dyDescent="0.2">
      <c r="A3205" s="82" t="s">
        <v>3573</v>
      </c>
      <c r="B3205" s="83" t="s">
        <v>4701</v>
      </c>
      <c r="C3205" s="84" t="s">
        <v>3754</v>
      </c>
      <c r="D3205" s="84" t="s">
        <v>3754</v>
      </c>
      <c r="E3205" s="29" t="s">
        <v>3576</v>
      </c>
      <c r="F3205" s="84" t="s">
        <v>1541</v>
      </c>
      <c r="G3205" s="8">
        <v>2</v>
      </c>
      <c r="H3205" s="8"/>
      <c r="I3205" s="8"/>
      <c r="J3205" s="84" t="s">
        <v>1258</v>
      </c>
      <c r="K3205" s="29" t="s">
        <v>3454</v>
      </c>
      <c r="L3205" s="105"/>
      <c r="M3205" s="68">
        <v>1</v>
      </c>
      <c r="N3205" s="68" t="s">
        <v>3516</v>
      </c>
    </row>
    <row r="3206" spans="1:14" s="3" customFormat="1" ht="14.25" x14ac:dyDescent="0.2">
      <c r="A3206" s="82" t="s">
        <v>3573</v>
      </c>
      <c r="B3206" s="38" t="s">
        <v>1445</v>
      </c>
      <c r="C3206" s="84" t="s">
        <v>3754</v>
      </c>
      <c r="D3206" s="84" t="s">
        <v>3754</v>
      </c>
      <c r="E3206" s="29" t="s">
        <v>6418</v>
      </c>
      <c r="F3206" s="84" t="s">
        <v>7393</v>
      </c>
      <c r="G3206" s="8">
        <v>7</v>
      </c>
      <c r="H3206" s="8">
        <v>28</v>
      </c>
      <c r="I3206" s="8"/>
      <c r="J3206" s="84" t="s">
        <v>1412</v>
      </c>
      <c r="K3206" s="103" t="s">
        <v>7394</v>
      </c>
      <c r="L3206" s="84"/>
      <c r="M3206" s="68">
        <v>1</v>
      </c>
      <c r="N3206" s="68" t="s">
        <v>7378</v>
      </c>
    </row>
    <row r="3207" spans="1:14" s="3" customFormat="1" ht="15" x14ac:dyDescent="0.2">
      <c r="A3207" s="82" t="s">
        <v>7514</v>
      </c>
      <c r="B3207" s="83" t="s">
        <v>8660</v>
      </c>
      <c r="C3207" s="41" t="s">
        <v>3761</v>
      </c>
      <c r="D3207" s="39" t="s">
        <v>3754</v>
      </c>
      <c r="E3207" s="72" t="s">
        <v>7515</v>
      </c>
      <c r="F3207" s="84" t="s">
        <v>7516</v>
      </c>
      <c r="G3207" s="8">
        <v>20</v>
      </c>
      <c r="H3207" s="8"/>
      <c r="I3207" s="8"/>
      <c r="J3207" s="84" t="s">
        <v>3206</v>
      </c>
      <c r="K3207" s="72" t="s">
        <v>1482</v>
      </c>
      <c r="L3207" s="88"/>
      <c r="M3207" s="68">
        <v>1</v>
      </c>
      <c r="N3207" s="68" t="s">
        <v>7490</v>
      </c>
    </row>
    <row r="3208" spans="1:14" s="3" customFormat="1" ht="14.25" x14ac:dyDescent="0.2">
      <c r="A3208" s="82" t="s">
        <v>7599</v>
      </c>
      <c r="B3208" s="83" t="s">
        <v>686</v>
      </c>
      <c r="C3208" s="41" t="s">
        <v>3761</v>
      </c>
      <c r="D3208" s="39" t="s">
        <v>3754</v>
      </c>
      <c r="E3208" s="72"/>
      <c r="F3208" s="84" t="s">
        <v>7604</v>
      </c>
      <c r="G3208" s="8">
        <v>36</v>
      </c>
      <c r="H3208" s="8"/>
      <c r="I3208" s="8"/>
      <c r="J3208" s="84" t="s">
        <v>1264</v>
      </c>
      <c r="K3208" s="72" t="s">
        <v>7605</v>
      </c>
      <c r="L3208" s="84"/>
      <c r="M3208" s="68">
        <v>1</v>
      </c>
      <c r="N3208" s="68" t="s">
        <v>7626</v>
      </c>
    </row>
    <row r="3209" spans="1:14" s="3" customFormat="1" ht="14.25" x14ac:dyDescent="0.2">
      <c r="A3209" s="82" t="s">
        <v>7599</v>
      </c>
      <c r="B3209" s="83" t="s">
        <v>82</v>
      </c>
      <c r="C3209" s="41" t="s">
        <v>3761</v>
      </c>
      <c r="D3209" s="39" t="s">
        <v>3754</v>
      </c>
      <c r="E3209" s="72" t="s">
        <v>4270</v>
      </c>
      <c r="F3209" s="84" t="s">
        <v>7589</v>
      </c>
      <c r="G3209" s="8">
        <v>24</v>
      </c>
      <c r="H3209" s="8"/>
      <c r="I3209" s="8"/>
      <c r="J3209" s="84" t="s">
        <v>1264</v>
      </c>
      <c r="K3209" s="72" t="s">
        <v>7600</v>
      </c>
      <c r="L3209" s="84"/>
      <c r="M3209" s="68">
        <v>1</v>
      </c>
      <c r="N3209" s="68" t="s">
        <v>7626</v>
      </c>
    </row>
    <row r="3210" spans="1:14" s="3" customFormat="1" ht="15" x14ac:dyDescent="0.2">
      <c r="A3210" s="51" t="s">
        <v>7697</v>
      </c>
      <c r="B3210" s="52" t="s">
        <v>1428</v>
      </c>
      <c r="C3210" s="53" t="s">
        <v>3757</v>
      </c>
      <c r="D3210" s="39" t="s">
        <v>3754</v>
      </c>
      <c r="E3210" s="72" t="s">
        <v>7698</v>
      </c>
      <c r="F3210" s="53" t="s">
        <v>7699</v>
      </c>
      <c r="G3210" s="8">
        <v>49</v>
      </c>
      <c r="H3210" s="8"/>
      <c r="I3210" s="8"/>
      <c r="J3210" s="53" t="s">
        <v>8379</v>
      </c>
      <c r="K3210" s="72" t="s">
        <v>7700</v>
      </c>
      <c r="L3210" s="89"/>
      <c r="M3210" s="68">
        <v>1</v>
      </c>
      <c r="N3210" s="68" t="s">
        <v>7627</v>
      </c>
    </row>
    <row r="3211" spans="1:14" s="3" customFormat="1" ht="15" x14ac:dyDescent="0.2">
      <c r="A3211" s="51" t="s">
        <v>7697</v>
      </c>
      <c r="B3211" s="52" t="s">
        <v>3746</v>
      </c>
      <c r="C3211" s="41" t="s">
        <v>3761</v>
      </c>
      <c r="D3211" s="39" t="s">
        <v>3754</v>
      </c>
      <c r="E3211" s="72" t="s">
        <v>7701</v>
      </c>
      <c r="F3211" s="53" t="s">
        <v>7699</v>
      </c>
      <c r="G3211" s="8">
        <v>17</v>
      </c>
      <c r="H3211" s="8">
        <v>5</v>
      </c>
      <c r="I3211" s="8"/>
      <c r="J3211" s="53"/>
      <c r="K3211" s="72" t="s">
        <v>7700</v>
      </c>
      <c r="L3211" s="89"/>
      <c r="M3211" s="68">
        <v>1</v>
      </c>
      <c r="N3211" s="68" t="s">
        <v>7627</v>
      </c>
    </row>
    <row r="3212" spans="1:14" s="3" customFormat="1" ht="14.25" x14ac:dyDescent="0.2">
      <c r="A3212" s="51" t="s">
        <v>7622</v>
      </c>
      <c r="B3212" s="52" t="s">
        <v>4690</v>
      </c>
      <c r="C3212" s="41" t="s">
        <v>3761</v>
      </c>
      <c r="D3212" s="39" t="s">
        <v>3754</v>
      </c>
      <c r="E3212" s="72" t="s">
        <v>7725</v>
      </c>
      <c r="F3212" s="53" t="s">
        <v>4832</v>
      </c>
      <c r="G3212" s="90"/>
      <c r="H3212" s="8"/>
      <c r="I3212" s="8">
        <v>1</v>
      </c>
      <c r="J3212" s="53" t="s">
        <v>1272</v>
      </c>
      <c r="K3212" s="72" t="s">
        <v>1499</v>
      </c>
      <c r="L3212" s="84"/>
      <c r="M3212" s="68">
        <v>1</v>
      </c>
      <c r="N3212" s="68" t="s">
        <v>7704</v>
      </c>
    </row>
    <row r="3213" spans="1:14" s="3" customFormat="1" ht="15" x14ac:dyDescent="0.2">
      <c r="A3213" s="51" t="s">
        <v>7622</v>
      </c>
      <c r="B3213" s="52" t="s">
        <v>7756</v>
      </c>
      <c r="C3213" s="41" t="s">
        <v>3761</v>
      </c>
      <c r="D3213" s="39" t="s">
        <v>3754</v>
      </c>
      <c r="E3213" s="72" t="s">
        <v>7631</v>
      </c>
      <c r="F3213" s="53" t="s">
        <v>7632</v>
      </c>
      <c r="G3213" s="8">
        <v>27</v>
      </c>
      <c r="H3213" s="8"/>
      <c r="I3213" s="8"/>
      <c r="J3213" s="53" t="s">
        <v>1264</v>
      </c>
      <c r="K3213" s="72" t="s">
        <v>7633</v>
      </c>
      <c r="L3213" s="89"/>
      <c r="M3213" s="68">
        <v>1</v>
      </c>
      <c r="N3213" s="68" t="s">
        <v>7627</v>
      </c>
    </row>
    <row r="3214" spans="1:14" s="3" customFormat="1" ht="15" x14ac:dyDescent="0.2">
      <c r="A3214" s="51" t="s">
        <v>7622</v>
      </c>
      <c r="B3214" s="52" t="s">
        <v>687</v>
      </c>
      <c r="C3214" s="41" t="s">
        <v>3761</v>
      </c>
      <c r="D3214" s="39" t="s">
        <v>3754</v>
      </c>
      <c r="E3214" s="72" t="s">
        <v>2607</v>
      </c>
      <c r="F3214" s="53" t="s">
        <v>7632</v>
      </c>
      <c r="G3214" s="8">
        <v>21</v>
      </c>
      <c r="H3214" s="8"/>
      <c r="I3214" s="8"/>
      <c r="J3214" s="53" t="s">
        <v>1264</v>
      </c>
      <c r="K3214" s="72" t="s">
        <v>7657</v>
      </c>
      <c r="L3214" s="89"/>
      <c r="M3214" s="68">
        <v>1</v>
      </c>
      <c r="N3214" s="68" t="s">
        <v>7627</v>
      </c>
    </row>
    <row r="3215" spans="1:14" s="3" customFormat="1" ht="15" x14ac:dyDescent="0.2">
      <c r="A3215" s="51" t="s">
        <v>7622</v>
      </c>
      <c r="B3215" s="52" t="s">
        <v>3740</v>
      </c>
      <c r="C3215" s="41" t="s">
        <v>3761</v>
      </c>
      <c r="D3215" s="39" t="s">
        <v>3754</v>
      </c>
      <c r="E3215" s="72" t="s">
        <v>7642</v>
      </c>
      <c r="F3215" s="53" t="s">
        <v>7643</v>
      </c>
      <c r="G3215" s="8">
        <v>37</v>
      </c>
      <c r="H3215" s="8"/>
      <c r="I3215" s="8"/>
      <c r="J3215" s="53" t="s">
        <v>1264</v>
      </c>
      <c r="K3215" s="72" t="s">
        <v>7644</v>
      </c>
      <c r="L3215" s="89"/>
      <c r="M3215" s="68">
        <v>1</v>
      </c>
      <c r="N3215" s="68" t="s">
        <v>7627</v>
      </c>
    </row>
    <row r="3216" spans="1:14" s="3" customFormat="1" ht="14.25" x14ac:dyDescent="0.2">
      <c r="A3216" s="51" t="s">
        <v>7622</v>
      </c>
      <c r="B3216" s="52" t="s">
        <v>4581</v>
      </c>
      <c r="C3216" s="41" t="s">
        <v>3761</v>
      </c>
      <c r="D3216" s="39" t="s">
        <v>3754</v>
      </c>
      <c r="E3216" s="72" t="s">
        <v>1488</v>
      </c>
      <c r="F3216" s="53" t="s">
        <v>7718</v>
      </c>
      <c r="G3216" s="91">
        <v>30</v>
      </c>
      <c r="H3216" s="8"/>
      <c r="I3216" s="8"/>
      <c r="J3216" s="53" t="s">
        <v>1277</v>
      </c>
      <c r="K3216" s="72" t="s">
        <v>7719</v>
      </c>
      <c r="L3216" s="84"/>
      <c r="M3216" s="68">
        <v>1</v>
      </c>
      <c r="N3216" s="68" t="s">
        <v>7704</v>
      </c>
    </row>
    <row r="3217" spans="1:14" s="3" customFormat="1" ht="15" x14ac:dyDescent="0.2">
      <c r="A3217" s="51" t="s">
        <v>7622</v>
      </c>
      <c r="B3217" s="52" t="s">
        <v>3741</v>
      </c>
      <c r="C3217" s="53" t="s">
        <v>3757</v>
      </c>
      <c r="D3217" s="39" t="s">
        <v>3754</v>
      </c>
      <c r="E3217" s="72" t="s">
        <v>3184</v>
      </c>
      <c r="F3217" s="53" t="s">
        <v>7643</v>
      </c>
      <c r="G3217" s="8">
        <v>81</v>
      </c>
      <c r="H3217" s="8"/>
      <c r="I3217" s="8"/>
      <c r="J3217" s="53" t="s">
        <v>1271</v>
      </c>
      <c r="K3217" s="72" t="s">
        <v>2328</v>
      </c>
      <c r="L3217" s="89"/>
      <c r="M3217" s="68">
        <v>1</v>
      </c>
      <c r="N3217" s="68" t="s">
        <v>7627</v>
      </c>
    </row>
    <row r="3218" spans="1:14" s="3" customFormat="1" ht="15" x14ac:dyDescent="0.2">
      <c r="A3218" s="51" t="s">
        <v>7622</v>
      </c>
      <c r="B3218" s="52" t="s">
        <v>3741</v>
      </c>
      <c r="C3218" s="41" t="s">
        <v>3761</v>
      </c>
      <c r="D3218" s="39" t="s">
        <v>3754</v>
      </c>
      <c r="E3218" s="72" t="s">
        <v>6250</v>
      </c>
      <c r="F3218" s="53" t="s">
        <v>7643</v>
      </c>
      <c r="G3218" s="8"/>
      <c r="H3218" s="8">
        <v>5</v>
      </c>
      <c r="I3218" s="8"/>
      <c r="J3218" s="53" t="s">
        <v>1277</v>
      </c>
      <c r="K3218" s="72" t="s">
        <v>7694</v>
      </c>
      <c r="L3218" s="89"/>
      <c r="M3218" s="68">
        <v>1</v>
      </c>
      <c r="N3218" s="68" t="s">
        <v>7627</v>
      </c>
    </row>
    <row r="3219" spans="1:14" s="3" customFormat="1" ht="14.25" x14ac:dyDescent="0.2">
      <c r="A3219" s="82" t="s">
        <v>7622</v>
      </c>
      <c r="B3219" s="83" t="s">
        <v>1613</v>
      </c>
      <c r="C3219" s="84" t="s">
        <v>3757</v>
      </c>
      <c r="D3219" s="39" t="s">
        <v>3754</v>
      </c>
      <c r="E3219" s="72" t="s">
        <v>7623</v>
      </c>
      <c r="F3219" s="84" t="s">
        <v>7624</v>
      </c>
      <c r="G3219" s="8">
        <v>50</v>
      </c>
      <c r="H3219" s="8"/>
      <c r="I3219" s="8"/>
      <c r="J3219" s="84" t="s">
        <v>1472</v>
      </c>
      <c r="K3219" s="72" t="s">
        <v>7625</v>
      </c>
      <c r="L3219" s="99"/>
      <c r="M3219" s="68">
        <v>1</v>
      </c>
      <c r="N3219" s="68" t="s">
        <v>7626</v>
      </c>
    </row>
    <row r="3220" spans="1:14" s="3" customFormat="1" ht="14.25" x14ac:dyDescent="0.2">
      <c r="A3220" s="82" t="s">
        <v>7554</v>
      </c>
      <c r="B3220" s="83" t="s">
        <v>688</v>
      </c>
      <c r="C3220" s="84" t="s">
        <v>3757</v>
      </c>
      <c r="D3220" s="39" t="s">
        <v>3754</v>
      </c>
      <c r="E3220" s="72" t="s">
        <v>7555</v>
      </c>
      <c r="F3220" s="84" t="s">
        <v>1541</v>
      </c>
      <c r="G3220" s="8">
        <v>49</v>
      </c>
      <c r="H3220" s="8"/>
      <c r="I3220" s="8"/>
      <c r="J3220" s="84" t="s">
        <v>1264</v>
      </c>
      <c r="K3220" s="72" t="s">
        <v>6324</v>
      </c>
      <c r="L3220" s="84"/>
      <c r="M3220" s="68">
        <v>1</v>
      </c>
      <c r="N3220" s="68" t="s">
        <v>7626</v>
      </c>
    </row>
    <row r="3221" spans="1:14" s="3" customFormat="1" ht="14.25" x14ac:dyDescent="0.2">
      <c r="A3221" s="82" t="s">
        <v>7587</v>
      </c>
      <c r="B3221" s="83" t="s">
        <v>5073</v>
      </c>
      <c r="C3221" s="84" t="s">
        <v>3757</v>
      </c>
      <c r="D3221" s="39" t="s">
        <v>3754</v>
      </c>
      <c r="E3221" s="68" t="s">
        <v>7590</v>
      </c>
      <c r="F3221" s="84" t="s">
        <v>1541</v>
      </c>
      <c r="G3221" s="8">
        <v>42</v>
      </c>
      <c r="H3221" s="8"/>
      <c r="I3221" s="8"/>
      <c r="J3221" s="84" t="s">
        <v>1264</v>
      </c>
      <c r="K3221" s="72" t="s">
        <v>1405</v>
      </c>
      <c r="L3221" s="84"/>
      <c r="M3221" s="68">
        <v>1</v>
      </c>
      <c r="N3221" s="68" t="s">
        <v>7626</v>
      </c>
    </row>
    <row r="3222" spans="1:14" s="3" customFormat="1" ht="14.25" x14ac:dyDescent="0.2">
      <c r="A3222" s="82" t="s">
        <v>7587</v>
      </c>
      <c r="B3222" s="83" t="s">
        <v>1422</v>
      </c>
      <c r="C3222" s="84" t="s">
        <v>3757</v>
      </c>
      <c r="D3222" s="39" t="s">
        <v>3754</v>
      </c>
      <c r="E3222" s="72" t="s">
        <v>1862</v>
      </c>
      <c r="F3222" s="84" t="s">
        <v>1541</v>
      </c>
      <c r="G3222" s="8">
        <v>54</v>
      </c>
      <c r="H3222" s="8"/>
      <c r="I3222" s="8"/>
      <c r="J3222" s="84" t="s">
        <v>2451</v>
      </c>
      <c r="K3222" s="72" t="s">
        <v>1405</v>
      </c>
      <c r="L3222" s="84"/>
      <c r="M3222" s="68">
        <v>1</v>
      </c>
      <c r="N3222" s="68" t="s">
        <v>7626</v>
      </c>
    </row>
    <row r="3223" spans="1:14" s="3" customFormat="1" ht="14.25" x14ac:dyDescent="0.2">
      <c r="A3223" s="63" t="s">
        <v>7587</v>
      </c>
      <c r="B3223" s="60" t="s">
        <v>641</v>
      </c>
      <c r="C3223" s="19" t="s">
        <v>3761</v>
      </c>
      <c r="D3223" s="10" t="s">
        <v>3754</v>
      </c>
      <c r="E3223" s="112" t="s">
        <v>7588</v>
      </c>
      <c r="F3223" s="55" t="s">
        <v>7589</v>
      </c>
      <c r="G3223" s="8">
        <v>24</v>
      </c>
      <c r="H3223" s="8">
        <v>7</v>
      </c>
      <c r="I3223" s="8">
        <v>9</v>
      </c>
      <c r="J3223" s="55" t="s">
        <v>1264</v>
      </c>
      <c r="K3223" s="112" t="s">
        <v>1410</v>
      </c>
      <c r="L3223" s="61"/>
      <c r="M3223" s="68">
        <v>1</v>
      </c>
      <c r="N3223" s="68" t="s">
        <v>7626</v>
      </c>
    </row>
    <row r="3224" spans="1:14" s="3" customFormat="1" ht="15" x14ac:dyDescent="0.2">
      <c r="A3224" s="47" t="s">
        <v>7661</v>
      </c>
      <c r="B3224" s="48" t="s">
        <v>3728</v>
      </c>
      <c r="C3224" s="45" t="s">
        <v>3757</v>
      </c>
      <c r="D3224" s="10" t="s">
        <v>3754</v>
      </c>
      <c r="E3224" s="112" t="s">
        <v>5026</v>
      </c>
      <c r="F3224" s="45" t="s">
        <v>5350</v>
      </c>
      <c r="G3224" s="8">
        <v>50</v>
      </c>
      <c r="H3224" s="8"/>
      <c r="I3224" s="8"/>
      <c r="J3224" s="45" t="s">
        <v>1259</v>
      </c>
      <c r="K3224" s="112" t="s">
        <v>5027</v>
      </c>
      <c r="L3224" s="66"/>
      <c r="M3224" s="68">
        <v>1</v>
      </c>
      <c r="N3224" s="68" t="s">
        <v>7627</v>
      </c>
    </row>
    <row r="3225" spans="1:14" s="3" customFormat="1" ht="15" x14ac:dyDescent="0.2">
      <c r="A3225" s="51" t="s">
        <v>7681</v>
      </c>
      <c r="B3225" s="52" t="s">
        <v>3734</v>
      </c>
      <c r="C3225" s="53" t="s">
        <v>3757</v>
      </c>
      <c r="D3225" s="39" t="s">
        <v>3754</v>
      </c>
      <c r="E3225" s="72" t="s">
        <v>7682</v>
      </c>
      <c r="F3225" s="53" t="s">
        <v>7683</v>
      </c>
      <c r="G3225" s="8">
        <v>67</v>
      </c>
      <c r="H3225" s="8"/>
      <c r="I3225" s="8"/>
      <c r="J3225" s="53" t="s">
        <v>1264</v>
      </c>
      <c r="K3225" s="72"/>
      <c r="L3225" s="89"/>
      <c r="M3225" s="68">
        <v>1</v>
      </c>
      <c r="N3225" s="68" t="s">
        <v>7627</v>
      </c>
    </row>
    <row r="3226" spans="1:14" s="3" customFormat="1" ht="15" x14ac:dyDescent="0.2">
      <c r="A3226" s="51" t="s">
        <v>7666</v>
      </c>
      <c r="B3226" s="52" t="s">
        <v>1432</v>
      </c>
      <c r="C3226" s="41" t="s">
        <v>3761</v>
      </c>
      <c r="D3226" s="39" t="s">
        <v>3754</v>
      </c>
      <c r="E3226" s="72" t="s">
        <v>7667</v>
      </c>
      <c r="F3226" s="53" t="s">
        <v>7668</v>
      </c>
      <c r="G3226" s="8">
        <v>12</v>
      </c>
      <c r="H3226" s="8"/>
      <c r="I3226" s="8"/>
      <c r="J3226" s="53" t="s">
        <v>1264</v>
      </c>
      <c r="K3226" s="72" t="s">
        <v>819</v>
      </c>
      <c r="L3226" s="89"/>
      <c r="M3226" s="68">
        <v>1</v>
      </c>
      <c r="N3226" s="68" t="s">
        <v>7627</v>
      </c>
    </row>
    <row r="3227" spans="1:14" s="3" customFormat="1" ht="14.25" x14ac:dyDescent="0.2">
      <c r="A3227" s="51" t="s">
        <v>7606</v>
      </c>
      <c r="B3227" s="52" t="s">
        <v>3723</v>
      </c>
      <c r="C3227" s="41" t="s">
        <v>3761</v>
      </c>
      <c r="D3227" s="39" t="s">
        <v>3754</v>
      </c>
      <c r="E3227" s="72" t="s">
        <v>450</v>
      </c>
      <c r="F3227" s="53" t="s">
        <v>7711</v>
      </c>
      <c r="G3227" s="91">
        <v>35</v>
      </c>
      <c r="H3227" s="8"/>
      <c r="I3227" s="8"/>
      <c r="J3227" s="53" t="s">
        <v>1842</v>
      </c>
      <c r="K3227" s="72" t="s">
        <v>7712</v>
      </c>
      <c r="L3227" s="84"/>
      <c r="M3227" s="68">
        <v>1</v>
      </c>
      <c r="N3227" s="68" t="s">
        <v>7704</v>
      </c>
    </row>
    <row r="3228" spans="1:14" s="3" customFormat="1" ht="14.25" x14ac:dyDescent="0.2">
      <c r="A3228" s="82" t="s">
        <v>7606</v>
      </c>
      <c r="B3228" s="83" t="s">
        <v>689</v>
      </c>
      <c r="C3228" s="84" t="s">
        <v>3758</v>
      </c>
      <c r="D3228" s="39" t="s">
        <v>3754</v>
      </c>
      <c r="E3228" s="72" t="s">
        <v>4580</v>
      </c>
      <c r="F3228" s="84" t="s">
        <v>7607</v>
      </c>
      <c r="G3228" s="8">
        <v>58</v>
      </c>
      <c r="H3228" s="8"/>
      <c r="I3228" s="8"/>
      <c r="J3228" s="84" t="s">
        <v>6573</v>
      </c>
      <c r="K3228" s="72" t="s">
        <v>7608</v>
      </c>
      <c r="L3228" s="84"/>
      <c r="M3228" s="68">
        <v>1</v>
      </c>
      <c r="N3228" s="68" t="s">
        <v>7626</v>
      </c>
    </row>
    <row r="3229" spans="1:14" s="3" customFormat="1" ht="14.25" x14ac:dyDescent="0.2">
      <c r="A3229" s="82" t="s">
        <v>7606</v>
      </c>
      <c r="B3229" s="83" t="s">
        <v>690</v>
      </c>
      <c r="C3229" s="41" t="s">
        <v>3761</v>
      </c>
      <c r="D3229" s="39" t="s">
        <v>3754</v>
      </c>
      <c r="E3229" s="72" t="s">
        <v>7609</v>
      </c>
      <c r="F3229" s="84" t="s">
        <v>7610</v>
      </c>
      <c r="G3229" s="8">
        <v>1</v>
      </c>
      <c r="H3229" s="8">
        <v>8</v>
      </c>
      <c r="I3229" s="8"/>
      <c r="J3229" s="84"/>
      <c r="K3229" s="72" t="s">
        <v>7611</v>
      </c>
      <c r="L3229" s="84"/>
      <c r="M3229" s="68">
        <v>1</v>
      </c>
      <c r="N3229" s="68" t="s">
        <v>7626</v>
      </c>
    </row>
    <row r="3230" spans="1:14" s="3" customFormat="1" ht="14.25" x14ac:dyDescent="0.2">
      <c r="A3230" s="82" t="s">
        <v>7570</v>
      </c>
      <c r="B3230" s="83" t="s">
        <v>1886</v>
      </c>
      <c r="C3230" s="41" t="s">
        <v>3761</v>
      </c>
      <c r="D3230" s="39" t="s">
        <v>3754</v>
      </c>
      <c r="E3230" s="72"/>
      <c r="F3230" s="84" t="s">
        <v>1541</v>
      </c>
      <c r="G3230" s="8">
        <v>5</v>
      </c>
      <c r="H3230" s="8"/>
      <c r="I3230" s="8"/>
      <c r="J3230" s="84" t="s">
        <v>1261</v>
      </c>
      <c r="K3230" s="72" t="s">
        <v>7571</v>
      </c>
      <c r="L3230" s="84"/>
      <c r="M3230" s="68">
        <v>1</v>
      </c>
      <c r="N3230" s="68" t="s">
        <v>7626</v>
      </c>
    </row>
    <row r="3231" spans="1:14" s="3" customFormat="1" ht="14.25" x14ac:dyDescent="0.2">
      <c r="A3231" s="82" t="s">
        <v>7570</v>
      </c>
      <c r="B3231" s="83" t="s">
        <v>3740</v>
      </c>
      <c r="C3231" s="41" t="s">
        <v>3761</v>
      </c>
      <c r="D3231" s="39" t="s">
        <v>3754</v>
      </c>
      <c r="E3231" s="72"/>
      <c r="F3231" s="84" t="s">
        <v>1541</v>
      </c>
      <c r="G3231" s="8">
        <v>2</v>
      </c>
      <c r="H3231" s="8"/>
      <c r="I3231" s="8"/>
      <c r="J3231" s="84" t="s">
        <v>1261</v>
      </c>
      <c r="K3231" s="72" t="s">
        <v>7571</v>
      </c>
      <c r="L3231" s="84"/>
      <c r="M3231" s="68">
        <v>1</v>
      </c>
      <c r="N3231" s="68" t="s">
        <v>7626</v>
      </c>
    </row>
    <row r="3232" spans="1:14" s="3" customFormat="1" ht="14.25" x14ac:dyDescent="0.2">
      <c r="A3232" s="82" t="s">
        <v>7570</v>
      </c>
      <c r="B3232" s="83" t="s">
        <v>3740</v>
      </c>
      <c r="C3232" s="84" t="s">
        <v>3757</v>
      </c>
      <c r="D3232" s="39" t="s">
        <v>3754</v>
      </c>
      <c r="E3232" s="72" t="s">
        <v>7572</v>
      </c>
      <c r="F3232" s="84" t="s">
        <v>1541</v>
      </c>
      <c r="G3232" s="8">
        <v>39</v>
      </c>
      <c r="H3232" s="8">
        <v>9</v>
      </c>
      <c r="I3232" s="8">
        <v>28</v>
      </c>
      <c r="J3232" s="84" t="s">
        <v>1264</v>
      </c>
      <c r="K3232" s="72" t="s">
        <v>7571</v>
      </c>
      <c r="L3232" s="84"/>
      <c r="M3232" s="68">
        <v>1</v>
      </c>
      <c r="N3232" s="68" t="s">
        <v>7626</v>
      </c>
    </row>
    <row r="3233" spans="1:14" s="3" customFormat="1" ht="14.25" x14ac:dyDescent="0.2">
      <c r="A3233" s="82" t="s">
        <v>7570</v>
      </c>
      <c r="B3233" s="83" t="s">
        <v>3723</v>
      </c>
      <c r="C3233" s="84" t="s">
        <v>3757</v>
      </c>
      <c r="D3233" s="39" t="s">
        <v>3754</v>
      </c>
      <c r="E3233" s="72" t="s">
        <v>7579</v>
      </c>
      <c r="F3233" s="84" t="s">
        <v>7580</v>
      </c>
      <c r="G3233" s="8">
        <v>65</v>
      </c>
      <c r="H3233" s="8"/>
      <c r="I3233" s="8"/>
      <c r="J3233" s="84" t="s">
        <v>1261</v>
      </c>
      <c r="K3233" s="72" t="s">
        <v>4098</v>
      </c>
      <c r="L3233" s="84"/>
      <c r="M3233" s="68">
        <v>1</v>
      </c>
      <c r="N3233" s="68" t="s">
        <v>7626</v>
      </c>
    </row>
    <row r="3234" spans="1:14" s="3" customFormat="1" ht="14.25" x14ac:dyDescent="0.2">
      <c r="A3234" s="51" t="s">
        <v>7570</v>
      </c>
      <c r="B3234" s="52" t="s">
        <v>691</v>
      </c>
      <c r="C3234" s="41" t="s">
        <v>3761</v>
      </c>
      <c r="D3234" s="39" t="s">
        <v>3754</v>
      </c>
      <c r="E3234" s="72" t="s">
        <v>2525</v>
      </c>
      <c r="F3234" s="53" t="s">
        <v>7708</v>
      </c>
      <c r="G3234" s="90"/>
      <c r="H3234" s="8">
        <v>9</v>
      </c>
      <c r="I3234" s="8">
        <v>8</v>
      </c>
      <c r="J3234" s="53" t="s">
        <v>1277</v>
      </c>
      <c r="K3234" s="72" t="s">
        <v>6684</v>
      </c>
      <c r="L3234" s="84"/>
      <c r="M3234" s="68">
        <v>1</v>
      </c>
      <c r="N3234" s="68" t="s">
        <v>7704</v>
      </c>
    </row>
    <row r="3235" spans="1:14" s="3" customFormat="1" ht="15" x14ac:dyDescent="0.2">
      <c r="A3235" s="51" t="s">
        <v>7570</v>
      </c>
      <c r="B3235" s="52" t="s">
        <v>692</v>
      </c>
      <c r="C3235" s="41" t="s">
        <v>3761</v>
      </c>
      <c r="D3235" s="39" t="s">
        <v>3754</v>
      </c>
      <c r="E3235" s="72" t="s">
        <v>7669</v>
      </c>
      <c r="F3235" s="53" t="s">
        <v>7670</v>
      </c>
      <c r="G3235" s="8">
        <v>16</v>
      </c>
      <c r="H3235" s="8"/>
      <c r="I3235" s="8"/>
      <c r="J3235" s="53" t="s">
        <v>1264</v>
      </c>
      <c r="K3235" s="72" t="s">
        <v>340</v>
      </c>
      <c r="L3235" s="89"/>
      <c r="M3235" s="68">
        <v>1</v>
      </c>
      <c r="N3235" s="68" t="s">
        <v>7627</v>
      </c>
    </row>
    <row r="3236" spans="1:14" s="3" customFormat="1" ht="14.25" x14ac:dyDescent="0.2">
      <c r="A3236" s="82" t="s">
        <v>7573</v>
      </c>
      <c r="B3236" s="83" t="s">
        <v>3748</v>
      </c>
      <c r="C3236" s="41" t="s">
        <v>3761</v>
      </c>
      <c r="D3236" s="39" t="s">
        <v>3754</v>
      </c>
      <c r="E3236" s="72">
        <v>1848</v>
      </c>
      <c r="F3236" s="84" t="s">
        <v>1541</v>
      </c>
      <c r="G3236" s="8">
        <v>2</v>
      </c>
      <c r="H3236" s="8"/>
      <c r="I3236" s="8"/>
      <c r="J3236" s="84" t="s">
        <v>1261</v>
      </c>
      <c r="K3236" s="72" t="s">
        <v>1654</v>
      </c>
      <c r="L3236" s="84"/>
      <c r="M3236" s="68">
        <v>1</v>
      </c>
      <c r="N3236" s="68" t="s">
        <v>7626</v>
      </c>
    </row>
    <row r="3237" spans="1:14" s="3" customFormat="1" ht="15" x14ac:dyDescent="0.2">
      <c r="A3237" s="51" t="s">
        <v>7573</v>
      </c>
      <c r="B3237" s="52" t="s">
        <v>693</v>
      </c>
      <c r="C3237" s="41" t="s">
        <v>3761</v>
      </c>
      <c r="D3237" s="39" t="s">
        <v>3754</v>
      </c>
      <c r="E3237" s="72" t="s">
        <v>5322</v>
      </c>
      <c r="F3237" s="53" t="s">
        <v>7677</v>
      </c>
      <c r="G3237" s="8"/>
      <c r="H3237" s="8">
        <v>1</v>
      </c>
      <c r="I3237" s="8">
        <v>20</v>
      </c>
      <c r="J3237" s="53" t="s">
        <v>1258</v>
      </c>
      <c r="K3237" s="72" t="s">
        <v>5324</v>
      </c>
      <c r="L3237" s="89"/>
      <c r="M3237" s="68">
        <v>1</v>
      </c>
      <c r="N3237" s="68" t="s">
        <v>7627</v>
      </c>
    </row>
    <row r="3238" spans="1:14" s="3" customFormat="1" ht="15" x14ac:dyDescent="0.2">
      <c r="A3238" s="51" t="s">
        <v>7573</v>
      </c>
      <c r="B3238" s="52" t="s">
        <v>1809</v>
      </c>
      <c r="C3238" s="41" t="s">
        <v>3761</v>
      </c>
      <c r="D3238" s="39" t="s">
        <v>3754</v>
      </c>
      <c r="E3238" s="72" t="s">
        <v>3432</v>
      </c>
      <c r="F3238" s="53" t="s">
        <v>1513</v>
      </c>
      <c r="G3238" s="8">
        <v>34</v>
      </c>
      <c r="H3238" s="8"/>
      <c r="I3238" s="8"/>
      <c r="J3238" s="53" t="s">
        <v>1264</v>
      </c>
      <c r="K3238" s="72" t="s">
        <v>3432</v>
      </c>
      <c r="L3238" s="89"/>
      <c r="M3238" s="68">
        <v>1</v>
      </c>
      <c r="N3238" s="68" t="s">
        <v>7627</v>
      </c>
    </row>
    <row r="3239" spans="1:14" s="3" customFormat="1" ht="14.25" x14ac:dyDescent="0.2">
      <c r="A3239" s="51" t="s">
        <v>7573</v>
      </c>
      <c r="B3239" s="52" t="s">
        <v>4702</v>
      </c>
      <c r="C3239" s="41" t="s">
        <v>3761</v>
      </c>
      <c r="D3239" s="39" t="s">
        <v>3754</v>
      </c>
      <c r="E3239" s="72" t="s">
        <v>8853</v>
      </c>
      <c r="F3239" s="53" t="s">
        <v>7677</v>
      </c>
      <c r="G3239" s="90"/>
      <c r="H3239" s="8"/>
      <c r="I3239" s="8">
        <v>21</v>
      </c>
      <c r="J3239" s="53" t="s">
        <v>4748</v>
      </c>
      <c r="K3239" s="72" t="s">
        <v>7710</v>
      </c>
      <c r="L3239" s="84"/>
      <c r="M3239" s="68">
        <v>1</v>
      </c>
      <c r="N3239" s="68" t="s">
        <v>7704</v>
      </c>
    </row>
    <row r="3240" spans="1:14" s="3" customFormat="1" ht="14.25" x14ac:dyDescent="0.2">
      <c r="A3240" s="82" t="s">
        <v>7573</v>
      </c>
      <c r="B3240" s="83" t="s">
        <v>3723</v>
      </c>
      <c r="C3240" s="84" t="s">
        <v>3757</v>
      </c>
      <c r="D3240" s="39" t="s">
        <v>3754</v>
      </c>
      <c r="E3240" s="72" t="s">
        <v>7576</v>
      </c>
      <c r="F3240" s="84" t="s">
        <v>1541</v>
      </c>
      <c r="G3240" s="8">
        <v>36</v>
      </c>
      <c r="H3240" s="8"/>
      <c r="I3240" s="8"/>
      <c r="J3240" s="84" t="s">
        <v>1261</v>
      </c>
      <c r="K3240" s="72" t="s">
        <v>8229</v>
      </c>
      <c r="L3240" s="84"/>
      <c r="M3240" s="68">
        <v>1</v>
      </c>
      <c r="N3240" s="68" t="s">
        <v>7626</v>
      </c>
    </row>
    <row r="3241" spans="1:14" s="3" customFormat="1" ht="14.25" x14ac:dyDescent="0.2">
      <c r="A3241" s="82" t="s">
        <v>7573</v>
      </c>
      <c r="B3241" s="83" t="s">
        <v>1543</v>
      </c>
      <c r="C3241" s="84" t="s">
        <v>3757</v>
      </c>
      <c r="D3241" s="39" t="s">
        <v>3754</v>
      </c>
      <c r="E3241" s="72" t="s">
        <v>7574</v>
      </c>
      <c r="F3241" s="84" t="s">
        <v>1541</v>
      </c>
      <c r="G3241" s="8">
        <v>55</v>
      </c>
      <c r="H3241" s="8"/>
      <c r="I3241" s="8"/>
      <c r="J3241" s="84" t="s">
        <v>7575</v>
      </c>
      <c r="K3241" s="72" t="s">
        <v>8229</v>
      </c>
      <c r="L3241" s="84"/>
      <c r="M3241" s="68">
        <v>1</v>
      </c>
      <c r="N3241" s="68" t="s">
        <v>7626</v>
      </c>
    </row>
    <row r="3242" spans="1:14" s="3" customFormat="1" ht="15" x14ac:dyDescent="0.2">
      <c r="A3242" s="51" t="s">
        <v>7638</v>
      </c>
      <c r="B3242" s="52" t="s">
        <v>3740</v>
      </c>
      <c r="C3242" s="41" t="s">
        <v>3761</v>
      </c>
      <c r="D3242" s="39" t="s">
        <v>3754</v>
      </c>
      <c r="E3242" s="72" t="s">
        <v>1303</v>
      </c>
      <c r="F3242" s="53" t="s">
        <v>7684</v>
      </c>
      <c r="G3242" s="8">
        <v>29</v>
      </c>
      <c r="H3242" s="8">
        <v>8</v>
      </c>
      <c r="I3242" s="8"/>
      <c r="J3242" s="53" t="s">
        <v>1264</v>
      </c>
      <c r="K3242" s="72" t="s">
        <v>2883</v>
      </c>
      <c r="L3242" s="89"/>
      <c r="M3242" s="68">
        <v>1</v>
      </c>
      <c r="N3242" s="68" t="s">
        <v>7627</v>
      </c>
    </row>
    <row r="3243" spans="1:14" s="3" customFormat="1" ht="15" x14ac:dyDescent="0.2">
      <c r="A3243" s="51" t="s">
        <v>7638</v>
      </c>
      <c r="B3243" s="52" t="s">
        <v>5057</v>
      </c>
      <c r="C3243" s="41" t="s">
        <v>3761</v>
      </c>
      <c r="D3243" s="39" t="s">
        <v>3754</v>
      </c>
      <c r="E3243" s="72" t="s">
        <v>7648</v>
      </c>
      <c r="F3243" s="53" t="s">
        <v>7655</v>
      </c>
      <c r="G3243" s="8">
        <v>24</v>
      </c>
      <c r="H3243" s="8"/>
      <c r="I3243" s="8"/>
      <c r="J3243" s="53" t="s">
        <v>1272</v>
      </c>
      <c r="K3243" s="72" t="s">
        <v>7656</v>
      </c>
      <c r="L3243" s="89"/>
      <c r="M3243" s="68">
        <v>1</v>
      </c>
      <c r="N3243" s="68" t="s">
        <v>7627</v>
      </c>
    </row>
    <row r="3244" spans="1:14" s="3" customFormat="1" ht="15" x14ac:dyDescent="0.2">
      <c r="A3244" s="51" t="s">
        <v>7638</v>
      </c>
      <c r="B3244" s="52" t="s">
        <v>4701</v>
      </c>
      <c r="C3244" s="53" t="s">
        <v>3757</v>
      </c>
      <c r="D3244" s="53"/>
      <c r="E3244" s="72" t="s">
        <v>7639</v>
      </c>
      <c r="F3244" s="53" t="s">
        <v>7640</v>
      </c>
      <c r="G3244" s="8">
        <v>50</v>
      </c>
      <c r="H3244" s="8"/>
      <c r="I3244" s="8"/>
      <c r="J3244" s="53" t="s">
        <v>1264</v>
      </c>
      <c r="K3244" s="72" t="s">
        <v>7641</v>
      </c>
      <c r="L3244" s="89"/>
      <c r="M3244" s="68">
        <v>1</v>
      </c>
      <c r="N3244" s="68" t="s">
        <v>7627</v>
      </c>
    </row>
    <row r="3245" spans="1:14" s="3" customFormat="1" ht="15" x14ac:dyDescent="0.2">
      <c r="A3245" s="51" t="s">
        <v>7638</v>
      </c>
      <c r="B3245" s="52" t="s">
        <v>3733</v>
      </c>
      <c r="C3245" s="53" t="s">
        <v>3757</v>
      </c>
      <c r="D3245" s="39" t="s">
        <v>3754</v>
      </c>
      <c r="E3245" s="72" t="s">
        <v>7675</v>
      </c>
      <c r="F3245" s="53" t="s">
        <v>7676</v>
      </c>
      <c r="G3245" s="8">
        <v>6</v>
      </c>
      <c r="H3245" s="8"/>
      <c r="I3245" s="8">
        <v>6</v>
      </c>
      <c r="J3245" s="53" t="s">
        <v>1277</v>
      </c>
      <c r="K3245" s="72" t="s">
        <v>5815</v>
      </c>
      <c r="L3245" s="89"/>
      <c r="M3245" s="68">
        <v>1</v>
      </c>
      <c r="N3245" s="68" t="s">
        <v>7627</v>
      </c>
    </row>
    <row r="3246" spans="1:14" s="3" customFormat="1" ht="28.5" x14ac:dyDescent="0.2">
      <c r="A3246" s="82" t="s">
        <v>7563</v>
      </c>
      <c r="B3246" s="83" t="s">
        <v>3740</v>
      </c>
      <c r="C3246" s="53" t="s">
        <v>3767</v>
      </c>
      <c r="D3246" s="39" t="s">
        <v>3765</v>
      </c>
      <c r="E3246" s="72" t="s">
        <v>7564</v>
      </c>
      <c r="F3246" s="84" t="s">
        <v>1604</v>
      </c>
      <c r="G3246" s="8">
        <v>16</v>
      </c>
      <c r="H3246" s="8">
        <v>5</v>
      </c>
      <c r="I3246" s="8">
        <v>13</v>
      </c>
      <c r="J3246" s="84" t="s">
        <v>7565</v>
      </c>
      <c r="K3246" s="72" t="s">
        <v>7566</v>
      </c>
      <c r="L3246" s="84"/>
      <c r="M3246" s="68">
        <v>1</v>
      </c>
      <c r="N3246" s="68" t="s">
        <v>7626</v>
      </c>
    </row>
    <row r="3247" spans="1:14" s="3" customFormat="1" ht="15" x14ac:dyDescent="0.2">
      <c r="A3247" s="51" t="s">
        <v>7563</v>
      </c>
      <c r="B3247" s="52" t="s">
        <v>3732</v>
      </c>
      <c r="C3247" s="53" t="s">
        <v>3757</v>
      </c>
      <c r="D3247" s="39" t="s">
        <v>3754</v>
      </c>
      <c r="E3247" s="72" t="s">
        <v>7634</v>
      </c>
      <c r="F3247" s="53" t="s">
        <v>7635</v>
      </c>
      <c r="G3247" s="8">
        <v>53</v>
      </c>
      <c r="H3247" s="8"/>
      <c r="I3247" s="8"/>
      <c r="J3247" s="53" t="s">
        <v>1259</v>
      </c>
      <c r="K3247" s="72" t="s">
        <v>3151</v>
      </c>
      <c r="L3247" s="89"/>
      <c r="M3247" s="68">
        <v>1</v>
      </c>
      <c r="N3247" s="68" t="s">
        <v>7627</v>
      </c>
    </row>
    <row r="3248" spans="1:14" s="3" customFormat="1" ht="14.25" x14ac:dyDescent="0.2">
      <c r="A3248" s="82" t="s">
        <v>7563</v>
      </c>
      <c r="B3248" s="83" t="s">
        <v>2094</v>
      </c>
      <c r="C3248" s="53" t="s">
        <v>3767</v>
      </c>
      <c r="D3248" s="39" t="s">
        <v>3765</v>
      </c>
      <c r="E3248" s="72" t="s">
        <v>7567</v>
      </c>
      <c r="F3248" s="84" t="s">
        <v>1599</v>
      </c>
      <c r="G3248" s="8">
        <v>3</v>
      </c>
      <c r="H3248" s="8">
        <v>1</v>
      </c>
      <c r="I3248" s="8">
        <v>9</v>
      </c>
      <c r="J3248" s="84"/>
      <c r="K3248" s="72" t="s">
        <v>7568</v>
      </c>
      <c r="L3248" s="84"/>
      <c r="M3248" s="68">
        <v>1</v>
      </c>
      <c r="N3248" s="68" t="s">
        <v>7626</v>
      </c>
    </row>
    <row r="3249" spans="1:14" s="3" customFormat="1" ht="14.25" x14ac:dyDescent="0.2">
      <c r="A3249" s="82" t="s">
        <v>7563</v>
      </c>
      <c r="B3249" s="83" t="s">
        <v>3746</v>
      </c>
      <c r="C3249" s="53" t="s">
        <v>3767</v>
      </c>
      <c r="D3249" s="39" t="s">
        <v>3765</v>
      </c>
      <c r="E3249" s="72" t="s">
        <v>7569</v>
      </c>
      <c r="F3249" s="84" t="s">
        <v>1599</v>
      </c>
      <c r="G3249" s="8"/>
      <c r="H3249" s="8">
        <v>8</v>
      </c>
      <c r="I3249" s="8"/>
      <c r="J3249" s="84" t="s">
        <v>1172</v>
      </c>
      <c r="K3249" s="72" t="s">
        <v>7568</v>
      </c>
      <c r="L3249" s="84"/>
      <c r="M3249" s="68">
        <v>1</v>
      </c>
      <c r="N3249" s="68" t="s">
        <v>7626</v>
      </c>
    </row>
    <row r="3250" spans="1:14" s="3" customFormat="1" ht="15" x14ac:dyDescent="0.2">
      <c r="A3250" s="51" t="s">
        <v>7671</v>
      </c>
      <c r="B3250" s="52" t="s">
        <v>1432</v>
      </c>
      <c r="C3250" s="53" t="s">
        <v>3757</v>
      </c>
      <c r="D3250" s="53" t="s">
        <v>922</v>
      </c>
      <c r="E3250" s="72"/>
      <c r="F3250" s="53" t="s">
        <v>7672</v>
      </c>
      <c r="G3250" s="8">
        <v>66</v>
      </c>
      <c r="H3250" s="8"/>
      <c r="I3250" s="8"/>
      <c r="J3250" s="53" t="s">
        <v>7673</v>
      </c>
      <c r="K3250" s="72" t="s">
        <v>7674</v>
      </c>
      <c r="L3250" s="89"/>
      <c r="M3250" s="68">
        <v>1</v>
      </c>
      <c r="N3250" s="68" t="s">
        <v>7627</v>
      </c>
    </row>
    <row r="3251" spans="1:14" s="3" customFormat="1" ht="28.5" x14ac:dyDescent="0.2">
      <c r="A3251" s="51" t="s">
        <v>7702</v>
      </c>
      <c r="B3251" s="52" t="s">
        <v>3738</v>
      </c>
      <c r="C3251" s="53" t="s">
        <v>3757</v>
      </c>
      <c r="D3251" s="39" t="s">
        <v>3754</v>
      </c>
      <c r="E3251" s="72" t="s">
        <v>6673</v>
      </c>
      <c r="F3251" s="53" t="s">
        <v>7703</v>
      </c>
      <c r="G3251" s="8">
        <v>60</v>
      </c>
      <c r="H3251" s="8">
        <v>4</v>
      </c>
      <c r="I3251" s="8"/>
      <c r="J3251" s="53" t="s">
        <v>1264</v>
      </c>
      <c r="K3251" s="72" t="s">
        <v>5407</v>
      </c>
      <c r="L3251" s="51" t="s">
        <v>6704</v>
      </c>
      <c r="M3251" s="68">
        <v>1</v>
      </c>
      <c r="N3251" s="68" t="s">
        <v>7627</v>
      </c>
    </row>
    <row r="3252" spans="1:14" s="3" customFormat="1" ht="14.25" x14ac:dyDescent="0.2">
      <c r="A3252" s="82" t="s">
        <v>7551</v>
      </c>
      <c r="B3252" s="83" t="s">
        <v>3734</v>
      </c>
      <c r="C3252" s="84" t="s">
        <v>3757</v>
      </c>
      <c r="D3252" s="39" t="s">
        <v>3754</v>
      </c>
      <c r="E3252" s="72" t="s">
        <v>7583</v>
      </c>
      <c r="F3252" s="84" t="s">
        <v>1541</v>
      </c>
      <c r="G3252" s="8">
        <v>56</v>
      </c>
      <c r="H3252" s="8"/>
      <c r="I3252" s="8"/>
      <c r="J3252" s="84" t="s">
        <v>7584</v>
      </c>
      <c r="K3252" s="72" t="s">
        <v>1833</v>
      </c>
      <c r="L3252" s="84"/>
      <c r="M3252" s="68">
        <v>1</v>
      </c>
      <c r="N3252" s="68" t="s">
        <v>7626</v>
      </c>
    </row>
    <row r="3253" spans="1:14" s="3" customFormat="1" ht="14.25" x14ac:dyDescent="0.2">
      <c r="A3253" s="82" t="s">
        <v>7551</v>
      </c>
      <c r="B3253" s="83" t="s">
        <v>3752</v>
      </c>
      <c r="C3253" s="41" t="s">
        <v>3761</v>
      </c>
      <c r="D3253" s="39" t="s">
        <v>3754</v>
      </c>
      <c r="E3253" s="72" t="s">
        <v>7559</v>
      </c>
      <c r="F3253" s="84" t="s">
        <v>1541</v>
      </c>
      <c r="G3253" s="8">
        <v>2</v>
      </c>
      <c r="H3253" s="8">
        <v>6</v>
      </c>
      <c r="I3253" s="8"/>
      <c r="J3253" s="84" t="s">
        <v>1958</v>
      </c>
      <c r="K3253" s="72" t="s">
        <v>7557</v>
      </c>
      <c r="L3253" s="84"/>
      <c r="M3253" s="68">
        <v>1</v>
      </c>
      <c r="N3253" s="68" t="s">
        <v>7626</v>
      </c>
    </row>
    <row r="3254" spans="1:14" s="3" customFormat="1" ht="28.5" x14ac:dyDescent="0.2">
      <c r="A3254" s="82" t="s">
        <v>7551</v>
      </c>
      <c r="B3254" s="83" t="s">
        <v>3752</v>
      </c>
      <c r="C3254" s="41" t="s">
        <v>3761</v>
      </c>
      <c r="D3254" s="39" t="s">
        <v>3754</v>
      </c>
      <c r="E3254" s="72" t="s">
        <v>7593</v>
      </c>
      <c r="F3254" s="84" t="s">
        <v>7594</v>
      </c>
      <c r="G3254" s="8">
        <v>3</v>
      </c>
      <c r="H3254" s="8">
        <v>3</v>
      </c>
      <c r="I3254" s="8"/>
      <c r="J3254" s="84" t="s">
        <v>5731</v>
      </c>
      <c r="K3254" s="72" t="s">
        <v>5516</v>
      </c>
      <c r="L3254" s="84"/>
      <c r="M3254" s="68">
        <v>1</v>
      </c>
      <c r="N3254" s="68" t="s">
        <v>7626</v>
      </c>
    </row>
    <row r="3255" spans="1:14" s="3" customFormat="1" ht="14.25" x14ac:dyDescent="0.2">
      <c r="A3255" s="82" t="s">
        <v>7551</v>
      </c>
      <c r="B3255" s="83" t="s">
        <v>3724</v>
      </c>
      <c r="C3255" s="84" t="s">
        <v>7601</v>
      </c>
      <c r="D3255" s="39" t="s">
        <v>3754</v>
      </c>
      <c r="E3255" s="72" t="s">
        <v>4429</v>
      </c>
      <c r="F3255" s="84" t="s">
        <v>1599</v>
      </c>
      <c r="G3255" s="8">
        <v>8</v>
      </c>
      <c r="H3255" s="8">
        <v>5</v>
      </c>
      <c r="I3255" s="8">
        <v>15</v>
      </c>
      <c r="J3255" s="84" t="s">
        <v>3453</v>
      </c>
      <c r="K3255" s="72" t="s">
        <v>7602</v>
      </c>
      <c r="L3255" s="84"/>
      <c r="M3255" s="68">
        <v>1</v>
      </c>
      <c r="N3255" s="68" t="s">
        <v>7626</v>
      </c>
    </row>
    <row r="3256" spans="1:14" s="3" customFormat="1" ht="14.25" x14ac:dyDescent="0.2">
      <c r="A3256" s="82" t="s">
        <v>7551</v>
      </c>
      <c r="B3256" s="83" t="s">
        <v>8518</v>
      </c>
      <c r="C3256" s="41" t="s">
        <v>3761</v>
      </c>
      <c r="D3256" s="39" t="s">
        <v>3754</v>
      </c>
      <c r="E3256" s="72" t="s">
        <v>7553</v>
      </c>
      <c r="F3256" s="84" t="s">
        <v>1541</v>
      </c>
      <c r="G3256" s="8">
        <v>1</v>
      </c>
      <c r="H3256" s="8">
        <v>5</v>
      </c>
      <c r="I3256" s="8"/>
      <c r="J3256" s="84" t="s">
        <v>1172</v>
      </c>
      <c r="K3256" s="72" t="s">
        <v>8122</v>
      </c>
      <c r="L3256" s="84"/>
      <c r="M3256" s="68">
        <v>1</v>
      </c>
      <c r="N3256" s="68" t="s">
        <v>7626</v>
      </c>
    </row>
    <row r="3257" spans="1:14" s="3" customFormat="1" ht="15" x14ac:dyDescent="0.2">
      <c r="A3257" s="51" t="s">
        <v>7551</v>
      </c>
      <c r="B3257" s="52" t="s">
        <v>2634</v>
      </c>
      <c r="C3257" s="41" t="s">
        <v>3761</v>
      </c>
      <c r="D3257" s="39" t="s">
        <v>3754</v>
      </c>
      <c r="E3257" s="72" t="s">
        <v>2878</v>
      </c>
      <c r="F3257" s="53" t="s">
        <v>7678</v>
      </c>
      <c r="G3257" s="8"/>
      <c r="H3257" s="8">
        <v>9</v>
      </c>
      <c r="I3257" s="8">
        <v>20</v>
      </c>
      <c r="J3257" s="53" t="s">
        <v>2451</v>
      </c>
      <c r="K3257" s="72" t="s">
        <v>6854</v>
      </c>
      <c r="L3257" s="89"/>
      <c r="M3257" s="68">
        <v>1</v>
      </c>
      <c r="N3257" s="68" t="s">
        <v>7627</v>
      </c>
    </row>
    <row r="3258" spans="1:14" s="3" customFormat="1" ht="15" x14ac:dyDescent="0.2">
      <c r="A3258" s="51" t="s">
        <v>7551</v>
      </c>
      <c r="B3258" s="52" t="s">
        <v>8660</v>
      </c>
      <c r="C3258" s="41" t="s">
        <v>3761</v>
      </c>
      <c r="D3258" s="53" t="s">
        <v>7636</v>
      </c>
      <c r="E3258" s="72" t="s">
        <v>3149</v>
      </c>
      <c r="F3258" s="53" t="s">
        <v>7637</v>
      </c>
      <c r="G3258" s="8"/>
      <c r="H3258" s="8">
        <v>11</v>
      </c>
      <c r="I3258" s="8"/>
      <c r="J3258" s="53" t="s">
        <v>4790</v>
      </c>
      <c r="K3258" s="72" t="s">
        <v>6026</v>
      </c>
      <c r="L3258" s="89"/>
      <c r="M3258" s="68">
        <v>1</v>
      </c>
      <c r="N3258" s="68" t="s">
        <v>7627</v>
      </c>
    </row>
    <row r="3259" spans="1:14" s="3" customFormat="1" ht="15" x14ac:dyDescent="0.2">
      <c r="A3259" s="51" t="s">
        <v>7551</v>
      </c>
      <c r="B3259" s="52" t="s">
        <v>3728</v>
      </c>
      <c r="C3259" s="53" t="s">
        <v>3757</v>
      </c>
      <c r="D3259" s="39" t="s">
        <v>3754</v>
      </c>
      <c r="E3259" s="72" t="s">
        <v>330</v>
      </c>
      <c r="F3259" s="53" t="s">
        <v>7663</v>
      </c>
      <c r="G3259" s="8">
        <v>46</v>
      </c>
      <c r="H3259" s="8"/>
      <c r="I3259" s="8"/>
      <c r="J3259" s="53" t="s">
        <v>7664</v>
      </c>
      <c r="K3259" s="72" t="s">
        <v>7665</v>
      </c>
      <c r="L3259" s="89"/>
      <c r="M3259" s="68">
        <v>1</v>
      </c>
      <c r="N3259" s="68" t="s">
        <v>7627</v>
      </c>
    </row>
    <row r="3260" spans="1:14" s="3" customFormat="1" ht="14.25" x14ac:dyDescent="0.2">
      <c r="A3260" s="82" t="s">
        <v>7551</v>
      </c>
      <c r="B3260" s="83" t="s">
        <v>3728</v>
      </c>
      <c r="C3260" s="41" t="s">
        <v>3761</v>
      </c>
      <c r="D3260" s="39" t="s">
        <v>3754</v>
      </c>
      <c r="E3260" s="72" t="s">
        <v>5862</v>
      </c>
      <c r="F3260" s="84" t="s">
        <v>7603</v>
      </c>
      <c r="G3260" s="8"/>
      <c r="H3260" s="8">
        <v>8</v>
      </c>
      <c r="I3260" s="8"/>
      <c r="J3260" s="84" t="s">
        <v>4790</v>
      </c>
      <c r="K3260" s="72" t="s">
        <v>4283</v>
      </c>
      <c r="L3260" s="84"/>
      <c r="M3260" s="68">
        <v>1</v>
      </c>
      <c r="N3260" s="68" t="s">
        <v>7626</v>
      </c>
    </row>
    <row r="3261" spans="1:14" s="3" customFormat="1" ht="14.25" x14ac:dyDescent="0.2">
      <c r="A3261" s="82" t="s">
        <v>7551</v>
      </c>
      <c r="B3261" s="83" t="s">
        <v>694</v>
      </c>
      <c r="C3261" s="41" t="s">
        <v>3761</v>
      </c>
      <c r="D3261" s="39" t="s">
        <v>3754</v>
      </c>
      <c r="E3261" s="72" t="s">
        <v>7558</v>
      </c>
      <c r="F3261" s="84" t="s">
        <v>1541</v>
      </c>
      <c r="G3261" s="8">
        <v>1</v>
      </c>
      <c r="H3261" s="8"/>
      <c r="I3261" s="8">
        <v>11</v>
      </c>
      <c r="J3261" s="84" t="s">
        <v>4829</v>
      </c>
      <c r="K3261" s="72" t="s">
        <v>7557</v>
      </c>
      <c r="L3261" s="84"/>
      <c r="M3261" s="68">
        <v>1</v>
      </c>
      <c r="N3261" s="68" t="s">
        <v>7626</v>
      </c>
    </row>
    <row r="3262" spans="1:14" s="3" customFormat="1" ht="28.5" x14ac:dyDescent="0.2">
      <c r="A3262" s="82" t="s">
        <v>7551</v>
      </c>
      <c r="B3262" s="83" t="s">
        <v>5712</v>
      </c>
      <c r="C3262" s="41" t="s">
        <v>3761</v>
      </c>
      <c r="D3262" s="39" t="s">
        <v>3754</v>
      </c>
      <c r="E3262" s="72" t="s">
        <v>7585</v>
      </c>
      <c r="F3262" s="84" t="s">
        <v>1541</v>
      </c>
      <c r="G3262" s="8"/>
      <c r="H3262" s="8">
        <v>3</v>
      </c>
      <c r="I3262" s="8"/>
      <c r="J3262" s="84" t="s">
        <v>5731</v>
      </c>
      <c r="K3262" s="72" t="s">
        <v>1833</v>
      </c>
      <c r="L3262" s="84"/>
      <c r="M3262" s="68">
        <v>1</v>
      </c>
      <c r="N3262" s="68" t="s">
        <v>7626</v>
      </c>
    </row>
    <row r="3263" spans="1:14" s="3" customFormat="1" ht="28.5" x14ac:dyDescent="0.2">
      <c r="A3263" s="82" t="s">
        <v>7551</v>
      </c>
      <c r="B3263" s="83" t="s">
        <v>695</v>
      </c>
      <c r="C3263" s="84" t="s">
        <v>3757</v>
      </c>
      <c r="D3263" s="39" t="s">
        <v>3754</v>
      </c>
      <c r="E3263" s="72" t="s">
        <v>7581</v>
      </c>
      <c r="F3263" s="84" t="s">
        <v>1541</v>
      </c>
      <c r="G3263" s="8">
        <v>54</v>
      </c>
      <c r="H3263" s="8"/>
      <c r="I3263" s="8"/>
      <c r="J3263" s="84" t="s">
        <v>7582</v>
      </c>
      <c r="K3263" s="72" t="s">
        <v>1833</v>
      </c>
      <c r="L3263" s="84"/>
      <c r="M3263" s="68">
        <v>1</v>
      </c>
      <c r="N3263" s="68" t="s">
        <v>7626</v>
      </c>
    </row>
    <row r="3264" spans="1:14" s="3" customFormat="1" ht="14.25" x14ac:dyDescent="0.2">
      <c r="A3264" s="82" t="s">
        <v>7551</v>
      </c>
      <c r="B3264" s="83" t="s">
        <v>3732</v>
      </c>
      <c r="C3264" s="41" t="s">
        <v>3761</v>
      </c>
      <c r="D3264" s="39" t="s">
        <v>3754</v>
      </c>
      <c r="E3264" s="112" t="s">
        <v>7615</v>
      </c>
      <c r="F3264" s="84" t="s">
        <v>7616</v>
      </c>
      <c r="G3264" s="8">
        <v>1</v>
      </c>
      <c r="H3264" s="8">
        <v>4</v>
      </c>
      <c r="I3264" s="8"/>
      <c r="J3264" s="84" t="s">
        <v>4750</v>
      </c>
      <c r="K3264" s="112" t="s">
        <v>7617</v>
      </c>
      <c r="L3264" s="84"/>
      <c r="M3264" s="68">
        <v>1</v>
      </c>
      <c r="N3264" s="68" t="s">
        <v>7626</v>
      </c>
    </row>
    <row r="3265" spans="1:14" s="3" customFormat="1" ht="15" x14ac:dyDescent="0.2">
      <c r="A3265" s="51" t="s">
        <v>7551</v>
      </c>
      <c r="B3265" s="52" t="s">
        <v>696</v>
      </c>
      <c r="C3265" s="41" t="s">
        <v>3761</v>
      </c>
      <c r="D3265" s="39" t="s">
        <v>3754</v>
      </c>
      <c r="E3265" s="72" t="s">
        <v>8825</v>
      </c>
      <c r="F3265" s="53" t="s">
        <v>5794</v>
      </c>
      <c r="G3265" s="8">
        <v>43</v>
      </c>
      <c r="H3265" s="8">
        <v>2</v>
      </c>
      <c r="I3265" s="8"/>
      <c r="J3265" s="53" t="s">
        <v>1264</v>
      </c>
      <c r="K3265" s="72" t="s">
        <v>633</v>
      </c>
      <c r="L3265" s="89"/>
      <c r="M3265" s="68">
        <v>1</v>
      </c>
      <c r="N3265" s="68" t="s">
        <v>7627</v>
      </c>
    </row>
    <row r="3266" spans="1:14" s="3" customFormat="1" ht="14.25" x14ac:dyDescent="0.2">
      <c r="A3266" s="63" t="s">
        <v>7551</v>
      </c>
      <c r="B3266" s="60" t="s">
        <v>471</v>
      </c>
      <c r="C3266" s="19" t="s">
        <v>3761</v>
      </c>
      <c r="D3266" s="10" t="s">
        <v>3754</v>
      </c>
      <c r="E3266" s="68" t="s">
        <v>7552</v>
      </c>
      <c r="F3266" s="55" t="s">
        <v>1541</v>
      </c>
      <c r="G3266" s="8">
        <v>15</v>
      </c>
      <c r="H3266" s="8">
        <v>10</v>
      </c>
      <c r="I3266" s="8"/>
      <c r="J3266" s="55" t="s">
        <v>1572</v>
      </c>
      <c r="K3266" s="112" t="s">
        <v>8122</v>
      </c>
      <c r="L3266" s="61"/>
      <c r="M3266" s="68">
        <v>1</v>
      </c>
      <c r="N3266" s="68" t="s">
        <v>7626</v>
      </c>
    </row>
    <row r="3267" spans="1:14" s="3" customFormat="1" ht="14.25" x14ac:dyDescent="0.2">
      <c r="A3267" s="63" t="s">
        <v>7551</v>
      </c>
      <c r="B3267" s="60" t="s">
        <v>3735</v>
      </c>
      <c r="C3267" s="19" t="s">
        <v>3761</v>
      </c>
      <c r="D3267" s="10" t="s">
        <v>3754</v>
      </c>
      <c r="E3267" s="68" t="s">
        <v>7556</v>
      </c>
      <c r="F3267" s="55" t="s">
        <v>1541</v>
      </c>
      <c r="G3267" s="8">
        <v>1</v>
      </c>
      <c r="H3267" s="8">
        <v>6</v>
      </c>
      <c r="I3267" s="8"/>
      <c r="J3267" s="55" t="s">
        <v>4829</v>
      </c>
      <c r="K3267" s="112" t="s">
        <v>7557</v>
      </c>
      <c r="L3267" s="61"/>
      <c r="M3267" s="68">
        <v>1</v>
      </c>
      <c r="N3267" s="68" t="s">
        <v>7626</v>
      </c>
    </row>
    <row r="3268" spans="1:14" s="3" customFormat="1" ht="14.25" x14ac:dyDescent="0.2">
      <c r="A3268" s="82" t="s">
        <v>7551</v>
      </c>
      <c r="B3268" s="57" t="s">
        <v>8612</v>
      </c>
      <c r="C3268" s="41" t="s">
        <v>3761</v>
      </c>
      <c r="D3268" s="39" t="s">
        <v>3754</v>
      </c>
      <c r="E3268" s="112" t="s">
        <v>7586</v>
      </c>
      <c r="F3268" s="84" t="s">
        <v>1541</v>
      </c>
      <c r="G3268" s="8">
        <v>3</v>
      </c>
      <c r="H3268" s="8"/>
      <c r="I3268" s="8"/>
      <c r="J3268" s="84" t="s">
        <v>1412</v>
      </c>
      <c r="K3268" s="120" t="s">
        <v>1833</v>
      </c>
      <c r="L3268" s="29"/>
      <c r="M3268" s="68">
        <v>1</v>
      </c>
      <c r="N3268" s="68" t="s">
        <v>7626</v>
      </c>
    </row>
    <row r="3269" spans="1:14" s="3" customFormat="1" ht="15" x14ac:dyDescent="0.2">
      <c r="A3269" s="51" t="s">
        <v>7551</v>
      </c>
      <c r="B3269" s="44" t="s">
        <v>697</v>
      </c>
      <c r="C3269" s="41" t="s">
        <v>3761</v>
      </c>
      <c r="D3269" s="53" t="s">
        <v>3768</v>
      </c>
      <c r="E3269" s="112" t="s">
        <v>25</v>
      </c>
      <c r="F3269" s="53" t="s">
        <v>3768</v>
      </c>
      <c r="G3269" s="8">
        <v>34</v>
      </c>
      <c r="H3269" s="8"/>
      <c r="I3269" s="8"/>
      <c r="J3269" s="53" t="s">
        <v>1264</v>
      </c>
      <c r="K3269" s="120" t="s">
        <v>3436</v>
      </c>
      <c r="L3269" s="65"/>
      <c r="M3269" s="68">
        <v>1</v>
      </c>
      <c r="N3269" s="68" t="s">
        <v>7627</v>
      </c>
    </row>
    <row r="3270" spans="1:14" s="3" customFormat="1" ht="14.25" x14ac:dyDescent="0.2">
      <c r="A3270" s="82" t="s">
        <v>7560</v>
      </c>
      <c r="B3270" s="57" t="s">
        <v>3740</v>
      </c>
      <c r="C3270" s="53" t="s">
        <v>3767</v>
      </c>
      <c r="D3270" s="39" t="s">
        <v>3765</v>
      </c>
      <c r="E3270" s="68" t="s">
        <v>7561</v>
      </c>
      <c r="F3270" s="84" t="s">
        <v>1599</v>
      </c>
      <c r="G3270" s="8">
        <v>4</v>
      </c>
      <c r="H3270" s="8"/>
      <c r="I3270" s="8"/>
      <c r="J3270" s="84" t="s">
        <v>1277</v>
      </c>
      <c r="K3270" s="120" t="s">
        <v>4026</v>
      </c>
      <c r="L3270" s="29"/>
      <c r="M3270" s="68">
        <v>1</v>
      </c>
      <c r="N3270" s="68" t="s">
        <v>7626</v>
      </c>
    </row>
    <row r="3271" spans="1:14" s="3" customFormat="1" ht="14.25" x14ac:dyDescent="0.2">
      <c r="A3271" s="51" t="s">
        <v>7560</v>
      </c>
      <c r="B3271" s="44" t="s">
        <v>3740</v>
      </c>
      <c r="C3271" s="53" t="s">
        <v>3757</v>
      </c>
      <c r="D3271" s="39" t="s">
        <v>3754</v>
      </c>
      <c r="E3271" s="112" t="s">
        <v>6565</v>
      </c>
      <c r="F3271" s="53" t="s">
        <v>7724</v>
      </c>
      <c r="G3271" s="91">
        <v>41</v>
      </c>
      <c r="H3271" s="8"/>
      <c r="I3271" s="8"/>
      <c r="J3271" s="53" t="s">
        <v>1270</v>
      </c>
      <c r="K3271" s="120" t="s">
        <v>6567</v>
      </c>
      <c r="L3271" s="29"/>
      <c r="M3271" s="68">
        <v>1</v>
      </c>
      <c r="N3271" s="68" t="s">
        <v>7704</v>
      </c>
    </row>
    <row r="3272" spans="1:14" s="3" customFormat="1" ht="14.25" x14ac:dyDescent="0.2">
      <c r="A3272" s="51" t="s">
        <v>7560</v>
      </c>
      <c r="B3272" s="44" t="s">
        <v>4687</v>
      </c>
      <c r="C3272" s="41" t="s">
        <v>3761</v>
      </c>
      <c r="D3272" s="39" t="s">
        <v>3754</v>
      </c>
      <c r="E3272" s="68" t="s">
        <v>1675</v>
      </c>
      <c r="F3272" s="53" t="s">
        <v>4833</v>
      </c>
      <c r="G3272" s="90"/>
      <c r="H3272" s="8">
        <v>8</v>
      </c>
      <c r="I3272" s="8"/>
      <c r="J3272" s="53" t="s">
        <v>4829</v>
      </c>
      <c r="K3272" s="120" t="s">
        <v>6301</v>
      </c>
      <c r="L3272" s="29"/>
      <c r="M3272" s="68">
        <v>1</v>
      </c>
      <c r="N3272" s="68" t="s">
        <v>7704</v>
      </c>
    </row>
    <row r="3273" spans="1:14" s="3" customFormat="1" ht="14.25" x14ac:dyDescent="0.2">
      <c r="A3273" s="82" t="s">
        <v>7560</v>
      </c>
      <c r="B3273" s="57" t="s">
        <v>1422</v>
      </c>
      <c r="C3273" s="53" t="s">
        <v>3767</v>
      </c>
      <c r="D3273" s="39" t="s">
        <v>3765</v>
      </c>
      <c r="E3273" s="68" t="s">
        <v>7562</v>
      </c>
      <c r="F3273" s="84" t="s">
        <v>1599</v>
      </c>
      <c r="G3273" s="8"/>
      <c r="H3273" s="8">
        <v>2</v>
      </c>
      <c r="I3273" s="8"/>
      <c r="J3273" s="84" t="s">
        <v>1277</v>
      </c>
      <c r="K3273" s="120" t="s">
        <v>4026</v>
      </c>
      <c r="L3273" s="29"/>
      <c r="M3273" s="68">
        <v>1</v>
      </c>
      <c r="N3273" s="68" t="s">
        <v>7626</v>
      </c>
    </row>
    <row r="3274" spans="1:14" s="3" customFormat="1" ht="14.25" x14ac:dyDescent="0.2">
      <c r="A3274" s="51" t="s">
        <v>7560</v>
      </c>
      <c r="B3274" s="44" t="s">
        <v>3733</v>
      </c>
      <c r="C3274" s="41" t="s">
        <v>3761</v>
      </c>
      <c r="D3274" s="39" t="s">
        <v>3754</v>
      </c>
      <c r="E3274" s="68" t="s">
        <v>7185</v>
      </c>
      <c r="F3274" s="53" t="s">
        <v>7720</v>
      </c>
      <c r="G3274" s="91">
        <v>25</v>
      </c>
      <c r="H3274" s="8"/>
      <c r="I3274" s="8"/>
      <c r="J3274" s="53" t="s">
        <v>1264</v>
      </c>
      <c r="K3274" s="120" t="s">
        <v>1791</v>
      </c>
      <c r="L3274" s="29"/>
      <c r="M3274" s="68">
        <v>1</v>
      </c>
      <c r="N3274" s="68" t="s">
        <v>7704</v>
      </c>
    </row>
    <row r="3275" spans="1:14" s="3" customFormat="1" ht="14.25" x14ac:dyDescent="0.2">
      <c r="A3275" s="51" t="s">
        <v>7679</v>
      </c>
      <c r="B3275" s="44" t="s">
        <v>3723</v>
      </c>
      <c r="C3275" s="53" t="s">
        <v>3757</v>
      </c>
      <c r="D3275" s="39" t="s">
        <v>3754</v>
      </c>
      <c r="E3275" s="112" t="s">
        <v>7721</v>
      </c>
      <c r="F3275" s="53" t="s">
        <v>7722</v>
      </c>
      <c r="G3275" s="91">
        <v>48</v>
      </c>
      <c r="H3275" s="8"/>
      <c r="I3275" s="8"/>
      <c r="J3275" s="53" t="s">
        <v>1264</v>
      </c>
      <c r="K3275" s="120" t="s">
        <v>7723</v>
      </c>
      <c r="L3275" s="29"/>
      <c r="M3275" s="68">
        <v>1</v>
      </c>
      <c r="N3275" s="68" t="s">
        <v>7704</v>
      </c>
    </row>
    <row r="3276" spans="1:14" s="3" customFormat="1" ht="15" x14ac:dyDescent="0.2">
      <c r="A3276" s="51" t="s">
        <v>7679</v>
      </c>
      <c r="B3276" s="44" t="s">
        <v>698</v>
      </c>
      <c r="C3276" s="53" t="s">
        <v>3757</v>
      </c>
      <c r="D3276" s="39" t="s">
        <v>3754</v>
      </c>
      <c r="E3276" s="68" t="s">
        <v>7680</v>
      </c>
      <c r="F3276" s="53" t="s">
        <v>5364</v>
      </c>
      <c r="G3276" s="8">
        <v>70</v>
      </c>
      <c r="H3276" s="8"/>
      <c r="I3276" s="8"/>
      <c r="J3276" s="53" t="s">
        <v>1277</v>
      </c>
      <c r="K3276" s="120"/>
      <c r="L3276" s="65"/>
      <c r="M3276" s="68">
        <v>1</v>
      </c>
      <c r="N3276" s="68" t="s">
        <v>7627</v>
      </c>
    </row>
    <row r="3277" spans="1:14" s="3" customFormat="1" ht="15" x14ac:dyDescent="0.2">
      <c r="A3277" s="51" t="s">
        <v>7687</v>
      </c>
      <c r="B3277" s="44" t="s">
        <v>5302</v>
      </c>
      <c r="C3277" s="41" t="s">
        <v>3761</v>
      </c>
      <c r="D3277" s="39" t="s">
        <v>3754</v>
      </c>
      <c r="E3277" s="112" t="s">
        <v>7688</v>
      </c>
      <c r="F3277" s="53" t="s">
        <v>7689</v>
      </c>
      <c r="G3277" s="8">
        <v>20</v>
      </c>
      <c r="H3277" s="8">
        <v>8</v>
      </c>
      <c r="I3277" s="8"/>
      <c r="J3277" s="53" t="s">
        <v>1270</v>
      </c>
      <c r="K3277" s="120" t="s">
        <v>7690</v>
      </c>
      <c r="L3277" s="65"/>
      <c r="M3277" s="68">
        <v>1</v>
      </c>
      <c r="N3277" s="68" t="s">
        <v>7627</v>
      </c>
    </row>
    <row r="3278" spans="1:14" s="3" customFormat="1" ht="15" x14ac:dyDescent="0.2">
      <c r="A3278" s="51" t="s">
        <v>7620</v>
      </c>
      <c r="B3278" s="44" t="s">
        <v>4908</v>
      </c>
      <c r="C3278" s="41" t="s">
        <v>3761</v>
      </c>
      <c r="D3278" s="39" t="s">
        <v>3754</v>
      </c>
      <c r="E3278" s="68" t="s">
        <v>3806</v>
      </c>
      <c r="F3278" s="53" t="s">
        <v>7660</v>
      </c>
      <c r="G3278" s="8">
        <v>2</v>
      </c>
      <c r="H3278" s="8">
        <v>3</v>
      </c>
      <c r="I3278" s="8"/>
      <c r="J3278" s="53" t="s">
        <v>1277</v>
      </c>
      <c r="K3278" s="120" t="s">
        <v>2245</v>
      </c>
      <c r="L3278" s="65"/>
      <c r="M3278" s="68">
        <v>1</v>
      </c>
      <c r="N3278" s="68" t="s">
        <v>7627</v>
      </c>
    </row>
    <row r="3279" spans="1:14" s="3" customFormat="1" ht="15" x14ac:dyDescent="0.2">
      <c r="A3279" s="51" t="s">
        <v>7620</v>
      </c>
      <c r="B3279" s="44" t="s">
        <v>3740</v>
      </c>
      <c r="C3279" s="53" t="s">
        <v>3757</v>
      </c>
      <c r="D3279" s="39" t="s">
        <v>3754</v>
      </c>
      <c r="E3279" s="112" t="s">
        <v>8822</v>
      </c>
      <c r="F3279" s="53" t="s">
        <v>7645</v>
      </c>
      <c r="G3279" s="8">
        <v>33</v>
      </c>
      <c r="H3279" s="8"/>
      <c r="I3279" s="8"/>
      <c r="J3279" s="53" t="s">
        <v>3769</v>
      </c>
      <c r="K3279" s="120" t="s">
        <v>2328</v>
      </c>
      <c r="L3279" s="65"/>
      <c r="M3279" s="68">
        <v>1</v>
      </c>
      <c r="N3279" s="68" t="s">
        <v>7627</v>
      </c>
    </row>
    <row r="3280" spans="1:14" s="3" customFormat="1" ht="14.25" x14ac:dyDescent="0.2">
      <c r="A3280" s="82" t="s">
        <v>7620</v>
      </c>
      <c r="B3280" s="57" t="s">
        <v>3740</v>
      </c>
      <c r="C3280" s="84" t="s">
        <v>7621</v>
      </c>
      <c r="D3280" s="39" t="s">
        <v>3754</v>
      </c>
      <c r="E3280" s="68" t="s">
        <v>1107</v>
      </c>
      <c r="F3280" s="84" t="s">
        <v>1541</v>
      </c>
      <c r="G3280" s="8">
        <v>65</v>
      </c>
      <c r="H3280" s="8"/>
      <c r="I3280" s="8"/>
      <c r="J3280" s="84" t="s">
        <v>6573</v>
      </c>
      <c r="K3280" s="120" t="s">
        <v>8771</v>
      </c>
      <c r="L3280" s="29"/>
      <c r="M3280" s="68">
        <v>1</v>
      </c>
      <c r="N3280" s="68" t="s">
        <v>7626</v>
      </c>
    </row>
    <row r="3281" spans="1:14" s="3" customFormat="1" ht="15" x14ac:dyDescent="0.2">
      <c r="A3281" s="51" t="s">
        <v>7620</v>
      </c>
      <c r="B3281" s="44" t="s">
        <v>1422</v>
      </c>
      <c r="C3281" s="53" t="s">
        <v>7685</v>
      </c>
      <c r="D3281" s="39" t="s">
        <v>3754</v>
      </c>
      <c r="E3281" s="68" t="s">
        <v>2881</v>
      </c>
      <c r="F3281" s="53" t="s">
        <v>7686</v>
      </c>
      <c r="G3281" s="8">
        <v>69</v>
      </c>
      <c r="H3281" s="8"/>
      <c r="I3281" s="8"/>
      <c r="J3281" s="53" t="s">
        <v>6573</v>
      </c>
      <c r="K3281" s="120" t="s">
        <v>5841</v>
      </c>
      <c r="L3281" s="65"/>
      <c r="M3281" s="68">
        <v>1</v>
      </c>
      <c r="N3281" s="68" t="s">
        <v>7627</v>
      </c>
    </row>
    <row r="3282" spans="1:14" s="3" customFormat="1" ht="14.25" x14ac:dyDescent="0.2">
      <c r="A3282" s="51" t="s">
        <v>7620</v>
      </c>
      <c r="B3282" s="44" t="s">
        <v>5506</v>
      </c>
      <c r="C3282" s="53" t="s">
        <v>3757</v>
      </c>
      <c r="D3282" s="53" t="s">
        <v>6227</v>
      </c>
      <c r="E3282" s="68" t="s">
        <v>3468</v>
      </c>
      <c r="F3282" s="53" t="s">
        <v>7709</v>
      </c>
      <c r="G3282" s="91">
        <v>45</v>
      </c>
      <c r="H3282" s="8"/>
      <c r="I3282" s="8"/>
      <c r="J3282" s="53" t="s">
        <v>1264</v>
      </c>
      <c r="K3282" s="120" t="s">
        <v>3886</v>
      </c>
      <c r="L3282" s="29"/>
      <c r="M3282" s="68">
        <v>1</v>
      </c>
      <c r="N3282" s="68" t="s">
        <v>7704</v>
      </c>
    </row>
    <row r="3283" spans="1:14" s="3" customFormat="1" ht="15" x14ac:dyDescent="0.2">
      <c r="A3283" s="51" t="s">
        <v>7646</v>
      </c>
      <c r="B3283" s="44" t="s">
        <v>4673</v>
      </c>
      <c r="C3283" s="53" t="s">
        <v>4713</v>
      </c>
      <c r="D3283" s="53"/>
      <c r="E3283" s="112" t="s">
        <v>7654</v>
      </c>
      <c r="F3283" s="53" t="s">
        <v>1604</v>
      </c>
      <c r="G3283" s="8"/>
      <c r="H3283" s="8">
        <v>17</v>
      </c>
      <c r="I3283" s="8"/>
      <c r="J3283" s="53" t="s">
        <v>6927</v>
      </c>
      <c r="K3283" s="120" t="s">
        <v>7648</v>
      </c>
      <c r="L3283" s="65"/>
      <c r="M3283" s="68">
        <v>1</v>
      </c>
      <c r="N3283" s="68" t="s">
        <v>7627</v>
      </c>
    </row>
    <row r="3284" spans="1:14" s="3" customFormat="1" ht="15" x14ac:dyDescent="0.2">
      <c r="A3284" s="51" t="s">
        <v>7646</v>
      </c>
      <c r="B3284" s="44" t="s">
        <v>1809</v>
      </c>
      <c r="C3284" s="53" t="s">
        <v>3757</v>
      </c>
      <c r="D3284" s="53"/>
      <c r="E3284" s="68" t="s">
        <v>7652</v>
      </c>
      <c r="F3284" s="53" t="s">
        <v>7653</v>
      </c>
      <c r="G3284" s="8">
        <v>31</v>
      </c>
      <c r="H3284" s="8"/>
      <c r="I3284" s="8"/>
      <c r="J3284" s="53" t="s">
        <v>7575</v>
      </c>
      <c r="K3284" s="120" t="s">
        <v>7648</v>
      </c>
      <c r="L3284" s="65"/>
      <c r="M3284" s="68">
        <v>1</v>
      </c>
      <c r="N3284" s="68" t="s">
        <v>7627</v>
      </c>
    </row>
    <row r="3285" spans="1:14" s="3" customFormat="1" ht="15" x14ac:dyDescent="0.2">
      <c r="A3285" s="51" t="s">
        <v>7646</v>
      </c>
      <c r="B3285" s="44" t="s">
        <v>1569</v>
      </c>
      <c r="C3285" s="53" t="s">
        <v>3757</v>
      </c>
      <c r="D3285" s="53" t="s">
        <v>6227</v>
      </c>
      <c r="E3285" s="112" t="s">
        <v>8706</v>
      </c>
      <c r="F3285" s="53" t="s">
        <v>7649</v>
      </c>
      <c r="G3285" s="8">
        <v>70</v>
      </c>
      <c r="H3285" s="8"/>
      <c r="I3285" s="8"/>
      <c r="J3285" s="53" t="s">
        <v>1271</v>
      </c>
      <c r="K3285" s="120" t="s">
        <v>7648</v>
      </c>
      <c r="L3285" s="65"/>
      <c r="M3285" s="68">
        <v>1</v>
      </c>
      <c r="N3285" s="68" t="s">
        <v>7627</v>
      </c>
    </row>
    <row r="3286" spans="1:14" s="3" customFormat="1" ht="14.25" x14ac:dyDescent="0.2">
      <c r="A3286" s="51" t="s">
        <v>7646</v>
      </c>
      <c r="B3286" s="44" t="s">
        <v>3740</v>
      </c>
      <c r="C3286" s="41" t="s">
        <v>3761</v>
      </c>
      <c r="D3286" s="39" t="s">
        <v>3754</v>
      </c>
      <c r="E3286" s="68" t="s">
        <v>7715</v>
      </c>
      <c r="F3286" s="53" t="s">
        <v>4536</v>
      </c>
      <c r="G3286" s="91">
        <v>8</v>
      </c>
      <c r="H3286" s="8">
        <v>8</v>
      </c>
      <c r="I3286" s="8"/>
      <c r="J3286" s="53" t="s">
        <v>7716</v>
      </c>
      <c r="K3286" s="120" t="s">
        <v>7717</v>
      </c>
      <c r="L3286" s="29"/>
      <c r="M3286" s="68">
        <v>1</v>
      </c>
      <c r="N3286" s="68" t="s">
        <v>7704</v>
      </c>
    </row>
    <row r="3287" spans="1:14" s="3" customFormat="1" ht="15" x14ac:dyDescent="0.2">
      <c r="A3287" s="51" t="s">
        <v>7646</v>
      </c>
      <c r="B3287" s="44" t="s">
        <v>5506</v>
      </c>
      <c r="C3287" s="53" t="s">
        <v>3767</v>
      </c>
      <c r="D3287" s="53" t="s">
        <v>7650</v>
      </c>
      <c r="E3287" s="68" t="s">
        <v>7651</v>
      </c>
      <c r="F3287" s="53" t="s">
        <v>1604</v>
      </c>
      <c r="G3287" s="8">
        <v>3</v>
      </c>
      <c r="H3287" s="8">
        <v>2</v>
      </c>
      <c r="I3287" s="8"/>
      <c r="J3287" s="53" t="s">
        <v>6927</v>
      </c>
      <c r="K3287" s="120" t="s">
        <v>7648</v>
      </c>
      <c r="L3287" s="65"/>
      <c r="M3287" s="68">
        <v>1</v>
      </c>
      <c r="N3287" s="68" t="s">
        <v>7627</v>
      </c>
    </row>
    <row r="3288" spans="1:14" s="3" customFormat="1" ht="15" x14ac:dyDescent="0.2">
      <c r="A3288" s="51" t="s">
        <v>7646</v>
      </c>
      <c r="B3288" s="44" t="s">
        <v>699</v>
      </c>
      <c r="C3288" s="53" t="s">
        <v>3757</v>
      </c>
      <c r="D3288" s="53" t="s">
        <v>6227</v>
      </c>
      <c r="E3288" s="112" t="s">
        <v>8771</v>
      </c>
      <c r="F3288" s="53" t="s">
        <v>7647</v>
      </c>
      <c r="G3288" s="8">
        <v>89</v>
      </c>
      <c r="H3288" s="8"/>
      <c r="I3288" s="8"/>
      <c r="J3288" s="53" t="s">
        <v>1271</v>
      </c>
      <c r="K3288" s="120" t="s">
        <v>7648</v>
      </c>
      <c r="L3288" s="65"/>
      <c r="M3288" s="68">
        <v>1</v>
      </c>
      <c r="N3288" s="68" t="s">
        <v>7627</v>
      </c>
    </row>
    <row r="3289" spans="1:14" s="3" customFormat="1" ht="14.25" x14ac:dyDescent="0.2">
      <c r="A3289" s="82" t="s">
        <v>7612</v>
      </c>
      <c r="B3289" s="57" t="s">
        <v>3338</v>
      </c>
      <c r="C3289" s="41" t="s">
        <v>3761</v>
      </c>
      <c r="D3289" s="39" t="s">
        <v>3754</v>
      </c>
      <c r="E3289" s="68" t="s">
        <v>7613</v>
      </c>
      <c r="F3289" s="84" t="s">
        <v>7614</v>
      </c>
      <c r="G3289" s="8">
        <v>1</v>
      </c>
      <c r="H3289" s="8">
        <v>10</v>
      </c>
      <c r="I3289" s="8"/>
      <c r="J3289" s="84"/>
      <c r="K3289" s="120" t="s">
        <v>5928</v>
      </c>
      <c r="L3289" s="29"/>
      <c r="M3289" s="68">
        <v>1</v>
      </c>
      <c r="N3289" s="68" t="s">
        <v>7626</v>
      </c>
    </row>
    <row r="3290" spans="1:14" s="3" customFormat="1" ht="14.25" x14ac:dyDescent="0.2">
      <c r="A3290" s="51" t="s">
        <v>7612</v>
      </c>
      <c r="B3290" s="44" t="s">
        <v>3740</v>
      </c>
      <c r="C3290" s="53" t="s">
        <v>3757</v>
      </c>
      <c r="D3290" s="39" t="s">
        <v>3754</v>
      </c>
      <c r="E3290" s="68" t="s">
        <v>7713</v>
      </c>
      <c r="F3290" s="53" t="s">
        <v>7714</v>
      </c>
      <c r="G3290" s="91">
        <v>64</v>
      </c>
      <c r="H3290" s="8"/>
      <c r="I3290" s="8"/>
      <c r="J3290" s="53" t="s">
        <v>1272</v>
      </c>
      <c r="K3290" s="120" t="s">
        <v>1461</v>
      </c>
      <c r="L3290" s="29"/>
      <c r="M3290" s="68">
        <v>1</v>
      </c>
      <c r="N3290" s="68" t="s">
        <v>7704</v>
      </c>
    </row>
    <row r="3291" spans="1:14" s="3" customFormat="1" ht="15" x14ac:dyDescent="0.2">
      <c r="A3291" s="51" t="s">
        <v>7612</v>
      </c>
      <c r="B3291" s="44" t="s">
        <v>4701</v>
      </c>
      <c r="C3291" s="53" t="s">
        <v>3757</v>
      </c>
      <c r="D3291" s="39" t="s">
        <v>3754</v>
      </c>
      <c r="E3291" s="68" t="s">
        <v>2215</v>
      </c>
      <c r="F3291" s="53" t="s">
        <v>7662</v>
      </c>
      <c r="G3291" s="8">
        <v>41</v>
      </c>
      <c r="H3291" s="8"/>
      <c r="I3291" s="8"/>
      <c r="J3291" s="53" t="s">
        <v>6922</v>
      </c>
      <c r="K3291" s="120" t="s">
        <v>353</v>
      </c>
      <c r="L3291" s="65"/>
      <c r="M3291" s="68">
        <v>1</v>
      </c>
      <c r="N3291" s="68" t="s">
        <v>7627</v>
      </c>
    </row>
    <row r="3292" spans="1:14" s="3" customFormat="1" ht="14.25" x14ac:dyDescent="0.2">
      <c r="A3292" s="82" t="s">
        <v>7577</v>
      </c>
      <c r="B3292" s="57" t="s">
        <v>5135</v>
      </c>
      <c r="C3292" s="84" t="s">
        <v>3757</v>
      </c>
      <c r="D3292" s="39" t="s">
        <v>3754</v>
      </c>
      <c r="E3292" s="68" t="s">
        <v>4327</v>
      </c>
      <c r="F3292" s="84" t="s">
        <v>7591</v>
      </c>
      <c r="G3292" s="8">
        <v>65</v>
      </c>
      <c r="H3292" s="8"/>
      <c r="I3292" s="8"/>
      <c r="J3292" s="55" t="s">
        <v>1572</v>
      </c>
      <c r="K3292" s="120" t="s">
        <v>7592</v>
      </c>
      <c r="L3292" s="29"/>
      <c r="M3292" s="68">
        <v>1</v>
      </c>
      <c r="N3292" s="68" t="s">
        <v>7626</v>
      </c>
    </row>
    <row r="3293" spans="1:14" s="3" customFormat="1" ht="14.25" x14ac:dyDescent="0.2">
      <c r="A3293" s="82" t="s">
        <v>7577</v>
      </c>
      <c r="B3293" s="57" t="s">
        <v>700</v>
      </c>
      <c r="C3293" s="41" t="s">
        <v>3761</v>
      </c>
      <c r="D3293" s="39" t="s">
        <v>3754</v>
      </c>
      <c r="E3293" s="112" t="s">
        <v>7598</v>
      </c>
      <c r="F3293" s="84" t="s">
        <v>7578</v>
      </c>
      <c r="G3293" s="8">
        <v>8</v>
      </c>
      <c r="H3293" s="8">
        <v>7</v>
      </c>
      <c r="I3293" s="8">
        <v>14</v>
      </c>
      <c r="J3293" s="84" t="s">
        <v>1439</v>
      </c>
      <c r="K3293" s="120" t="s">
        <v>6597</v>
      </c>
      <c r="L3293" s="29"/>
      <c r="M3293" s="68">
        <v>1</v>
      </c>
      <c r="N3293" s="68" t="s">
        <v>7626</v>
      </c>
    </row>
    <row r="3294" spans="1:14" s="3" customFormat="1" ht="15" x14ac:dyDescent="0.2">
      <c r="A3294" s="51" t="s">
        <v>7577</v>
      </c>
      <c r="B3294" s="44" t="s">
        <v>3728</v>
      </c>
      <c r="C3294" s="41" t="s">
        <v>3761</v>
      </c>
      <c r="D3294" s="39" t="s">
        <v>3754</v>
      </c>
      <c r="E3294" s="68" t="s">
        <v>7658</v>
      </c>
      <c r="F3294" s="53" t="s">
        <v>7659</v>
      </c>
      <c r="G3294" s="8"/>
      <c r="H3294" s="8"/>
      <c r="I3294" s="8">
        <v>5</v>
      </c>
      <c r="J3294" s="53" t="s">
        <v>3769</v>
      </c>
      <c r="K3294" s="120" t="s">
        <v>2452</v>
      </c>
      <c r="L3294" s="65"/>
      <c r="M3294" s="68">
        <v>1</v>
      </c>
      <c r="N3294" s="68" t="s">
        <v>7627</v>
      </c>
    </row>
    <row r="3295" spans="1:14" s="3" customFormat="1" ht="15" x14ac:dyDescent="0.2">
      <c r="A3295" s="51" t="s">
        <v>7577</v>
      </c>
      <c r="B3295" s="44" t="s">
        <v>701</v>
      </c>
      <c r="C3295" s="41" t="s">
        <v>3761</v>
      </c>
      <c r="D3295" s="39" t="s">
        <v>3754</v>
      </c>
      <c r="E3295" s="112" t="s">
        <v>7628</v>
      </c>
      <c r="F3295" s="53" t="s">
        <v>7629</v>
      </c>
      <c r="G3295" s="8">
        <v>28</v>
      </c>
      <c r="H3295" s="8">
        <v>9</v>
      </c>
      <c r="I3295" s="8"/>
      <c r="J3295" s="53" t="s">
        <v>1264</v>
      </c>
      <c r="K3295" s="120" t="s">
        <v>7630</v>
      </c>
      <c r="L3295" s="65"/>
      <c r="M3295" s="68">
        <v>1</v>
      </c>
      <c r="N3295" s="68" t="s">
        <v>7627</v>
      </c>
    </row>
    <row r="3296" spans="1:14" s="3" customFormat="1" ht="14.25" x14ac:dyDescent="0.2">
      <c r="A3296" s="82" t="s">
        <v>7577</v>
      </c>
      <c r="B3296" s="57" t="s">
        <v>7814</v>
      </c>
      <c r="C3296" s="41" t="s">
        <v>3761</v>
      </c>
      <c r="D3296" s="39" t="s">
        <v>3754</v>
      </c>
      <c r="E3296" s="68" t="s">
        <v>6511</v>
      </c>
      <c r="F3296" s="84" t="s">
        <v>7578</v>
      </c>
      <c r="G3296" s="8"/>
      <c r="H3296" s="8">
        <v>6</v>
      </c>
      <c r="I3296" s="8">
        <v>11</v>
      </c>
      <c r="J3296" s="84" t="s">
        <v>4829</v>
      </c>
      <c r="K3296" s="120" t="s">
        <v>8256</v>
      </c>
      <c r="L3296" s="29"/>
      <c r="M3296" s="68">
        <v>1</v>
      </c>
      <c r="N3296" s="68" t="s">
        <v>7626</v>
      </c>
    </row>
    <row r="3297" spans="1:14" s="3" customFormat="1" ht="14.25" x14ac:dyDescent="0.2">
      <c r="A3297" s="51" t="s">
        <v>7705</v>
      </c>
      <c r="B3297" s="44" t="s">
        <v>4685</v>
      </c>
      <c r="C3297" s="53" t="s">
        <v>3757</v>
      </c>
      <c r="D3297" s="53"/>
      <c r="E3297" s="68" t="s">
        <v>6088</v>
      </c>
      <c r="F3297" s="53" t="s">
        <v>7706</v>
      </c>
      <c r="G3297" s="91">
        <v>67</v>
      </c>
      <c r="H3297" s="8"/>
      <c r="I3297" s="8"/>
      <c r="J3297" s="53" t="s">
        <v>4732</v>
      </c>
      <c r="K3297" s="120" t="s">
        <v>7707</v>
      </c>
      <c r="L3297" s="29"/>
      <c r="M3297" s="68">
        <v>1</v>
      </c>
      <c r="N3297" s="68" t="s">
        <v>7704</v>
      </c>
    </row>
    <row r="3298" spans="1:14" s="3" customFormat="1" ht="14.25" x14ac:dyDescent="0.2">
      <c r="A3298" s="51" t="s">
        <v>7691</v>
      </c>
      <c r="B3298" s="44" t="s">
        <v>5435</v>
      </c>
      <c r="C3298" s="53" t="s">
        <v>3767</v>
      </c>
      <c r="D3298" s="39" t="s">
        <v>3765</v>
      </c>
      <c r="E3298" s="112" t="s">
        <v>4648</v>
      </c>
      <c r="F3298" s="53" t="s">
        <v>1599</v>
      </c>
      <c r="G3298" s="91">
        <v>18</v>
      </c>
      <c r="H3298" s="8"/>
      <c r="I3298" s="8"/>
      <c r="J3298" s="53" t="s">
        <v>5010</v>
      </c>
      <c r="K3298" s="120" t="s">
        <v>4834</v>
      </c>
      <c r="L3298" s="29"/>
      <c r="M3298" s="68">
        <v>1</v>
      </c>
      <c r="N3298" s="68" t="s">
        <v>7704</v>
      </c>
    </row>
    <row r="3299" spans="1:14" s="3" customFormat="1" ht="42.75" x14ac:dyDescent="0.2">
      <c r="A3299" s="51" t="s">
        <v>7691</v>
      </c>
      <c r="B3299" s="44" t="s">
        <v>4685</v>
      </c>
      <c r="C3299" s="53" t="s">
        <v>3757</v>
      </c>
      <c r="D3299" s="39" t="s">
        <v>3754</v>
      </c>
      <c r="E3299" s="68" t="s">
        <v>2896</v>
      </c>
      <c r="F3299" s="53" t="s">
        <v>7692</v>
      </c>
      <c r="G3299" s="8">
        <v>65</v>
      </c>
      <c r="H3299" s="8"/>
      <c r="I3299" s="8"/>
      <c r="J3299" s="53" t="s">
        <v>1928</v>
      </c>
      <c r="K3299" s="120" t="s">
        <v>917</v>
      </c>
      <c r="L3299" s="43" t="s">
        <v>7693</v>
      </c>
      <c r="M3299" s="68">
        <v>1</v>
      </c>
      <c r="N3299" s="68" t="s">
        <v>7627</v>
      </c>
    </row>
    <row r="3300" spans="1:14" s="3" customFormat="1" ht="15" x14ac:dyDescent="0.2">
      <c r="A3300" s="51" t="s">
        <v>1943</v>
      </c>
      <c r="B3300" s="44" t="s">
        <v>702</v>
      </c>
      <c r="C3300" s="41" t="s">
        <v>3761</v>
      </c>
      <c r="D3300" s="39" t="s">
        <v>3754</v>
      </c>
      <c r="E3300" s="112" t="s">
        <v>5039</v>
      </c>
      <c r="F3300" s="53" t="s">
        <v>7695</v>
      </c>
      <c r="G3300" s="8">
        <v>1</v>
      </c>
      <c r="H3300" s="8">
        <v>9</v>
      </c>
      <c r="I3300" s="8"/>
      <c r="J3300" s="53" t="s">
        <v>7319</v>
      </c>
      <c r="K3300" s="120" t="s">
        <v>7696</v>
      </c>
      <c r="L3300" s="65"/>
      <c r="M3300" s="68">
        <v>1</v>
      </c>
      <c r="N3300" s="68" t="s">
        <v>7627</v>
      </c>
    </row>
    <row r="3301" spans="1:14" s="3" customFormat="1" ht="15" x14ac:dyDescent="0.2">
      <c r="A3301" s="51" t="s">
        <v>1943</v>
      </c>
      <c r="B3301" s="44" t="s">
        <v>8302</v>
      </c>
      <c r="C3301" s="41" t="s">
        <v>3761</v>
      </c>
      <c r="D3301" s="39" t="s">
        <v>3754</v>
      </c>
      <c r="E3301" s="68" t="s">
        <v>5599</v>
      </c>
      <c r="F3301" s="53" t="s">
        <v>7695</v>
      </c>
      <c r="G3301" s="8">
        <v>1</v>
      </c>
      <c r="H3301" s="8">
        <v>6</v>
      </c>
      <c r="I3301" s="8"/>
      <c r="J3301" s="53" t="s">
        <v>3769</v>
      </c>
      <c r="K3301" s="120" t="s">
        <v>5624</v>
      </c>
      <c r="L3301" s="65"/>
      <c r="M3301" s="68">
        <v>1</v>
      </c>
      <c r="N3301" s="68" t="s">
        <v>7627</v>
      </c>
    </row>
    <row r="3302" spans="1:14" s="3" customFormat="1" ht="14.25" x14ac:dyDescent="0.2">
      <c r="A3302" s="82" t="s">
        <v>7618</v>
      </c>
      <c r="B3302" s="57" t="s">
        <v>2153</v>
      </c>
      <c r="C3302" s="41" t="s">
        <v>3761</v>
      </c>
      <c r="D3302" s="39" t="s">
        <v>3754</v>
      </c>
      <c r="E3302" s="112" t="s">
        <v>5946</v>
      </c>
      <c r="F3302" s="84" t="s">
        <v>7619</v>
      </c>
      <c r="G3302" s="8"/>
      <c r="H3302" s="8">
        <v>15</v>
      </c>
      <c r="I3302" s="8"/>
      <c r="J3302" s="84" t="s">
        <v>1412</v>
      </c>
      <c r="K3302" s="120" t="s">
        <v>8347</v>
      </c>
      <c r="L3302" s="29"/>
      <c r="M3302" s="68">
        <v>1</v>
      </c>
      <c r="N3302" s="68" t="s">
        <v>7626</v>
      </c>
    </row>
    <row r="3303" spans="1:14" s="3" customFormat="1" ht="14.25" x14ac:dyDescent="0.2">
      <c r="A3303" s="82" t="s">
        <v>7595</v>
      </c>
      <c r="B3303" s="57" t="s">
        <v>703</v>
      </c>
      <c r="C3303" s="84" t="s">
        <v>7596</v>
      </c>
      <c r="D3303" s="39" t="s">
        <v>3754</v>
      </c>
      <c r="E3303" s="68"/>
      <c r="F3303" s="84" t="s">
        <v>7597</v>
      </c>
      <c r="G3303" s="8">
        <v>8</v>
      </c>
      <c r="H3303" s="8">
        <v>7</v>
      </c>
      <c r="I3303" s="8"/>
      <c r="J3303" s="84" t="s">
        <v>4750</v>
      </c>
      <c r="K3303" s="120" t="s">
        <v>1444</v>
      </c>
      <c r="L3303" s="29"/>
      <c r="M3303" s="68">
        <v>1</v>
      </c>
      <c r="N3303" s="68" t="s">
        <v>7626</v>
      </c>
    </row>
    <row r="3304" spans="1:14" s="3" customFormat="1" ht="14.25" x14ac:dyDescent="0.2">
      <c r="A3304" s="82" t="s">
        <v>4836</v>
      </c>
      <c r="B3304" s="57" t="s">
        <v>3752</v>
      </c>
      <c r="C3304" s="84" t="s">
        <v>4708</v>
      </c>
      <c r="D3304" s="84" t="s">
        <v>4837</v>
      </c>
      <c r="E3304" s="61" t="s">
        <v>4838</v>
      </c>
      <c r="F3304" s="84" t="s">
        <v>4837</v>
      </c>
      <c r="G3304" s="8">
        <v>46</v>
      </c>
      <c r="H3304" s="8"/>
      <c r="I3304" s="8"/>
      <c r="J3304" s="84" t="s">
        <v>4735</v>
      </c>
      <c r="K3304" s="105" t="s">
        <v>7877</v>
      </c>
      <c r="L3304" s="29"/>
      <c r="M3304" s="68">
        <v>1</v>
      </c>
      <c r="N3304" s="68" t="s">
        <v>4835</v>
      </c>
    </row>
    <row r="3305" spans="1:14" s="3" customFormat="1" ht="14.25" x14ac:dyDescent="0.2">
      <c r="A3305" s="82" t="s">
        <v>7887</v>
      </c>
      <c r="B3305" s="57" t="s">
        <v>1922</v>
      </c>
      <c r="C3305" s="84" t="s">
        <v>3754</v>
      </c>
      <c r="D3305" s="84"/>
      <c r="E3305" s="61" t="s">
        <v>7888</v>
      </c>
      <c r="F3305" s="84" t="s">
        <v>7889</v>
      </c>
      <c r="G3305" s="8">
        <v>24</v>
      </c>
      <c r="H3305" s="8"/>
      <c r="I3305" s="8"/>
      <c r="J3305" s="84"/>
      <c r="K3305" s="84" t="s">
        <v>244</v>
      </c>
      <c r="L3305" s="29"/>
      <c r="M3305" s="68">
        <v>1</v>
      </c>
      <c r="N3305" s="68" t="s">
        <v>7878</v>
      </c>
    </row>
    <row r="3306" spans="1:14" s="3" customFormat="1" ht="14.25" x14ac:dyDescent="0.2">
      <c r="A3306" s="82" t="s">
        <v>7900</v>
      </c>
      <c r="B3306" s="57" t="s">
        <v>7901</v>
      </c>
      <c r="C3306" s="41" t="s">
        <v>3761</v>
      </c>
      <c r="D3306" s="39" t="s">
        <v>3754</v>
      </c>
      <c r="E3306" s="61" t="s">
        <v>1681</v>
      </c>
      <c r="F3306" s="84" t="s">
        <v>7902</v>
      </c>
      <c r="G3306" s="8">
        <v>10</v>
      </c>
      <c r="H3306" s="8"/>
      <c r="I3306" s="8"/>
      <c r="J3306" s="84" t="s">
        <v>1277</v>
      </c>
      <c r="K3306" s="84" t="s">
        <v>7903</v>
      </c>
      <c r="L3306" s="29"/>
      <c r="M3306" s="68">
        <v>1</v>
      </c>
      <c r="N3306" s="68" t="s">
        <v>7878</v>
      </c>
    </row>
    <row r="3307" spans="1:14" s="3" customFormat="1" ht="14.25" x14ac:dyDescent="0.2">
      <c r="A3307" s="82" t="s">
        <v>7879</v>
      </c>
      <c r="B3307" s="57" t="s">
        <v>5712</v>
      </c>
      <c r="C3307" s="41" t="s">
        <v>3761</v>
      </c>
      <c r="D3307" s="39" t="s">
        <v>3754</v>
      </c>
      <c r="E3307" s="61" t="s">
        <v>1858</v>
      </c>
      <c r="F3307" s="84" t="s">
        <v>7880</v>
      </c>
      <c r="G3307" s="8"/>
      <c r="H3307" s="8">
        <v>7</v>
      </c>
      <c r="I3307" s="8">
        <v>10</v>
      </c>
      <c r="J3307" s="84" t="s">
        <v>4790</v>
      </c>
      <c r="K3307" s="84" t="s">
        <v>7881</v>
      </c>
      <c r="L3307" s="29"/>
      <c r="M3307" s="68">
        <v>1</v>
      </c>
      <c r="N3307" s="68" t="s">
        <v>7878</v>
      </c>
    </row>
    <row r="3308" spans="1:14" s="3" customFormat="1" ht="14.25" x14ac:dyDescent="0.2">
      <c r="A3308" s="82" t="s">
        <v>7884</v>
      </c>
      <c r="B3308" s="60" t="s">
        <v>704</v>
      </c>
      <c r="C3308" s="41" t="s">
        <v>3761</v>
      </c>
      <c r="D3308" s="84" t="s">
        <v>7885</v>
      </c>
      <c r="E3308" s="55"/>
      <c r="F3308" s="84" t="s">
        <v>4403</v>
      </c>
      <c r="G3308" s="8"/>
      <c r="H3308" s="8">
        <v>9</v>
      </c>
      <c r="I3308" s="8"/>
      <c r="J3308" s="84" t="s">
        <v>7886</v>
      </c>
      <c r="K3308" s="84" t="s">
        <v>8719</v>
      </c>
      <c r="L3308" s="61"/>
      <c r="M3308" s="68">
        <v>1</v>
      </c>
      <c r="N3308" s="68" t="s">
        <v>7878</v>
      </c>
    </row>
    <row r="3309" spans="1:14" s="3" customFormat="1" ht="14.25" x14ac:dyDescent="0.2">
      <c r="A3309" s="63" t="s">
        <v>7882</v>
      </c>
      <c r="B3309" s="60" t="s">
        <v>3727</v>
      </c>
      <c r="C3309" s="41" t="s">
        <v>3761</v>
      </c>
      <c r="D3309" s="10" t="s">
        <v>3754</v>
      </c>
      <c r="E3309" s="55" t="s">
        <v>3073</v>
      </c>
      <c r="F3309" s="55" t="s">
        <v>7883</v>
      </c>
      <c r="G3309" s="8">
        <v>1</v>
      </c>
      <c r="H3309" s="8">
        <v>10</v>
      </c>
      <c r="I3309" s="8"/>
      <c r="J3309" s="55" t="s">
        <v>6010</v>
      </c>
      <c r="K3309" s="55" t="s">
        <v>2664</v>
      </c>
      <c r="L3309" s="61"/>
      <c r="M3309" s="68">
        <v>1</v>
      </c>
      <c r="N3309" s="68" t="s">
        <v>7878</v>
      </c>
    </row>
    <row r="3310" spans="1:14" s="3" customFormat="1" ht="14.25" x14ac:dyDescent="0.2">
      <c r="A3310" s="63" t="s">
        <v>7890</v>
      </c>
      <c r="B3310" s="60" t="s">
        <v>705</v>
      </c>
      <c r="C3310" s="84" t="s">
        <v>4712</v>
      </c>
      <c r="D3310" s="10" t="s">
        <v>3754</v>
      </c>
      <c r="E3310" s="55" t="s">
        <v>643</v>
      </c>
      <c r="F3310" s="55" t="s">
        <v>7891</v>
      </c>
      <c r="G3310" s="8">
        <v>33</v>
      </c>
      <c r="H3310" s="8"/>
      <c r="I3310" s="8"/>
      <c r="J3310" s="55" t="s">
        <v>5945</v>
      </c>
      <c r="K3310" s="55" t="s">
        <v>7347</v>
      </c>
      <c r="L3310" s="61"/>
      <c r="M3310" s="68">
        <v>1</v>
      </c>
      <c r="N3310" s="68" t="s">
        <v>7878</v>
      </c>
    </row>
    <row r="3311" spans="1:14" s="3" customFormat="1" ht="14.25" x14ac:dyDescent="0.2">
      <c r="A3311" s="82" t="s">
        <v>7895</v>
      </c>
      <c r="B3311" s="57" t="s">
        <v>3732</v>
      </c>
      <c r="C3311" s="84" t="s">
        <v>3757</v>
      </c>
      <c r="D3311" s="39" t="s">
        <v>3754</v>
      </c>
      <c r="E3311" s="84" t="s">
        <v>7896</v>
      </c>
      <c r="F3311" s="84" t="s">
        <v>7891</v>
      </c>
      <c r="G3311" s="8">
        <v>71</v>
      </c>
      <c r="H3311" s="8"/>
      <c r="I3311" s="8"/>
      <c r="J3311" s="84" t="s">
        <v>1271</v>
      </c>
      <c r="K3311" s="84" t="s">
        <v>2212</v>
      </c>
      <c r="L3311" s="29"/>
      <c r="M3311" s="68">
        <v>1</v>
      </c>
      <c r="N3311" s="68" t="s">
        <v>7878</v>
      </c>
    </row>
    <row r="3312" spans="1:14" s="3" customFormat="1" ht="14.25" x14ac:dyDescent="0.2">
      <c r="A3312" s="82" t="s">
        <v>7897</v>
      </c>
      <c r="B3312" s="57" t="s">
        <v>706</v>
      </c>
      <c r="C3312" s="41" t="s">
        <v>3761</v>
      </c>
      <c r="D3312" s="39" t="s">
        <v>3754</v>
      </c>
      <c r="E3312" s="84" t="s">
        <v>1007</v>
      </c>
      <c r="F3312" s="84" t="s">
        <v>7898</v>
      </c>
      <c r="G3312" s="8">
        <v>26</v>
      </c>
      <c r="H3312" s="8"/>
      <c r="I3312" s="8"/>
      <c r="J3312" s="84" t="s">
        <v>2989</v>
      </c>
      <c r="K3312" s="84" t="s">
        <v>7899</v>
      </c>
      <c r="L3312" s="29"/>
      <c r="M3312" s="68">
        <v>1</v>
      </c>
      <c r="N3312" s="68" t="s">
        <v>7878</v>
      </c>
    </row>
    <row r="3313" spans="1:14" s="3" customFormat="1" ht="14.25" x14ac:dyDescent="0.2">
      <c r="A3313" s="82" t="s">
        <v>7892</v>
      </c>
      <c r="B3313" s="57" t="s">
        <v>8268</v>
      </c>
      <c r="C3313" s="84" t="s">
        <v>3323</v>
      </c>
      <c r="D3313" s="39" t="s">
        <v>3754</v>
      </c>
      <c r="E3313" s="84" t="s">
        <v>7893</v>
      </c>
      <c r="F3313" s="84" t="s">
        <v>7894</v>
      </c>
      <c r="G3313" s="8">
        <v>9</v>
      </c>
      <c r="H3313" s="8">
        <v>8</v>
      </c>
      <c r="I3313" s="8">
        <v>21</v>
      </c>
      <c r="J3313" s="84" t="s">
        <v>6927</v>
      </c>
      <c r="K3313" s="84" t="s">
        <v>607</v>
      </c>
      <c r="L3313" s="29"/>
      <c r="M3313" s="68">
        <v>1</v>
      </c>
      <c r="N3313" s="68" t="s">
        <v>7878</v>
      </c>
    </row>
    <row r="3314" spans="1:14" s="3" customFormat="1" ht="15" x14ac:dyDescent="0.2">
      <c r="A3314" s="82" t="s">
        <v>7966</v>
      </c>
      <c r="B3314" s="57" t="s">
        <v>5135</v>
      </c>
      <c r="C3314" s="41" t="s">
        <v>3761</v>
      </c>
      <c r="D3314" s="39" t="s">
        <v>3754</v>
      </c>
      <c r="E3314" s="120" t="s">
        <v>7977</v>
      </c>
      <c r="F3314" s="84" t="s">
        <v>7978</v>
      </c>
      <c r="G3314" s="8"/>
      <c r="H3314" s="8">
        <v>15</v>
      </c>
      <c r="I3314" s="8"/>
      <c r="J3314" s="84" t="s">
        <v>4745</v>
      </c>
      <c r="K3314" s="120" t="s">
        <v>4755</v>
      </c>
      <c r="L3314" s="58"/>
      <c r="M3314" s="68">
        <v>1</v>
      </c>
      <c r="N3314" s="68" t="s">
        <v>7974</v>
      </c>
    </row>
    <row r="3315" spans="1:14" s="3" customFormat="1" ht="14.25" x14ac:dyDescent="0.2">
      <c r="A3315" s="82" t="s">
        <v>7966</v>
      </c>
      <c r="B3315" s="57" t="s">
        <v>3752</v>
      </c>
      <c r="C3315" s="84" t="s">
        <v>3757</v>
      </c>
      <c r="D3315" s="39" t="s">
        <v>3754</v>
      </c>
      <c r="E3315" s="120" t="s">
        <v>7971</v>
      </c>
      <c r="F3315" s="84" t="s">
        <v>7968</v>
      </c>
      <c r="G3315" s="8">
        <v>44</v>
      </c>
      <c r="H3315" s="8"/>
      <c r="I3315" s="8"/>
      <c r="J3315" s="84" t="s">
        <v>1264</v>
      </c>
      <c r="K3315" s="120" t="s">
        <v>7970</v>
      </c>
      <c r="L3315" s="29"/>
      <c r="M3315" s="68">
        <v>1</v>
      </c>
      <c r="N3315" s="68" t="s">
        <v>7904</v>
      </c>
    </row>
    <row r="3316" spans="1:14" s="3" customFormat="1" ht="42.75" x14ac:dyDescent="0.2">
      <c r="A3316" s="82" t="s">
        <v>7966</v>
      </c>
      <c r="B3316" s="57" t="s">
        <v>3752</v>
      </c>
      <c r="C3316" s="84" t="s">
        <v>3757</v>
      </c>
      <c r="D3316" s="39" t="s">
        <v>3754</v>
      </c>
      <c r="E3316" s="120" t="s">
        <v>1743</v>
      </c>
      <c r="F3316" s="84" t="s">
        <v>7975</v>
      </c>
      <c r="G3316" s="8">
        <v>50</v>
      </c>
      <c r="H3316" s="8"/>
      <c r="I3316" s="8"/>
      <c r="J3316" s="84" t="s">
        <v>1264</v>
      </c>
      <c r="K3316" s="120" t="s">
        <v>1444</v>
      </c>
      <c r="L3316" s="56" t="s">
        <v>382</v>
      </c>
      <c r="M3316" s="68">
        <v>1</v>
      </c>
      <c r="N3316" s="68" t="s">
        <v>7974</v>
      </c>
    </row>
    <row r="3317" spans="1:14" s="3" customFormat="1" ht="15" x14ac:dyDescent="0.2">
      <c r="A3317" s="82" t="s">
        <v>7966</v>
      </c>
      <c r="B3317" s="57" t="s">
        <v>8536</v>
      </c>
      <c r="C3317" s="84" t="s">
        <v>3757</v>
      </c>
      <c r="D3317" s="39" t="s">
        <v>3754</v>
      </c>
      <c r="E3317" s="120" t="s">
        <v>3823</v>
      </c>
      <c r="F3317" s="84" t="s">
        <v>7975</v>
      </c>
      <c r="G3317" s="8">
        <v>85</v>
      </c>
      <c r="H3317" s="8"/>
      <c r="I3317" s="8"/>
      <c r="J3317" s="84" t="s">
        <v>1271</v>
      </c>
      <c r="K3317" s="120" t="s">
        <v>6820</v>
      </c>
      <c r="L3317" s="58"/>
      <c r="M3317" s="68">
        <v>1</v>
      </c>
      <c r="N3317" s="68" t="s">
        <v>7974</v>
      </c>
    </row>
    <row r="3318" spans="1:14" s="3" customFormat="1" ht="14.25" x14ac:dyDescent="0.2">
      <c r="A3318" s="82" t="s">
        <v>7966</v>
      </c>
      <c r="B3318" s="57" t="s">
        <v>4685</v>
      </c>
      <c r="C3318" s="41" t="s">
        <v>3761</v>
      </c>
      <c r="D3318" s="39" t="s">
        <v>3754</v>
      </c>
      <c r="E3318" s="120">
        <v>1867</v>
      </c>
      <c r="F3318" s="84" t="s">
        <v>7973</v>
      </c>
      <c r="G3318" s="8"/>
      <c r="H3318" s="8">
        <v>9</v>
      </c>
      <c r="I3318" s="8"/>
      <c r="J3318" s="84" t="s">
        <v>4745</v>
      </c>
      <c r="K3318" s="120" t="s">
        <v>1444</v>
      </c>
      <c r="L3318" s="95"/>
      <c r="M3318" s="68">
        <v>1</v>
      </c>
      <c r="N3318" s="68" t="s">
        <v>7904</v>
      </c>
    </row>
    <row r="3319" spans="1:14" s="3" customFormat="1" ht="15" x14ac:dyDescent="0.2">
      <c r="A3319" s="82" t="s">
        <v>7966</v>
      </c>
      <c r="B3319" s="57" t="s">
        <v>3723</v>
      </c>
      <c r="C3319" s="84" t="s">
        <v>3757</v>
      </c>
      <c r="D3319" s="39" t="s">
        <v>3754</v>
      </c>
      <c r="E3319" s="120" t="s">
        <v>1480</v>
      </c>
      <c r="F3319" s="84" t="s">
        <v>3624</v>
      </c>
      <c r="G3319" s="8">
        <v>60</v>
      </c>
      <c r="H3319" s="8">
        <v>10</v>
      </c>
      <c r="I3319" s="8">
        <v>0</v>
      </c>
      <c r="J3319" s="84" t="s">
        <v>1259</v>
      </c>
      <c r="K3319" s="105" t="s">
        <v>3625</v>
      </c>
      <c r="L3319" s="58"/>
      <c r="M3319" s="68">
        <v>1</v>
      </c>
      <c r="N3319" s="68" t="s">
        <v>8050</v>
      </c>
    </row>
    <row r="3320" spans="1:14" s="3" customFormat="1" ht="14.25" x14ac:dyDescent="0.2">
      <c r="A3320" s="82" t="s">
        <v>7966</v>
      </c>
      <c r="B3320" s="57" t="s">
        <v>4309</v>
      </c>
      <c r="C3320" s="84" t="s">
        <v>3757</v>
      </c>
      <c r="D3320" s="39" t="s">
        <v>3754</v>
      </c>
      <c r="E3320" s="120">
        <v>1857</v>
      </c>
      <c r="F3320" s="84" t="s">
        <v>7972</v>
      </c>
      <c r="G3320" s="8">
        <v>55</v>
      </c>
      <c r="H3320" s="8"/>
      <c r="I3320" s="8"/>
      <c r="J3320" s="84"/>
      <c r="K3320" s="120" t="s">
        <v>1444</v>
      </c>
      <c r="L3320" s="29"/>
      <c r="M3320" s="68">
        <v>1</v>
      </c>
      <c r="N3320" s="68" t="s">
        <v>7904</v>
      </c>
    </row>
    <row r="3321" spans="1:14" s="3" customFormat="1" ht="14.25" x14ac:dyDescent="0.2">
      <c r="A3321" s="82" t="s">
        <v>7966</v>
      </c>
      <c r="B3321" s="57" t="s">
        <v>3741</v>
      </c>
      <c r="C3321" s="41" t="s">
        <v>3761</v>
      </c>
      <c r="D3321" s="39" t="s">
        <v>3754</v>
      </c>
      <c r="E3321" s="120" t="s">
        <v>7967</v>
      </c>
      <c r="F3321" s="84" t="s">
        <v>7968</v>
      </c>
      <c r="G3321" s="8">
        <v>9</v>
      </c>
      <c r="H3321" s="8"/>
      <c r="I3321" s="8"/>
      <c r="J3321" s="84" t="s">
        <v>1264</v>
      </c>
      <c r="K3321" s="120" t="s">
        <v>7969</v>
      </c>
      <c r="L3321" s="29"/>
      <c r="M3321" s="68">
        <v>1</v>
      </c>
      <c r="N3321" s="68" t="s">
        <v>7904</v>
      </c>
    </row>
    <row r="3322" spans="1:14" s="3" customFormat="1" ht="14.25" x14ac:dyDescent="0.2">
      <c r="A3322" s="82" t="s">
        <v>7966</v>
      </c>
      <c r="B3322" s="57" t="s">
        <v>3741</v>
      </c>
      <c r="C3322" s="84" t="s">
        <v>3757</v>
      </c>
      <c r="D3322" s="39" t="s">
        <v>3754</v>
      </c>
      <c r="E3322" s="120" t="s">
        <v>1406</v>
      </c>
      <c r="F3322" s="84" t="s">
        <v>7968</v>
      </c>
      <c r="G3322" s="8">
        <v>49</v>
      </c>
      <c r="H3322" s="8"/>
      <c r="I3322" s="8"/>
      <c r="J3322" s="84" t="s">
        <v>3395</v>
      </c>
      <c r="K3322" s="120" t="s">
        <v>7970</v>
      </c>
      <c r="L3322" s="29"/>
      <c r="M3322" s="68">
        <v>1</v>
      </c>
      <c r="N3322" s="68" t="s">
        <v>7904</v>
      </c>
    </row>
    <row r="3323" spans="1:14" s="3" customFormat="1" ht="15" x14ac:dyDescent="0.2">
      <c r="A3323" s="82" t="s">
        <v>7966</v>
      </c>
      <c r="B3323" s="57" t="s">
        <v>1445</v>
      </c>
      <c r="C3323" s="41" t="s">
        <v>3761</v>
      </c>
      <c r="D3323" s="39" t="s">
        <v>3754</v>
      </c>
      <c r="E3323" s="120" t="s">
        <v>8019</v>
      </c>
      <c r="F3323" s="84" t="s">
        <v>7975</v>
      </c>
      <c r="G3323" s="8">
        <v>15</v>
      </c>
      <c r="H3323" s="8"/>
      <c r="I3323" s="8"/>
      <c r="J3323" s="84" t="s">
        <v>8020</v>
      </c>
      <c r="K3323" s="120" t="s">
        <v>8021</v>
      </c>
      <c r="L3323" s="58"/>
      <c r="M3323" s="68">
        <v>1</v>
      </c>
      <c r="N3323" s="68" t="s">
        <v>7974</v>
      </c>
    </row>
    <row r="3324" spans="1:14" s="3" customFormat="1" ht="14.25" x14ac:dyDescent="0.2">
      <c r="A3324" s="82" t="s">
        <v>7966</v>
      </c>
      <c r="B3324" s="57" t="s">
        <v>1445</v>
      </c>
      <c r="C3324" s="84" t="s">
        <v>3757</v>
      </c>
      <c r="D3324" s="39" t="s">
        <v>3754</v>
      </c>
      <c r="E3324" s="120">
        <v>1853</v>
      </c>
      <c r="F3324" s="84" t="s">
        <v>7973</v>
      </c>
      <c r="G3324" s="8">
        <v>66</v>
      </c>
      <c r="H3324" s="8"/>
      <c r="I3324" s="8"/>
      <c r="J3324" s="84" t="s">
        <v>1271</v>
      </c>
      <c r="K3324" s="120" t="s">
        <v>1444</v>
      </c>
      <c r="L3324" s="29"/>
      <c r="M3324" s="68">
        <v>1</v>
      </c>
      <c r="N3324" s="68" t="s">
        <v>7904</v>
      </c>
    </row>
    <row r="3325" spans="1:14" s="3" customFormat="1" ht="15" x14ac:dyDescent="0.2">
      <c r="A3325" s="82" t="s">
        <v>7966</v>
      </c>
      <c r="B3325" s="57" t="s">
        <v>1445</v>
      </c>
      <c r="C3325" s="41" t="s">
        <v>3761</v>
      </c>
      <c r="D3325" s="39" t="s">
        <v>3754</v>
      </c>
      <c r="E3325" s="120" t="s">
        <v>2089</v>
      </c>
      <c r="F3325" s="84" t="s">
        <v>7976</v>
      </c>
      <c r="G3325" s="8"/>
      <c r="H3325" s="8">
        <v>7</v>
      </c>
      <c r="I3325" s="8"/>
      <c r="J3325" s="84" t="s">
        <v>1258</v>
      </c>
      <c r="K3325" s="120" t="s">
        <v>1444</v>
      </c>
      <c r="L3325" s="58"/>
      <c r="M3325" s="68">
        <v>1</v>
      </c>
      <c r="N3325" s="68" t="s">
        <v>7974</v>
      </c>
    </row>
    <row r="3326" spans="1:14" s="3" customFormat="1" ht="14.25" x14ac:dyDescent="0.2">
      <c r="A3326" s="82" t="s">
        <v>7966</v>
      </c>
      <c r="B3326" s="57"/>
      <c r="C3326" s="41" t="s">
        <v>3761</v>
      </c>
      <c r="D3326" s="39" t="s">
        <v>3754</v>
      </c>
      <c r="E3326" s="120">
        <v>1868</v>
      </c>
      <c r="F3326" s="84" t="s">
        <v>2104</v>
      </c>
      <c r="G3326" s="8"/>
      <c r="H3326" s="8">
        <v>6</v>
      </c>
      <c r="I3326" s="8">
        <v>1</v>
      </c>
      <c r="J3326" s="84"/>
      <c r="K3326" s="120" t="s">
        <v>1444</v>
      </c>
      <c r="L3326" s="29"/>
      <c r="M3326" s="68">
        <v>1</v>
      </c>
      <c r="N3326" s="68" t="s">
        <v>7904</v>
      </c>
    </row>
    <row r="3327" spans="1:14" s="3" customFormat="1" ht="15" x14ac:dyDescent="0.2">
      <c r="A3327" s="82" t="s">
        <v>8070</v>
      </c>
      <c r="B3327" s="57" t="s">
        <v>1445</v>
      </c>
      <c r="C3327" s="84" t="s">
        <v>3757</v>
      </c>
      <c r="D3327" s="39" t="s">
        <v>3754</v>
      </c>
      <c r="E3327" s="120" t="s">
        <v>1303</v>
      </c>
      <c r="F3327" s="84" t="s">
        <v>8071</v>
      </c>
      <c r="G3327" s="8">
        <v>64</v>
      </c>
      <c r="H3327" s="8"/>
      <c r="I3327" s="8"/>
      <c r="J3327" s="84" t="s">
        <v>1271</v>
      </c>
      <c r="K3327" s="105" t="s">
        <v>8072</v>
      </c>
      <c r="L3327" s="58"/>
      <c r="M3327" s="68">
        <v>1</v>
      </c>
      <c r="N3327" s="68" t="s">
        <v>8050</v>
      </c>
    </row>
    <row r="3328" spans="1:14" s="3" customFormat="1" ht="14.25" x14ac:dyDescent="0.2">
      <c r="A3328" s="82" t="s">
        <v>7911</v>
      </c>
      <c r="B3328" s="57" t="s">
        <v>4688</v>
      </c>
      <c r="C3328" s="41" t="s">
        <v>3761</v>
      </c>
      <c r="D3328" s="39" t="s">
        <v>3754</v>
      </c>
      <c r="E3328" s="120" t="s">
        <v>173</v>
      </c>
      <c r="F3328" s="84" t="s">
        <v>7938</v>
      </c>
      <c r="G3328" s="8">
        <v>18</v>
      </c>
      <c r="H3328" s="8">
        <v>0</v>
      </c>
      <c r="I3328" s="8">
        <v>19</v>
      </c>
      <c r="J3328" s="84" t="s">
        <v>1255</v>
      </c>
      <c r="K3328" s="120" t="s">
        <v>8443</v>
      </c>
      <c r="L3328" s="29"/>
      <c r="M3328" s="68">
        <v>1</v>
      </c>
      <c r="N3328" s="68" t="s">
        <v>7904</v>
      </c>
    </row>
    <row r="3329" spans="1:14" s="3" customFormat="1" ht="14.25" x14ac:dyDescent="0.2">
      <c r="A3329" s="82" t="s">
        <v>7911</v>
      </c>
      <c r="B3329" s="57" t="s">
        <v>7754</v>
      </c>
      <c r="C3329" s="41" t="s">
        <v>3761</v>
      </c>
      <c r="D3329" s="39" t="s">
        <v>3754</v>
      </c>
      <c r="E3329" s="120"/>
      <c r="F3329" s="84" t="s">
        <v>1541</v>
      </c>
      <c r="G3329" s="8"/>
      <c r="H3329" s="8"/>
      <c r="I3329" s="8">
        <v>8</v>
      </c>
      <c r="J3329" s="84" t="s">
        <v>1412</v>
      </c>
      <c r="K3329" s="120" t="s">
        <v>2048</v>
      </c>
      <c r="L3329" s="29"/>
      <c r="M3329" s="68">
        <v>1</v>
      </c>
      <c r="N3329" s="68" t="s">
        <v>7904</v>
      </c>
    </row>
    <row r="3330" spans="1:14" s="3" customFormat="1" ht="15" x14ac:dyDescent="0.2">
      <c r="A3330" s="82" t="s">
        <v>7911</v>
      </c>
      <c r="B3330" s="57" t="s">
        <v>3734</v>
      </c>
      <c r="C3330" s="84" t="s">
        <v>3757</v>
      </c>
      <c r="D3330" s="39" t="s">
        <v>3754</v>
      </c>
      <c r="E3330" s="120" t="s">
        <v>1675</v>
      </c>
      <c r="F3330" s="84" t="s">
        <v>3636</v>
      </c>
      <c r="G3330" s="8">
        <v>26</v>
      </c>
      <c r="H3330" s="8"/>
      <c r="I3330" s="8"/>
      <c r="J3330" s="84" t="s">
        <v>1264</v>
      </c>
      <c r="K3330" s="105" t="s">
        <v>3637</v>
      </c>
      <c r="L3330" s="58"/>
      <c r="M3330" s="68">
        <v>1</v>
      </c>
      <c r="N3330" s="68" t="s">
        <v>8050</v>
      </c>
    </row>
    <row r="3331" spans="1:14" s="3" customFormat="1" ht="14.25" x14ac:dyDescent="0.2">
      <c r="A3331" s="82" t="s">
        <v>7911</v>
      </c>
      <c r="B3331" s="57" t="s">
        <v>3734</v>
      </c>
      <c r="C3331" s="84" t="s">
        <v>3757</v>
      </c>
      <c r="D3331" s="39" t="s">
        <v>3754</v>
      </c>
      <c r="E3331" s="120" t="s">
        <v>7939</v>
      </c>
      <c r="F3331" s="84" t="s">
        <v>7940</v>
      </c>
      <c r="G3331" s="8">
        <v>85</v>
      </c>
      <c r="H3331" s="8"/>
      <c r="I3331" s="8"/>
      <c r="J3331" s="84" t="s">
        <v>1271</v>
      </c>
      <c r="K3331" s="120" t="s">
        <v>5645</v>
      </c>
      <c r="L3331" s="29"/>
      <c r="M3331" s="68">
        <v>1</v>
      </c>
      <c r="N3331" s="68" t="s">
        <v>7904</v>
      </c>
    </row>
    <row r="3332" spans="1:14" s="3" customFormat="1" ht="15" x14ac:dyDescent="0.2">
      <c r="A3332" s="82" t="s">
        <v>7911</v>
      </c>
      <c r="B3332" s="57" t="s">
        <v>3752</v>
      </c>
      <c r="C3332" s="41" t="s">
        <v>3761</v>
      </c>
      <c r="D3332" s="39" t="s">
        <v>3754</v>
      </c>
      <c r="E3332" s="120" t="s">
        <v>7987</v>
      </c>
      <c r="F3332" s="84" t="s">
        <v>7988</v>
      </c>
      <c r="G3332" s="8"/>
      <c r="H3332" s="8">
        <v>1</v>
      </c>
      <c r="I3332" s="8">
        <v>10</v>
      </c>
      <c r="J3332" s="84" t="s">
        <v>6616</v>
      </c>
      <c r="K3332" s="120" t="s">
        <v>2699</v>
      </c>
      <c r="L3332" s="58"/>
      <c r="M3332" s="68">
        <v>1</v>
      </c>
      <c r="N3332" s="68" t="s">
        <v>7974</v>
      </c>
    </row>
    <row r="3333" spans="1:14" s="3" customFormat="1" ht="15" x14ac:dyDescent="0.2">
      <c r="A3333" s="82" t="s">
        <v>7911</v>
      </c>
      <c r="B3333" s="57" t="s">
        <v>1174</v>
      </c>
      <c r="C3333" s="41" t="s">
        <v>3761</v>
      </c>
      <c r="D3333" s="39" t="s">
        <v>3754</v>
      </c>
      <c r="E3333" s="120" t="s">
        <v>2731</v>
      </c>
      <c r="F3333" s="84" t="s">
        <v>3628</v>
      </c>
      <c r="G3333" s="8">
        <v>1</v>
      </c>
      <c r="H3333" s="8">
        <v>1</v>
      </c>
      <c r="I3333" s="8">
        <v>7</v>
      </c>
      <c r="J3333" s="84" t="s">
        <v>1255</v>
      </c>
      <c r="K3333" s="105" t="s">
        <v>3629</v>
      </c>
      <c r="L3333" s="58"/>
      <c r="M3333" s="68">
        <v>1</v>
      </c>
      <c r="N3333" s="68" t="s">
        <v>8050</v>
      </c>
    </row>
    <row r="3334" spans="1:14" s="3" customFormat="1" ht="15" x14ac:dyDescent="0.2">
      <c r="A3334" s="82" t="s">
        <v>7911</v>
      </c>
      <c r="B3334" s="57" t="s">
        <v>1413</v>
      </c>
      <c r="C3334" s="41" t="s">
        <v>3761</v>
      </c>
      <c r="D3334" s="39" t="s">
        <v>3754</v>
      </c>
      <c r="E3334" s="120" t="s">
        <v>6218</v>
      </c>
      <c r="F3334" s="84" t="s">
        <v>3879</v>
      </c>
      <c r="G3334" s="8"/>
      <c r="H3334" s="8">
        <v>10</v>
      </c>
      <c r="I3334" s="8">
        <v>10</v>
      </c>
      <c r="J3334" s="84"/>
      <c r="K3334" s="105" t="s">
        <v>8076</v>
      </c>
      <c r="L3334" s="58"/>
      <c r="M3334" s="68">
        <v>1</v>
      </c>
      <c r="N3334" s="68" t="s">
        <v>8050</v>
      </c>
    </row>
    <row r="3335" spans="1:14" s="3" customFormat="1" ht="15" x14ac:dyDescent="0.2">
      <c r="A3335" s="82" t="s">
        <v>7911</v>
      </c>
      <c r="B3335" s="57" t="s">
        <v>4908</v>
      </c>
      <c r="C3335" s="84" t="s">
        <v>3757</v>
      </c>
      <c r="D3335" s="39" t="s">
        <v>3754</v>
      </c>
      <c r="E3335" s="120" t="s">
        <v>8046</v>
      </c>
      <c r="F3335" s="84" t="s">
        <v>8047</v>
      </c>
      <c r="G3335" s="8">
        <v>73</v>
      </c>
      <c r="H3335" s="8"/>
      <c r="I3335" s="8"/>
      <c r="J3335" s="84" t="s">
        <v>1271</v>
      </c>
      <c r="K3335" s="120" t="s">
        <v>6858</v>
      </c>
      <c r="L3335" s="58"/>
      <c r="M3335" s="68">
        <v>1</v>
      </c>
      <c r="N3335" s="68" t="s">
        <v>7974</v>
      </c>
    </row>
    <row r="3336" spans="1:14" s="3" customFormat="1" ht="15" x14ac:dyDescent="0.2">
      <c r="A3336" s="82" t="s">
        <v>7911</v>
      </c>
      <c r="B3336" s="57" t="s">
        <v>7753</v>
      </c>
      <c r="C3336" s="84" t="s">
        <v>3757</v>
      </c>
      <c r="D3336" s="39" t="s">
        <v>3754</v>
      </c>
      <c r="E3336" s="120">
        <v>1869</v>
      </c>
      <c r="F3336" s="84" t="s">
        <v>8022</v>
      </c>
      <c r="G3336" s="8">
        <v>48</v>
      </c>
      <c r="H3336" s="8"/>
      <c r="I3336" s="8"/>
      <c r="J3336" s="84" t="s">
        <v>8023</v>
      </c>
      <c r="K3336" s="120" t="s">
        <v>3211</v>
      </c>
      <c r="L3336" s="58"/>
      <c r="M3336" s="68">
        <v>1</v>
      </c>
      <c r="N3336" s="68" t="s">
        <v>7974</v>
      </c>
    </row>
    <row r="3337" spans="1:14" s="3" customFormat="1" ht="15" x14ac:dyDescent="0.2">
      <c r="A3337" s="82" t="s">
        <v>7911</v>
      </c>
      <c r="B3337" s="57" t="s">
        <v>3740</v>
      </c>
      <c r="C3337" s="84" t="s">
        <v>3757</v>
      </c>
      <c r="D3337" s="84" t="s">
        <v>3240</v>
      </c>
      <c r="E3337" s="120" t="s">
        <v>8016</v>
      </c>
      <c r="F3337" s="84" t="s">
        <v>8017</v>
      </c>
      <c r="G3337" s="8">
        <v>25</v>
      </c>
      <c r="H3337" s="8"/>
      <c r="I3337" s="8"/>
      <c r="J3337" s="84" t="s">
        <v>2199</v>
      </c>
      <c r="K3337" s="120" t="s">
        <v>8018</v>
      </c>
      <c r="L3337" s="58"/>
      <c r="M3337" s="68">
        <v>1</v>
      </c>
      <c r="N3337" s="68" t="s">
        <v>7974</v>
      </c>
    </row>
    <row r="3338" spans="1:14" s="3" customFormat="1" ht="14.25" x14ac:dyDescent="0.2">
      <c r="A3338" s="82" t="s">
        <v>7911</v>
      </c>
      <c r="B3338" s="57" t="s">
        <v>3740</v>
      </c>
      <c r="C3338" s="84" t="s">
        <v>3757</v>
      </c>
      <c r="D3338" s="39" t="s">
        <v>3754</v>
      </c>
      <c r="E3338" s="120" t="s">
        <v>5859</v>
      </c>
      <c r="F3338" s="84" t="s">
        <v>1541</v>
      </c>
      <c r="G3338" s="8">
        <v>30</v>
      </c>
      <c r="H3338" s="8"/>
      <c r="I3338" s="8"/>
      <c r="J3338" s="84" t="s">
        <v>1641</v>
      </c>
      <c r="K3338" s="120" t="s">
        <v>2999</v>
      </c>
      <c r="L3338" s="29"/>
      <c r="M3338" s="68">
        <v>1</v>
      </c>
      <c r="N3338" s="68" t="s">
        <v>7904</v>
      </c>
    </row>
    <row r="3339" spans="1:14" s="3" customFormat="1" ht="15" x14ac:dyDescent="0.2">
      <c r="A3339" s="82" t="s">
        <v>7911</v>
      </c>
      <c r="B3339" s="57" t="s">
        <v>1685</v>
      </c>
      <c r="C3339" s="41" t="s">
        <v>3761</v>
      </c>
      <c r="D3339" s="84"/>
      <c r="E3339" s="120" t="s">
        <v>8062</v>
      </c>
      <c r="F3339" s="84" t="s">
        <v>1853</v>
      </c>
      <c r="G3339" s="8">
        <v>20</v>
      </c>
      <c r="H3339" s="8"/>
      <c r="I3339" s="8"/>
      <c r="J3339" s="84" t="s">
        <v>1264</v>
      </c>
      <c r="K3339" s="105" t="s">
        <v>8063</v>
      </c>
      <c r="L3339" s="58"/>
      <c r="M3339" s="68">
        <v>1</v>
      </c>
      <c r="N3339" s="68" t="s">
        <v>8050</v>
      </c>
    </row>
    <row r="3340" spans="1:14" s="3" customFormat="1" ht="14.25" x14ac:dyDescent="0.2">
      <c r="A3340" s="82" t="s">
        <v>7911</v>
      </c>
      <c r="B3340" s="57" t="s">
        <v>7752</v>
      </c>
      <c r="C3340" s="41" t="s">
        <v>3761</v>
      </c>
      <c r="D3340" s="39" t="s">
        <v>3754</v>
      </c>
      <c r="E3340" s="120" t="s">
        <v>8254</v>
      </c>
      <c r="F3340" s="84" t="s">
        <v>7930</v>
      </c>
      <c r="G3340" s="8">
        <v>5</v>
      </c>
      <c r="H3340" s="8">
        <v>10</v>
      </c>
      <c r="I3340" s="8">
        <v>3</v>
      </c>
      <c r="J3340" s="84" t="s">
        <v>1641</v>
      </c>
      <c r="K3340" s="120" t="s">
        <v>6473</v>
      </c>
      <c r="L3340" s="29"/>
      <c r="M3340" s="68">
        <v>1</v>
      </c>
      <c r="N3340" s="68" t="s">
        <v>7904</v>
      </c>
    </row>
    <row r="3341" spans="1:14" s="3" customFormat="1" ht="15" x14ac:dyDescent="0.2">
      <c r="A3341" s="82" t="s">
        <v>7911</v>
      </c>
      <c r="B3341" s="57" t="s">
        <v>7751</v>
      </c>
      <c r="C3341" s="84" t="s">
        <v>3757</v>
      </c>
      <c r="D3341" s="39" t="s">
        <v>3754</v>
      </c>
      <c r="E3341" s="120" t="s">
        <v>3638</v>
      </c>
      <c r="F3341" s="84" t="s">
        <v>3639</v>
      </c>
      <c r="G3341" s="8">
        <v>40</v>
      </c>
      <c r="H3341" s="8"/>
      <c r="I3341" s="8"/>
      <c r="J3341" s="84" t="s">
        <v>1264</v>
      </c>
      <c r="K3341" s="105" t="s">
        <v>3640</v>
      </c>
      <c r="L3341" s="58"/>
      <c r="M3341" s="68">
        <v>1</v>
      </c>
      <c r="N3341" s="68" t="s">
        <v>8050</v>
      </c>
    </row>
    <row r="3342" spans="1:14" s="3" customFormat="1" ht="15" x14ac:dyDescent="0.2">
      <c r="A3342" s="82" t="s">
        <v>7911</v>
      </c>
      <c r="B3342" s="57" t="s">
        <v>3723</v>
      </c>
      <c r="C3342" s="84" t="s">
        <v>3757</v>
      </c>
      <c r="D3342" s="39" t="s">
        <v>3754</v>
      </c>
      <c r="E3342" s="120" t="s">
        <v>5183</v>
      </c>
      <c r="F3342" s="84" t="s">
        <v>3618</v>
      </c>
      <c r="G3342" s="8">
        <v>56</v>
      </c>
      <c r="H3342" s="8"/>
      <c r="I3342" s="8"/>
      <c r="J3342" s="84" t="s">
        <v>3679</v>
      </c>
      <c r="K3342" s="105" t="s">
        <v>3619</v>
      </c>
      <c r="L3342" s="58"/>
      <c r="M3342" s="68">
        <v>1</v>
      </c>
      <c r="N3342" s="68" t="s">
        <v>8050</v>
      </c>
    </row>
    <row r="3343" spans="1:14" s="3" customFormat="1" ht="45" x14ac:dyDescent="0.2">
      <c r="A3343" s="82" t="s">
        <v>7911</v>
      </c>
      <c r="B3343" s="57" t="s">
        <v>5057</v>
      </c>
      <c r="C3343" s="41" t="s">
        <v>3761</v>
      </c>
      <c r="D3343" s="84"/>
      <c r="E3343" s="120" t="s">
        <v>8060</v>
      </c>
      <c r="F3343" s="84" t="s">
        <v>8014</v>
      </c>
      <c r="G3343" s="8">
        <v>24</v>
      </c>
      <c r="H3343" s="8"/>
      <c r="I3343" s="8"/>
      <c r="J3343" s="84" t="s">
        <v>1264</v>
      </c>
      <c r="K3343" s="105"/>
      <c r="L3343" s="58" t="s">
        <v>8061</v>
      </c>
      <c r="M3343" s="68">
        <v>1</v>
      </c>
      <c r="N3343" s="68" t="s">
        <v>8050</v>
      </c>
    </row>
    <row r="3344" spans="1:14" s="3" customFormat="1" ht="14.25" x14ac:dyDescent="0.2">
      <c r="A3344" s="82" t="s">
        <v>7911</v>
      </c>
      <c r="B3344" s="57" t="s">
        <v>5904</v>
      </c>
      <c r="C3344" s="41" t="s">
        <v>3761</v>
      </c>
      <c r="D3344" s="39" t="s">
        <v>3754</v>
      </c>
      <c r="E3344" s="120"/>
      <c r="F3344" s="84" t="s">
        <v>7937</v>
      </c>
      <c r="G3344" s="8"/>
      <c r="H3344" s="8">
        <v>1</v>
      </c>
      <c r="I3344" s="8">
        <v>12</v>
      </c>
      <c r="J3344" s="84" t="s">
        <v>1258</v>
      </c>
      <c r="K3344" s="120" t="s">
        <v>1440</v>
      </c>
      <c r="L3344" s="29"/>
      <c r="M3344" s="68">
        <v>1</v>
      </c>
      <c r="N3344" s="68" t="s">
        <v>7904</v>
      </c>
    </row>
    <row r="3345" spans="1:14" s="3" customFormat="1" ht="15" x14ac:dyDescent="0.2">
      <c r="A3345" s="82" t="s">
        <v>7911</v>
      </c>
      <c r="B3345" s="57" t="s">
        <v>4992</v>
      </c>
      <c r="C3345" s="84" t="s">
        <v>3757</v>
      </c>
      <c r="D3345" s="39" t="s">
        <v>3754</v>
      </c>
      <c r="E3345" s="120" t="s">
        <v>3871</v>
      </c>
      <c r="F3345" s="84" t="s">
        <v>8058</v>
      </c>
      <c r="G3345" s="8">
        <v>53</v>
      </c>
      <c r="H3345" s="8">
        <v>1</v>
      </c>
      <c r="I3345" s="8"/>
      <c r="J3345" s="84" t="s">
        <v>1277</v>
      </c>
      <c r="K3345" s="105" t="s">
        <v>8059</v>
      </c>
      <c r="L3345" s="58"/>
      <c r="M3345" s="68">
        <v>1</v>
      </c>
      <c r="N3345" s="68" t="s">
        <v>8050</v>
      </c>
    </row>
    <row r="3346" spans="1:14" s="3" customFormat="1" ht="42.75" x14ac:dyDescent="0.2">
      <c r="A3346" s="82" t="s">
        <v>7911</v>
      </c>
      <c r="B3346" s="57" t="s">
        <v>4992</v>
      </c>
      <c r="C3346" s="84" t="s">
        <v>3757</v>
      </c>
      <c r="D3346" s="39" t="s">
        <v>3754</v>
      </c>
      <c r="E3346" s="120" t="s">
        <v>6390</v>
      </c>
      <c r="F3346" s="84" t="s">
        <v>7995</v>
      </c>
      <c r="G3346" s="8">
        <v>65</v>
      </c>
      <c r="H3346" s="8"/>
      <c r="I3346" s="8"/>
      <c r="J3346" s="84" t="s">
        <v>2843</v>
      </c>
      <c r="K3346" s="120" t="s">
        <v>211</v>
      </c>
      <c r="L3346" s="56" t="s">
        <v>7996</v>
      </c>
      <c r="M3346" s="68">
        <v>1</v>
      </c>
      <c r="N3346" s="68" t="s">
        <v>7974</v>
      </c>
    </row>
    <row r="3347" spans="1:14" s="3" customFormat="1" ht="42.75" x14ac:dyDescent="0.2">
      <c r="A3347" s="82" t="s">
        <v>7911</v>
      </c>
      <c r="B3347" s="57" t="s">
        <v>4992</v>
      </c>
      <c r="C3347" s="41" t="s">
        <v>3761</v>
      </c>
      <c r="D3347" s="84"/>
      <c r="E3347" s="120" t="s">
        <v>8013</v>
      </c>
      <c r="F3347" s="84" t="s">
        <v>8014</v>
      </c>
      <c r="G3347" s="8"/>
      <c r="H3347" s="8"/>
      <c r="I3347" s="8" t="s">
        <v>8015</v>
      </c>
      <c r="J3347" s="84"/>
      <c r="K3347" s="120" t="s">
        <v>509</v>
      </c>
      <c r="L3347" s="56" t="s">
        <v>7996</v>
      </c>
      <c r="M3347" s="68">
        <v>1</v>
      </c>
      <c r="N3347" s="68" t="s">
        <v>7974</v>
      </c>
    </row>
    <row r="3348" spans="1:14" s="3" customFormat="1" ht="15" x14ac:dyDescent="0.2">
      <c r="A3348" s="82" t="s">
        <v>7911</v>
      </c>
      <c r="B3348" s="57" t="s">
        <v>4701</v>
      </c>
      <c r="C3348" s="84" t="s">
        <v>3757</v>
      </c>
      <c r="D3348" s="39" t="s">
        <v>3754</v>
      </c>
      <c r="E3348" s="120" t="s">
        <v>8073</v>
      </c>
      <c r="F3348" s="84" t="s">
        <v>8074</v>
      </c>
      <c r="G3348" s="8">
        <v>32</v>
      </c>
      <c r="H3348" s="8"/>
      <c r="I3348" s="8"/>
      <c r="J3348" s="84" t="s">
        <v>1270</v>
      </c>
      <c r="K3348" s="105" t="s">
        <v>8075</v>
      </c>
      <c r="L3348" s="58"/>
      <c r="M3348" s="68">
        <v>1</v>
      </c>
      <c r="N3348" s="68" t="s">
        <v>8050</v>
      </c>
    </row>
    <row r="3349" spans="1:14" s="3" customFormat="1" ht="14.25" x14ac:dyDescent="0.2">
      <c r="A3349" s="82" t="s">
        <v>7911</v>
      </c>
      <c r="B3349" s="57" t="s">
        <v>1445</v>
      </c>
      <c r="C3349" s="41" t="s">
        <v>3761</v>
      </c>
      <c r="D3349" s="39" t="s">
        <v>3754</v>
      </c>
      <c r="E3349" s="120" t="s">
        <v>7912</v>
      </c>
      <c r="F3349" s="84" t="s">
        <v>1541</v>
      </c>
      <c r="G3349" s="8">
        <v>24</v>
      </c>
      <c r="H3349" s="8"/>
      <c r="I3349" s="8"/>
      <c r="J3349" s="84" t="s">
        <v>7913</v>
      </c>
      <c r="K3349" s="120" t="s">
        <v>8178</v>
      </c>
      <c r="L3349" s="29"/>
      <c r="M3349" s="68">
        <v>1</v>
      </c>
      <c r="N3349" s="68" t="s">
        <v>7904</v>
      </c>
    </row>
    <row r="3350" spans="1:14" s="3" customFormat="1" ht="15" x14ac:dyDescent="0.2">
      <c r="A3350" s="82" t="s">
        <v>8648</v>
      </c>
      <c r="B3350" s="57" t="s">
        <v>4908</v>
      </c>
      <c r="C3350" s="41" t="s">
        <v>3761</v>
      </c>
      <c r="D3350" s="39" t="s">
        <v>3754</v>
      </c>
      <c r="E3350" s="120" t="s">
        <v>7190</v>
      </c>
      <c r="F3350" s="84" t="s">
        <v>3626</v>
      </c>
      <c r="G3350" s="8"/>
      <c r="H3350" s="8">
        <v>1</v>
      </c>
      <c r="I3350" s="8">
        <v>7</v>
      </c>
      <c r="J3350" s="84" t="s">
        <v>1255</v>
      </c>
      <c r="K3350" s="105" t="s">
        <v>3627</v>
      </c>
      <c r="L3350" s="58"/>
      <c r="M3350" s="68">
        <v>1</v>
      </c>
      <c r="N3350" s="68" t="s">
        <v>8050</v>
      </c>
    </row>
    <row r="3351" spans="1:14" s="3" customFormat="1" ht="14.25" x14ac:dyDescent="0.2">
      <c r="A3351" s="82" t="s">
        <v>7927</v>
      </c>
      <c r="B3351" s="60" t="s">
        <v>3744</v>
      </c>
      <c r="C3351" s="53" t="s">
        <v>3767</v>
      </c>
      <c r="D3351" s="84" t="s">
        <v>3767</v>
      </c>
      <c r="E3351" s="120" t="s">
        <v>4758</v>
      </c>
      <c r="F3351" s="84" t="s">
        <v>1733</v>
      </c>
      <c r="G3351" s="8">
        <v>12</v>
      </c>
      <c r="H3351" s="8">
        <v>4</v>
      </c>
      <c r="I3351" s="8"/>
      <c r="J3351" s="84" t="s">
        <v>6158</v>
      </c>
      <c r="K3351" s="120" t="s">
        <v>6465</v>
      </c>
      <c r="L3351" s="61"/>
      <c r="M3351" s="68">
        <v>1</v>
      </c>
      <c r="N3351" s="68" t="s">
        <v>7904</v>
      </c>
    </row>
    <row r="3352" spans="1:14" s="3" customFormat="1" ht="15" x14ac:dyDescent="0.2">
      <c r="A3352" s="63" t="s">
        <v>7991</v>
      </c>
      <c r="B3352" s="60" t="s">
        <v>6080</v>
      </c>
      <c r="C3352" s="55" t="s">
        <v>3757</v>
      </c>
      <c r="D3352" s="39" t="s">
        <v>3754</v>
      </c>
      <c r="E3352" s="68" t="s">
        <v>7992</v>
      </c>
      <c r="F3352" s="84" t="s">
        <v>7993</v>
      </c>
      <c r="G3352" s="8">
        <v>51</v>
      </c>
      <c r="H3352" s="8"/>
      <c r="I3352" s="8"/>
      <c r="J3352" s="55" t="s">
        <v>1264</v>
      </c>
      <c r="K3352" s="112" t="s">
        <v>7994</v>
      </c>
      <c r="L3352" s="62"/>
      <c r="M3352" s="68">
        <v>1</v>
      </c>
      <c r="N3352" s="68" t="s">
        <v>7974</v>
      </c>
    </row>
    <row r="3353" spans="1:14" s="3" customFormat="1" ht="15" x14ac:dyDescent="0.2">
      <c r="A3353" s="63" t="s">
        <v>8044</v>
      </c>
      <c r="B3353" s="60" t="s">
        <v>7750</v>
      </c>
      <c r="C3353" s="55" t="s">
        <v>3758</v>
      </c>
      <c r="D3353" s="39" t="s">
        <v>3754</v>
      </c>
      <c r="E3353" s="112" t="s">
        <v>8045</v>
      </c>
      <c r="F3353" s="84" t="s">
        <v>4534</v>
      </c>
      <c r="G3353" s="8">
        <v>20</v>
      </c>
      <c r="H3353" s="8"/>
      <c r="I3353" s="8"/>
      <c r="J3353" s="55" t="s">
        <v>1264</v>
      </c>
      <c r="K3353" s="112" t="s">
        <v>875</v>
      </c>
      <c r="L3353" s="62"/>
      <c r="M3353" s="68">
        <v>1</v>
      </c>
      <c r="N3353" s="68" t="s">
        <v>7974</v>
      </c>
    </row>
    <row r="3354" spans="1:14" s="3" customFormat="1" ht="15" x14ac:dyDescent="0.2">
      <c r="A3354" s="82" t="s">
        <v>8033</v>
      </c>
      <c r="B3354" s="83" t="s">
        <v>7749</v>
      </c>
      <c r="C3354" s="41" t="s">
        <v>3761</v>
      </c>
      <c r="D3354" s="39" t="s">
        <v>3754</v>
      </c>
      <c r="E3354" s="112" t="s">
        <v>861</v>
      </c>
      <c r="F3354" s="84" t="s">
        <v>8034</v>
      </c>
      <c r="G3354" s="8">
        <v>2</v>
      </c>
      <c r="H3354" s="8">
        <v>5</v>
      </c>
      <c r="I3354" s="8"/>
      <c r="J3354" s="84" t="s">
        <v>8035</v>
      </c>
      <c r="K3354" s="112" t="s">
        <v>8036</v>
      </c>
      <c r="L3354" s="88"/>
      <c r="M3354" s="68">
        <v>1</v>
      </c>
      <c r="N3354" s="68" t="s">
        <v>7974</v>
      </c>
    </row>
    <row r="3355" spans="1:14" s="3" customFormat="1" ht="15" x14ac:dyDescent="0.2">
      <c r="A3355" s="82" t="s">
        <v>8051</v>
      </c>
      <c r="B3355" s="83" t="s">
        <v>4701</v>
      </c>
      <c r="C3355" s="84" t="s">
        <v>3757</v>
      </c>
      <c r="D3355" s="39" t="s">
        <v>3754</v>
      </c>
      <c r="E3355" s="68" t="s">
        <v>8052</v>
      </c>
      <c r="F3355" s="84" t="s">
        <v>8053</v>
      </c>
      <c r="G3355" s="8">
        <v>3</v>
      </c>
      <c r="H3355" s="8"/>
      <c r="I3355" s="8"/>
      <c r="J3355" s="84" t="s">
        <v>1264</v>
      </c>
      <c r="K3355" s="111" t="s">
        <v>8054</v>
      </c>
      <c r="L3355" s="88"/>
      <c r="M3355" s="68">
        <v>1</v>
      </c>
      <c r="N3355" s="68" t="s">
        <v>8050</v>
      </c>
    </row>
    <row r="3356" spans="1:14" s="3" customFormat="1" ht="15" x14ac:dyDescent="0.2">
      <c r="A3356" s="82" t="s">
        <v>7953</v>
      </c>
      <c r="B3356" s="83" t="s">
        <v>3734</v>
      </c>
      <c r="C3356" s="84" t="s">
        <v>3757</v>
      </c>
      <c r="D3356" s="39" t="s">
        <v>3754</v>
      </c>
      <c r="E3356" s="68" t="s">
        <v>8048</v>
      </c>
      <c r="F3356" s="84" t="s">
        <v>8049</v>
      </c>
      <c r="G3356" s="8">
        <v>70</v>
      </c>
      <c r="H3356" s="8"/>
      <c r="I3356" s="8"/>
      <c r="J3356" s="84" t="s">
        <v>1267</v>
      </c>
      <c r="K3356" s="112" t="s">
        <v>5339</v>
      </c>
      <c r="L3356" s="88"/>
      <c r="M3356" s="68">
        <v>1</v>
      </c>
      <c r="N3356" s="68" t="s">
        <v>7974</v>
      </c>
    </row>
    <row r="3357" spans="1:14" s="3" customFormat="1" ht="15" x14ac:dyDescent="0.2">
      <c r="A3357" s="82" t="s">
        <v>7953</v>
      </c>
      <c r="B3357" s="83" t="s">
        <v>4685</v>
      </c>
      <c r="C3357" s="84" t="s">
        <v>3757</v>
      </c>
      <c r="D3357" s="39" t="s">
        <v>3754</v>
      </c>
      <c r="E3357" s="68" t="s">
        <v>674</v>
      </c>
      <c r="F3357" s="84" t="s">
        <v>7958</v>
      </c>
      <c r="G3357" s="8">
        <v>52</v>
      </c>
      <c r="H3357" s="8"/>
      <c r="I3357" s="8"/>
      <c r="J3357" s="84" t="s">
        <v>1264</v>
      </c>
      <c r="K3357" s="112" t="s">
        <v>8028</v>
      </c>
      <c r="L3357" s="88"/>
      <c r="M3357" s="68">
        <v>1</v>
      </c>
      <c r="N3357" s="68" t="s">
        <v>7974</v>
      </c>
    </row>
    <row r="3358" spans="1:14" s="3" customFormat="1" ht="14.25" x14ac:dyDescent="0.2">
      <c r="A3358" s="82" t="s">
        <v>7953</v>
      </c>
      <c r="B3358" s="83" t="s">
        <v>5073</v>
      </c>
      <c r="C3358" s="41" t="s">
        <v>3761</v>
      </c>
      <c r="D3358" s="39" t="s">
        <v>3754</v>
      </c>
      <c r="E3358" s="68" t="s">
        <v>7956</v>
      </c>
      <c r="F3358" s="84" t="s">
        <v>7955</v>
      </c>
      <c r="G3358" s="8">
        <v>2</v>
      </c>
      <c r="H3358" s="8">
        <v>3</v>
      </c>
      <c r="I3358" s="8">
        <v>27</v>
      </c>
      <c r="J3358" s="84" t="s">
        <v>1254</v>
      </c>
      <c r="K3358" s="112" t="s">
        <v>4754</v>
      </c>
      <c r="L3358" s="84"/>
      <c r="M3358" s="68">
        <v>1</v>
      </c>
      <c r="N3358" s="68" t="s">
        <v>7904</v>
      </c>
    </row>
    <row r="3359" spans="1:14" s="3" customFormat="1" ht="14.25" x14ac:dyDescent="0.2">
      <c r="A3359" s="82" t="s">
        <v>7953</v>
      </c>
      <c r="B3359" s="83" t="s">
        <v>3750</v>
      </c>
      <c r="C3359" s="41" t="s">
        <v>3761</v>
      </c>
      <c r="D3359" s="84"/>
      <c r="E3359" s="68" t="s">
        <v>7957</v>
      </c>
      <c r="F3359" s="84" t="s">
        <v>7958</v>
      </c>
      <c r="G3359" s="8">
        <v>1</v>
      </c>
      <c r="H3359" s="8">
        <v>9</v>
      </c>
      <c r="I3359" s="8">
        <v>13</v>
      </c>
      <c r="J3359" s="84" t="s">
        <v>7319</v>
      </c>
      <c r="K3359" s="112" t="s">
        <v>4754</v>
      </c>
      <c r="L3359" s="84"/>
      <c r="M3359" s="68">
        <v>1</v>
      </c>
      <c r="N3359" s="68" t="s">
        <v>7904</v>
      </c>
    </row>
    <row r="3360" spans="1:14" s="3" customFormat="1" ht="15" x14ac:dyDescent="0.2">
      <c r="A3360" s="82" t="s">
        <v>7953</v>
      </c>
      <c r="B3360" s="83" t="s">
        <v>5486</v>
      </c>
      <c r="C3360" s="41" t="s">
        <v>3761</v>
      </c>
      <c r="D3360" s="84" t="s">
        <v>3641</v>
      </c>
      <c r="E3360" s="68" t="s">
        <v>3642</v>
      </c>
      <c r="F3360" s="84" t="s">
        <v>3643</v>
      </c>
      <c r="G3360" s="8">
        <v>16</v>
      </c>
      <c r="H3360" s="8">
        <v>10</v>
      </c>
      <c r="I3360" s="8">
        <v>0</v>
      </c>
      <c r="J3360" s="84" t="s">
        <v>1272</v>
      </c>
      <c r="K3360" s="111" t="s">
        <v>3644</v>
      </c>
      <c r="L3360" s="88"/>
      <c r="M3360" s="68">
        <v>1</v>
      </c>
      <c r="N3360" s="68" t="s">
        <v>8050</v>
      </c>
    </row>
    <row r="3361" spans="1:14" s="3" customFormat="1" ht="15" x14ac:dyDescent="0.2">
      <c r="A3361" s="82" t="s">
        <v>7953</v>
      </c>
      <c r="B3361" s="83" t="s">
        <v>3746</v>
      </c>
      <c r="C3361" s="84" t="s">
        <v>3757</v>
      </c>
      <c r="D3361" s="39" t="s">
        <v>3754</v>
      </c>
      <c r="E3361" s="112" t="s">
        <v>5487</v>
      </c>
      <c r="F3361" s="84" t="s">
        <v>281</v>
      </c>
      <c r="G3361" s="8">
        <v>55</v>
      </c>
      <c r="H3361" s="8"/>
      <c r="I3361" s="8"/>
      <c r="J3361" s="84" t="s">
        <v>1259</v>
      </c>
      <c r="K3361" s="112" t="s">
        <v>523</v>
      </c>
      <c r="L3361" s="88"/>
      <c r="M3361" s="68">
        <v>1</v>
      </c>
      <c r="N3361" s="68" t="s">
        <v>7974</v>
      </c>
    </row>
    <row r="3362" spans="1:14" s="3" customFormat="1" ht="14.25" x14ac:dyDescent="0.2">
      <c r="A3362" s="82" t="s">
        <v>7953</v>
      </c>
      <c r="B3362" s="83" t="s">
        <v>5647</v>
      </c>
      <c r="C3362" s="41" t="s">
        <v>3761</v>
      </c>
      <c r="D3362" s="84"/>
      <c r="E3362" s="112" t="s">
        <v>7954</v>
      </c>
      <c r="F3362" s="84" t="s">
        <v>7955</v>
      </c>
      <c r="G3362" s="8">
        <v>2</v>
      </c>
      <c r="H3362" s="8">
        <v>2</v>
      </c>
      <c r="I3362" s="8">
        <v>15</v>
      </c>
      <c r="J3362" s="84" t="s">
        <v>1985</v>
      </c>
      <c r="K3362" s="112" t="s">
        <v>4754</v>
      </c>
      <c r="L3362" s="84"/>
      <c r="M3362" s="68">
        <v>1</v>
      </c>
      <c r="N3362" s="68" t="s">
        <v>7904</v>
      </c>
    </row>
    <row r="3363" spans="1:14" s="3" customFormat="1" ht="15" x14ac:dyDescent="0.2">
      <c r="A3363" s="82" t="s">
        <v>7953</v>
      </c>
      <c r="B3363" s="83" t="s">
        <v>4701</v>
      </c>
      <c r="C3363" s="84" t="s">
        <v>3757</v>
      </c>
      <c r="D3363" s="39" t="s">
        <v>3754</v>
      </c>
      <c r="E3363" s="112" t="s">
        <v>3630</v>
      </c>
      <c r="F3363" s="84" t="s">
        <v>3631</v>
      </c>
      <c r="G3363" s="8">
        <v>36</v>
      </c>
      <c r="H3363" s="8"/>
      <c r="I3363" s="8"/>
      <c r="J3363" s="84" t="s">
        <v>1264</v>
      </c>
      <c r="K3363" s="111" t="s">
        <v>3632</v>
      </c>
      <c r="L3363" s="88"/>
      <c r="M3363" s="68">
        <v>1</v>
      </c>
      <c r="N3363" s="68" t="s">
        <v>8050</v>
      </c>
    </row>
    <row r="3364" spans="1:14" s="3" customFormat="1" ht="15" x14ac:dyDescent="0.2">
      <c r="A3364" s="82" t="s">
        <v>3657</v>
      </c>
      <c r="B3364" s="83" t="s">
        <v>7748</v>
      </c>
      <c r="C3364" s="84" t="s">
        <v>3757</v>
      </c>
      <c r="D3364" s="39" t="s">
        <v>3754</v>
      </c>
      <c r="E3364" s="55" t="s">
        <v>6774</v>
      </c>
      <c r="F3364" s="84" t="s">
        <v>3658</v>
      </c>
      <c r="G3364" s="8">
        <v>33</v>
      </c>
      <c r="H3364" s="8"/>
      <c r="I3364" s="8"/>
      <c r="J3364" s="84" t="s">
        <v>1264</v>
      </c>
      <c r="K3364" s="111" t="s">
        <v>3659</v>
      </c>
      <c r="L3364" s="88"/>
      <c r="M3364" s="68">
        <v>1</v>
      </c>
      <c r="N3364" s="68" t="s">
        <v>8050</v>
      </c>
    </row>
    <row r="3365" spans="1:14" s="3" customFormat="1" ht="15" x14ac:dyDescent="0.2">
      <c r="A3365" s="82" t="s">
        <v>3622</v>
      </c>
      <c r="B3365" s="83" t="s">
        <v>3740</v>
      </c>
      <c r="C3365" s="41" t="s">
        <v>3761</v>
      </c>
      <c r="D3365" s="39" t="s">
        <v>3754</v>
      </c>
      <c r="E3365" s="112" t="s">
        <v>8404</v>
      </c>
      <c r="F3365" s="84" t="s">
        <v>7442</v>
      </c>
      <c r="G3365" s="8">
        <v>22</v>
      </c>
      <c r="H3365" s="8"/>
      <c r="I3365" s="8"/>
      <c r="J3365" s="84" t="s">
        <v>5010</v>
      </c>
      <c r="K3365" s="111" t="s">
        <v>3623</v>
      </c>
      <c r="L3365" s="88"/>
      <c r="M3365" s="68">
        <v>1</v>
      </c>
      <c r="N3365" s="68" t="s">
        <v>8050</v>
      </c>
    </row>
    <row r="3366" spans="1:14" s="3" customFormat="1" ht="15" x14ac:dyDescent="0.2">
      <c r="A3366" s="82" t="s">
        <v>7997</v>
      </c>
      <c r="B3366" s="83" t="s">
        <v>4703</v>
      </c>
      <c r="C3366" s="41" t="s">
        <v>3761</v>
      </c>
      <c r="D3366" s="39" t="s">
        <v>3754</v>
      </c>
      <c r="E3366" s="68" t="s">
        <v>5935</v>
      </c>
      <c r="F3366" s="84" t="s">
        <v>7998</v>
      </c>
      <c r="G3366" s="8">
        <v>18</v>
      </c>
      <c r="H3366" s="8"/>
      <c r="I3366" s="8"/>
      <c r="J3366" s="84" t="s">
        <v>4748</v>
      </c>
      <c r="K3366" s="112" t="s">
        <v>4585</v>
      </c>
      <c r="L3366" s="88"/>
      <c r="M3366" s="68">
        <v>1</v>
      </c>
      <c r="N3366" s="68" t="s">
        <v>7974</v>
      </c>
    </row>
    <row r="3367" spans="1:14" s="3" customFormat="1" ht="15" x14ac:dyDescent="0.2">
      <c r="A3367" s="82" t="s">
        <v>7959</v>
      </c>
      <c r="B3367" s="83" t="s">
        <v>5020</v>
      </c>
      <c r="C3367" s="53" t="s">
        <v>3767</v>
      </c>
      <c r="D3367" s="39" t="s">
        <v>3765</v>
      </c>
      <c r="E3367" s="68" t="s">
        <v>8055</v>
      </c>
      <c r="F3367" s="84" t="s">
        <v>8056</v>
      </c>
      <c r="G3367" s="8"/>
      <c r="H3367" s="8"/>
      <c r="I3367" s="8">
        <v>1</v>
      </c>
      <c r="J3367" s="84" t="s">
        <v>1277</v>
      </c>
      <c r="K3367" s="111" t="s">
        <v>8057</v>
      </c>
      <c r="L3367" s="88"/>
      <c r="M3367" s="68">
        <v>1</v>
      </c>
      <c r="N3367" s="68" t="s">
        <v>8050</v>
      </c>
    </row>
    <row r="3368" spans="1:14" s="3" customFormat="1" ht="15" x14ac:dyDescent="0.2">
      <c r="A3368" s="82" t="s">
        <v>7959</v>
      </c>
      <c r="B3368" s="83" t="s">
        <v>7646</v>
      </c>
      <c r="C3368" s="39" t="s">
        <v>3767</v>
      </c>
      <c r="D3368" s="84" t="s">
        <v>3767</v>
      </c>
      <c r="E3368" s="68" t="s">
        <v>500</v>
      </c>
      <c r="F3368" s="84" t="s">
        <v>7874</v>
      </c>
      <c r="G3368" s="8"/>
      <c r="H3368" s="8">
        <v>22</v>
      </c>
      <c r="I3368" s="8"/>
      <c r="J3368" s="84" t="s">
        <v>4790</v>
      </c>
      <c r="K3368" s="112" t="s">
        <v>5783</v>
      </c>
      <c r="L3368" s="88"/>
      <c r="M3368" s="68">
        <v>1</v>
      </c>
      <c r="N3368" s="68" t="s">
        <v>7974</v>
      </c>
    </row>
    <row r="3369" spans="1:14" s="3" customFormat="1" ht="14.25" x14ac:dyDescent="0.2">
      <c r="A3369" s="82" t="s">
        <v>7959</v>
      </c>
      <c r="B3369" s="83" t="s">
        <v>1445</v>
      </c>
      <c r="C3369" s="53" t="s">
        <v>3767</v>
      </c>
      <c r="D3369" s="84"/>
      <c r="E3369" s="112" t="s">
        <v>7960</v>
      </c>
      <c r="F3369" s="84" t="s">
        <v>7961</v>
      </c>
      <c r="G3369" s="8">
        <v>9</v>
      </c>
      <c r="H3369" s="8">
        <v>10</v>
      </c>
      <c r="I3369" s="8"/>
      <c r="J3369" s="84" t="s">
        <v>1258</v>
      </c>
      <c r="K3369" s="112" t="s">
        <v>3446</v>
      </c>
      <c r="L3369" s="84"/>
      <c r="M3369" s="68">
        <v>1</v>
      </c>
      <c r="N3369" s="68" t="s">
        <v>7904</v>
      </c>
    </row>
    <row r="3370" spans="1:14" s="3" customFormat="1" ht="15" x14ac:dyDescent="0.2">
      <c r="A3370" s="82" t="s">
        <v>7935</v>
      </c>
      <c r="B3370" s="83" t="s">
        <v>5712</v>
      </c>
      <c r="C3370" s="84" t="s">
        <v>3757</v>
      </c>
      <c r="D3370" s="39" t="s">
        <v>3754</v>
      </c>
      <c r="E3370" s="68" t="s">
        <v>2500</v>
      </c>
      <c r="F3370" s="84" t="s">
        <v>8027</v>
      </c>
      <c r="G3370" s="8">
        <v>52</v>
      </c>
      <c r="H3370" s="8"/>
      <c r="I3370" s="8"/>
      <c r="J3370" s="84" t="s">
        <v>1264</v>
      </c>
      <c r="K3370" s="112" t="s">
        <v>3246</v>
      </c>
      <c r="L3370" s="88"/>
      <c r="M3370" s="68">
        <v>1</v>
      </c>
      <c r="N3370" s="68" t="s">
        <v>7974</v>
      </c>
    </row>
    <row r="3371" spans="1:14" s="3" customFormat="1" ht="14.25" x14ac:dyDescent="0.2">
      <c r="A3371" s="82" t="s">
        <v>7935</v>
      </c>
      <c r="B3371" s="83" t="s">
        <v>3733</v>
      </c>
      <c r="C3371" s="41" t="s">
        <v>3761</v>
      </c>
      <c r="D3371" s="39" t="s">
        <v>3754</v>
      </c>
      <c r="E3371" s="68" t="s">
        <v>1240</v>
      </c>
      <c r="F3371" s="84" t="s">
        <v>7936</v>
      </c>
      <c r="G3371" s="8">
        <v>44</v>
      </c>
      <c r="H3371" s="8"/>
      <c r="I3371" s="8"/>
      <c r="J3371" s="84" t="s">
        <v>1255</v>
      </c>
      <c r="K3371" s="68" t="s">
        <v>5716</v>
      </c>
      <c r="L3371" s="84"/>
      <c r="M3371" s="68">
        <v>1</v>
      </c>
      <c r="N3371" s="68" t="s">
        <v>7904</v>
      </c>
    </row>
    <row r="3372" spans="1:14" s="3" customFormat="1" ht="15" x14ac:dyDescent="0.2">
      <c r="A3372" s="82" t="s">
        <v>8077</v>
      </c>
      <c r="B3372" s="83" t="s">
        <v>5663</v>
      </c>
      <c r="C3372" s="41" t="s">
        <v>3761</v>
      </c>
      <c r="D3372" s="39" t="s">
        <v>3754</v>
      </c>
      <c r="E3372" s="68" t="s">
        <v>6221</v>
      </c>
      <c r="F3372" s="84" t="s">
        <v>8078</v>
      </c>
      <c r="G3372" s="8">
        <v>27</v>
      </c>
      <c r="H3372" s="8"/>
      <c r="I3372" s="8"/>
      <c r="J3372" s="84" t="s">
        <v>2335</v>
      </c>
      <c r="K3372" s="111" t="s">
        <v>8079</v>
      </c>
      <c r="L3372" s="88"/>
      <c r="M3372" s="68">
        <v>1</v>
      </c>
      <c r="N3372" s="68" t="s">
        <v>8050</v>
      </c>
    </row>
    <row r="3373" spans="1:14" s="3" customFormat="1" ht="15" x14ac:dyDescent="0.2">
      <c r="A3373" s="82" t="s">
        <v>7905</v>
      </c>
      <c r="B3373" s="83" t="s">
        <v>5135</v>
      </c>
      <c r="C3373" s="41" t="s">
        <v>3761</v>
      </c>
      <c r="D3373" s="39" t="s">
        <v>3754</v>
      </c>
      <c r="E3373" s="68" t="s">
        <v>7984</v>
      </c>
      <c r="F3373" s="84" t="s">
        <v>7985</v>
      </c>
      <c r="G3373" s="8"/>
      <c r="H3373" s="8">
        <v>2</v>
      </c>
      <c r="I3373" s="8"/>
      <c r="J3373" s="84" t="s">
        <v>8482</v>
      </c>
      <c r="K3373" s="68" t="s">
        <v>5651</v>
      </c>
      <c r="L3373" s="88"/>
      <c r="M3373" s="68">
        <v>1</v>
      </c>
      <c r="N3373" s="68" t="s">
        <v>7974</v>
      </c>
    </row>
    <row r="3374" spans="1:14" s="3" customFormat="1" ht="14.25" x14ac:dyDescent="0.2">
      <c r="A3374" s="82" t="s">
        <v>7905</v>
      </c>
      <c r="B3374" s="83" t="s">
        <v>7747</v>
      </c>
      <c r="C3374" s="84" t="s">
        <v>3757</v>
      </c>
      <c r="D3374" s="39" t="s">
        <v>3754</v>
      </c>
      <c r="E3374" s="112"/>
      <c r="F3374" s="84" t="s">
        <v>1541</v>
      </c>
      <c r="G3374" s="8">
        <v>73</v>
      </c>
      <c r="H3374" s="8"/>
      <c r="I3374" s="8"/>
      <c r="J3374" s="84" t="s">
        <v>1271</v>
      </c>
      <c r="K3374" s="112" t="s">
        <v>1212</v>
      </c>
      <c r="L3374" s="84"/>
      <c r="M3374" s="68">
        <v>1</v>
      </c>
      <c r="N3374" s="68" t="s">
        <v>7904</v>
      </c>
    </row>
    <row r="3375" spans="1:14" s="3" customFormat="1" ht="15" x14ac:dyDescent="0.2">
      <c r="A3375" s="82" t="s">
        <v>7905</v>
      </c>
      <c r="B3375" s="83" t="s">
        <v>3748</v>
      </c>
      <c r="C3375" s="84" t="s">
        <v>3757</v>
      </c>
      <c r="D3375" s="39" t="s">
        <v>3754</v>
      </c>
      <c r="E3375" s="112" t="s">
        <v>8041</v>
      </c>
      <c r="F3375" s="84" t="s">
        <v>8042</v>
      </c>
      <c r="G3375" s="8">
        <v>32</v>
      </c>
      <c r="H3375" s="8"/>
      <c r="I3375" s="8"/>
      <c r="J3375" s="84" t="s">
        <v>1264</v>
      </c>
      <c r="K3375" s="112" t="s">
        <v>8043</v>
      </c>
      <c r="L3375" s="88"/>
      <c r="M3375" s="68">
        <v>1</v>
      </c>
      <c r="N3375" s="68" t="s">
        <v>7974</v>
      </c>
    </row>
    <row r="3376" spans="1:14" s="3" customFormat="1" ht="15" x14ac:dyDescent="0.2">
      <c r="A3376" s="82" t="s">
        <v>7905</v>
      </c>
      <c r="B3376" s="83" t="s">
        <v>3734</v>
      </c>
      <c r="C3376" s="84" t="s">
        <v>3757</v>
      </c>
      <c r="D3376" s="39" t="s">
        <v>3754</v>
      </c>
      <c r="E3376" s="68" t="s">
        <v>8004</v>
      </c>
      <c r="F3376" s="84" t="s">
        <v>8005</v>
      </c>
      <c r="G3376" s="8">
        <v>39</v>
      </c>
      <c r="H3376" s="8"/>
      <c r="I3376" s="8"/>
      <c r="J3376" s="84" t="s">
        <v>1788</v>
      </c>
      <c r="K3376" s="112" t="s">
        <v>8003</v>
      </c>
      <c r="L3376" s="88"/>
      <c r="M3376" s="68">
        <v>1</v>
      </c>
      <c r="N3376" s="68" t="s">
        <v>7974</v>
      </c>
    </row>
    <row r="3377" spans="1:14" s="3" customFormat="1" ht="15" x14ac:dyDescent="0.2">
      <c r="A3377" s="82" t="s">
        <v>7905</v>
      </c>
      <c r="B3377" s="83" t="s">
        <v>7746</v>
      </c>
      <c r="C3377" s="41" t="s">
        <v>3761</v>
      </c>
      <c r="D3377" s="39" t="s">
        <v>3754</v>
      </c>
      <c r="E3377" s="112" t="s">
        <v>4831</v>
      </c>
      <c r="F3377" s="84" t="s">
        <v>7989</v>
      </c>
      <c r="G3377" s="8">
        <v>1</v>
      </c>
      <c r="H3377" s="8">
        <v>9</v>
      </c>
      <c r="I3377" s="8">
        <v>13</v>
      </c>
      <c r="J3377" s="84" t="s">
        <v>6616</v>
      </c>
      <c r="K3377" s="112" t="s">
        <v>7990</v>
      </c>
      <c r="L3377" s="88"/>
      <c r="M3377" s="68">
        <v>1</v>
      </c>
      <c r="N3377" s="68" t="s">
        <v>7974</v>
      </c>
    </row>
    <row r="3378" spans="1:14" s="3" customFormat="1" ht="14.25" x14ac:dyDescent="0.2">
      <c r="A3378" s="82" t="s">
        <v>7905</v>
      </c>
      <c r="B3378" s="83" t="s">
        <v>1809</v>
      </c>
      <c r="C3378" s="41" t="s">
        <v>3761</v>
      </c>
      <c r="D3378" s="39" t="s">
        <v>3754</v>
      </c>
      <c r="E3378" s="112" t="s">
        <v>7921</v>
      </c>
      <c r="F3378" s="84" t="s">
        <v>1541</v>
      </c>
      <c r="G3378" s="8">
        <v>1</v>
      </c>
      <c r="H3378" s="8">
        <v>6</v>
      </c>
      <c r="I3378" s="8"/>
      <c r="J3378" s="84" t="s">
        <v>1261</v>
      </c>
      <c r="K3378" s="112" t="s">
        <v>7922</v>
      </c>
      <c r="L3378" s="84"/>
      <c r="M3378" s="68">
        <v>1</v>
      </c>
      <c r="N3378" s="68" t="s">
        <v>7904</v>
      </c>
    </row>
    <row r="3379" spans="1:14" s="3" customFormat="1" ht="15" x14ac:dyDescent="0.2">
      <c r="A3379" s="82" t="s">
        <v>7905</v>
      </c>
      <c r="B3379" s="83" t="s">
        <v>7745</v>
      </c>
      <c r="C3379" s="41" t="s">
        <v>3761</v>
      </c>
      <c r="D3379" s="39" t="s">
        <v>3754</v>
      </c>
      <c r="E3379" s="112" t="s">
        <v>2876</v>
      </c>
      <c r="F3379" s="84" t="s">
        <v>8068</v>
      </c>
      <c r="G3379" s="8">
        <v>4</v>
      </c>
      <c r="H3379" s="8"/>
      <c r="I3379" s="8"/>
      <c r="J3379" s="84" t="s">
        <v>1254</v>
      </c>
      <c r="K3379" s="111" t="s">
        <v>8069</v>
      </c>
      <c r="L3379" s="88"/>
      <c r="M3379" s="68">
        <v>1</v>
      </c>
      <c r="N3379" s="68" t="s">
        <v>8050</v>
      </c>
    </row>
    <row r="3380" spans="1:14" s="3" customFormat="1" ht="14.25" x14ac:dyDescent="0.2">
      <c r="A3380" s="82" t="s">
        <v>7905</v>
      </c>
      <c r="B3380" s="83" t="s">
        <v>3728</v>
      </c>
      <c r="C3380" s="41" t="s">
        <v>3761</v>
      </c>
      <c r="D3380" s="39" t="s">
        <v>3754</v>
      </c>
      <c r="E3380" s="68" t="s">
        <v>8315</v>
      </c>
      <c r="F3380" s="84" t="s">
        <v>1541</v>
      </c>
      <c r="G3380" s="8"/>
      <c r="H3380" s="8">
        <v>5</v>
      </c>
      <c r="I3380" s="8"/>
      <c r="J3380" s="84" t="s">
        <v>7919</v>
      </c>
      <c r="K3380" s="68" t="s">
        <v>7920</v>
      </c>
      <c r="L3380" s="84"/>
      <c r="M3380" s="68">
        <v>1</v>
      </c>
      <c r="N3380" s="68" t="s">
        <v>7904</v>
      </c>
    </row>
    <row r="3381" spans="1:14" s="3" customFormat="1" ht="14.25" x14ac:dyDescent="0.2">
      <c r="A3381" s="82" t="s">
        <v>7905</v>
      </c>
      <c r="B3381" s="83" t="s">
        <v>4685</v>
      </c>
      <c r="C3381" s="41" t="s">
        <v>3761</v>
      </c>
      <c r="D3381" s="39" t="s">
        <v>3754</v>
      </c>
      <c r="E3381" s="68" t="s">
        <v>7906</v>
      </c>
      <c r="F3381" s="84" t="s">
        <v>1541</v>
      </c>
      <c r="G3381" s="8"/>
      <c r="H3381" s="8">
        <v>3</v>
      </c>
      <c r="I3381" s="8"/>
      <c r="J3381" s="84" t="s">
        <v>4075</v>
      </c>
      <c r="K3381" s="112" t="s">
        <v>7907</v>
      </c>
      <c r="L3381" s="84"/>
      <c r="M3381" s="68">
        <v>1</v>
      </c>
      <c r="N3381" s="68" t="s">
        <v>7904</v>
      </c>
    </row>
    <row r="3382" spans="1:14" s="3" customFormat="1" ht="14.25" x14ac:dyDescent="0.2">
      <c r="A3382" s="82" t="s">
        <v>7905</v>
      </c>
      <c r="B3382" s="83" t="s">
        <v>3740</v>
      </c>
      <c r="C3382" s="84" t="s">
        <v>3757</v>
      </c>
      <c r="D3382" s="39" t="s">
        <v>3754</v>
      </c>
      <c r="E3382" s="112" t="s">
        <v>7924</v>
      </c>
      <c r="F3382" s="84" t="s">
        <v>1541</v>
      </c>
      <c r="G3382" s="8">
        <v>40</v>
      </c>
      <c r="H3382" s="8"/>
      <c r="I3382" s="8"/>
      <c r="J3382" s="84" t="s">
        <v>1264</v>
      </c>
      <c r="K3382" s="112" t="s">
        <v>7925</v>
      </c>
      <c r="L3382" s="84"/>
      <c r="M3382" s="68">
        <v>1</v>
      </c>
      <c r="N3382" s="68" t="s">
        <v>7904</v>
      </c>
    </row>
    <row r="3383" spans="1:14" s="3" customFormat="1" ht="14.25" x14ac:dyDescent="0.2">
      <c r="A3383" s="82" t="s">
        <v>7905</v>
      </c>
      <c r="B3383" s="83" t="s">
        <v>4982</v>
      </c>
      <c r="C3383" s="41" t="s">
        <v>3761</v>
      </c>
      <c r="D3383" s="39" t="s">
        <v>3754</v>
      </c>
      <c r="E3383" s="68" t="s">
        <v>7923</v>
      </c>
      <c r="F3383" s="84" t="s">
        <v>1541</v>
      </c>
      <c r="G3383" s="8">
        <v>5</v>
      </c>
      <c r="H3383" s="8">
        <v>8</v>
      </c>
      <c r="I3383" s="8"/>
      <c r="J3383" s="84" t="s">
        <v>8805</v>
      </c>
      <c r="K3383" s="112" t="s">
        <v>7922</v>
      </c>
      <c r="L3383" s="84"/>
      <c r="M3383" s="68">
        <v>1</v>
      </c>
      <c r="N3383" s="68" t="s">
        <v>7904</v>
      </c>
    </row>
    <row r="3384" spans="1:14" s="3" customFormat="1" ht="15" x14ac:dyDescent="0.2">
      <c r="A3384" s="63" t="s">
        <v>7905</v>
      </c>
      <c r="B3384" s="60" t="s">
        <v>3732</v>
      </c>
      <c r="C3384" s="61" t="s">
        <v>3757</v>
      </c>
      <c r="D3384" s="55"/>
      <c r="E3384" s="68" t="s">
        <v>8024</v>
      </c>
      <c r="F3384" s="55" t="s">
        <v>8025</v>
      </c>
      <c r="G3384" s="8">
        <v>48</v>
      </c>
      <c r="H3384" s="8"/>
      <c r="I3384" s="8"/>
      <c r="J3384" s="55"/>
      <c r="K3384" s="112" t="s">
        <v>3164</v>
      </c>
      <c r="L3384" s="62"/>
      <c r="M3384" s="68">
        <v>1</v>
      </c>
      <c r="N3384" s="68" t="s">
        <v>7974</v>
      </c>
    </row>
    <row r="3385" spans="1:14" s="3" customFormat="1" ht="14.25" x14ac:dyDescent="0.2">
      <c r="A3385" s="63" t="s">
        <v>7905</v>
      </c>
      <c r="B3385" s="60" t="s">
        <v>2094</v>
      </c>
      <c r="C3385" s="55" t="s">
        <v>3757</v>
      </c>
      <c r="D3385" s="10" t="s">
        <v>3754</v>
      </c>
      <c r="E3385" s="112" t="s">
        <v>7926</v>
      </c>
      <c r="F3385" s="55" t="s">
        <v>1541</v>
      </c>
      <c r="G3385" s="8">
        <v>64</v>
      </c>
      <c r="H3385" s="8"/>
      <c r="I3385" s="8"/>
      <c r="J3385" s="55" t="s">
        <v>1259</v>
      </c>
      <c r="K3385" s="112" t="s">
        <v>2046</v>
      </c>
      <c r="L3385" s="61"/>
      <c r="M3385" s="68">
        <v>1</v>
      </c>
      <c r="N3385" s="68" t="s">
        <v>7904</v>
      </c>
    </row>
    <row r="3386" spans="1:14" s="3" customFormat="1" ht="15" x14ac:dyDescent="0.2">
      <c r="A3386" s="82" t="s">
        <v>7905</v>
      </c>
      <c r="B3386" s="83" t="s">
        <v>7744</v>
      </c>
      <c r="C3386" s="41" t="s">
        <v>3761</v>
      </c>
      <c r="D3386" s="39" t="s">
        <v>3754</v>
      </c>
      <c r="E3386" s="68" t="s">
        <v>8026</v>
      </c>
      <c r="F3386" s="84" t="s">
        <v>7989</v>
      </c>
      <c r="G3386" s="8">
        <v>22</v>
      </c>
      <c r="H3386" s="8">
        <v>7</v>
      </c>
      <c r="I3386" s="8"/>
      <c r="J3386" s="84" t="s">
        <v>5152</v>
      </c>
      <c r="K3386" s="112" t="s">
        <v>2345</v>
      </c>
      <c r="L3386" s="58"/>
      <c r="M3386" s="68">
        <v>1</v>
      </c>
      <c r="N3386" s="68" t="s">
        <v>7974</v>
      </c>
    </row>
    <row r="3387" spans="1:14" s="3" customFormat="1" ht="15" x14ac:dyDescent="0.2">
      <c r="A3387" s="82" t="s">
        <v>7905</v>
      </c>
      <c r="B3387" s="83" t="s">
        <v>5904</v>
      </c>
      <c r="C3387" s="41" t="s">
        <v>3761</v>
      </c>
      <c r="D3387" s="39" t="s">
        <v>3754</v>
      </c>
      <c r="E3387" s="68"/>
      <c r="F3387" s="84" t="s">
        <v>7986</v>
      </c>
      <c r="G3387" s="8">
        <v>1</v>
      </c>
      <c r="H3387" s="8">
        <v>2</v>
      </c>
      <c r="I3387" s="8"/>
      <c r="J3387" s="84" t="s">
        <v>4790</v>
      </c>
      <c r="K3387" s="112" t="s">
        <v>206</v>
      </c>
      <c r="L3387" s="58"/>
      <c r="M3387" s="68">
        <v>1</v>
      </c>
      <c r="N3387" s="68" t="s">
        <v>7974</v>
      </c>
    </row>
    <row r="3388" spans="1:14" s="3" customFormat="1" ht="14.25" x14ac:dyDescent="0.2">
      <c r="A3388" s="82" t="s">
        <v>7905</v>
      </c>
      <c r="B3388" s="83" t="s">
        <v>2055</v>
      </c>
      <c r="C3388" s="41" t="s">
        <v>3761</v>
      </c>
      <c r="D3388" s="92"/>
      <c r="E3388" s="112" t="s">
        <v>7341</v>
      </c>
      <c r="F3388" s="84" t="s">
        <v>7944</v>
      </c>
      <c r="G3388" s="8"/>
      <c r="H3388" s="8">
        <v>2</v>
      </c>
      <c r="I3388" s="8"/>
      <c r="J3388" s="84" t="s">
        <v>1258</v>
      </c>
      <c r="K3388" s="112" t="s">
        <v>5790</v>
      </c>
      <c r="L3388" s="29"/>
      <c r="M3388" s="68">
        <v>1</v>
      </c>
      <c r="N3388" s="68" t="s">
        <v>7904</v>
      </c>
    </row>
    <row r="3389" spans="1:14" s="3" customFormat="1" ht="15" x14ac:dyDescent="0.2">
      <c r="A3389" s="82" t="s">
        <v>7905</v>
      </c>
      <c r="B3389" s="83" t="s">
        <v>8616</v>
      </c>
      <c r="C3389" s="84" t="s">
        <v>3757</v>
      </c>
      <c r="D3389" s="39" t="s">
        <v>3754</v>
      </c>
      <c r="E3389" s="68" t="s">
        <v>6066</v>
      </c>
      <c r="F3389" s="84" t="s">
        <v>493</v>
      </c>
      <c r="G3389" s="8">
        <v>82</v>
      </c>
      <c r="H3389" s="8"/>
      <c r="I3389" s="8"/>
      <c r="J3389" s="84" t="s">
        <v>1271</v>
      </c>
      <c r="K3389" s="112" t="s">
        <v>5297</v>
      </c>
      <c r="L3389" s="58"/>
      <c r="M3389" s="68">
        <v>1</v>
      </c>
      <c r="N3389" s="68" t="s">
        <v>7974</v>
      </c>
    </row>
    <row r="3390" spans="1:14" s="3" customFormat="1" ht="15" x14ac:dyDescent="0.2">
      <c r="A3390" s="82" t="s">
        <v>7905</v>
      </c>
      <c r="B3390" s="83" t="s">
        <v>3733</v>
      </c>
      <c r="C3390" s="41" t="s">
        <v>3761</v>
      </c>
      <c r="D3390" s="39" t="s">
        <v>3754</v>
      </c>
      <c r="E3390" s="112" t="s">
        <v>4849</v>
      </c>
      <c r="F3390" s="84" t="s">
        <v>8002</v>
      </c>
      <c r="G3390" s="8">
        <v>3</v>
      </c>
      <c r="H3390" s="8"/>
      <c r="I3390" s="8"/>
      <c r="J3390" s="84" t="s">
        <v>6616</v>
      </c>
      <c r="K3390" s="112" t="s">
        <v>8003</v>
      </c>
      <c r="L3390" s="58"/>
      <c r="M3390" s="68">
        <v>1</v>
      </c>
      <c r="N3390" s="68" t="s">
        <v>7974</v>
      </c>
    </row>
    <row r="3391" spans="1:14" s="3" customFormat="1" ht="15" x14ac:dyDescent="0.2">
      <c r="A3391" s="82" t="s">
        <v>7905</v>
      </c>
      <c r="B3391" s="83" t="s">
        <v>3726</v>
      </c>
      <c r="C3391" s="84" t="s">
        <v>3757</v>
      </c>
      <c r="D3391" s="39" t="s">
        <v>3754</v>
      </c>
      <c r="E3391" s="68" t="s">
        <v>5299</v>
      </c>
      <c r="F3391" s="84" t="s">
        <v>8037</v>
      </c>
      <c r="G3391" s="8">
        <v>58</v>
      </c>
      <c r="H3391" s="8"/>
      <c r="I3391" s="8"/>
      <c r="J3391" s="84" t="s">
        <v>1264</v>
      </c>
      <c r="K3391" s="112" t="s">
        <v>3815</v>
      </c>
      <c r="L3391" s="58"/>
      <c r="M3391" s="68">
        <v>1</v>
      </c>
      <c r="N3391" s="68" t="s">
        <v>7974</v>
      </c>
    </row>
    <row r="3392" spans="1:14" s="3" customFormat="1" ht="15" x14ac:dyDescent="0.2">
      <c r="A3392" s="82" t="s">
        <v>8011</v>
      </c>
      <c r="B3392" s="83" t="s">
        <v>4795</v>
      </c>
      <c r="C3392" s="84" t="s">
        <v>3757</v>
      </c>
      <c r="D3392" s="39" t="s">
        <v>3754</v>
      </c>
      <c r="E3392" s="112"/>
      <c r="F3392" s="84" t="s">
        <v>5252</v>
      </c>
      <c r="G3392" s="8">
        <v>46</v>
      </c>
      <c r="H3392" s="8"/>
      <c r="I3392" s="8"/>
      <c r="J3392" s="84" t="s">
        <v>1259</v>
      </c>
      <c r="K3392" s="112" t="s">
        <v>8012</v>
      </c>
      <c r="L3392" s="58"/>
      <c r="M3392" s="68">
        <v>1</v>
      </c>
      <c r="N3392" s="68" t="s">
        <v>7974</v>
      </c>
    </row>
    <row r="3393" spans="1:14" s="3" customFormat="1" ht="14.25" x14ac:dyDescent="0.2">
      <c r="A3393" s="82" t="s">
        <v>7908</v>
      </c>
      <c r="B3393" s="83" t="s">
        <v>7743</v>
      </c>
      <c r="C3393" s="41" t="s">
        <v>3761</v>
      </c>
      <c r="D3393" s="39" t="s">
        <v>3754</v>
      </c>
      <c r="E3393" s="112" t="s">
        <v>4244</v>
      </c>
      <c r="F3393" s="84" t="s">
        <v>7949</v>
      </c>
      <c r="G3393" s="8"/>
      <c r="H3393" s="8">
        <v>7</v>
      </c>
      <c r="I3393" s="8">
        <v>19</v>
      </c>
      <c r="J3393" s="84" t="s">
        <v>7950</v>
      </c>
      <c r="K3393" s="112" t="s">
        <v>4257</v>
      </c>
      <c r="L3393" s="29"/>
      <c r="M3393" s="68">
        <v>1</v>
      </c>
      <c r="N3393" s="68" t="s">
        <v>7904</v>
      </c>
    </row>
    <row r="3394" spans="1:14" s="3" customFormat="1" ht="14.25" x14ac:dyDescent="0.2">
      <c r="A3394" s="82" t="s">
        <v>7908</v>
      </c>
      <c r="B3394" s="83" t="s">
        <v>4685</v>
      </c>
      <c r="C3394" s="41" t="s">
        <v>3761</v>
      </c>
      <c r="D3394" s="39" t="s">
        <v>3754</v>
      </c>
      <c r="E3394" s="112" t="s">
        <v>7909</v>
      </c>
      <c r="F3394" s="84" t="s">
        <v>1541</v>
      </c>
      <c r="G3394" s="8"/>
      <c r="H3394" s="8">
        <v>11</v>
      </c>
      <c r="I3394" s="8"/>
      <c r="J3394" s="84" t="s">
        <v>1258</v>
      </c>
      <c r="K3394" s="112" t="s">
        <v>1205</v>
      </c>
      <c r="L3394" s="29"/>
      <c r="M3394" s="68">
        <v>1</v>
      </c>
      <c r="N3394" s="68" t="s">
        <v>7904</v>
      </c>
    </row>
    <row r="3395" spans="1:14" s="3" customFormat="1" ht="14.25" x14ac:dyDescent="0.2">
      <c r="A3395" s="82" t="s">
        <v>7908</v>
      </c>
      <c r="B3395" s="83" t="s">
        <v>7742</v>
      </c>
      <c r="C3395" s="41" t="s">
        <v>3761</v>
      </c>
      <c r="D3395" s="39" t="s">
        <v>3754</v>
      </c>
      <c r="E3395" s="68" t="s">
        <v>7918</v>
      </c>
      <c r="F3395" s="84" t="s">
        <v>1541</v>
      </c>
      <c r="G3395" s="8"/>
      <c r="H3395" s="8">
        <v>10</v>
      </c>
      <c r="I3395" s="8"/>
      <c r="J3395" s="84" t="s">
        <v>4790</v>
      </c>
      <c r="K3395" s="112" t="s">
        <v>2985</v>
      </c>
      <c r="L3395" s="29"/>
      <c r="M3395" s="68">
        <v>1</v>
      </c>
      <c r="N3395" s="68" t="s">
        <v>7904</v>
      </c>
    </row>
    <row r="3396" spans="1:14" s="3" customFormat="1" ht="14.25" x14ac:dyDescent="0.2">
      <c r="A3396" s="82" t="s">
        <v>7908</v>
      </c>
      <c r="B3396" s="83" t="s">
        <v>3740</v>
      </c>
      <c r="C3396" s="84" t="s">
        <v>3757</v>
      </c>
      <c r="D3396" s="39" t="s">
        <v>3754</v>
      </c>
      <c r="E3396" s="68" t="s">
        <v>7910</v>
      </c>
      <c r="F3396" s="84" t="s">
        <v>1541</v>
      </c>
      <c r="G3396" s="8">
        <v>48</v>
      </c>
      <c r="H3396" s="8"/>
      <c r="I3396" s="8"/>
      <c r="J3396" s="84" t="s">
        <v>6669</v>
      </c>
      <c r="K3396" s="112" t="s">
        <v>1205</v>
      </c>
      <c r="L3396" s="29"/>
      <c r="M3396" s="68">
        <v>1</v>
      </c>
      <c r="N3396" s="68" t="s">
        <v>7904</v>
      </c>
    </row>
    <row r="3397" spans="1:14" s="3" customFormat="1" ht="15" x14ac:dyDescent="0.2">
      <c r="A3397" s="82" t="s">
        <v>7908</v>
      </c>
      <c r="B3397" s="83" t="s">
        <v>7741</v>
      </c>
      <c r="C3397" s="41" t="s">
        <v>3761</v>
      </c>
      <c r="D3397" s="39" t="s">
        <v>3754</v>
      </c>
      <c r="E3397" s="112" t="s">
        <v>3633</v>
      </c>
      <c r="F3397" s="84" t="s">
        <v>3634</v>
      </c>
      <c r="G3397" s="8">
        <v>23</v>
      </c>
      <c r="H3397" s="8"/>
      <c r="I3397" s="8"/>
      <c r="J3397" s="84" t="s">
        <v>1264</v>
      </c>
      <c r="K3397" s="111" t="s">
        <v>3635</v>
      </c>
      <c r="L3397" s="58"/>
      <c r="M3397" s="68">
        <v>1</v>
      </c>
      <c r="N3397" s="68" t="s">
        <v>8050</v>
      </c>
    </row>
    <row r="3398" spans="1:14" s="3" customFormat="1" ht="15" x14ac:dyDescent="0.2">
      <c r="A3398" s="82" t="s">
        <v>7979</v>
      </c>
      <c r="B3398" s="83" t="s">
        <v>7740</v>
      </c>
      <c r="C3398" s="84" t="s">
        <v>7980</v>
      </c>
      <c r="D3398" s="39" t="s">
        <v>3754</v>
      </c>
      <c r="E3398" s="68" t="s">
        <v>7981</v>
      </c>
      <c r="F3398" s="84" t="s">
        <v>7982</v>
      </c>
      <c r="G3398" s="8">
        <v>17</v>
      </c>
      <c r="H3398" s="8"/>
      <c r="I3398" s="8"/>
      <c r="J3398" s="84" t="s">
        <v>1264</v>
      </c>
      <c r="K3398" s="112" t="s">
        <v>1444</v>
      </c>
      <c r="L3398" s="58"/>
      <c r="M3398" s="68">
        <v>1</v>
      </c>
      <c r="N3398" s="68" t="s">
        <v>7974</v>
      </c>
    </row>
    <row r="3399" spans="1:14" s="3" customFormat="1" ht="15" x14ac:dyDescent="0.2">
      <c r="A3399" s="82" t="s">
        <v>7979</v>
      </c>
      <c r="B3399" s="83" t="s">
        <v>7740</v>
      </c>
      <c r="C3399" s="84" t="s">
        <v>3757</v>
      </c>
      <c r="D3399" s="39" t="s">
        <v>3754</v>
      </c>
      <c r="E3399" s="112" t="s">
        <v>5751</v>
      </c>
      <c r="F3399" s="84" t="s">
        <v>7982</v>
      </c>
      <c r="G3399" s="8">
        <v>60</v>
      </c>
      <c r="H3399" s="8"/>
      <c r="I3399" s="8"/>
      <c r="J3399" s="84" t="s">
        <v>1267</v>
      </c>
      <c r="K3399" s="112" t="s">
        <v>1444</v>
      </c>
      <c r="L3399" s="58"/>
      <c r="M3399" s="68">
        <v>1</v>
      </c>
      <c r="N3399" s="68" t="s">
        <v>7974</v>
      </c>
    </row>
    <row r="3400" spans="1:14" s="3" customFormat="1" ht="15" x14ac:dyDescent="0.2">
      <c r="A3400" s="82" t="s">
        <v>7979</v>
      </c>
      <c r="B3400" s="83" t="s">
        <v>3723</v>
      </c>
      <c r="C3400" s="84" t="s">
        <v>7980</v>
      </c>
      <c r="D3400" s="39" t="s">
        <v>3754</v>
      </c>
      <c r="E3400" s="112">
        <v>1860</v>
      </c>
      <c r="F3400" s="84" t="s">
        <v>7983</v>
      </c>
      <c r="G3400" s="8">
        <v>16</v>
      </c>
      <c r="H3400" s="8"/>
      <c r="I3400" s="8"/>
      <c r="J3400" s="84" t="s">
        <v>1264</v>
      </c>
      <c r="K3400" s="112" t="s">
        <v>1444</v>
      </c>
      <c r="L3400" s="58"/>
      <c r="M3400" s="68">
        <v>1</v>
      </c>
      <c r="N3400" s="68" t="s">
        <v>7974</v>
      </c>
    </row>
    <row r="3401" spans="1:14" s="3" customFormat="1" ht="15" x14ac:dyDescent="0.2">
      <c r="A3401" s="82" t="s">
        <v>7979</v>
      </c>
      <c r="B3401" s="83" t="s">
        <v>3733</v>
      </c>
      <c r="C3401" s="84" t="s">
        <v>3757</v>
      </c>
      <c r="D3401" s="39" t="s">
        <v>3754</v>
      </c>
      <c r="E3401" s="112">
        <v>1856</v>
      </c>
      <c r="F3401" s="84" t="s">
        <v>7983</v>
      </c>
      <c r="G3401" s="8">
        <v>45</v>
      </c>
      <c r="H3401" s="8"/>
      <c r="I3401" s="8"/>
      <c r="J3401" s="84" t="s">
        <v>1264</v>
      </c>
      <c r="K3401" s="68" t="s">
        <v>1444</v>
      </c>
      <c r="L3401" s="58"/>
      <c r="M3401" s="68">
        <v>1</v>
      </c>
      <c r="N3401" s="68" t="s">
        <v>7974</v>
      </c>
    </row>
    <row r="3402" spans="1:14" s="3" customFormat="1" ht="15" x14ac:dyDescent="0.2">
      <c r="A3402" s="82" t="s">
        <v>7945</v>
      </c>
      <c r="B3402" s="83" t="s">
        <v>7739</v>
      </c>
      <c r="C3402" s="41" t="s">
        <v>3761</v>
      </c>
      <c r="D3402" s="39" t="s">
        <v>3754</v>
      </c>
      <c r="E3402" s="68" t="s">
        <v>5427</v>
      </c>
      <c r="F3402" s="84" t="s">
        <v>5801</v>
      </c>
      <c r="G3402" s="8">
        <v>5</v>
      </c>
      <c r="H3402" s="8">
        <v>7</v>
      </c>
      <c r="I3402" s="8">
        <v>0</v>
      </c>
      <c r="J3402" s="84" t="s">
        <v>1270</v>
      </c>
      <c r="K3402" s="111" t="s">
        <v>3620</v>
      </c>
      <c r="L3402" s="58"/>
      <c r="M3402" s="68">
        <v>1</v>
      </c>
      <c r="N3402" s="68" t="s">
        <v>8050</v>
      </c>
    </row>
    <row r="3403" spans="1:14" s="3" customFormat="1" ht="14.25" x14ac:dyDescent="0.2">
      <c r="A3403" s="82" t="s">
        <v>7945</v>
      </c>
      <c r="B3403" s="83" t="s">
        <v>7738</v>
      </c>
      <c r="C3403" s="41" t="s">
        <v>3761</v>
      </c>
      <c r="D3403" s="39" t="s">
        <v>3754</v>
      </c>
      <c r="E3403" s="112" t="s">
        <v>7946</v>
      </c>
      <c r="F3403" s="84" t="s">
        <v>7947</v>
      </c>
      <c r="G3403" s="8"/>
      <c r="H3403" s="8"/>
      <c r="I3403" s="8">
        <v>16</v>
      </c>
      <c r="J3403" s="84" t="s">
        <v>7919</v>
      </c>
      <c r="K3403" s="112" t="s">
        <v>7948</v>
      </c>
      <c r="L3403" s="29"/>
      <c r="M3403" s="68">
        <v>1</v>
      </c>
      <c r="N3403" s="68" t="s">
        <v>7904</v>
      </c>
    </row>
    <row r="3404" spans="1:14" s="3" customFormat="1" ht="15" x14ac:dyDescent="0.2">
      <c r="A3404" s="82" t="s">
        <v>7945</v>
      </c>
      <c r="B3404" s="83" t="s">
        <v>5111</v>
      </c>
      <c r="C3404" s="41" t="s">
        <v>3761</v>
      </c>
      <c r="D3404" s="39" t="s">
        <v>3754</v>
      </c>
      <c r="E3404" s="68" t="s">
        <v>8607</v>
      </c>
      <c r="F3404" s="84" t="s">
        <v>8001</v>
      </c>
      <c r="G3404" s="8">
        <v>26</v>
      </c>
      <c r="H3404" s="8"/>
      <c r="I3404" s="8"/>
      <c r="J3404" s="84" t="s">
        <v>1958</v>
      </c>
      <c r="K3404" s="112" t="s">
        <v>8609</v>
      </c>
      <c r="L3404" s="58"/>
      <c r="M3404" s="68">
        <v>1</v>
      </c>
      <c r="N3404" s="68" t="s">
        <v>7974</v>
      </c>
    </row>
    <row r="3405" spans="1:14" s="3" customFormat="1" ht="45" x14ac:dyDescent="0.2">
      <c r="A3405" s="82" t="s">
        <v>3649</v>
      </c>
      <c r="B3405" s="83" t="s">
        <v>5110</v>
      </c>
      <c r="C3405" s="84" t="s">
        <v>6311</v>
      </c>
      <c r="D3405" s="39" t="s">
        <v>3754</v>
      </c>
      <c r="E3405" s="68" t="s">
        <v>6774</v>
      </c>
      <c r="F3405" s="84" t="s">
        <v>3651</v>
      </c>
      <c r="G3405" s="8">
        <v>47</v>
      </c>
      <c r="H3405" s="8"/>
      <c r="I3405" s="8"/>
      <c r="J3405" s="84" t="s">
        <v>1270</v>
      </c>
      <c r="K3405" s="111" t="s">
        <v>3654</v>
      </c>
      <c r="L3405" s="58" t="s">
        <v>3653</v>
      </c>
      <c r="M3405" s="68">
        <v>1</v>
      </c>
      <c r="N3405" s="68" t="s">
        <v>8050</v>
      </c>
    </row>
    <row r="3406" spans="1:14" s="3" customFormat="1" ht="45" x14ac:dyDescent="0.2">
      <c r="A3406" s="82" t="s">
        <v>3649</v>
      </c>
      <c r="B3406" s="83" t="s">
        <v>4581</v>
      </c>
      <c r="C3406" s="41" t="s">
        <v>3761</v>
      </c>
      <c r="D3406" s="39" t="s">
        <v>3754</v>
      </c>
      <c r="E3406" s="68" t="s">
        <v>3650</v>
      </c>
      <c r="F3406" s="84" t="s">
        <v>3651</v>
      </c>
      <c r="G3406" s="8">
        <v>8</v>
      </c>
      <c r="H3406" s="8">
        <v>8</v>
      </c>
      <c r="I3406" s="8">
        <v>0</v>
      </c>
      <c r="J3406" s="84" t="s">
        <v>1258</v>
      </c>
      <c r="K3406" s="111" t="s">
        <v>3652</v>
      </c>
      <c r="L3406" s="58" t="s">
        <v>3653</v>
      </c>
      <c r="M3406" s="68">
        <v>1</v>
      </c>
      <c r="N3406" s="68" t="s">
        <v>8050</v>
      </c>
    </row>
    <row r="3407" spans="1:14" s="3" customFormat="1" ht="45" x14ac:dyDescent="0.2">
      <c r="A3407" s="82" t="s">
        <v>3649</v>
      </c>
      <c r="B3407" s="83" t="s">
        <v>5109</v>
      </c>
      <c r="C3407" s="41" t="s">
        <v>3761</v>
      </c>
      <c r="D3407" s="39" t="s">
        <v>3754</v>
      </c>
      <c r="E3407" s="55" t="s">
        <v>3655</v>
      </c>
      <c r="F3407" s="84" t="s">
        <v>3651</v>
      </c>
      <c r="G3407" s="8">
        <v>5</v>
      </c>
      <c r="H3407" s="8"/>
      <c r="I3407" s="8"/>
      <c r="J3407" s="84" t="s">
        <v>4750</v>
      </c>
      <c r="K3407" s="111" t="s">
        <v>3656</v>
      </c>
      <c r="L3407" s="58" t="s">
        <v>3653</v>
      </c>
      <c r="M3407" s="68">
        <v>1</v>
      </c>
      <c r="N3407" s="68" t="s">
        <v>8050</v>
      </c>
    </row>
    <row r="3408" spans="1:14" s="3" customFormat="1" ht="15" x14ac:dyDescent="0.2">
      <c r="A3408" s="82" t="s">
        <v>8006</v>
      </c>
      <c r="B3408" s="83" t="s">
        <v>4703</v>
      </c>
      <c r="C3408" s="84" t="s">
        <v>3757</v>
      </c>
      <c r="D3408" s="39" t="s">
        <v>3754</v>
      </c>
      <c r="E3408" s="112" t="s">
        <v>8009</v>
      </c>
      <c r="F3408" s="84" t="s">
        <v>8010</v>
      </c>
      <c r="G3408" s="8">
        <v>40</v>
      </c>
      <c r="H3408" s="8"/>
      <c r="I3408" s="8"/>
      <c r="J3408" s="84" t="s">
        <v>1264</v>
      </c>
      <c r="K3408" s="112" t="s">
        <v>5972</v>
      </c>
      <c r="L3408" s="58"/>
      <c r="M3408" s="68">
        <v>1</v>
      </c>
      <c r="N3408" s="68" t="s">
        <v>7974</v>
      </c>
    </row>
    <row r="3409" spans="1:14" s="3" customFormat="1" ht="15" x14ac:dyDescent="0.2">
      <c r="A3409" s="82" t="s">
        <v>8006</v>
      </c>
      <c r="B3409" s="83" t="s">
        <v>3723</v>
      </c>
      <c r="C3409" s="84" t="s">
        <v>3757</v>
      </c>
      <c r="D3409" s="84"/>
      <c r="E3409" s="68" t="s">
        <v>8007</v>
      </c>
      <c r="F3409" s="84" t="s">
        <v>8008</v>
      </c>
      <c r="G3409" s="8">
        <v>46</v>
      </c>
      <c r="H3409" s="8"/>
      <c r="I3409" s="8"/>
      <c r="J3409" s="84" t="s">
        <v>1264</v>
      </c>
      <c r="K3409" s="112" t="s">
        <v>5972</v>
      </c>
      <c r="L3409" s="58"/>
      <c r="M3409" s="68">
        <v>1</v>
      </c>
      <c r="N3409" s="68" t="s">
        <v>7974</v>
      </c>
    </row>
    <row r="3410" spans="1:14" s="3" customFormat="1" ht="14.25" x14ac:dyDescent="0.2">
      <c r="A3410" s="82" t="s">
        <v>7928</v>
      </c>
      <c r="B3410" s="83" t="s">
        <v>5108</v>
      </c>
      <c r="C3410" s="41" t="s">
        <v>3761</v>
      </c>
      <c r="D3410" s="39" t="s">
        <v>3754</v>
      </c>
      <c r="E3410" s="68" t="s">
        <v>6468</v>
      </c>
      <c r="F3410" s="84" t="s">
        <v>1541</v>
      </c>
      <c r="G3410" s="8">
        <v>15</v>
      </c>
      <c r="H3410" s="8">
        <v>8</v>
      </c>
      <c r="I3410" s="8">
        <v>17</v>
      </c>
      <c r="J3410" s="84" t="s">
        <v>1264</v>
      </c>
      <c r="K3410" s="112" t="s">
        <v>7929</v>
      </c>
      <c r="L3410" s="29"/>
      <c r="M3410" s="68">
        <v>1</v>
      </c>
      <c r="N3410" s="68" t="s">
        <v>7904</v>
      </c>
    </row>
    <row r="3411" spans="1:14" s="3" customFormat="1" ht="14.25" x14ac:dyDescent="0.2">
      <c r="A3411" s="82" t="s">
        <v>7941</v>
      </c>
      <c r="B3411" s="83" t="s">
        <v>4556</v>
      </c>
      <c r="C3411" s="84" t="s">
        <v>4708</v>
      </c>
      <c r="D3411" s="39" t="s">
        <v>3754</v>
      </c>
      <c r="E3411" s="112" t="s">
        <v>7942</v>
      </c>
      <c r="F3411" s="84" t="s">
        <v>7943</v>
      </c>
      <c r="G3411" s="8">
        <v>57</v>
      </c>
      <c r="H3411" s="8"/>
      <c r="I3411" s="8"/>
      <c r="J3411" s="84" t="s">
        <v>1264</v>
      </c>
      <c r="K3411" s="112" t="s">
        <v>5653</v>
      </c>
      <c r="L3411" s="29"/>
      <c r="M3411" s="68">
        <v>1</v>
      </c>
      <c r="N3411" s="68" t="s">
        <v>7904</v>
      </c>
    </row>
    <row r="3412" spans="1:14" s="3" customFormat="1" ht="15" x14ac:dyDescent="0.2">
      <c r="A3412" s="82" t="s">
        <v>7999</v>
      </c>
      <c r="B3412" s="83" t="s">
        <v>7107</v>
      </c>
      <c r="C3412" s="41" t="s">
        <v>3761</v>
      </c>
      <c r="D3412" s="39" t="s">
        <v>3754</v>
      </c>
      <c r="E3412" s="68" t="s">
        <v>4380</v>
      </c>
      <c r="F3412" s="84" t="s">
        <v>7683</v>
      </c>
      <c r="G3412" s="8">
        <v>26</v>
      </c>
      <c r="H3412" s="8"/>
      <c r="I3412" s="8"/>
      <c r="J3412" s="84" t="s">
        <v>1264</v>
      </c>
      <c r="K3412" s="112" t="s">
        <v>8000</v>
      </c>
      <c r="L3412" s="58"/>
      <c r="M3412" s="68">
        <v>1</v>
      </c>
      <c r="N3412" s="68" t="s">
        <v>7974</v>
      </c>
    </row>
    <row r="3413" spans="1:14" s="3" customFormat="1" ht="15" x14ac:dyDescent="0.2">
      <c r="A3413" s="82" t="s">
        <v>7951</v>
      </c>
      <c r="B3413" s="83" t="s">
        <v>4685</v>
      </c>
      <c r="C3413" s="84" t="s">
        <v>3757</v>
      </c>
      <c r="D3413" s="39" t="s">
        <v>3754</v>
      </c>
      <c r="E3413" s="112" t="s">
        <v>8029</v>
      </c>
      <c r="F3413" s="84" t="s">
        <v>3615</v>
      </c>
      <c r="G3413" s="8">
        <v>77</v>
      </c>
      <c r="H3413" s="8"/>
      <c r="I3413" s="8"/>
      <c r="J3413" s="84" t="s">
        <v>3616</v>
      </c>
      <c r="K3413" s="111" t="s">
        <v>3617</v>
      </c>
      <c r="L3413" s="58"/>
      <c r="M3413" s="68">
        <v>1</v>
      </c>
      <c r="N3413" s="68" t="s">
        <v>8050</v>
      </c>
    </row>
    <row r="3414" spans="1:14" s="3" customFormat="1" ht="15" x14ac:dyDescent="0.2">
      <c r="A3414" s="82" t="s">
        <v>7951</v>
      </c>
      <c r="B3414" s="83" t="s">
        <v>4685</v>
      </c>
      <c r="C3414" s="84" t="s">
        <v>3757</v>
      </c>
      <c r="D3414" s="39" t="s">
        <v>3754</v>
      </c>
      <c r="E3414" s="112" t="s">
        <v>8029</v>
      </c>
      <c r="F3414" s="84" t="s">
        <v>8030</v>
      </c>
      <c r="G3414" s="8">
        <v>77</v>
      </c>
      <c r="H3414" s="8"/>
      <c r="I3414" s="8"/>
      <c r="J3414" s="84" t="s">
        <v>8031</v>
      </c>
      <c r="K3414" s="112" t="s">
        <v>8032</v>
      </c>
      <c r="L3414" s="58"/>
      <c r="M3414" s="68">
        <v>1</v>
      </c>
      <c r="N3414" s="68" t="s">
        <v>7974</v>
      </c>
    </row>
    <row r="3415" spans="1:14" s="3" customFormat="1" ht="14.25" x14ac:dyDescent="0.2">
      <c r="A3415" s="82" t="s">
        <v>7951</v>
      </c>
      <c r="B3415" s="83" t="s">
        <v>8648</v>
      </c>
      <c r="C3415" s="41" t="s">
        <v>3761</v>
      </c>
      <c r="D3415" s="39" t="s">
        <v>3754</v>
      </c>
      <c r="E3415" s="68" t="s">
        <v>1906</v>
      </c>
      <c r="F3415" s="84" t="s">
        <v>7952</v>
      </c>
      <c r="G3415" s="8"/>
      <c r="H3415" s="8">
        <v>10</v>
      </c>
      <c r="I3415" s="8"/>
      <c r="J3415" s="84" t="s">
        <v>5082</v>
      </c>
      <c r="K3415" s="112" t="s">
        <v>3570</v>
      </c>
      <c r="L3415" s="29"/>
      <c r="M3415" s="68">
        <v>1</v>
      </c>
      <c r="N3415" s="68" t="s">
        <v>7904</v>
      </c>
    </row>
    <row r="3416" spans="1:14" s="3" customFormat="1" ht="14.25" x14ac:dyDescent="0.2">
      <c r="A3416" s="82" t="s">
        <v>7914</v>
      </c>
      <c r="B3416" s="83" t="s">
        <v>6048</v>
      </c>
      <c r="C3416" s="41" t="s">
        <v>3761</v>
      </c>
      <c r="D3416" s="39" t="s">
        <v>3754</v>
      </c>
      <c r="E3416" s="68" t="s">
        <v>7915</v>
      </c>
      <c r="F3416" s="84" t="s">
        <v>1541</v>
      </c>
      <c r="G3416" s="8"/>
      <c r="H3416" s="8">
        <v>13</v>
      </c>
      <c r="I3416" s="8">
        <v>5</v>
      </c>
      <c r="J3416" s="84" t="s">
        <v>7916</v>
      </c>
      <c r="K3416" s="68" t="s">
        <v>7917</v>
      </c>
      <c r="L3416" s="29"/>
      <c r="M3416" s="68">
        <v>1</v>
      </c>
      <c r="N3416" s="68" t="s">
        <v>7904</v>
      </c>
    </row>
    <row r="3417" spans="1:14" s="3" customFormat="1" ht="15" x14ac:dyDescent="0.2">
      <c r="A3417" s="82" t="s">
        <v>8038</v>
      </c>
      <c r="B3417" s="83" t="s">
        <v>3748</v>
      </c>
      <c r="C3417" s="84" t="s">
        <v>3757</v>
      </c>
      <c r="D3417" s="39" t="s">
        <v>3754</v>
      </c>
      <c r="E3417" s="68" t="s">
        <v>8039</v>
      </c>
      <c r="F3417" s="84" t="s">
        <v>8040</v>
      </c>
      <c r="G3417" s="8">
        <v>69</v>
      </c>
      <c r="H3417" s="8"/>
      <c r="I3417" s="8"/>
      <c r="J3417" s="84" t="s">
        <v>1264</v>
      </c>
      <c r="K3417" s="112" t="s">
        <v>335</v>
      </c>
      <c r="L3417" s="58"/>
      <c r="M3417" s="68">
        <v>1</v>
      </c>
      <c r="N3417" s="68" t="s">
        <v>7974</v>
      </c>
    </row>
    <row r="3418" spans="1:14" s="3" customFormat="1" ht="15" x14ac:dyDescent="0.2">
      <c r="A3418" s="82" t="s">
        <v>7962</v>
      </c>
      <c r="B3418" s="83" t="s">
        <v>6785</v>
      </c>
      <c r="C3418" s="41" t="s">
        <v>3761</v>
      </c>
      <c r="D3418" s="39" t="s">
        <v>3754</v>
      </c>
      <c r="E3418" s="112" t="s">
        <v>3327</v>
      </c>
      <c r="F3418" s="84" t="s">
        <v>5165</v>
      </c>
      <c r="G3418" s="8">
        <v>2</v>
      </c>
      <c r="H3418" s="8">
        <v>3</v>
      </c>
      <c r="I3418" s="8"/>
      <c r="J3418" s="84"/>
      <c r="K3418" s="111" t="s">
        <v>3614</v>
      </c>
      <c r="L3418" s="58"/>
      <c r="M3418" s="68">
        <v>1</v>
      </c>
      <c r="N3418" s="68" t="s">
        <v>8050</v>
      </c>
    </row>
    <row r="3419" spans="1:14" s="3" customFormat="1" ht="15" x14ac:dyDescent="0.2">
      <c r="A3419" s="82" t="s">
        <v>7962</v>
      </c>
      <c r="B3419" s="83" t="s">
        <v>5107</v>
      </c>
      <c r="C3419" s="41" t="s">
        <v>3761</v>
      </c>
      <c r="D3419" s="39" t="s">
        <v>3754</v>
      </c>
      <c r="E3419" s="112" t="s">
        <v>45</v>
      </c>
      <c r="F3419" s="84" t="s">
        <v>5165</v>
      </c>
      <c r="G3419" s="8"/>
      <c r="H3419" s="8">
        <v>10</v>
      </c>
      <c r="I3419" s="8"/>
      <c r="J3419" s="84" t="s">
        <v>4738</v>
      </c>
      <c r="K3419" s="111" t="s">
        <v>3621</v>
      </c>
      <c r="L3419" s="58"/>
      <c r="M3419" s="68">
        <v>1</v>
      </c>
      <c r="N3419" s="68" t="s">
        <v>8050</v>
      </c>
    </row>
    <row r="3420" spans="1:14" s="3" customFormat="1" ht="14.25" x14ac:dyDescent="0.2">
      <c r="A3420" s="82" t="s">
        <v>7962</v>
      </c>
      <c r="B3420" s="83" t="s">
        <v>4935</v>
      </c>
      <c r="C3420" s="41" t="s">
        <v>3761</v>
      </c>
      <c r="D3420" s="84"/>
      <c r="E3420" s="68" t="s">
        <v>1419</v>
      </c>
      <c r="F3420" s="84" t="s">
        <v>266</v>
      </c>
      <c r="G3420" s="8">
        <v>27</v>
      </c>
      <c r="H3420" s="8"/>
      <c r="I3420" s="8"/>
      <c r="J3420" s="84" t="s">
        <v>1264</v>
      </c>
      <c r="K3420" s="112" t="s">
        <v>7965</v>
      </c>
      <c r="L3420" s="29"/>
      <c r="M3420" s="68">
        <v>1</v>
      </c>
      <c r="N3420" s="68" t="s">
        <v>7904</v>
      </c>
    </row>
    <row r="3421" spans="1:14" s="3" customFormat="1" ht="14.25" x14ac:dyDescent="0.2">
      <c r="A3421" s="82" t="s">
        <v>7962</v>
      </c>
      <c r="B3421" s="83" t="s">
        <v>5904</v>
      </c>
      <c r="C3421" s="41" t="s">
        <v>3761</v>
      </c>
      <c r="D3421" s="39" t="s">
        <v>3754</v>
      </c>
      <c r="E3421" s="68" t="s">
        <v>7963</v>
      </c>
      <c r="F3421" s="84"/>
      <c r="G3421" s="8">
        <v>38</v>
      </c>
      <c r="H3421" s="8"/>
      <c r="I3421" s="8"/>
      <c r="J3421" s="84" t="s">
        <v>5010</v>
      </c>
      <c r="K3421" s="112" t="s">
        <v>8443</v>
      </c>
      <c r="L3421" s="29"/>
      <c r="M3421" s="68">
        <v>1</v>
      </c>
      <c r="N3421" s="68" t="s">
        <v>7904</v>
      </c>
    </row>
    <row r="3422" spans="1:14" s="3" customFormat="1" ht="14.25" x14ac:dyDescent="0.2">
      <c r="A3422" s="82" t="s">
        <v>7962</v>
      </c>
      <c r="B3422" s="83" t="s">
        <v>3733</v>
      </c>
      <c r="C3422" s="84" t="s">
        <v>3757</v>
      </c>
      <c r="D3422" s="84"/>
      <c r="E3422" s="68" t="s">
        <v>7964</v>
      </c>
      <c r="F3422" s="84" t="s">
        <v>266</v>
      </c>
      <c r="G3422" s="8">
        <v>70</v>
      </c>
      <c r="H3422" s="8"/>
      <c r="I3422" s="8"/>
      <c r="J3422" s="84" t="s">
        <v>2894</v>
      </c>
      <c r="K3422" s="112" t="s">
        <v>7965</v>
      </c>
      <c r="L3422" s="29"/>
      <c r="M3422" s="68">
        <v>1</v>
      </c>
      <c r="N3422" s="68" t="s">
        <v>7904</v>
      </c>
    </row>
    <row r="3423" spans="1:14" s="3" customFormat="1" ht="28.5" x14ac:dyDescent="0.2">
      <c r="A3423" s="82" t="s">
        <v>4860</v>
      </c>
      <c r="B3423" s="83" t="s">
        <v>3732</v>
      </c>
      <c r="C3423" s="84" t="s">
        <v>8090</v>
      </c>
      <c r="D3423" s="84" t="s">
        <v>8090</v>
      </c>
      <c r="E3423" s="68" t="s">
        <v>853</v>
      </c>
      <c r="F3423" s="84" t="s">
        <v>8090</v>
      </c>
      <c r="G3423" s="8"/>
      <c r="H3423" s="8">
        <v>6</v>
      </c>
      <c r="I3423" s="8"/>
      <c r="J3423" s="84" t="s">
        <v>1994</v>
      </c>
      <c r="K3423" s="104" t="s">
        <v>5019</v>
      </c>
      <c r="L3423" s="58"/>
      <c r="M3423" s="68">
        <v>1</v>
      </c>
      <c r="N3423" s="68" t="s">
        <v>8050</v>
      </c>
    </row>
    <row r="3424" spans="1:14" s="3" customFormat="1" ht="15" x14ac:dyDescent="0.2">
      <c r="A3424" s="82" t="s">
        <v>8064</v>
      </c>
      <c r="B3424" s="83" t="s">
        <v>4865</v>
      </c>
      <c r="C3424" s="41" t="s">
        <v>3761</v>
      </c>
      <c r="D3424" s="39" t="s">
        <v>3754</v>
      </c>
      <c r="E3424" s="68" t="s">
        <v>8065</v>
      </c>
      <c r="F3424" s="84" t="s">
        <v>8066</v>
      </c>
      <c r="G3424" s="8">
        <v>15</v>
      </c>
      <c r="H3424" s="8">
        <v>6</v>
      </c>
      <c r="I3424" s="8"/>
      <c r="J3424" s="84" t="s">
        <v>8802</v>
      </c>
      <c r="K3424" s="111" t="s">
        <v>8067</v>
      </c>
      <c r="L3424" s="58"/>
      <c r="M3424" s="68">
        <v>1</v>
      </c>
      <c r="N3424" s="68" t="s">
        <v>8050</v>
      </c>
    </row>
    <row r="3425" spans="1:14" s="3" customFormat="1" ht="14.25" x14ac:dyDescent="0.2">
      <c r="A3425" s="82" t="s">
        <v>7931</v>
      </c>
      <c r="B3425" s="83" t="s">
        <v>5106</v>
      </c>
      <c r="C3425" s="41" t="s">
        <v>3761</v>
      </c>
      <c r="D3425" s="39" t="s">
        <v>3754</v>
      </c>
      <c r="E3425" s="68" t="s">
        <v>7932</v>
      </c>
      <c r="F3425" s="84" t="s">
        <v>7933</v>
      </c>
      <c r="G3425" s="8">
        <v>2</v>
      </c>
      <c r="H3425" s="8">
        <v>8</v>
      </c>
      <c r="I3425" s="8"/>
      <c r="J3425" s="84" t="s">
        <v>1254</v>
      </c>
      <c r="K3425" s="68" t="s">
        <v>7934</v>
      </c>
      <c r="L3425" s="29"/>
      <c r="M3425" s="68">
        <v>1</v>
      </c>
      <c r="N3425" s="68" t="s">
        <v>7904</v>
      </c>
    </row>
    <row r="3426" spans="1:14" s="3" customFormat="1" ht="15" x14ac:dyDescent="0.2">
      <c r="A3426" s="82" t="s">
        <v>3645</v>
      </c>
      <c r="B3426" s="83" t="s">
        <v>3724</v>
      </c>
      <c r="C3426" s="41" t="s">
        <v>3761</v>
      </c>
      <c r="D3426" s="39" t="s">
        <v>3754</v>
      </c>
      <c r="E3426" s="112" t="s">
        <v>3646</v>
      </c>
      <c r="F3426" s="84" t="s">
        <v>3647</v>
      </c>
      <c r="G3426" s="8">
        <v>3</v>
      </c>
      <c r="H3426" s="8">
        <v>2</v>
      </c>
      <c r="I3426" s="8">
        <v>11</v>
      </c>
      <c r="J3426" s="84" t="s">
        <v>1254</v>
      </c>
      <c r="K3426" s="104" t="s">
        <v>3648</v>
      </c>
      <c r="L3426" s="62"/>
      <c r="M3426" s="68">
        <v>1</v>
      </c>
      <c r="N3426" s="68" t="s">
        <v>8050</v>
      </c>
    </row>
    <row r="3427" spans="1:14" s="3" customFormat="1" ht="14.25" x14ac:dyDescent="0.2">
      <c r="A3427" s="9" t="s">
        <v>3660</v>
      </c>
      <c r="B3427" s="5" t="s">
        <v>4690</v>
      </c>
      <c r="C3427" s="19" t="s">
        <v>3761</v>
      </c>
      <c r="D3427" s="10" t="s">
        <v>3754</v>
      </c>
      <c r="E3427" s="55" t="s">
        <v>2733</v>
      </c>
      <c r="F3427" s="10" t="s">
        <v>3661</v>
      </c>
      <c r="G3427" s="8">
        <v>1</v>
      </c>
      <c r="H3427" s="8"/>
      <c r="I3427" s="8">
        <v>2</v>
      </c>
      <c r="J3427" s="55" t="s">
        <v>2624</v>
      </c>
      <c r="K3427" s="55" t="s">
        <v>2737</v>
      </c>
      <c r="L3427" s="61"/>
      <c r="M3427" s="68">
        <v>1</v>
      </c>
      <c r="N3427" s="68" t="s">
        <v>3662</v>
      </c>
    </row>
  </sheetData>
  <phoneticPr fontId="2" type="noConversion"/>
  <pageMargins left="0.75" right="0.75" top="1" bottom="1" header="0.5" footer="0.5"/>
  <pageSetup orientation="portrait" horizontalDpi="4294967293" verticalDpi="0" r:id="rId1"/>
  <headerFooter alignWithMargins="0"/>
  <customProperties>
    <customPr name="DVSECTION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  <customProperties>
    <customPr name="DVSECTION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  <customProperties>
    <customPr name="DVSECTION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V271"/>
  <sheetViews>
    <sheetView workbookViewId="0">
      <selection activeCell="EF271" sqref="EF271"/>
    </sheetView>
  </sheetViews>
  <sheetFormatPr defaultRowHeight="12.75" x14ac:dyDescent="0.2"/>
  <sheetData>
    <row r="1" spans="1:256" x14ac:dyDescent="0.2">
      <c r="A1" t="e">
        <f>IF(Sheet1!1:1,"AAAAAH/9ewA=",0)</f>
        <v>#VALUE!</v>
      </c>
      <c r="B1" t="e">
        <f>AND(Sheet1!A1,"AAAAAH/9ewE=")</f>
        <v>#VALUE!</v>
      </c>
      <c r="C1" t="e">
        <f>AND(Sheet1!B1,"AAAAAH/9ewI=")</f>
        <v>#VALUE!</v>
      </c>
      <c r="D1" t="e">
        <f>AND(Sheet1!C1,"AAAAAH/9ewM=")</f>
        <v>#VALUE!</v>
      </c>
      <c r="E1" t="e">
        <f>AND(Sheet1!D1,"AAAAAH/9ewQ=")</f>
        <v>#VALUE!</v>
      </c>
      <c r="F1" t="e">
        <f>AND(Sheet1!E1,"AAAAAH/9ewU=")</f>
        <v>#VALUE!</v>
      </c>
      <c r="G1" t="e">
        <f>AND(Sheet1!F1,"AAAAAH/9ewY=")</f>
        <v>#VALUE!</v>
      </c>
      <c r="H1" t="e">
        <f>AND(Sheet1!G1,"AAAAAH/9ewc=")</f>
        <v>#VALUE!</v>
      </c>
      <c r="I1" t="e">
        <f>AND(Sheet1!H1,"AAAAAH/9ewg=")</f>
        <v>#VALUE!</v>
      </c>
      <c r="J1" t="e">
        <f>AND(Sheet1!I1,"AAAAAH/9ewk=")</f>
        <v>#VALUE!</v>
      </c>
      <c r="K1" t="e">
        <f>AND(Sheet1!J1,"AAAAAH/9ewo=")</f>
        <v>#VALUE!</v>
      </c>
      <c r="L1" t="e">
        <f>AND(Sheet1!K1,"AAAAAH/9ews=")</f>
        <v>#VALUE!</v>
      </c>
      <c r="M1" t="e">
        <f>AND(Sheet1!L1,"AAAAAH/9eww=")</f>
        <v>#VALUE!</v>
      </c>
      <c r="N1" t="e">
        <f>AND(Sheet1!M1,"AAAAAH/9ew0=")</f>
        <v>#VALUE!</v>
      </c>
      <c r="O1" t="e">
        <f>AND(Sheet1!N1,"AAAAAH/9ew4=")</f>
        <v>#VALUE!</v>
      </c>
      <c r="P1" t="e">
        <f>AND(Sheet1!#REF!,"AAAAAH/9ew8=")</f>
        <v>#REF!</v>
      </c>
      <c r="Q1" t="e">
        <f>AND(Sheet1!#REF!,"AAAAAH/9exA=")</f>
        <v>#REF!</v>
      </c>
      <c r="R1" t="e">
        <f>AND(Sheet1!#REF!,"AAAAAH/9exE=")</f>
        <v>#REF!</v>
      </c>
      <c r="S1" t="e">
        <f>AND(Sheet1!#REF!,"AAAAAH/9exI=")</f>
        <v>#REF!</v>
      </c>
      <c r="T1">
        <f>IF(Sheet1!2:2,"AAAAAH/9exM=",0)</f>
        <v>0</v>
      </c>
      <c r="U1" t="e">
        <f>AND(Sheet1!A2,"AAAAAH/9exQ=")</f>
        <v>#VALUE!</v>
      </c>
      <c r="V1" t="e">
        <f>AND(Sheet1!B2,"AAAAAH/9exU=")</f>
        <v>#VALUE!</v>
      </c>
      <c r="W1" t="e">
        <f>AND(Sheet1!C2,"AAAAAH/9exY=")</f>
        <v>#VALUE!</v>
      </c>
      <c r="X1" t="e">
        <f>AND(Sheet1!D2,"AAAAAH/9exc=")</f>
        <v>#VALUE!</v>
      </c>
      <c r="Y1" t="e">
        <f>AND(Sheet1!E2,"AAAAAH/9exg=")</f>
        <v>#VALUE!</v>
      </c>
      <c r="Z1" t="e">
        <f>AND(Sheet1!F2,"AAAAAH/9exk=")</f>
        <v>#VALUE!</v>
      </c>
      <c r="AA1" t="e">
        <f>AND(Sheet1!G2,"AAAAAH/9exo=")</f>
        <v>#VALUE!</v>
      </c>
      <c r="AB1" t="e">
        <f>AND(Sheet1!H2,"AAAAAH/9exs=")</f>
        <v>#VALUE!</v>
      </c>
      <c r="AC1" t="e">
        <f>AND(Sheet1!I2,"AAAAAH/9exw=")</f>
        <v>#VALUE!</v>
      </c>
      <c r="AD1" t="e">
        <f>AND(Sheet1!J2,"AAAAAH/9ex0=")</f>
        <v>#VALUE!</v>
      </c>
      <c r="AE1" t="e">
        <f>AND(Sheet1!K2,"AAAAAH/9ex4=")</f>
        <v>#VALUE!</v>
      </c>
      <c r="AF1" t="e">
        <f>AND(Sheet1!L2,"AAAAAH/9ex8=")</f>
        <v>#VALUE!</v>
      </c>
      <c r="AG1" t="e">
        <f>AND(Sheet1!M2,"AAAAAH/9eyA=")</f>
        <v>#VALUE!</v>
      </c>
      <c r="AH1" t="e">
        <f>AND(Sheet1!N2,"AAAAAH/9eyE=")</f>
        <v>#VALUE!</v>
      </c>
      <c r="AI1" t="e">
        <f>AND(Sheet1!#REF!,"AAAAAH/9eyI=")</f>
        <v>#REF!</v>
      </c>
      <c r="AJ1" t="e">
        <f>AND(Sheet1!#REF!,"AAAAAH/9eyM=")</f>
        <v>#REF!</v>
      </c>
      <c r="AK1" t="e">
        <f>AND(Sheet1!#REF!,"AAAAAH/9eyQ=")</f>
        <v>#REF!</v>
      </c>
      <c r="AL1" t="e">
        <f>AND(Sheet1!#REF!,"AAAAAH/9eyU=")</f>
        <v>#REF!</v>
      </c>
      <c r="AM1">
        <f>IF(Sheet1!3:3,"AAAAAH/9eyY=",0)</f>
        <v>0</v>
      </c>
      <c r="AN1" t="e">
        <f>AND(Sheet1!A3,"AAAAAH/9eyc=")</f>
        <v>#VALUE!</v>
      </c>
      <c r="AO1" t="e">
        <f>AND(Sheet1!B3,"AAAAAH/9eyg=")</f>
        <v>#VALUE!</v>
      </c>
      <c r="AP1" t="e">
        <f>AND(Sheet1!C3,"AAAAAH/9eyk=")</f>
        <v>#VALUE!</v>
      </c>
      <c r="AQ1" t="e">
        <f>AND(Sheet1!D3,"AAAAAH/9eyo=")</f>
        <v>#VALUE!</v>
      </c>
      <c r="AR1" t="e">
        <f>AND(Sheet1!E3,"AAAAAH/9eys=")</f>
        <v>#VALUE!</v>
      </c>
      <c r="AS1" t="e">
        <f>AND(Sheet1!F3,"AAAAAH/9eyw=")</f>
        <v>#VALUE!</v>
      </c>
      <c r="AT1" t="e">
        <f>AND(Sheet1!G3,"AAAAAH/9ey0=")</f>
        <v>#VALUE!</v>
      </c>
      <c r="AU1" t="e">
        <f>AND(Sheet1!H3,"AAAAAH/9ey4=")</f>
        <v>#VALUE!</v>
      </c>
      <c r="AV1" t="e">
        <f>AND(Sheet1!I3,"AAAAAH/9ey8=")</f>
        <v>#VALUE!</v>
      </c>
      <c r="AW1" t="e">
        <f>AND(Sheet1!J3,"AAAAAH/9ezA=")</f>
        <v>#VALUE!</v>
      </c>
      <c r="AX1" t="e">
        <f>AND(Sheet1!K3,"AAAAAH/9ezE=")</f>
        <v>#VALUE!</v>
      </c>
      <c r="AY1" t="e">
        <f>AND(Sheet1!L3,"AAAAAH/9ezI=")</f>
        <v>#VALUE!</v>
      </c>
      <c r="AZ1" t="e">
        <f>AND(Sheet1!M3,"AAAAAH/9ezM=")</f>
        <v>#VALUE!</v>
      </c>
      <c r="BA1" t="e">
        <f>AND(Sheet1!N3,"AAAAAH/9ezQ=")</f>
        <v>#VALUE!</v>
      </c>
      <c r="BB1" t="e">
        <f>AND(Sheet1!#REF!,"AAAAAH/9ezU=")</f>
        <v>#REF!</v>
      </c>
      <c r="BC1" t="e">
        <f>AND(Sheet1!#REF!,"AAAAAH/9ezY=")</f>
        <v>#REF!</v>
      </c>
      <c r="BD1" t="e">
        <f>AND(Sheet1!#REF!,"AAAAAH/9ezc=")</f>
        <v>#REF!</v>
      </c>
      <c r="BE1" t="e">
        <f>AND(Sheet1!#REF!,"AAAAAH/9ezg=")</f>
        <v>#REF!</v>
      </c>
      <c r="BF1">
        <f>IF(Sheet1!4:4,"AAAAAH/9ezk=",0)</f>
        <v>0</v>
      </c>
      <c r="BG1" t="e">
        <f>AND(Sheet1!A4,"AAAAAH/9ezo=")</f>
        <v>#VALUE!</v>
      </c>
      <c r="BH1" t="e">
        <f>AND(Sheet1!B4,"AAAAAH/9ezs=")</f>
        <v>#VALUE!</v>
      </c>
      <c r="BI1" t="e">
        <f>AND(Sheet1!C4,"AAAAAH/9ezw=")</f>
        <v>#VALUE!</v>
      </c>
      <c r="BJ1" t="e">
        <f>AND(Sheet1!D4,"AAAAAH/9ez0=")</f>
        <v>#VALUE!</v>
      </c>
      <c r="BK1" t="e">
        <f>AND(Sheet1!E4,"AAAAAH/9ez4=")</f>
        <v>#VALUE!</v>
      </c>
      <c r="BL1" t="e">
        <f>AND(Sheet1!F4,"AAAAAH/9ez8=")</f>
        <v>#VALUE!</v>
      </c>
      <c r="BM1" t="e">
        <f>AND(Sheet1!G4,"AAAAAH/9e0A=")</f>
        <v>#VALUE!</v>
      </c>
      <c r="BN1" t="e">
        <f>AND(Sheet1!H4,"AAAAAH/9e0E=")</f>
        <v>#VALUE!</v>
      </c>
      <c r="BO1" t="e">
        <f>AND(Sheet1!I4,"AAAAAH/9e0I=")</f>
        <v>#VALUE!</v>
      </c>
      <c r="BP1" t="e">
        <f>AND(Sheet1!J4,"AAAAAH/9e0M=")</f>
        <v>#VALUE!</v>
      </c>
      <c r="BQ1" t="e">
        <f>AND(Sheet1!K4,"AAAAAH/9e0Q=")</f>
        <v>#VALUE!</v>
      </c>
      <c r="BR1" t="e">
        <f>AND(Sheet1!L4,"AAAAAH/9e0U=")</f>
        <v>#VALUE!</v>
      </c>
      <c r="BS1" t="e">
        <f>AND(Sheet1!M4,"AAAAAH/9e0Y=")</f>
        <v>#VALUE!</v>
      </c>
      <c r="BT1" t="e">
        <f>AND(Sheet1!N4,"AAAAAH/9e0c=")</f>
        <v>#VALUE!</v>
      </c>
      <c r="BU1" t="e">
        <f>AND(Sheet1!#REF!,"AAAAAH/9e0g=")</f>
        <v>#REF!</v>
      </c>
      <c r="BV1" t="e">
        <f>AND(Sheet1!#REF!,"AAAAAH/9e0k=")</f>
        <v>#REF!</v>
      </c>
      <c r="BW1" t="e">
        <f>AND(Sheet1!#REF!,"AAAAAH/9e0o=")</f>
        <v>#REF!</v>
      </c>
      <c r="BX1" t="e">
        <f>AND(Sheet1!#REF!,"AAAAAH/9e0s=")</f>
        <v>#REF!</v>
      </c>
      <c r="BY1">
        <f>IF(Sheet1!5:5,"AAAAAH/9e0w=",0)</f>
        <v>0</v>
      </c>
      <c r="BZ1" t="e">
        <f>AND(Sheet1!A5,"AAAAAH/9e00=")</f>
        <v>#VALUE!</v>
      </c>
      <c r="CA1" t="e">
        <f>AND(Sheet1!B5,"AAAAAH/9e04=")</f>
        <v>#VALUE!</v>
      </c>
      <c r="CB1" t="e">
        <f>AND(Sheet1!C5,"AAAAAH/9e08=")</f>
        <v>#VALUE!</v>
      </c>
      <c r="CC1" t="e">
        <f>AND(Sheet1!D5,"AAAAAH/9e1A=")</f>
        <v>#VALUE!</v>
      </c>
      <c r="CD1" t="e">
        <f>AND(Sheet1!E5,"AAAAAH/9e1E=")</f>
        <v>#VALUE!</v>
      </c>
      <c r="CE1" t="e">
        <f>AND(Sheet1!F5,"AAAAAH/9e1I=")</f>
        <v>#VALUE!</v>
      </c>
      <c r="CF1" t="e">
        <f>AND(Sheet1!G5,"AAAAAH/9e1M=")</f>
        <v>#VALUE!</v>
      </c>
      <c r="CG1" t="e">
        <f>AND(Sheet1!H5,"AAAAAH/9e1Q=")</f>
        <v>#VALUE!</v>
      </c>
      <c r="CH1" t="e">
        <f>AND(Sheet1!I5,"AAAAAH/9e1U=")</f>
        <v>#VALUE!</v>
      </c>
      <c r="CI1" t="e">
        <f>AND(Sheet1!J5,"AAAAAH/9e1Y=")</f>
        <v>#VALUE!</v>
      </c>
      <c r="CJ1" t="e">
        <f>AND(Sheet1!K5,"AAAAAH/9e1c=")</f>
        <v>#VALUE!</v>
      </c>
      <c r="CK1" t="e">
        <f>AND(Sheet1!L5,"AAAAAH/9e1g=")</f>
        <v>#VALUE!</v>
      </c>
      <c r="CL1" t="e">
        <f>AND(Sheet1!M5,"AAAAAH/9e1k=")</f>
        <v>#VALUE!</v>
      </c>
      <c r="CM1" t="e">
        <f>AND(Sheet1!N5,"AAAAAH/9e1o=")</f>
        <v>#VALUE!</v>
      </c>
      <c r="CN1" t="e">
        <f>AND(Sheet1!#REF!,"AAAAAH/9e1s=")</f>
        <v>#REF!</v>
      </c>
      <c r="CO1" t="e">
        <f>AND(Sheet1!#REF!,"AAAAAH/9e1w=")</f>
        <v>#REF!</v>
      </c>
      <c r="CP1" t="e">
        <f>AND(Sheet1!#REF!,"AAAAAH/9e10=")</f>
        <v>#REF!</v>
      </c>
      <c r="CQ1" t="e">
        <f>AND(Sheet1!#REF!,"AAAAAH/9e14=")</f>
        <v>#REF!</v>
      </c>
      <c r="CR1">
        <f>IF(Sheet1!6:6,"AAAAAH/9e18=",0)</f>
        <v>0</v>
      </c>
      <c r="CS1" t="e">
        <f>AND(Sheet1!A6,"AAAAAH/9e2A=")</f>
        <v>#VALUE!</v>
      </c>
      <c r="CT1" t="e">
        <f>AND(Sheet1!B6,"AAAAAH/9e2E=")</f>
        <v>#VALUE!</v>
      </c>
      <c r="CU1" t="e">
        <f>AND(Sheet1!C6,"AAAAAH/9e2I=")</f>
        <v>#VALUE!</v>
      </c>
      <c r="CV1" t="e">
        <f>AND(Sheet1!D6,"AAAAAH/9e2M=")</f>
        <v>#VALUE!</v>
      </c>
      <c r="CW1" t="e">
        <f>AND(Sheet1!E6,"AAAAAH/9e2Q=")</f>
        <v>#VALUE!</v>
      </c>
      <c r="CX1" t="e">
        <f>AND(Sheet1!F6,"AAAAAH/9e2U=")</f>
        <v>#VALUE!</v>
      </c>
      <c r="CY1" t="e">
        <f>AND(Sheet1!G6,"AAAAAH/9e2Y=")</f>
        <v>#VALUE!</v>
      </c>
      <c r="CZ1" t="e">
        <f>AND(Sheet1!H6,"AAAAAH/9e2c=")</f>
        <v>#VALUE!</v>
      </c>
      <c r="DA1" t="e">
        <f>AND(Sheet1!I6,"AAAAAH/9e2g=")</f>
        <v>#VALUE!</v>
      </c>
      <c r="DB1" t="e">
        <f>AND(Sheet1!J6,"AAAAAH/9e2k=")</f>
        <v>#VALUE!</v>
      </c>
      <c r="DC1" t="e">
        <f>AND(Sheet1!K6,"AAAAAH/9e2o=")</f>
        <v>#VALUE!</v>
      </c>
      <c r="DD1" t="e">
        <f>AND(Sheet1!L6,"AAAAAH/9e2s=")</f>
        <v>#VALUE!</v>
      </c>
      <c r="DE1" t="e">
        <f>AND(Sheet1!M6,"AAAAAH/9e2w=")</f>
        <v>#VALUE!</v>
      </c>
      <c r="DF1" t="e">
        <f>AND(Sheet1!N6,"AAAAAH/9e20=")</f>
        <v>#VALUE!</v>
      </c>
      <c r="DG1" t="e">
        <f>AND(Sheet1!#REF!,"AAAAAH/9e24=")</f>
        <v>#REF!</v>
      </c>
      <c r="DH1" t="e">
        <f>AND(Sheet1!#REF!,"AAAAAH/9e28=")</f>
        <v>#REF!</v>
      </c>
      <c r="DI1" t="e">
        <f>AND(Sheet1!#REF!,"AAAAAH/9e3A=")</f>
        <v>#REF!</v>
      </c>
      <c r="DJ1" t="e">
        <f>AND(Sheet1!#REF!,"AAAAAH/9e3E=")</f>
        <v>#REF!</v>
      </c>
      <c r="DK1">
        <f>IF(Sheet1!7:7,"AAAAAH/9e3I=",0)</f>
        <v>0</v>
      </c>
      <c r="DL1" t="e">
        <f>AND(Sheet1!A7,"AAAAAH/9e3M=")</f>
        <v>#VALUE!</v>
      </c>
      <c r="DM1" t="e">
        <f>AND(Sheet1!B7,"AAAAAH/9e3Q=")</f>
        <v>#VALUE!</v>
      </c>
      <c r="DN1" t="e">
        <f>AND(Sheet1!C7,"AAAAAH/9e3U=")</f>
        <v>#VALUE!</v>
      </c>
      <c r="DO1" t="e">
        <f>AND(Sheet1!D7,"AAAAAH/9e3Y=")</f>
        <v>#VALUE!</v>
      </c>
      <c r="DP1" t="e">
        <f>AND(Sheet1!E7,"AAAAAH/9e3c=")</f>
        <v>#VALUE!</v>
      </c>
      <c r="DQ1" t="e">
        <f>AND(Sheet1!F7,"AAAAAH/9e3g=")</f>
        <v>#VALUE!</v>
      </c>
      <c r="DR1" t="e">
        <f>AND(Sheet1!G7,"AAAAAH/9e3k=")</f>
        <v>#VALUE!</v>
      </c>
      <c r="DS1" t="e">
        <f>AND(Sheet1!H7,"AAAAAH/9e3o=")</f>
        <v>#VALUE!</v>
      </c>
      <c r="DT1" t="e">
        <f>AND(Sheet1!I7,"AAAAAH/9e3s=")</f>
        <v>#VALUE!</v>
      </c>
      <c r="DU1" t="e">
        <f>AND(Sheet1!J7,"AAAAAH/9e3w=")</f>
        <v>#VALUE!</v>
      </c>
      <c r="DV1" t="e">
        <f>AND(Sheet1!K7,"AAAAAH/9e30=")</f>
        <v>#VALUE!</v>
      </c>
      <c r="DW1" t="e">
        <f>AND(Sheet1!L7,"AAAAAH/9e34=")</f>
        <v>#VALUE!</v>
      </c>
      <c r="DX1" t="e">
        <f>AND(Sheet1!M7,"AAAAAH/9e38=")</f>
        <v>#VALUE!</v>
      </c>
      <c r="DY1" t="e">
        <f>AND(Sheet1!N7,"AAAAAH/9e4A=")</f>
        <v>#VALUE!</v>
      </c>
      <c r="DZ1" t="e">
        <f>AND(Sheet1!#REF!,"AAAAAH/9e4E=")</f>
        <v>#REF!</v>
      </c>
      <c r="EA1" t="e">
        <f>AND(Sheet1!#REF!,"AAAAAH/9e4I=")</f>
        <v>#REF!</v>
      </c>
      <c r="EB1" t="e">
        <f>AND(Sheet1!#REF!,"AAAAAH/9e4M=")</f>
        <v>#REF!</v>
      </c>
      <c r="EC1" t="e">
        <f>AND(Sheet1!#REF!,"AAAAAH/9e4Q=")</f>
        <v>#REF!</v>
      </c>
      <c r="ED1">
        <f>IF(Sheet1!8:8,"AAAAAH/9e4U=",0)</f>
        <v>0</v>
      </c>
      <c r="EE1" t="e">
        <f>AND(Sheet1!A8,"AAAAAH/9e4Y=")</f>
        <v>#VALUE!</v>
      </c>
      <c r="EF1" t="e">
        <f>AND(Sheet1!B8,"AAAAAH/9e4c=")</f>
        <v>#VALUE!</v>
      </c>
      <c r="EG1" t="e">
        <f>AND(Sheet1!C8,"AAAAAH/9e4g=")</f>
        <v>#VALUE!</v>
      </c>
      <c r="EH1" t="e">
        <f>AND(Sheet1!D8,"AAAAAH/9e4k=")</f>
        <v>#VALUE!</v>
      </c>
      <c r="EI1" t="e">
        <f>AND(Sheet1!E8,"AAAAAH/9e4o=")</f>
        <v>#VALUE!</v>
      </c>
      <c r="EJ1" t="e">
        <f>AND(Sheet1!F8,"AAAAAH/9e4s=")</f>
        <v>#VALUE!</v>
      </c>
      <c r="EK1" t="e">
        <f>AND(Sheet1!G8,"AAAAAH/9e4w=")</f>
        <v>#VALUE!</v>
      </c>
      <c r="EL1" t="e">
        <f>AND(Sheet1!H8,"AAAAAH/9e40=")</f>
        <v>#VALUE!</v>
      </c>
      <c r="EM1" t="e">
        <f>AND(Sheet1!I8,"AAAAAH/9e44=")</f>
        <v>#VALUE!</v>
      </c>
      <c r="EN1" t="e">
        <f>AND(Sheet1!J8,"AAAAAH/9e48=")</f>
        <v>#VALUE!</v>
      </c>
      <c r="EO1" t="e">
        <f>AND(Sheet1!K8,"AAAAAH/9e5A=")</f>
        <v>#VALUE!</v>
      </c>
      <c r="EP1" t="e">
        <f>AND(Sheet1!L8,"AAAAAH/9e5E=")</f>
        <v>#VALUE!</v>
      </c>
      <c r="EQ1" t="e">
        <f>AND(Sheet1!M8,"AAAAAH/9e5I=")</f>
        <v>#VALUE!</v>
      </c>
      <c r="ER1" t="e">
        <f>AND(Sheet1!N8,"AAAAAH/9e5M=")</f>
        <v>#VALUE!</v>
      </c>
      <c r="ES1" t="e">
        <f>AND(Sheet1!#REF!,"AAAAAH/9e5Q=")</f>
        <v>#REF!</v>
      </c>
      <c r="ET1" t="e">
        <f>AND(Sheet1!#REF!,"AAAAAH/9e5U=")</f>
        <v>#REF!</v>
      </c>
      <c r="EU1" t="e">
        <f>AND(Sheet1!#REF!,"AAAAAH/9e5Y=")</f>
        <v>#REF!</v>
      </c>
      <c r="EV1" t="e">
        <f>AND(Sheet1!#REF!,"AAAAAH/9e5c=")</f>
        <v>#REF!</v>
      </c>
      <c r="EW1">
        <f>IF(Sheet1!9:9,"AAAAAH/9e5g=",0)</f>
        <v>0</v>
      </c>
      <c r="EX1" t="e">
        <f>AND(Sheet1!A9,"AAAAAH/9e5k=")</f>
        <v>#VALUE!</v>
      </c>
      <c r="EY1" t="e">
        <f>AND(Sheet1!B9,"AAAAAH/9e5o=")</f>
        <v>#VALUE!</v>
      </c>
      <c r="EZ1" t="e">
        <f>AND(Sheet1!C9,"AAAAAH/9e5s=")</f>
        <v>#VALUE!</v>
      </c>
      <c r="FA1" t="e">
        <f>AND(Sheet1!D9,"AAAAAH/9e5w=")</f>
        <v>#VALUE!</v>
      </c>
      <c r="FB1" t="e">
        <f>AND(Sheet1!E9,"AAAAAH/9e50=")</f>
        <v>#VALUE!</v>
      </c>
      <c r="FC1" t="e">
        <f>AND(Sheet1!F9,"AAAAAH/9e54=")</f>
        <v>#VALUE!</v>
      </c>
      <c r="FD1" t="e">
        <f>AND(Sheet1!G9,"AAAAAH/9e58=")</f>
        <v>#VALUE!</v>
      </c>
      <c r="FE1" t="e">
        <f>AND(Sheet1!H9,"AAAAAH/9e6A=")</f>
        <v>#VALUE!</v>
      </c>
      <c r="FF1" t="e">
        <f>AND(Sheet1!I9,"AAAAAH/9e6E=")</f>
        <v>#VALUE!</v>
      </c>
      <c r="FG1" t="e">
        <f>AND(Sheet1!J9,"AAAAAH/9e6I=")</f>
        <v>#VALUE!</v>
      </c>
      <c r="FH1" t="e">
        <f>AND(Sheet1!K9,"AAAAAH/9e6M=")</f>
        <v>#VALUE!</v>
      </c>
      <c r="FI1" t="e">
        <f>AND(Sheet1!L9,"AAAAAH/9e6Q=")</f>
        <v>#VALUE!</v>
      </c>
      <c r="FJ1" t="e">
        <f>AND(Sheet1!M9,"AAAAAH/9e6U=")</f>
        <v>#VALUE!</v>
      </c>
      <c r="FK1" t="e">
        <f>AND(Sheet1!N9,"AAAAAH/9e6Y=")</f>
        <v>#VALUE!</v>
      </c>
      <c r="FL1" t="e">
        <f>AND(Sheet1!#REF!,"AAAAAH/9e6c=")</f>
        <v>#REF!</v>
      </c>
      <c r="FM1" t="e">
        <f>AND(Sheet1!#REF!,"AAAAAH/9e6g=")</f>
        <v>#REF!</v>
      </c>
      <c r="FN1" t="e">
        <f>AND(Sheet1!#REF!,"AAAAAH/9e6k=")</f>
        <v>#REF!</v>
      </c>
      <c r="FO1" t="e">
        <f>AND(Sheet1!#REF!,"AAAAAH/9e6o=")</f>
        <v>#REF!</v>
      </c>
      <c r="FP1">
        <f>IF(Sheet1!10:10,"AAAAAH/9e6s=",0)</f>
        <v>0</v>
      </c>
      <c r="FQ1" t="e">
        <f>AND(Sheet1!A10,"AAAAAH/9e6w=")</f>
        <v>#VALUE!</v>
      </c>
      <c r="FR1" t="e">
        <f>AND(Sheet1!B10,"AAAAAH/9e60=")</f>
        <v>#VALUE!</v>
      </c>
      <c r="FS1" t="e">
        <f>AND(Sheet1!C10,"AAAAAH/9e64=")</f>
        <v>#VALUE!</v>
      </c>
      <c r="FT1" t="e">
        <f>AND(Sheet1!D10,"AAAAAH/9e68=")</f>
        <v>#VALUE!</v>
      </c>
      <c r="FU1" t="e">
        <f>AND(Sheet1!E10,"AAAAAH/9e7A=")</f>
        <v>#VALUE!</v>
      </c>
      <c r="FV1" t="e">
        <f>AND(Sheet1!F10,"AAAAAH/9e7E=")</f>
        <v>#VALUE!</v>
      </c>
      <c r="FW1" t="e">
        <f>AND(Sheet1!G10,"AAAAAH/9e7I=")</f>
        <v>#VALUE!</v>
      </c>
      <c r="FX1" t="e">
        <f>AND(Sheet1!H10,"AAAAAH/9e7M=")</f>
        <v>#VALUE!</v>
      </c>
      <c r="FY1" t="e">
        <f>AND(Sheet1!I10,"AAAAAH/9e7Q=")</f>
        <v>#VALUE!</v>
      </c>
      <c r="FZ1" t="e">
        <f>AND(Sheet1!J10,"AAAAAH/9e7U=")</f>
        <v>#VALUE!</v>
      </c>
      <c r="GA1" t="e">
        <f>AND(Sheet1!K10,"AAAAAH/9e7Y=")</f>
        <v>#VALUE!</v>
      </c>
      <c r="GB1" t="e">
        <f>AND(Sheet1!L10,"AAAAAH/9e7c=")</f>
        <v>#VALUE!</v>
      </c>
      <c r="GC1" t="e">
        <f>AND(Sheet1!M10,"AAAAAH/9e7g=")</f>
        <v>#VALUE!</v>
      </c>
      <c r="GD1" t="e">
        <f>AND(Sheet1!N10,"AAAAAH/9e7k=")</f>
        <v>#VALUE!</v>
      </c>
      <c r="GE1" t="e">
        <f>AND(Sheet1!#REF!,"AAAAAH/9e7o=")</f>
        <v>#REF!</v>
      </c>
      <c r="GF1" t="e">
        <f>AND(Sheet1!#REF!,"AAAAAH/9e7s=")</f>
        <v>#REF!</v>
      </c>
      <c r="GG1" t="e">
        <f>AND(Sheet1!#REF!,"AAAAAH/9e7w=")</f>
        <v>#REF!</v>
      </c>
      <c r="GH1" t="e">
        <f>AND(Sheet1!#REF!,"AAAAAH/9e70=")</f>
        <v>#REF!</v>
      </c>
      <c r="GI1">
        <f>IF(Sheet1!11:11,"AAAAAH/9e74=",0)</f>
        <v>0</v>
      </c>
      <c r="GJ1" t="e">
        <f>AND(Sheet1!A11,"AAAAAH/9e78=")</f>
        <v>#VALUE!</v>
      </c>
      <c r="GK1" t="e">
        <f>AND(Sheet1!B11,"AAAAAH/9e8A=")</f>
        <v>#VALUE!</v>
      </c>
      <c r="GL1" t="e">
        <f>AND(Sheet1!C11,"AAAAAH/9e8E=")</f>
        <v>#VALUE!</v>
      </c>
      <c r="GM1" t="e">
        <f>AND(Sheet1!D11,"AAAAAH/9e8I=")</f>
        <v>#VALUE!</v>
      </c>
      <c r="GN1" t="e">
        <f>AND(Sheet1!E11,"AAAAAH/9e8M=")</f>
        <v>#VALUE!</v>
      </c>
      <c r="GO1" t="e">
        <f>AND(Sheet1!F11,"AAAAAH/9e8Q=")</f>
        <v>#VALUE!</v>
      </c>
      <c r="GP1" t="e">
        <f>AND(Sheet1!G11,"AAAAAH/9e8U=")</f>
        <v>#VALUE!</v>
      </c>
      <c r="GQ1" t="e">
        <f>AND(Sheet1!H11,"AAAAAH/9e8Y=")</f>
        <v>#VALUE!</v>
      </c>
      <c r="GR1" t="e">
        <f>AND(Sheet1!I11,"AAAAAH/9e8c=")</f>
        <v>#VALUE!</v>
      </c>
      <c r="GS1" t="e">
        <f>AND(Sheet1!J11,"AAAAAH/9e8g=")</f>
        <v>#VALUE!</v>
      </c>
      <c r="GT1" t="e">
        <f>AND(Sheet1!K11,"AAAAAH/9e8k=")</f>
        <v>#VALUE!</v>
      </c>
      <c r="GU1" t="e">
        <f>AND(Sheet1!L11,"AAAAAH/9e8o=")</f>
        <v>#VALUE!</v>
      </c>
      <c r="GV1" t="e">
        <f>AND(Sheet1!M11,"AAAAAH/9e8s=")</f>
        <v>#VALUE!</v>
      </c>
      <c r="GW1" t="e">
        <f>AND(Sheet1!N11,"AAAAAH/9e8w=")</f>
        <v>#VALUE!</v>
      </c>
      <c r="GX1" t="e">
        <f>AND(Sheet1!#REF!,"AAAAAH/9e80=")</f>
        <v>#REF!</v>
      </c>
      <c r="GY1" t="e">
        <f>AND(Sheet1!#REF!,"AAAAAH/9e84=")</f>
        <v>#REF!</v>
      </c>
      <c r="GZ1" t="e">
        <f>AND(Sheet1!#REF!,"AAAAAH/9e88=")</f>
        <v>#REF!</v>
      </c>
      <c r="HA1" t="e">
        <f>AND(Sheet1!#REF!,"AAAAAH/9e9A=")</f>
        <v>#REF!</v>
      </c>
      <c r="HB1">
        <f>IF(Sheet1!12:12,"AAAAAH/9e9E=",0)</f>
        <v>0</v>
      </c>
      <c r="HC1" t="e">
        <f>AND(Sheet1!A12,"AAAAAH/9e9I=")</f>
        <v>#VALUE!</v>
      </c>
      <c r="HD1" t="e">
        <f>AND(Sheet1!B12,"AAAAAH/9e9M=")</f>
        <v>#VALUE!</v>
      </c>
      <c r="HE1" t="e">
        <f>AND(Sheet1!C12,"AAAAAH/9e9Q=")</f>
        <v>#VALUE!</v>
      </c>
      <c r="HF1" t="e">
        <f>AND(Sheet1!D12,"AAAAAH/9e9U=")</f>
        <v>#VALUE!</v>
      </c>
      <c r="HG1" t="e">
        <f>AND(Sheet1!E12,"AAAAAH/9e9Y=")</f>
        <v>#VALUE!</v>
      </c>
      <c r="HH1" t="e">
        <f>AND(Sheet1!F12,"AAAAAH/9e9c=")</f>
        <v>#VALUE!</v>
      </c>
      <c r="HI1" t="e">
        <f>AND(Sheet1!G12,"AAAAAH/9e9g=")</f>
        <v>#VALUE!</v>
      </c>
      <c r="HJ1" t="e">
        <f>AND(Sheet1!H12,"AAAAAH/9e9k=")</f>
        <v>#VALUE!</v>
      </c>
      <c r="HK1" t="e">
        <f>AND(Sheet1!I12,"AAAAAH/9e9o=")</f>
        <v>#VALUE!</v>
      </c>
      <c r="HL1" t="e">
        <f>AND(Sheet1!J12,"AAAAAH/9e9s=")</f>
        <v>#VALUE!</v>
      </c>
      <c r="HM1" t="e">
        <f>AND(Sheet1!K12,"AAAAAH/9e9w=")</f>
        <v>#VALUE!</v>
      </c>
      <c r="HN1" t="e">
        <f>AND(Sheet1!L12,"AAAAAH/9e90=")</f>
        <v>#VALUE!</v>
      </c>
      <c r="HO1" t="e">
        <f>AND(Sheet1!M12,"AAAAAH/9e94=")</f>
        <v>#VALUE!</v>
      </c>
      <c r="HP1" t="e">
        <f>AND(Sheet1!N12,"AAAAAH/9e98=")</f>
        <v>#VALUE!</v>
      </c>
      <c r="HQ1" t="e">
        <f>AND(Sheet1!#REF!,"AAAAAH/9e+A=")</f>
        <v>#REF!</v>
      </c>
      <c r="HR1" t="e">
        <f>AND(Sheet1!#REF!,"AAAAAH/9e+E=")</f>
        <v>#REF!</v>
      </c>
      <c r="HS1" t="e">
        <f>AND(Sheet1!#REF!,"AAAAAH/9e+I=")</f>
        <v>#REF!</v>
      </c>
      <c r="HT1" t="e">
        <f>AND(Sheet1!#REF!,"AAAAAH/9e+M=")</f>
        <v>#REF!</v>
      </c>
      <c r="HU1">
        <f>IF(Sheet1!13:13,"AAAAAH/9e+Q=",0)</f>
        <v>0</v>
      </c>
      <c r="HV1" t="e">
        <f>AND(Sheet1!A13,"AAAAAH/9e+U=")</f>
        <v>#VALUE!</v>
      </c>
      <c r="HW1" t="e">
        <f>AND(Sheet1!B13,"AAAAAH/9e+Y=")</f>
        <v>#VALUE!</v>
      </c>
      <c r="HX1" t="e">
        <f>AND(Sheet1!C13,"AAAAAH/9e+c=")</f>
        <v>#VALUE!</v>
      </c>
      <c r="HY1" t="e">
        <f>AND(Sheet1!D13,"AAAAAH/9e+g=")</f>
        <v>#VALUE!</v>
      </c>
      <c r="HZ1" t="e">
        <f>AND(Sheet1!E13,"AAAAAH/9e+k=")</f>
        <v>#VALUE!</v>
      </c>
      <c r="IA1" t="e">
        <f>AND(Sheet1!F13,"AAAAAH/9e+o=")</f>
        <v>#VALUE!</v>
      </c>
      <c r="IB1" t="e">
        <f>AND(Sheet1!G13,"AAAAAH/9e+s=")</f>
        <v>#VALUE!</v>
      </c>
      <c r="IC1" t="e">
        <f>AND(Sheet1!H13,"AAAAAH/9e+w=")</f>
        <v>#VALUE!</v>
      </c>
      <c r="ID1" t="e">
        <f>AND(Sheet1!I13,"AAAAAH/9e+0=")</f>
        <v>#VALUE!</v>
      </c>
      <c r="IE1" t="e">
        <f>AND(Sheet1!J13,"AAAAAH/9e+4=")</f>
        <v>#VALUE!</v>
      </c>
      <c r="IF1" t="e">
        <f>AND(Sheet1!K13,"AAAAAH/9e+8=")</f>
        <v>#VALUE!</v>
      </c>
      <c r="IG1" t="e">
        <f>AND(Sheet1!L13,"AAAAAH/9e/A=")</f>
        <v>#VALUE!</v>
      </c>
      <c r="IH1" t="e">
        <f>AND(Sheet1!M13,"AAAAAH/9e/E=")</f>
        <v>#VALUE!</v>
      </c>
      <c r="II1" t="e">
        <f>AND(Sheet1!N13,"AAAAAH/9e/I=")</f>
        <v>#VALUE!</v>
      </c>
      <c r="IJ1" t="e">
        <f>AND(Sheet1!#REF!,"AAAAAH/9e/M=")</f>
        <v>#REF!</v>
      </c>
      <c r="IK1" t="e">
        <f>AND(Sheet1!#REF!,"AAAAAH/9e/Q=")</f>
        <v>#REF!</v>
      </c>
      <c r="IL1" t="e">
        <f>AND(Sheet1!#REF!,"AAAAAH/9e/U=")</f>
        <v>#REF!</v>
      </c>
      <c r="IM1" t="e">
        <f>AND(Sheet1!#REF!,"AAAAAH/9e/Y=")</f>
        <v>#REF!</v>
      </c>
      <c r="IN1">
        <f>IF(Sheet1!14:14,"AAAAAH/9e/c=",0)</f>
        <v>0</v>
      </c>
      <c r="IO1" t="e">
        <f>AND(Sheet1!A14,"AAAAAH/9e/g=")</f>
        <v>#VALUE!</v>
      </c>
      <c r="IP1" t="e">
        <f>AND(Sheet1!B14,"AAAAAH/9e/k=")</f>
        <v>#VALUE!</v>
      </c>
      <c r="IQ1" t="e">
        <f>AND(Sheet1!C14,"AAAAAH/9e/o=")</f>
        <v>#VALUE!</v>
      </c>
      <c r="IR1" t="e">
        <f>AND(Sheet1!D14,"AAAAAH/9e/s=")</f>
        <v>#VALUE!</v>
      </c>
      <c r="IS1" t="e">
        <f>AND(Sheet1!E14,"AAAAAH/9e/w=")</f>
        <v>#VALUE!</v>
      </c>
      <c r="IT1" t="e">
        <f>AND(Sheet1!F14,"AAAAAH/9e/0=")</f>
        <v>#VALUE!</v>
      </c>
      <c r="IU1" t="e">
        <f>AND(Sheet1!G14,"AAAAAH/9e/4=")</f>
        <v>#VALUE!</v>
      </c>
      <c r="IV1" t="e">
        <f>AND(Sheet1!H14,"AAAAAH/9e/8=")</f>
        <v>#VALUE!</v>
      </c>
    </row>
    <row r="2" spans="1:256" x14ac:dyDescent="0.2">
      <c r="A2" t="e">
        <f>AND(Sheet1!I14,"AAAAAFntlwA=")</f>
        <v>#VALUE!</v>
      </c>
      <c r="B2" t="e">
        <f>AND(Sheet1!J14,"AAAAAFntlwE=")</f>
        <v>#VALUE!</v>
      </c>
      <c r="C2" t="e">
        <f>AND(Sheet1!K14,"AAAAAFntlwI=")</f>
        <v>#VALUE!</v>
      </c>
      <c r="D2" t="e">
        <f>AND(Sheet1!L14,"AAAAAFntlwM=")</f>
        <v>#VALUE!</v>
      </c>
      <c r="E2" t="e">
        <f>AND(Sheet1!M14,"AAAAAFntlwQ=")</f>
        <v>#VALUE!</v>
      </c>
      <c r="F2" t="e">
        <f>AND(Sheet1!N14,"AAAAAFntlwU=")</f>
        <v>#VALUE!</v>
      </c>
      <c r="G2" t="e">
        <f>AND(Sheet1!#REF!,"AAAAAFntlwY=")</f>
        <v>#REF!</v>
      </c>
      <c r="H2" t="e">
        <f>AND(Sheet1!#REF!,"AAAAAFntlwc=")</f>
        <v>#REF!</v>
      </c>
      <c r="I2" t="e">
        <f>AND(Sheet1!#REF!,"AAAAAFntlwg=")</f>
        <v>#REF!</v>
      </c>
      <c r="J2" t="e">
        <f>AND(Sheet1!#REF!,"AAAAAFntlwk=")</f>
        <v>#REF!</v>
      </c>
      <c r="K2" t="e">
        <f>IF(Sheet1!15:15,"AAAAAFntlwo=",0)</f>
        <v>#VALUE!</v>
      </c>
      <c r="L2" t="e">
        <f>AND(Sheet1!A15,"AAAAAFntlws=")</f>
        <v>#VALUE!</v>
      </c>
      <c r="M2" t="e">
        <f>AND(Sheet1!B15,"AAAAAFntlww=")</f>
        <v>#VALUE!</v>
      </c>
      <c r="N2" t="e">
        <f>AND(Sheet1!C15,"AAAAAFntlw0=")</f>
        <v>#VALUE!</v>
      </c>
      <c r="O2" t="e">
        <f>AND(Sheet1!D15,"AAAAAFntlw4=")</f>
        <v>#VALUE!</v>
      </c>
      <c r="P2" t="e">
        <f>AND(Sheet1!E15,"AAAAAFntlw8=")</f>
        <v>#VALUE!</v>
      </c>
      <c r="Q2" t="e">
        <f>AND(Sheet1!F15,"AAAAAFntlxA=")</f>
        <v>#VALUE!</v>
      </c>
      <c r="R2" t="e">
        <f>AND(Sheet1!G15,"AAAAAFntlxE=")</f>
        <v>#VALUE!</v>
      </c>
      <c r="S2" t="e">
        <f>AND(Sheet1!H15,"AAAAAFntlxI=")</f>
        <v>#VALUE!</v>
      </c>
      <c r="T2" t="e">
        <f>AND(Sheet1!I15,"AAAAAFntlxM=")</f>
        <v>#VALUE!</v>
      </c>
      <c r="U2" t="e">
        <f>AND(Sheet1!J15,"AAAAAFntlxQ=")</f>
        <v>#VALUE!</v>
      </c>
      <c r="V2" t="e">
        <f>AND(Sheet1!K15,"AAAAAFntlxU=")</f>
        <v>#VALUE!</v>
      </c>
      <c r="W2" t="e">
        <f>AND(Sheet1!L15,"AAAAAFntlxY=")</f>
        <v>#VALUE!</v>
      </c>
      <c r="X2" t="e">
        <f>AND(Sheet1!M15,"AAAAAFntlxc=")</f>
        <v>#VALUE!</v>
      </c>
      <c r="Y2" t="e">
        <f>AND(Sheet1!N15,"AAAAAFntlxg=")</f>
        <v>#VALUE!</v>
      </c>
      <c r="Z2" t="e">
        <f>AND(Sheet1!#REF!,"AAAAAFntlxk=")</f>
        <v>#REF!</v>
      </c>
      <c r="AA2" t="e">
        <f>AND(Sheet1!#REF!,"AAAAAFntlxo=")</f>
        <v>#REF!</v>
      </c>
      <c r="AB2" t="e">
        <f>AND(Sheet1!#REF!,"AAAAAFntlxs=")</f>
        <v>#REF!</v>
      </c>
      <c r="AC2" t="e">
        <f>AND(Sheet1!#REF!,"AAAAAFntlxw=")</f>
        <v>#REF!</v>
      </c>
      <c r="AD2">
        <f>IF(Sheet1!16:16,"AAAAAFntlx0=",0)</f>
        <v>0</v>
      </c>
      <c r="AE2" t="e">
        <f>AND(Sheet1!A16,"AAAAAFntlx4=")</f>
        <v>#VALUE!</v>
      </c>
      <c r="AF2" t="e">
        <f>AND(Sheet1!B16,"AAAAAFntlx8=")</f>
        <v>#VALUE!</v>
      </c>
      <c r="AG2" t="e">
        <f>AND(Sheet1!C16,"AAAAAFntlyA=")</f>
        <v>#VALUE!</v>
      </c>
      <c r="AH2" t="e">
        <f>AND(Sheet1!D16,"AAAAAFntlyE=")</f>
        <v>#VALUE!</v>
      </c>
      <c r="AI2" t="e">
        <f>AND(Sheet1!E16,"AAAAAFntlyI=")</f>
        <v>#VALUE!</v>
      </c>
      <c r="AJ2" t="e">
        <f>AND(Sheet1!F16,"AAAAAFntlyM=")</f>
        <v>#VALUE!</v>
      </c>
      <c r="AK2" t="e">
        <f>AND(Sheet1!G16,"AAAAAFntlyQ=")</f>
        <v>#VALUE!</v>
      </c>
      <c r="AL2" t="e">
        <f>AND(Sheet1!H16,"AAAAAFntlyU=")</f>
        <v>#VALUE!</v>
      </c>
      <c r="AM2" t="e">
        <f>AND(Sheet1!I16,"AAAAAFntlyY=")</f>
        <v>#VALUE!</v>
      </c>
      <c r="AN2" t="e">
        <f>AND(Sheet1!J16,"AAAAAFntlyc=")</f>
        <v>#VALUE!</v>
      </c>
      <c r="AO2" t="e">
        <f>AND(Sheet1!K16,"AAAAAFntlyg=")</f>
        <v>#VALUE!</v>
      </c>
      <c r="AP2" t="e">
        <f>AND(Sheet1!L16,"AAAAAFntlyk=")</f>
        <v>#VALUE!</v>
      </c>
      <c r="AQ2" t="e">
        <f>AND(Sheet1!M16,"AAAAAFntlyo=")</f>
        <v>#VALUE!</v>
      </c>
      <c r="AR2" t="e">
        <f>AND(Sheet1!N16,"AAAAAFntlys=")</f>
        <v>#VALUE!</v>
      </c>
      <c r="AS2" t="e">
        <f>AND(Sheet1!#REF!,"AAAAAFntlyw=")</f>
        <v>#REF!</v>
      </c>
      <c r="AT2" t="e">
        <f>AND(Sheet1!#REF!,"AAAAAFntly0=")</f>
        <v>#REF!</v>
      </c>
      <c r="AU2" t="e">
        <f>AND(Sheet1!#REF!,"AAAAAFntly4=")</f>
        <v>#REF!</v>
      </c>
      <c r="AV2" t="e">
        <f>AND(Sheet1!#REF!,"AAAAAFntly8=")</f>
        <v>#REF!</v>
      </c>
      <c r="AW2">
        <f>IF(Sheet1!17:17,"AAAAAFntlzA=",0)</f>
        <v>0</v>
      </c>
      <c r="AX2" t="e">
        <f>AND(Sheet1!A17,"AAAAAFntlzE=")</f>
        <v>#VALUE!</v>
      </c>
      <c r="AY2" t="e">
        <f>AND(Sheet1!B17,"AAAAAFntlzI=")</f>
        <v>#VALUE!</v>
      </c>
      <c r="AZ2" t="e">
        <f>AND(Sheet1!C17,"AAAAAFntlzM=")</f>
        <v>#VALUE!</v>
      </c>
      <c r="BA2" t="e">
        <f>AND(Sheet1!D17,"AAAAAFntlzQ=")</f>
        <v>#VALUE!</v>
      </c>
      <c r="BB2" t="e">
        <f>AND(Sheet1!E17,"AAAAAFntlzU=")</f>
        <v>#VALUE!</v>
      </c>
      <c r="BC2" t="e">
        <f>AND(Sheet1!F17,"AAAAAFntlzY=")</f>
        <v>#VALUE!</v>
      </c>
      <c r="BD2" t="e">
        <f>AND(Sheet1!G17,"AAAAAFntlzc=")</f>
        <v>#VALUE!</v>
      </c>
      <c r="BE2" t="e">
        <f>AND(Sheet1!H17,"AAAAAFntlzg=")</f>
        <v>#VALUE!</v>
      </c>
      <c r="BF2" t="e">
        <f>AND(Sheet1!I17,"AAAAAFntlzk=")</f>
        <v>#VALUE!</v>
      </c>
      <c r="BG2" t="e">
        <f>AND(Sheet1!J17,"AAAAAFntlzo=")</f>
        <v>#VALUE!</v>
      </c>
      <c r="BH2" t="e">
        <f>AND(Sheet1!K17,"AAAAAFntlzs=")</f>
        <v>#VALUE!</v>
      </c>
      <c r="BI2" t="e">
        <f>AND(Sheet1!L17,"AAAAAFntlzw=")</f>
        <v>#VALUE!</v>
      </c>
      <c r="BJ2" t="e">
        <f>AND(Sheet1!M17,"AAAAAFntlz0=")</f>
        <v>#VALUE!</v>
      </c>
      <c r="BK2" t="e">
        <f>AND(Sheet1!N17,"AAAAAFntlz4=")</f>
        <v>#VALUE!</v>
      </c>
      <c r="BL2" t="e">
        <f>AND(Sheet1!#REF!,"AAAAAFntlz8=")</f>
        <v>#REF!</v>
      </c>
      <c r="BM2" t="e">
        <f>AND(Sheet1!#REF!,"AAAAAFntl0A=")</f>
        <v>#REF!</v>
      </c>
      <c r="BN2" t="e">
        <f>AND(Sheet1!#REF!,"AAAAAFntl0E=")</f>
        <v>#REF!</v>
      </c>
      <c r="BO2" t="e">
        <f>AND(Sheet1!#REF!,"AAAAAFntl0I=")</f>
        <v>#REF!</v>
      </c>
      <c r="BP2">
        <f>IF(Sheet1!18:18,"AAAAAFntl0M=",0)</f>
        <v>0</v>
      </c>
      <c r="BQ2" t="e">
        <f>AND(Sheet1!A18,"AAAAAFntl0Q=")</f>
        <v>#VALUE!</v>
      </c>
      <c r="BR2" t="e">
        <f>AND(Sheet1!B18,"AAAAAFntl0U=")</f>
        <v>#VALUE!</v>
      </c>
      <c r="BS2" t="e">
        <f>AND(Sheet1!C18,"AAAAAFntl0Y=")</f>
        <v>#VALUE!</v>
      </c>
      <c r="BT2" t="e">
        <f>AND(Sheet1!D18,"AAAAAFntl0c=")</f>
        <v>#VALUE!</v>
      </c>
      <c r="BU2" t="e">
        <f>AND(Sheet1!E18,"AAAAAFntl0g=")</f>
        <v>#VALUE!</v>
      </c>
      <c r="BV2" t="e">
        <f>AND(Sheet1!F18,"AAAAAFntl0k=")</f>
        <v>#VALUE!</v>
      </c>
      <c r="BW2" t="e">
        <f>AND(Sheet1!G18,"AAAAAFntl0o=")</f>
        <v>#VALUE!</v>
      </c>
      <c r="BX2" t="e">
        <f>AND(Sheet1!H18,"AAAAAFntl0s=")</f>
        <v>#VALUE!</v>
      </c>
      <c r="BY2" t="e">
        <f>AND(Sheet1!I18,"AAAAAFntl0w=")</f>
        <v>#VALUE!</v>
      </c>
      <c r="BZ2" t="e">
        <f>AND(Sheet1!J18,"AAAAAFntl00=")</f>
        <v>#VALUE!</v>
      </c>
      <c r="CA2" t="e">
        <f>AND(Sheet1!K18,"AAAAAFntl04=")</f>
        <v>#VALUE!</v>
      </c>
      <c r="CB2" t="e">
        <f>AND(Sheet1!L18,"AAAAAFntl08=")</f>
        <v>#VALUE!</v>
      </c>
      <c r="CC2" t="e">
        <f>AND(Sheet1!M18,"AAAAAFntl1A=")</f>
        <v>#VALUE!</v>
      </c>
      <c r="CD2" t="e">
        <f>AND(Sheet1!N18,"AAAAAFntl1E=")</f>
        <v>#VALUE!</v>
      </c>
      <c r="CE2" t="e">
        <f>AND(Sheet1!#REF!,"AAAAAFntl1I=")</f>
        <v>#REF!</v>
      </c>
      <c r="CF2" t="e">
        <f>AND(Sheet1!#REF!,"AAAAAFntl1M=")</f>
        <v>#REF!</v>
      </c>
      <c r="CG2" t="e">
        <f>AND(Sheet1!#REF!,"AAAAAFntl1Q=")</f>
        <v>#REF!</v>
      </c>
      <c r="CH2" t="e">
        <f>AND(Sheet1!#REF!,"AAAAAFntl1U=")</f>
        <v>#REF!</v>
      </c>
      <c r="CI2">
        <f>IF(Sheet1!19:19,"AAAAAFntl1Y=",0)</f>
        <v>0</v>
      </c>
      <c r="CJ2" t="e">
        <f>AND(Sheet1!A19,"AAAAAFntl1c=")</f>
        <v>#VALUE!</v>
      </c>
      <c r="CK2" t="e">
        <f>AND(Sheet1!B19,"AAAAAFntl1g=")</f>
        <v>#VALUE!</v>
      </c>
      <c r="CL2" t="e">
        <f>AND(Sheet1!C19,"AAAAAFntl1k=")</f>
        <v>#VALUE!</v>
      </c>
      <c r="CM2" t="e">
        <f>AND(Sheet1!D19,"AAAAAFntl1o=")</f>
        <v>#VALUE!</v>
      </c>
      <c r="CN2" t="e">
        <f>AND(Sheet1!E19,"AAAAAFntl1s=")</f>
        <v>#VALUE!</v>
      </c>
      <c r="CO2" t="e">
        <f>AND(Sheet1!F19,"AAAAAFntl1w=")</f>
        <v>#VALUE!</v>
      </c>
      <c r="CP2" t="e">
        <f>AND(Sheet1!G19,"AAAAAFntl10=")</f>
        <v>#VALUE!</v>
      </c>
      <c r="CQ2" t="e">
        <f>AND(Sheet1!H19,"AAAAAFntl14=")</f>
        <v>#VALUE!</v>
      </c>
      <c r="CR2" t="e">
        <f>AND(Sheet1!I19,"AAAAAFntl18=")</f>
        <v>#VALUE!</v>
      </c>
      <c r="CS2" t="e">
        <f>AND(Sheet1!J19,"AAAAAFntl2A=")</f>
        <v>#VALUE!</v>
      </c>
      <c r="CT2" t="e">
        <f>AND(Sheet1!K19,"AAAAAFntl2E=")</f>
        <v>#VALUE!</v>
      </c>
      <c r="CU2" t="e">
        <f>AND(Sheet1!L19,"AAAAAFntl2I=")</f>
        <v>#VALUE!</v>
      </c>
      <c r="CV2" t="e">
        <f>AND(Sheet1!M19,"AAAAAFntl2M=")</f>
        <v>#VALUE!</v>
      </c>
      <c r="CW2" t="e">
        <f>AND(Sheet1!N19,"AAAAAFntl2Q=")</f>
        <v>#VALUE!</v>
      </c>
      <c r="CX2" t="e">
        <f>AND(Sheet1!#REF!,"AAAAAFntl2U=")</f>
        <v>#REF!</v>
      </c>
      <c r="CY2" t="e">
        <f>AND(Sheet1!#REF!,"AAAAAFntl2Y=")</f>
        <v>#REF!</v>
      </c>
      <c r="CZ2" t="e">
        <f>AND(Sheet1!#REF!,"AAAAAFntl2c=")</f>
        <v>#REF!</v>
      </c>
      <c r="DA2" t="e">
        <f>AND(Sheet1!#REF!,"AAAAAFntl2g=")</f>
        <v>#REF!</v>
      </c>
      <c r="DB2">
        <f>IF(Sheet1!20:20,"AAAAAFntl2k=",0)</f>
        <v>0</v>
      </c>
      <c r="DC2" t="e">
        <f>AND(Sheet1!A20,"AAAAAFntl2o=")</f>
        <v>#VALUE!</v>
      </c>
      <c r="DD2" t="e">
        <f>AND(Sheet1!B20,"AAAAAFntl2s=")</f>
        <v>#VALUE!</v>
      </c>
      <c r="DE2" t="e">
        <f>AND(Sheet1!C20,"AAAAAFntl2w=")</f>
        <v>#VALUE!</v>
      </c>
      <c r="DF2" t="e">
        <f>AND(Sheet1!D20,"AAAAAFntl20=")</f>
        <v>#VALUE!</v>
      </c>
      <c r="DG2" t="e">
        <f>AND(Sheet1!E20,"AAAAAFntl24=")</f>
        <v>#VALUE!</v>
      </c>
      <c r="DH2" t="e">
        <f>AND(Sheet1!F20,"AAAAAFntl28=")</f>
        <v>#VALUE!</v>
      </c>
      <c r="DI2" t="e">
        <f>AND(Sheet1!G20,"AAAAAFntl3A=")</f>
        <v>#VALUE!</v>
      </c>
      <c r="DJ2" t="e">
        <f>AND(Sheet1!H20,"AAAAAFntl3E=")</f>
        <v>#VALUE!</v>
      </c>
      <c r="DK2" t="e">
        <f>AND(Sheet1!I20,"AAAAAFntl3I=")</f>
        <v>#VALUE!</v>
      </c>
      <c r="DL2" t="e">
        <f>AND(Sheet1!J20,"AAAAAFntl3M=")</f>
        <v>#VALUE!</v>
      </c>
      <c r="DM2" t="e">
        <f>AND(Sheet1!K20,"AAAAAFntl3Q=")</f>
        <v>#VALUE!</v>
      </c>
      <c r="DN2" t="e">
        <f>AND(Sheet1!L20,"AAAAAFntl3U=")</f>
        <v>#VALUE!</v>
      </c>
      <c r="DO2" t="e">
        <f>AND(Sheet1!M20,"AAAAAFntl3Y=")</f>
        <v>#VALUE!</v>
      </c>
      <c r="DP2" t="e">
        <f>AND(Sheet1!N20,"AAAAAFntl3c=")</f>
        <v>#VALUE!</v>
      </c>
      <c r="DQ2" t="e">
        <f>AND(Sheet1!#REF!,"AAAAAFntl3g=")</f>
        <v>#REF!</v>
      </c>
      <c r="DR2" t="e">
        <f>AND(Sheet1!#REF!,"AAAAAFntl3k=")</f>
        <v>#REF!</v>
      </c>
      <c r="DS2" t="e">
        <f>AND(Sheet1!#REF!,"AAAAAFntl3o=")</f>
        <v>#REF!</v>
      </c>
      <c r="DT2" t="e">
        <f>AND(Sheet1!#REF!,"AAAAAFntl3s=")</f>
        <v>#REF!</v>
      </c>
      <c r="DU2">
        <f>IF(Sheet1!21:21,"AAAAAFntl3w=",0)</f>
        <v>0</v>
      </c>
      <c r="DV2" t="e">
        <f>AND(Sheet1!A21,"AAAAAFntl30=")</f>
        <v>#VALUE!</v>
      </c>
      <c r="DW2" t="e">
        <f>AND(Sheet1!B21,"AAAAAFntl34=")</f>
        <v>#VALUE!</v>
      </c>
      <c r="DX2" t="e">
        <f>AND(Sheet1!C21,"AAAAAFntl38=")</f>
        <v>#VALUE!</v>
      </c>
      <c r="DY2" t="e">
        <f>AND(Sheet1!D21,"AAAAAFntl4A=")</f>
        <v>#VALUE!</v>
      </c>
      <c r="DZ2" t="e">
        <f>AND(Sheet1!E21,"AAAAAFntl4E=")</f>
        <v>#VALUE!</v>
      </c>
      <c r="EA2" t="e">
        <f>AND(Sheet1!F21,"AAAAAFntl4I=")</f>
        <v>#VALUE!</v>
      </c>
      <c r="EB2" t="e">
        <f>AND(Sheet1!G21,"AAAAAFntl4M=")</f>
        <v>#VALUE!</v>
      </c>
      <c r="EC2" t="e">
        <f>AND(Sheet1!H21,"AAAAAFntl4Q=")</f>
        <v>#VALUE!</v>
      </c>
      <c r="ED2" t="e">
        <f>AND(Sheet1!I21,"AAAAAFntl4U=")</f>
        <v>#VALUE!</v>
      </c>
      <c r="EE2" t="e">
        <f>AND(Sheet1!J21,"AAAAAFntl4Y=")</f>
        <v>#VALUE!</v>
      </c>
      <c r="EF2" t="e">
        <f>AND(Sheet1!K21,"AAAAAFntl4c=")</f>
        <v>#VALUE!</v>
      </c>
      <c r="EG2" t="e">
        <f>AND(Sheet1!L21,"AAAAAFntl4g=")</f>
        <v>#VALUE!</v>
      </c>
      <c r="EH2" t="e">
        <f>AND(Sheet1!M21,"AAAAAFntl4k=")</f>
        <v>#VALUE!</v>
      </c>
      <c r="EI2" t="e">
        <f>AND(Sheet1!N21,"AAAAAFntl4o=")</f>
        <v>#VALUE!</v>
      </c>
      <c r="EJ2" t="e">
        <f>AND(Sheet1!#REF!,"AAAAAFntl4s=")</f>
        <v>#REF!</v>
      </c>
      <c r="EK2" t="e">
        <f>AND(Sheet1!#REF!,"AAAAAFntl4w=")</f>
        <v>#REF!</v>
      </c>
      <c r="EL2" t="e">
        <f>AND(Sheet1!#REF!,"AAAAAFntl40=")</f>
        <v>#REF!</v>
      </c>
      <c r="EM2" t="e">
        <f>AND(Sheet1!#REF!,"AAAAAFntl44=")</f>
        <v>#REF!</v>
      </c>
      <c r="EN2">
        <f>IF(Sheet1!22:22,"AAAAAFntl48=",0)</f>
        <v>0</v>
      </c>
      <c r="EO2" t="e">
        <f>AND(Sheet1!A22,"AAAAAFntl5A=")</f>
        <v>#VALUE!</v>
      </c>
      <c r="EP2" t="e">
        <f>AND(Sheet1!B22,"AAAAAFntl5E=")</f>
        <v>#VALUE!</v>
      </c>
      <c r="EQ2" t="e">
        <f>AND(Sheet1!C22,"AAAAAFntl5I=")</f>
        <v>#VALUE!</v>
      </c>
      <c r="ER2" t="e">
        <f>AND(Sheet1!D22,"AAAAAFntl5M=")</f>
        <v>#VALUE!</v>
      </c>
      <c r="ES2" t="e">
        <f>AND(Sheet1!E22,"AAAAAFntl5Q=")</f>
        <v>#VALUE!</v>
      </c>
      <c r="ET2" t="e">
        <f>AND(Sheet1!F22,"AAAAAFntl5U=")</f>
        <v>#VALUE!</v>
      </c>
      <c r="EU2" t="e">
        <f>AND(Sheet1!G22,"AAAAAFntl5Y=")</f>
        <v>#VALUE!</v>
      </c>
      <c r="EV2" t="e">
        <f>AND(Sheet1!H22,"AAAAAFntl5c=")</f>
        <v>#VALUE!</v>
      </c>
      <c r="EW2" t="e">
        <f>AND(Sheet1!I22,"AAAAAFntl5g=")</f>
        <v>#VALUE!</v>
      </c>
      <c r="EX2" t="e">
        <f>AND(Sheet1!J22,"AAAAAFntl5k=")</f>
        <v>#VALUE!</v>
      </c>
      <c r="EY2" t="e">
        <f>AND(Sheet1!K22,"AAAAAFntl5o=")</f>
        <v>#VALUE!</v>
      </c>
      <c r="EZ2" t="e">
        <f>AND(Sheet1!L22,"AAAAAFntl5s=")</f>
        <v>#VALUE!</v>
      </c>
      <c r="FA2" t="e">
        <f>AND(Sheet1!M22,"AAAAAFntl5w=")</f>
        <v>#VALUE!</v>
      </c>
      <c r="FB2" t="e">
        <f>AND(Sheet1!N22,"AAAAAFntl50=")</f>
        <v>#VALUE!</v>
      </c>
      <c r="FC2" t="e">
        <f>AND(Sheet1!#REF!,"AAAAAFntl54=")</f>
        <v>#REF!</v>
      </c>
      <c r="FD2" t="e">
        <f>AND(Sheet1!#REF!,"AAAAAFntl58=")</f>
        <v>#REF!</v>
      </c>
      <c r="FE2" t="e">
        <f>AND(Sheet1!#REF!,"AAAAAFntl6A=")</f>
        <v>#REF!</v>
      </c>
      <c r="FF2" t="e">
        <f>AND(Sheet1!#REF!,"AAAAAFntl6E=")</f>
        <v>#REF!</v>
      </c>
      <c r="FG2">
        <f>IF(Sheet1!23:23,"AAAAAFntl6I=",0)</f>
        <v>0</v>
      </c>
      <c r="FH2" t="e">
        <f>AND(Sheet1!A23,"AAAAAFntl6M=")</f>
        <v>#VALUE!</v>
      </c>
      <c r="FI2" t="e">
        <f>AND(Sheet1!B23,"AAAAAFntl6Q=")</f>
        <v>#VALUE!</v>
      </c>
      <c r="FJ2" t="e">
        <f>AND(Sheet1!C23,"AAAAAFntl6U=")</f>
        <v>#VALUE!</v>
      </c>
      <c r="FK2" t="e">
        <f>AND(Sheet1!D23,"AAAAAFntl6Y=")</f>
        <v>#VALUE!</v>
      </c>
      <c r="FL2" t="e">
        <f>AND(Sheet1!E23,"AAAAAFntl6c=")</f>
        <v>#VALUE!</v>
      </c>
      <c r="FM2" t="e">
        <f>AND(Sheet1!F23,"AAAAAFntl6g=")</f>
        <v>#VALUE!</v>
      </c>
      <c r="FN2" t="e">
        <f>AND(Sheet1!G23,"AAAAAFntl6k=")</f>
        <v>#VALUE!</v>
      </c>
      <c r="FO2" t="e">
        <f>AND(Sheet1!H23,"AAAAAFntl6o=")</f>
        <v>#VALUE!</v>
      </c>
      <c r="FP2" t="e">
        <f>AND(Sheet1!I23,"AAAAAFntl6s=")</f>
        <v>#VALUE!</v>
      </c>
      <c r="FQ2" t="e">
        <f>AND(Sheet1!J23,"AAAAAFntl6w=")</f>
        <v>#VALUE!</v>
      </c>
      <c r="FR2" t="e">
        <f>AND(Sheet1!K23,"AAAAAFntl60=")</f>
        <v>#VALUE!</v>
      </c>
      <c r="FS2" t="e">
        <f>AND(Sheet1!L23,"AAAAAFntl64=")</f>
        <v>#VALUE!</v>
      </c>
      <c r="FT2" t="e">
        <f>AND(Sheet1!M23,"AAAAAFntl68=")</f>
        <v>#VALUE!</v>
      </c>
      <c r="FU2" t="e">
        <f>AND(Sheet1!N23,"AAAAAFntl7A=")</f>
        <v>#VALUE!</v>
      </c>
      <c r="FV2" t="e">
        <f>AND(Sheet1!#REF!,"AAAAAFntl7E=")</f>
        <v>#REF!</v>
      </c>
      <c r="FW2" t="e">
        <f>AND(Sheet1!#REF!,"AAAAAFntl7I=")</f>
        <v>#REF!</v>
      </c>
      <c r="FX2" t="e">
        <f>AND(Sheet1!#REF!,"AAAAAFntl7M=")</f>
        <v>#REF!</v>
      </c>
      <c r="FY2" t="e">
        <f>AND(Sheet1!#REF!,"AAAAAFntl7Q=")</f>
        <v>#REF!</v>
      </c>
      <c r="FZ2">
        <f>IF(Sheet1!24:24,"AAAAAFntl7U=",0)</f>
        <v>0</v>
      </c>
      <c r="GA2" t="e">
        <f>AND(Sheet1!A24,"AAAAAFntl7Y=")</f>
        <v>#VALUE!</v>
      </c>
      <c r="GB2" t="e">
        <f>AND(Sheet1!B24,"AAAAAFntl7c=")</f>
        <v>#VALUE!</v>
      </c>
      <c r="GC2" t="e">
        <f>AND(Sheet1!C24,"AAAAAFntl7g=")</f>
        <v>#VALUE!</v>
      </c>
      <c r="GD2" t="e">
        <f>AND(Sheet1!D24,"AAAAAFntl7k=")</f>
        <v>#VALUE!</v>
      </c>
      <c r="GE2" t="e">
        <f>AND(Sheet1!E24,"AAAAAFntl7o=")</f>
        <v>#VALUE!</v>
      </c>
      <c r="GF2" t="e">
        <f>AND(Sheet1!F24,"AAAAAFntl7s=")</f>
        <v>#VALUE!</v>
      </c>
      <c r="GG2" t="e">
        <f>AND(Sheet1!G24,"AAAAAFntl7w=")</f>
        <v>#VALUE!</v>
      </c>
      <c r="GH2" t="e">
        <f>AND(Sheet1!H24,"AAAAAFntl70=")</f>
        <v>#VALUE!</v>
      </c>
      <c r="GI2" t="e">
        <f>AND(Sheet1!I24,"AAAAAFntl74=")</f>
        <v>#VALUE!</v>
      </c>
      <c r="GJ2" t="e">
        <f>AND(Sheet1!J24,"AAAAAFntl78=")</f>
        <v>#VALUE!</v>
      </c>
      <c r="GK2" t="e">
        <f>AND(Sheet1!K24,"AAAAAFntl8A=")</f>
        <v>#VALUE!</v>
      </c>
      <c r="GL2" t="e">
        <f>AND(Sheet1!L24,"AAAAAFntl8E=")</f>
        <v>#VALUE!</v>
      </c>
      <c r="GM2" t="e">
        <f>AND(Sheet1!M24,"AAAAAFntl8I=")</f>
        <v>#VALUE!</v>
      </c>
      <c r="GN2" t="e">
        <f>AND(Sheet1!N24,"AAAAAFntl8M=")</f>
        <v>#VALUE!</v>
      </c>
      <c r="GO2" t="e">
        <f>AND(Sheet1!#REF!,"AAAAAFntl8Q=")</f>
        <v>#REF!</v>
      </c>
      <c r="GP2" t="e">
        <f>AND(Sheet1!#REF!,"AAAAAFntl8U=")</f>
        <v>#REF!</v>
      </c>
      <c r="GQ2" t="e">
        <f>AND(Sheet1!#REF!,"AAAAAFntl8Y=")</f>
        <v>#REF!</v>
      </c>
      <c r="GR2" t="e">
        <f>AND(Sheet1!#REF!,"AAAAAFntl8c=")</f>
        <v>#REF!</v>
      </c>
      <c r="GS2">
        <f>IF(Sheet1!25:25,"AAAAAFntl8g=",0)</f>
        <v>0</v>
      </c>
      <c r="GT2" t="e">
        <f>AND(Sheet1!A25,"AAAAAFntl8k=")</f>
        <v>#VALUE!</v>
      </c>
      <c r="GU2" t="e">
        <f>AND(Sheet1!B25,"AAAAAFntl8o=")</f>
        <v>#VALUE!</v>
      </c>
      <c r="GV2" t="e">
        <f>AND(Sheet1!C25,"AAAAAFntl8s=")</f>
        <v>#VALUE!</v>
      </c>
      <c r="GW2" t="e">
        <f>AND(Sheet1!D25,"AAAAAFntl8w=")</f>
        <v>#VALUE!</v>
      </c>
      <c r="GX2" t="e">
        <f>AND(Sheet1!E25,"AAAAAFntl80=")</f>
        <v>#VALUE!</v>
      </c>
      <c r="GY2" t="e">
        <f>AND(Sheet1!F25,"AAAAAFntl84=")</f>
        <v>#VALUE!</v>
      </c>
      <c r="GZ2" t="e">
        <f>AND(Sheet1!G25,"AAAAAFntl88=")</f>
        <v>#VALUE!</v>
      </c>
      <c r="HA2" t="e">
        <f>AND(Sheet1!H25,"AAAAAFntl9A=")</f>
        <v>#VALUE!</v>
      </c>
      <c r="HB2" t="e">
        <f>AND(Sheet1!I25,"AAAAAFntl9E=")</f>
        <v>#VALUE!</v>
      </c>
      <c r="HC2" t="e">
        <f>AND(Sheet1!J25,"AAAAAFntl9I=")</f>
        <v>#VALUE!</v>
      </c>
      <c r="HD2" t="e">
        <f>AND(Sheet1!K25,"AAAAAFntl9M=")</f>
        <v>#VALUE!</v>
      </c>
      <c r="HE2" t="e">
        <f>AND(Sheet1!L25,"AAAAAFntl9Q=")</f>
        <v>#VALUE!</v>
      </c>
      <c r="HF2" t="e">
        <f>AND(Sheet1!M25,"AAAAAFntl9U=")</f>
        <v>#VALUE!</v>
      </c>
      <c r="HG2" t="e">
        <f>AND(Sheet1!N25,"AAAAAFntl9Y=")</f>
        <v>#VALUE!</v>
      </c>
      <c r="HH2" t="e">
        <f>AND(Sheet1!#REF!,"AAAAAFntl9c=")</f>
        <v>#REF!</v>
      </c>
      <c r="HI2" t="e">
        <f>AND(Sheet1!#REF!,"AAAAAFntl9g=")</f>
        <v>#REF!</v>
      </c>
      <c r="HJ2" t="e">
        <f>AND(Sheet1!#REF!,"AAAAAFntl9k=")</f>
        <v>#REF!</v>
      </c>
      <c r="HK2" t="e">
        <f>AND(Sheet1!#REF!,"AAAAAFntl9o=")</f>
        <v>#REF!</v>
      </c>
      <c r="HL2">
        <f>IF(Sheet1!26:26,"AAAAAFntl9s=",0)</f>
        <v>0</v>
      </c>
      <c r="HM2" t="e">
        <f>AND(Sheet1!A26,"AAAAAFntl9w=")</f>
        <v>#VALUE!</v>
      </c>
      <c r="HN2" t="e">
        <f>AND(Sheet1!B26,"AAAAAFntl90=")</f>
        <v>#VALUE!</v>
      </c>
      <c r="HO2" t="e">
        <f>AND(Sheet1!C26,"AAAAAFntl94=")</f>
        <v>#VALUE!</v>
      </c>
      <c r="HP2" t="e">
        <f>AND(Sheet1!D26,"AAAAAFntl98=")</f>
        <v>#VALUE!</v>
      </c>
      <c r="HQ2" t="e">
        <f>AND(Sheet1!E26,"AAAAAFntl+A=")</f>
        <v>#VALUE!</v>
      </c>
      <c r="HR2" t="e">
        <f>AND(Sheet1!F26,"AAAAAFntl+E=")</f>
        <v>#VALUE!</v>
      </c>
      <c r="HS2" t="e">
        <f>AND(Sheet1!G26,"AAAAAFntl+I=")</f>
        <v>#VALUE!</v>
      </c>
      <c r="HT2" t="e">
        <f>AND(Sheet1!H26,"AAAAAFntl+M=")</f>
        <v>#VALUE!</v>
      </c>
      <c r="HU2" t="e">
        <f>AND(Sheet1!I26,"AAAAAFntl+Q=")</f>
        <v>#VALUE!</v>
      </c>
      <c r="HV2" t="e">
        <f>AND(Sheet1!J26,"AAAAAFntl+U=")</f>
        <v>#VALUE!</v>
      </c>
      <c r="HW2" t="e">
        <f>AND(Sheet1!K26,"AAAAAFntl+Y=")</f>
        <v>#VALUE!</v>
      </c>
      <c r="HX2" t="e">
        <f>AND(Sheet1!L26,"AAAAAFntl+c=")</f>
        <v>#VALUE!</v>
      </c>
      <c r="HY2" t="e">
        <f>AND(Sheet1!M26,"AAAAAFntl+g=")</f>
        <v>#VALUE!</v>
      </c>
      <c r="HZ2" t="e">
        <f>AND(Sheet1!N26,"AAAAAFntl+k=")</f>
        <v>#VALUE!</v>
      </c>
      <c r="IA2" t="e">
        <f>AND(Sheet1!#REF!,"AAAAAFntl+o=")</f>
        <v>#REF!</v>
      </c>
      <c r="IB2" t="e">
        <f>AND(Sheet1!#REF!,"AAAAAFntl+s=")</f>
        <v>#REF!</v>
      </c>
      <c r="IC2" t="e">
        <f>AND(Sheet1!#REF!,"AAAAAFntl+w=")</f>
        <v>#REF!</v>
      </c>
      <c r="ID2" t="e">
        <f>AND(Sheet1!#REF!,"AAAAAFntl+0=")</f>
        <v>#REF!</v>
      </c>
      <c r="IE2">
        <f>IF(Sheet1!27:27,"AAAAAFntl+4=",0)</f>
        <v>0</v>
      </c>
      <c r="IF2" t="e">
        <f>AND(Sheet1!A27,"AAAAAFntl+8=")</f>
        <v>#VALUE!</v>
      </c>
      <c r="IG2" t="e">
        <f>AND(Sheet1!B27,"AAAAAFntl/A=")</f>
        <v>#VALUE!</v>
      </c>
      <c r="IH2" t="e">
        <f>AND(Sheet1!C27,"AAAAAFntl/E=")</f>
        <v>#VALUE!</v>
      </c>
      <c r="II2" t="e">
        <f>AND(Sheet1!D27,"AAAAAFntl/I=")</f>
        <v>#VALUE!</v>
      </c>
      <c r="IJ2" t="e">
        <f>AND(Sheet1!E27,"AAAAAFntl/M=")</f>
        <v>#VALUE!</v>
      </c>
      <c r="IK2" t="e">
        <f>AND(Sheet1!F27,"AAAAAFntl/Q=")</f>
        <v>#VALUE!</v>
      </c>
      <c r="IL2" t="e">
        <f>AND(Sheet1!G27,"AAAAAFntl/U=")</f>
        <v>#VALUE!</v>
      </c>
      <c r="IM2" t="e">
        <f>AND(Sheet1!H27,"AAAAAFntl/Y=")</f>
        <v>#VALUE!</v>
      </c>
      <c r="IN2" t="e">
        <f>AND(Sheet1!I27,"AAAAAFntl/c=")</f>
        <v>#VALUE!</v>
      </c>
      <c r="IO2" t="e">
        <f>AND(Sheet1!J27,"AAAAAFntl/g=")</f>
        <v>#VALUE!</v>
      </c>
      <c r="IP2" t="e">
        <f>AND(Sheet1!K27,"AAAAAFntl/k=")</f>
        <v>#VALUE!</v>
      </c>
      <c r="IQ2" t="e">
        <f>AND(Sheet1!L27,"AAAAAFntl/o=")</f>
        <v>#VALUE!</v>
      </c>
      <c r="IR2" t="e">
        <f>AND(Sheet1!M27,"AAAAAFntl/s=")</f>
        <v>#VALUE!</v>
      </c>
      <c r="IS2" t="e">
        <f>AND(Sheet1!N27,"AAAAAFntl/w=")</f>
        <v>#VALUE!</v>
      </c>
      <c r="IT2" t="e">
        <f>AND(Sheet1!#REF!,"AAAAAFntl/0=")</f>
        <v>#REF!</v>
      </c>
      <c r="IU2" t="e">
        <f>AND(Sheet1!#REF!,"AAAAAFntl/4=")</f>
        <v>#REF!</v>
      </c>
      <c r="IV2" t="e">
        <f>AND(Sheet1!#REF!,"AAAAAFntl/8=")</f>
        <v>#REF!</v>
      </c>
    </row>
    <row r="3" spans="1:256" x14ac:dyDescent="0.2">
      <c r="A3" t="e">
        <f>AND(Sheet1!#REF!,"AAAAAHv3ywA=")</f>
        <v>#REF!</v>
      </c>
      <c r="B3" t="e">
        <f>IF(Sheet1!28:28,"AAAAAHv3ywE=",0)</f>
        <v>#VALUE!</v>
      </c>
      <c r="C3" t="e">
        <f>AND(Sheet1!A28,"AAAAAHv3ywI=")</f>
        <v>#VALUE!</v>
      </c>
      <c r="D3" t="e">
        <f>AND(Sheet1!B28,"AAAAAHv3ywM=")</f>
        <v>#VALUE!</v>
      </c>
      <c r="E3" t="e">
        <f>AND(Sheet1!C28,"AAAAAHv3ywQ=")</f>
        <v>#VALUE!</v>
      </c>
      <c r="F3" t="e">
        <f>AND(Sheet1!D28,"AAAAAHv3ywU=")</f>
        <v>#VALUE!</v>
      </c>
      <c r="G3" t="e">
        <f>AND(Sheet1!E28,"AAAAAHv3ywY=")</f>
        <v>#VALUE!</v>
      </c>
      <c r="H3" t="e">
        <f>AND(Sheet1!F28,"AAAAAHv3ywc=")</f>
        <v>#VALUE!</v>
      </c>
      <c r="I3" t="e">
        <f>AND(Sheet1!G28,"AAAAAHv3ywg=")</f>
        <v>#VALUE!</v>
      </c>
      <c r="J3" t="e">
        <f>AND(Sheet1!H28,"AAAAAHv3ywk=")</f>
        <v>#VALUE!</v>
      </c>
      <c r="K3" t="e">
        <f>AND(Sheet1!I28,"AAAAAHv3ywo=")</f>
        <v>#VALUE!</v>
      </c>
      <c r="L3" t="e">
        <f>AND(Sheet1!J28,"AAAAAHv3yws=")</f>
        <v>#VALUE!</v>
      </c>
      <c r="M3" t="e">
        <f>AND(Sheet1!K28,"AAAAAHv3yww=")</f>
        <v>#VALUE!</v>
      </c>
      <c r="N3" t="e">
        <f>AND(Sheet1!L28,"AAAAAHv3yw0=")</f>
        <v>#VALUE!</v>
      </c>
      <c r="O3" t="e">
        <f>AND(Sheet1!M28,"AAAAAHv3yw4=")</f>
        <v>#VALUE!</v>
      </c>
      <c r="P3" t="e">
        <f>AND(Sheet1!N28,"AAAAAHv3yw8=")</f>
        <v>#VALUE!</v>
      </c>
      <c r="Q3" t="e">
        <f>AND(Sheet1!#REF!,"AAAAAHv3yxA=")</f>
        <v>#REF!</v>
      </c>
      <c r="R3" t="e">
        <f>AND(Sheet1!#REF!,"AAAAAHv3yxE=")</f>
        <v>#REF!</v>
      </c>
      <c r="S3" t="e">
        <f>AND(Sheet1!#REF!,"AAAAAHv3yxI=")</f>
        <v>#REF!</v>
      </c>
      <c r="T3" t="e">
        <f>AND(Sheet1!#REF!,"AAAAAHv3yxM=")</f>
        <v>#REF!</v>
      </c>
      <c r="U3">
        <f>IF(Sheet1!29:29,"AAAAAHv3yxQ=",0)</f>
        <v>0</v>
      </c>
      <c r="V3" t="e">
        <f>AND(Sheet1!A29,"AAAAAHv3yxU=")</f>
        <v>#VALUE!</v>
      </c>
      <c r="W3" t="e">
        <f>AND(Sheet1!B29,"AAAAAHv3yxY=")</f>
        <v>#VALUE!</v>
      </c>
      <c r="X3" t="e">
        <f>AND(Sheet1!C29,"AAAAAHv3yxc=")</f>
        <v>#VALUE!</v>
      </c>
      <c r="Y3" t="e">
        <f>AND(Sheet1!D29,"AAAAAHv3yxg=")</f>
        <v>#VALUE!</v>
      </c>
      <c r="Z3" t="e">
        <f>AND(Sheet1!E29,"AAAAAHv3yxk=")</f>
        <v>#VALUE!</v>
      </c>
      <c r="AA3" t="e">
        <f>AND(Sheet1!F29,"AAAAAHv3yxo=")</f>
        <v>#VALUE!</v>
      </c>
      <c r="AB3" t="e">
        <f>AND(Sheet1!G29,"AAAAAHv3yxs=")</f>
        <v>#VALUE!</v>
      </c>
      <c r="AC3" t="e">
        <f>AND(Sheet1!H29,"AAAAAHv3yxw=")</f>
        <v>#VALUE!</v>
      </c>
      <c r="AD3" t="e">
        <f>AND(Sheet1!I29,"AAAAAHv3yx0=")</f>
        <v>#VALUE!</v>
      </c>
      <c r="AE3" t="e">
        <f>AND(Sheet1!J29,"AAAAAHv3yx4=")</f>
        <v>#VALUE!</v>
      </c>
      <c r="AF3" t="e">
        <f>AND(Sheet1!K29,"AAAAAHv3yx8=")</f>
        <v>#VALUE!</v>
      </c>
      <c r="AG3" t="e">
        <f>AND(Sheet1!L29,"AAAAAHv3yyA=")</f>
        <v>#VALUE!</v>
      </c>
      <c r="AH3" t="e">
        <f>AND(Sheet1!M29,"AAAAAHv3yyE=")</f>
        <v>#VALUE!</v>
      </c>
      <c r="AI3" t="e">
        <f>AND(Sheet1!N29,"AAAAAHv3yyI=")</f>
        <v>#VALUE!</v>
      </c>
      <c r="AJ3" t="e">
        <f>AND(Sheet1!#REF!,"AAAAAHv3yyM=")</f>
        <v>#REF!</v>
      </c>
      <c r="AK3" t="e">
        <f>AND(Sheet1!#REF!,"AAAAAHv3yyQ=")</f>
        <v>#REF!</v>
      </c>
      <c r="AL3" t="e">
        <f>AND(Sheet1!#REF!,"AAAAAHv3yyU=")</f>
        <v>#REF!</v>
      </c>
      <c r="AM3" t="e">
        <f>AND(Sheet1!#REF!,"AAAAAHv3yyY=")</f>
        <v>#REF!</v>
      </c>
      <c r="AN3">
        <f>IF(Sheet1!30:30,"AAAAAHv3yyc=",0)</f>
        <v>0</v>
      </c>
      <c r="AO3" t="e">
        <f>AND(Sheet1!A30,"AAAAAHv3yyg=")</f>
        <v>#VALUE!</v>
      </c>
      <c r="AP3" t="e">
        <f>AND(Sheet1!B30,"AAAAAHv3yyk=")</f>
        <v>#VALUE!</v>
      </c>
      <c r="AQ3" t="e">
        <f>AND(Sheet1!C30,"AAAAAHv3yyo=")</f>
        <v>#VALUE!</v>
      </c>
      <c r="AR3" t="e">
        <f>AND(Sheet1!D30,"AAAAAHv3yys=")</f>
        <v>#VALUE!</v>
      </c>
      <c r="AS3" t="e">
        <f>AND(Sheet1!E30,"AAAAAHv3yyw=")</f>
        <v>#VALUE!</v>
      </c>
      <c r="AT3" t="e">
        <f>AND(Sheet1!F30,"AAAAAHv3yy0=")</f>
        <v>#VALUE!</v>
      </c>
      <c r="AU3" t="e">
        <f>AND(Sheet1!G30,"AAAAAHv3yy4=")</f>
        <v>#VALUE!</v>
      </c>
      <c r="AV3" t="e">
        <f>AND(Sheet1!H30,"AAAAAHv3yy8=")</f>
        <v>#VALUE!</v>
      </c>
      <c r="AW3" t="e">
        <f>AND(Sheet1!I30,"AAAAAHv3yzA=")</f>
        <v>#VALUE!</v>
      </c>
      <c r="AX3" t="e">
        <f>AND(Sheet1!J30,"AAAAAHv3yzE=")</f>
        <v>#VALUE!</v>
      </c>
      <c r="AY3" t="e">
        <f>AND(Sheet1!K30,"AAAAAHv3yzI=")</f>
        <v>#VALUE!</v>
      </c>
      <c r="AZ3" t="e">
        <f>AND(Sheet1!L30,"AAAAAHv3yzM=")</f>
        <v>#VALUE!</v>
      </c>
      <c r="BA3" t="e">
        <f>AND(Sheet1!M30,"AAAAAHv3yzQ=")</f>
        <v>#VALUE!</v>
      </c>
      <c r="BB3" t="e">
        <f>AND(Sheet1!N30,"AAAAAHv3yzU=")</f>
        <v>#VALUE!</v>
      </c>
      <c r="BC3" t="e">
        <f>AND(Sheet1!#REF!,"AAAAAHv3yzY=")</f>
        <v>#REF!</v>
      </c>
      <c r="BD3" t="e">
        <f>AND(Sheet1!#REF!,"AAAAAHv3yzc=")</f>
        <v>#REF!</v>
      </c>
      <c r="BE3" t="e">
        <f>AND(Sheet1!#REF!,"AAAAAHv3yzg=")</f>
        <v>#REF!</v>
      </c>
      <c r="BF3" t="e">
        <f>AND(Sheet1!#REF!,"AAAAAHv3yzk=")</f>
        <v>#REF!</v>
      </c>
      <c r="BG3">
        <f>IF(Sheet1!31:31,"AAAAAHv3yzo=",0)</f>
        <v>0</v>
      </c>
      <c r="BH3" t="e">
        <f>AND(Sheet1!A31,"AAAAAHv3yzs=")</f>
        <v>#VALUE!</v>
      </c>
      <c r="BI3" t="e">
        <f>AND(Sheet1!B31,"AAAAAHv3yzw=")</f>
        <v>#VALUE!</v>
      </c>
      <c r="BJ3" t="e">
        <f>AND(Sheet1!C31,"AAAAAHv3yz0=")</f>
        <v>#VALUE!</v>
      </c>
      <c r="BK3" t="e">
        <f>AND(Sheet1!D31,"AAAAAHv3yz4=")</f>
        <v>#VALUE!</v>
      </c>
      <c r="BL3" t="e">
        <f>AND(Sheet1!E31,"AAAAAHv3yz8=")</f>
        <v>#VALUE!</v>
      </c>
      <c r="BM3" t="e">
        <f>AND(Sheet1!F31,"AAAAAHv3y0A=")</f>
        <v>#VALUE!</v>
      </c>
      <c r="BN3" t="e">
        <f>AND(Sheet1!G31,"AAAAAHv3y0E=")</f>
        <v>#VALUE!</v>
      </c>
      <c r="BO3" t="e">
        <f>AND(Sheet1!H31,"AAAAAHv3y0I=")</f>
        <v>#VALUE!</v>
      </c>
      <c r="BP3" t="e">
        <f>AND(Sheet1!I31,"AAAAAHv3y0M=")</f>
        <v>#VALUE!</v>
      </c>
      <c r="BQ3" t="e">
        <f>AND(Sheet1!J31,"AAAAAHv3y0Q=")</f>
        <v>#VALUE!</v>
      </c>
      <c r="BR3" t="e">
        <f>AND(Sheet1!K31,"AAAAAHv3y0U=")</f>
        <v>#VALUE!</v>
      </c>
      <c r="BS3" t="e">
        <f>AND(Sheet1!L31,"AAAAAHv3y0Y=")</f>
        <v>#VALUE!</v>
      </c>
      <c r="BT3" t="e">
        <f>AND(Sheet1!M31,"AAAAAHv3y0c=")</f>
        <v>#VALUE!</v>
      </c>
      <c r="BU3" t="e">
        <f>AND(Sheet1!N31,"AAAAAHv3y0g=")</f>
        <v>#VALUE!</v>
      </c>
      <c r="BV3" t="e">
        <f>AND(Sheet1!#REF!,"AAAAAHv3y0k=")</f>
        <v>#REF!</v>
      </c>
      <c r="BW3" t="e">
        <f>AND(Sheet1!#REF!,"AAAAAHv3y0o=")</f>
        <v>#REF!</v>
      </c>
      <c r="BX3" t="e">
        <f>AND(Sheet1!#REF!,"AAAAAHv3y0s=")</f>
        <v>#REF!</v>
      </c>
      <c r="BY3" t="e">
        <f>AND(Sheet1!#REF!,"AAAAAHv3y0w=")</f>
        <v>#REF!</v>
      </c>
      <c r="BZ3">
        <f>IF(Sheet1!32:32,"AAAAAHv3y00=",0)</f>
        <v>0</v>
      </c>
      <c r="CA3" t="e">
        <f>AND(Sheet1!A32,"AAAAAHv3y04=")</f>
        <v>#VALUE!</v>
      </c>
      <c r="CB3" t="e">
        <f>AND(Sheet1!B32,"AAAAAHv3y08=")</f>
        <v>#VALUE!</v>
      </c>
      <c r="CC3" t="e">
        <f>AND(Sheet1!C32,"AAAAAHv3y1A=")</f>
        <v>#VALUE!</v>
      </c>
      <c r="CD3" t="e">
        <f>AND(Sheet1!D32,"AAAAAHv3y1E=")</f>
        <v>#VALUE!</v>
      </c>
      <c r="CE3" t="e">
        <f>AND(Sheet1!E32,"AAAAAHv3y1I=")</f>
        <v>#VALUE!</v>
      </c>
      <c r="CF3" t="e">
        <f>AND(Sheet1!F32,"AAAAAHv3y1M=")</f>
        <v>#VALUE!</v>
      </c>
      <c r="CG3" t="e">
        <f>AND(Sheet1!G32,"AAAAAHv3y1Q=")</f>
        <v>#VALUE!</v>
      </c>
      <c r="CH3" t="e">
        <f>AND(Sheet1!H32,"AAAAAHv3y1U=")</f>
        <v>#VALUE!</v>
      </c>
      <c r="CI3" t="e">
        <f>AND(Sheet1!I32,"AAAAAHv3y1Y=")</f>
        <v>#VALUE!</v>
      </c>
      <c r="CJ3" t="e">
        <f>AND(Sheet1!J32,"AAAAAHv3y1c=")</f>
        <v>#VALUE!</v>
      </c>
      <c r="CK3" t="e">
        <f>AND(Sheet1!K32,"AAAAAHv3y1g=")</f>
        <v>#VALUE!</v>
      </c>
      <c r="CL3" t="e">
        <f>AND(Sheet1!L32,"AAAAAHv3y1k=")</f>
        <v>#VALUE!</v>
      </c>
      <c r="CM3" t="e">
        <f>AND(Sheet1!M32,"AAAAAHv3y1o=")</f>
        <v>#VALUE!</v>
      </c>
      <c r="CN3" t="e">
        <f>AND(Sheet1!N32,"AAAAAHv3y1s=")</f>
        <v>#VALUE!</v>
      </c>
      <c r="CO3" t="e">
        <f>AND(Sheet1!#REF!,"AAAAAHv3y1w=")</f>
        <v>#REF!</v>
      </c>
      <c r="CP3" t="e">
        <f>AND(Sheet1!#REF!,"AAAAAHv3y10=")</f>
        <v>#REF!</v>
      </c>
      <c r="CQ3" t="e">
        <f>AND(Sheet1!#REF!,"AAAAAHv3y14=")</f>
        <v>#REF!</v>
      </c>
      <c r="CR3" t="e">
        <f>AND(Sheet1!#REF!,"AAAAAHv3y18=")</f>
        <v>#REF!</v>
      </c>
      <c r="CS3">
        <f>IF(Sheet1!33:33,"AAAAAHv3y2A=",0)</f>
        <v>0</v>
      </c>
      <c r="CT3" t="e">
        <f>AND(Sheet1!A33,"AAAAAHv3y2E=")</f>
        <v>#VALUE!</v>
      </c>
      <c r="CU3" t="e">
        <f>AND(Sheet1!B33,"AAAAAHv3y2I=")</f>
        <v>#VALUE!</v>
      </c>
      <c r="CV3" t="e">
        <f>AND(Sheet1!C33,"AAAAAHv3y2M=")</f>
        <v>#VALUE!</v>
      </c>
      <c r="CW3" t="e">
        <f>AND(Sheet1!D33,"AAAAAHv3y2Q=")</f>
        <v>#VALUE!</v>
      </c>
      <c r="CX3" t="e">
        <f>AND(Sheet1!E33,"AAAAAHv3y2U=")</f>
        <v>#VALUE!</v>
      </c>
      <c r="CY3" t="e">
        <f>AND(Sheet1!F33,"AAAAAHv3y2Y=")</f>
        <v>#VALUE!</v>
      </c>
      <c r="CZ3" t="e">
        <f>AND(Sheet1!G33,"AAAAAHv3y2c=")</f>
        <v>#VALUE!</v>
      </c>
      <c r="DA3" t="e">
        <f>AND(Sheet1!H33,"AAAAAHv3y2g=")</f>
        <v>#VALUE!</v>
      </c>
      <c r="DB3" t="e">
        <f>AND(Sheet1!I33,"AAAAAHv3y2k=")</f>
        <v>#VALUE!</v>
      </c>
      <c r="DC3" t="e">
        <f>AND(Sheet1!J33,"AAAAAHv3y2o=")</f>
        <v>#VALUE!</v>
      </c>
      <c r="DD3" t="e">
        <f>AND(Sheet1!K33,"AAAAAHv3y2s=")</f>
        <v>#VALUE!</v>
      </c>
      <c r="DE3" t="e">
        <f>AND(Sheet1!L33,"AAAAAHv3y2w=")</f>
        <v>#VALUE!</v>
      </c>
      <c r="DF3" t="e">
        <f>AND(Sheet1!M33,"AAAAAHv3y20=")</f>
        <v>#VALUE!</v>
      </c>
      <c r="DG3" t="e">
        <f>AND(Sheet1!N33,"AAAAAHv3y24=")</f>
        <v>#VALUE!</v>
      </c>
      <c r="DH3" t="e">
        <f>AND(Sheet1!#REF!,"AAAAAHv3y28=")</f>
        <v>#REF!</v>
      </c>
      <c r="DI3" t="e">
        <f>AND(Sheet1!#REF!,"AAAAAHv3y3A=")</f>
        <v>#REF!</v>
      </c>
      <c r="DJ3" t="e">
        <f>AND(Sheet1!#REF!,"AAAAAHv3y3E=")</f>
        <v>#REF!</v>
      </c>
      <c r="DK3" t="e">
        <f>AND(Sheet1!#REF!,"AAAAAHv3y3I=")</f>
        <v>#REF!</v>
      </c>
      <c r="DL3">
        <f>IF(Sheet1!34:34,"AAAAAHv3y3M=",0)</f>
        <v>0</v>
      </c>
      <c r="DM3" t="e">
        <f>AND(Sheet1!A34,"AAAAAHv3y3Q=")</f>
        <v>#VALUE!</v>
      </c>
      <c r="DN3" t="e">
        <f>AND(Sheet1!B34,"AAAAAHv3y3U=")</f>
        <v>#VALUE!</v>
      </c>
      <c r="DO3" t="e">
        <f>AND(Sheet1!C34,"AAAAAHv3y3Y=")</f>
        <v>#VALUE!</v>
      </c>
      <c r="DP3" t="e">
        <f>AND(Sheet1!D34,"AAAAAHv3y3c=")</f>
        <v>#VALUE!</v>
      </c>
      <c r="DQ3" t="e">
        <f>AND(Sheet1!E34,"AAAAAHv3y3g=")</f>
        <v>#VALUE!</v>
      </c>
      <c r="DR3" t="e">
        <f>AND(Sheet1!F34,"AAAAAHv3y3k=")</f>
        <v>#VALUE!</v>
      </c>
      <c r="DS3" t="e">
        <f>AND(Sheet1!G34,"AAAAAHv3y3o=")</f>
        <v>#VALUE!</v>
      </c>
      <c r="DT3" t="e">
        <f>AND(Sheet1!H34,"AAAAAHv3y3s=")</f>
        <v>#VALUE!</v>
      </c>
      <c r="DU3" t="e">
        <f>AND(Sheet1!I34,"AAAAAHv3y3w=")</f>
        <v>#VALUE!</v>
      </c>
      <c r="DV3" t="e">
        <f>AND(Sheet1!J34,"AAAAAHv3y30=")</f>
        <v>#VALUE!</v>
      </c>
      <c r="DW3" t="e">
        <f>AND(Sheet1!K34,"AAAAAHv3y34=")</f>
        <v>#VALUE!</v>
      </c>
      <c r="DX3" t="e">
        <f>AND(Sheet1!L34,"AAAAAHv3y38=")</f>
        <v>#VALUE!</v>
      </c>
      <c r="DY3" t="e">
        <f>AND(Sheet1!M34,"AAAAAHv3y4A=")</f>
        <v>#VALUE!</v>
      </c>
      <c r="DZ3" t="e">
        <f>AND(Sheet1!N34,"AAAAAHv3y4E=")</f>
        <v>#VALUE!</v>
      </c>
      <c r="EA3" t="e">
        <f>AND(Sheet1!#REF!,"AAAAAHv3y4I=")</f>
        <v>#REF!</v>
      </c>
      <c r="EB3" t="e">
        <f>AND(Sheet1!#REF!,"AAAAAHv3y4M=")</f>
        <v>#REF!</v>
      </c>
      <c r="EC3" t="e">
        <f>AND(Sheet1!#REF!,"AAAAAHv3y4Q=")</f>
        <v>#REF!</v>
      </c>
      <c r="ED3" t="e">
        <f>AND(Sheet1!#REF!,"AAAAAHv3y4U=")</f>
        <v>#REF!</v>
      </c>
      <c r="EE3">
        <f>IF(Sheet1!35:35,"AAAAAHv3y4Y=",0)</f>
        <v>0</v>
      </c>
      <c r="EF3" t="e">
        <f>AND(Sheet1!A35,"AAAAAHv3y4c=")</f>
        <v>#VALUE!</v>
      </c>
      <c r="EG3" t="e">
        <f>AND(Sheet1!B35,"AAAAAHv3y4g=")</f>
        <v>#VALUE!</v>
      </c>
      <c r="EH3" t="e">
        <f>AND(Sheet1!C35,"AAAAAHv3y4k=")</f>
        <v>#VALUE!</v>
      </c>
      <c r="EI3" t="e">
        <f>AND(Sheet1!D35,"AAAAAHv3y4o=")</f>
        <v>#VALUE!</v>
      </c>
      <c r="EJ3" t="e">
        <f>AND(Sheet1!E35,"AAAAAHv3y4s=")</f>
        <v>#VALUE!</v>
      </c>
      <c r="EK3" t="e">
        <f>AND(Sheet1!F35,"AAAAAHv3y4w=")</f>
        <v>#VALUE!</v>
      </c>
      <c r="EL3" t="e">
        <f>AND(Sheet1!G35,"AAAAAHv3y40=")</f>
        <v>#VALUE!</v>
      </c>
      <c r="EM3" t="e">
        <f>AND(Sheet1!H35,"AAAAAHv3y44=")</f>
        <v>#VALUE!</v>
      </c>
      <c r="EN3" t="e">
        <f>AND(Sheet1!I35,"AAAAAHv3y48=")</f>
        <v>#VALUE!</v>
      </c>
      <c r="EO3" t="e">
        <f>AND(Sheet1!J35,"AAAAAHv3y5A=")</f>
        <v>#VALUE!</v>
      </c>
      <c r="EP3" t="e">
        <f>AND(Sheet1!K35,"AAAAAHv3y5E=")</f>
        <v>#VALUE!</v>
      </c>
      <c r="EQ3" t="e">
        <f>AND(Sheet1!L35,"AAAAAHv3y5I=")</f>
        <v>#VALUE!</v>
      </c>
      <c r="ER3" t="e">
        <f>AND(Sheet1!M35,"AAAAAHv3y5M=")</f>
        <v>#VALUE!</v>
      </c>
      <c r="ES3" t="e">
        <f>AND(Sheet1!N35,"AAAAAHv3y5Q=")</f>
        <v>#VALUE!</v>
      </c>
      <c r="ET3" t="e">
        <f>AND(Sheet1!#REF!,"AAAAAHv3y5U=")</f>
        <v>#REF!</v>
      </c>
      <c r="EU3" t="e">
        <f>AND(Sheet1!#REF!,"AAAAAHv3y5Y=")</f>
        <v>#REF!</v>
      </c>
      <c r="EV3" t="e">
        <f>AND(Sheet1!#REF!,"AAAAAHv3y5c=")</f>
        <v>#REF!</v>
      </c>
      <c r="EW3" t="e">
        <f>AND(Sheet1!#REF!,"AAAAAHv3y5g=")</f>
        <v>#REF!</v>
      </c>
      <c r="EX3">
        <f>IF(Sheet1!36:36,"AAAAAHv3y5k=",0)</f>
        <v>0</v>
      </c>
      <c r="EY3" t="e">
        <f>AND(Sheet1!A36,"AAAAAHv3y5o=")</f>
        <v>#VALUE!</v>
      </c>
      <c r="EZ3" t="e">
        <f>AND(Sheet1!B36,"AAAAAHv3y5s=")</f>
        <v>#VALUE!</v>
      </c>
      <c r="FA3" t="e">
        <f>AND(Sheet1!C36,"AAAAAHv3y5w=")</f>
        <v>#VALUE!</v>
      </c>
      <c r="FB3" t="e">
        <f>AND(Sheet1!D36,"AAAAAHv3y50=")</f>
        <v>#VALUE!</v>
      </c>
      <c r="FC3" t="e">
        <f>AND(Sheet1!E36,"AAAAAHv3y54=")</f>
        <v>#VALUE!</v>
      </c>
      <c r="FD3" t="e">
        <f>AND(Sheet1!F36,"AAAAAHv3y58=")</f>
        <v>#VALUE!</v>
      </c>
      <c r="FE3" t="e">
        <f>AND(Sheet1!G36,"AAAAAHv3y6A=")</f>
        <v>#VALUE!</v>
      </c>
      <c r="FF3" t="e">
        <f>AND(Sheet1!H36,"AAAAAHv3y6E=")</f>
        <v>#VALUE!</v>
      </c>
      <c r="FG3" t="e">
        <f>AND(Sheet1!I36,"AAAAAHv3y6I=")</f>
        <v>#VALUE!</v>
      </c>
      <c r="FH3" t="e">
        <f>AND(Sheet1!J36,"AAAAAHv3y6M=")</f>
        <v>#VALUE!</v>
      </c>
      <c r="FI3" t="e">
        <f>AND(Sheet1!K36,"AAAAAHv3y6Q=")</f>
        <v>#VALUE!</v>
      </c>
      <c r="FJ3" t="e">
        <f>AND(Sheet1!L36,"AAAAAHv3y6U=")</f>
        <v>#VALUE!</v>
      </c>
      <c r="FK3" t="e">
        <f>AND(Sheet1!M36,"AAAAAHv3y6Y=")</f>
        <v>#VALUE!</v>
      </c>
      <c r="FL3" t="e">
        <f>AND(Sheet1!N36,"AAAAAHv3y6c=")</f>
        <v>#VALUE!</v>
      </c>
      <c r="FM3" t="e">
        <f>AND(Sheet1!#REF!,"AAAAAHv3y6g=")</f>
        <v>#REF!</v>
      </c>
      <c r="FN3" t="e">
        <f>AND(Sheet1!#REF!,"AAAAAHv3y6k=")</f>
        <v>#REF!</v>
      </c>
      <c r="FO3" t="e">
        <f>AND(Sheet1!#REF!,"AAAAAHv3y6o=")</f>
        <v>#REF!</v>
      </c>
      <c r="FP3" t="e">
        <f>AND(Sheet1!#REF!,"AAAAAHv3y6s=")</f>
        <v>#REF!</v>
      </c>
      <c r="FQ3">
        <f>IF(Sheet1!37:37,"AAAAAHv3y6w=",0)</f>
        <v>0</v>
      </c>
      <c r="FR3" t="e">
        <f>AND(Sheet1!A37,"AAAAAHv3y60=")</f>
        <v>#VALUE!</v>
      </c>
      <c r="FS3" t="e">
        <f>AND(Sheet1!B37,"AAAAAHv3y64=")</f>
        <v>#VALUE!</v>
      </c>
      <c r="FT3" t="e">
        <f>AND(Sheet1!C37,"AAAAAHv3y68=")</f>
        <v>#VALUE!</v>
      </c>
      <c r="FU3" t="e">
        <f>AND(Sheet1!D37,"AAAAAHv3y7A=")</f>
        <v>#VALUE!</v>
      </c>
      <c r="FV3" t="e">
        <f>AND(Sheet1!E37,"AAAAAHv3y7E=")</f>
        <v>#VALUE!</v>
      </c>
      <c r="FW3" t="e">
        <f>AND(Sheet1!F37,"AAAAAHv3y7I=")</f>
        <v>#VALUE!</v>
      </c>
      <c r="FX3" t="e">
        <f>AND(Sheet1!G37,"AAAAAHv3y7M=")</f>
        <v>#VALUE!</v>
      </c>
      <c r="FY3" t="e">
        <f>AND(Sheet1!H37,"AAAAAHv3y7Q=")</f>
        <v>#VALUE!</v>
      </c>
      <c r="FZ3" t="e">
        <f>AND(Sheet1!I37,"AAAAAHv3y7U=")</f>
        <v>#VALUE!</v>
      </c>
      <c r="GA3" t="e">
        <f>AND(Sheet1!J37,"AAAAAHv3y7Y=")</f>
        <v>#VALUE!</v>
      </c>
      <c r="GB3" t="e">
        <f>AND(Sheet1!K37,"AAAAAHv3y7c=")</f>
        <v>#VALUE!</v>
      </c>
      <c r="GC3" t="e">
        <f>AND(Sheet1!L37,"AAAAAHv3y7g=")</f>
        <v>#VALUE!</v>
      </c>
      <c r="GD3" t="e">
        <f>AND(Sheet1!M37,"AAAAAHv3y7k=")</f>
        <v>#VALUE!</v>
      </c>
      <c r="GE3" t="e">
        <f>AND(Sheet1!N37,"AAAAAHv3y7o=")</f>
        <v>#VALUE!</v>
      </c>
      <c r="GF3" t="e">
        <f>AND(Sheet1!#REF!,"AAAAAHv3y7s=")</f>
        <v>#REF!</v>
      </c>
      <c r="GG3" t="e">
        <f>AND(Sheet1!#REF!,"AAAAAHv3y7w=")</f>
        <v>#REF!</v>
      </c>
      <c r="GH3" t="e">
        <f>AND(Sheet1!#REF!,"AAAAAHv3y70=")</f>
        <v>#REF!</v>
      </c>
      <c r="GI3" t="e">
        <f>AND(Sheet1!#REF!,"AAAAAHv3y74=")</f>
        <v>#REF!</v>
      </c>
      <c r="GJ3">
        <f>IF(Sheet1!38:38,"AAAAAHv3y78=",0)</f>
        <v>0</v>
      </c>
      <c r="GK3" t="e">
        <f>AND(Sheet1!A38,"AAAAAHv3y8A=")</f>
        <v>#VALUE!</v>
      </c>
      <c r="GL3" t="e">
        <f>AND(Sheet1!B38,"AAAAAHv3y8E=")</f>
        <v>#VALUE!</v>
      </c>
      <c r="GM3" t="e">
        <f>AND(Sheet1!C38,"AAAAAHv3y8I=")</f>
        <v>#VALUE!</v>
      </c>
      <c r="GN3" t="e">
        <f>AND(Sheet1!D38,"AAAAAHv3y8M=")</f>
        <v>#VALUE!</v>
      </c>
      <c r="GO3" t="e">
        <f>AND(Sheet1!E38,"AAAAAHv3y8Q=")</f>
        <v>#VALUE!</v>
      </c>
      <c r="GP3" t="e">
        <f>AND(Sheet1!F38,"AAAAAHv3y8U=")</f>
        <v>#VALUE!</v>
      </c>
      <c r="GQ3" t="e">
        <f>AND(Sheet1!G38,"AAAAAHv3y8Y=")</f>
        <v>#VALUE!</v>
      </c>
      <c r="GR3" t="e">
        <f>AND(Sheet1!H38,"AAAAAHv3y8c=")</f>
        <v>#VALUE!</v>
      </c>
      <c r="GS3" t="e">
        <f>AND(Sheet1!I38,"AAAAAHv3y8g=")</f>
        <v>#VALUE!</v>
      </c>
      <c r="GT3" t="e">
        <f>AND(Sheet1!J38,"AAAAAHv3y8k=")</f>
        <v>#VALUE!</v>
      </c>
      <c r="GU3" t="e">
        <f>AND(Sheet1!K38,"AAAAAHv3y8o=")</f>
        <v>#VALUE!</v>
      </c>
      <c r="GV3" t="e">
        <f>AND(Sheet1!L38,"AAAAAHv3y8s=")</f>
        <v>#VALUE!</v>
      </c>
      <c r="GW3" t="e">
        <f>AND(Sheet1!M38,"AAAAAHv3y8w=")</f>
        <v>#VALUE!</v>
      </c>
      <c r="GX3" t="e">
        <f>AND(Sheet1!N38,"AAAAAHv3y80=")</f>
        <v>#VALUE!</v>
      </c>
      <c r="GY3" t="e">
        <f>AND(Sheet1!#REF!,"AAAAAHv3y84=")</f>
        <v>#REF!</v>
      </c>
      <c r="GZ3" t="e">
        <f>AND(Sheet1!#REF!,"AAAAAHv3y88=")</f>
        <v>#REF!</v>
      </c>
      <c r="HA3" t="e">
        <f>AND(Sheet1!#REF!,"AAAAAHv3y9A=")</f>
        <v>#REF!</v>
      </c>
      <c r="HB3" t="e">
        <f>AND(Sheet1!#REF!,"AAAAAHv3y9E=")</f>
        <v>#REF!</v>
      </c>
      <c r="HC3">
        <f>IF(Sheet1!39:39,"AAAAAHv3y9I=",0)</f>
        <v>0</v>
      </c>
      <c r="HD3" t="e">
        <f>AND(Sheet1!A39,"AAAAAHv3y9M=")</f>
        <v>#VALUE!</v>
      </c>
      <c r="HE3" t="e">
        <f>AND(Sheet1!B39,"AAAAAHv3y9Q=")</f>
        <v>#VALUE!</v>
      </c>
      <c r="HF3" t="e">
        <f>AND(Sheet1!C39,"AAAAAHv3y9U=")</f>
        <v>#VALUE!</v>
      </c>
      <c r="HG3" t="e">
        <f>AND(Sheet1!D39,"AAAAAHv3y9Y=")</f>
        <v>#VALUE!</v>
      </c>
      <c r="HH3" t="e">
        <f>AND(Sheet1!E39,"AAAAAHv3y9c=")</f>
        <v>#VALUE!</v>
      </c>
      <c r="HI3" t="e">
        <f>AND(Sheet1!F39,"AAAAAHv3y9g=")</f>
        <v>#VALUE!</v>
      </c>
      <c r="HJ3" t="e">
        <f>AND(Sheet1!G39,"AAAAAHv3y9k=")</f>
        <v>#VALUE!</v>
      </c>
      <c r="HK3" t="e">
        <f>AND(Sheet1!H39,"AAAAAHv3y9o=")</f>
        <v>#VALUE!</v>
      </c>
      <c r="HL3" t="e">
        <f>AND(Sheet1!I39,"AAAAAHv3y9s=")</f>
        <v>#VALUE!</v>
      </c>
      <c r="HM3" t="e">
        <f>AND(Sheet1!J39,"AAAAAHv3y9w=")</f>
        <v>#VALUE!</v>
      </c>
      <c r="HN3" t="e">
        <f>AND(Sheet1!K39,"AAAAAHv3y90=")</f>
        <v>#VALUE!</v>
      </c>
      <c r="HO3" t="e">
        <f>AND(Sheet1!L39,"AAAAAHv3y94=")</f>
        <v>#VALUE!</v>
      </c>
      <c r="HP3" t="e">
        <f>AND(Sheet1!M39,"AAAAAHv3y98=")</f>
        <v>#VALUE!</v>
      </c>
      <c r="HQ3" t="e">
        <f>AND(Sheet1!N39,"AAAAAHv3y+A=")</f>
        <v>#VALUE!</v>
      </c>
      <c r="HR3" t="e">
        <f>AND(Sheet1!#REF!,"AAAAAHv3y+E=")</f>
        <v>#REF!</v>
      </c>
      <c r="HS3" t="e">
        <f>AND(Sheet1!#REF!,"AAAAAHv3y+I=")</f>
        <v>#REF!</v>
      </c>
      <c r="HT3" t="e">
        <f>AND(Sheet1!#REF!,"AAAAAHv3y+M=")</f>
        <v>#REF!</v>
      </c>
      <c r="HU3" t="e">
        <f>AND(Sheet1!#REF!,"AAAAAHv3y+Q=")</f>
        <v>#REF!</v>
      </c>
      <c r="HV3">
        <f>IF(Sheet1!40:40,"AAAAAHv3y+U=",0)</f>
        <v>0</v>
      </c>
      <c r="HW3" t="e">
        <f>AND(Sheet1!A40,"AAAAAHv3y+Y=")</f>
        <v>#VALUE!</v>
      </c>
      <c r="HX3" t="e">
        <f>AND(Sheet1!B40,"AAAAAHv3y+c=")</f>
        <v>#VALUE!</v>
      </c>
      <c r="HY3" t="e">
        <f>AND(Sheet1!C40,"AAAAAHv3y+g=")</f>
        <v>#VALUE!</v>
      </c>
      <c r="HZ3" t="e">
        <f>AND(Sheet1!D40,"AAAAAHv3y+k=")</f>
        <v>#VALUE!</v>
      </c>
      <c r="IA3" t="e">
        <f>AND(Sheet1!E40,"AAAAAHv3y+o=")</f>
        <v>#VALUE!</v>
      </c>
      <c r="IB3" t="e">
        <f>AND(Sheet1!F40,"AAAAAHv3y+s=")</f>
        <v>#VALUE!</v>
      </c>
      <c r="IC3" t="e">
        <f>AND(Sheet1!G40,"AAAAAHv3y+w=")</f>
        <v>#VALUE!</v>
      </c>
      <c r="ID3" t="e">
        <f>AND(Sheet1!H40,"AAAAAHv3y+0=")</f>
        <v>#VALUE!</v>
      </c>
      <c r="IE3" t="e">
        <f>AND(Sheet1!I40,"AAAAAHv3y+4=")</f>
        <v>#VALUE!</v>
      </c>
      <c r="IF3" t="e">
        <f>AND(Sheet1!J40,"AAAAAHv3y+8=")</f>
        <v>#VALUE!</v>
      </c>
      <c r="IG3" t="e">
        <f>AND(Sheet1!K40,"AAAAAHv3y/A=")</f>
        <v>#VALUE!</v>
      </c>
      <c r="IH3" t="e">
        <f>AND(Sheet1!L40,"AAAAAHv3y/E=")</f>
        <v>#VALUE!</v>
      </c>
      <c r="II3" t="e">
        <f>AND(Sheet1!M40,"AAAAAHv3y/I=")</f>
        <v>#VALUE!</v>
      </c>
      <c r="IJ3" t="e">
        <f>AND(Sheet1!N40,"AAAAAHv3y/M=")</f>
        <v>#VALUE!</v>
      </c>
      <c r="IK3" t="e">
        <f>AND(Sheet1!#REF!,"AAAAAHv3y/Q=")</f>
        <v>#REF!</v>
      </c>
      <c r="IL3" t="e">
        <f>AND(Sheet1!#REF!,"AAAAAHv3y/U=")</f>
        <v>#REF!</v>
      </c>
      <c r="IM3" t="e">
        <f>AND(Sheet1!#REF!,"AAAAAHv3y/Y=")</f>
        <v>#REF!</v>
      </c>
      <c r="IN3" t="e">
        <f>AND(Sheet1!#REF!,"AAAAAHv3y/c=")</f>
        <v>#REF!</v>
      </c>
      <c r="IO3">
        <f>IF(Sheet1!41:41,"AAAAAHv3y/g=",0)</f>
        <v>0</v>
      </c>
      <c r="IP3" t="e">
        <f>AND(Sheet1!A41,"AAAAAHv3y/k=")</f>
        <v>#VALUE!</v>
      </c>
      <c r="IQ3" t="e">
        <f>AND(Sheet1!B41,"AAAAAHv3y/o=")</f>
        <v>#VALUE!</v>
      </c>
      <c r="IR3" t="e">
        <f>AND(Sheet1!C41,"AAAAAHv3y/s=")</f>
        <v>#VALUE!</v>
      </c>
      <c r="IS3" t="e">
        <f>AND(Sheet1!D41,"AAAAAHv3y/w=")</f>
        <v>#VALUE!</v>
      </c>
      <c r="IT3" t="e">
        <f>AND(Sheet1!E41,"AAAAAHv3y/0=")</f>
        <v>#VALUE!</v>
      </c>
      <c r="IU3" t="e">
        <f>AND(Sheet1!F41,"AAAAAHv3y/4=")</f>
        <v>#VALUE!</v>
      </c>
      <c r="IV3" t="e">
        <f>AND(Sheet1!G41,"AAAAAHv3y/8=")</f>
        <v>#VALUE!</v>
      </c>
    </row>
    <row r="4" spans="1:256" x14ac:dyDescent="0.2">
      <c r="A4" t="e">
        <f>AND(Sheet1!H41,"AAAAAF//NwA=")</f>
        <v>#VALUE!</v>
      </c>
      <c r="B4" t="e">
        <f>AND(Sheet1!I41,"AAAAAF//NwE=")</f>
        <v>#VALUE!</v>
      </c>
      <c r="C4" t="e">
        <f>AND(Sheet1!J41,"AAAAAF//NwI=")</f>
        <v>#VALUE!</v>
      </c>
      <c r="D4" t="e">
        <f>AND(Sheet1!K41,"AAAAAF//NwM=")</f>
        <v>#VALUE!</v>
      </c>
      <c r="E4" t="e">
        <f>AND(Sheet1!L41,"AAAAAF//NwQ=")</f>
        <v>#VALUE!</v>
      </c>
      <c r="F4" t="e">
        <f>AND(Sheet1!M41,"AAAAAF//NwU=")</f>
        <v>#VALUE!</v>
      </c>
      <c r="G4" t="e">
        <f>AND(Sheet1!N41,"AAAAAF//NwY=")</f>
        <v>#VALUE!</v>
      </c>
      <c r="H4" t="e">
        <f>AND(Sheet1!#REF!,"AAAAAF//Nwc=")</f>
        <v>#REF!</v>
      </c>
      <c r="I4" t="e">
        <f>AND(Sheet1!#REF!,"AAAAAF//Nwg=")</f>
        <v>#REF!</v>
      </c>
      <c r="J4" t="e">
        <f>AND(Sheet1!#REF!,"AAAAAF//Nwk=")</f>
        <v>#REF!</v>
      </c>
      <c r="K4" t="e">
        <f>AND(Sheet1!#REF!,"AAAAAF//Nwo=")</f>
        <v>#REF!</v>
      </c>
      <c r="L4">
        <f>IF(Sheet1!42:42,"AAAAAF//Nws=",0)</f>
        <v>0</v>
      </c>
      <c r="M4" t="e">
        <f>AND(Sheet1!A42,"AAAAAF//Nww=")</f>
        <v>#VALUE!</v>
      </c>
      <c r="N4" t="e">
        <f>AND(Sheet1!B42,"AAAAAF//Nw0=")</f>
        <v>#VALUE!</v>
      </c>
      <c r="O4" t="e">
        <f>AND(Sheet1!C42,"AAAAAF//Nw4=")</f>
        <v>#VALUE!</v>
      </c>
      <c r="P4" t="e">
        <f>AND(Sheet1!D42,"AAAAAF//Nw8=")</f>
        <v>#VALUE!</v>
      </c>
      <c r="Q4" t="e">
        <f>AND(Sheet1!E42,"AAAAAF//NxA=")</f>
        <v>#VALUE!</v>
      </c>
      <c r="R4" t="e">
        <f>AND(Sheet1!F42,"AAAAAF//NxE=")</f>
        <v>#VALUE!</v>
      </c>
      <c r="S4" t="e">
        <f>AND(Sheet1!G42,"AAAAAF//NxI=")</f>
        <v>#VALUE!</v>
      </c>
      <c r="T4" t="e">
        <f>AND(Sheet1!H42,"AAAAAF//NxM=")</f>
        <v>#VALUE!</v>
      </c>
      <c r="U4" t="e">
        <f>AND(Sheet1!I42,"AAAAAF//NxQ=")</f>
        <v>#VALUE!</v>
      </c>
      <c r="V4" t="e">
        <f>AND(Sheet1!J42,"AAAAAF//NxU=")</f>
        <v>#VALUE!</v>
      </c>
      <c r="W4" t="e">
        <f>AND(Sheet1!K42,"AAAAAF//NxY=")</f>
        <v>#VALUE!</v>
      </c>
      <c r="X4" t="e">
        <f>AND(Sheet1!L42,"AAAAAF//Nxc=")</f>
        <v>#VALUE!</v>
      </c>
      <c r="Y4" t="e">
        <f>AND(Sheet1!M42,"AAAAAF//Nxg=")</f>
        <v>#VALUE!</v>
      </c>
      <c r="Z4" t="e">
        <f>AND(Sheet1!N42,"AAAAAF//Nxk=")</f>
        <v>#VALUE!</v>
      </c>
      <c r="AA4" t="e">
        <f>AND(Sheet1!#REF!,"AAAAAF//Nxo=")</f>
        <v>#REF!</v>
      </c>
      <c r="AB4" t="e">
        <f>AND(Sheet1!#REF!,"AAAAAF//Nxs=")</f>
        <v>#REF!</v>
      </c>
      <c r="AC4" t="e">
        <f>AND(Sheet1!#REF!,"AAAAAF//Nxw=")</f>
        <v>#REF!</v>
      </c>
      <c r="AD4" t="e">
        <f>AND(Sheet1!#REF!,"AAAAAF//Nx0=")</f>
        <v>#REF!</v>
      </c>
      <c r="AE4">
        <f>IF(Sheet1!43:43,"AAAAAF//Nx4=",0)</f>
        <v>0</v>
      </c>
      <c r="AF4" t="e">
        <f>AND(Sheet1!A43,"AAAAAF//Nx8=")</f>
        <v>#VALUE!</v>
      </c>
      <c r="AG4" t="e">
        <f>AND(Sheet1!B43,"AAAAAF//NyA=")</f>
        <v>#VALUE!</v>
      </c>
      <c r="AH4" t="e">
        <f>AND(Sheet1!C43,"AAAAAF//NyE=")</f>
        <v>#VALUE!</v>
      </c>
      <c r="AI4" t="e">
        <f>AND(Sheet1!D43,"AAAAAF//NyI=")</f>
        <v>#VALUE!</v>
      </c>
      <c r="AJ4" t="e">
        <f>AND(Sheet1!E43,"AAAAAF//NyM=")</f>
        <v>#VALUE!</v>
      </c>
      <c r="AK4" t="e">
        <f>AND(Sheet1!F43,"AAAAAF//NyQ=")</f>
        <v>#VALUE!</v>
      </c>
      <c r="AL4" t="e">
        <f>AND(Sheet1!G43,"AAAAAF//NyU=")</f>
        <v>#VALUE!</v>
      </c>
      <c r="AM4" t="e">
        <f>AND(Sheet1!H43,"AAAAAF//NyY=")</f>
        <v>#VALUE!</v>
      </c>
      <c r="AN4" t="e">
        <f>AND(Sheet1!I43,"AAAAAF//Nyc=")</f>
        <v>#VALUE!</v>
      </c>
      <c r="AO4" t="e">
        <f>AND(Sheet1!J43,"AAAAAF//Nyg=")</f>
        <v>#VALUE!</v>
      </c>
      <c r="AP4" t="e">
        <f>AND(Sheet1!K43,"AAAAAF//Nyk=")</f>
        <v>#VALUE!</v>
      </c>
      <c r="AQ4" t="e">
        <f>AND(Sheet1!L43,"AAAAAF//Nyo=")</f>
        <v>#VALUE!</v>
      </c>
      <c r="AR4" t="e">
        <f>AND(Sheet1!M43,"AAAAAF//Nys=")</f>
        <v>#VALUE!</v>
      </c>
      <c r="AS4" t="e">
        <f>AND(Sheet1!N43,"AAAAAF//Nyw=")</f>
        <v>#VALUE!</v>
      </c>
      <c r="AT4" t="e">
        <f>AND(Sheet1!#REF!,"AAAAAF//Ny0=")</f>
        <v>#REF!</v>
      </c>
      <c r="AU4" t="e">
        <f>AND(Sheet1!#REF!,"AAAAAF//Ny4=")</f>
        <v>#REF!</v>
      </c>
      <c r="AV4" t="e">
        <f>AND(Sheet1!#REF!,"AAAAAF//Ny8=")</f>
        <v>#REF!</v>
      </c>
      <c r="AW4" t="e">
        <f>AND(Sheet1!#REF!,"AAAAAF//NzA=")</f>
        <v>#REF!</v>
      </c>
      <c r="AX4">
        <f>IF(Sheet1!44:44,"AAAAAF//NzE=",0)</f>
        <v>0</v>
      </c>
      <c r="AY4" t="e">
        <f>AND(Sheet1!A44,"AAAAAF//NzI=")</f>
        <v>#VALUE!</v>
      </c>
      <c r="AZ4" t="e">
        <f>AND(Sheet1!B44,"AAAAAF//NzM=")</f>
        <v>#VALUE!</v>
      </c>
      <c r="BA4" t="e">
        <f>AND(Sheet1!C44,"AAAAAF//NzQ=")</f>
        <v>#VALUE!</v>
      </c>
      <c r="BB4" t="e">
        <f>AND(Sheet1!D44,"AAAAAF//NzU=")</f>
        <v>#VALUE!</v>
      </c>
      <c r="BC4" t="e">
        <f>AND(Sheet1!E44,"AAAAAF//NzY=")</f>
        <v>#VALUE!</v>
      </c>
      <c r="BD4" t="e">
        <f>AND(Sheet1!F44,"AAAAAF//Nzc=")</f>
        <v>#VALUE!</v>
      </c>
      <c r="BE4" t="e">
        <f>AND(Sheet1!G44,"AAAAAF//Nzg=")</f>
        <v>#VALUE!</v>
      </c>
      <c r="BF4" t="e">
        <f>AND(Sheet1!H44,"AAAAAF//Nzk=")</f>
        <v>#VALUE!</v>
      </c>
      <c r="BG4" t="e">
        <f>AND(Sheet1!I44,"AAAAAF//Nzo=")</f>
        <v>#VALUE!</v>
      </c>
      <c r="BH4" t="e">
        <f>AND(Sheet1!J44,"AAAAAF//Nzs=")</f>
        <v>#VALUE!</v>
      </c>
      <c r="BI4" t="e">
        <f>AND(Sheet1!K44,"AAAAAF//Nzw=")</f>
        <v>#VALUE!</v>
      </c>
      <c r="BJ4" t="e">
        <f>AND(Sheet1!L44,"AAAAAF//Nz0=")</f>
        <v>#VALUE!</v>
      </c>
      <c r="BK4" t="e">
        <f>AND(Sheet1!M44,"AAAAAF//Nz4=")</f>
        <v>#VALUE!</v>
      </c>
      <c r="BL4" t="e">
        <f>AND(Sheet1!N44,"AAAAAF//Nz8=")</f>
        <v>#VALUE!</v>
      </c>
      <c r="BM4" t="e">
        <f>AND(Sheet1!#REF!,"AAAAAF//N0A=")</f>
        <v>#REF!</v>
      </c>
      <c r="BN4" t="e">
        <f>AND(Sheet1!#REF!,"AAAAAF//N0E=")</f>
        <v>#REF!</v>
      </c>
      <c r="BO4" t="e">
        <f>AND(Sheet1!#REF!,"AAAAAF//N0I=")</f>
        <v>#REF!</v>
      </c>
      <c r="BP4" t="e">
        <f>AND(Sheet1!#REF!,"AAAAAF//N0M=")</f>
        <v>#REF!</v>
      </c>
      <c r="BQ4">
        <f>IF(Sheet1!45:45,"AAAAAF//N0Q=",0)</f>
        <v>0</v>
      </c>
      <c r="BR4" t="e">
        <f>AND(Sheet1!A45,"AAAAAF//N0U=")</f>
        <v>#VALUE!</v>
      </c>
      <c r="BS4" t="e">
        <f>AND(Sheet1!B45,"AAAAAF//N0Y=")</f>
        <v>#VALUE!</v>
      </c>
      <c r="BT4" t="e">
        <f>AND(Sheet1!C45,"AAAAAF//N0c=")</f>
        <v>#VALUE!</v>
      </c>
      <c r="BU4" t="e">
        <f>AND(Sheet1!D45,"AAAAAF//N0g=")</f>
        <v>#VALUE!</v>
      </c>
      <c r="BV4" t="e">
        <f>AND(Sheet1!E45,"AAAAAF//N0k=")</f>
        <v>#VALUE!</v>
      </c>
      <c r="BW4" t="e">
        <f>AND(Sheet1!F45,"AAAAAF//N0o=")</f>
        <v>#VALUE!</v>
      </c>
      <c r="BX4" t="e">
        <f>AND(Sheet1!G45,"AAAAAF//N0s=")</f>
        <v>#VALUE!</v>
      </c>
      <c r="BY4" t="e">
        <f>AND(Sheet1!H45,"AAAAAF//N0w=")</f>
        <v>#VALUE!</v>
      </c>
      <c r="BZ4" t="e">
        <f>AND(Sheet1!I45,"AAAAAF//N00=")</f>
        <v>#VALUE!</v>
      </c>
      <c r="CA4" t="e">
        <f>AND(Sheet1!J45,"AAAAAF//N04=")</f>
        <v>#VALUE!</v>
      </c>
      <c r="CB4" t="e">
        <f>AND(Sheet1!K45,"AAAAAF//N08=")</f>
        <v>#VALUE!</v>
      </c>
      <c r="CC4" t="e">
        <f>AND(Sheet1!L45,"AAAAAF//N1A=")</f>
        <v>#VALUE!</v>
      </c>
      <c r="CD4" t="e">
        <f>AND(Sheet1!M45,"AAAAAF//N1E=")</f>
        <v>#VALUE!</v>
      </c>
      <c r="CE4" t="e">
        <f>AND(Sheet1!N45,"AAAAAF//N1I=")</f>
        <v>#VALUE!</v>
      </c>
      <c r="CF4" t="e">
        <f>AND(Sheet1!#REF!,"AAAAAF//N1M=")</f>
        <v>#REF!</v>
      </c>
      <c r="CG4" t="e">
        <f>AND(Sheet1!#REF!,"AAAAAF//N1Q=")</f>
        <v>#REF!</v>
      </c>
      <c r="CH4" t="e">
        <f>AND(Sheet1!#REF!,"AAAAAF//N1U=")</f>
        <v>#REF!</v>
      </c>
      <c r="CI4" t="e">
        <f>AND(Sheet1!#REF!,"AAAAAF//N1Y=")</f>
        <v>#REF!</v>
      </c>
      <c r="CJ4">
        <f>IF(Sheet1!46:46,"AAAAAF//N1c=",0)</f>
        <v>0</v>
      </c>
      <c r="CK4" t="e">
        <f>AND(Sheet1!A46,"AAAAAF//N1g=")</f>
        <v>#VALUE!</v>
      </c>
      <c r="CL4" t="e">
        <f>AND(Sheet1!B46,"AAAAAF//N1k=")</f>
        <v>#VALUE!</v>
      </c>
      <c r="CM4" t="e">
        <f>AND(Sheet1!C46,"AAAAAF//N1o=")</f>
        <v>#VALUE!</v>
      </c>
      <c r="CN4" t="e">
        <f>AND(Sheet1!D46,"AAAAAF//N1s=")</f>
        <v>#VALUE!</v>
      </c>
      <c r="CO4" t="e">
        <f>AND(Sheet1!E46,"AAAAAF//N1w=")</f>
        <v>#VALUE!</v>
      </c>
      <c r="CP4" t="e">
        <f>AND(Sheet1!F46,"AAAAAF//N10=")</f>
        <v>#VALUE!</v>
      </c>
      <c r="CQ4" t="e">
        <f>AND(Sheet1!G46,"AAAAAF//N14=")</f>
        <v>#VALUE!</v>
      </c>
      <c r="CR4" t="e">
        <f>AND(Sheet1!H46,"AAAAAF//N18=")</f>
        <v>#VALUE!</v>
      </c>
      <c r="CS4" t="e">
        <f>AND(Sheet1!I46,"AAAAAF//N2A=")</f>
        <v>#VALUE!</v>
      </c>
      <c r="CT4" t="e">
        <f>AND(Sheet1!J46,"AAAAAF//N2E=")</f>
        <v>#VALUE!</v>
      </c>
      <c r="CU4" t="e">
        <f>AND(Sheet1!K46,"AAAAAF//N2I=")</f>
        <v>#VALUE!</v>
      </c>
      <c r="CV4" t="e">
        <f>AND(Sheet1!L46,"AAAAAF//N2M=")</f>
        <v>#VALUE!</v>
      </c>
      <c r="CW4" t="e">
        <f>AND(Sheet1!M46,"AAAAAF//N2Q=")</f>
        <v>#VALUE!</v>
      </c>
      <c r="CX4" t="e">
        <f>AND(Sheet1!N46,"AAAAAF//N2U=")</f>
        <v>#VALUE!</v>
      </c>
      <c r="CY4" t="e">
        <f>AND(Sheet1!#REF!,"AAAAAF//N2Y=")</f>
        <v>#REF!</v>
      </c>
      <c r="CZ4" t="e">
        <f>AND(Sheet1!#REF!,"AAAAAF//N2c=")</f>
        <v>#REF!</v>
      </c>
      <c r="DA4" t="e">
        <f>AND(Sheet1!#REF!,"AAAAAF//N2g=")</f>
        <v>#REF!</v>
      </c>
      <c r="DB4" t="e">
        <f>AND(Sheet1!#REF!,"AAAAAF//N2k=")</f>
        <v>#REF!</v>
      </c>
      <c r="DC4">
        <f>IF(Sheet1!47:47,"AAAAAF//N2o=",0)</f>
        <v>0</v>
      </c>
      <c r="DD4" t="e">
        <f>AND(Sheet1!A47,"AAAAAF//N2s=")</f>
        <v>#VALUE!</v>
      </c>
      <c r="DE4" t="e">
        <f>AND(Sheet1!B47,"AAAAAF//N2w=")</f>
        <v>#VALUE!</v>
      </c>
      <c r="DF4" t="e">
        <f>AND(Sheet1!C47,"AAAAAF//N20=")</f>
        <v>#VALUE!</v>
      </c>
      <c r="DG4" t="e">
        <f>AND(Sheet1!D47,"AAAAAF//N24=")</f>
        <v>#VALUE!</v>
      </c>
      <c r="DH4" t="e">
        <f>AND(Sheet1!E47,"AAAAAF//N28=")</f>
        <v>#VALUE!</v>
      </c>
      <c r="DI4" t="e">
        <f>AND(Sheet1!F47,"AAAAAF//N3A=")</f>
        <v>#VALUE!</v>
      </c>
      <c r="DJ4" t="e">
        <f>AND(Sheet1!G47,"AAAAAF//N3E=")</f>
        <v>#VALUE!</v>
      </c>
      <c r="DK4" t="e">
        <f>AND(Sheet1!H47,"AAAAAF//N3I=")</f>
        <v>#VALUE!</v>
      </c>
      <c r="DL4" t="e">
        <f>AND(Sheet1!I47,"AAAAAF//N3M=")</f>
        <v>#VALUE!</v>
      </c>
      <c r="DM4" t="e">
        <f>AND(Sheet1!J47,"AAAAAF//N3Q=")</f>
        <v>#VALUE!</v>
      </c>
      <c r="DN4" t="e">
        <f>AND(Sheet1!K47,"AAAAAF//N3U=")</f>
        <v>#VALUE!</v>
      </c>
      <c r="DO4" t="e">
        <f>AND(Sheet1!L47,"AAAAAF//N3Y=")</f>
        <v>#VALUE!</v>
      </c>
      <c r="DP4" t="e">
        <f>AND(Sheet1!M47,"AAAAAF//N3c=")</f>
        <v>#VALUE!</v>
      </c>
      <c r="DQ4" t="e">
        <f>AND(Sheet1!N47,"AAAAAF//N3g=")</f>
        <v>#VALUE!</v>
      </c>
      <c r="DR4" t="e">
        <f>AND(Sheet1!#REF!,"AAAAAF//N3k=")</f>
        <v>#REF!</v>
      </c>
      <c r="DS4" t="e">
        <f>AND(Sheet1!#REF!,"AAAAAF//N3o=")</f>
        <v>#REF!</v>
      </c>
      <c r="DT4" t="e">
        <f>AND(Sheet1!#REF!,"AAAAAF//N3s=")</f>
        <v>#REF!</v>
      </c>
      <c r="DU4" t="e">
        <f>AND(Sheet1!#REF!,"AAAAAF//N3w=")</f>
        <v>#REF!</v>
      </c>
      <c r="DV4">
        <f>IF(Sheet1!48:48,"AAAAAF//N30=",0)</f>
        <v>0</v>
      </c>
      <c r="DW4" t="e">
        <f>AND(Sheet1!A48,"AAAAAF//N34=")</f>
        <v>#VALUE!</v>
      </c>
      <c r="DX4" t="e">
        <f>AND(Sheet1!B48,"AAAAAF//N38=")</f>
        <v>#VALUE!</v>
      </c>
      <c r="DY4" t="e">
        <f>AND(Sheet1!C48,"AAAAAF//N4A=")</f>
        <v>#VALUE!</v>
      </c>
      <c r="DZ4" t="e">
        <f>AND(Sheet1!D48,"AAAAAF//N4E=")</f>
        <v>#VALUE!</v>
      </c>
      <c r="EA4" t="e">
        <f>AND(Sheet1!E48,"AAAAAF//N4I=")</f>
        <v>#VALUE!</v>
      </c>
      <c r="EB4" t="e">
        <f>AND(Sheet1!F48,"AAAAAF//N4M=")</f>
        <v>#VALUE!</v>
      </c>
      <c r="EC4" t="e">
        <f>AND(Sheet1!G48,"AAAAAF//N4Q=")</f>
        <v>#VALUE!</v>
      </c>
      <c r="ED4" t="e">
        <f>AND(Sheet1!H48,"AAAAAF//N4U=")</f>
        <v>#VALUE!</v>
      </c>
      <c r="EE4" t="e">
        <f>AND(Sheet1!I48,"AAAAAF//N4Y=")</f>
        <v>#VALUE!</v>
      </c>
      <c r="EF4" t="e">
        <f>AND(Sheet1!J48,"AAAAAF//N4c=")</f>
        <v>#VALUE!</v>
      </c>
      <c r="EG4" t="e">
        <f>AND(Sheet1!K48,"AAAAAF//N4g=")</f>
        <v>#VALUE!</v>
      </c>
      <c r="EH4" t="e">
        <f>AND(Sheet1!L48,"AAAAAF//N4k=")</f>
        <v>#VALUE!</v>
      </c>
      <c r="EI4" t="e">
        <f>AND(Sheet1!M48,"AAAAAF//N4o=")</f>
        <v>#VALUE!</v>
      </c>
      <c r="EJ4" t="e">
        <f>AND(Sheet1!N48,"AAAAAF//N4s=")</f>
        <v>#VALUE!</v>
      </c>
      <c r="EK4" t="e">
        <f>AND(Sheet1!#REF!,"AAAAAF//N4w=")</f>
        <v>#REF!</v>
      </c>
      <c r="EL4" t="e">
        <f>AND(Sheet1!#REF!,"AAAAAF//N40=")</f>
        <v>#REF!</v>
      </c>
      <c r="EM4" t="e">
        <f>AND(Sheet1!#REF!,"AAAAAF//N44=")</f>
        <v>#REF!</v>
      </c>
      <c r="EN4" t="e">
        <f>AND(Sheet1!#REF!,"AAAAAF//N48=")</f>
        <v>#REF!</v>
      </c>
      <c r="EO4">
        <f>IF(Sheet1!49:49,"AAAAAF//N5A=",0)</f>
        <v>0</v>
      </c>
      <c r="EP4" t="e">
        <f>AND(Sheet1!A49,"AAAAAF//N5E=")</f>
        <v>#VALUE!</v>
      </c>
      <c r="EQ4" t="e">
        <f>AND(Sheet1!B49,"AAAAAF//N5I=")</f>
        <v>#VALUE!</v>
      </c>
      <c r="ER4" t="e">
        <f>AND(Sheet1!C49,"AAAAAF//N5M=")</f>
        <v>#VALUE!</v>
      </c>
      <c r="ES4" t="e">
        <f>AND(Sheet1!D49,"AAAAAF//N5Q=")</f>
        <v>#VALUE!</v>
      </c>
      <c r="ET4" t="e">
        <f>AND(Sheet1!E49,"AAAAAF//N5U=")</f>
        <v>#VALUE!</v>
      </c>
      <c r="EU4" t="e">
        <f>AND(Sheet1!F49,"AAAAAF//N5Y=")</f>
        <v>#VALUE!</v>
      </c>
      <c r="EV4" t="e">
        <f>AND(Sheet1!G49,"AAAAAF//N5c=")</f>
        <v>#VALUE!</v>
      </c>
      <c r="EW4" t="e">
        <f>AND(Sheet1!H49,"AAAAAF//N5g=")</f>
        <v>#VALUE!</v>
      </c>
      <c r="EX4" t="e">
        <f>AND(Sheet1!I49,"AAAAAF//N5k=")</f>
        <v>#VALUE!</v>
      </c>
      <c r="EY4" t="e">
        <f>AND(Sheet1!J49,"AAAAAF//N5o=")</f>
        <v>#VALUE!</v>
      </c>
      <c r="EZ4" t="e">
        <f>AND(Sheet1!K49,"AAAAAF//N5s=")</f>
        <v>#VALUE!</v>
      </c>
      <c r="FA4" t="e">
        <f>AND(Sheet1!L49,"AAAAAF//N5w=")</f>
        <v>#VALUE!</v>
      </c>
      <c r="FB4" t="e">
        <f>AND(Sheet1!M49,"AAAAAF//N50=")</f>
        <v>#VALUE!</v>
      </c>
      <c r="FC4" t="e">
        <f>AND(Sheet1!N49,"AAAAAF//N54=")</f>
        <v>#VALUE!</v>
      </c>
      <c r="FD4" t="e">
        <f>AND(Sheet1!#REF!,"AAAAAF//N58=")</f>
        <v>#REF!</v>
      </c>
      <c r="FE4" t="e">
        <f>AND(Sheet1!#REF!,"AAAAAF//N6A=")</f>
        <v>#REF!</v>
      </c>
      <c r="FF4" t="e">
        <f>AND(Sheet1!#REF!,"AAAAAF//N6E=")</f>
        <v>#REF!</v>
      </c>
      <c r="FG4" t="e">
        <f>AND(Sheet1!#REF!,"AAAAAF//N6I=")</f>
        <v>#REF!</v>
      </c>
      <c r="FH4">
        <f>IF(Sheet1!50:50,"AAAAAF//N6M=",0)</f>
        <v>0</v>
      </c>
      <c r="FI4" t="e">
        <f>AND(Sheet1!A50,"AAAAAF//N6Q=")</f>
        <v>#VALUE!</v>
      </c>
      <c r="FJ4" t="e">
        <f>AND(Sheet1!B50,"AAAAAF//N6U=")</f>
        <v>#VALUE!</v>
      </c>
      <c r="FK4" t="e">
        <f>AND(Sheet1!C50,"AAAAAF//N6Y=")</f>
        <v>#VALUE!</v>
      </c>
      <c r="FL4" t="e">
        <f>AND(Sheet1!D50,"AAAAAF//N6c=")</f>
        <v>#VALUE!</v>
      </c>
      <c r="FM4" t="e">
        <f>AND(Sheet1!E50,"AAAAAF//N6g=")</f>
        <v>#VALUE!</v>
      </c>
      <c r="FN4" t="e">
        <f>AND(Sheet1!F50,"AAAAAF//N6k=")</f>
        <v>#VALUE!</v>
      </c>
      <c r="FO4" t="e">
        <f>AND(Sheet1!G50,"AAAAAF//N6o=")</f>
        <v>#VALUE!</v>
      </c>
      <c r="FP4" t="e">
        <f>AND(Sheet1!H50,"AAAAAF//N6s=")</f>
        <v>#VALUE!</v>
      </c>
      <c r="FQ4" t="e">
        <f>AND(Sheet1!I50,"AAAAAF//N6w=")</f>
        <v>#VALUE!</v>
      </c>
      <c r="FR4" t="e">
        <f>AND(Sheet1!J50,"AAAAAF//N60=")</f>
        <v>#VALUE!</v>
      </c>
      <c r="FS4" t="e">
        <f>AND(Sheet1!K50,"AAAAAF//N64=")</f>
        <v>#VALUE!</v>
      </c>
      <c r="FT4" t="e">
        <f>AND(Sheet1!L50,"AAAAAF//N68=")</f>
        <v>#VALUE!</v>
      </c>
      <c r="FU4" t="e">
        <f>AND(Sheet1!M50,"AAAAAF//N7A=")</f>
        <v>#VALUE!</v>
      </c>
      <c r="FV4" t="e">
        <f>AND(Sheet1!N50,"AAAAAF//N7E=")</f>
        <v>#VALUE!</v>
      </c>
      <c r="FW4" t="e">
        <f>AND(Sheet1!#REF!,"AAAAAF//N7I=")</f>
        <v>#REF!</v>
      </c>
      <c r="FX4" t="e">
        <f>AND(Sheet1!#REF!,"AAAAAF//N7M=")</f>
        <v>#REF!</v>
      </c>
      <c r="FY4" t="e">
        <f>AND(Sheet1!#REF!,"AAAAAF//N7Q=")</f>
        <v>#REF!</v>
      </c>
      <c r="FZ4" t="e">
        <f>AND(Sheet1!#REF!,"AAAAAF//N7U=")</f>
        <v>#REF!</v>
      </c>
      <c r="GA4">
        <f>IF(Sheet1!51:51,"AAAAAF//N7Y=",0)</f>
        <v>0</v>
      </c>
      <c r="GB4" t="e">
        <f>AND(Sheet1!A51,"AAAAAF//N7c=")</f>
        <v>#VALUE!</v>
      </c>
      <c r="GC4" t="e">
        <f>AND(Sheet1!B51,"AAAAAF//N7g=")</f>
        <v>#VALUE!</v>
      </c>
      <c r="GD4" t="e">
        <f>AND(Sheet1!C51,"AAAAAF//N7k=")</f>
        <v>#VALUE!</v>
      </c>
      <c r="GE4" t="e">
        <f>AND(Sheet1!D51,"AAAAAF//N7o=")</f>
        <v>#VALUE!</v>
      </c>
      <c r="GF4" t="e">
        <f>AND(Sheet1!E51,"AAAAAF//N7s=")</f>
        <v>#VALUE!</v>
      </c>
      <c r="GG4" t="e">
        <f>AND(Sheet1!F51,"AAAAAF//N7w=")</f>
        <v>#VALUE!</v>
      </c>
      <c r="GH4" t="e">
        <f>AND(Sheet1!G51,"AAAAAF//N70=")</f>
        <v>#VALUE!</v>
      </c>
      <c r="GI4" t="e">
        <f>AND(Sheet1!H51,"AAAAAF//N74=")</f>
        <v>#VALUE!</v>
      </c>
      <c r="GJ4" t="e">
        <f>AND(Sheet1!I51,"AAAAAF//N78=")</f>
        <v>#VALUE!</v>
      </c>
      <c r="GK4" t="e">
        <f>AND(Sheet1!J51,"AAAAAF//N8A=")</f>
        <v>#VALUE!</v>
      </c>
      <c r="GL4" t="e">
        <f>AND(Sheet1!K51,"AAAAAF//N8E=")</f>
        <v>#VALUE!</v>
      </c>
      <c r="GM4" t="e">
        <f>AND(Sheet1!L51,"AAAAAF//N8I=")</f>
        <v>#VALUE!</v>
      </c>
      <c r="GN4" t="e">
        <f>AND(Sheet1!M51,"AAAAAF//N8M=")</f>
        <v>#VALUE!</v>
      </c>
      <c r="GO4" t="e">
        <f>AND(Sheet1!N51,"AAAAAF//N8Q=")</f>
        <v>#VALUE!</v>
      </c>
      <c r="GP4" t="e">
        <f>AND(Sheet1!#REF!,"AAAAAF//N8U=")</f>
        <v>#REF!</v>
      </c>
      <c r="GQ4" t="e">
        <f>AND(Sheet1!#REF!,"AAAAAF//N8Y=")</f>
        <v>#REF!</v>
      </c>
      <c r="GR4" t="e">
        <f>AND(Sheet1!#REF!,"AAAAAF//N8c=")</f>
        <v>#REF!</v>
      </c>
      <c r="GS4" t="e">
        <f>AND(Sheet1!#REF!,"AAAAAF//N8g=")</f>
        <v>#REF!</v>
      </c>
      <c r="GT4">
        <f>IF(Sheet1!52:52,"AAAAAF//N8k=",0)</f>
        <v>0</v>
      </c>
      <c r="GU4" t="e">
        <f>AND(Sheet1!A52,"AAAAAF//N8o=")</f>
        <v>#VALUE!</v>
      </c>
      <c r="GV4" t="e">
        <f>AND(Sheet1!B52,"AAAAAF//N8s=")</f>
        <v>#VALUE!</v>
      </c>
      <c r="GW4" t="e">
        <f>AND(Sheet1!C52,"AAAAAF//N8w=")</f>
        <v>#VALUE!</v>
      </c>
      <c r="GX4" t="e">
        <f>AND(Sheet1!D52,"AAAAAF//N80=")</f>
        <v>#VALUE!</v>
      </c>
      <c r="GY4" t="e">
        <f>AND(Sheet1!E52,"AAAAAF//N84=")</f>
        <v>#VALUE!</v>
      </c>
      <c r="GZ4" t="e">
        <f>AND(Sheet1!F52,"AAAAAF//N88=")</f>
        <v>#VALUE!</v>
      </c>
      <c r="HA4" t="e">
        <f>AND(Sheet1!G52,"AAAAAF//N9A=")</f>
        <v>#VALUE!</v>
      </c>
      <c r="HB4" t="e">
        <f>AND(Sheet1!H52,"AAAAAF//N9E=")</f>
        <v>#VALUE!</v>
      </c>
      <c r="HC4" t="e">
        <f>AND(Sheet1!I52,"AAAAAF//N9I=")</f>
        <v>#VALUE!</v>
      </c>
      <c r="HD4" t="e">
        <f>AND(Sheet1!J52,"AAAAAF//N9M=")</f>
        <v>#VALUE!</v>
      </c>
      <c r="HE4" t="e">
        <f>AND(Sheet1!K52,"AAAAAF//N9Q=")</f>
        <v>#VALUE!</v>
      </c>
      <c r="HF4" t="e">
        <f>AND(Sheet1!L52,"AAAAAF//N9U=")</f>
        <v>#VALUE!</v>
      </c>
      <c r="HG4" t="e">
        <f>AND(Sheet1!M52,"AAAAAF//N9Y=")</f>
        <v>#VALUE!</v>
      </c>
      <c r="HH4" t="e">
        <f>AND(Sheet1!N52,"AAAAAF//N9c=")</f>
        <v>#VALUE!</v>
      </c>
      <c r="HI4" t="e">
        <f>AND(Sheet1!#REF!,"AAAAAF//N9g=")</f>
        <v>#REF!</v>
      </c>
      <c r="HJ4" t="e">
        <f>AND(Sheet1!#REF!,"AAAAAF//N9k=")</f>
        <v>#REF!</v>
      </c>
      <c r="HK4" t="e">
        <f>AND(Sheet1!#REF!,"AAAAAF//N9o=")</f>
        <v>#REF!</v>
      </c>
      <c r="HL4" t="e">
        <f>AND(Sheet1!#REF!,"AAAAAF//N9s=")</f>
        <v>#REF!</v>
      </c>
      <c r="HM4">
        <f>IF(Sheet1!53:53,"AAAAAF//N9w=",0)</f>
        <v>0</v>
      </c>
      <c r="HN4" t="e">
        <f>AND(Sheet1!A53,"AAAAAF//N90=")</f>
        <v>#VALUE!</v>
      </c>
      <c r="HO4" t="e">
        <f>AND(Sheet1!B53,"AAAAAF//N94=")</f>
        <v>#VALUE!</v>
      </c>
      <c r="HP4" t="e">
        <f>AND(Sheet1!C53,"AAAAAF//N98=")</f>
        <v>#VALUE!</v>
      </c>
      <c r="HQ4" t="e">
        <f>AND(Sheet1!D53,"AAAAAF//N+A=")</f>
        <v>#VALUE!</v>
      </c>
      <c r="HR4" t="e">
        <f>AND(Sheet1!E53,"AAAAAF//N+E=")</f>
        <v>#VALUE!</v>
      </c>
      <c r="HS4" t="e">
        <f>AND(Sheet1!F53,"AAAAAF//N+I=")</f>
        <v>#VALUE!</v>
      </c>
      <c r="HT4" t="e">
        <f>AND(Sheet1!G53,"AAAAAF//N+M=")</f>
        <v>#VALUE!</v>
      </c>
      <c r="HU4" t="e">
        <f>AND(Sheet1!H53,"AAAAAF//N+Q=")</f>
        <v>#VALUE!</v>
      </c>
      <c r="HV4" t="e">
        <f>AND(Sheet1!I53,"AAAAAF//N+U=")</f>
        <v>#VALUE!</v>
      </c>
      <c r="HW4" t="e">
        <f>AND(Sheet1!J53,"AAAAAF//N+Y=")</f>
        <v>#VALUE!</v>
      </c>
      <c r="HX4" t="e">
        <f>AND(Sheet1!K53,"AAAAAF//N+c=")</f>
        <v>#VALUE!</v>
      </c>
      <c r="HY4" t="e">
        <f>AND(Sheet1!L53,"AAAAAF//N+g=")</f>
        <v>#VALUE!</v>
      </c>
      <c r="HZ4" t="e">
        <f>AND(Sheet1!M53,"AAAAAF//N+k=")</f>
        <v>#VALUE!</v>
      </c>
      <c r="IA4" t="e">
        <f>AND(Sheet1!N53,"AAAAAF//N+o=")</f>
        <v>#VALUE!</v>
      </c>
      <c r="IB4" t="e">
        <f>AND(Sheet1!#REF!,"AAAAAF//N+s=")</f>
        <v>#REF!</v>
      </c>
      <c r="IC4" t="e">
        <f>AND(Sheet1!#REF!,"AAAAAF//N+w=")</f>
        <v>#REF!</v>
      </c>
      <c r="ID4" t="e">
        <f>AND(Sheet1!#REF!,"AAAAAF//N+0=")</f>
        <v>#REF!</v>
      </c>
      <c r="IE4" t="e">
        <f>AND(Sheet1!#REF!,"AAAAAF//N+4=")</f>
        <v>#REF!</v>
      </c>
      <c r="IF4">
        <f>IF(Sheet1!54:54,"AAAAAF//N+8=",0)</f>
        <v>0</v>
      </c>
      <c r="IG4" t="e">
        <f>AND(Sheet1!A54,"AAAAAF//N/A=")</f>
        <v>#VALUE!</v>
      </c>
      <c r="IH4" t="e">
        <f>AND(Sheet1!B54,"AAAAAF//N/E=")</f>
        <v>#VALUE!</v>
      </c>
      <c r="II4" t="e">
        <f>AND(Sheet1!C54,"AAAAAF//N/I=")</f>
        <v>#VALUE!</v>
      </c>
      <c r="IJ4" t="e">
        <f>AND(Sheet1!D54,"AAAAAF//N/M=")</f>
        <v>#VALUE!</v>
      </c>
      <c r="IK4" t="e">
        <f>AND(Sheet1!E54,"AAAAAF//N/Q=")</f>
        <v>#VALUE!</v>
      </c>
      <c r="IL4" t="e">
        <f>AND(Sheet1!F54,"AAAAAF//N/U=")</f>
        <v>#VALUE!</v>
      </c>
      <c r="IM4" t="e">
        <f>AND(Sheet1!G54,"AAAAAF//N/Y=")</f>
        <v>#VALUE!</v>
      </c>
      <c r="IN4" t="e">
        <f>AND(Sheet1!H54,"AAAAAF//N/c=")</f>
        <v>#VALUE!</v>
      </c>
      <c r="IO4" t="e">
        <f>AND(Sheet1!I54,"AAAAAF//N/g=")</f>
        <v>#VALUE!</v>
      </c>
      <c r="IP4" t="e">
        <f>AND(Sheet1!J54,"AAAAAF//N/k=")</f>
        <v>#VALUE!</v>
      </c>
      <c r="IQ4" t="e">
        <f>AND(Sheet1!K54,"AAAAAF//N/o=")</f>
        <v>#VALUE!</v>
      </c>
      <c r="IR4" t="e">
        <f>AND(Sheet1!L54,"AAAAAF//N/s=")</f>
        <v>#VALUE!</v>
      </c>
      <c r="IS4" t="e">
        <f>AND(Sheet1!M54,"AAAAAF//N/w=")</f>
        <v>#VALUE!</v>
      </c>
      <c r="IT4" t="e">
        <f>AND(Sheet1!N54,"AAAAAF//N/0=")</f>
        <v>#VALUE!</v>
      </c>
      <c r="IU4" t="e">
        <f>AND(Sheet1!#REF!,"AAAAAF//N/4=")</f>
        <v>#REF!</v>
      </c>
      <c r="IV4" t="e">
        <f>AND(Sheet1!#REF!,"AAAAAF//N/8=")</f>
        <v>#REF!</v>
      </c>
    </row>
    <row r="5" spans="1:256" x14ac:dyDescent="0.2">
      <c r="A5" t="e">
        <f>AND(Sheet1!#REF!,"AAAAAFl1XwA=")</f>
        <v>#REF!</v>
      </c>
      <c r="B5" t="e">
        <f>AND(Sheet1!#REF!,"AAAAAFl1XwE=")</f>
        <v>#REF!</v>
      </c>
      <c r="C5" t="e">
        <f>IF(Sheet1!55:55,"AAAAAFl1XwI=",0)</f>
        <v>#VALUE!</v>
      </c>
      <c r="D5" t="e">
        <f>AND(Sheet1!A55,"AAAAAFl1XwM=")</f>
        <v>#VALUE!</v>
      </c>
      <c r="E5" t="e">
        <f>AND(Sheet1!B55,"AAAAAFl1XwQ=")</f>
        <v>#VALUE!</v>
      </c>
      <c r="F5" t="e">
        <f>AND(Sheet1!C55,"AAAAAFl1XwU=")</f>
        <v>#VALUE!</v>
      </c>
      <c r="G5" t="e">
        <f>AND(Sheet1!D55,"AAAAAFl1XwY=")</f>
        <v>#VALUE!</v>
      </c>
      <c r="H5" t="e">
        <f>AND(Sheet1!E55,"AAAAAFl1Xwc=")</f>
        <v>#VALUE!</v>
      </c>
      <c r="I5" t="e">
        <f>AND(Sheet1!F55,"AAAAAFl1Xwg=")</f>
        <v>#VALUE!</v>
      </c>
      <c r="J5" t="e">
        <f>AND(Sheet1!G55,"AAAAAFl1Xwk=")</f>
        <v>#VALUE!</v>
      </c>
      <c r="K5" t="e">
        <f>AND(Sheet1!H55,"AAAAAFl1Xwo=")</f>
        <v>#VALUE!</v>
      </c>
      <c r="L5" t="e">
        <f>AND(Sheet1!I55,"AAAAAFl1Xws=")</f>
        <v>#VALUE!</v>
      </c>
      <c r="M5" t="e">
        <f>AND(Sheet1!J55,"AAAAAFl1Xww=")</f>
        <v>#VALUE!</v>
      </c>
      <c r="N5" t="e">
        <f>AND(Sheet1!K55,"AAAAAFl1Xw0=")</f>
        <v>#VALUE!</v>
      </c>
      <c r="O5" t="e">
        <f>AND(Sheet1!L55,"AAAAAFl1Xw4=")</f>
        <v>#VALUE!</v>
      </c>
      <c r="P5" t="e">
        <f>AND(Sheet1!M55,"AAAAAFl1Xw8=")</f>
        <v>#VALUE!</v>
      </c>
      <c r="Q5" t="e">
        <f>AND(Sheet1!N55,"AAAAAFl1XxA=")</f>
        <v>#VALUE!</v>
      </c>
      <c r="R5" t="e">
        <f>AND(Sheet1!#REF!,"AAAAAFl1XxE=")</f>
        <v>#REF!</v>
      </c>
      <c r="S5" t="e">
        <f>AND(Sheet1!#REF!,"AAAAAFl1XxI=")</f>
        <v>#REF!</v>
      </c>
      <c r="T5" t="e">
        <f>AND(Sheet1!#REF!,"AAAAAFl1XxM=")</f>
        <v>#REF!</v>
      </c>
      <c r="U5" t="e">
        <f>AND(Sheet1!#REF!,"AAAAAFl1XxQ=")</f>
        <v>#REF!</v>
      </c>
      <c r="V5">
        <f>IF(Sheet1!56:56,"AAAAAFl1XxU=",0)</f>
        <v>0</v>
      </c>
      <c r="W5" t="e">
        <f>AND(Sheet1!A56,"AAAAAFl1XxY=")</f>
        <v>#VALUE!</v>
      </c>
      <c r="X5" t="e">
        <f>AND(Sheet1!B56,"AAAAAFl1Xxc=")</f>
        <v>#VALUE!</v>
      </c>
      <c r="Y5" t="e">
        <f>AND(Sheet1!C56,"AAAAAFl1Xxg=")</f>
        <v>#VALUE!</v>
      </c>
      <c r="Z5" t="e">
        <f>AND(Sheet1!D56,"AAAAAFl1Xxk=")</f>
        <v>#VALUE!</v>
      </c>
      <c r="AA5" t="e">
        <f>AND(Sheet1!E56,"AAAAAFl1Xxo=")</f>
        <v>#VALUE!</v>
      </c>
      <c r="AB5" t="e">
        <f>AND(Sheet1!F56,"AAAAAFl1Xxs=")</f>
        <v>#VALUE!</v>
      </c>
      <c r="AC5" t="e">
        <f>AND(Sheet1!G56,"AAAAAFl1Xxw=")</f>
        <v>#VALUE!</v>
      </c>
      <c r="AD5" t="e">
        <f>AND(Sheet1!H56,"AAAAAFl1Xx0=")</f>
        <v>#VALUE!</v>
      </c>
      <c r="AE5" t="e">
        <f>AND(Sheet1!I56,"AAAAAFl1Xx4=")</f>
        <v>#VALUE!</v>
      </c>
      <c r="AF5" t="e">
        <f>AND(Sheet1!J56,"AAAAAFl1Xx8=")</f>
        <v>#VALUE!</v>
      </c>
      <c r="AG5" t="e">
        <f>AND(Sheet1!K56,"AAAAAFl1XyA=")</f>
        <v>#VALUE!</v>
      </c>
      <c r="AH5" t="e">
        <f>AND(Sheet1!L56,"AAAAAFl1XyE=")</f>
        <v>#VALUE!</v>
      </c>
      <c r="AI5" t="e">
        <f>AND(Sheet1!M56,"AAAAAFl1XyI=")</f>
        <v>#VALUE!</v>
      </c>
      <c r="AJ5" t="e">
        <f>AND(Sheet1!N56,"AAAAAFl1XyM=")</f>
        <v>#VALUE!</v>
      </c>
      <c r="AK5" t="e">
        <f>AND(Sheet1!#REF!,"AAAAAFl1XyQ=")</f>
        <v>#REF!</v>
      </c>
      <c r="AL5" t="e">
        <f>AND(Sheet1!#REF!,"AAAAAFl1XyU=")</f>
        <v>#REF!</v>
      </c>
      <c r="AM5" t="e">
        <f>AND(Sheet1!#REF!,"AAAAAFl1XyY=")</f>
        <v>#REF!</v>
      </c>
      <c r="AN5" t="e">
        <f>AND(Sheet1!#REF!,"AAAAAFl1Xyc=")</f>
        <v>#REF!</v>
      </c>
      <c r="AO5">
        <f>IF(Sheet1!57:57,"AAAAAFl1Xyg=",0)</f>
        <v>0</v>
      </c>
      <c r="AP5" t="e">
        <f>AND(Sheet1!A57,"AAAAAFl1Xyk=")</f>
        <v>#VALUE!</v>
      </c>
      <c r="AQ5" t="e">
        <f>AND(Sheet1!B57,"AAAAAFl1Xyo=")</f>
        <v>#VALUE!</v>
      </c>
      <c r="AR5" t="e">
        <f>AND(Sheet1!C57,"AAAAAFl1Xys=")</f>
        <v>#VALUE!</v>
      </c>
      <c r="AS5" t="e">
        <f>AND(Sheet1!D57,"AAAAAFl1Xyw=")</f>
        <v>#VALUE!</v>
      </c>
      <c r="AT5" t="e">
        <f>AND(Sheet1!E57,"AAAAAFl1Xy0=")</f>
        <v>#VALUE!</v>
      </c>
      <c r="AU5" t="e">
        <f>AND(Sheet1!F57,"AAAAAFl1Xy4=")</f>
        <v>#VALUE!</v>
      </c>
      <c r="AV5" t="e">
        <f>AND(Sheet1!G57,"AAAAAFl1Xy8=")</f>
        <v>#VALUE!</v>
      </c>
      <c r="AW5" t="e">
        <f>AND(Sheet1!H57,"AAAAAFl1XzA=")</f>
        <v>#VALUE!</v>
      </c>
      <c r="AX5" t="e">
        <f>AND(Sheet1!I57,"AAAAAFl1XzE=")</f>
        <v>#VALUE!</v>
      </c>
      <c r="AY5" t="e">
        <f>AND(Sheet1!J57,"AAAAAFl1XzI=")</f>
        <v>#VALUE!</v>
      </c>
      <c r="AZ5" t="e">
        <f>AND(Sheet1!K57,"AAAAAFl1XzM=")</f>
        <v>#VALUE!</v>
      </c>
      <c r="BA5" t="e">
        <f>AND(Sheet1!L57,"AAAAAFl1XzQ=")</f>
        <v>#VALUE!</v>
      </c>
      <c r="BB5" t="e">
        <f>AND(Sheet1!M57,"AAAAAFl1XzU=")</f>
        <v>#VALUE!</v>
      </c>
      <c r="BC5" t="e">
        <f>AND(Sheet1!N57,"AAAAAFl1XzY=")</f>
        <v>#VALUE!</v>
      </c>
      <c r="BD5" t="e">
        <f>AND(Sheet1!#REF!,"AAAAAFl1Xzc=")</f>
        <v>#REF!</v>
      </c>
      <c r="BE5" t="e">
        <f>AND(Sheet1!#REF!,"AAAAAFl1Xzg=")</f>
        <v>#REF!</v>
      </c>
      <c r="BF5" t="e">
        <f>AND(Sheet1!#REF!,"AAAAAFl1Xzk=")</f>
        <v>#REF!</v>
      </c>
      <c r="BG5" t="e">
        <f>AND(Sheet1!#REF!,"AAAAAFl1Xzo=")</f>
        <v>#REF!</v>
      </c>
      <c r="BH5">
        <f>IF(Sheet1!58:58,"AAAAAFl1Xzs=",0)</f>
        <v>0</v>
      </c>
      <c r="BI5" t="e">
        <f>AND(Sheet1!A58,"AAAAAFl1Xzw=")</f>
        <v>#VALUE!</v>
      </c>
      <c r="BJ5" t="e">
        <f>AND(Sheet1!B58,"AAAAAFl1Xz0=")</f>
        <v>#VALUE!</v>
      </c>
      <c r="BK5" t="e">
        <f>AND(Sheet1!C58,"AAAAAFl1Xz4=")</f>
        <v>#VALUE!</v>
      </c>
      <c r="BL5" t="e">
        <f>AND(Sheet1!D58,"AAAAAFl1Xz8=")</f>
        <v>#VALUE!</v>
      </c>
      <c r="BM5" t="e">
        <f>AND(Sheet1!E58,"AAAAAFl1X0A=")</f>
        <v>#VALUE!</v>
      </c>
      <c r="BN5" t="e">
        <f>AND(Sheet1!F58,"AAAAAFl1X0E=")</f>
        <v>#VALUE!</v>
      </c>
      <c r="BO5" t="e">
        <f>AND(Sheet1!G58,"AAAAAFl1X0I=")</f>
        <v>#VALUE!</v>
      </c>
      <c r="BP5" t="e">
        <f>AND(Sheet1!H58,"AAAAAFl1X0M=")</f>
        <v>#VALUE!</v>
      </c>
      <c r="BQ5" t="e">
        <f>AND(Sheet1!I58,"AAAAAFl1X0Q=")</f>
        <v>#VALUE!</v>
      </c>
      <c r="BR5" t="e">
        <f>AND(Sheet1!J58,"AAAAAFl1X0U=")</f>
        <v>#VALUE!</v>
      </c>
      <c r="BS5" t="e">
        <f>AND(Sheet1!K58,"AAAAAFl1X0Y=")</f>
        <v>#VALUE!</v>
      </c>
      <c r="BT5" t="e">
        <f>AND(Sheet1!L58,"AAAAAFl1X0c=")</f>
        <v>#VALUE!</v>
      </c>
      <c r="BU5" t="e">
        <f>AND(Sheet1!M58,"AAAAAFl1X0g=")</f>
        <v>#VALUE!</v>
      </c>
      <c r="BV5" t="e">
        <f>AND(Sheet1!N58,"AAAAAFl1X0k=")</f>
        <v>#VALUE!</v>
      </c>
      <c r="BW5" t="e">
        <f>AND(Sheet1!#REF!,"AAAAAFl1X0o=")</f>
        <v>#REF!</v>
      </c>
      <c r="BX5" t="e">
        <f>AND(Sheet1!#REF!,"AAAAAFl1X0s=")</f>
        <v>#REF!</v>
      </c>
      <c r="BY5" t="e">
        <f>AND(Sheet1!#REF!,"AAAAAFl1X0w=")</f>
        <v>#REF!</v>
      </c>
      <c r="BZ5" t="e">
        <f>AND(Sheet1!#REF!,"AAAAAFl1X00=")</f>
        <v>#REF!</v>
      </c>
      <c r="CA5">
        <f>IF(Sheet1!59:59,"AAAAAFl1X04=",0)</f>
        <v>0</v>
      </c>
      <c r="CB5" t="e">
        <f>AND(Sheet1!A59,"AAAAAFl1X08=")</f>
        <v>#VALUE!</v>
      </c>
      <c r="CC5" t="e">
        <f>AND(Sheet1!B59,"AAAAAFl1X1A=")</f>
        <v>#VALUE!</v>
      </c>
      <c r="CD5" t="e">
        <f>AND(Sheet1!C59,"AAAAAFl1X1E=")</f>
        <v>#VALUE!</v>
      </c>
      <c r="CE5" t="e">
        <f>AND(Sheet1!D59,"AAAAAFl1X1I=")</f>
        <v>#VALUE!</v>
      </c>
      <c r="CF5" t="e">
        <f>AND(Sheet1!E59,"AAAAAFl1X1M=")</f>
        <v>#VALUE!</v>
      </c>
      <c r="CG5" t="e">
        <f>AND(Sheet1!F59,"AAAAAFl1X1Q=")</f>
        <v>#VALUE!</v>
      </c>
      <c r="CH5" t="e">
        <f>AND(Sheet1!G59,"AAAAAFl1X1U=")</f>
        <v>#VALUE!</v>
      </c>
      <c r="CI5" t="e">
        <f>AND(Sheet1!H59,"AAAAAFl1X1Y=")</f>
        <v>#VALUE!</v>
      </c>
      <c r="CJ5" t="e">
        <f>AND(Sheet1!I59,"AAAAAFl1X1c=")</f>
        <v>#VALUE!</v>
      </c>
      <c r="CK5" t="e">
        <f>AND(Sheet1!J59,"AAAAAFl1X1g=")</f>
        <v>#VALUE!</v>
      </c>
      <c r="CL5" t="e">
        <f>AND(Sheet1!K59,"AAAAAFl1X1k=")</f>
        <v>#VALUE!</v>
      </c>
      <c r="CM5" t="e">
        <f>AND(Sheet1!L59,"AAAAAFl1X1o=")</f>
        <v>#VALUE!</v>
      </c>
      <c r="CN5" t="e">
        <f>AND(Sheet1!M59,"AAAAAFl1X1s=")</f>
        <v>#VALUE!</v>
      </c>
      <c r="CO5" t="e">
        <f>AND(Sheet1!N59,"AAAAAFl1X1w=")</f>
        <v>#VALUE!</v>
      </c>
      <c r="CP5" t="e">
        <f>AND(Sheet1!#REF!,"AAAAAFl1X10=")</f>
        <v>#REF!</v>
      </c>
      <c r="CQ5" t="e">
        <f>AND(Sheet1!#REF!,"AAAAAFl1X14=")</f>
        <v>#REF!</v>
      </c>
      <c r="CR5" t="e">
        <f>AND(Sheet1!#REF!,"AAAAAFl1X18=")</f>
        <v>#REF!</v>
      </c>
      <c r="CS5" t="e">
        <f>AND(Sheet1!#REF!,"AAAAAFl1X2A=")</f>
        <v>#REF!</v>
      </c>
      <c r="CT5">
        <f>IF(Sheet1!60:60,"AAAAAFl1X2E=",0)</f>
        <v>0</v>
      </c>
      <c r="CU5" t="e">
        <f>AND(Sheet1!A60,"AAAAAFl1X2I=")</f>
        <v>#VALUE!</v>
      </c>
      <c r="CV5" t="e">
        <f>AND(Sheet1!B60,"AAAAAFl1X2M=")</f>
        <v>#VALUE!</v>
      </c>
      <c r="CW5" t="e">
        <f>AND(Sheet1!C60,"AAAAAFl1X2Q=")</f>
        <v>#VALUE!</v>
      </c>
      <c r="CX5" t="e">
        <f>AND(Sheet1!D60,"AAAAAFl1X2U=")</f>
        <v>#VALUE!</v>
      </c>
      <c r="CY5" t="e">
        <f>AND(Sheet1!E60,"AAAAAFl1X2Y=")</f>
        <v>#VALUE!</v>
      </c>
      <c r="CZ5" t="e">
        <f>AND(Sheet1!F60,"AAAAAFl1X2c=")</f>
        <v>#VALUE!</v>
      </c>
      <c r="DA5" t="e">
        <f>AND(Sheet1!G60,"AAAAAFl1X2g=")</f>
        <v>#VALUE!</v>
      </c>
      <c r="DB5" t="e">
        <f>AND(Sheet1!H60,"AAAAAFl1X2k=")</f>
        <v>#VALUE!</v>
      </c>
      <c r="DC5" t="e">
        <f>AND(Sheet1!I60,"AAAAAFl1X2o=")</f>
        <v>#VALUE!</v>
      </c>
      <c r="DD5" t="e">
        <f>AND(Sheet1!J60,"AAAAAFl1X2s=")</f>
        <v>#VALUE!</v>
      </c>
      <c r="DE5" t="e">
        <f>AND(Sheet1!K60,"AAAAAFl1X2w=")</f>
        <v>#VALUE!</v>
      </c>
      <c r="DF5" t="e">
        <f>AND(Sheet1!L60,"AAAAAFl1X20=")</f>
        <v>#VALUE!</v>
      </c>
      <c r="DG5" t="e">
        <f>AND(Sheet1!M60,"AAAAAFl1X24=")</f>
        <v>#VALUE!</v>
      </c>
      <c r="DH5" t="e">
        <f>AND(Sheet1!N60,"AAAAAFl1X28=")</f>
        <v>#VALUE!</v>
      </c>
      <c r="DI5" t="e">
        <f>AND(Sheet1!#REF!,"AAAAAFl1X3A=")</f>
        <v>#REF!</v>
      </c>
      <c r="DJ5" t="e">
        <f>AND(Sheet1!#REF!,"AAAAAFl1X3E=")</f>
        <v>#REF!</v>
      </c>
      <c r="DK5" t="e">
        <f>AND(Sheet1!#REF!,"AAAAAFl1X3I=")</f>
        <v>#REF!</v>
      </c>
      <c r="DL5" t="e">
        <f>AND(Sheet1!#REF!,"AAAAAFl1X3M=")</f>
        <v>#REF!</v>
      </c>
      <c r="DM5">
        <f>IF(Sheet1!61:61,"AAAAAFl1X3Q=",0)</f>
        <v>0</v>
      </c>
      <c r="DN5" t="e">
        <f>AND(Sheet1!A61,"AAAAAFl1X3U=")</f>
        <v>#VALUE!</v>
      </c>
      <c r="DO5" t="e">
        <f>AND(Sheet1!B61,"AAAAAFl1X3Y=")</f>
        <v>#VALUE!</v>
      </c>
      <c r="DP5" t="e">
        <f>AND(Sheet1!C61,"AAAAAFl1X3c=")</f>
        <v>#VALUE!</v>
      </c>
      <c r="DQ5" t="e">
        <f>AND(Sheet1!D61,"AAAAAFl1X3g=")</f>
        <v>#VALUE!</v>
      </c>
      <c r="DR5" t="e">
        <f>AND(Sheet1!E61,"AAAAAFl1X3k=")</f>
        <v>#VALUE!</v>
      </c>
      <c r="DS5" t="e">
        <f>AND(Sheet1!F61,"AAAAAFl1X3o=")</f>
        <v>#VALUE!</v>
      </c>
      <c r="DT5" t="e">
        <f>AND(Sheet1!G61,"AAAAAFl1X3s=")</f>
        <v>#VALUE!</v>
      </c>
      <c r="DU5" t="e">
        <f>AND(Sheet1!H61,"AAAAAFl1X3w=")</f>
        <v>#VALUE!</v>
      </c>
      <c r="DV5" t="e">
        <f>AND(Sheet1!I61,"AAAAAFl1X30=")</f>
        <v>#VALUE!</v>
      </c>
      <c r="DW5" t="e">
        <f>AND(Sheet1!J61,"AAAAAFl1X34=")</f>
        <v>#VALUE!</v>
      </c>
      <c r="DX5" t="e">
        <f>AND(Sheet1!K61,"AAAAAFl1X38=")</f>
        <v>#VALUE!</v>
      </c>
      <c r="DY5" t="e">
        <f>AND(Sheet1!L61,"AAAAAFl1X4A=")</f>
        <v>#VALUE!</v>
      </c>
      <c r="DZ5" t="e">
        <f>AND(Sheet1!M61,"AAAAAFl1X4E=")</f>
        <v>#VALUE!</v>
      </c>
      <c r="EA5" t="e">
        <f>AND(Sheet1!N61,"AAAAAFl1X4I=")</f>
        <v>#VALUE!</v>
      </c>
      <c r="EB5" t="e">
        <f>AND(Sheet1!#REF!,"AAAAAFl1X4M=")</f>
        <v>#REF!</v>
      </c>
      <c r="EC5" t="e">
        <f>AND(Sheet1!#REF!,"AAAAAFl1X4Q=")</f>
        <v>#REF!</v>
      </c>
      <c r="ED5" t="e">
        <f>AND(Sheet1!#REF!,"AAAAAFl1X4U=")</f>
        <v>#REF!</v>
      </c>
      <c r="EE5" t="e">
        <f>AND(Sheet1!#REF!,"AAAAAFl1X4Y=")</f>
        <v>#REF!</v>
      </c>
      <c r="EF5">
        <f>IF(Sheet1!62:62,"AAAAAFl1X4c=",0)</f>
        <v>0</v>
      </c>
      <c r="EG5" t="e">
        <f>AND(Sheet1!A62,"AAAAAFl1X4g=")</f>
        <v>#VALUE!</v>
      </c>
      <c r="EH5" t="e">
        <f>AND(Sheet1!B62,"AAAAAFl1X4k=")</f>
        <v>#VALUE!</v>
      </c>
      <c r="EI5" t="e">
        <f>AND(Sheet1!C62,"AAAAAFl1X4o=")</f>
        <v>#VALUE!</v>
      </c>
      <c r="EJ5" t="e">
        <f>AND(Sheet1!D62,"AAAAAFl1X4s=")</f>
        <v>#VALUE!</v>
      </c>
      <c r="EK5" t="e">
        <f>AND(Sheet1!E62,"AAAAAFl1X4w=")</f>
        <v>#VALUE!</v>
      </c>
      <c r="EL5" t="e">
        <f>AND(Sheet1!F62,"AAAAAFl1X40=")</f>
        <v>#VALUE!</v>
      </c>
      <c r="EM5" t="e">
        <f>AND(Sheet1!G62,"AAAAAFl1X44=")</f>
        <v>#VALUE!</v>
      </c>
      <c r="EN5" t="e">
        <f>AND(Sheet1!H62,"AAAAAFl1X48=")</f>
        <v>#VALUE!</v>
      </c>
      <c r="EO5" t="e">
        <f>AND(Sheet1!I62,"AAAAAFl1X5A=")</f>
        <v>#VALUE!</v>
      </c>
      <c r="EP5" t="e">
        <f>AND(Sheet1!J62,"AAAAAFl1X5E=")</f>
        <v>#VALUE!</v>
      </c>
      <c r="EQ5" t="e">
        <f>AND(Sheet1!K62,"AAAAAFl1X5I=")</f>
        <v>#VALUE!</v>
      </c>
      <c r="ER5" t="e">
        <f>AND(Sheet1!L62,"AAAAAFl1X5M=")</f>
        <v>#VALUE!</v>
      </c>
      <c r="ES5" t="e">
        <f>AND(Sheet1!M62,"AAAAAFl1X5Q=")</f>
        <v>#VALUE!</v>
      </c>
      <c r="ET5" t="e">
        <f>AND(Sheet1!N62,"AAAAAFl1X5U=")</f>
        <v>#VALUE!</v>
      </c>
      <c r="EU5" t="e">
        <f>AND(Sheet1!#REF!,"AAAAAFl1X5Y=")</f>
        <v>#REF!</v>
      </c>
      <c r="EV5" t="e">
        <f>AND(Sheet1!#REF!,"AAAAAFl1X5c=")</f>
        <v>#REF!</v>
      </c>
      <c r="EW5" t="e">
        <f>AND(Sheet1!#REF!,"AAAAAFl1X5g=")</f>
        <v>#REF!</v>
      </c>
      <c r="EX5" t="e">
        <f>AND(Sheet1!#REF!,"AAAAAFl1X5k=")</f>
        <v>#REF!</v>
      </c>
      <c r="EY5">
        <f>IF(Sheet1!63:63,"AAAAAFl1X5o=",0)</f>
        <v>0</v>
      </c>
      <c r="EZ5" t="e">
        <f>AND(Sheet1!A63,"AAAAAFl1X5s=")</f>
        <v>#VALUE!</v>
      </c>
      <c r="FA5" t="e">
        <f>AND(Sheet1!B63,"AAAAAFl1X5w=")</f>
        <v>#VALUE!</v>
      </c>
      <c r="FB5" t="e">
        <f>AND(Sheet1!C63,"AAAAAFl1X50=")</f>
        <v>#VALUE!</v>
      </c>
      <c r="FC5" t="e">
        <f>AND(Sheet1!D63,"AAAAAFl1X54=")</f>
        <v>#VALUE!</v>
      </c>
      <c r="FD5" t="e">
        <f>AND(Sheet1!E63,"AAAAAFl1X58=")</f>
        <v>#VALUE!</v>
      </c>
      <c r="FE5" t="e">
        <f>AND(Sheet1!F63,"AAAAAFl1X6A=")</f>
        <v>#VALUE!</v>
      </c>
      <c r="FF5" t="e">
        <f>AND(Sheet1!G63,"AAAAAFl1X6E=")</f>
        <v>#VALUE!</v>
      </c>
      <c r="FG5" t="e">
        <f>AND(Sheet1!H63,"AAAAAFl1X6I=")</f>
        <v>#VALUE!</v>
      </c>
      <c r="FH5" t="e">
        <f>AND(Sheet1!I63,"AAAAAFl1X6M=")</f>
        <v>#VALUE!</v>
      </c>
      <c r="FI5" t="e">
        <f>AND(Sheet1!J63,"AAAAAFl1X6Q=")</f>
        <v>#VALUE!</v>
      </c>
      <c r="FJ5" t="e">
        <f>AND(Sheet1!K63,"AAAAAFl1X6U=")</f>
        <v>#VALUE!</v>
      </c>
      <c r="FK5" t="e">
        <f>AND(Sheet1!L63,"AAAAAFl1X6Y=")</f>
        <v>#VALUE!</v>
      </c>
      <c r="FL5" t="e">
        <f>AND(Sheet1!M63,"AAAAAFl1X6c=")</f>
        <v>#VALUE!</v>
      </c>
      <c r="FM5" t="e">
        <f>AND(Sheet1!N63,"AAAAAFl1X6g=")</f>
        <v>#VALUE!</v>
      </c>
      <c r="FN5" t="e">
        <f>AND(Sheet1!#REF!,"AAAAAFl1X6k=")</f>
        <v>#REF!</v>
      </c>
      <c r="FO5" t="e">
        <f>AND(Sheet1!#REF!,"AAAAAFl1X6o=")</f>
        <v>#REF!</v>
      </c>
      <c r="FP5" t="e">
        <f>AND(Sheet1!#REF!,"AAAAAFl1X6s=")</f>
        <v>#REF!</v>
      </c>
      <c r="FQ5" t="e">
        <f>AND(Sheet1!#REF!,"AAAAAFl1X6w=")</f>
        <v>#REF!</v>
      </c>
      <c r="FR5">
        <f>IF(Sheet1!64:64,"AAAAAFl1X60=",0)</f>
        <v>0</v>
      </c>
      <c r="FS5" t="e">
        <f>AND(Sheet1!A64,"AAAAAFl1X64=")</f>
        <v>#VALUE!</v>
      </c>
      <c r="FT5" t="e">
        <f>AND(Sheet1!B64,"AAAAAFl1X68=")</f>
        <v>#VALUE!</v>
      </c>
      <c r="FU5" t="e">
        <f>AND(Sheet1!C64,"AAAAAFl1X7A=")</f>
        <v>#VALUE!</v>
      </c>
      <c r="FV5" t="e">
        <f>AND(Sheet1!D64,"AAAAAFl1X7E=")</f>
        <v>#VALUE!</v>
      </c>
      <c r="FW5" t="e">
        <f>AND(Sheet1!E64,"AAAAAFl1X7I=")</f>
        <v>#VALUE!</v>
      </c>
      <c r="FX5" t="e">
        <f>AND(Sheet1!F64,"AAAAAFl1X7M=")</f>
        <v>#VALUE!</v>
      </c>
      <c r="FY5" t="e">
        <f>AND(Sheet1!G64,"AAAAAFl1X7Q=")</f>
        <v>#VALUE!</v>
      </c>
      <c r="FZ5" t="e">
        <f>AND(Sheet1!H64,"AAAAAFl1X7U=")</f>
        <v>#VALUE!</v>
      </c>
      <c r="GA5" t="e">
        <f>AND(Sheet1!I64,"AAAAAFl1X7Y=")</f>
        <v>#VALUE!</v>
      </c>
      <c r="GB5" t="e">
        <f>AND(Sheet1!J64,"AAAAAFl1X7c=")</f>
        <v>#VALUE!</v>
      </c>
      <c r="GC5" t="e">
        <f>AND(Sheet1!K64,"AAAAAFl1X7g=")</f>
        <v>#VALUE!</v>
      </c>
      <c r="GD5" t="e">
        <f>AND(Sheet1!L64,"AAAAAFl1X7k=")</f>
        <v>#VALUE!</v>
      </c>
      <c r="GE5" t="e">
        <f>AND(Sheet1!M64,"AAAAAFl1X7o=")</f>
        <v>#VALUE!</v>
      </c>
      <c r="GF5" t="e">
        <f>AND(Sheet1!N64,"AAAAAFl1X7s=")</f>
        <v>#VALUE!</v>
      </c>
      <c r="GG5" t="e">
        <f>AND(Sheet1!#REF!,"AAAAAFl1X7w=")</f>
        <v>#REF!</v>
      </c>
      <c r="GH5" t="e">
        <f>AND(Sheet1!#REF!,"AAAAAFl1X70=")</f>
        <v>#REF!</v>
      </c>
      <c r="GI5" t="e">
        <f>AND(Sheet1!#REF!,"AAAAAFl1X74=")</f>
        <v>#REF!</v>
      </c>
      <c r="GJ5" t="e">
        <f>AND(Sheet1!#REF!,"AAAAAFl1X78=")</f>
        <v>#REF!</v>
      </c>
      <c r="GK5">
        <f>IF(Sheet1!65:65,"AAAAAFl1X8A=",0)</f>
        <v>0</v>
      </c>
      <c r="GL5" t="e">
        <f>AND(Sheet1!A65,"AAAAAFl1X8E=")</f>
        <v>#VALUE!</v>
      </c>
      <c r="GM5" t="e">
        <f>AND(Sheet1!B65,"AAAAAFl1X8I=")</f>
        <v>#VALUE!</v>
      </c>
      <c r="GN5" t="e">
        <f>AND(Sheet1!C65,"AAAAAFl1X8M=")</f>
        <v>#VALUE!</v>
      </c>
      <c r="GO5" t="e">
        <f>AND(Sheet1!D65,"AAAAAFl1X8Q=")</f>
        <v>#VALUE!</v>
      </c>
      <c r="GP5" t="e">
        <f>AND(Sheet1!E65,"AAAAAFl1X8U=")</f>
        <v>#VALUE!</v>
      </c>
      <c r="GQ5" t="e">
        <f>AND(Sheet1!F65,"AAAAAFl1X8Y=")</f>
        <v>#VALUE!</v>
      </c>
      <c r="GR5" t="e">
        <f>AND(Sheet1!G65,"AAAAAFl1X8c=")</f>
        <v>#VALUE!</v>
      </c>
      <c r="GS5" t="e">
        <f>AND(Sheet1!H65,"AAAAAFl1X8g=")</f>
        <v>#VALUE!</v>
      </c>
      <c r="GT5" t="e">
        <f>AND(Sheet1!I65,"AAAAAFl1X8k=")</f>
        <v>#VALUE!</v>
      </c>
      <c r="GU5" t="e">
        <f>AND(Sheet1!J65,"AAAAAFl1X8o=")</f>
        <v>#VALUE!</v>
      </c>
      <c r="GV5" t="e">
        <f>AND(Sheet1!K65,"AAAAAFl1X8s=")</f>
        <v>#VALUE!</v>
      </c>
      <c r="GW5" t="e">
        <f>AND(Sheet1!L65,"AAAAAFl1X8w=")</f>
        <v>#VALUE!</v>
      </c>
      <c r="GX5" t="e">
        <f>AND(Sheet1!M65,"AAAAAFl1X80=")</f>
        <v>#VALUE!</v>
      </c>
      <c r="GY5" t="e">
        <f>AND(Sheet1!N65,"AAAAAFl1X84=")</f>
        <v>#VALUE!</v>
      </c>
      <c r="GZ5" t="e">
        <f>AND(Sheet1!#REF!,"AAAAAFl1X88=")</f>
        <v>#REF!</v>
      </c>
      <c r="HA5" t="e">
        <f>AND(Sheet1!#REF!,"AAAAAFl1X9A=")</f>
        <v>#REF!</v>
      </c>
      <c r="HB5" t="e">
        <f>AND(Sheet1!#REF!,"AAAAAFl1X9E=")</f>
        <v>#REF!</v>
      </c>
      <c r="HC5" t="e">
        <f>AND(Sheet1!#REF!,"AAAAAFl1X9I=")</f>
        <v>#REF!</v>
      </c>
      <c r="HD5">
        <f>IF(Sheet1!66:66,"AAAAAFl1X9M=",0)</f>
        <v>0</v>
      </c>
      <c r="HE5" t="e">
        <f>AND(Sheet1!A66,"AAAAAFl1X9Q=")</f>
        <v>#VALUE!</v>
      </c>
      <c r="HF5" t="e">
        <f>AND(Sheet1!B66,"AAAAAFl1X9U=")</f>
        <v>#VALUE!</v>
      </c>
      <c r="HG5" t="e">
        <f>AND(Sheet1!C66,"AAAAAFl1X9Y=")</f>
        <v>#VALUE!</v>
      </c>
      <c r="HH5" t="e">
        <f>AND(Sheet1!D66,"AAAAAFl1X9c=")</f>
        <v>#VALUE!</v>
      </c>
      <c r="HI5" t="e">
        <f>AND(Sheet1!E66,"AAAAAFl1X9g=")</f>
        <v>#VALUE!</v>
      </c>
      <c r="HJ5" t="e">
        <f>AND(Sheet1!F66,"AAAAAFl1X9k=")</f>
        <v>#VALUE!</v>
      </c>
      <c r="HK5" t="e">
        <f>AND(Sheet1!G66,"AAAAAFl1X9o=")</f>
        <v>#VALUE!</v>
      </c>
      <c r="HL5" t="e">
        <f>AND(Sheet1!H66,"AAAAAFl1X9s=")</f>
        <v>#VALUE!</v>
      </c>
      <c r="HM5" t="e">
        <f>AND(Sheet1!I66,"AAAAAFl1X9w=")</f>
        <v>#VALUE!</v>
      </c>
      <c r="HN5" t="e">
        <f>AND(Sheet1!J66,"AAAAAFl1X90=")</f>
        <v>#VALUE!</v>
      </c>
      <c r="HO5" t="e">
        <f>AND(Sheet1!K66,"AAAAAFl1X94=")</f>
        <v>#VALUE!</v>
      </c>
      <c r="HP5" t="e">
        <f>AND(Sheet1!L66,"AAAAAFl1X98=")</f>
        <v>#VALUE!</v>
      </c>
      <c r="HQ5" t="e">
        <f>AND(Sheet1!M66,"AAAAAFl1X+A=")</f>
        <v>#VALUE!</v>
      </c>
      <c r="HR5" t="e">
        <f>AND(Sheet1!N66,"AAAAAFl1X+E=")</f>
        <v>#VALUE!</v>
      </c>
      <c r="HS5" t="e">
        <f>AND(Sheet1!#REF!,"AAAAAFl1X+I=")</f>
        <v>#REF!</v>
      </c>
      <c r="HT5" t="e">
        <f>AND(Sheet1!#REF!,"AAAAAFl1X+M=")</f>
        <v>#REF!</v>
      </c>
      <c r="HU5" t="e">
        <f>AND(Sheet1!#REF!,"AAAAAFl1X+Q=")</f>
        <v>#REF!</v>
      </c>
      <c r="HV5" t="e">
        <f>AND(Sheet1!#REF!,"AAAAAFl1X+U=")</f>
        <v>#REF!</v>
      </c>
      <c r="HW5">
        <f>IF(Sheet1!67:67,"AAAAAFl1X+Y=",0)</f>
        <v>0</v>
      </c>
      <c r="HX5" t="e">
        <f>AND(Sheet1!A67,"AAAAAFl1X+c=")</f>
        <v>#VALUE!</v>
      </c>
      <c r="HY5" t="e">
        <f>AND(Sheet1!B67,"AAAAAFl1X+g=")</f>
        <v>#VALUE!</v>
      </c>
      <c r="HZ5" t="e">
        <f>AND(Sheet1!C67,"AAAAAFl1X+k=")</f>
        <v>#VALUE!</v>
      </c>
      <c r="IA5" t="e">
        <f>AND(Sheet1!D67,"AAAAAFl1X+o=")</f>
        <v>#VALUE!</v>
      </c>
      <c r="IB5" t="e">
        <f>AND(Sheet1!E67,"AAAAAFl1X+s=")</f>
        <v>#VALUE!</v>
      </c>
      <c r="IC5" t="e">
        <f>AND(Sheet1!F67,"AAAAAFl1X+w=")</f>
        <v>#VALUE!</v>
      </c>
      <c r="ID5" t="e">
        <f>AND(Sheet1!G67,"AAAAAFl1X+0=")</f>
        <v>#VALUE!</v>
      </c>
      <c r="IE5" t="e">
        <f>AND(Sheet1!H67,"AAAAAFl1X+4=")</f>
        <v>#VALUE!</v>
      </c>
      <c r="IF5" t="e">
        <f>AND(Sheet1!I67,"AAAAAFl1X+8=")</f>
        <v>#VALUE!</v>
      </c>
      <c r="IG5" t="e">
        <f>AND(Sheet1!J67,"AAAAAFl1X/A=")</f>
        <v>#VALUE!</v>
      </c>
      <c r="IH5" t="e">
        <f>AND(Sheet1!K67,"AAAAAFl1X/E=")</f>
        <v>#VALUE!</v>
      </c>
      <c r="II5" t="e">
        <f>AND(Sheet1!L67,"AAAAAFl1X/I=")</f>
        <v>#VALUE!</v>
      </c>
      <c r="IJ5" t="e">
        <f>AND(Sheet1!M67,"AAAAAFl1X/M=")</f>
        <v>#VALUE!</v>
      </c>
      <c r="IK5" t="e">
        <f>AND(Sheet1!N67,"AAAAAFl1X/Q=")</f>
        <v>#VALUE!</v>
      </c>
      <c r="IL5" t="e">
        <f>AND(Sheet1!#REF!,"AAAAAFl1X/U=")</f>
        <v>#REF!</v>
      </c>
      <c r="IM5" t="e">
        <f>AND(Sheet1!#REF!,"AAAAAFl1X/Y=")</f>
        <v>#REF!</v>
      </c>
      <c r="IN5" t="e">
        <f>AND(Sheet1!#REF!,"AAAAAFl1X/c=")</f>
        <v>#REF!</v>
      </c>
      <c r="IO5" t="e">
        <f>AND(Sheet1!#REF!,"AAAAAFl1X/g=")</f>
        <v>#REF!</v>
      </c>
      <c r="IP5">
        <f>IF(Sheet1!68:68,"AAAAAFl1X/k=",0)</f>
        <v>0</v>
      </c>
      <c r="IQ5" t="e">
        <f>AND(Sheet1!A68,"AAAAAFl1X/o=")</f>
        <v>#VALUE!</v>
      </c>
      <c r="IR5" t="e">
        <f>AND(Sheet1!B68,"AAAAAFl1X/s=")</f>
        <v>#VALUE!</v>
      </c>
      <c r="IS5" t="e">
        <f>AND(Sheet1!C68,"AAAAAFl1X/w=")</f>
        <v>#VALUE!</v>
      </c>
      <c r="IT5" t="e">
        <f>AND(Sheet1!D68,"AAAAAFl1X/0=")</f>
        <v>#VALUE!</v>
      </c>
      <c r="IU5" t="e">
        <f>AND(Sheet1!E68,"AAAAAFl1X/4=")</f>
        <v>#VALUE!</v>
      </c>
      <c r="IV5" t="e">
        <f>AND(Sheet1!F68,"AAAAAFl1X/8=")</f>
        <v>#VALUE!</v>
      </c>
    </row>
    <row r="6" spans="1:256" x14ac:dyDescent="0.2">
      <c r="A6" t="e">
        <f>AND(Sheet1!G68,"AAAAAEVn/wA=")</f>
        <v>#VALUE!</v>
      </c>
      <c r="B6" t="e">
        <f>AND(Sheet1!H68,"AAAAAEVn/wE=")</f>
        <v>#VALUE!</v>
      </c>
      <c r="C6" t="e">
        <f>AND(Sheet1!I68,"AAAAAEVn/wI=")</f>
        <v>#VALUE!</v>
      </c>
      <c r="D6" t="e">
        <f>AND(Sheet1!J68,"AAAAAEVn/wM=")</f>
        <v>#VALUE!</v>
      </c>
      <c r="E6" t="e">
        <f>AND(Sheet1!K68,"AAAAAEVn/wQ=")</f>
        <v>#VALUE!</v>
      </c>
      <c r="F6" t="e">
        <f>AND(Sheet1!L68,"AAAAAEVn/wU=")</f>
        <v>#VALUE!</v>
      </c>
      <c r="G6" t="e">
        <f>AND(Sheet1!M68,"AAAAAEVn/wY=")</f>
        <v>#VALUE!</v>
      </c>
      <c r="H6" t="e">
        <f>AND(Sheet1!N68,"AAAAAEVn/wc=")</f>
        <v>#VALUE!</v>
      </c>
      <c r="I6" t="e">
        <f>AND(Sheet1!#REF!,"AAAAAEVn/wg=")</f>
        <v>#REF!</v>
      </c>
      <c r="J6" t="e">
        <f>AND(Sheet1!#REF!,"AAAAAEVn/wk=")</f>
        <v>#REF!</v>
      </c>
      <c r="K6" t="e">
        <f>AND(Sheet1!#REF!,"AAAAAEVn/wo=")</f>
        <v>#REF!</v>
      </c>
      <c r="L6" t="e">
        <f>AND(Sheet1!#REF!,"AAAAAEVn/ws=")</f>
        <v>#REF!</v>
      </c>
      <c r="M6" t="str">
        <f>IF(Sheet1!69:69,"AAAAAEVn/ww=",0)</f>
        <v>AAAAAEVn/ww=</v>
      </c>
      <c r="N6" t="e">
        <f>AND(Sheet1!A69,"AAAAAEVn/w0=")</f>
        <v>#VALUE!</v>
      </c>
      <c r="O6" t="e">
        <f>AND(Sheet1!B69,"AAAAAEVn/w4=")</f>
        <v>#VALUE!</v>
      </c>
      <c r="P6" t="e">
        <f>AND(Sheet1!C69,"AAAAAEVn/w8=")</f>
        <v>#VALUE!</v>
      </c>
      <c r="Q6" t="e">
        <f>AND(Sheet1!D69,"AAAAAEVn/xA=")</f>
        <v>#VALUE!</v>
      </c>
      <c r="R6" t="e">
        <f>AND(Sheet1!E69,"AAAAAEVn/xE=")</f>
        <v>#VALUE!</v>
      </c>
      <c r="S6" t="e">
        <f>AND(Sheet1!F69,"AAAAAEVn/xI=")</f>
        <v>#VALUE!</v>
      </c>
      <c r="T6" t="e">
        <f>AND(Sheet1!G69,"AAAAAEVn/xM=")</f>
        <v>#VALUE!</v>
      </c>
      <c r="U6" t="e">
        <f>AND(Sheet1!H69,"AAAAAEVn/xQ=")</f>
        <v>#VALUE!</v>
      </c>
      <c r="V6" t="e">
        <f>AND(Sheet1!I69,"AAAAAEVn/xU=")</f>
        <v>#VALUE!</v>
      </c>
      <c r="W6" t="e">
        <f>AND(Sheet1!J69,"AAAAAEVn/xY=")</f>
        <v>#VALUE!</v>
      </c>
      <c r="X6" t="e">
        <f>AND(Sheet1!K69,"AAAAAEVn/xc=")</f>
        <v>#VALUE!</v>
      </c>
      <c r="Y6" t="e">
        <f>AND(Sheet1!L69,"AAAAAEVn/xg=")</f>
        <v>#VALUE!</v>
      </c>
      <c r="Z6" t="e">
        <f>AND(Sheet1!M69,"AAAAAEVn/xk=")</f>
        <v>#VALUE!</v>
      </c>
      <c r="AA6" t="e">
        <f>AND(Sheet1!N69,"AAAAAEVn/xo=")</f>
        <v>#VALUE!</v>
      </c>
      <c r="AB6" t="e">
        <f>AND(Sheet1!#REF!,"AAAAAEVn/xs=")</f>
        <v>#REF!</v>
      </c>
      <c r="AC6" t="e">
        <f>AND(Sheet1!#REF!,"AAAAAEVn/xw=")</f>
        <v>#REF!</v>
      </c>
      <c r="AD6" t="e">
        <f>AND(Sheet1!#REF!,"AAAAAEVn/x0=")</f>
        <v>#REF!</v>
      </c>
      <c r="AE6" t="e">
        <f>AND(Sheet1!#REF!,"AAAAAEVn/x4=")</f>
        <v>#REF!</v>
      </c>
      <c r="AF6">
        <f>IF(Sheet1!70:70,"AAAAAEVn/x8=",0)</f>
        <v>0</v>
      </c>
      <c r="AG6" t="e">
        <f>AND(Sheet1!A70,"AAAAAEVn/yA=")</f>
        <v>#VALUE!</v>
      </c>
      <c r="AH6" t="e">
        <f>AND(Sheet1!B70,"AAAAAEVn/yE=")</f>
        <v>#VALUE!</v>
      </c>
      <c r="AI6" t="e">
        <f>AND(Sheet1!C70,"AAAAAEVn/yI=")</f>
        <v>#VALUE!</v>
      </c>
      <c r="AJ6" t="e">
        <f>AND(Sheet1!D70,"AAAAAEVn/yM=")</f>
        <v>#VALUE!</v>
      </c>
      <c r="AK6" t="e">
        <f>AND(Sheet1!E70,"AAAAAEVn/yQ=")</f>
        <v>#VALUE!</v>
      </c>
      <c r="AL6" t="e">
        <f>AND(Sheet1!F70,"AAAAAEVn/yU=")</f>
        <v>#VALUE!</v>
      </c>
      <c r="AM6" t="e">
        <f>AND(Sheet1!G70,"AAAAAEVn/yY=")</f>
        <v>#VALUE!</v>
      </c>
      <c r="AN6" t="e">
        <f>AND(Sheet1!H70,"AAAAAEVn/yc=")</f>
        <v>#VALUE!</v>
      </c>
      <c r="AO6" t="e">
        <f>AND(Sheet1!I70,"AAAAAEVn/yg=")</f>
        <v>#VALUE!</v>
      </c>
      <c r="AP6" t="e">
        <f>AND(Sheet1!J70,"AAAAAEVn/yk=")</f>
        <v>#VALUE!</v>
      </c>
      <c r="AQ6" t="e">
        <f>AND(Sheet1!K70,"AAAAAEVn/yo=")</f>
        <v>#VALUE!</v>
      </c>
      <c r="AR6" t="e">
        <f>AND(Sheet1!L70,"AAAAAEVn/ys=")</f>
        <v>#VALUE!</v>
      </c>
      <c r="AS6" t="e">
        <f>AND(Sheet1!M70,"AAAAAEVn/yw=")</f>
        <v>#VALUE!</v>
      </c>
      <c r="AT6" t="e">
        <f>AND(Sheet1!N70,"AAAAAEVn/y0=")</f>
        <v>#VALUE!</v>
      </c>
      <c r="AU6" t="e">
        <f>AND(Sheet1!#REF!,"AAAAAEVn/y4=")</f>
        <v>#REF!</v>
      </c>
      <c r="AV6" t="e">
        <f>AND(Sheet1!#REF!,"AAAAAEVn/y8=")</f>
        <v>#REF!</v>
      </c>
      <c r="AW6" t="e">
        <f>AND(Sheet1!#REF!,"AAAAAEVn/zA=")</f>
        <v>#REF!</v>
      </c>
      <c r="AX6" t="e">
        <f>AND(Sheet1!#REF!,"AAAAAEVn/zE=")</f>
        <v>#REF!</v>
      </c>
      <c r="AY6">
        <f>IF(Sheet1!71:71,"AAAAAEVn/zI=",0)</f>
        <v>0</v>
      </c>
      <c r="AZ6" t="e">
        <f>AND(Sheet1!A71,"AAAAAEVn/zM=")</f>
        <v>#VALUE!</v>
      </c>
      <c r="BA6" t="e">
        <f>AND(Sheet1!B71,"AAAAAEVn/zQ=")</f>
        <v>#VALUE!</v>
      </c>
      <c r="BB6" t="e">
        <f>AND(Sheet1!C71,"AAAAAEVn/zU=")</f>
        <v>#VALUE!</v>
      </c>
      <c r="BC6" t="e">
        <f>AND(Sheet1!D71,"AAAAAEVn/zY=")</f>
        <v>#VALUE!</v>
      </c>
      <c r="BD6" t="e">
        <f>AND(Sheet1!E71,"AAAAAEVn/zc=")</f>
        <v>#VALUE!</v>
      </c>
      <c r="BE6" t="e">
        <f>AND(Sheet1!F71,"AAAAAEVn/zg=")</f>
        <v>#VALUE!</v>
      </c>
      <c r="BF6" t="e">
        <f>AND(Sheet1!G71,"AAAAAEVn/zk=")</f>
        <v>#VALUE!</v>
      </c>
      <c r="BG6" t="e">
        <f>AND(Sheet1!H71,"AAAAAEVn/zo=")</f>
        <v>#VALUE!</v>
      </c>
      <c r="BH6" t="e">
        <f>AND(Sheet1!I71,"AAAAAEVn/zs=")</f>
        <v>#VALUE!</v>
      </c>
      <c r="BI6" t="e">
        <f>AND(Sheet1!J71,"AAAAAEVn/zw=")</f>
        <v>#VALUE!</v>
      </c>
      <c r="BJ6" t="e">
        <f>AND(Sheet1!K71,"AAAAAEVn/z0=")</f>
        <v>#VALUE!</v>
      </c>
      <c r="BK6" t="e">
        <f>AND(Sheet1!L71,"AAAAAEVn/z4=")</f>
        <v>#VALUE!</v>
      </c>
      <c r="BL6" t="e">
        <f>AND(Sheet1!M71,"AAAAAEVn/z8=")</f>
        <v>#VALUE!</v>
      </c>
      <c r="BM6" t="e">
        <f>AND(Sheet1!N71,"AAAAAEVn/0A=")</f>
        <v>#VALUE!</v>
      </c>
      <c r="BN6" t="e">
        <f>AND(Sheet1!#REF!,"AAAAAEVn/0E=")</f>
        <v>#REF!</v>
      </c>
      <c r="BO6" t="e">
        <f>AND(Sheet1!#REF!,"AAAAAEVn/0I=")</f>
        <v>#REF!</v>
      </c>
      <c r="BP6" t="e">
        <f>AND(Sheet1!#REF!,"AAAAAEVn/0M=")</f>
        <v>#REF!</v>
      </c>
      <c r="BQ6" t="e">
        <f>AND(Sheet1!#REF!,"AAAAAEVn/0Q=")</f>
        <v>#REF!</v>
      </c>
      <c r="BR6">
        <f>IF(Sheet1!72:72,"AAAAAEVn/0U=",0)</f>
        <v>0</v>
      </c>
      <c r="BS6" t="e">
        <f>AND(Sheet1!A72,"AAAAAEVn/0Y=")</f>
        <v>#VALUE!</v>
      </c>
      <c r="BT6" t="e">
        <f>AND(Sheet1!B72,"AAAAAEVn/0c=")</f>
        <v>#VALUE!</v>
      </c>
      <c r="BU6" t="e">
        <f>AND(Sheet1!C72,"AAAAAEVn/0g=")</f>
        <v>#VALUE!</v>
      </c>
      <c r="BV6" t="e">
        <f>AND(Sheet1!D72,"AAAAAEVn/0k=")</f>
        <v>#VALUE!</v>
      </c>
      <c r="BW6" t="e">
        <f>AND(Sheet1!E72,"AAAAAEVn/0o=")</f>
        <v>#VALUE!</v>
      </c>
      <c r="BX6" t="e">
        <f>AND(Sheet1!F72,"AAAAAEVn/0s=")</f>
        <v>#VALUE!</v>
      </c>
      <c r="BY6" t="e">
        <f>AND(Sheet1!G72,"AAAAAEVn/0w=")</f>
        <v>#VALUE!</v>
      </c>
      <c r="BZ6" t="e">
        <f>AND(Sheet1!H72,"AAAAAEVn/00=")</f>
        <v>#VALUE!</v>
      </c>
      <c r="CA6" t="e">
        <f>AND(Sheet1!I72,"AAAAAEVn/04=")</f>
        <v>#VALUE!</v>
      </c>
      <c r="CB6" t="e">
        <f>AND(Sheet1!J72,"AAAAAEVn/08=")</f>
        <v>#VALUE!</v>
      </c>
      <c r="CC6" t="e">
        <f>AND(Sheet1!K72,"AAAAAEVn/1A=")</f>
        <v>#VALUE!</v>
      </c>
      <c r="CD6" t="e">
        <f>AND(Sheet1!L72,"AAAAAEVn/1E=")</f>
        <v>#VALUE!</v>
      </c>
      <c r="CE6" t="e">
        <f>AND(Sheet1!M72,"AAAAAEVn/1I=")</f>
        <v>#VALUE!</v>
      </c>
      <c r="CF6" t="e">
        <f>AND(Sheet1!N72,"AAAAAEVn/1M=")</f>
        <v>#VALUE!</v>
      </c>
      <c r="CG6" t="e">
        <f>AND(Sheet1!#REF!,"AAAAAEVn/1Q=")</f>
        <v>#REF!</v>
      </c>
      <c r="CH6" t="e">
        <f>AND(Sheet1!#REF!,"AAAAAEVn/1U=")</f>
        <v>#REF!</v>
      </c>
      <c r="CI6" t="e">
        <f>AND(Sheet1!#REF!,"AAAAAEVn/1Y=")</f>
        <v>#REF!</v>
      </c>
      <c r="CJ6" t="e">
        <f>AND(Sheet1!#REF!,"AAAAAEVn/1c=")</f>
        <v>#REF!</v>
      </c>
      <c r="CK6">
        <f>IF(Sheet1!73:73,"AAAAAEVn/1g=",0)</f>
        <v>0</v>
      </c>
      <c r="CL6" t="e">
        <f>AND(Sheet1!A73,"AAAAAEVn/1k=")</f>
        <v>#VALUE!</v>
      </c>
      <c r="CM6" t="e">
        <f>AND(Sheet1!B73,"AAAAAEVn/1o=")</f>
        <v>#VALUE!</v>
      </c>
      <c r="CN6" t="e">
        <f>AND(Sheet1!C73,"AAAAAEVn/1s=")</f>
        <v>#VALUE!</v>
      </c>
      <c r="CO6" t="e">
        <f>AND(Sheet1!D73,"AAAAAEVn/1w=")</f>
        <v>#VALUE!</v>
      </c>
      <c r="CP6" t="e">
        <f>AND(Sheet1!E73,"AAAAAEVn/10=")</f>
        <v>#VALUE!</v>
      </c>
      <c r="CQ6" t="e">
        <f>AND(Sheet1!F73,"AAAAAEVn/14=")</f>
        <v>#VALUE!</v>
      </c>
      <c r="CR6" t="e">
        <f>AND(Sheet1!G73,"AAAAAEVn/18=")</f>
        <v>#VALUE!</v>
      </c>
      <c r="CS6" t="e">
        <f>AND(Sheet1!H73,"AAAAAEVn/2A=")</f>
        <v>#VALUE!</v>
      </c>
      <c r="CT6" t="e">
        <f>AND(Sheet1!I73,"AAAAAEVn/2E=")</f>
        <v>#VALUE!</v>
      </c>
      <c r="CU6" t="e">
        <f>AND(Sheet1!J73,"AAAAAEVn/2I=")</f>
        <v>#VALUE!</v>
      </c>
      <c r="CV6" t="e">
        <f>AND(Sheet1!K73,"AAAAAEVn/2M=")</f>
        <v>#VALUE!</v>
      </c>
      <c r="CW6" t="e">
        <f>AND(Sheet1!L73,"AAAAAEVn/2Q=")</f>
        <v>#VALUE!</v>
      </c>
      <c r="CX6" t="e">
        <f>AND(Sheet1!M73,"AAAAAEVn/2U=")</f>
        <v>#VALUE!</v>
      </c>
      <c r="CY6" t="e">
        <f>AND(Sheet1!N73,"AAAAAEVn/2Y=")</f>
        <v>#VALUE!</v>
      </c>
      <c r="CZ6" t="e">
        <f>AND(Sheet1!#REF!,"AAAAAEVn/2c=")</f>
        <v>#REF!</v>
      </c>
      <c r="DA6" t="e">
        <f>AND(Sheet1!#REF!,"AAAAAEVn/2g=")</f>
        <v>#REF!</v>
      </c>
      <c r="DB6" t="e">
        <f>AND(Sheet1!#REF!,"AAAAAEVn/2k=")</f>
        <v>#REF!</v>
      </c>
      <c r="DC6" t="e">
        <f>AND(Sheet1!#REF!,"AAAAAEVn/2o=")</f>
        <v>#REF!</v>
      </c>
      <c r="DD6">
        <f>IF(Sheet1!74:74,"AAAAAEVn/2s=",0)</f>
        <v>0</v>
      </c>
      <c r="DE6" t="e">
        <f>AND(Sheet1!A74,"AAAAAEVn/2w=")</f>
        <v>#VALUE!</v>
      </c>
      <c r="DF6" t="e">
        <f>AND(Sheet1!B74,"AAAAAEVn/20=")</f>
        <v>#VALUE!</v>
      </c>
      <c r="DG6" t="e">
        <f>AND(Sheet1!C74,"AAAAAEVn/24=")</f>
        <v>#VALUE!</v>
      </c>
      <c r="DH6" t="e">
        <f>AND(Sheet1!D74,"AAAAAEVn/28=")</f>
        <v>#VALUE!</v>
      </c>
      <c r="DI6" t="e">
        <f>AND(Sheet1!E74,"AAAAAEVn/3A=")</f>
        <v>#VALUE!</v>
      </c>
      <c r="DJ6" t="e">
        <f>AND(Sheet1!F74,"AAAAAEVn/3E=")</f>
        <v>#VALUE!</v>
      </c>
      <c r="DK6" t="e">
        <f>AND(Sheet1!G74,"AAAAAEVn/3I=")</f>
        <v>#VALUE!</v>
      </c>
      <c r="DL6" t="e">
        <f>AND(Sheet1!H74,"AAAAAEVn/3M=")</f>
        <v>#VALUE!</v>
      </c>
      <c r="DM6" t="e">
        <f>AND(Sheet1!I74,"AAAAAEVn/3Q=")</f>
        <v>#VALUE!</v>
      </c>
      <c r="DN6" t="e">
        <f>AND(Sheet1!J74,"AAAAAEVn/3U=")</f>
        <v>#VALUE!</v>
      </c>
      <c r="DO6" t="e">
        <f>AND(Sheet1!K74,"AAAAAEVn/3Y=")</f>
        <v>#VALUE!</v>
      </c>
      <c r="DP6" t="e">
        <f>AND(Sheet1!L74,"AAAAAEVn/3c=")</f>
        <v>#VALUE!</v>
      </c>
      <c r="DQ6" t="e">
        <f>AND(Sheet1!M74,"AAAAAEVn/3g=")</f>
        <v>#VALUE!</v>
      </c>
      <c r="DR6" t="e">
        <f>AND(Sheet1!N74,"AAAAAEVn/3k=")</f>
        <v>#VALUE!</v>
      </c>
      <c r="DS6" t="e">
        <f>AND(Sheet1!#REF!,"AAAAAEVn/3o=")</f>
        <v>#REF!</v>
      </c>
      <c r="DT6" t="e">
        <f>AND(Sheet1!#REF!,"AAAAAEVn/3s=")</f>
        <v>#REF!</v>
      </c>
      <c r="DU6" t="e">
        <f>AND(Sheet1!#REF!,"AAAAAEVn/3w=")</f>
        <v>#REF!</v>
      </c>
      <c r="DV6" t="e">
        <f>AND(Sheet1!#REF!,"AAAAAEVn/30=")</f>
        <v>#REF!</v>
      </c>
      <c r="DW6">
        <f>IF(Sheet1!75:75,"AAAAAEVn/34=",0)</f>
        <v>0</v>
      </c>
      <c r="DX6" t="e">
        <f>AND(Sheet1!A75,"AAAAAEVn/38=")</f>
        <v>#VALUE!</v>
      </c>
      <c r="DY6" t="e">
        <f>AND(Sheet1!B75,"AAAAAEVn/4A=")</f>
        <v>#VALUE!</v>
      </c>
      <c r="DZ6" t="e">
        <f>AND(Sheet1!C75,"AAAAAEVn/4E=")</f>
        <v>#VALUE!</v>
      </c>
      <c r="EA6" t="e">
        <f>AND(Sheet1!D75,"AAAAAEVn/4I=")</f>
        <v>#VALUE!</v>
      </c>
      <c r="EB6" t="e">
        <f>AND(Sheet1!E75,"AAAAAEVn/4M=")</f>
        <v>#VALUE!</v>
      </c>
      <c r="EC6" t="e">
        <f>AND(Sheet1!F75,"AAAAAEVn/4Q=")</f>
        <v>#VALUE!</v>
      </c>
      <c r="ED6" t="e">
        <f>AND(Sheet1!G75,"AAAAAEVn/4U=")</f>
        <v>#VALUE!</v>
      </c>
      <c r="EE6" t="e">
        <f>AND(Sheet1!H75,"AAAAAEVn/4Y=")</f>
        <v>#VALUE!</v>
      </c>
      <c r="EF6" t="e">
        <f>AND(Sheet1!I75,"AAAAAEVn/4c=")</f>
        <v>#VALUE!</v>
      </c>
      <c r="EG6" t="e">
        <f>AND(Sheet1!J75,"AAAAAEVn/4g=")</f>
        <v>#VALUE!</v>
      </c>
      <c r="EH6" t="e">
        <f>AND(Sheet1!K75,"AAAAAEVn/4k=")</f>
        <v>#VALUE!</v>
      </c>
      <c r="EI6" t="e">
        <f>AND(Sheet1!L75,"AAAAAEVn/4o=")</f>
        <v>#VALUE!</v>
      </c>
      <c r="EJ6" t="e">
        <f>AND(Sheet1!M75,"AAAAAEVn/4s=")</f>
        <v>#VALUE!</v>
      </c>
      <c r="EK6" t="e">
        <f>AND(Sheet1!N75,"AAAAAEVn/4w=")</f>
        <v>#VALUE!</v>
      </c>
      <c r="EL6" t="e">
        <f>AND(Sheet1!#REF!,"AAAAAEVn/40=")</f>
        <v>#REF!</v>
      </c>
      <c r="EM6" t="e">
        <f>AND(Sheet1!#REF!,"AAAAAEVn/44=")</f>
        <v>#REF!</v>
      </c>
      <c r="EN6" t="e">
        <f>AND(Sheet1!#REF!,"AAAAAEVn/48=")</f>
        <v>#REF!</v>
      </c>
      <c r="EO6" t="e">
        <f>AND(Sheet1!#REF!,"AAAAAEVn/5A=")</f>
        <v>#REF!</v>
      </c>
      <c r="EP6">
        <f>IF(Sheet1!76:76,"AAAAAEVn/5E=",0)</f>
        <v>0</v>
      </c>
      <c r="EQ6" t="e">
        <f>AND(Sheet1!A76,"AAAAAEVn/5I=")</f>
        <v>#VALUE!</v>
      </c>
      <c r="ER6" t="e">
        <f>AND(Sheet1!B76,"AAAAAEVn/5M=")</f>
        <v>#VALUE!</v>
      </c>
      <c r="ES6" t="e">
        <f>AND(Sheet1!C76,"AAAAAEVn/5Q=")</f>
        <v>#VALUE!</v>
      </c>
      <c r="ET6" t="e">
        <f>AND(Sheet1!D76,"AAAAAEVn/5U=")</f>
        <v>#VALUE!</v>
      </c>
      <c r="EU6" t="e">
        <f>AND(Sheet1!E76,"AAAAAEVn/5Y=")</f>
        <v>#VALUE!</v>
      </c>
      <c r="EV6" t="e">
        <f>AND(Sheet1!F76,"AAAAAEVn/5c=")</f>
        <v>#VALUE!</v>
      </c>
      <c r="EW6" t="e">
        <f>AND(Sheet1!G76,"AAAAAEVn/5g=")</f>
        <v>#VALUE!</v>
      </c>
      <c r="EX6" t="e">
        <f>AND(Sheet1!H76,"AAAAAEVn/5k=")</f>
        <v>#VALUE!</v>
      </c>
      <c r="EY6" t="e">
        <f>AND(Sheet1!I76,"AAAAAEVn/5o=")</f>
        <v>#VALUE!</v>
      </c>
      <c r="EZ6" t="e">
        <f>AND(Sheet1!J76,"AAAAAEVn/5s=")</f>
        <v>#VALUE!</v>
      </c>
      <c r="FA6" t="e">
        <f>AND(Sheet1!K76,"AAAAAEVn/5w=")</f>
        <v>#VALUE!</v>
      </c>
      <c r="FB6" t="e">
        <f>AND(Sheet1!L76,"AAAAAEVn/50=")</f>
        <v>#VALUE!</v>
      </c>
      <c r="FC6" t="e">
        <f>AND(Sheet1!M76,"AAAAAEVn/54=")</f>
        <v>#VALUE!</v>
      </c>
      <c r="FD6" t="e">
        <f>AND(Sheet1!N76,"AAAAAEVn/58=")</f>
        <v>#VALUE!</v>
      </c>
      <c r="FE6" t="e">
        <f>AND(Sheet1!#REF!,"AAAAAEVn/6A=")</f>
        <v>#REF!</v>
      </c>
      <c r="FF6" t="e">
        <f>AND(Sheet1!#REF!,"AAAAAEVn/6E=")</f>
        <v>#REF!</v>
      </c>
      <c r="FG6" t="e">
        <f>AND(Sheet1!#REF!,"AAAAAEVn/6I=")</f>
        <v>#REF!</v>
      </c>
      <c r="FH6" t="e">
        <f>AND(Sheet1!#REF!,"AAAAAEVn/6M=")</f>
        <v>#REF!</v>
      </c>
      <c r="FI6">
        <f>IF(Sheet1!77:77,"AAAAAEVn/6Q=",0)</f>
        <v>0</v>
      </c>
      <c r="FJ6" t="e">
        <f>AND(Sheet1!A77,"AAAAAEVn/6U=")</f>
        <v>#VALUE!</v>
      </c>
      <c r="FK6" t="e">
        <f>AND(Sheet1!B77,"AAAAAEVn/6Y=")</f>
        <v>#VALUE!</v>
      </c>
      <c r="FL6" t="e">
        <f>AND(Sheet1!C77,"AAAAAEVn/6c=")</f>
        <v>#VALUE!</v>
      </c>
      <c r="FM6" t="e">
        <f>AND(Sheet1!D77,"AAAAAEVn/6g=")</f>
        <v>#VALUE!</v>
      </c>
      <c r="FN6" t="e">
        <f>AND(Sheet1!E77,"AAAAAEVn/6k=")</f>
        <v>#VALUE!</v>
      </c>
      <c r="FO6" t="e">
        <f>AND(Sheet1!F77,"AAAAAEVn/6o=")</f>
        <v>#VALUE!</v>
      </c>
      <c r="FP6" t="e">
        <f>AND(Sheet1!G77,"AAAAAEVn/6s=")</f>
        <v>#VALUE!</v>
      </c>
      <c r="FQ6" t="e">
        <f>AND(Sheet1!H77,"AAAAAEVn/6w=")</f>
        <v>#VALUE!</v>
      </c>
      <c r="FR6" t="e">
        <f>AND(Sheet1!I77,"AAAAAEVn/60=")</f>
        <v>#VALUE!</v>
      </c>
      <c r="FS6" t="e">
        <f>AND(Sheet1!J77,"AAAAAEVn/64=")</f>
        <v>#VALUE!</v>
      </c>
      <c r="FT6" t="e">
        <f>AND(Sheet1!K77,"AAAAAEVn/68=")</f>
        <v>#VALUE!</v>
      </c>
      <c r="FU6" t="e">
        <f>AND(Sheet1!L77,"AAAAAEVn/7A=")</f>
        <v>#VALUE!</v>
      </c>
      <c r="FV6" t="e">
        <f>AND(Sheet1!M77,"AAAAAEVn/7E=")</f>
        <v>#VALUE!</v>
      </c>
      <c r="FW6" t="e">
        <f>AND(Sheet1!N77,"AAAAAEVn/7I=")</f>
        <v>#VALUE!</v>
      </c>
      <c r="FX6" t="e">
        <f>AND(Sheet1!#REF!,"AAAAAEVn/7M=")</f>
        <v>#REF!</v>
      </c>
      <c r="FY6" t="e">
        <f>AND(Sheet1!#REF!,"AAAAAEVn/7Q=")</f>
        <v>#REF!</v>
      </c>
      <c r="FZ6" t="e">
        <f>AND(Sheet1!#REF!,"AAAAAEVn/7U=")</f>
        <v>#REF!</v>
      </c>
      <c r="GA6" t="e">
        <f>AND(Sheet1!#REF!,"AAAAAEVn/7Y=")</f>
        <v>#REF!</v>
      </c>
      <c r="GB6">
        <f>IF(Sheet1!78:78,"AAAAAEVn/7c=",0)</f>
        <v>0</v>
      </c>
      <c r="GC6" t="e">
        <f>AND(Sheet1!A78,"AAAAAEVn/7g=")</f>
        <v>#VALUE!</v>
      </c>
      <c r="GD6" t="e">
        <f>AND(Sheet1!B78,"AAAAAEVn/7k=")</f>
        <v>#VALUE!</v>
      </c>
      <c r="GE6" t="e">
        <f>AND(Sheet1!C78,"AAAAAEVn/7o=")</f>
        <v>#VALUE!</v>
      </c>
      <c r="GF6" t="e">
        <f>AND(Sheet1!D78,"AAAAAEVn/7s=")</f>
        <v>#VALUE!</v>
      </c>
      <c r="GG6" t="e">
        <f>AND(Sheet1!E78,"AAAAAEVn/7w=")</f>
        <v>#VALUE!</v>
      </c>
      <c r="GH6" t="e">
        <f>AND(Sheet1!F78,"AAAAAEVn/70=")</f>
        <v>#VALUE!</v>
      </c>
      <c r="GI6" t="e">
        <f>AND(Sheet1!G78,"AAAAAEVn/74=")</f>
        <v>#VALUE!</v>
      </c>
      <c r="GJ6" t="e">
        <f>AND(Sheet1!H78,"AAAAAEVn/78=")</f>
        <v>#VALUE!</v>
      </c>
      <c r="GK6" t="e">
        <f>AND(Sheet1!I78,"AAAAAEVn/8A=")</f>
        <v>#VALUE!</v>
      </c>
      <c r="GL6" t="e">
        <f>AND(Sheet1!J78,"AAAAAEVn/8E=")</f>
        <v>#VALUE!</v>
      </c>
      <c r="GM6" t="e">
        <f>AND(Sheet1!K78,"AAAAAEVn/8I=")</f>
        <v>#VALUE!</v>
      </c>
      <c r="GN6" t="e">
        <f>AND(Sheet1!L78,"AAAAAEVn/8M=")</f>
        <v>#VALUE!</v>
      </c>
      <c r="GO6" t="e">
        <f>AND(Sheet1!M78,"AAAAAEVn/8Q=")</f>
        <v>#VALUE!</v>
      </c>
      <c r="GP6" t="e">
        <f>AND(Sheet1!N78,"AAAAAEVn/8U=")</f>
        <v>#VALUE!</v>
      </c>
      <c r="GQ6" t="e">
        <f>AND(Sheet1!#REF!,"AAAAAEVn/8Y=")</f>
        <v>#REF!</v>
      </c>
      <c r="GR6" t="e">
        <f>AND(Sheet1!#REF!,"AAAAAEVn/8c=")</f>
        <v>#REF!</v>
      </c>
      <c r="GS6" t="e">
        <f>AND(Sheet1!#REF!,"AAAAAEVn/8g=")</f>
        <v>#REF!</v>
      </c>
      <c r="GT6" t="e">
        <f>AND(Sheet1!#REF!,"AAAAAEVn/8k=")</f>
        <v>#REF!</v>
      </c>
      <c r="GU6">
        <f>IF(Sheet1!79:79,"AAAAAEVn/8o=",0)</f>
        <v>0</v>
      </c>
      <c r="GV6" t="e">
        <f>AND(Sheet1!A79,"AAAAAEVn/8s=")</f>
        <v>#VALUE!</v>
      </c>
      <c r="GW6" t="e">
        <f>AND(Sheet1!B79,"AAAAAEVn/8w=")</f>
        <v>#VALUE!</v>
      </c>
      <c r="GX6" t="e">
        <f>AND(Sheet1!C79,"AAAAAEVn/80=")</f>
        <v>#VALUE!</v>
      </c>
      <c r="GY6" t="e">
        <f>AND(Sheet1!D79,"AAAAAEVn/84=")</f>
        <v>#VALUE!</v>
      </c>
      <c r="GZ6" t="e">
        <f>AND(Sheet1!E79,"AAAAAEVn/88=")</f>
        <v>#VALUE!</v>
      </c>
      <c r="HA6" t="e">
        <f>AND(Sheet1!F79,"AAAAAEVn/9A=")</f>
        <v>#VALUE!</v>
      </c>
      <c r="HB6" t="e">
        <f>AND(Sheet1!G79,"AAAAAEVn/9E=")</f>
        <v>#VALUE!</v>
      </c>
      <c r="HC6" t="e">
        <f>AND(Sheet1!H79,"AAAAAEVn/9I=")</f>
        <v>#VALUE!</v>
      </c>
      <c r="HD6" t="e">
        <f>AND(Sheet1!I79,"AAAAAEVn/9M=")</f>
        <v>#VALUE!</v>
      </c>
      <c r="HE6" t="e">
        <f>AND(Sheet1!J79,"AAAAAEVn/9Q=")</f>
        <v>#VALUE!</v>
      </c>
      <c r="HF6" t="e">
        <f>AND(Sheet1!K79,"AAAAAEVn/9U=")</f>
        <v>#VALUE!</v>
      </c>
      <c r="HG6" t="e">
        <f>AND(Sheet1!L79,"AAAAAEVn/9Y=")</f>
        <v>#VALUE!</v>
      </c>
      <c r="HH6" t="e">
        <f>AND(Sheet1!M79,"AAAAAEVn/9c=")</f>
        <v>#VALUE!</v>
      </c>
      <c r="HI6" t="e">
        <f>AND(Sheet1!N79,"AAAAAEVn/9g=")</f>
        <v>#VALUE!</v>
      </c>
      <c r="HJ6" t="e">
        <f>AND(Sheet1!#REF!,"AAAAAEVn/9k=")</f>
        <v>#REF!</v>
      </c>
      <c r="HK6" t="e">
        <f>AND(Sheet1!#REF!,"AAAAAEVn/9o=")</f>
        <v>#REF!</v>
      </c>
      <c r="HL6" t="e">
        <f>AND(Sheet1!#REF!,"AAAAAEVn/9s=")</f>
        <v>#REF!</v>
      </c>
      <c r="HM6" t="e">
        <f>AND(Sheet1!#REF!,"AAAAAEVn/9w=")</f>
        <v>#REF!</v>
      </c>
      <c r="HN6">
        <f>IF(Sheet1!80:80,"AAAAAEVn/90=",0)</f>
        <v>0</v>
      </c>
      <c r="HO6" t="e">
        <f>AND(Sheet1!A80,"AAAAAEVn/94=")</f>
        <v>#VALUE!</v>
      </c>
      <c r="HP6" t="e">
        <f>AND(Sheet1!B80,"AAAAAEVn/98=")</f>
        <v>#VALUE!</v>
      </c>
      <c r="HQ6" t="e">
        <f>AND(Sheet1!C80,"AAAAAEVn/+A=")</f>
        <v>#VALUE!</v>
      </c>
      <c r="HR6" t="e">
        <f>AND(Sheet1!D80,"AAAAAEVn/+E=")</f>
        <v>#VALUE!</v>
      </c>
      <c r="HS6" t="e">
        <f>AND(Sheet1!E80,"AAAAAEVn/+I=")</f>
        <v>#VALUE!</v>
      </c>
      <c r="HT6" t="e">
        <f>AND(Sheet1!F80,"AAAAAEVn/+M=")</f>
        <v>#VALUE!</v>
      </c>
      <c r="HU6" t="e">
        <f>AND(Sheet1!G80,"AAAAAEVn/+Q=")</f>
        <v>#VALUE!</v>
      </c>
      <c r="HV6" t="e">
        <f>AND(Sheet1!H80,"AAAAAEVn/+U=")</f>
        <v>#VALUE!</v>
      </c>
      <c r="HW6" t="e">
        <f>AND(Sheet1!I80,"AAAAAEVn/+Y=")</f>
        <v>#VALUE!</v>
      </c>
      <c r="HX6" t="e">
        <f>AND(Sheet1!J80,"AAAAAEVn/+c=")</f>
        <v>#VALUE!</v>
      </c>
      <c r="HY6" t="e">
        <f>AND(Sheet1!K80,"AAAAAEVn/+g=")</f>
        <v>#VALUE!</v>
      </c>
      <c r="HZ6" t="e">
        <f>AND(Sheet1!L80,"AAAAAEVn/+k=")</f>
        <v>#VALUE!</v>
      </c>
      <c r="IA6" t="e">
        <f>AND(Sheet1!M80,"AAAAAEVn/+o=")</f>
        <v>#VALUE!</v>
      </c>
      <c r="IB6" t="e">
        <f>AND(Sheet1!N80,"AAAAAEVn/+s=")</f>
        <v>#VALUE!</v>
      </c>
      <c r="IC6" t="e">
        <f>AND(Sheet1!#REF!,"AAAAAEVn/+w=")</f>
        <v>#REF!</v>
      </c>
      <c r="ID6" t="e">
        <f>AND(Sheet1!#REF!,"AAAAAEVn/+0=")</f>
        <v>#REF!</v>
      </c>
      <c r="IE6" t="e">
        <f>AND(Sheet1!#REF!,"AAAAAEVn/+4=")</f>
        <v>#REF!</v>
      </c>
      <c r="IF6" t="e">
        <f>AND(Sheet1!#REF!,"AAAAAEVn/+8=")</f>
        <v>#REF!</v>
      </c>
      <c r="IG6">
        <f>IF(Sheet1!81:81,"AAAAAEVn//A=",0)</f>
        <v>0</v>
      </c>
      <c r="IH6" t="e">
        <f>AND(Sheet1!A81,"AAAAAEVn//E=")</f>
        <v>#VALUE!</v>
      </c>
      <c r="II6" t="e">
        <f>AND(Sheet1!B81,"AAAAAEVn//I=")</f>
        <v>#VALUE!</v>
      </c>
      <c r="IJ6" t="e">
        <f>AND(Sheet1!C81,"AAAAAEVn//M=")</f>
        <v>#VALUE!</v>
      </c>
      <c r="IK6" t="e">
        <f>AND(Sheet1!D81,"AAAAAEVn//Q=")</f>
        <v>#VALUE!</v>
      </c>
      <c r="IL6" t="e">
        <f>AND(Sheet1!E81,"AAAAAEVn//U=")</f>
        <v>#VALUE!</v>
      </c>
      <c r="IM6" t="e">
        <f>AND(Sheet1!F81,"AAAAAEVn//Y=")</f>
        <v>#VALUE!</v>
      </c>
      <c r="IN6" t="e">
        <f>AND(Sheet1!G81,"AAAAAEVn//c=")</f>
        <v>#VALUE!</v>
      </c>
      <c r="IO6" t="e">
        <f>AND(Sheet1!H81,"AAAAAEVn//g=")</f>
        <v>#VALUE!</v>
      </c>
      <c r="IP6" t="e">
        <f>AND(Sheet1!I81,"AAAAAEVn//k=")</f>
        <v>#VALUE!</v>
      </c>
      <c r="IQ6" t="e">
        <f>AND(Sheet1!J81,"AAAAAEVn//o=")</f>
        <v>#VALUE!</v>
      </c>
      <c r="IR6" t="e">
        <f>AND(Sheet1!K81,"AAAAAEVn//s=")</f>
        <v>#VALUE!</v>
      </c>
      <c r="IS6" t="e">
        <f>AND(Sheet1!L81,"AAAAAEVn//w=")</f>
        <v>#VALUE!</v>
      </c>
      <c r="IT6" t="e">
        <f>AND(Sheet1!M81,"AAAAAEVn//0=")</f>
        <v>#VALUE!</v>
      </c>
      <c r="IU6" t="e">
        <f>AND(Sheet1!N81,"AAAAAEVn//4=")</f>
        <v>#VALUE!</v>
      </c>
      <c r="IV6" t="e">
        <f>AND(Sheet1!#REF!,"AAAAAEVn//8=")</f>
        <v>#REF!</v>
      </c>
    </row>
    <row r="7" spans="1:256" x14ac:dyDescent="0.2">
      <c r="A7" t="e">
        <f>AND(Sheet1!#REF!,"AAAAAHPbtQA=")</f>
        <v>#REF!</v>
      </c>
      <c r="B7" t="e">
        <f>AND(Sheet1!#REF!,"AAAAAHPbtQE=")</f>
        <v>#REF!</v>
      </c>
      <c r="C7" t="e">
        <f>AND(Sheet1!#REF!,"AAAAAHPbtQI=")</f>
        <v>#REF!</v>
      </c>
      <c r="D7" t="e">
        <f>IF(Sheet1!82:82,"AAAAAHPbtQM=",0)</f>
        <v>#VALUE!</v>
      </c>
      <c r="E7" t="e">
        <f>AND(Sheet1!A82,"AAAAAHPbtQQ=")</f>
        <v>#VALUE!</v>
      </c>
      <c r="F7" t="e">
        <f>AND(Sheet1!B82,"AAAAAHPbtQU=")</f>
        <v>#VALUE!</v>
      </c>
      <c r="G7" t="e">
        <f>AND(Sheet1!C82,"AAAAAHPbtQY=")</f>
        <v>#VALUE!</v>
      </c>
      <c r="H7" t="e">
        <f>AND(Sheet1!D82,"AAAAAHPbtQc=")</f>
        <v>#VALUE!</v>
      </c>
      <c r="I7" t="e">
        <f>AND(Sheet1!E82,"AAAAAHPbtQg=")</f>
        <v>#VALUE!</v>
      </c>
      <c r="J7" t="e">
        <f>AND(Sheet1!F82,"AAAAAHPbtQk=")</f>
        <v>#VALUE!</v>
      </c>
      <c r="K7" t="e">
        <f>AND(Sheet1!G82,"AAAAAHPbtQo=")</f>
        <v>#VALUE!</v>
      </c>
      <c r="L7" t="e">
        <f>AND(Sheet1!H82,"AAAAAHPbtQs=")</f>
        <v>#VALUE!</v>
      </c>
      <c r="M7" t="e">
        <f>AND(Sheet1!I82,"AAAAAHPbtQw=")</f>
        <v>#VALUE!</v>
      </c>
      <c r="N7" t="e">
        <f>AND(Sheet1!J82,"AAAAAHPbtQ0=")</f>
        <v>#VALUE!</v>
      </c>
      <c r="O7" t="e">
        <f>AND(Sheet1!K82,"AAAAAHPbtQ4=")</f>
        <v>#VALUE!</v>
      </c>
      <c r="P7" t="e">
        <f>AND(Sheet1!L82,"AAAAAHPbtQ8=")</f>
        <v>#VALUE!</v>
      </c>
      <c r="Q7" t="e">
        <f>AND(Sheet1!M82,"AAAAAHPbtRA=")</f>
        <v>#VALUE!</v>
      </c>
      <c r="R7" t="e">
        <f>AND(Sheet1!N82,"AAAAAHPbtRE=")</f>
        <v>#VALUE!</v>
      </c>
      <c r="S7" t="e">
        <f>AND(Sheet1!#REF!,"AAAAAHPbtRI=")</f>
        <v>#REF!</v>
      </c>
      <c r="T7" t="e">
        <f>AND(Sheet1!#REF!,"AAAAAHPbtRM=")</f>
        <v>#REF!</v>
      </c>
      <c r="U7" t="e">
        <f>AND(Sheet1!#REF!,"AAAAAHPbtRQ=")</f>
        <v>#REF!</v>
      </c>
      <c r="V7" t="e">
        <f>AND(Sheet1!#REF!,"AAAAAHPbtRU=")</f>
        <v>#REF!</v>
      </c>
      <c r="W7">
        <f>IF(Sheet1!83:83,"AAAAAHPbtRY=",0)</f>
        <v>0</v>
      </c>
      <c r="X7" t="e">
        <f>AND(Sheet1!A83,"AAAAAHPbtRc=")</f>
        <v>#VALUE!</v>
      </c>
      <c r="Y7" t="e">
        <f>AND(Sheet1!B83,"AAAAAHPbtRg=")</f>
        <v>#VALUE!</v>
      </c>
      <c r="Z7" t="e">
        <f>AND(Sheet1!C83,"AAAAAHPbtRk=")</f>
        <v>#VALUE!</v>
      </c>
      <c r="AA7" t="e">
        <f>AND(Sheet1!D83,"AAAAAHPbtRo=")</f>
        <v>#VALUE!</v>
      </c>
      <c r="AB7" t="e">
        <f>AND(Sheet1!E83,"AAAAAHPbtRs=")</f>
        <v>#VALUE!</v>
      </c>
      <c r="AC7" t="e">
        <f>AND(Sheet1!F83,"AAAAAHPbtRw=")</f>
        <v>#VALUE!</v>
      </c>
      <c r="AD7" t="e">
        <f>AND(Sheet1!G83,"AAAAAHPbtR0=")</f>
        <v>#VALUE!</v>
      </c>
      <c r="AE7" t="e">
        <f>AND(Sheet1!H83,"AAAAAHPbtR4=")</f>
        <v>#VALUE!</v>
      </c>
      <c r="AF7" t="e">
        <f>AND(Sheet1!I83,"AAAAAHPbtR8=")</f>
        <v>#VALUE!</v>
      </c>
      <c r="AG7" t="e">
        <f>AND(Sheet1!J83,"AAAAAHPbtSA=")</f>
        <v>#VALUE!</v>
      </c>
      <c r="AH7" t="e">
        <f>AND(Sheet1!K83,"AAAAAHPbtSE=")</f>
        <v>#VALUE!</v>
      </c>
      <c r="AI7" t="e">
        <f>AND(Sheet1!L83,"AAAAAHPbtSI=")</f>
        <v>#VALUE!</v>
      </c>
      <c r="AJ7" t="e">
        <f>AND(Sheet1!M83,"AAAAAHPbtSM=")</f>
        <v>#VALUE!</v>
      </c>
      <c r="AK7" t="e">
        <f>AND(Sheet1!N83,"AAAAAHPbtSQ=")</f>
        <v>#VALUE!</v>
      </c>
      <c r="AL7" t="e">
        <f>AND(Sheet1!#REF!,"AAAAAHPbtSU=")</f>
        <v>#REF!</v>
      </c>
      <c r="AM7" t="e">
        <f>AND(Sheet1!#REF!,"AAAAAHPbtSY=")</f>
        <v>#REF!</v>
      </c>
      <c r="AN7" t="e">
        <f>AND(Sheet1!#REF!,"AAAAAHPbtSc=")</f>
        <v>#REF!</v>
      </c>
      <c r="AO7" t="e">
        <f>AND(Sheet1!#REF!,"AAAAAHPbtSg=")</f>
        <v>#REF!</v>
      </c>
      <c r="AP7">
        <f>IF(Sheet1!84:84,"AAAAAHPbtSk=",0)</f>
        <v>0</v>
      </c>
      <c r="AQ7" t="e">
        <f>AND(Sheet1!A84,"AAAAAHPbtSo=")</f>
        <v>#VALUE!</v>
      </c>
      <c r="AR7" t="e">
        <f>AND(Sheet1!B84,"AAAAAHPbtSs=")</f>
        <v>#VALUE!</v>
      </c>
      <c r="AS7" t="e">
        <f>AND(Sheet1!C84,"AAAAAHPbtSw=")</f>
        <v>#VALUE!</v>
      </c>
      <c r="AT7" t="e">
        <f>AND(Sheet1!D84,"AAAAAHPbtS0=")</f>
        <v>#VALUE!</v>
      </c>
      <c r="AU7" t="e">
        <f>AND(Sheet1!E84,"AAAAAHPbtS4=")</f>
        <v>#VALUE!</v>
      </c>
      <c r="AV7" t="e">
        <f>AND(Sheet1!F84,"AAAAAHPbtS8=")</f>
        <v>#VALUE!</v>
      </c>
      <c r="AW7" t="e">
        <f>AND(Sheet1!G84,"AAAAAHPbtTA=")</f>
        <v>#VALUE!</v>
      </c>
      <c r="AX7" t="e">
        <f>AND(Sheet1!H84,"AAAAAHPbtTE=")</f>
        <v>#VALUE!</v>
      </c>
      <c r="AY7" t="e">
        <f>AND(Sheet1!I84,"AAAAAHPbtTI=")</f>
        <v>#VALUE!</v>
      </c>
      <c r="AZ7" t="e">
        <f>AND(Sheet1!J84,"AAAAAHPbtTM=")</f>
        <v>#VALUE!</v>
      </c>
      <c r="BA7" t="e">
        <f>AND(Sheet1!K84,"AAAAAHPbtTQ=")</f>
        <v>#VALUE!</v>
      </c>
      <c r="BB7" t="e">
        <f>AND(Sheet1!L84,"AAAAAHPbtTU=")</f>
        <v>#VALUE!</v>
      </c>
      <c r="BC7" t="e">
        <f>AND(Sheet1!M84,"AAAAAHPbtTY=")</f>
        <v>#VALUE!</v>
      </c>
      <c r="BD7" t="e">
        <f>AND(Sheet1!N84,"AAAAAHPbtTc=")</f>
        <v>#VALUE!</v>
      </c>
      <c r="BE7" t="e">
        <f>AND(Sheet1!#REF!,"AAAAAHPbtTg=")</f>
        <v>#REF!</v>
      </c>
      <c r="BF7" t="e">
        <f>AND(Sheet1!#REF!,"AAAAAHPbtTk=")</f>
        <v>#REF!</v>
      </c>
      <c r="BG7" t="e">
        <f>AND(Sheet1!#REF!,"AAAAAHPbtTo=")</f>
        <v>#REF!</v>
      </c>
      <c r="BH7" t="e">
        <f>AND(Sheet1!#REF!,"AAAAAHPbtTs=")</f>
        <v>#REF!</v>
      </c>
      <c r="BI7">
        <f>IF(Sheet1!85:85,"AAAAAHPbtTw=",0)</f>
        <v>0</v>
      </c>
      <c r="BJ7" t="e">
        <f>AND(Sheet1!A85,"AAAAAHPbtT0=")</f>
        <v>#VALUE!</v>
      </c>
      <c r="BK7" t="e">
        <f>AND(Sheet1!B85,"AAAAAHPbtT4=")</f>
        <v>#VALUE!</v>
      </c>
      <c r="BL7" t="e">
        <f>AND(Sheet1!C85,"AAAAAHPbtT8=")</f>
        <v>#VALUE!</v>
      </c>
      <c r="BM7" t="e">
        <f>AND(Sheet1!D85,"AAAAAHPbtUA=")</f>
        <v>#VALUE!</v>
      </c>
      <c r="BN7" t="e">
        <f>AND(Sheet1!E85,"AAAAAHPbtUE=")</f>
        <v>#VALUE!</v>
      </c>
      <c r="BO7" t="e">
        <f>AND(Sheet1!F85,"AAAAAHPbtUI=")</f>
        <v>#VALUE!</v>
      </c>
      <c r="BP7" t="e">
        <f>AND(Sheet1!G85,"AAAAAHPbtUM=")</f>
        <v>#VALUE!</v>
      </c>
      <c r="BQ7" t="e">
        <f>AND(Sheet1!H85,"AAAAAHPbtUQ=")</f>
        <v>#VALUE!</v>
      </c>
      <c r="BR7" t="e">
        <f>AND(Sheet1!I85,"AAAAAHPbtUU=")</f>
        <v>#VALUE!</v>
      </c>
      <c r="BS7" t="e">
        <f>AND(Sheet1!J85,"AAAAAHPbtUY=")</f>
        <v>#VALUE!</v>
      </c>
      <c r="BT7" t="e">
        <f>AND(Sheet1!K85,"AAAAAHPbtUc=")</f>
        <v>#VALUE!</v>
      </c>
      <c r="BU7" t="e">
        <f>AND(Sheet1!L85,"AAAAAHPbtUg=")</f>
        <v>#VALUE!</v>
      </c>
      <c r="BV7" t="e">
        <f>AND(Sheet1!M85,"AAAAAHPbtUk=")</f>
        <v>#VALUE!</v>
      </c>
      <c r="BW7" t="e">
        <f>AND(Sheet1!N85,"AAAAAHPbtUo=")</f>
        <v>#VALUE!</v>
      </c>
      <c r="BX7" t="e">
        <f>AND(Sheet1!#REF!,"AAAAAHPbtUs=")</f>
        <v>#REF!</v>
      </c>
      <c r="BY7" t="e">
        <f>AND(Sheet1!#REF!,"AAAAAHPbtUw=")</f>
        <v>#REF!</v>
      </c>
      <c r="BZ7" t="e">
        <f>AND(Sheet1!#REF!,"AAAAAHPbtU0=")</f>
        <v>#REF!</v>
      </c>
      <c r="CA7" t="e">
        <f>AND(Sheet1!#REF!,"AAAAAHPbtU4=")</f>
        <v>#REF!</v>
      </c>
      <c r="CB7">
        <f>IF(Sheet1!86:86,"AAAAAHPbtU8=",0)</f>
        <v>0</v>
      </c>
      <c r="CC7" t="e">
        <f>AND(Sheet1!A86,"AAAAAHPbtVA=")</f>
        <v>#VALUE!</v>
      </c>
      <c r="CD7" t="e">
        <f>AND(Sheet1!B86,"AAAAAHPbtVE=")</f>
        <v>#VALUE!</v>
      </c>
      <c r="CE7" t="e">
        <f>AND(Sheet1!C86,"AAAAAHPbtVI=")</f>
        <v>#VALUE!</v>
      </c>
      <c r="CF7" t="e">
        <f>AND(Sheet1!D86,"AAAAAHPbtVM=")</f>
        <v>#VALUE!</v>
      </c>
      <c r="CG7" t="e">
        <f>AND(Sheet1!E86,"AAAAAHPbtVQ=")</f>
        <v>#VALUE!</v>
      </c>
      <c r="CH7" t="e">
        <f>AND(Sheet1!F86,"AAAAAHPbtVU=")</f>
        <v>#VALUE!</v>
      </c>
      <c r="CI7" t="e">
        <f>AND(Sheet1!G86,"AAAAAHPbtVY=")</f>
        <v>#VALUE!</v>
      </c>
      <c r="CJ7" t="e">
        <f>AND(Sheet1!H86,"AAAAAHPbtVc=")</f>
        <v>#VALUE!</v>
      </c>
      <c r="CK7" t="e">
        <f>AND(Sheet1!I86,"AAAAAHPbtVg=")</f>
        <v>#VALUE!</v>
      </c>
      <c r="CL7" t="e">
        <f>AND(Sheet1!J86,"AAAAAHPbtVk=")</f>
        <v>#VALUE!</v>
      </c>
      <c r="CM7" t="e">
        <f>AND(Sheet1!K86,"AAAAAHPbtVo=")</f>
        <v>#VALUE!</v>
      </c>
      <c r="CN7" t="e">
        <f>AND(Sheet1!L86,"AAAAAHPbtVs=")</f>
        <v>#VALUE!</v>
      </c>
      <c r="CO7" t="e">
        <f>AND(Sheet1!M86,"AAAAAHPbtVw=")</f>
        <v>#VALUE!</v>
      </c>
      <c r="CP7" t="e">
        <f>AND(Sheet1!N86,"AAAAAHPbtV0=")</f>
        <v>#VALUE!</v>
      </c>
      <c r="CQ7" t="e">
        <f>AND(Sheet1!#REF!,"AAAAAHPbtV4=")</f>
        <v>#REF!</v>
      </c>
      <c r="CR7" t="e">
        <f>AND(Sheet1!#REF!,"AAAAAHPbtV8=")</f>
        <v>#REF!</v>
      </c>
      <c r="CS7" t="e">
        <f>AND(Sheet1!#REF!,"AAAAAHPbtWA=")</f>
        <v>#REF!</v>
      </c>
      <c r="CT7" t="e">
        <f>AND(Sheet1!#REF!,"AAAAAHPbtWE=")</f>
        <v>#REF!</v>
      </c>
      <c r="CU7">
        <f>IF(Sheet1!87:87,"AAAAAHPbtWI=",0)</f>
        <v>0</v>
      </c>
      <c r="CV7" t="e">
        <f>AND(Sheet1!A87,"AAAAAHPbtWM=")</f>
        <v>#VALUE!</v>
      </c>
      <c r="CW7" t="e">
        <f>AND(Sheet1!B87,"AAAAAHPbtWQ=")</f>
        <v>#VALUE!</v>
      </c>
      <c r="CX7" t="e">
        <f>AND(Sheet1!C87,"AAAAAHPbtWU=")</f>
        <v>#VALUE!</v>
      </c>
      <c r="CY7" t="e">
        <f>AND(Sheet1!D87,"AAAAAHPbtWY=")</f>
        <v>#VALUE!</v>
      </c>
      <c r="CZ7" t="e">
        <f>AND(Sheet1!E87,"AAAAAHPbtWc=")</f>
        <v>#VALUE!</v>
      </c>
      <c r="DA7" t="e">
        <f>AND(Sheet1!F87,"AAAAAHPbtWg=")</f>
        <v>#VALUE!</v>
      </c>
      <c r="DB7" t="e">
        <f>AND(Sheet1!G87,"AAAAAHPbtWk=")</f>
        <v>#VALUE!</v>
      </c>
      <c r="DC7" t="e">
        <f>AND(Sheet1!H87,"AAAAAHPbtWo=")</f>
        <v>#VALUE!</v>
      </c>
      <c r="DD7" t="e">
        <f>AND(Sheet1!I87,"AAAAAHPbtWs=")</f>
        <v>#VALUE!</v>
      </c>
      <c r="DE7" t="e">
        <f>AND(Sheet1!J87,"AAAAAHPbtWw=")</f>
        <v>#VALUE!</v>
      </c>
      <c r="DF7" t="e">
        <f>AND(Sheet1!K87,"AAAAAHPbtW0=")</f>
        <v>#VALUE!</v>
      </c>
      <c r="DG7" t="e">
        <f>AND(Sheet1!L87,"AAAAAHPbtW4=")</f>
        <v>#VALUE!</v>
      </c>
      <c r="DH7" t="e">
        <f>AND(Sheet1!M87,"AAAAAHPbtW8=")</f>
        <v>#VALUE!</v>
      </c>
      <c r="DI7" t="e">
        <f>AND(Sheet1!N87,"AAAAAHPbtXA=")</f>
        <v>#VALUE!</v>
      </c>
      <c r="DJ7" t="e">
        <f>AND(Sheet1!#REF!,"AAAAAHPbtXE=")</f>
        <v>#REF!</v>
      </c>
      <c r="DK7" t="e">
        <f>AND(Sheet1!#REF!,"AAAAAHPbtXI=")</f>
        <v>#REF!</v>
      </c>
      <c r="DL7" t="e">
        <f>AND(Sheet1!#REF!,"AAAAAHPbtXM=")</f>
        <v>#REF!</v>
      </c>
      <c r="DM7" t="e">
        <f>AND(Sheet1!#REF!,"AAAAAHPbtXQ=")</f>
        <v>#REF!</v>
      </c>
      <c r="DN7">
        <f>IF(Sheet1!88:88,"AAAAAHPbtXU=",0)</f>
        <v>0</v>
      </c>
      <c r="DO7" t="e">
        <f>AND(Sheet1!A88,"AAAAAHPbtXY=")</f>
        <v>#VALUE!</v>
      </c>
      <c r="DP7" t="e">
        <f>AND(Sheet1!B88,"AAAAAHPbtXc=")</f>
        <v>#VALUE!</v>
      </c>
      <c r="DQ7" t="e">
        <f>AND(Sheet1!C88,"AAAAAHPbtXg=")</f>
        <v>#VALUE!</v>
      </c>
      <c r="DR7" t="e">
        <f>AND(Sheet1!D88,"AAAAAHPbtXk=")</f>
        <v>#VALUE!</v>
      </c>
      <c r="DS7" t="e">
        <f>AND(Sheet1!E88,"AAAAAHPbtXo=")</f>
        <v>#VALUE!</v>
      </c>
      <c r="DT7" t="e">
        <f>AND(Sheet1!F88,"AAAAAHPbtXs=")</f>
        <v>#VALUE!</v>
      </c>
      <c r="DU7" t="e">
        <f>AND(Sheet1!G88,"AAAAAHPbtXw=")</f>
        <v>#VALUE!</v>
      </c>
      <c r="DV7" t="e">
        <f>AND(Sheet1!H88,"AAAAAHPbtX0=")</f>
        <v>#VALUE!</v>
      </c>
      <c r="DW7" t="e">
        <f>AND(Sheet1!I88,"AAAAAHPbtX4=")</f>
        <v>#VALUE!</v>
      </c>
      <c r="DX7" t="e">
        <f>AND(Sheet1!J88,"AAAAAHPbtX8=")</f>
        <v>#VALUE!</v>
      </c>
      <c r="DY7" t="e">
        <f>AND(Sheet1!K88,"AAAAAHPbtYA=")</f>
        <v>#VALUE!</v>
      </c>
      <c r="DZ7" t="e">
        <f>AND(Sheet1!L88,"AAAAAHPbtYE=")</f>
        <v>#VALUE!</v>
      </c>
      <c r="EA7" t="e">
        <f>AND(Sheet1!M88,"AAAAAHPbtYI=")</f>
        <v>#VALUE!</v>
      </c>
      <c r="EB7" t="e">
        <f>AND(Sheet1!N88,"AAAAAHPbtYM=")</f>
        <v>#VALUE!</v>
      </c>
      <c r="EC7" t="e">
        <f>AND(Sheet1!#REF!,"AAAAAHPbtYQ=")</f>
        <v>#REF!</v>
      </c>
      <c r="ED7" t="e">
        <f>AND(Sheet1!#REF!,"AAAAAHPbtYU=")</f>
        <v>#REF!</v>
      </c>
      <c r="EE7" t="e">
        <f>AND(Sheet1!#REF!,"AAAAAHPbtYY=")</f>
        <v>#REF!</v>
      </c>
      <c r="EF7" t="e">
        <f>AND(Sheet1!#REF!,"AAAAAHPbtYc=")</f>
        <v>#REF!</v>
      </c>
      <c r="EG7">
        <f>IF(Sheet1!89:89,"AAAAAHPbtYg=",0)</f>
        <v>0</v>
      </c>
      <c r="EH7" t="e">
        <f>AND(Sheet1!A89,"AAAAAHPbtYk=")</f>
        <v>#VALUE!</v>
      </c>
      <c r="EI7" t="e">
        <f>AND(Sheet1!B89,"AAAAAHPbtYo=")</f>
        <v>#VALUE!</v>
      </c>
      <c r="EJ7" t="e">
        <f>AND(Sheet1!C89,"AAAAAHPbtYs=")</f>
        <v>#VALUE!</v>
      </c>
      <c r="EK7" t="e">
        <f>AND(Sheet1!D89,"AAAAAHPbtYw=")</f>
        <v>#VALUE!</v>
      </c>
      <c r="EL7" t="e">
        <f>AND(Sheet1!E89,"AAAAAHPbtY0=")</f>
        <v>#VALUE!</v>
      </c>
      <c r="EM7" t="e">
        <f>AND(Sheet1!F89,"AAAAAHPbtY4=")</f>
        <v>#VALUE!</v>
      </c>
      <c r="EN7" t="e">
        <f>AND(Sheet1!G89,"AAAAAHPbtY8=")</f>
        <v>#VALUE!</v>
      </c>
      <c r="EO7" t="e">
        <f>AND(Sheet1!H89,"AAAAAHPbtZA=")</f>
        <v>#VALUE!</v>
      </c>
      <c r="EP7" t="e">
        <f>AND(Sheet1!I89,"AAAAAHPbtZE=")</f>
        <v>#VALUE!</v>
      </c>
      <c r="EQ7" t="e">
        <f>AND(Sheet1!J89,"AAAAAHPbtZI=")</f>
        <v>#VALUE!</v>
      </c>
      <c r="ER7" t="e">
        <f>AND(Sheet1!K89,"AAAAAHPbtZM=")</f>
        <v>#VALUE!</v>
      </c>
      <c r="ES7" t="e">
        <f>AND(Sheet1!L89,"AAAAAHPbtZQ=")</f>
        <v>#VALUE!</v>
      </c>
      <c r="ET7" t="e">
        <f>AND(Sheet1!M89,"AAAAAHPbtZU=")</f>
        <v>#VALUE!</v>
      </c>
      <c r="EU7" t="e">
        <f>AND(Sheet1!N89,"AAAAAHPbtZY=")</f>
        <v>#VALUE!</v>
      </c>
      <c r="EV7" t="e">
        <f>AND(Sheet1!#REF!,"AAAAAHPbtZc=")</f>
        <v>#REF!</v>
      </c>
      <c r="EW7" t="e">
        <f>AND(Sheet1!#REF!,"AAAAAHPbtZg=")</f>
        <v>#REF!</v>
      </c>
      <c r="EX7" t="e">
        <f>AND(Sheet1!#REF!,"AAAAAHPbtZk=")</f>
        <v>#REF!</v>
      </c>
      <c r="EY7" t="e">
        <f>AND(Sheet1!#REF!,"AAAAAHPbtZo=")</f>
        <v>#REF!</v>
      </c>
      <c r="EZ7">
        <f>IF(Sheet1!90:90,"AAAAAHPbtZs=",0)</f>
        <v>0</v>
      </c>
      <c r="FA7" t="e">
        <f>AND(Sheet1!A90,"AAAAAHPbtZw=")</f>
        <v>#VALUE!</v>
      </c>
      <c r="FB7" t="e">
        <f>AND(Sheet1!B90,"AAAAAHPbtZ0=")</f>
        <v>#VALUE!</v>
      </c>
      <c r="FC7" t="e">
        <f>AND(Sheet1!C90,"AAAAAHPbtZ4=")</f>
        <v>#VALUE!</v>
      </c>
      <c r="FD7" t="e">
        <f>AND(Sheet1!D90,"AAAAAHPbtZ8=")</f>
        <v>#VALUE!</v>
      </c>
      <c r="FE7" t="e">
        <f>AND(Sheet1!E90,"AAAAAHPbtaA=")</f>
        <v>#VALUE!</v>
      </c>
      <c r="FF7" t="e">
        <f>AND(Sheet1!F90,"AAAAAHPbtaE=")</f>
        <v>#VALUE!</v>
      </c>
      <c r="FG7" t="e">
        <f>AND(Sheet1!G90,"AAAAAHPbtaI=")</f>
        <v>#VALUE!</v>
      </c>
      <c r="FH7" t="e">
        <f>AND(Sheet1!H90,"AAAAAHPbtaM=")</f>
        <v>#VALUE!</v>
      </c>
      <c r="FI7" t="e">
        <f>AND(Sheet1!I90,"AAAAAHPbtaQ=")</f>
        <v>#VALUE!</v>
      </c>
      <c r="FJ7" t="e">
        <f>AND(Sheet1!J90,"AAAAAHPbtaU=")</f>
        <v>#VALUE!</v>
      </c>
      <c r="FK7" t="e">
        <f>AND(Sheet1!K90,"AAAAAHPbtaY=")</f>
        <v>#VALUE!</v>
      </c>
      <c r="FL7" t="e">
        <f>AND(Sheet1!L90,"AAAAAHPbtac=")</f>
        <v>#VALUE!</v>
      </c>
      <c r="FM7" t="e">
        <f>AND(Sheet1!M90,"AAAAAHPbtag=")</f>
        <v>#VALUE!</v>
      </c>
      <c r="FN7" t="e">
        <f>AND(Sheet1!N90,"AAAAAHPbtak=")</f>
        <v>#VALUE!</v>
      </c>
      <c r="FO7" t="e">
        <f>AND(Sheet1!#REF!,"AAAAAHPbtao=")</f>
        <v>#REF!</v>
      </c>
      <c r="FP7" t="e">
        <f>AND(Sheet1!#REF!,"AAAAAHPbtas=")</f>
        <v>#REF!</v>
      </c>
      <c r="FQ7" t="e">
        <f>AND(Sheet1!#REF!,"AAAAAHPbtaw=")</f>
        <v>#REF!</v>
      </c>
      <c r="FR7" t="e">
        <f>AND(Sheet1!#REF!,"AAAAAHPbta0=")</f>
        <v>#REF!</v>
      </c>
      <c r="FS7">
        <f>IF(Sheet1!91:91,"AAAAAHPbta4=",0)</f>
        <v>0</v>
      </c>
      <c r="FT7" t="e">
        <f>AND(Sheet1!A91,"AAAAAHPbta8=")</f>
        <v>#VALUE!</v>
      </c>
      <c r="FU7" t="e">
        <f>AND(Sheet1!B91,"AAAAAHPbtbA=")</f>
        <v>#VALUE!</v>
      </c>
      <c r="FV7" t="e">
        <f>AND(Sheet1!C91,"AAAAAHPbtbE=")</f>
        <v>#VALUE!</v>
      </c>
      <c r="FW7" t="e">
        <f>AND(Sheet1!D91,"AAAAAHPbtbI=")</f>
        <v>#VALUE!</v>
      </c>
      <c r="FX7" t="e">
        <f>AND(Sheet1!E91,"AAAAAHPbtbM=")</f>
        <v>#VALUE!</v>
      </c>
      <c r="FY7" t="e">
        <f>AND(Sheet1!F91,"AAAAAHPbtbQ=")</f>
        <v>#VALUE!</v>
      </c>
      <c r="FZ7" t="e">
        <f>AND(Sheet1!G91,"AAAAAHPbtbU=")</f>
        <v>#VALUE!</v>
      </c>
      <c r="GA7" t="e">
        <f>AND(Sheet1!H91,"AAAAAHPbtbY=")</f>
        <v>#VALUE!</v>
      </c>
      <c r="GB7" t="e">
        <f>AND(Sheet1!I91,"AAAAAHPbtbc=")</f>
        <v>#VALUE!</v>
      </c>
      <c r="GC7" t="e">
        <f>AND(Sheet1!J91,"AAAAAHPbtbg=")</f>
        <v>#VALUE!</v>
      </c>
      <c r="GD7" t="e">
        <f>AND(Sheet1!K91,"AAAAAHPbtbk=")</f>
        <v>#VALUE!</v>
      </c>
      <c r="GE7" t="e">
        <f>AND(Sheet1!L91,"AAAAAHPbtbo=")</f>
        <v>#VALUE!</v>
      </c>
      <c r="GF7" t="e">
        <f>AND(Sheet1!M91,"AAAAAHPbtbs=")</f>
        <v>#VALUE!</v>
      </c>
      <c r="GG7" t="e">
        <f>AND(Sheet1!N91,"AAAAAHPbtbw=")</f>
        <v>#VALUE!</v>
      </c>
      <c r="GH7" t="e">
        <f>AND(Sheet1!#REF!,"AAAAAHPbtb0=")</f>
        <v>#REF!</v>
      </c>
      <c r="GI7" t="e">
        <f>AND(Sheet1!#REF!,"AAAAAHPbtb4=")</f>
        <v>#REF!</v>
      </c>
      <c r="GJ7" t="e">
        <f>AND(Sheet1!#REF!,"AAAAAHPbtb8=")</f>
        <v>#REF!</v>
      </c>
      <c r="GK7" t="e">
        <f>AND(Sheet1!#REF!,"AAAAAHPbtcA=")</f>
        <v>#REF!</v>
      </c>
      <c r="GL7">
        <f>IF(Sheet1!92:92,"AAAAAHPbtcE=",0)</f>
        <v>0</v>
      </c>
      <c r="GM7" t="e">
        <f>AND(Sheet1!A92,"AAAAAHPbtcI=")</f>
        <v>#VALUE!</v>
      </c>
      <c r="GN7" t="e">
        <f>AND(Sheet1!B92,"AAAAAHPbtcM=")</f>
        <v>#VALUE!</v>
      </c>
      <c r="GO7" t="e">
        <f>AND(Sheet1!C92,"AAAAAHPbtcQ=")</f>
        <v>#VALUE!</v>
      </c>
      <c r="GP7" t="e">
        <f>AND(Sheet1!D92,"AAAAAHPbtcU=")</f>
        <v>#VALUE!</v>
      </c>
      <c r="GQ7" t="e">
        <f>AND(Sheet1!E92,"AAAAAHPbtcY=")</f>
        <v>#VALUE!</v>
      </c>
      <c r="GR7" t="e">
        <f>AND(Sheet1!F92,"AAAAAHPbtcc=")</f>
        <v>#VALUE!</v>
      </c>
      <c r="GS7" t="e">
        <f>AND(Sheet1!G92,"AAAAAHPbtcg=")</f>
        <v>#VALUE!</v>
      </c>
      <c r="GT7" t="e">
        <f>AND(Sheet1!H92,"AAAAAHPbtck=")</f>
        <v>#VALUE!</v>
      </c>
      <c r="GU7" t="e">
        <f>AND(Sheet1!I92,"AAAAAHPbtco=")</f>
        <v>#VALUE!</v>
      </c>
      <c r="GV7" t="e">
        <f>AND(Sheet1!J92,"AAAAAHPbtcs=")</f>
        <v>#VALUE!</v>
      </c>
      <c r="GW7" t="e">
        <f>AND(Sheet1!K92,"AAAAAHPbtcw=")</f>
        <v>#VALUE!</v>
      </c>
      <c r="GX7" t="e">
        <f>AND(Sheet1!L92,"AAAAAHPbtc0=")</f>
        <v>#VALUE!</v>
      </c>
      <c r="GY7" t="e">
        <f>AND(Sheet1!M92,"AAAAAHPbtc4=")</f>
        <v>#VALUE!</v>
      </c>
      <c r="GZ7" t="e">
        <f>AND(Sheet1!N92,"AAAAAHPbtc8=")</f>
        <v>#VALUE!</v>
      </c>
      <c r="HA7" t="e">
        <f>AND(Sheet1!#REF!,"AAAAAHPbtdA=")</f>
        <v>#REF!</v>
      </c>
      <c r="HB7" t="e">
        <f>AND(Sheet1!#REF!,"AAAAAHPbtdE=")</f>
        <v>#REF!</v>
      </c>
      <c r="HC7" t="e">
        <f>AND(Sheet1!#REF!,"AAAAAHPbtdI=")</f>
        <v>#REF!</v>
      </c>
      <c r="HD7" t="e">
        <f>AND(Sheet1!#REF!,"AAAAAHPbtdM=")</f>
        <v>#REF!</v>
      </c>
      <c r="HE7">
        <f>IF(Sheet1!93:93,"AAAAAHPbtdQ=",0)</f>
        <v>0</v>
      </c>
      <c r="HF7" t="e">
        <f>AND(Sheet1!A93,"AAAAAHPbtdU=")</f>
        <v>#VALUE!</v>
      </c>
      <c r="HG7" t="e">
        <f>AND(Sheet1!B93,"AAAAAHPbtdY=")</f>
        <v>#VALUE!</v>
      </c>
      <c r="HH7" t="e">
        <f>AND(Sheet1!C93,"AAAAAHPbtdc=")</f>
        <v>#VALUE!</v>
      </c>
      <c r="HI7" t="e">
        <f>AND(Sheet1!D93,"AAAAAHPbtdg=")</f>
        <v>#VALUE!</v>
      </c>
      <c r="HJ7" t="e">
        <f>AND(Sheet1!E93,"AAAAAHPbtdk=")</f>
        <v>#VALUE!</v>
      </c>
      <c r="HK7" t="e">
        <f>AND(Sheet1!F93,"AAAAAHPbtdo=")</f>
        <v>#VALUE!</v>
      </c>
      <c r="HL7" t="e">
        <f>AND(Sheet1!G93,"AAAAAHPbtds=")</f>
        <v>#VALUE!</v>
      </c>
      <c r="HM7" t="e">
        <f>AND(Sheet1!H93,"AAAAAHPbtdw=")</f>
        <v>#VALUE!</v>
      </c>
      <c r="HN7" t="e">
        <f>AND(Sheet1!I93,"AAAAAHPbtd0=")</f>
        <v>#VALUE!</v>
      </c>
      <c r="HO7" t="e">
        <f>AND(Sheet1!J93,"AAAAAHPbtd4=")</f>
        <v>#VALUE!</v>
      </c>
      <c r="HP7" t="e">
        <f>AND(Sheet1!K93,"AAAAAHPbtd8=")</f>
        <v>#VALUE!</v>
      </c>
      <c r="HQ7" t="e">
        <f>AND(Sheet1!L93,"AAAAAHPbteA=")</f>
        <v>#VALUE!</v>
      </c>
      <c r="HR7" t="e">
        <f>AND(Sheet1!M93,"AAAAAHPbteE=")</f>
        <v>#VALUE!</v>
      </c>
      <c r="HS7" t="e">
        <f>AND(Sheet1!N93,"AAAAAHPbteI=")</f>
        <v>#VALUE!</v>
      </c>
      <c r="HT7" t="e">
        <f>AND(Sheet1!#REF!,"AAAAAHPbteM=")</f>
        <v>#REF!</v>
      </c>
      <c r="HU7" t="e">
        <f>AND(Sheet1!#REF!,"AAAAAHPbteQ=")</f>
        <v>#REF!</v>
      </c>
      <c r="HV7" t="e">
        <f>AND(Sheet1!#REF!,"AAAAAHPbteU=")</f>
        <v>#REF!</v>
      </c>
      <c r="HW7" t="e">
        <f>AND(Sheet1!#REF!,"AAAAAHPbteY=")</f>
        <v>#REF!</v>
      </c>
      <c r="HX7">
        <f>IF(Sheet1!94:94,"AAAAAHPbtec=",0)</f>
        <v>0</v>
      </c>
      <c r="HY7" t="e">
        <f>AND(Sheet1!A94,"AAAAAHPbteg=")</f>
        <v>#VALUE!</v>
      </c>
      <c r="HZ7" t="e">
        <f>AND(Sheet1!B94,"AAAAAHPbtek=")</f>
        <v>#VALUE!</v>
      </c>
      <c r="IA7" t="e">
        <f>AND(Sheet1!C94,"AAAAAHPbteo=")</f>
        <v>#VALUE!</v>
      </c>
      <c r="IB7" t="e">
        <f>AND(Sheet1!D94,"AAAAAHPbtes=")</f>
        <v>#VALUE!</v>
      </c>
      <c r="IC7" t="e">
        <f>AND(Sheet1!E94,"AAAAAHPbtew=")</f>
        <v>#VALUE!</v>
      </c>
      <c r="ID7" t="e">
        <f>AND(Sheet1!F94,"AAAAAHPbte0=")</f>
        <v>#VALUE!</v>
      </c>
      <c r="IE7" t="e">
        <f>AND(Sheet1!G94,"AAAAAHPbte4=")</f>
        <v>#VALUE!</v>
      </c>
      <c r="IF7" t="e">
        <f>AND(Sheet1!H94,"AAAAAHPbte8=")</f>
        <v>#VALUE!</v>
      </c>
      <c r="IG7" t="e">
        <f>AND(Sheet1!I94,"AAAAAHPbtfA=")</f>
        <v>#VALUE!</v>
      </c>
      <c r="IH7" t="e">
        <f>AND(Sheet1!J94,"AAAAAHPbtfE=")</f>
        <v>#VALUE!</v>
      </c>
      <c r="II7" t="e">
        <f>AND(Sheet1!K94,"AAAAAHPbtfI=")</f>
        <v>#VALUE!</v>
      </c>
      <c r="IJ7" t="e">
        <f>AND(Sheet1!L94,"AAAAAHPbtfM=")</f>
        <v>#VALUE!</v>
      </c>
      <c r="IK7" t="e">
        <f>AND(Sheet1!M94,"AAAAAHPbtfQ=")</f>
        <v>#VALUE!</v>
      </c>
      <c r="IL7" t="e">
        <f>AND(Sheet1!N94,"AAAAAHPbtfU=")</f>
        <v>#VALUE!</v>
      </c>
      <c r="IM7" t="e">
        <f>AND(Sheet1!#REF!,"AAAAAHPbtfY=")</f>
        <v>#REF!</v>
      </c>
      <c r="IN7" t="e">
        <f>AND(Sheet1!#REF!,"AAAAAHPbtfc=")</f>
        <v>#REF!</v>
      </c>
      <c r="IO7" t="e">
        <f>AND(Sheet1!#REF!,"AAAAAHPbtfg=")</f>
        <v>#REF!</v>
      </c>
      <c r="IP7" t="e">
        <f>AND(Sheet1!#REF!,"AAAAAHPbtfk=")</f>
        <v>#REF!</v>
      </c>
      <c r="IQ7">
        <f>IF(Sheet1!95:95,"AAAAAHPbtfo=",0)</f>
        <v>0</v>
      </c>
      <c r="IR7" t="e">
        <f>AND(Sheet1!A95,"AAAAAHPbtfs=")</f>
        <v>#VALUE!</v>
      </c>
      <c r="IS7" t="e">
        <f>AND(Sheet1!B95,"AAAAAHPbtfw=")</f>
        <v>#VALUE!</v>
      </c>
      <c r="IT7" t="e">
        <f>AND(Sheet1!C95,"AAAAAHPbtf0=")</f>
        <v>#VALUE!</v>
      </c>
      <c r="IU7" t="e">
        <f>AND(Sheet1!D95,"AAAAAHPbtf4=")</f>
        <v>#VALUE!</v>
      </c>
      <c r="IV7" t="e">
        <f>AND(Sheet1!E95,"AAAAAHPbtf8=")</f>
        <v>#VALUE!</v>
      </c>
    </row>
    <row r="8" spans="1:256" x14ac:dyDescent="0.2">
      <c r="A8" t="e">
        <f>AND(Sheet1!F95,"AAAAAHrH/QA=")</f>
        <v>#VALUE!</v>
      </c>
      <c r="B8" t="e">
        <f>AND(Sheet1!G95,"AAAAAHrH/QE=")</f>
        <v>#VALUE!</v>
      </c>
      <c r="C8" t="e">
        <f>AND(Sheet1!H95,"AAAAAHrH/QI=")</f>
        <v>#VALUE!</v>
      </c>
      <c r="D8" t="e">
        <f>AND(Sheet1!I95,"AAAAAHrH/QM=")</f>
        <v>#VALUE!</v>
      </c>
      <c r="E8" t="e">
        <f>AND(Sheet1!J95,"AAAAAHrH/QQ=")</f>
        <v>#VALUE!</v>
      </c>
      <c r="F8" t="e">
        <f>AND(Sheet1!K95,"AAAAAHrH/QU=")</f>
        <v>#VALUE!</v>
      </c>
      <c r="G8" t="e">
        <f>AND(Sheet1!L95,"AAAAAHrH/QY=")</f>
        <v>#VALUE!</v>
      </c>
      <c r="H8" t="e">
        <f>AND(Sheet1!M95,"AAAAAHrH/Qc=")</f>
        <v>#VALUE!</v>
      </c>
      <c r="I8" t="e">
        <f>AND(Sheet1!N95,"AAAAAHrH/Qg=")</f>
        <v>#VALUE!</v>
      </c>
      <c r="J8" t="e">
        <f>AND(Sheet1!#REF!,"AAAAAHrH/Qk=")</f>
        <v>#REF!</v>
      </c>
      <c r="K8" t="e">
        <f>AND(Sheet1!#REF!,"AAAAAHrH/Qo=")</f>
        <v>#REF!</v>
      </c>
      <c r="L8" t="e">
        <f>AND(Sheet1!#REF!,"AAAAAHrH/Qs=")</f>
        <v>#REF!</v>
      </c>
      <c r="M8" t="e">
        <f>AND(Sheet1!#REF!,"AAAAAHrH/Qw=")</f>
        <v>#REF!</v>
      </c>
      <c r="N8" t="e">
        <f>IF(Sheet1!96:96,"AAAAAHrH/Q0=",0)</f>
        <v>#VALUE!</v>
      </c>
      <c r="O8" t="e">
        <f>AND(Sheet1!A96,"AAAAAHrH/Q4=")</f>
        <v>#VALUE!</v>
      </c>
      <c r="P8" t="e">
        <f>AND(Sheet1!B96,"AAAAAHrH/Q8=")</f>
        <v>#VALUE!</v>
      </c>
      <c r="Q8" t="e">
        <f>AND(Sheet1!C96,"AAAAAHrH/RA=")</f>
        <v>#VALUE!</v>
      </c>
      <c r="R8" t="e">
        <f>AND(Sheet1!D96,"AAAAAHrH/RE=")</f>
        <v>#VALUE!</v>
      </c>
      <c r="S8" t="e">
        <f>AND(Sheet1!E96,"AAAAAHrH/RI=")</f>
        <v>#VALUE!</v>
      </c>
      <c r="T8" t="e">
        <f>AND(Sheet1!F96,"AAAAAHrH/RM=")</f>
        <v>#VALUE!</v>
      </c>
      <c r="U8" t="e">
        <f>AND(Sheet1!G96,"AAAAAHrH/RQ=")</f>
        <v>#VALUE!</v>
      </c>
      <c r="V8" t="e">
        <f>AND(Sheet1!H96,"AAAAAHrH/RU=")</f>
        <v>#VALUE!</v>
      </c>
      <c r="W8" t="e">
        <f>AND(Sheet1!I96,"AAAAAHrH/RY=")</f>
        <v>#VALUE!</v>
      </c>
      <c r="X8" t="e">
        <f>AND(Sheet1!J96,"AAAAAHrH/Rc=")</f>
        <v>#VALUE!</v>
      </c>
      <c r="Y8" t="e">
        <f>AND(Sheet1!K96,"AAAAAHrH/Rg=")</f>
        <v>#VALUE!</v>
      </c>
      <c r="Z8" t="e">
        <f>AND(Sheet1!L96,"AAAAAHrH/Rk=")</f>
        <v>#VALUE!</v>
      </c>
      <c r="AA8" t="e">
        <f>AND(Sheet1!M96,"AAAAAHrH/Ro=")</f>
        <v>#VALUE!</v>
      </c>
      <c r="AB8" t="e">
        <f>AND(Sheet1!N96,"AAAAAHrH/Rs=")</f>
        <v>#VALUE!</v>
      </c>
      <c r="AC8" t="e">
        <f>AND(Sheet1!#REF!,"AAAAAHrH/Rw=")</f>
        <v>#REF!</v>
      </c>
      <c r="AD8" t="e">
        <f>AND(Sheet1!#REF!,"AAAAAHrH/R0=")</f>
        <v>#REF!</v>
      </c>
      <c r="AE8" t="e">
        <f>AND(Sheet1!#REF!,"AAAAAHrH/R4=")</f>
        <v>#REF!</v>
      </c>
      <c r="AF8" t="e">
        <f>AND(Sheet1!#REF!,"AAAAAHrH/R8=")</f>
        <v>#REF!</v>
      </c>
      <c r="AG8">
        <f>IF(Sheet1!97:97,"AAAAAHrH/SA=",0)</f>
        <v>0</v>
      </c>
      <c r="AH8" t="e">
        <f>AND(Sheet1!A97,"AAAAAHrH/SE=")</f>
        <v>#VALUE!</v>
      </c>
      <c r="AI8" t="e">
        <f>AND(Sheet1!B97,"AAAAAHrH/SI=")</f>
        <v>#VALUE!</v>
      </c>
      <c r="AJ8" t="e">
        <f>AND(Sheet1!C97,"AAAAAHrH/SM=")</f>
        <v>#VALUE!</v>
      </c>
      <c r="AK8" t="e">
        <f>AND(Sheet1!D97,"AAAAAHrH/SQ=")</f>
        <v>#VALUE!</v>
      </c>
      <c r="AL8" t="e">
        <f>AND(Sheet1!E97,"AAAAAHrH/SU=")</f>
        <v>#VALUE!</v>
      </c>
      <c r="AM8" t="e">
        <f>AND(Sheet1!F97,"AAAAAHrH/SY=")</f>
        <v>#VALUE!</v>
      </c>
      <c r="AN8" t="e">
        <f>AND(Sheet1!G97,"AAAAAHrH/Sc=")</f>
        <v>#VALUE!</v>
      </c>
      <c r="AO8" t="e">
        <f>AND(Sheet1!H97,"AAAAAHrH/Sg=")</f>
        <v>#VALUE!</v>
      </c>
      <c r="AP8" t="e">
        <f>AND(Sheet1!I97,"AAAAAHrH/Sk=")</f>
        <v>#VALUE!</v>
      </c>
      <c r="AQ8" t="e">
        <f>AND(Sheet1!J97,"AAAAAHrH/So=")</f>
        <v>#VALUE!</v>
      </c>
      <c r="AR8" t="e">
        <f>AND(Sheet1!K97,"AAAAAHrH/Ss=")</f>
        <v>#VALUE!</v>
      </c>
      <c r="AS8" t="e">
        <f>AND(Sheet1!L97,"AAAAAHrH/Sw=")</f>
        <v>#VALUE!</v>
      </c>
      <c r="AT8" t="e">
        <f>AND(Sheet1!M97,"AAAAAHrH/S0=")</f>
        <v>#VALUE!</v>
      </c>
      <c r="AU8" t="e">
        <f>AND(Sheet1!N97,"AAAAAHrH/S4=")</f>
        <v>#VALUE!</v>
      </c>
      <c r="AV8" t="e">
        <f>AND(Sheet1!#REF!,"AAAAAHrH/S8=")</f>
        <v>#REF!</v>
      </c>
      <c r="AW8" t="e">
        <f>AND(Sheet1!#REF!,"AAAAAHrH/TA=")</f>
        <v>#REF!</v>
      </c>
      <c r="AX8" t="e">
        <f>AND(Sheet1!#REF!,"AAAAAHrH/TE=")</f>
        <v>#REF!</v>
      </c>
      <c r="AY8" t="e">
        <f>AND(Sheet1!#REF!,"AAAAAHrH/TI=")</f>
        <v>#REF!</v>
      </c>
      <c r="AZ8">
        <f>IF(Sheet1!98:98,"AAAAAHrH/TM=",0)</f>
        <v>0</v>
      </c>
      <c r="BA8" t="e">
        <f>AND(Sheet1!A98,"AAAAAHrH/TQ=")</f>
        <v>#VALUE!</v>
      </c>
      <c r="BB8" t="e">
        <f>AND(Sheet1!B98,"AAAAAHrH/TU=")</f>
        <v>#VALUE!</v>
      </c>
      <c r="BC8" t="e">
        <f>AND(Sheet1!C98,"AAAAAHrH/TY=")</f>
        <v>#VALUE!</v>
      </c>
      <c r="BD8" t="e">
        <f>AND(Sheet1!D98,"AAAAAHrH/Tc=")</f>
        <v>#VALUE!</v>
      </c>
      <c r="BE8" t="e">
        <f>AND(Sheet1!E98,"AAAAAHrH/Tg=")</f>
        <v>#VALUE!</v>
      </c>
      <c r="BF8" t="e">
        <f>AND(Sheet1!F98,"AAAAAHrH/Tk=")</f>
        <v>#VALUE!</v>
      </c>
      <c r="BG8" t="e">
        <f>AND(Sheet1!G98,"AAAAAHrH/To=")</f>
        <v>#VALUE!</v>
      </c>
      <c r="BH8" t="e">
        <f>AND(Sheet1!H98,"AAAAAHrH/Ts=")</f>
        <v>#VALUE!</v>
      </c>
      <c r="BI8" t="e">
        <f>AND(Sheet1!I98,"AAAAAHrH/Tw=")</f>
        <v>#VALUE!</v>
      </c>
      <c r="BJ8" t="e">
        <f>AND(Sheet1!J98,"AAAAAHrH/T0=")</f>
        <v>#VALUE!</v>
      </c>
      <c r="BK8" t="e">
        <f>AND(Sheet1!K98,"AAAAAHrH/T4=")</f>
        <v>#VALUE!</v>
      </c>
      <c r="BL8" t="e">
        <f>AND(Sheet1!L98,"AAAAAHrH/T8=")</f>
        <v>#VALUE!</v>
      </c>
      <c r="BM8" t="e">
        <f>AND(Sheet1!M98,"AAAAAHrH/UA=")</f>
        <v>#VALUE!</v>
      </c>
      <c r="BN8" t="e">
        <f>AND(Sheet1!N98,"AAAAAHrH/UE=")</f>
        <v>#VALUE!</v>
      </c>
      <c r="BO8" t="e">
        <f>AND(Sheet1!#REF!,"AAAAAHrH/UI=")</f>
        <v>#REF!</v>
      </c>
      <c r="BP8" t="e">
        <f>AND(Sheet1!#REF!,"AAAAAHrH/UM=")</f>
        <v>#REF!</v>
      </c>
      <c r="BQ8" t="e">
        <f>AND(Sheet1!#REF!,"AAAAAHrH/UQ=")</f>
        <v>#REF!</v>
      </c>
      <c r="BR8" t="e">
        <f>AND(Sheet1!#REF!,"AAAAAHrH/UU=")</f>
        <v>#REF!</v>
      </c>
      <c r="BS8">
        <f>IF(Sheet1!99:99,"AAAAAHrH/UY=",0)</f>
        <v>0</v>
      </c>
      <c r="BT8" t="e">
        <f>AND(Sheet1!A99,"AAAAAHrH/Uc=")</f>
        <v>#VALUE!</v>
      </c>
      <c r="BU8" t="e">
        <f>AND(Sheet1!B99,"AAAAAHrH/Ug=")</f>
        <v>#VALUE!</v>
      </c>
      <c r="BV8" t="e">
        <f>AND(Sheet1!C99,"AAAAAHrH/Uk=")</f>
        <v>#VALUE!</v>
      </c>
      <c r="BW8" t="e">
        <f>AND(Sheet1!D99,"AAAAAHrH/Uo=")</f>
        <v>#VALUE!</v>
      </c>
      <c r="BX8" t="e">
        <f>AND(Sheet1!E99,"AAAAAHrH/Us=")</f>
        <v>#VALUE!</v>
      </c>
      <c r="BY8" t="e">
        <f>AND(Sheet1!F99,"AAAAAHrH/Uw=")</f>
        <v>#VALUE!</v>
      </c>
      <c r="BZ8" t="e">
        <f>AND(Sheet1!G99,"AAAAAHrH/U0=")</f>
        <v>#VALUE!</v>
      </c>
      <c r="CA8" t="e">
        <f>AND(Sheet1!H99,"AAAAAHrH/U4=")</f>
        <v>#VALUE!</v>
      </c>
      <c r="CB8" t="e">
        <f>AND(Sheet1!I99,"AAAAAHrH/U8=")</f>
        <v>#VALUE!</v>
      </c>
      <c r="CC8" t="e">
        <f>AND(Sheet1!J99,"AAAAAHrH/VA=")</f>
        <v>#VALUE!</v>
      </c>
      <c r="CD8" t="e">
        <f>AND(Sheet1!K99,"AAAAAHrH/VE=")</f>
        <v>#VALUE!</v>
      </c>
      <c r="CE8" t="e">
        <f>AND(Sheet1!L99,"AAAAAHrH/VI=")</f>
        <v>#VALUE!</v>
      </c>
      <c r="CF8" t="e">
        <f>AND(Sheet1!M99,"AAAAAHrH/VM=")</f>
        <v>#VALUE!</v>
      </c>
      <c r="CG8" t="e">
        <f>AND(Sheet1!N99,"AAAAAHrH/VQ=")</f>
        <v>#VALUE!</v>
      </c>
      <c r="CH8" t="e">
        <f>AND(Sheet1!#REF!,"AAAAAHrH/VU=")</f>
        <v>#REF!</v>
      </c>
      <c r="CI8" t="e">
        <f>AND(Sheet1!#REF!,"AAAAAHrH/VY=")</f>
        <v>#REF!</v>
      </c>
      <c r="CJ8" t="e">
        <f>AND(Sheet1!#REF!,"AAAAAHrH/Vc=")</f>
        <v>#REF!</v>
      </c>
      <c r="CK8" t="e">
        <f>AND(Sheet1!#REF!,"AAAAAHrH/Vg=")</f>
        <v>#REF!</v>
      </c>
      <c r="CL8">
        <f>IF(Sheet1!100:100,"AAAAAHrH/Vk=",0)</f>
        <v>0</v>
      </c>
      <c r="CM8" t="e">
        <f>AND(Sheet1!A100,"AAAAAHrH/Vo=")</f>
        <v>#VALUE!</v>
      </c>
      <c r="CN8" t="e">
        <f>AND(Sheet1!B100,"AAAAAHrH/Vs=")</f>
        <v>#VALUE!</v>
      </c>
      <c r="CO8" t="e">
        <f>AND(Sheet1!C100,"AAAAAHrH/Vw=")</f>
        <v>#VALUE!</v>
      </c>
      <c r="CP8" t="e">
        <f>AND(Sheet1!D100,"AAAAAHrH/V0=")</f>
        <v>#VALUE!</v>
      </c>
      <c r="CQ8" t="e">
        <f>AND(Sheet1!E100,"AAAAAHrH/V4=")</f>
        <v>#VALUE!</v>
      </c>
      <c r="CR8" t="e">
        <f>AND(Sheet1!F100,"AAAAAHrH/V8=")</f>
        <v>#VALUE!</v>
      </c>
      <c r="CS8" t="e">
        <f>AND(Sheet1!G100,"AAAAAHrH/WA=")</f>
        <v>#VALUE!</v>
      </c>
      <c r="CT8" t="e">
        <f>AND(Sheet1!H100,"AAAAAHrH/WE=")</f>
        <v>#VALUE!</v>
      </c>
      <c r="CU8" t="e">
        <f>AND(Sheet1!I100,"AAAAAHrH/WI=")</f>
        <v>#VALUE!</v>
      </c>
      <c r="CV8" t="e">
        <f>AND(Sheet1!J100,"AAAAAHrH/WM=")</f>
        <v>#VALUE!</v>
      </c>
      <c r="CW8" t="e">
        <f>AND(Sheet1!K100,"AAAAAHrH/WQ=")</f>
        <v>#VALUE!</v>
      </c>
      <c r="CX8" t="e">
        <f>AND(Sheet1!L100,"AAAAAHrH/WU=")</f>
        <v>#VALUE!</v>
      </c>
      <c r="CY8" t="e">
        <f>AND(Sheet1!M100,"AAAAAHrH/WY=")</f>
        <v>#VALUE!</v>
      </c>
      <c r="CZ8" t="e">
        <f>AND(Sheet1!N100,"AAAAAHrH/Wc=")</f>
        <v>#VALUE!</v>
      </c>
      <c r="DA8" t="e">
        <f>AND(Sheet1!#REF!,"AAAAAHrH/Wg=")</f>
        <v>#REF!</v>
      </c>
      <c r="DB8" t="e">
        <f>AND(Sheet1!#REF!,"AAAAAHrH/Wk=")</f>
        <v>#REF!</v>
      </c>
      <c r="DC8" t="e">
        <f>AND(Sheet1!#REF!,"AAAAAHrH/Wo=")</f>
        <v>#REF!</v>
      </c>
      <c r="DD8" t="e">
        <f>AND(Sheet1!#REF!,"AAAAAHrH/Ws=")</f>
        <v>#REF!</v>
      </c>
      <c r="DE8">
        <f>IF(Sheet1!101:101,"AAAAAHrH/Ww=",0)</f>
        <v>0</v>
      </c>
      <c r="DF8" t="e">
        <f>AND(Sheet1!A101,"AAAAAHrH/W0=")</f>
        <v>#VALUE!</v>
      </c>
      <c r="DG8" t="e">
        <f>AND(Sheet1!B101,"AAAAAHrH/W4=")</f>
        <v>#VALUE!</v>
      </c>
      <c r="DH8" t="e">
        <f>AND(Sheet1!C101,"AAAAAHrH/W8=")</f>
        <v>#VALUE!</v>
      </c>
      <c r="DI8" t="e">
        <f>AND(Sheet1!D101,"AAAAAHrH/XA=")</f>
        <v>#VALUE!</v>
      </c>
      <c r="DJ8" t="e">
        <f>AND(Sheet1!E101,"AAAAAHrH/XE=")</f>
        <v>#VALUE!</v>
      </c>
      <c r="DK8" t="e">
        <f>AND(Sheet1!F101,"AAAAAHrH/XI=")</f>
        <v>#VALUE!</v>
      </c>
      <c r="DL8" t="e">
        <f>AND(Sheet1!G101,"AAAAAHrH/XM=")</f>
        <v>#VALUE!</v>
      </c>
      <c r="DM8" t="e">
        <f>AND(Sheet1!H101,"AAAAAHrH/XQ=")</f>
        <v>#VALUE!</v>
      </c>
      <c r="DN8" t="e">
        <f>AND(Sheet1!I101,"AAAAAHrH/XU=")</f>
        <v>#VALUE!</v>
      </c>
      <c r="DO8" t="e">
        <f>AND(Sheet1!J101,"AAAAAHrH/XY=")</f>
        <v>#VALUE!</v>
      </c>
      <c r="DP8" t="e">
        <f>AND(Sheet1!K101,"AAAAAHrH/Xc=")</f>
        <v>#VALUE!</v>
      </c>
      <c r="DQ8" t="e">
        <f>AND(Sheet1!L101,"AAAAAHrH/Xg=")</f>
        <v>#VALUE!</v>
      </c>
      <c r="DR8" t="e">
        <f>AND(Sheet1!M101,"AAAAAHrH/Xk=")</f>
        <v>#VALUE!</v>
      </c>
      <c r="DS8" t="e">
        <f>AND(Sheet1!N101,"AAAAAHrH/Xo=")</f>
        <v>#VALUE!</v>
      </c>
      <c r="DT8" t="e">
        <f>AND(Sheet1!#REF!,"AAAAAHrH/Xs=")</f>
        <v>#REF!</v>
      </c>
      <c r="DU8" t="e">
        <f>AND(Sheet1!#REF!,"AAAAAHrH/Xw=")</f>
        <v>#REF!</v>
      </c>
      <c r="DV8" t="e">
        <f>AND(Sheet1!#REF!,"AAAAAHrH/X0=")</f>
        <v>#REF!</v>
      </c>
      <c r="DW8" t="e">
        <f>AND(Sheet1!#REF!,"AAAAAHrH/X4=")</f>
        <v>#REF!</v>
      </c>
      <c r="DX8">
        <f>IF(Sheet1!102:102,"AAAAAHrH/X8=",0)</f>
        <v>0</v>
      </c>
      <c r="DY8" t="e">
        <f>AND(Sheet1!A102,"AAAAAHrH/YA=")</f>
        <v>#VALUE!</v>
      </c>
      <c r="DZ8" t="e">
        <f>AND(Sheet1!B102,"AAAAAHrH/YE=")</f>
        <v>#VALUE!</v>
      </c>
      <c r="EA8" t="e">
        <f>AND(Sheet1!C102,"AAAAAHrH/YI=")</f>
        <v>#VALUE!</v>
      </c>
      <c r="EB8" t="e">
        <f>AND(Sheet1!D102,"AAAAAHrH/YM=")</f>
        <v>#VALUE!</v>
      </c>
      <c r="EC8" t="e">
        <f>AND(Sheet1!E102,"AAAAAHrH/YQ=")</f>
        <v>#VALUE!</v>
      </c>
      <c r="ED8" t="e">
        <f>AND(Sheet1!F102,"AAAAAHrH/YU=")</f>
        <v>#VALUE!</v>
      </c>
      <c r="EE8" t="e">
        <f>AND(Sheet1!G102,"AAAAAHrH/YY=")</f>
        <v>#VALUE!</v>
      </c>
      <c r="EF8" t="e">
        <f>AND(Sheet1!H102,"AAAAAHrH/Yc=")</f>
        <v>#VALUE!</v>
      </c>
      <c r="EG8" t="e">
        <f>AND(Sheet1!I102,"AAAAAHrH/Yg=")</f>
        <v>#VALUE!</v>
      </c>
      <c r="EH8" t="e">
        <f>AND(Sheet1!J102,"AAAAAHrH/Yk=")</f>
        <v>#VALUE!</v>
      </c>
      <c r="EI8" t="e">
        <f>AND(Sheet1!K102,"AAAAAHrH/Yo=")</f>
        <v>#VALUE!</v>
      </c>
      <c r="EJ8" t="e">
        <f>AND(Sheet1!L102,"AAAAAHrH/Ys=")</f>
        <v>#VALUE!</v>
      </c>
      <c r="EK8" t="e">
        <f>AND(Sheet1!M102,"AAAAAHrH/Yw=")</f>
        <v>#VALUE!</v>
      </c>
      <c r="EL8" t="e">
        <f>AND(Sheet1!N102,"AAAAAHrH/Y0=")</f>
        <v>#VALUE!</v>
      </c>
      <c r="EM8" t="e">
        <f>AND(Sheet1!#REF!,"AAAAAHrH/Y4=")</f>
        <v>#REF!</v>
      </c>
      <c r="EN8" t="e">
        <f>AND(Sheet1!#REF!,"AAAAAHrH/Y8=")</f>
        <v>#REF!</v>
      </c>
      <c r="EO8" t="e">
        <f>AND(Sheet1!#REF!,"AAAAAHrH/ZA=")</f>
        <v>#REF!</v>
      </c>
      <c r="EP8" t="e">
        <f>AND(Sheet1!#REF!,"AAAAAHrH/ZE=")</f>
        <v>#REF!</v>
      </c>
      <c r="EQ8">
        <f>IF(Sheet1!103:103,"AAAAAHrH/ZI=",0)</f>
        <v>0</v>
      </c>
      <c r="ER8" t="e">
        <f>AND(Sheet1!A103,"AAAAAHrH/ZM=")</f>
        <v>#VALUE!</v>
      </c>
      <c r="ES8" t="e">
        <f>AND(Sheet1!B103,"AAAAAHrH/ZQ=")</f>
        <v>#VALUE!</v>
      </c>
      <c r="ET8" t="e">
        <f>AND(Sheet1!C103,"AAAAAHrH/ZU=")</f>
        <v>#VALUE!</v>
      </c>
      <c r="EU8" t="e">
        <f>AND(Sheet1!D103,"AAAAAHrH/ZY=")</f>
        <v>#VALUE!</v>
      </c>
      <c r="EV8" t="e">
        <f>AND(Sheet1!E103,"AAAAAHrH/Zc=")</f>
        <v>#VALUE!</v>
      </c>
      <c r="EW8" t="e">
        <f>AND(Sheet1!F103,"AAAAAHrH/Zg=")</f>
        <v>#VALUE!</v>
      </c>
      <c r="EX8" t="e">
        <f>AND(Sheet1!G103,"AAAAAHrH/Zk=")</f>
        <v>#VALUE!</v>
      </c>
      <c r="EY8" t="e">
        <f>AND(Sheet1!H103,"AAAAAHrH/Zo=")</f>
        <v>#VALUE!</v>
      </c>
      <c r="EZ8" t="e">
        <f>AND(Sheet1!I103,"AAAAAHrH/Zs=")</f>
        <v>#VALUE!</v>
      </c>
      <c r="FA8" t="e">
        <f>AND(Sheet1!J103,"AAAAAHrH/Zw=")</f>
        <v>#VALUE!</v>
      </c>
      <c r="FB8" t="e">
        <f>AND(Sheet1!K103,"AAAAAHrH/Z0=")</f>
        <v>#VALUE!</v>
      </c>
      <c r="FC8" t="e">
        <f>AND(Sheet1!L103,"AAAAAHrH/Z4=")</f>
        <v>#VALUE!</v>
      </c>
      <c r="FD8" t="e">
        <f>AND(Sheet1!M103,"AAAAAHrH/Z8=")</f>
        <v>#VALUE!</v>
      </c>
      <c r="FE8" t="e">
        <f>AND(Sheet1!N103,"AAAAAHrH/aA=")</f>
        <v>#VALUE!</v>
      </c>
      <c r="FF8" t="e">
        <f>AND(Sheet1!#REF!,"AAAAAHrH/aE=")</f>
        <v>#REF!</v>
      </c>
      <c r="FG8" t="e">
        <f>AND(Sheet1!#REF!,"AAAAAHrH/aI=")</f>
        <v>#REF!</v>
      </c>
      <c r="FH8" t="e">
        <f>AND(Sheet1!#REF!,"AAAAAHrH/aM=")</f>
        <v>#REF!</v>
      </c>
      <c r="FI8" t="e">
        <f>AND(Sheet1!#REF!,"AAAAAHrH/aQ=")</f>
        <v>#REF!</v>
      </c>
      <c r="FJ8">
        <f>IF(Sheet1!104:104,"AAAAAHrH/aU=",0)</f>
        <v>0</v>
      </c>
      <c r="FK8" t="e">
        <f>AND(Sheet1!A104,"AAAAAHrH/aY=")</f>
        <v>#VALUE!</v>
      </c>
      <c r="FL8" t="e">
        <f>AND(Sheet1!B104,"AAAAAHrH/ac=")</f>
        <v>#VALUE!</v>
      </c>
      <c r="FM8" t="e">
        <f>AND(Sheet1!C104,"AAAAAHrH/ag=")</f>
        <v>#VALUE!</v>
      </c>
      <c r="FN8" t="e">
        <f>AND(Sheet1!D104,"AAAAAHrH/ak=")</f>
        <v>#VALUE!</v>
      </c>
      <c r="FO8" t="e">
        <f>AND(Sheet1!E104,"AAAAAHrH/ao=")</f>
        <v>#VALUE!</v>
      </c>
      <c r="FP8" t="e">
        <f>AND(Sheet1!F104,"AAAAAHrH/as=")</f>
        <v>#VALUE!</v>
      </c>
      <c r="FQ8" t="e">
        <f>AND(Sheet1!G104,"AAAAAHrH/aw=")</f>
        <v>#VALUE!</v>
      </c>
      <c r="FR8" t="e">
        <f>AND(Sheet1!H104,"AAAAAHrH/a0=")</f>
        <v>#VALUE!</v>
      </c>
      <c r="FS8" t="e">
        <f>AND(Sheet1!I104,"AAAAAHrH/a4=")</f>
        <v>#VALUE!</v>
      </c>
      <c r="FT8" t="e">
        <f>AND(Sheet1!J104,"AAAAAHrH/a8=")</f>
        <v>#VALUE!</v>
      </c>
      <c r="FU8" t="e">
        <f>AND(Sheet1!K104,"AAAAAHrH/bA=")</f>
        <v>#VALUE!</v>
      </c>
      <c r="FV8" t="e">
        <f>AND(Sheet1!L104,"AAAAAHrH/bE=")</f>
        <v>#VALUE!</v>
      </c>
      <c r="FW8" t="e">
        <f>AND(Sheet1!M104,"AAAAAHrH/bI=")</f>
        <v>#VALUE!</v>
      </c>
      <c r="FX8" t="e">
        <f>AND(Sheet1!N104,"AAAAAHrH/bM=")</f>
        <v>#VALUE!</v>
      </c>
      <c r="FY8" t="e">
        <f>AND(Sheet1!#REF!,"AAAAAHrH/bQ=")</f>
        <v>#REF!</v>
      </c>
      <c r="FZ8" t="e">
        <f>AND(Sheet1!#REF!,"AAAAAHrH/bU=")</f>
        <v>#REF!</v>
      </c>
      <c r="GA8" t="e">
        <f>AND(Sheet1!#REF!,"AAAAAHrH/bY=")</f>
        <v>#REF!</v>
      </c>
      <c r="GB8" t="e">
        <f>AND(Sheet1!#REF!,"AAAAAHrH/bc=")</f>
        <v>#REF!</v>
      </c>
      <c r="GC8">
        <f>IF(Sheet1!105:105,"AAAAAHrH/bg=",0)</f>
        <v>0</v>
      </c>
      <c r="GD8" t="e">
        <f>AND(Sheet1!A105,"AAAAAHrH/bk=")</f>
        <v>#VALUE!</v>
      </c>
      <c r="GE8" t="e">
        <f>AND(Sheet1!B105,"AAAAAHrH/bo=")</f>
        <v>#VALUE!</v>
      </c>
      <c r="GF8" t="e">
        <f>AND(Sheet1!C105,"AAAAAHrH/bs=")</f>
        <v>#VALUE!</v>
      </c>
      <c r="GG8" t="e">
        <f>AND(Sheet1!D105,"AAAAAHrH/bw=")</f>
        <v>#VALUE!</v>
      </c>
      <c r="GH8" t="e">
        <f>AND(Sheet1!E105,"AAAAAHrH/b0=")</f>
        <v>#VALUE!</v>
      </c>
      <c r="GI8" t="e">
        <f>AND(Sheet1!F105,"AAAAAHrH/b4=")</f>
        <v>#VALUE!</v>
      </c>
      <c r="GJ8" t="e">
        <f>AND(Sheet1!G105,"AAAAAHrH/b8=")</f>
        <v>#VALUE!</v>
      </c>
      <c r="GK8" t="e">
        <f>AND(Sheet1!H105,"AAAAAHrH/cA=")</f>
        <v>#VALUE!</v>
      </c>
      <c r="GL8" t="e">
        <f>AND(Sheet1!I105,"AAAAAHrH/cE=")</f>
        <v>#VALUE!</v>
      </c>
      <c r="GM8" t="e">
        <f>AND(Sheet1!J105,"AAAAAHrH/cI=")</f>
        <v>#VALUE!</v>
      </c>
      <c r="GN8" t="e">
        <f>AND(Sheet1!K105,"AAAAAHrH/cM=")</f>
        <v>#VALUE!</v>
      </c>
      <c r="GO8" t="e">
        <f>AND(Sheet1!L105,"AAAAAHrH/cQ=")</f>
        <v>#VALUE!</v>
      </c>
      <c r="GP8" t="e">
        <f>AND(Sheet1!M105,"AAAAAHrH/cU=")</f>
        <v>#VALUE!</v>
      </c>
      <c r="GQ8" t="e">
        <f>AND(Sheet1!N105,"AAAAAHrH/cY=")</f>
        <v>#VALUE!</v>
      </c>
      <c r="GR8" t="e">
        <f>AND(Sheet1!#REF!,"AAAAAHrH/cc=")</f>
        <v>#REF!</v>
      </c>
      <c r="GS8" t="e">
        <f>AND(Sheet1!#REF!,"AAAAAHrH/cg=")</f>
        <v>#REF!</v>
      </c>
      <c r="GT8" t="e">
        <f>AND(Sheet1!#REF!,"AAAAAHrH/ck=")</f>
        <v>#REF!</v>
      </c>
      <c r="GU8" t="e">
        <f>AND(Sheet1!#REF!,"AAAAAHrH/co=")</f>
        <v>#REF!</v>
      </c>
      <c r="GV8">
        <f>IF(Sheet1!106:106,"AAAAAHrH/cs=",0)</f>
        <v>0</v>
      </c>
      <c r="GW8" t="e">
        <f>AND(Sheet1!A106,"AAAAAHrH/cw=")</f>
        <v>#VALUE!</v>
      </c>
      <c r="GX8" t="e">
        <f>AND(Sheet1!B106,"AAAAAHrH/c0=")</f>
        <v>#VALUE!</v>
      </c>
      <c r="GY8" t="e">
        <f>AND(Sheet1!C106,"AAAAAHrH/c4=")</f>
        <v>#VALUE!</v>
      </c>
      <c r="GZ8" t="e">
        <f>AND(Sheet1!D106,"AAAAAHrH/c8=")</f>
        <v>#VALUE!</v>
      </c>
      <c r="HA8" t="e">
        <f>AND(Sheet1!E106,"AAAAAHrH/dA=")</f>
        <v>#VALUE!</v>
      </c>
      <c r="HB8" t="e">
        <f>AND(Sheet1!F106,"AAAAAHrH/dE=")</f>
        <v>#VALUE!</v>
      </c>
      <c r="HC8" t="e">
        <f>AND(Sheet1!G106,"AAAAAHrH/dI=")</f>
        <v>#VALUE!</v>
      </c>
      <c r="HD8" t="e">
        <f>AND(Sheet1!H106,"AAAAAHrH/dM=")</f>
        <v>#VALUE!</v>
      </c>
      <c r="HE8" t="e">
        <f>AND(Sheet1!I106,"AAAAAHrH/dQ=")</f>
        <v>#VALUE!</v>
      </c>
      <c r="HF8" t="e">
        <f>AND(Sheet1!J106,"AAAAAHrH/dU=")</f>
        <v>#VALUE!</v>
      </c>
      <c r="HG8" t="e">
        <f>AND(Sheet1!K106,"AAAAAHrH/dY=")</f>
        <v>#VALUE!</v>
      </c>
      <c r="HH8" t="e">
        <f>AND(Sheet1!L106,"AAAAAHrH/dc=")</f>
        <v>#VALUE!</v>
      </c>
      <c r="HI8" t="e">
        <f>AND(Sheet1!M106,"AAAAAHrH/dg=")</f>
        <v>#VALUE!</v>
      </c>
      <c r="HJ8" t="e">
        <f>AND(Sheet1!N106,"AAAAAHrH/dk=")</f>
        <v>#VALUE!</v>
      </c>
      <c r="HK8" t="e">
        <f>AND(Sheet1!#REF!,"AAAAAHrH/do=")</f>
        <v>#REF!</v>
      </c>
      <c r="HL8" t="e">
        <f>AND(Sheet1!#REF!,"AAAAAHrH/ds=")</f>
        <v>#REF!</v>
      </c>
      <c r="HM8" t="e">
        <f>AND(Sheet1!#REF!,"AAAAAHrH/dw=")</f>
        <v>#REF!</v>
      </c>
      <c r="HN8" t="e">
        <f>AND(Sheet1!#REF!,"AAAAAHrH/d0=")</f>
        <v>#REF!</v>
      </c>
      <c r="HO8">
        <f>IF(Sheet1!107:107,"AAAAAHrH/d4=",0)</f>
        <v>0</v>
      </c>
      <c r="HP8" t="e">
        <f>AND(Sheet1!A107,"AAAAAHrH/d8=")</f>
        <v>#VALUE!</v>
      </c>
      <c r="HQ8" t="e">
        <f>AND(Sheet1!B107,"AAAAAHrH/eA=")</f>
        <v>#VALUE!</v>
      </c>
      <c r="HR8" t="e">
        <f>AND(Sheet1!C107,"AAAAAHrH/eE=")</f>
        <v>#VALUE!</v>
      </c>
      <c r="HS8" t="e">
        <f>AND(Sheet1!D107,"AAAAAHrH/eI=")</f>
        <v>#VALUE!</v>
      </c>
      <c r="HT8" t="e">
        <f>AND(Sheet1!E107,"AAAAAHrH/eM=")</f>
        <v>#VALUE!</v>
      </c>
      <c r="HU8" t="e">
        <f>AND(Sheet1!F107,"AAAAAHrH/eQ=")</f>
        <v>#VALUE!</v>
      </c>
      <c r="HV8" t="e">
        <f>AND(Sheet1!G107,"AAAAAHrH/eU=")</f>
        <v>#VALUE!</v>
      </c>
      <c r="HW8" t="e">
        <f>AND(Sheet1!H107,"AAAAAHrH/eY=")</f>
        <v>#VALUE!</v>
      </c>
      <c r="HX8" t="e">
        <f>AND(Sheet1!I107,"AAAAAHrH/ec=")</f>
        <v>#VALUE!</v>
      </c>
      <c r="HY8" t="e">
        <f>AND(Sheet1!J107,"AAAAAHrH/eg=")</f>
        <v>#VALUE!</v>
      </c>
      <c r="HZ8" t="e">
        <f>AND(Sheet1!K107,"AAAAAHrH/ek=")</f>
        <v>#VALUE!</v>
      </c>
      <c r="IA8" t="e">
        <f>AND(Sheet1!L107,"AAAAAHrH/eo=")</f>
        <v>#VALUE!</v>
      </c>
      <c r="IB8" t="e">
        <f>AND(Sheet1!M107,"AAAAAHrH/es=")</f>
        <v>#VALUE!</v>
      </c>
      <c r="IC8" t="e">
        <f>AND(Sheet1!N107,"AAAAAHrH/ew=")</f>
        <v>#VALUE!</v>
      </c>
      <c r="ID8" t="e">
        <f>AND(Sheet1!#REF!,"AAAAAHrH/e0=")</f>
        <v>#REF!</v>
      </c>
      <c r="IE8" t="e">
        <f>AND(Sheet1!#REF!,"AAAAAHrH/e4=")</f>
        <v>#REF!</v>
      </c>
      <c r="IF8" t="e">
        <f>AND(Sheet1!#REF!,"AAAAAHrH/e8=")</f>
        <v>#REF!</v>
      </c>
      <c r="IG8" t="e">
        <f>AND(Sheet1!#REF!,"AAAAAHrH/fA=")</f>
        <v>#REF!</v>
      </c>
      <c r="IH8">
        <f>IF(Sheet1!108:108,"AAAAAHrH/fE=",0)</f>
        <v>0</v>
      </c>
      <c r="II8" t="e">
        <f>AND(Sheet1!A108,"AAAAAHrH/fI=")</f>
        <v>#VALUE!</v>
      </c>
      <c r="IJ8" t="e">
        <f>AND(Sheet1!B108,"AAAAAHrH/fM=")</f>
        <v>#VALUE!</v>
      </c>
      <c r="IK8" t="e">
        <f>AND(Sheet1!C108,"AAAAAHrH/fQ=")</f>
        <v>#VALUE!</v>
      </c>
      <c r="IL8" t="e">
        <f>AND(Sheet1!D108,"AAAAAHrH/fU=")</f>
        <v>#VALUE!</v>
      </c>
      <c r="IM8" t="e">
        <f>AND(Sheet1!E108,"AAAAAHrH/fY=")</f>
        <v>#VALUE!</v>
      </c>
      <c r="IN8" t="e">
        <f>AND(Sheet1!F108,"AAAAAHrH/fc=")</f>
        <v>#VALUE!</v>
      </c>
      <c r="IO8" t="e">
        <f>AND(Sheet1!G108,"AAAAAHrH/fg=")</f>
        <v>#VALUE!</v>
      </c>
      <c r="IP8" t="e">
        <f>AND(Sheet1!H108,"AAAAAHrH/fk=")</f>
        <v>#VALUE!</v>
      </c>
      <c r="IQ8" t="e">
        <f>AND(Sheet1!I108,"AAAAAHrH/fo=")</f>
        <v>#VALUE!</v>
      </c>
      <c r="IR8" t="e">
        <f>AND(Sheet1!J108,"AAAAAHrH/fs=")</f>
        <v>#VALUE!</v>
      </c>
      <c r="IS8" t="e">
        <f>AND(Sheet1!K108,"AAAAAHrH/fw=")</f>
        <v>#VALUE!</v>
      </c>
      <c r="IT8" t="e">
        <f>AND(Sheet1!L108,"AAAAAHrH/f0=")</f>
        <v>#VALUE!</v>
      </c>
      <c r="IU8" t="e">
        <f>AND(Sheet1!M108,"AAAAAHrH/f4=")</f>
        <v>#VALUE!</v>
      </c>
      <c r="IV8" t="e">
        <f>AND(Sheet1!N108,"AAAAAHrH/f8=")</f>
        <v>#VALUE!</v>
      </c>
    </row>
    <row r="9" spans="1:256" x14ac:dyDescent="0.2">
      <c r="A9" t="e">
        <f>AND(Sheet1!#REF!,"AAAAAG/91wA=")</f>
        <v>#REF!</v>
      </c>
      <c r="B9" t="e">
        <f>AND(Sheet1!#REF!,"AAAAAG/91wE=")</f>
        <v>#REF!</v>
      </c>
      <c r="C9" t="e">
        <f>AND(Sheet1!#REF!,"AAAAAG/91wI=")</f>
        <v>#REF!</v>
      </c>
      <c r="D9" t="e">
        <f>AND(Sheet1!#REF!,"AAAAAG/91wM=")</f>
        <v>#REF!</v>
      </c>
      <c r="E9" t="e">
        <f>IF(Sheet1!109:109,"AAAAAG/91wQ=",0)</f>
        <v>#VALUE!</v>
      </c>
      <c r="F9" t="e">
        <f>AND(Sheet1!A109,"AAAAAG/91wU=")</f>
        <v>#VALUE!</v>
      </c>
      <c r="G9" t="e">
        <f>AND(Sheet1!B109,"AAAAAG/91wY=")</f>
        <v>#VALUE!</v>
      </c>
      <c r="H9" t="e">
        <f>AND(Sheet1!C109,"AAAAAG/91wc=")</f>
        <v>#VALUE!</v>
      </c>
      <c r="I9" t="e">
        <f>AND(Sheet1!D109,"AAAAAG/91wg=")</f>
        <v>#VALUE!</v>
      </c>
      <c r="J9" t="e">
        <f>AND(Sheet1!E109,"AAAAAG/91wk=")</f>
        <v>#VALUE!</v>
      </c>
      <c r="K9" t="e">
        <f>AND(Sheet1!F109,"AAAAAG/91wo=")</f>
        <v>#VALUE!</v>
      </c>
      <c r="L9" t="e">
        <f>AND(Sheet1!G109,"AAAAAG/91ws=")</f>
        <v>#VALUE!</v>
      </c>
      <c r="M9" t="e">
        <f>AND(Sheet1!H109,"AAAAAG/91ww=")</f>
        <v>#VALUE!</v>
      </c>
      <c r="N9" t="e">
        <f>AND(Sheet1!I109,"AAAAAG/91w0=")</f>
        <v>#VALUE!</v>
      </c>
      <c r="O9" t="e">
        <f>AND(Sheet1!J109,"AAAAAG/91w4=")</f>
        <v>#VALUE!</v>
      </c>
      <c r="P9" t="e">
        <f>AND(Sheet1!K109,"AAAAAG/91w8=")</f>
        <v>#VALUE!</v>
      </c>
      <c r="Q9" t="e">
        <f>AND(Sheet1!L109,"AAAAAG/91xA=")</f>
        <v>#VALUE!</v>
      </c>
      <c r="R9" t="e">
        <f>AND(Sheet1!M109,"AAAAAG/91xE=")</f>
        <v>#VALUE!</v>
      </c>
      <c r="S9" t="e">
        <f>AND(Sheet1!N109,"AAAAAG/91xI=")</f>
        <v>#VALUE!</v>
      </c>
      <c r="T9" t="e">
        <f>AND(Sheet1!#REF!,"AAAAAG/91xM=")</f>
        <v>#REF!</v>
      </c>
      <c r="U9" t="e">
        <f>AND(Sheet1!#REF!,"AAAAAG/91xQ=")</f>
        <v>#REF!</v>
      </c>
      <c r="V9" t="e">
        <f>AND(Sheet1!#REF!,"AAAAAG/91xU=")</f>
        <v>#REF!</v>
      </c>
      <c r="W9" t="e">
        <f>AND(Sheet1!#REF!,"AAAAAG/91xY=")</f>
        <v>#REF!</v>
      </c>
      <c r="X9">
        <f>IF(Sheet1!110:110,"AAAAAG/91xc=",0)</f>
        <v>0</v>
      </c>
      <c r="Y9" t="e">
        <f>AND(Sheet1!A110,"AAAAAG/91xg=")</f>
        <v>#VALUE!</v>
      </c>
      <c r="Z9" t="e">
        <f>AND(Sheet1!B110,"AAAAAG/91xk=")</f>
        <v>#VALUE!</v>
      </c>
      <c r="AA9" t="e">
        <f>AND(Sheet1!C110,"AAAAAG/91xo=")</f>
        <v>#VALUE!</v>
      </c>
      <c r="AB9" t="e">
        <f>AND(Sheet1!D110,"AAAAAG/91xs=")</f>
        <v>#VALUE!</v>
      </c>
      <c r="AC9" t="e">
        <f>AND(Sheet1!E110,"AAAAAG/91xw=")</f>
        <v>#VALUE!</v>
      </c>
      <c r="AD9" t="e">
        <f>AND(Sheet1!F110,"AAAAAG/91x0=")</f>
        <v>#VALUE!</v>
      </c>
      <c r="AE9" t="e">
        <f>AND(Sheet1!G110,"AAAAAG/91x4=")</f>
        <v>#VALUE!</v>
      </c>
      <c r="AF9" t="e">
        <f>AND(Sheet1!H110,"AAAAAG/91x8=")</f>
        <v>#VALUE!</v>
      </c>
      <c r="AG9" t="e">
        <f>AND(Sheet1!I110,"AAAAAG/91yA=")</f>
        <v>#VALUE!</v>
      </c>
      <c r="AH9" t="e">
        <f>AND(Sheet1!J110,"AAAAAG/91yE=")</f>
        <v>#VALUE!</v>
      </c>
      <c r="AI9" t="e">
        <f>AND(Sheet1!K110,"AAAAAG/91yI=")</f>
        <v>#VALUE!</v>
      </c>
      <c r="AJ9" t="e">
        <f>AND(Sheet1!L110,"AAAAAG/91yM=")</f>
        <v>#VALUE!</v>
      </c>
      <c r="AK9" t="e">
        <f>AND(Sheet1!M110,"AAAAAG/91yQ=")</f>
        <v>#VALUE!</v>
      </c>
      <c r="AL9" t="e">
        <f>AND(Sheet1!N110,"AAAAAG/91yU=")</f>
        <v>#VALUE!</v>
      </c>
      <c r="AM9" t="e">
        <f>AND(Sheet1!#REF!,"AAAAAG/91yY=")</f>
        <v>#REF!</v>
      </c>
      <c r="AN9" t="e">
        <f>AND(Sheet1!#REF!,"AAAAAG/91yc=")</f>
        <v>#REF!</v>
      </c>
      <c r="AO9" t="e">
        <f>AND(Sheet1!#REF!,"AAAAAG/91yg=")</f>
        <v>#REF!</v>
      </c>
      <c r="AP9" t="e">
        <f>AND(Sheet1!#REF!,"AAAAAG/91yk=")</f>
        <v>#REF!</v>
      </c>
      <c r="AQ9">
        <f>IF(Sheet1!111:111,"AAAAAG/91yo=",0)</f>
        <v>0</v>
      </c>
      <c r="AR9" t="e">
        <f>AND(Sheet1!A111,"AAAAAG/91ys=")</f>
        <v>#VALUE!</v>
      </c>
      <c r="AS9" t="e">
        <f>AND(Sheet1!B111,"AAAAAG/91yw=")</f>
        <v>#VALUE!</v>
      </c>
      <c r="AT9" t="e">
        <f>AND(Sheet1!C111,"AAAAAG/91y0=")</f>
        <v>#VALUE!</v>
      </c>
      <c r="AU9" t="e">
        <f>AND(Sheet1!D111,"AAAAAG/91y4=")</f>
        <v>#VALUE!</v>
      </c>
      <c r="AV9" t="e">
        <f>AND(Sheet1!E111,"AAAAAG/91y8=")</f>
        <v>#VALUE!</v>
      </c>
      <c r="AW9" t="e">
        <f>AND(Sheet1!F111,"AAAAAG/91zA=")</f>
        <v>#VALUE!</v>
      </c>
      <c r="AX9" t="e">
        <f>AND(Sheet1!G111,"AAAAAG/91zE=")</f>
        <v>#VALUE!</v>
      </c>
      <c r="AY9" t="e">
        <f>AND(Sheet1!H111,"AAAAAG/91zI=")</f>
        <v>#VALUE!</v>
      </c>
      <c r="AZ9" t="e">
        <f>AND(Sheet1!I111,"AAAAAG/91zM=")</f>
        <v>#VALUE!</v>
      </c>
      <c r="BA9" t="e">
        <f>AND(Sheet1!J111,"AAAAAG/91zQ=")</f>
        <v>#VALUE!</v>
      </c>
      <c r="BB9" t="e">
        <f>AND(Sheet1!K111,"AAAAAG/91zU=")</f>
        <v>#VALUE!</v>
      </c>
      <c r="BC9" t="e">
        <f>AND(Sheet1!L111,"AAAAAG/91zY=")</f>
        <v>#VALUE!</v>
      </c>
      <c r="BD9" t="e">
        <f>AND(Sheet1!M111,"AAAAAG/91zc=")</f>
        <v>#VALUE!</v>
      </c>
      <c r="BE9" t="e">
        <f>AND(Sheet1!N111,"AAAAAG/91zg=")</f>
        <v>#VALUE!</v>
      </c>
      <c r="BF9" t="e">
        <f>AND(Sheet1!#REF!,"AAAAAG/91zk=")</f>
        <v>#REF!</v>
      </c>
      <c r="BG9" t="e">
        <f>AND(Sheet1!#REF!,"AAAAAG/91zo=")</f>
        <v>#REF!</v>
      </c>
      <c r="BH9" t="e">
        <f>AND(Sheet1!#REF!,"AAAAAG/91zs=")</f>
        <v>#REF!</v>
      </c>
      <c r="BI9" t="e">
        <f>AND(Sheet1!#REF!,"AAAAAG/91zw=")</f>
        <v>#REF!</v>
      </c>
      <c r="BJ9">
        <f>IF(Sheet1!112:112,"AAAAAG/91z0=",0)</f>
        <v>0</v>
      </c>
      <c r="BK9" t="e">
        <f>AND(Sheet1!A112,"AAAAAG/91z4=")</f>
        <v>#VALUE!</v>
      </c>
      <c r="BL9" t="e">
        <f>AND(Sheet1!B112,"AAAAAG/91z8=")</f>
        <v>#VALUE!</v>
      </c>
      <c r="BM9" t="e">
        <f>AND(Sheet1!C112,"AAAAAG/910A=")</f>
        <v>#VALUE!</v>
      </c>
      <c r="BN9" t="e">
        <f>AND(Sheet1!D112,"AAAAAG/910E=")</f>
        <v>#VALUE!</v>
      </c>
      <c r="BO9" t="e">
        <f>AND(Sheet1!E112,"AAAAAG/910I=")</f>
        <v>#VALUE!</v>
      </c>
      <c r="BP9" t="e">
        <f>AND(Sheet1!F112,"AAAAAG/910M=")</f>
        <v>#VALUE!</v>
      </c>
      <c r="BQ9" t="e">
        <f>AND(Sheet1!G112,"AAAAAG/910Q=")</f>
        <v>#VALUE!</v>
      </c>
      <c r="BR9" t="e">
        <f>AND(Sheet1!H112,"AAAAAG/910U=")</f>
        <v>#VALUE!</v>
      </c>
      <c r="BS9" t="e">
        <f>AND(Sheet1!I112,"AAAAAG/910Y=")</f>
        <v>#VALUE!</v>
      </c>
      <c r="BT9" t="e">
        <f>AND(Sheet1!J112,"AAAAAG/910c=")</f>
        <v>#VALUE!</v>
      </c>
      <c r="BU9" t="e">
        <f>AND(Sheet1!K112,"AAAAAG/910g=")</f>
        <v>#VALUE!</v>
      </c>
      <c r="BV9" t="e">
        <f>AND(Sheet1!L112,"AAAAAG/910k=")</f>
        <v>#VALUE!</v>
      </c>
      <c r="BW9" t="e">
        <f>AND(Sheet1!M112,"AAAAAG/910o=")</f>
        <v>#VALUE!</v>
      </c>
      <c r="BX9" t="e">
        <f>AND(Sheet1!N112,"AAAAAG/910s=")</f>
        <v>#VALUE!</v>
      </c>
      <c r="BY9" t="e">
        <f>AND(Sheet1!#REF!,"AAAAAG/910w=")</f>
        <v>#REF!</v>
      </c>
      <c r="BZ9" t="e">
        <f>AND(Sheet1!#REF!,"AAAAAG/9100=")</f>
        <v>#REF!</v>
      </c>
      <c r="CA9" t="e">
        <f>AND(Sheet1!#REF!,"AAAAAG/9104=")</f>
        <v>#REF!</v>
      </c>
      <c r="CB9" t="e">
        <f>AND(Sheet1!#REF!,"AAAAAG/9108=")</f>
        <v>#REF!</v>
      </c>
      <c r="CC9">
        <f>IF(Sheet1!113:113,"AAAAAG/911A=",0)</f>
        <v>0</v>
      </c>
      <c r="CD9" t="e">
        <f>AND(Sheet1!A113,"AAAAAG/911E=")</f>
        <v>#VALUE!</v>
      </c>
      <c r="CE9" t="e">
        <f>AND(Sheet1!B113,"AAAAAG/911I=")</f>
        <v>#VALUE!</v>
      </c>
      <c r="CF9" t="e">
        <f>AND(Sheet1!C113,"AAAAAG/911M=")</f>
        <v>#VALUE!</v>
      </c>
      <c r="CG9" t="e">
        <f>AND(Sheet1!D113,"AAAAAG/911Q=")</f>
        <v>#VALUE!</v>
      </c>
      <c r="CH9" t="e">
        <f>AND(Sheet1!E113,"AAAAAG/911U=")</f>
        <v>#VALUE!</v>
      </c>
      <c r="CI9" t="e">
        <f>AND(Sheet1!F113,"AAAAAG/911Y=")</f>
        <v>#VALUE!</v>
      </c>
      <c r="CJ9" t="e">
        <f>AND(Sheet1!G113,"AAAAAG/911c=")</f>
        <v>#VALUE!</v>
      </c>
      <c r="CK9" t="e">
        <f>AND(Sheet1!H113,"AAAAAG/911g=")</f>
        <v>#VALUE!</v>
      </c>
      <c r="CL9" t="e">
        <f>AND(Sheet1!I113,"AAAAAG/911k=")</f>
        <v>#VALUE!</v>
      </c>
      <c r="CM9" t="e">
        <f>AND(Sheet1!J113,"AAAAAG/911o=")</f>
        <v>#VALUE!</v>
      </c>
      <c r="CN9" t="e">
        <f>AND(Sheet1!K113,"AAAAAG/911s=")</f>
        <v>#VALUE!</v>
      </c>
      <c r="CO9" t="e">
        <f>AND(Sheet1!L113,"AAAAAG/911w=")</f>
        <v>#VALUE!</v>
      </c>
      <c r="CP9" t="e">
        <f>AND(Sheet1!M113,"AAAAAG/9110=")</f>
        <v>#VALUE!</v>
      </c>
      <c r="CQ9" t="e">
        <f>AND(Sheet1!N113,"AAAAAG/9114=")</f>
        <v>#VALUE!</v>
      </c>
      <c r="CR9" t="e">
        <f>AND(Sheet1!#REF!,"AAAAAG/9118=")</f>
        <v>#REF!</v>
      </c>
      <c r="CS9" t="e">
        <f>AND(Sheet1!#REF!,"AAAAAG/912A=")</f>
        <v>#REF!</v>
      </c>
      <c r="CT9" t="e">
        <f>AND(Sheet1!#REF!,"AAAAAG/912E=")</f>
        <v>#REF!</v>
      </c>
      <c r="CU9" t="e">
        <f>AND(Sheet1!#REF!,"AAAAAG/912I=")</f>
        <v>#REF!</v>
      </c>
      <c r="CV9">
        <f>IF(Sheet1!114:114,"AAAAAG/912M=",0)</f>
        <v>0</v>
      </c>
      <c r="CW9" t="e">
        <f>AND(Sheet1!A114,"AAAAAG/912Q=")</f>
        <v>#VALUE!</v>
      </c>
      <c r="CX9" t="e">
        <f>AND(Sheet1!B114,"AAAAAG/912U=")</f>
        <v>#VALUE!</v>
      </c>
      <c r="CY9" t="e">
        <f>AND(Sheet1!C114,"AAAAAG/912Y=")</f>
        <v>#VALUE!</v>
      </c>
      <c r="CZ9" t="e">
        <f>AND(Sheet1!D114,"AAAAAG/912c=")</f>
        <v>#VALUE!</v>
      </c>
      <c r="DA9" t="e">
        <f>AND(Sheet1!E114,"AAAAAG/912g=")</f>
        <v>#VALUE!</v>
      </c>
      <c r="DB9" t="e">
        <f>AND(Sheet1!F114,"AAAAAG/912k=")</f>
        <v>#VALUE!</v>
      </c>
      <c r="DC9" t="e">
        <f>AND(Sheet1!G114,"AAAAAG/912o=")</f>
        <v>#VALUE!</v>
      </c>
      <c r="DD9" t="e">
        <f>AND(Sheet1!H114,"AAAAAG/912s=")</f>
        <v>#VALUE!</v>
      </c>
      <c r="DE9" t="e">
        <f>AND(Sheet1!I114,"AAAAAG/912w=")</f>
        <v>#VALUE!</v>
      </c>
      <c r="DF9" t="e">
        <f>AND(Sheet1!J114,"AAAAAG/9120=")</f>
        <v>#VALUE!</v>
      </c>
      <c r="DG9" t="e">
        <f>AND(Sheet1!K114,"AAAAAG/9124=")</f>
        <v>#VALUE!</v>
      </c>
      <c r="DH9" t="e">
        <f>AND(Sheet1!L114,"AAAAAG/9128=")</f>
        <v>#VALUE!</v>
      </c>
      <c r="DI9" t="e">
        <f>AND(Sheet1!M114,"AAAAAG/913A=")</f>
        <v>#VALUE!</v>
      </c>
      <c r="DJ9" t="e">
        <f>AND(Sheet1!N114,"AAAAAG/913E=")</f>
        <v>#VALUE!</v>
      </c>
      <c r="DK9" t="e">
        <f>AND(Sheet1!#REF!,"AAAAAG/913I=")</f>
        <v>#REF!</v>
      </c>
      <c r="DL9" t="e">
        <f>AND(Sheet1!#REF!,"AAAAAG/913M=")</f>
        <v>#REF!</v>
      </c>
      <c r="DM9" t="e">
        <f>AND(Sheet1!#REF!,"AAAAAG/913Q=")</f>
        <v>#REF!</v>
      </c>
      <c r="DN9" t="e">
        <f>AND(Sheet1!#REF!,"AAAAAG/913U=")</f>
        <v>#REF!</v>
      </c>
      <c r="DO9">
        <f>IF(Sheet1!115:115,"AAAAAG/913Y=",0)</f>
        <v>0</v>
      </c>
      <c r="DP9" t="e">
        <f>AND(Sheet1!A115,"AAAAAG/913c=")</f>
        <v>#VALUE!</v>
      </c>
      <c r="DQ9" t="e">
        <f>AND(Sheet1!B115,"AAAAAG/913g=")</f>
        <v>#VALUE!</v>
      </c>
      <c r="DR9" t="e">
        <f>AND(Sheet1!C115,"AAAAAG/913k=")</f>
        <v>#VALUE!</v>
      </c>
      <c r="DS9" t="e">
        <f>AND(Sheet1!D115,"AAAAAG/913o=")</f>
        <v>#VALUE!</v>
      </c>
      <c r="DT9" t="e">
        <f>AND(Sheet1!E115,"AAAAAG/913s=")</f>
        <v>#VALUE!</v>
      </c>
      <c r="DU9" t="e">
        <f>AND(Sheet1!F115,"AAAAAG/913w=")</f>
        <v>#VALUE!</v>
      </c>
      <c r="DV9" t="e">
        <f>AND(Sheet1!G115,"AAAAAG/9130=")</f>
        <v>#VALUE!</v>
      </c>
      <c r="DW9" t="e">
        <f>AND(Sheet1!H115,"AAAAAG/9134=")</f>
        <v>#VALUE!</v>
      </c>
      <c r="DX9" t="e">
        <f>AND(Sheet1!I115,"AAAAAG/9138=")</f>
        <v>#VALUE!</v>
      </c>
      <c r="DY9" t="e">
        <f>AND(Sheet1!J115,"AAAAAG/914A=")</f>
        <v>#VALUE!</v>
      </c>
      <c r="DZ9" t="e">
        <f>AND(Sheet1!K115,"AAAAAG/914E=")</f>
        <v>#VALUE!</v>
      </c>
      <c r="EA9" t="e">
        <f>AND(Sheet1!L115,"AAAAAG/914I=")</f>
        <v>#VALUE!</v>
      </c>
      <c r="EB9" t="e">
        <f>AND(Sheet1!M115,"AAAAAG/914M=")</f>
        <v>#VALUE!</v>
      </c>
      <c r="EC9" t="e">
        <f>AND(Sheet1!N115,"AAAAAG/914Q=")</f>
        <v>#VALUE!</v>
      </c>
      <c r="ED9" t="e">
        <f>AND(Sheet1!#REF!,"AAAAAG/914U=")</f>
        <v>#REF!</v>
      </c>
      <c r="EE9" t="e">
        <f>AND(Sheet1!#REF!,"AAAAAG/914Y=")</f>
        <v>#REF!</v>
      </c>
      <c r="EF9" t="e">
        <f>AND(Sheet1!#REF!,"AAAAAG/914c=")</f>
        <v>#REF!</v>
      </c>
      <c r="EG9" t="e">
        <f>AND(Sheet1!#REF!,"AAAAAG/914g=")</f>
        <v>#REF!</v>
      </c>
      <c r="EH9">
        <f>IF(Sheet1!116:116,"AAAAAG/914k=",0)</f>
        <v>0</v>
      </c>
      <c r="EI9" t="e">
        <f>AND(Sheet1!A116,"AAAAAG/914o=")</f>
        <v>#VALUE!</v>
      </c>
      <c r="EJ9" t="e">
        <f>AND(Sheet1!B116,"AAAAAG/914s=")</f>
        <v>#VALUE!</v>
      </c>
      <c r="EK9" t="e">
        <f>AND(Sheet1!C116,"AAAAAG/914w=")</f>
        <v>#VALUE!</v>
      </c>
      <c r="EL9" t="e">
        <f>AND(Sheet1!D116,"AAAAAG/9140=")</f>
        <v>#VALUE!</v>
      </c>
      <c r="EM9" t="e">
        <f>AND(Sheet1!E116,"AAAAAG/9144=")</f>
        <v>#VALUE!</v>
      </c>
      <c r="EN9" t="e">
        <f>AND(Sheet1!F116,"AAAAAG/9148=")</f>
        <v>#VALUE!</v>
      </c>
      <c r="EO9" t="e">
        <f>AND(Sheet1!G116,"AAAAAG/915A=")</f>
        <v>#VALUE!</v>
      </c>
      <c r="EP9" t="e">
        <f>AND(Sheet1!H116,"AAAAAG/915E=")</f>
        <v>#VALUE!</v>
      </c>
      <c r="EQ9" t="e">
        <f>AND(Sheet1!I116,"AAAAAG/915I=")</f>
        <v>#VALUE!</v>
      </c>
      <c r="ER9" t="e">
        <f>AND(Sheet1!J116,"AAAAAG/915M=")</f>
        <v>#VALUE!</v>
      </c>
      <c r="ES9" t="e">
        <f>AND(Sheet1!K116,"AAAAAG/915Q=")</f>
        <v>#VALUE!</v>
      </c>
      <c r="ET9" t="e">
        <f>AND(Sheet1!L116,"AAAAAG/915U=")</f>
        <v>#VALUE!</v>
      </c>
      <c r="EU9" t="e">
        <f>AND(Sheet1!M116,"AAAAAG/915Y=")</f>
        <v>#VALUE!</v>
      </c>
      <c r="EV9" t="e">
        <f>AND(Sheet1!N116,"AAAAAG/915c=")</f>
        <v>#VALUE!</v>
      </c>
      <c r="EW9" t="e">
        <f>AND(Sheet1!#REF!,"AAAAAG/915g=")</f>
        <v>#REF!</v>
      </c>
      <c r="EX9" t="e">
        <f>AND(Sheet1!#REF!,"AAAAAG/915k=")</f>
        <v>#REF!</v>
      </c>
      <c r="EY9" t="e">
        <f>AND(Sheet1!#REF!,"AAAAAG/915o=")</f>
        <v>#REF!</v>
      </c>
      <c r="EZ9" t="e">
        <f>AND(Sheet1!#REF!,"AAAAAG/915s=")</f>
        <v>#REF!</v>
      </c>
      <c r="FA9">
        <f>IF(Sheet1!117:117,"AAAAAG/915w=",0)</f>
        <v>0</v>
      </c>
      <c r="FB9" t="e">
        <f>AND(Sheet1!A117,"AAAAAG/9150=")</f>
        <v>#VALUE!</v>
      </c>
      <c r="FC9" t="e">
        <f>AND(Sheet1!B117,"AAAAAG/9154=")</f>
        <v>#VALUE!</v>
      </c>
      <c r="FD9" t="e">
        <f>AND(Sheet1!C117,"AAAAAG/9158=")</f>
        <v>#VALUE!</v>
      </c>
      <c r="FE9" t="e">
        <f>AND(Sheet1!D117,"AAAAAG/916A=")</f>
        <v>#VALUE!</v>
      </c>
      <c r="FF9" t="e">
        <f>AND(Sheet1!E117,"AAAAAG/916E=")</f>
        <v>#VALUE!</v>
      </c>
      <c r="FG9" t="e">
        <f>AND(Sheet1!F117,"AAAAAG/916I=")</f>
        <v>#VALUE!</v>
      </c>
      <c r="FH9" t="e">
        <f>AND(Sheet1!G117,"AAAAAG/916M=")</f>
        <v>#VALUE!</v>
      </c>
      <c r="FI9" t="e">
        <f>AND(Sheet1!H117,"AAAAAG/916Q=")</f>
        <v>#VALUE!</v>
      </c>
      <c r="FJ9" t="e">
        <f>AND(Sheet1!I117,"AAAAAG/916U=")</f>
        <v>#VALUE!</v>
      </c>
      <c r="FK9" t="e">
        <f>AND(Sheet1!J117,"AAAAAG/916Y=")</f>
        <v>#VALUE!</v>
      </c>
      <c r="FL9" t="e">
        <f>AND(Sheet1!K117,"AAAAAG/916c=")</f>
        <v>#VALUE!</v>
      </c>
      <c r="FM9" t="e">
        <f>AND(Sheet1!L117,"AAAAAG/916g=")</f>
        <v>#VALUE!</v>
      </c>
      <c r="FN9" t="e">
        <f>AND(Sheet1!M117,"AAAAAG/916k=")</f>
        <v>#VALUE!</v>
      </c>
      <c r="FO9" t="e">
        <f>AND(Sheet1!N117,"AAAAAG/916o=")</f>
        <v>#VALUE!</v>
      </c>
      <c r="FP9" t="e">
        <f>AND(Sheet1!#REF!,"AAAAAG/916s=")</f>
        <v>#REF!</v>
      </c>
      <c r="FQ9" t="e">
        <f>AND(Sheet1!#REF!,"AAAAAG/916w=")</f>
        <v>#REF!</v>
      </c>
      <c r="FR9" t="e">
        <f>AND(Sheet1!#REF!,"AAAAAG/9160=")</f>
        <v>#REF!</v>
      </c>
      <c r="FS9" t="e">
        <f>AND(Sheet1!#REF!,"AAAAAG/9164=")</f>
        <v>#REF!</v>
      </c>
      <c r="FT9">
        <f>IF(Sheet1!118:118,"AAAAAG/9168=",0)</f>
        <v>0</v>
      </c>
      <c r="FU9" t="e">
        <f>AND(Sheet1!A118,"AAAAAG/917A=")</f>
        <v>#VALUE!</v>
      </c>
      <c r="FV9" t="e">
        <f>AND(Sheet1!B118,"AAAAAG/917E=")</f>
        <v>#VALUE!</v>
      </c>
      <c r="FW9" t="e">
        <f>AND(Sheet1!C118,"AAAAAG/917I=")</f>
        <v>#VALUE!</v>
      </c>
      <c r="FX9" t="e">
        <f>AND(Sheet1!D118,"AAAAAG/917M=")</f>
        <v>#VALUE!</v>
      </c>
      <c r="FY9" t="e">
        <f>AND(Sheet1!E118,"AAAAAG/917Q=")</f>
        <v>#VALUE!</v>
      </c>
      <c r="FZ9" t="e">
        <f>AND(Sheet1!F118,"AAAAAG/917U=")</f>
        <v>#VALUE!</v>
      </c>
      <c r="GA9" t="e">
        <f>AND(Sheet1!G118,"AAAAAG/917Y=")</f>
        <v>#VALUE!</v>
      </c>
      <c r="GB9" t="e">
        <f>AND(Sheet1!H118,"AAAAAG/917c=")</f>
        <v>#VALUE!</v>
      </c>
      <c r="GC9" t="e">
        <f>AND(Sheet1!I118,"AAAAAG/917g=")</f>
        <v>#VALUE!</v>
      </c>
      <c r="GD9" t="e">
        <f>AND(Sheet1!J118,"AAAAAG/917k=")</f>
        <v>#VALUE!</v>
      </c>
      <c r="GE9" t="e">
        <f>AND(Sheet1!K118,"AAAAAG/917o=")</f>
        <v>#VALUE!</v>
      </c>
      <c r="GF9" t="e">
        <f>AND(Sheet1!L118,"AAAAAG/917s=")</f>
        <v>#VALUE!</v>
      </c>
      <c r="GG9" t="e">
        <f>AND(Sheet1!M118,"AAAAAG/917w=")</f>
        <v>#VALUE!</v>
      </c>
      <c r="GH9" t="e">
        <f>AND(Sheet1!N118,"AAAAAG/9170=")</f>
        <v>#VALUE!</v>
      </c>
      <c r="GI9" t="e">
        <f>AND(Sheet1!#REF!,"AAAAAG/9174=")</f>
        <v>#REF!</v>
      </c>
      <c r="GJ9" t="e">
        <f>AND(Sheet1!#REF!,"AAAAAG/9178=")</f>
        <v>#REF!</v>
      </c>
      <c r="GK9" t="e">
        <f>AND(Sheet1!#REF!,"AAAAAG/918A=")</f>
        <v>#REF!</v>
      </c>
      <c r="GL9" t="e">
        <f>AND(Sheet1!#REF!,"AAAAAG/918E=")</f>
        <v>#REF!</v>
      </c>
      <c r="GM9">
        <f>IF(Sheet1!119:119,"AAAAAG/918I=",0)</f>
        <v>0</v>
      </c>
      <c r="GN9" t="e">
        <f>AND(Sheet1!A119,"AAAAAG/918M=")</f>
        <v>#VALUE!</v>
      </c>
      <c r="GO9" t="e">
        <f>AND(Sheet1!B119,"AAAAAG/918Q=")</f>
        <v>#VALUE!</v>
      </c>
      <c r="GP9" t="e">
        <f>AND(Sheet1!C119,"AAAAAG/918U=")</f>
        <v>#VALUE!</v>
      </c>
      <c r="GQ9" t="e">
        <f>AND(Sheet1!D119,"AAAAAG/918Y=")</f>
        <v>#VALUE!</v>
      </c>
      <c r="GR9" t="e">
        <f>AND(Sheet1!E119,"AAAAAG/918c=")</f>
        <v>#VALUE!</v>
      </c>
      <c r="GS9" t="e">
        <f>AND(Sheet1!F119,"AAAAAG/918g=")</f>
        <v>#VALUE!</v>
      </c>
      <c r="GT9" t="e">
        <f>AND(Sheet1!G119,"AAAAAG/918k=")</f>
        <v>#VALUE!</v>
      </c>
      <c r="GU9" t="e">
        <f>AND(Sheet1!H119,"AAAAAG/918o=")</f>
        <v>#VALUE!</v>
      </c>
      <c r="GV9" t="e">
        <f>AND(Sheet1!I119,"AAAAAG/918s=")</f>
        <v>#VALUE!</v>
      </c>
      <c r="GW9" t="e">
        <f>AND(Sheet1!J119,"AAAAAG/918w=")</f>
        <v>#VALUE!</v>
      </c>
      <c r="GX9" t="e">
        <f>AND(Sheet1!K119,"AAAAAG/9180=")</f>
        <v>#VALUE!</v>
      </c>
      <c r="GY9" t="e">
        <f>AND(Sheet1!L119,"AAAAAG/9184=")</f>
        <v>#VALUE!</v>
      </c>
      <c r="GZ9" t="e">
        <f>AND(Sheet1!M119,"AAAAAG/9188=")</f>
        <v>#VALUE!</v>
      </c>
      <c r="HA9" t="e">
        <f>AND(Sheet1!N119,"AAAAAG/919A=")</f>
        <v>#VALUE!</v>
      </c>
      <c r="HB9" t="e">
        <f>AND(Sheet1!#REF!,"AAAAAG/919E=")</f>
        <v>#REF!</v>
      </c>
      <c r="HC9" t="e">
        <f>AND(Sheet1!#REF!,"AAAAAG/919I=")</f>
        <v>#REF!</v>
      </c>
      <c r="HD9" t="e">
        <f>AND(Sheet1!#REF!,"AAAAAG/919M=")</f>
        <v>#REF!</v>
      </c>
      <c r="HE9" t="e">
        <f>AND(Sheet1!#REF!,"AAAAAG/919Q=")</f>
        <v>#REF!</v>
      </c>
      <c r="HF9">
        <f>IF(Sheet1!120:120,"AAAAAG/919U=",0)</f>
        <v>0</v>
      </c>
      <c r="HG9" t="e">
        <f>AND(Sheet1!A120,"AAAAAG/919Y=")</f>
        <v>#VALUE!</v>
      </c>
      <c r="HH9" t="e">
        <f>AND(Sheet1!B120,"AAAAAG/919c=")</f>
        <v>#VALUE!</v>
      </c>
      <c r="HI9" t="e">
        <f>AND(Sheet1!C120,"AAAAAG/919g=")</f>
        <v>#VALUE!</v>
      </c>
      <c r="HJ9" t="e">
        <f>AND(Sheet1!D120,"AAAAAG/919k=")</f>
        <v>#VALUE!</v>
      </c>
      <c r="HK9" t="e">
        <f>AND(Sheet1!E120,"AAAAAG/919o=")</f>
        <v>#VALUE!</v>
      </c>
      <c r="HL9" t="e">
        <f>AND(Sheet1!F120,"AAAAAG/919s=")</f>
        <v>#VALUE!</v>
      </c>
      <c r="HM9" t="e">
        <f>AND(Sheet1!G120,"AAAAAG/919w=")</f>
        <v>#VALUE!</v>
      </c>
      <c r="HN9" t="e">
        <f>AND(Sheet1!H120,"AAAAAG/9190=")</f>
        <v>#VALUE!</v>
      </c>
      <c r="HO9" t="e">
        <f>AND(Sheet1!I120,"AAAAAG/9194=")</f>
        <v>#VALUE!</v>
      </c>
      <c r="HP9" t="e">
        <f>AND(Sheet1!J120,"AAAAAG/9198=")</f>
        <v>#VALUE!</v>
      </c>
      <c r="HQ9" t="e">
        <f>AND(Sheet1!K120,"AAAAAG/91+A=")</f>
        <v>#VALUE!</v>
      </c>
      <c r="HR9" t="e">
        <f>AND(Sheet1!L120,"AAAAAG/91+E=")</f>
        <v>#VALUE!</v>
      </c>
      <c r="HS9" t="e">
        <f>AND(Sheet1!M120,"AAAAAG/91+I=")</f>
        <v>#VALUE!</v>
      </c>
      <c r="HT9" t="e">
        <f>AND(Sheet1!N120,"AAAAAG/91+M=")</f>
        <v>#VALUE!</v>
      </c>
      <c r="HU9" t="e">
        <f>AND(Sheet1!#REF!,"AAAAAG/91+Q=")</f>
        <v>#REF!</v>
      </c>
      <c r="HV9" t="e">
        <f>AND(Sheet1!#REF!,"AAAAAG/91+U=")</f>
        <v>#REF!</v>
      </c>
      <c r="HW9" t="e">
        <f>AND(Sheet1!#REF!,"AAAAAG/91+Y=")</f>
        <v>#REF!</v>
      </c>
      <c r="HX9" t="e">
        <f>AND(Sheet1!#REF!,"AAAAAG/91+c=")</f>
        <v>#REF!</v>
      </c>
      <c r="HY9">
        <f>IF(Sheet1!121:121,"AAAAAG/91+g=",0)</f>
        <v>0</v>
      </c>
      <c r="HZ9" t="e">
        <f>AND(Sheet1!A121,"AAAAAG/91+k=")</f>
        <v>#VALUE!</v>
      </c>
      <c r="IA9" t="e">
        <f>AND(Sheet1!B121,"AAAAAG/91+o=")</f>
        <v>#VALUE!</v>
      </c>
      <c r="IB9" t="e">
        <f>AND(Sheet1!C121,"AAAAAG/91+s=")</f>
        <v>#VALUE!</v>
      </c>
      <c r="IC9" t="e">
        <f>AND(Sheet1!D121,"AAAAAG/91+w=")</f>
        <v>#VALUE!</v>
      </c>
      <c r="ID9" t="e">
        <f>AND(Sheet1!E121,"AAAAAG/91+0=")</f>
        <v>#VALUE!</v>
      </c>
      <c r="IE9" t="e">
        <f>AND(Sheet1!F121,"AAAAAG/91+4=")</f>
        <v>#VALUE!</v>
      </c>
      <c r="IF9" t="e">
        <f>AND(Sheet1!G121,"AAAAAG/91+8=")</f>
        <v>#VALUE!</v>
      </c>
      <c r="IG9" t="e">
        <f>AND(Sheet1!H121,"AAAAAG/91/A=")</f>
        <v>#VALUE!</v>
      </c>
      <c r="IH9" t="e">
        <f>AND(Sheet1!I121,"AAAAAG/91/E=")</f>
        <v>#VALUE!</v>
      </c>
      <c r="II9" t="e">
        <f>AND(Sheet1!J121,"AAAAAG/91/I=")</f>
        <v>#VALUE!</v>
      </c>
      <c r="IJ9" t="e">
        <f>AND(Sheet1!K121,"AAAAAG/91/M=")</f>
        <v>#VALUE!</v>
      </c>
      <c r="IK9" t="e">
        <f>AND(Sheet1!L121,"AAAAAG/91/Q=")</f>
        <v>#VALUE!</v>
      </c>
      <c r="IL9" t="e">
        <f>AND(Sheet1!M121,"AAAAAG/91/U=")</f>
        <v>#VALUE!</v>
      </c>
      <c r="IM9" t="e">
        <f>AND(Sheet1!N121,"AAAAAG/91/Y=")</f>
        <v>#VALUE!</v>
      </c>
      <c r="IN9" t="e">
        <f>AND(Sheet1!#REF!,"AAAAAG/91/c=")</f>
        <v>#REF!</v>
      </c>
      <c r="IO9" t="e">
        <f>AND(Sheet1!#REF!,"AAAAAG/91/g=")</f>
        <v>#REF!</v>
      </c>
      <c r="IP9" t="e">
        <f>AND(Sheet1!#REF!,"AAAAAG/91/k=")</f>
        <v>#REF!</v>
      </c>
      <c r="IQ9" t="e">
        <f>AND(Sheet1!#REF!,"AAAAAG/91/o=")</f>
        <v>#REF!</v>
      </c>
      <c r="IR9">
        <f>IF(Sheet1!122:122,"AAAAAG/91/s=",0)</f>
        <v>0</v>
      </c>
      <c r="IS9" t="e">
        <f>AND(Sheet1!A122,"AAAAAG/91/w=")</f>
        <v>#VALUE!</v>
      </c>
      <c r="IT9" t="e">
        <f>AND(Sheet1!B122,"AAAAAG/91/0=")</f>
        <v>#VALUE!</v>
      </c>
      <c r="IU9" t="e">
        <f>AND(Sheet1!C122,"AAAAAG/91/4=")</f>
        <v>#VALUE!</v>
      </c>
      <c r="IV9" t="e">
        <f>AND(Sheet1!D122,"AAAAAG/91/8=")</f>
        <v>#VALUE!</v>
      </c>
    </row>
    <row r="10" spans="1:256" x14ac:dyDescent="0.2">
      <c r="A10" t="e">
        <f>AND(Sheet1!E122,"AAAAAFc/HgA=")</f>
        <v>#VALUE!</v>
      </c>
      <c r="B10" t="e">
        <f>AND(Sheet1!F122,"AAAAAFc/HgE=")</f>
        <v>#VALUE!</v>
      </c>
      <c r="C10" t="e">
        <f>AND(Sheet1!G122,"AAAAAFc/HgI=")</f>
        <v>#VALUE!</v>
      </c>
      <c r="D10" t="e">
        <f>AND(Sheet1!H122,"AAAAAFc/HgM=")</f>
        <v>#VALUE!</v>
      </c>
      <c r="E10" t="e">
        <f>AND(Sheet1!I122,"AAAAAFc/HgQ=")</f>
        <v>#VALUE!</v>
      </c>
      <c r="F10" t="e">
        <f>AND(Sheet1!J122,"AAAAAFc/HgU=")</f>
        <v>#VALUE!</v>
      </c>
      <c r="G10" t="e">
        <f>AND(Sheet1!K122,"AAAAAFc/HgY=")</f>
        <v>#VALUE!</v>
      </c>
      <c r="H10" t="e">
        <f>AND(Sheet1!L122,"AAAAAFc/Hgc=")</f>
        <v>#VALUE!</v>
      </c>
      <c r="I10" t="e">
        <f>AND(Sheet1!M122,"AAAAAFc/Hgg=")</f>
        <v>#VALUE!</v>
      </c>
      <c r="J10" t="e">
        <f>AND(Sheet1!N122,"AAAAAFc/Hgk=")</f>
        <v>#VALUE!</v>
      </c>
      <c r="K10" t="e">
        <f>AND(Sheet1!#REF!,"AAAAAFc/Hgo=")</f>
        <v>#REF!</v>
      </c>
      <c r="L10" t="e">
        <f>AND(Sheet1!#REF!,"AAAAAFc/Hgs=")</f>
        <v>#REF!</v>
      </c>
      <c r="M10" t="e">
        <f>AND(Sheet1!#REF!,"AAAAAFc/Hgw=")</f>
        <v>#REF!</v>
      </c>
      <c r="N10" t="e">
        <f>AND(Sheet1!#REF!,"AAAAAFc/Hg0=")</f>
        <v>#REF!</v>
      </c>
      <c r="O10">
        <f>IF(Sheet1!123:123,"AAAAAFc/Hg4=",0)</f>
        <v>0</v>
      </c>
      <c r="P10" t="e">
        <f>AND(Sheet1!A123,"AAAAAFc/Hg8=")</f>
        <v>#VALUE!</v>
      </c>
      <c r="Q10" t="e">
        <f>AND(Sheet1!B123,"AAAAAFc/HhA=")</f>
        <v>#VALUE!</v>
      </c>
      <c r="R10" t="e">
        <f>AND(Sheet1!C123,"AAAAAFc/HhE=")</f>
        <v>#VALUE!</v>
      </c>
      <c r="S10" t="e">
        <f>AND(Sheet1!D123,"AAAAAFc/HhI=")</f>
        <v>#VALUE!</v>
      </c>
      <c r="T10" t="e">
        <f>AND(Sheet1!E123,"AAAAAFc/HhM=")</f>
        <v>#VALUE!</v>
      </c>
      <c r="U10" t="e">
        <f>AND(Sheet1!F123,"AAAAAFc/HhQ=")</f>
        <v>#VALUE!</v>
      </c>
      <c r="V10" t="e">
        <f>AND(Sheet1!G123,"AAAAAFc/HhU=")</f>
        <v>#VALUE!</v>
      </c>
      <c r="W10" t="e">
        <f>AND(Sheet1!H123,"AAAAAFc/HhY=")</f>
        <v>#VALUE!</v>
      </c>
      <c r="X10" t="e">
        <f>AND(Sheet1!I123,"AAAAAFc/Hhc=")</f>
        <v>#VALUE!</v>
      </c>
      <c r="Y10" t="e">
        <f>AND(Sheet1!J123,"AAAAAFc/Hhg=")</f>
        <v>#VALUE!</v>
      </c>
      <c r="Z10" t="e">
        <f>AND(Sheet1!K123,"AAAAAFc/Hhk=")</f>
        <v>#VALUE!</v>
      </c>
      <c r="AA10" t="e">
        <f>AND(Sheet1!L123,"AAAAAFc/Hho=")</f>
        <v>#VALUE!</v>
      </c>
      <c r="AB10" t="e">
        <f>AND(Sheet1!M123,"AAAAAFc/Hhs=")</f>
        <v>#VALUE!</v>
      </c>
      <c r="AC10" t="e">
        <f>AND(Sheet1!N123,"AAAAAFc/Hhw=")</f>
        <v>#VALUE!</v>
      </c>
      <c r="AD10" t="e">
        <f>AND(Sheet1!#REF!,"AAAAAFc/Hh0=")</f>
        <v>#REF!</v>
      </c>
      <c r="AE10" t="e">
        <f>AND(Sheet1!#REF!,"AAAAAFc/Hh4=")</f>
        <v>#REF!</v>
      </c>
      <c r="AF10" t="e">
        <f>AND(Sheet1!#REF!,"AAAAAFc/Hh8=")</f>
        <v>#REF!</v>
      </c>
      <c r="AG10" t="e">
        <f>AND(Sheet1!#REF!,"AAAAAFc/HiA=")</f>
        <v>#REF!</v>
      </c>
      <c r="AH10">
        <f>IF(Sheet1!124:124,"AAAAAFc/HiE=",0)</f>
        <v>0</v>
      </c>
      <c r="AI10" t="e">
        <f>AND(Sheet1!A124,"AAAAAFc/HiI=")</f>
        <v>#VALUE!</v>
      </c>
      <c r="AJ10" t="e">
        <f>AND(Sheet1!B124,"AAAAAFc/HiM=")</f>
        <v>#VALUE!</v>
      </c>
      <c r="AK10" t="e">
        <f>AND(Sheet1!C124,"AAAAAFc/HiQ=")</f>
        <v>#VALUE!</v>
      </c>
      <c r="AL10" t="e">
        <f>AND(Sheet1!D124,"AAAAAFc/HiU=")</f>
        <v>#VALUE!</v>
      </c>
      <c r="AM10" t="e">
        <f>AND(Sheet1!E124,"AAAAAFc/HiY=")</f>
        <v>#VALUE!</v>
      </c>
      <c r="AN10" t="e">
        <f>AND(Sheet1!F124,"AAAAAFc/Hic=")</f>
        <v>#VALUE!</v>
      </c>
      <c r="AO10" t="e">
        <f>AND(Sheet1!G124,"AAAAAFc/Hig=")</f>
        <v>#VALUE!</v>
      </c>
      <c r="AP10" t="e">
        <f>AND(Sheet1!H124,"AAAAAFc/Hik=")</f>
        <v>#VALUE!</v>
      </c>
      <c r="AQ10" t="e">
        <f>AND(Sheet1!I124,"AAAAAFc/Hio=")</f>
        <v>#VALUE!</v>
      </c>
      <c r="AR10" t="e">
        <f>AND(Sheet1!J124,"AAAAAFc/His=")</f>
        <v>#VALUE!</v>
      </c>
      <c r="AS10" t="e">
        <f>AND(Sheet1!K124,"AAAAAFc/Hiw=")</f>
        <v>#VALUE!</v>
      </c>
      <c r="AT10" t="e">
        <f>AND(Sheet1!L124,"AAAAAFc/Hi0=")</f>
        <v>#VALUE!</v>
      </c>
      <c r="AU10" t="e">
        <f>AND(Sheet1!M124,"AAAAAFc/Hi4=")</f>
        <v>#VALUE!</v>
      </c>
      <c r="AV10" t="e">
        <f>AND(Sheet1!N124,"AAAAAFc/Hi8=")</f>
        <v>#VALUE!</v>
      </c>
      <c r="AW10" t="e">
        <f>AND(Sheet1!#REF!,"AAAAAFc/HjA=")</f>
        <v>#REF!</v>
      </c>
      <c r="AX10" t="e">
        <f>AND(Sheet1!#REF!,"AAAAAFc/HjE=")</f>
        <v>#REF!</v>
      </c>
      <c r="AY10" t="e">
        <f>AND(Sheet1!#REF!,"AAAAAFc/HjI=")</f>
        <v>#REF!</v>
      </c>
      <c r="AZ10" t="e">
        <f>AND(Sheet1!#REF!,"AAAAAFc/HjM=")</f>
        <v>#REF!</v>
      </c>
      <c r="BA10">
        <f>IF(Sheet1!125:125,"AAAAAFc/HjQ=",0)</f>
        <v>0</v>
      </c>
      <c r="BB10" t="e">
        <f>AND(Sheet1!A125,"AAAAAFc/HjU=")</f>
        <v>#VALUE!</v>
      </c>
      <c r="BC10" t="e">
        <f>AND(Sheet1!B125,"AAAAAFc/HjY=")</f>
        <v>#VALUE!</v>
      </c>
      <c r="BD10" t="e">
        <f>AND(Sheet1!C125,"AAAAAFc/Hjc=")</f>
        <v>#VALUE!</v>
      </c>
      <c r="BE10" t="e">
        <f>AND(Sheet1!D125,"AAAAAFc/Hjg=")</f>
        <v>#VALUE!</v>
      </c>
      <c r="BF10" t="e">
        <f>AND(Sheet1!E125,"AAAAAFc/Hjk=")</f>
        <v>#VALUE!</v>
      </c>
      <c r="BG10" t="e">
        <f>AND(Sheet1!F125,"AAAAAFc/Hjo=")</f>
        <v>#VALUE!</v>
      </c>
      <c r="BH10" t="e">
        <f>AND(Sheet1!G125,"AAAAAFc/Hjs=")</f>
        <v>#VALUE!</v>
      </c>
      <c r="BI10" t="e">
        <f>AND(Sheet1!H125,"AAAAAFc/Hjw=")</f>
        <v>#VALUE!</v>
      </c>
      <c r="BJ10" t="e">
        <f>AND(Sheet1!I125,"AAAAAFc/Hj0=")</f>
        <v>#VALUE!</v>
      </c>
      <c r="BK10" t="e">
        <f>AND(Sheet1!J125,"AAAAAFc/Hj4=")</f>
        <v>#VALUE!</v>
      </c>
      <c r="BL10" t="e">
        <f>AND(Sheet1!K125,"AAAAAFc/Hj8=")</f>
        <v>#VALUE!</v>
      </c>
      <c r="BM10" t="e">
        <f>AND(Sheet1!L125,"AAAAAFc/HkA=")</f>
        <v>#VALUE!</v>
      </c>
      <c r="BN10" t="e">
        <f>AND(Sheet1!M125,"AAAAAFc/HkE=")</f>
        <v>#VALUE!</v>
      </c>
      <c r="BO10" t="e">
        <f>AND(Sheet1!N125,"AAAAAFc/HkI=")</f>
        <v>#VALUE!</v>
      </c>
      <c r="BP10" t="e">
        <f>AND(Sheet1!#REF!,"AAAAAFc/HkM=")</f>
        <v>#REF!</v>
      </c>
      <c r="BQ10" t="e">
        <f>AND(Sheet1!#REF!,"AAAAAFc/HkQ=")</f>
        <v>#REF!</v>
      </c>
      <c r="BR10" t="e">
        <f>AND(Sheet1!#REF!,"AAAAAFc/HkU=")</f>
        <v>#REF!</v>
      </c>
      <c r="BS10" t="e">
        <f>AND(Sheet1!#REF!,"AAAAAFc/HkY=")</f>
        <v>#REF!</v>
      </c>
      <c r="BT10">
        <f>IF(Sheet1!126:126,"AAAAAFc/Hkc=",0)</f>
        <v>0</v>
      </c>
      <c r="BU10" t="e">
        <f>AND(Sheet1!A126,"AAAAAFc/Hkg=")</f>
        <v>#VALUE!</v>
      </c>
      <c r="BV10" t="e">
        <f>AND(Sheet1!B126,"AAAAAFc/Hkk=")</f>
        <v>#VALUE!</v>
      </c>
      <c r="BW10" t="e">
        <f>AND(Sheet1!C126,"AAAAAFc/Hko=")</f>
        <v>#VALUE!</v>
      </c>
      <c r="BX10" t="e">
        <f>AND(Sheet1!D126,"AAAAAFc/Hks=")</f>
        <v>#VALUE!</v>
      </c>
      <c r="BY10" t="e">
        <f>AND(Sheet1!E126,"AAAAAFc/Hkw=")</f>
        <v>#VALUE!</v>
      </c>
      <c r="BZ10" t="e">
        <f>AND(Sheet1!F126,"AAAAAFc/Hk0=")</f>
        <v>#VALUE!</v>
      </c>
      <c r="CA10" t="e">
        <f>AND(Sheet1!G126,"AAAAAFc/Hk4=")</f>
        <v>#VALUE!</v>
      </c>
      <c r="CB10" t="e">
        <f>AND(Sheet1!H126,"AAAAAFc/Hk8=")</f>
        <v>#VALUE!</v>
      </c>
      <c r="CC10" t="e">
        <f>AND(Sheet1!I126,"AAAAAFc/HlA=")</f>
        <v>#VALUE!</v>
      </c>
      <c r="CD10" t="e">
        <f>AND(Sheet1!J126,"AAAAAFc/HlE=")</f>
        <v>#VALUE!</v>
      </c>
      <c r="CE10" t="e">
        <f>AND(Sheet1!K126,"AAAAAFc/HlI=")</f>
        <v>#VALUE!</v>
      </c>
      <c r="CF10" t="e">
        <f>AND(Sheet1!L126,"AAAAAFc/HlM=")</f>
        <v>#VALUE!</v>
      </c>
      <c r="CG10" t="e">
        <f>AND(Sheet1!M126,"AAAAAFc/HlQ=")</f>
        <v>#VALUE!</v>
      </c>
      <c r="CH10" t="e">
        <f>AND(Sheet1!N126,"AAAAAFc/HlU=")</f>
        <v>#VALUE!</v>
      </c>
      <c r="CI10" t="e">
        <f>AND(Sheet1!#REF!,"AAAAAFc/HlY=")</f>
        <v>#REF!</v>
      </c>
      <c r="CJ10" t="e">
        <f>AND(Sheet1!#REF!,"AAAAAFc/Hlc=")</f>
        <v>#REF!</v>
      </c>
      <c r="CK10" t="e">
        <f>AND(Sheet1!#REF!,"AAAAAFc/Hlg=")</f>
        <v>#REF!</v>
      </c>
      <c r="CL10" t="e">
        <f>AND(Sheet1!#REF!,"AAAAAFc/Hlk=")</f>
        <v>#REF!</v>
      </c>
      <c r="CM10">
        <f>IF(Sheet1!127:127,"AAAAAFc/Hlo=",0)</f>
        <v>0</v>
      </c>
      <c r="CN10" t="e">
        <f>AND(Sheet1!A127,"AAAAAFc/Hls=")</f>
        <v>#VALUE!</v>
      </c>
      <c r="CO10" t="e">
        <f>AND(Sheet1!B127,"AAAAAFc/Hlw=")</f>
        <v>#VALUE!</v>
      </c>
      <c r="CP10" t="e">
        <f>AND(Sheet1!C127,"AAAAAFc/Hl0=")</f>
        <v>#VALUE!</v>
      </c>
      <c r="CQ10" t="e">
        <f>AND(Sheet1!D127,"AAAAAFc/Hl4=")</f>
        <v>#VALUE!</v>
      </c>
      <c r="CR10" t="e">
        <f>AND(Sheet1!E127,"AAAAAFc/Hl8=")</f>
        <v>#VALUE!</v>
      </c>
      <c r="CS10" t="e">
        <f>AND(Sheet1!F127,"AAAAAFc/HmA=")</f>
        <v>#VALUE!</v>
      </c>
      <c r="CT10" t="e">
        <f>AND(Sheet1!G127,"AAAAAFc/HmE=")</f>
        <v>#VALUE!</v>
      </c>
      <c r="CU10" t="e">
        <f>AND(Sheet1!H127,"AAAAAFc/HmI=")</f>
        <v>#VALUE!</v>
      </c>
      <c r="CV10" t="e">
        <f>AND(Sheet1!I127,"AAAAAFc/HmM=")</f>
        <v>#VALUE!</v>
      </c>
      <c r="CW10" t="e">
        <f>AND(Sheet1!J127,"AAAAAFc/HmQ=")</f>
        <v>#VALUE!</v>
      </c>
      <c r="CX10" t="e">
        <f>AND(Sheet1!K127,"AAAAAFc/HmU=")</f>
        <v>#VALUE!</v>
      </c>
      <c r="CY10" t="e">
        <f>AND(Sheet1!L127,"AAAAAFc/HmY=")</f>
        <v>#VALUE!</v>
      </c>
      <c r="CZ10" t="e">
        <f>AND(Sheet1!M127,"AAAAAFc/Hmc=")</f>
        <v>#VALUE!</v>
      </c>
      <c r="DA10" t="e">
        <f>AND(Sheet1!N127,"AAAAAFc/Hmg=")</f>
        <v>#VALUE!</v>
      </c>
      <c r="DB10" t="e">
        <f>AND(Sheet1!#REF!,"AAAAAFc/Hmk=")</f>
        <v>#REF!</v>
      </c>
      <c r="DC10" t="e">
        <f>AND(Sheet1!#REF!,"AAAAAFc/Hmo=")</f>
        <v>#REF!</v>
      </c>
      <c r="DD10" t="e">
        <f>AND(Sheet1!#REF!,"AAAAAFc/Hms=")</f>
        <v>#REF!</v>
      </c>
      <c r="DE10" t="e">
        <f>AND(Sheet1!#REF!,"AAAAAFc/Hmw=")</f>
        <v>#REF!</v>
      </c>
      <c r="DF10">
        <f>IF(Sheet1!128:128,"AAAAAFc/Hm0=",0)</f>
        <v>0</v>
      </c>
      <c r="DG10" t="e">
        <f>AND(Sheet1!A128,"AAAAAFc/Hm4=")</f>
        <v>#VALUE!</v>
      </c>
      <c r="DH10" t="e">
        <f>AND(Sheet1!B128,"AAAAAFc/Hm8=")</f>
        <v>#VALUE!</v>
      </c>
      <c r="DI10" t="e">
        <f>AND(Sheet1!C128,"AAAAAFc/HnA=")</f>
        <v>#VALUE!</v>
      </c>
      <c r="DJ10" t="e">
        <f>AND(Sheet1!D128,"AAAAAFc/HnE=")</f>
        <v>#VALUE!</v>
      </c>
      <c r="DK10" t="e">
        <f>AND(Sheet1!E128,"AAAAAFc/HnI=")</f>
        <v>#VALUE!</v>
      </c>
      <c r="DL10" t="e">
        <f>AND(Sheet1!F128,"AAAAAFc/HnM=")</f>
        <v>#VALUE!</v>
      </c>
      <c r="DM10" t="e">
        <f>AND(Sheet1!G128,"AAAAAFc/HnQ=")</f>
        <v>#VALUE!</v>
      </c>
      <c r="DN10" t="e">
        <f>AND(Sheet1!H128,"AAAAAFc/HnU=")</f>
        <v>#VALUE!</v>
      </c>
      <c r="DO10" t="e">
        <f>AND(Sheet1!I128,"AAAAAFc/HnY=")</f>
        <v>#VALUE!</v>
      </c>
      <c r="DP10" t="e">
        <f>AND(Sheet1!J128,"AAAAAFc/Hnc=")</f>
        <v>#VALUE!</v>
      </c>
      <c r="DQ10" t="e">
        <f>AND(Sheet1!K128,"AAAAAFc/Hng=")</f>
        <v>#VALUE!</v>
      </c>
      <c r="DR10" t="e">
        <f>AND(Sheet1!L128,"AAAAAFc/Hnk=")</f>
        <v>#VALUE!</v>
      </c>
      <c r="DS10" t="e">
        <f>AND(Sheet1!M128,"AAAAAFc/Hno=")</f>
        <v>#VALUE!</v>
      </c>
      <c r="DT10" t="e">
        <f>AND(Sheet1!N128,"AAAAAFc/Hns=")</f>
        <v>#VALUE!</v>
      </c>
      <c r="DU10" t="e">
        <f>AND(Sheet1!#REF!,"AAAAAFc/Hnw=")</f>
        <v>#REF!</v>
      </c>
      <c r="DV10" t="e">
        <f>AND(Sheet1!#REF!,"AAAAAFc/Hn0=")</f>
        <v>#REF!</v>
      </c>
      <c r="DW10" t="e">
        <f>AND(Sheet1!#REF!,"AAAAAFc/Hn4=")</f>
        <v>#REF!</v>
      </c>
      <c r="DX10" t="e">
        <f>AND(Sheet1!#REF!,"AAAAAFc/Hn8=")</f>
        <v>#REF!</v>
      </c>
      <c r="DY10">
        <f>IF(Sheet1!129:129,"AAAAAFc/HoA=",0)</f>
        <v>0</v>
      </c>
      <c r="DZ10" t="e">
        <f>AND(Sheet1!A129,"AAAAAFc/HoE=")</f>
        <v>#VALUE!</v>
      </c>
      <c r="EA10" t="e">
        <f>AND(Sheet1!B129,"AAAAAFc/HoI=")</f>
        <v>#VALUE!</v>
      </c>
      <c r="EB10" t="e">
        <f>AND(Sheet1!C129,"AAAAAFc/HoM=")</f>
        <v>#VALUE!</v>
      </c>
      <c r="EC10" t="e">
        <f>AND(Sheet1!D129,"AAAAAFc/HoQ=")</f>
        <v>#VALUE!</v>
      </c>
      <c r="ED10" t="e">
        <f>AND(Sheet1!E129,"AAAAAFc/HoU=")</f>
        <v>#VALUE!</v>
      </c>
      <c r="EE10" t="e">
        <f>AND(Sheet1!F129,"AAAAAFc/HoY=")</f>
        <v>#VALUE!</v>
      </c>
      <c r="EF10" t="e">
        <f>AND(Sheet1!G129,"AAAAAFc/Hoc=")</f>
        <v>#VALUE!</v>
      </c>
      <c r="EG10" t="e">
        <f>AND(Sheet1!H129,"AAAAAFc/Hog=")</f>
        <v>#VALUE!</v>
      </c>
      <c r="EH10" t="e">
        <f>AND(Sheet1!I129,"AAAAAFc/Hok=")</f>
        <v>#VALUE!</v>
      </c>
      <c r="EI10" t="e">
        <f>AND(Sheet1!J129,"AAAAAFc/Hoo=")</f>
        <v>#VALUE!</v>
      </c>
      <c r="EJ10" t="e">
        <f>AND(Sheet1!K129,"AAAAAFc/Hos=")</f>
        <v>#VALUE!</v>
      </c>
      <c r="EK10" t="e">
        <f>AND(Sheet1!L129,"AAAAAFc/How=")</f>
        <v>#VALUE!</v>
      </c>
      <c r="EL10" t="e">
        <f>AND(Sheet1!M129,"AAAAAFc/Ho0=")</f>
        <v>#VALUE!</v>
      </c>
      <c r="EM10" t="e">
        <f>AND(Sheet1!N129,"AAAAAFc/Ho4=")</f>
        <v>#VALUE!</v>
      </c>
      <c r="EN10" t="e">
        <f>AND(Sheet1!#REF!,"AAAAAFc/Ho8=")</f>
        <v>#REF!</v>
      </c>
      <c r="EO10" t="e">
        <f>AND(Sheet1!#REF!,"AAAAAFc/HpA=")</f>
        <v>#REF!</v>
      </c>
      <c r="EP10" t="e">
        <f>AND(Sheet1!#REF!,"AAAAAFc/HpE=")</f>
        <v>#REF!</v>
      </c>
      <c r="EQ10" t="e">
        <f>AND(Sheet1!#REF!,"AAAAAFc/HpI=")</f>
        <v>#REF!</v>
      </c>
      <c r="ER10">
        <f>IF(Sheet1!130:130,"AAAAAFc/HpM=",0)</f>
        <v>0</v>
      </c>
      <c r="ES10" t="e">
        <f>AND(Sheet1!A130,"AAAAAFc/HpQ=")</f>
        <v>#VALUE!</v>
      </c>
      <c r="ET10" t="e">
        <f>AND(Sheet1!B130,"AAAAAFc/HpU=")</f>
        <v>#VALUE!</v>
      </c>
      <c r="EU10" t="e">
        <f>AND(Sheet1!C130,"AAAAAFc/HpY=")</f>
        <v>#VALUE!</v>
      </c>
      <c r="EV10" t="e">
        <f>AND(Sheet1!D130,"AAAAAFc/Hpc=")</f>
        <v>#VALUE!</v>
      </c>
      <c r="EW10" t="e">
        <f>AND(Sheet1!E130,"AAAAAFc/Hpg=")</f>
        <v>#VALUE!</v>
      </c>
      <c r="EX10" t="e">
        <f>AND(Sheet1!F130,"AAAAAFc/Hpk=")</f>
        <v>#VALUE!</v>
      </c>
      <c r="EY10" t="e">
        <f>AND(Sheet1!G130,"AAAAAFc/Hpo=")</f>
        <v>#VALUE!</v>
      </c>
      <c r="EZ10" t="e">
        <f>AND(Sheet1!H130,"AAAAAFc/Hps=")</f>
        <v>#VALUE!</v>
      </c>
      <c r="FA10" t="e">
        <f>AND(Sheet1!I130,"AAAAAFc/Hpw=")</f>
        <v>#VALUE!</v>
      </c>
      <c r="FB10" t="e">
        <f>AND(Sheet1!J130,"AAAAAFc/Hp0=")</f>
        <v>#VALUE!</v>
      </c>
      <c r="FC10" t="e">
        <f>AND(Sheet1!K130,"AAAAAFc/Hp4=")</f>
        <v>#VALUE!</v>
      </c>
      <c r="FD10" t="e">
        <f>AND(Sheet1!L130,"AAAAAFc/Hp8=")</f>
        <v>#VALUE!</v>
      </c>
      <c r="FE10" t="e">
        <f>AND(Sheet1!M130,"AAAAAFc/HqA=")</f>
        <v>#VALUE!</v>
      </c>
      <c r="FF10" t="e">
        <f>AND(Sheet1!N130,"AAAAAFc/HqE=")</f>
        <v>#VALUE!</v>
      </c>
      <c r="FG10" t="e">
        <f>AND(Sheet1!#REF!,"AAAAAFc/HqI=")</f>
        <v>#REF!</v>
      </c>
      <c r="FH10" t="e">
        <f>AND(Sheet1!#REF!,"AAAAAFc/HqM=")</f>
        <v>#REF!</v>
      </c>
      <c r="FI10" t="e">
        <f>AND(Sheet1!#REF!,"AAAAAFc/HqQ=")</f>
        <v>#REF!</v>
      </c>
      <c r="FJ10" t="e">
        <f>AND(Sheet1!#REF!,"AAAAAFc/HqU=")</f>
        <v>#REF!</v>
      </c>
      <c r="FK10">
        <f>IF(Sheet1!131:131,"AAAAAFc/HqY=",0)</f>
        <v>0</v>
      </c>
      <c r="FL10" t="e">
        <f>AND(Sheet1!A131,"AAAAAFc/Hqc=")</f>
        <v>#VALUE!</v>
      </c>
      <c r="FM10" t="e">
        <f>AND(Sheet1!B131,"AAAAAFc/Hqg=")</f>
        <v>#VALUE!</v>
      </c>
      <c r="FN10" t="e">
        <f>AND(Sheet1!C131,"AAAAAFc/Hqk=")</f>
        <v>#VALUE!</v>
      </c>
      <c r="FO10" t="e">
        <f>AND(Sheet1!D131,"AAAAAFc/Hqo=")</f>
        <v>#VALUE!</v>
      </c>
      <c r="FP10" t="e">
        <f>AND(Sheet1!E131,"AAAAAFc/Hqs=")</f>
        <v>#VALUE!</v>
      </c>
      <c r="FQ10" t="e">
        <f>AND(Sheet1!F131,"AAAAAFc/Hqw=")</f>
        <v>#VALUE!</v>
      </c>
      <c r="FR10" t="e">
        <f>AND(Sheet1!G131,"AAAAAFc/Hq0=")</f>
        <v>#VALUE!</v>
      </c>
      <c r="FS10" t="e">
        <f>AND(Sheet1!H131,"AAAAAFc/Hq4=")</f>
        <v>#VALUE!</v>
      </c>
      <c r="FT10" t="e">
        <f>AND(Sheet1!I131,"AAAAAFc/Hq8=")</f>
        <v>#VALUE!</v>
      </c>
      <c r="FU10" t="e">
        <f>AND(Sheet1!J131,"AAAAAFc/HrA=")</f>
        <v>#VALUE!</v>
      </c>
      <c r="FV10" t="e">
        <f>AND(Sheet1!K131,"AAAAAFc/HrE=")</f>
        <v>#VALUE!</v>
      </c>
      <c r="FW10" t="e">
        <f>AND(Sheet1!L131,"AAAAAFc/HrI=")</f>
        <v>#VALUE!</v>
      </c>
      <c r="FX10" t="e">
        <f>AND(Sheet1!M131,"AAAAAFc/HrM=")</f>
        <v>#VALUE!</v>
      </c>
      <c r="FY10" t="e">
        <f>AND(Sheet1!N131,"AAAAAFc/HrQ=")</f>
        <v>#VALUE!</v>
      </c>
      <c r="FZ10" t="e">
        <f>AND(Sheet1!#REF!,"AAAAAFc/HrU=")</f>
        <v>#REF!</v>
      </c>
      <c r="GA10" t="e">
        <f>AND(Sheet1!#REF!,"AAAAAFc/HrY=")</f>
        <v>#REF!</v>
      </c>
      <c r="GB10" t="e">
        <f>AND(Sheet1!#REF!,"AAAAAFc/Hrc=")</f>
        <v>#REF!</v>
      </c>
      <c r="GC10" t="e">
        <f>AND(Sheet1!#REF!,"AAAAAFc/Hrg=")</f>
        <v>#REF!</v>
      </c>
      <c r="GD10">
        <f>IF(Sheet1!132:132,"AAAAAFc/Hrk=",0)</f>
        <v>0</v>
      </c>
      <c r="GE10" t="e">
        <f>AND(Sheet1!A132,"AAAAAFc/Hro=")</f>
        <v>#VALUE!</v>
      </c>
      <c r="GF10" t="e">
        <f>AND(Sheet1!B132,"AAAAAFc/Hrs=")</f>
        <v>#VALUE!</v>
      </c>
      <c r="GG10" t="e">
        <f>AND(Sheet1!C132,"AAAAAFc/Hrw=")</f>
        <v>#VALUE!</v>
      </c>
      <c r="GH10" t="e">
        <f>AND(Sheet1!D132,"AAAAAFc/Hr0=")</f>
        <v>#VALUE!</v>
      </c>
      <c r="GI10" t="e">
        <f>AND(Sheet1!E132,"AAAAAFc/Hr4=")</f>
        <v>#VALUE!</v>
      </c>
      <c r="GJ10" t="e">
        <f>AND(Sheet1!F132,"AAAAAFc/Hr8=")</f>
        <v>#VALUE!</v>
      </c>
      <c r="GK10" t="e">
        <f>AND(Sheet1!G132,"AAAAAFc/HsA=")</f>
        <v>#VALUE!</v>
      </c>
      <c r="GL10" t="e">
        <f>AND(Sheet1!H132,"AAAAAFc/HsE=")</f>
        <v>#VALUE!</v>
      </c>
      <c r="GM10" t="e">
        <f>AND(Sheet1!I132,"AAAAAFc/HsI=")</f>
        <v>#VALUE!</v>
      </c>
      <c r="GN10" t="e">
        <f>AND(Sheet1!J132,"AAAAAFc/HsM=")</f>
        <v>#VALUE!</v>
      </c>
      <c r="GO10" t="e">
        <f>AND(Sheet1!K132,"AAAAAFc/HsQ=")</f>
        <v>#VALUE!</v>
      </c>
      <c r="GP10" t="e">
        <f>AND(Sheet1!L132,"AAAAAFc/HsU=")</f>
        <v>#VALUE!</v>
      </c>
      <c r="GQ10" t="e">
        <f>AND(Sheet1!M132,"AAAAAFc/HsY=")</f>
        <v>#VALUE!</v>
      </c>
      <c r="GR10" t="e">
        <f>AND(Sheet1!N132,"AAAAAFc/Hsc=")</f>
        <v>#VALUE!</v>
      </c>
      <c r="GS10" t="e">
        <f>AND(Sheet1!#REF!,"AAAAAFc/Hsg=")</f>
        <v>#REF!</v>
      </c>
      <c r="GT10" t="e">
        <f>AND(Sheet1!#REF!,"AAAAAFc/Hsk=")</f>
        <v>#REF!</v>
      </c>
      <c r="GU10" t="e">
        <f>AND(Sheet1!#REF!,"AAAAAFc/Hso=")</f>
        <v>#REF!</v>
      </c>
      <c r="GV10" t="e">
        <f>AND(Sheet1!#REF!,"AAAAAFc/Hss=")</f>
        <v>#REF!</v>
      </c>
      <c r="GW10">
        <f>IF(Sheet1!133:133,"AAAAAFc/Hsw=",0)</f>
        <v>0</v>
      </c>
      <c r="GX10" t="e">
        <f>AND(Sheet1!A133,"AAAAAFc/Hs0=")</f>
        <v>#VALUE!</v>
      </c>
      <c r="GY10" t="e">
        <f>AND(Sheet1!B133,"AAAAAFc/Hs4=")</f>
        <v>#VALUE!</v>
      </c>
      <c r="GZ10" t="e">
        <f>AND(Sheet1!C133,"AAAAAFc/Hs8=")</f>
        <v>#VALUE!</v>
      </c>
      <c r="HA10" t="e">
        <f>AND(Sheet1!D133,"AAAAAFc/HtA=")</f>
        <v>#VALUE!</v>
      </c>
      <c r="HB10" t="e">
        <f>AND(Sheet1!E133,"AAAAAFc/HtE=")</f>
        <v>#VALUE!</v>
      </c>
      <c r="HC10" t="e">
        <f>AND(Sheet1!F133,"AAAAAFc/HtI=")</f>
        <v>#VALUE!</v>
      </c>
      <c r="HD10" t="e">
        <f>AND(Sheet1!G133,"AAAAAFc/HtM=")</f>
        <v>#VALUE!</v>
      </c>
      <c r="HE10" t="e">
        <f>AND(Sheet1!H133,"AAAAAFc/HtQ=")</f>
        <v>#VALUE!</v>
      </c>
      <c r="HF10" t="e">
        <f>AND(Sheet1!I133,"AAAAAFc/HtU=")</f>
        <v>#VALUE!</v>
      </c>
      <c r="HG10" t="e">
        <f>AND(Sheet1!J133,"AAAAAFc/HtY=")</f>
        <v>#VALUE!</v>
      </c>
      <c r="HH10" t="e">
        <f>AND(Sheet1!K133,"AAAAAFc/Htc=")</f>
        <v>#VALUE!</v>
      </c>
      <c r="HI10" t="e">
        <f>AND(Sheet1!L133,"AAAAAFc/Htg=")</f>
        <v>#VALUE!</v>
      </c>
      <c r="HJ10" t="e">
        <f>AND(Sheet1!M133,"AAAAAFc/Htk=")</f>
        <v>#VALUE!</v>
      </c>
      <c r="HK10" t="e">
        <f>AND(Sheet1!N133,"AAAAAFc/Hto=")</f>
        <v>#VALUE!</v>
      </c>
      <c r="HL10" t="e">
        <f>AND(Sheet1!#REF!,"AAAAAFc/Hts=")</f>
        <v>#REF!</v>
      </c>
      <c r="HM10" t="e">
        <f>AND(Sheet1!#REF!,"AAAAAFc/Htw=")</f>
        <v>#REF!</v>
      </c>
      <c r="HN10" t="e">
        <f>AND(Sheet1!#REF!,"AAAAAFc/Ht0=")</f>
        <v>#REF!</v>
      </c>
      <c r="HO10" t="e">
        <f>AND(Sheet1!#REF!,"AAAAAFc/Ht4=")</f>
        <v>#REF!</v>
      </c>
      <c r="HP10">
        <f>IF(Sheet1!134:134,"AAAAAFc/Ht8=",0)</f>
        <v>0</v>
      </c>
      <c r="HQ10" t="e">
        <f>AND(Sheet1!A134,"AAAAAFc/HuA=")</f>
        <v>#VALUE!</v>
      </c>
      <c r="HR10" t="e">
        <f>AND(Sheet1!B134,"AAAAAFc/HuE=")</f>
        <v>#VALUE!</v>
      </c>
      <c r="HS10" t="e">
        <f>AND(Sheet1!C134,"AAAAAFc/HuI=")</f>
        <v>#VALUE!</v>
      </c>
      <c r="HT10" t="e">
        <f>AND(Sheet1!D134,"AAAAAFc/HuM=")</f>
        <v>#VALUE!</v>
      </c>
      <c r="HU10" t="e">
        <f>AND(Sheet1!E134,"AAAAAFc/HuQ=")</f>
        <v>#VALUE!</v>
      </c>
      <c r="HV10" t="e">
        <f>AND(Sheet1!F134,"AAAAAFc/HuU=")</f>
        <v>#VALUE!</v>
      </c>
      <c r="HW10" t="e">
        <f>AND(Sheet1!G134,"AAAAAFc/HuY=")</f>
        <v>#VALUE!</v>
      </c>
      <c r="HX10" t="e">
        <f>AND(Sheet1!H134,"AAAAAFc/Huc=")</f>
        <v>#VALUE!</v>
      </c>
      <c r="HY10" t="e">
        <f>AND(Sheet1!I134,"AAAAAFc/Hug=")</f>
        <v>#VALUE!</v>
      </c>
      <c r="HZ10" t="e">
        <f>AND(Sheet1!J134,"AAAAAFc/Huk=")</f>
        <v>#VALUE!</v>
      </c>
      <c r="IA10" t="e">
        <f>AND(Sheet1!K134,"AAAAAFc/Huo=")</f>
        <v>#VALUE!</v>
      </c>
      <c r="IB10" t="e">
        <f>AND(Sheet1!L134,"AAAAAFc/Hus=")</f>
        <v>#VALUE!</v>
      </c>
      <c r="IC10" t="e">
        <f>AND(Sheet1!M134,"AAAAAFc/Huw=")</f>
        <v>#VALUE!</v>
      </c>
      <c r="ID10" t="e">
        <f>AND(Sheet1!N134,"AAAAAFc/Hu0=")</f>
        <v>#VALUE!</v>
      </c>
      <c r="IE10" t="e">
        <f>AND(Sheet1!#REF!,"AAAAAFc/Hu4=")</f>
        <v>#REF!</v>
      </c>
      <c r="IF10" t="e">
        <f>AND(Sheet1!#REF!,"AAAAAFc/Hu8=")</f>
        <v>#REF!</v>
      </c>
      <c r="IG10" t="e">
        <f>AND(Sheet1!#REF!,"AAAAAFc/HvA=")</f>
        <v>#REF!</v>
      </c>
      <c r="IH10" t="e">
        <f>AND(Sheet1!#REF!,"AAAAAFc/HvE=")</f>
        <v>#REF!</v>
      </c>
      <c r="II10">
        <f>IF(Sheet1!135:135,"AAAAAFc/HvI=",0)</f>
        <v>0</v>
      </c>
      <c r="IJ10" t="e">
        <f>AND(Sheet1!A135,"AAAAAFc/HvM=")</f>
        <v>#VALUE!</v>
      </c>
      <c r="IK10" t="e">
        <f>AND(Sheet1!B135,"AAAAAFc/HvQ=")</f>
        <v>#VALUE!</v>
      </c>
      <c r="IL10" t="e">
        <f>AND(Sheet1!C135,"AAAAAFc/HvU=")</f>
        <v>#VALUE!</v>
      </c>
      <c r="IM10" t="e">
        <f>AND(Sheet1!D135,"AAAAAFc/HvY=")</f>
        <v>#VALUE!</v>
      </c>
      <c r="IN10" t="e">
        <f>AND(Sheet1!E135,"AAAAAFc/Hvc=")</f>
        <v>#VALUE!</v>
      </c>
      <c r="IO10" t="e">
        <f>AND(Sheet1!F135,"AAAAAFc/Hvg=")</f>
        <v>#VALUE!</v>
      </c>
      <c r="IP10" t="e">
        <f>AND(Sheet1!G135,"AAAAAFc/Hvk=")</f>
        <v>#VALUE!</v>
      </c>
      <c r="IQ10" t="e">
        <f>AND(Sheet1!H135,"AAAAAFc/Hvo=")</f>
        <v>#VALUE!</v>
      </c>
      <c r="IR10" t="e">
        <f>AND(Sheet1!I135,"AAAAAFc/Hvs=")</f>
        <v>#VALUE!</v>
      </c>
      <c r="IS10" t="e">
        <f>AND(Sheet1!J135,"AAAAAFc/Hvw=")</f>
        <v>#VALUE!</v>
      </c>
      <c r="IT10" t="e">
        <f>AND(Sheet1!K135,"AAAAAFc/Hv0=")</f>
        <v>#VALUE!</v>
      </c>
      <c r="IU10" t="e">
        <f>AND(Sheet1!L135,"AAAAAFc/Hv4=")</f>
        <v>#VALUE!</v>
      </c>
      <c r="IV10" t="e">
        <f>AND(Sheet1!M135,"AAAAAFc/Hv8=")</f>
        <v>#VALUE!</v>
      </c>
    </row>
    <row r="11" spans="1:256" x14ac:dyDescent="0.2">
      <c r="A11" t="e">
        <f>AND(Sheet1!N135,"AAAAAHXN9QA=")</f>
        <v>#VALUE!</v>
      </c>
      <c r="B11" t="e">
        <f>AND(Sheet1!#REF!,"AAAAAHXN9QE=")</f>
        <v>#REF!</v>
      </c>
      <c r="C11" t="e">
        <f>AND(Sheet1!#REF!,"AAAAAHXN9QI=")</f>
        <v>#REF!</v>
      </c>
      <c r="D11" t="e">
        <f>AND(Sheet1!#REF!,"AAAAAHXN9QM=")</f>
        <v>#REF!</v>
      </c>
      <c r="E11" t="e">
        <f>AND(Sheet1!#REF!,"AAAAAHXN9QQ=")</f>
        <v>#REF!</v>
      </c>
      <c r="F11" t="e">
        <f>IF(Sheet1!136:136,"AAAAAHXN9QU=",0)</f>
        <v>#VALUE!</v>
      </c>
      <c r="G11" t="e">
        <f>AND(Sheet1!A136,"AAAAAHXN9QY=")</f>
        <v>#VALUE!</v>
      </c>
      <c r="H11" t="e">
        <f>AND(Sheet1!B136,"AAAAAHXN9Qc=")</f>
        <v>#VALUE!</v>
      </c>
      <c r="I11" t="e">
        <f>AND(Sheet1!C136,"AAAAAHXN9Qg=")</f>
        <v>#VALUE!</v>
      </c>
      <c r="J11" t="e">
        <f>AND(Sheet1!D136,"AAAAAHXN9Qk=")</f>
        <v>#VALUE!</v>
      </c>
      <c r="K11" t="e">
        <f>AND(Sheet1!E136,"AAAAAHXN9Qo=")</f>
        <v>#VALUE!</v>
      </c>
      <c r="L11" t="e">
        <f>AND(Sheet1!F136,"AAAAAHXN9Qs=")</f>
        <v>#VALUE!</v>
      </c>
      <c r="M11" t="e">
        <f>AND(Sheet1!G136,"AAAAAHXN9Qw=")</f>
        <v>#VALUE!</v>
      </c>
      <c r="N11" t="e">
        <f>AND(Sheet1!H136,"AAAAAHXN9Q0=")</f>
        <v>#VALUE!</v>
      </c>
      <c r="O11" t="e">
        <f>AND(Sheet1!I136,"AAAAAHXN9Q4=")</f>
        <v>#VALUE!</v>
      </c>
      <c r="P11" t="e">
        <f>AND(Sheet1!J136,"AAAAAHXN9Q8=")</f>
        <v>#VALUE!</v>
      </c>
      <c r="Q11" t="e">
        <f>AND(Sheet1!K136,"AAAAAHXN9RA=")</f>
        <v>#VALUE!</v>
      </c>
      <c r="R11" t="e">
        <f>AND(Sheet1!L136,"AAAAAHXN9RE=")</f>
        <v>#VALUE!</v>
      </c>
      <c r="S11" t="e">
        <f>AND(Sheet1!M136,"AAAAAHXN9RI=")</f>
        <v>#VALUE!</v>
      </c>
      <c r="T11" t="e">
        <f>AND(Sheet1!N136,"AAAAAHXN9RM=")</f>
        <v>#VALUE!</v>
      </c>
      <c r="U11" t="e">
        <f>AND(Sheet1!#REF!,"AAAAAHXN9RQ=")</f>
        <v>#REF!</v>
      </c>
      <c r="V11" t="e">
        <f>AND(Sheet1!#REF!,"AAAAAHXN9RU=")</f>
        <v>#REF!</v>
      </c>
      <c r="W11" t="e">
        <f>AND(Sheet1!#REF!,"AAAAAHXN9RY=")</f>
        <v>#REF!</v>
      </c>
      <c r="X11" t="e">
        <f>AND(Sheet1!#REF!,"AAAAAHXN9Rc=")</f>
        <v>#REF!</v>
      </c>
      <c r="Y11">
        <f>IF(Sheet1!137:137,"AAAAAHXN9Rg=",0)</f>
        <v>0</v>
      </c>
      <c r="Z11" t="e">
        <f>AND(Sheet1!A137,"AAAAAHXN9Rk=")</f>
        <v>#VALUE!</v>
      </c>
      <c r="AA11" t="e">
        <f>AND(Sheet1!B137,"AAAAAHXN9Ro=")</f>
        <v>#VALUE!</v>
      </c>
      <c r="AB11" t="e">
        <f>AND(Sheet1!C137,"AAAAAHXN9Rs=")</f>
        <v>#VALUE!</v>
      </c>
      <c r="AC11" t="e">
        <f>AND(Sheet1!D137,"AAAAAHXN9Rw=")</f>
        <v>#VALUE!</v>
      </c>
      <c r="AD11" t="e">
        <f>AND(Sheet1!E137,"AAAAAHXN9R0=")</f>
        <v>#VALUE!</v>
      </c>
      <c r="AE11" t="e">
        <f>AND(Sheet1!F137,"AAAAAHXN9R4=")</f>
        <v>#VALUE!</v>
      </c>
      <c r="AF11" t="e">
        <f>AND(Sheet1!G137,"AAAAAHXN9R8=")</f>
        <v>#VALUE!</v>
      </c>
      <c r="AG11" t="e">
        <f>AND(Sheet1!H137,"AAAAAHXN9SA=")</f>
        <v>#VALUE!</v>
      </c>
      <c r="AH11" t="e">
        <f>AND(Sheet1!I137,"AAAAAHXN9SE=")</f>
        <v>#VALUE!</v>
      </c>
      <c r="AI11" t="e">
        <f>AND(Sheet1!J137,"AAAAAHXN9SI=")</f>
        <v>#VALUE!</v>
      </c>
      <c r="AJ11" t="e">
        <f>AND(Sheet1!K137,"AAAAAHXN9SM=")</f>
        <v>#VALUE!</v>
      </c>
      <c r="AK11" t="e">
        <f>AND(Sheet1!L137,"AAAAAHXN9SQ=")</f>
        <v>#VALUE!</v>
      </c>
      <c r="AL11" t="e">
        <f>AND(Sheet1!M137,"AAAAAHXN9SU=")</f>
        <v>#VALUE!</v>
      </c>
      <c r="AM11" t="e">
        <f>AND(Sheet1!N137,"AAAAAHXN9SY=")</f>
        <v>#VALUE!</v>
      </c>
      <c r="AN11" t="e">
        <f>AND(Sheet1!#REF!,"AAAAAHXN9Sc=")</f>
        <v>#REF!</v>
      </c>
      <c r="AO11" t="e">
        <f>AND(Sheet1!#REF!,"AAAAAHXN9Sg=")</f>
        <v>#REF!</v>
      </c>
      <c r="AP11" t="e">
        <f>AND(Sheet1!#REF!,"AAAAAHXN9Sk=")</f>
        <v>#REF!</v>
      </c>
      <c r="AQ11" t="e">
        <f>AND(Sheet1!#REF!,"AAAAAHXN9So=")</f>
        <v>#REF!</v>
      </c>
      <c r="AR11">
        <f>IF(Sheet1!138:138,"AAAAAHXN9Ss=",0)</f>
        <v>0</v>
      </c>
      <c r="AS11" t="e">
        <f>AND(Sheet1!A138,"AAAAAHXN9Sw=")</f>
        <v>#VALUE!</v>
      </c>
      <c r="AT11" t="e">
        <f>AND(Sheet1!B138,"AAAAAHXN9S0=")</f>
        <v>#VALUE!</v>
      </c>
      <c r="AU11" t="e">
        <f>AND(Sheet1!C138,"AAAAAHXN9S4=")</f>
        <v>#VALUE!</v>
      </c>
      <c r="AV11" t="e">
        <f>AND(Sheet1!D138,"AAAAAHXN9S8=")</f>
        <v>#VALUE!</v>
      </c>
      <c r="AW11" t="e">
        <f>AND(Sheet1!E138,"AAAAAHXN9TA=")</f>
        <v>#VALUE!</v>
      </c>
      <c r="AX11" t="e">
        <f>AND(Sheet1!F138,"AAAAAHXN9TE=")</f>
        <v>#VALUE!</v>
      </c>
      <c r="AY11" t="e">
        <f>AND(Sheet1!G138,"AAAAAHXN9TI=")</f>
        <v>#VALUE!</v>
      </c>
      <c r="AZ11" t="e">
        <f>AND(Sheet1!H138,"AAAAAHXN9TM=")</f>
        <v>#VALUE!</v>
      </c>
      <c r="BA11" t="e">
        <f>AND(Sheet1!I138,"AAAAAHXN9TQ=")</f>
        <v>#VALUE!</v>
      </c>
      <c r="BB11" t="e">
        <f>AND(Sheet1!J138,"AAAAAHXN9TU=")</f>
        <v>#VALUE!</v>
      </c>
      <c r="BC11" t="e">
        <f>AND(Sheet1!K138,"AAAAAHXN9TY=")</f>
        <v>#VALUE!</v>
      </c>
      <c r="BD11" t="e">
        <f>AND(Sheet1!L138,"AAAAAHXN9Tc=")</f>
        <v>#VALUE!</v>
      </c>
      <c r="BE11" t="e">
        <f>AND(Sheet1!M138,"AAAAAHXN9Tg=")</f>
        <v>#VALUE!</v>
      </c>
      <c r="BF11" t="e">
        <f>AND(Sheet1!N138,"AAAAAHXN9Tk=")</f>
        <v>#VALUE!</v>
      </c>
      <c r="BG11" t="e">
        <f>AND(Sheet1!#REF!,"AAAAAHXN9To=")</f>
        <v>#REF!</v>
      </c>
      <c r="BH11" t="e">
        <f>AND(Sheet1!#REF!,"AAAAAHXN9Ts=")</f>
        <v>#REF!</v>
      </c>
      <c r="BI11" t="e">
        <f>AND(Sheet1!#REF!,"AAAAAHXN9Tw=")</f>
        <v>#REF!</v>
      </c>
      <c r="BJ11" t="e">
        <f>AND(Sheet1!#REF!,"AAAAAHXN9T0=")</f>
        <v>#REF!</v>
      </c>
      <c r="BK11">
        <f>IF(Sheet1!139:139,"AAAAAHXN9T4=",0)</f>
        <v>0</v>
      </c>
      <c r="BL11" t="e">
        <f>AND(Sheet1!A139,"AAAAAHXN9T8=")</f>
        <v>#VALUE!</v>
      </c>
      <c r="BM11" t="e">
        <f>AND(Sheet1!B139,"AAAAAHXN9UA=")</f>
        <v>#VALUE!</v>
      </c>
      <c r="BN11" t="e">
        <f>AND(Sheet1!C139,"AAAAAHXN9UE=")</f>
        <v>#VALUE!</v>
      </c>
      <c r="BO11" t="e">
        <f>AND(Sheet1!D139,"AAAAAHXN9UI=")</f>
        <v>#VALUE!</v>
      </c>
      <c r="BP11" t="e">
        <f>AND(Sheet1!E139,"AAAAAHXN9UM=")</f>
        <v>#VALUE!</v>
      </c>
      <c r="BQ11" t="e">
        <f>AND(Sheet1!F139,"AAAAAHXN9UQ=")</f>
        <v>#VALUE!</v>
      </c>
      <c r="BR11" t="e">
        <f>AND(Sheet1!G139,"AAAAAHXN9UU=")</f>
        <v>#VALUE!</v>
      </c>
      <c r="BS11" t="e">
        <f>AND(Sheet1!H139,"AAAAAHXN9UY=")</f>
        <v>#VALUE!</v>
      </c>
      <c r="BT11" t="e">
        <f>AND(Sheet1!I139,"AAAAAHXN9Uc=")</f>
        <v>#VALUE!</v>
      </c>
      <c r="BU11" t="e">
        <f>AND(Sheet1!J139,"AAAAAHXN9Ug=")</f>
        <v>#VALUE!</v>
      </c>
      <c r="BV11" t="e">
        <f>AND(Sheet1!K139,"AAAAAHXN9Uk=")</f>
        <v>#VALUE!</v>
      </c>
      <c r="BW11" t="e">
        <f>AND(Sheet1!L139,"AAAAAHXN9Uo=")</f>
        <v>#VALUE!</v>
      </c>
      <c r="BX11" t="e">
        <f>AND(Sheet1!M139,"AAAAAHXN9Us=")</f>
        <v>#VALUE!</v>
      </c>
      <c r="BY11" t="e">
        <f>AND(Sheet1!N139,"AAAAAHXN9Uw=")</f>
        <v>#VALUE!</v>
      </c>
      <c r="BZ11" t="e">
        <f>AND(Sheet1!#REF!,"AAAAAHXN9U0=")</f>
        <v>#REF!</v>
      </c>
      <c r="CA11" t="e">
        <f>AND(Sheet1!#REF!,"AAAAAHXN9U4=")</f>
        <v>#REF!</v>
      </c>
      <c r="CB11" t="e">
        <f>AND(Sheet1!#REF!,"AAAAAHXN9U8=")</f>
        <v>#REF!</v>
      </c>
      <c r="CC11" t="e">
        <f>AND(Sheet1!#REF!,"AAAAAHXN9VA=")</f>
        <v>#REF!</v>
      </c>
      <c r="CD11">
        <f>IF(Sheet1!140:140,"AAAAAHXN9VE=",0)</f>
        <v>0</v>
      </c>
      <c r="CE11" t="e">
        <f>AND(Sheet1!A140,"AAAAAHXN9VI=")</f>
        <v>#VALUE!</v>
      </c>
      <c r="CF11" t="e">
        <f>AND(Sheet1!B140,"AAAAAHXN9VM=")</f>
        <v>#VALUE!</v>
      </c>
      <c r="CG11" t="e">
        <f>AND(Sheet1!C140,"AAAAAHXN9VQ=")</f>
        <v>#VALUE!</v>
      </c>
      <c r="CH11" t="e">
        <f>AND(Sheet1!D140,"AAAAAHXN9VU=")</f>
        <v>#VALUE!</v>
      </c>
      <c r="CI11" t="e">
        <f>AND(Sheet1!E140,"AAAAAHXN9VY=")</f>
        <v>#VALUE!</v>
      </c>
      <c r="CJ11" t="e">
        <f>AND(Sheet1!F140,"AAAAAHXN9Vc=")</f>
        <v>#VALUE!</v>
      </c>
      <c r="CK11" t="e">
        <f>AND(Sheet1!G140,"AAAAAHXN9Vg=")</f>
        <v>#VALUE!</v>
      </c>
      <c r="CL11" t="e">
        <f>AND(Sheet1!H140,"AAAAAHXN9Vk=")</f>
        <v>#VALUE!</v>
      </c>
      <c r="CM11" t="e">
        <f>AND(Sheet1!I140,"AAAAAHXN9Vo=")</f>
        <v>#VALUE!</v>
      </c>
      <c r="CN11" t="e">
        <f>AND(Sheet1!J140,"AAAAAHXN9Vs=")</f>
        <v>#VALUE!</v>
      </c>
      <c r="CO11" t="e">
        <f>AND(Sheet1!K140,"AAAAAHXN9Vw=")</f>
        <v>#VALUE!</v>
      </c>
      <c r="CP11" t="e">
        <f>AND(Sheet1!L140,"AAAAAHXN9V0=")</f>
        <v>#VALUE!</v>
      </c>
      <c r="CQ11" t="e">
        <f>AND(Sheet1!M140,"AAAAAHXN9V4=")</f>
        <v>#VALUE!</v>
      </c>
      <c r="CR11" t="e">
        <f>AND(Sheet1!N140,"AAAAAHXN9V8=")</f>
        <v>#VALUE!</v>
      </c>
      <c r="CS11" t="e">
        <f>AND(Sheet1!#REF!,"AAAAAHXN9WA=")</f>
        <v>#REF!</v>
      </c>
      <c r="CT11" t="e">
        <f>AND(Sheet1!#REF!,"AAAAAHXN9WE=")</f>
        <v>#REF!</v>
      </c>
      <c r="CU11" t="e">
        <f>AND(Sheet1!#REF!,"AAAAAHXN9WI=")</f>
        <v>#REF!</v>
      </c>
      <c r="CV11" t="e">
        <f>AND(Sheet1!#REF!,"AAAAAHXN9WM=")</f>
        <v>#REF!</v>
      </c>
      <c r="CW11">
        <f>IF(Sheet1!141:141,"AAAAAHXN9WQ=",0)</f>
        <v>0</v>
      </c>
      <c r="CX11" t="e">
        <f>AND(Sheet1!A141,"AAAAAHXN9WU=")</f>
        <v>#VALUE!</v>
      </c>
      <c r="CY11" t="e">
        <f>AND(Sheet1!B141,"AAAAAHXN9WY=")</f>
        <v>#VALUE!</v>
      </c>
      <c r="CZ11" t="e">
        <f>AND(Sheet1!C141,"AAAAAHXN9Wc=")</f>
        <v>#VALUE!</v>
      </c>
      <c r="DA11" t="e">
        <f>AND(Sheet1!D141,"AAAAAHXN9Wg=")</f>
        <v>#VALUE!</v>
      </c>
      <c r="DB11" t="e">
        <f>AND(Sheet1!E141,"AAAAAHXN9Wk=")</f>
        <v>#VALUE!</v>
      </c>
      <c r="DC11" t="e">
        <f>AND(Sheet1!F141,"AAAAAHXN9Wo=")</f>
        <v>#VALUE!</v>
      </c>
      <c r="DD11" t="e">
        <f>AND(Sheet1!G141,"AAAAAHXN9Ws=")</f>
        <v>#VALUE!</v>
      </c>
      <c r="DE11" t="e">
        <f>AND(Sheet1!H141,"AAAAAHXN9Ww=")</f>
        <v>#VALUE!</v>
      </c>
      <c r="DF11" t="e">
        <f>AND(Sheet1!I141,"AAAAAHXN9W0=")</f>
        <v>#VALUE!</v>
      </c>
      <c r="DG11" t="e">
        <f>AND(Sheet1!J141,"AAAAAHXN9W4=")</f>
        <v>#VALUE!</v>
      </c>
      <c r="DH11" t="e">
        <f>AND(Sheet1!K141,"AAAAAHXN9W8=")</f>
        <v>#VALUE!</v>
      </c>
      <c r="DI11" t="e">
        <f>AND(Sheet1!L141,"AAAAAHXN9XA=")</f>
        <v>#VALUE!</v>
      </c>
      <c r="DJ11" t="e">
        <f>AND(Sheet1!M141,"AAAAAHXN9XE=")</f>
        <v>#VALUE!</v>
      </c>
      <c r="DK11" t="e">
        <f>AND(Sheet1!N141,"AAAAAHXN9XI=")</f>
        <v>#VALUE!</v>
      </c>
      <c r="DL11" t="e">
        <f>AND(Sheet1!#REF!,"AAAAAHXN9XM=")</f>
        <v>#REF!</v>
      </c>
      <c r="DM11" t="e">
        <f>AND(Sheet1!#REF!,"AAAAAHXN9XQ=")</f>
        <v>#REF!</v>
      </c>
      <c r="DN11" t="e">
        <f>AND(Sheet1!#REF!,"AAAAAHXN9XU=")</f>
        <v>#REF!</v>
      </c>
      <c r="DO11" t="e">
        <f>AND(Sheet1!#REF!,"AAAAAHXN9XY=")</f>
        <v>#REF!</v>
      </c>
      <c r="DP11">
        <f>IF(Sheet1!142:142,"AAAAAHXN9Xc=",0)</f>
        <v>0</v>
      </c>
      <c r="DQ11" t="e">
        <f>AND(Sheet1!A142,"AAAAAHXN9Xg=")</f>
        <v>#VALUE!</v>
      </c>
      <c r="DR11" t="e">
        <f>AND(Sheet1!B142,"AAAAAHXN9Xk=")</f>
        <v>#VALUE!</v>
      </c>
      <c r="DS11" t="e">
        <f>AND(Sheet1!C142,"AAAAAHXN9Xo=")</f>
        <v>#VALUE!</v>
      </c>
      <c r="DT11" t="e">
        <f>AND(Sheet1!D142,"AAAAAHXN9Xs=")</f>
        <v>#VALUE!</v>
      </c>
      <c r="DU11" t="e">
        <f>AND(Sheet1!E142,"AAAAAHXN9Xw=")</f>
        <v>#VALUE!</v>
      </c>
      <c r="DV11" t="e">
        <f>AND(Sheet1!F142,"AAAAAHXN9X0=")</f>
        <v>#VALUE!</v>
      </c>
      <c r="DW11" t="e">
        <f>AND(Sheet1!G142,"AAAAAHXN9X4=")</f>
        <v>#VALUE!</v>
      </c>
      <c r="DX11" t="e">
        <f>AND(Sheet1!H142,"AAAAAHXN9X8=")</f>
        <v>#VALUE!</v>
      </c>
      <c r="DY11" t="e">
        <f>AND(Sheet1!I142,"AAAAAHXN9YA=")</f>
        <v>#VALUE!</v>
      </c>
      <c r="DZ11" t="e">
        <f>AND(Sheet1!J142,"AAAAAHXN9YE=")</f>
        <v>#VALUE!</v>
      </c>
      <c r="EA11" t="e">
        <f>AND(Sheet1!K142,"AAAAAHXN9YI=")</f>
        <v>#VALUE!</v>
      </c>
      <c r="EB11" t="e">
        <f>AND(Sheet1!L142,"AAAAAHXN9YM=")</f>
        <v>#VALUE!</v>
      </c>
      <c r="EC11" t="e">
        <f>AND(Sheet1!M142,"AAAAAHXN9YQ=")</f>
        <v>#VALUE!</v>
      </c>
      <c r="ED11" t="e">
        <f>AND(Sheet1!N142,"AAAAAHXN9YU=")</f>
        <v>#VALUE!</v>
      </c>
      <c r="EE11" t="e">
        <f>AND(Sheet1!#REF!,"AAAAAHXN9YY=")</f>
        <v>#REF!</v>
      </c>
      <c r="EF11" t="e">
        <f>AND(Sheet1!#REF!,"AAAAAHXN9Yc=")</f>
        <v>#REF!</v>
      </c>
      <c r="EG11" t="e">
        <f>AND(Sheet1!#REF!,"AAAAAHXN9Yg=")</f>
        <v>#REF!</v>
      </c>
      <c r="EH11" t="e">
        <f>AND(Sheet1!#REF!,"AAAAAHXN9Yk=")</f>
        <v>#REF!</v>
      </c>
      <c r="EI11">
        <f>IF(Sheet1!143:143,"AAAAAHXN9Yo=",0)</f>
        <v>0</v>
      </c>
      <c r="EJ11" t="e">
        <f>AND(Sheet1!A143,"AAAAAHXN9Ys=")</f>
        <v>#VALUE!</v>
      </c>
      <c r="EK11" t="e">
        <f>AND(Sheet1!B143,"AAAAAHXN9Yw=")</f>
        <v>#VALUE!</v>
      </c>
      <c r="EL11" t="e">
        <f>AND(Sheet1!C143,"AAAAAHXN9Y0=")</f>
        <v>#VALUE!</v>
      </c>
      <c r="EM11" t="e">
        <f>AND(Sheet1!D143,"AAAAAHXN9Y4=")</f>
        <v>#VALUE!</v>
      </c>
      <c r="EN11" t="e">
        <f>AND(Sheet1!E143,"AAAAAHXN9Y8=")</f>
        <v>#VALUE!</v>
      </c>
      <c r="EO11" t="e">
        <f>AND(Sheet1!F143,"AAAAAHXN9ZA=")</f>
        <v>#VALUE!</v>
      </c>
      <c r="EP11" t="e">
        <f>AND(Sheet1!G143,"AAAAAHXN9ZE=")</f>
        <v>#VALUE!</v>
      </c>
      <c r="EQ11" t="e">
        <f>AND(Sheet1!H143,"AAAAAHXN9ZI=")</f>
        <v>#VALUE!</v>
      </c>
      <c r="ER11" t="e">
        <f>AND(Sheet1!I143,"AAAAAHXN9ZM=")</f>
        <v>#VALUE!</v>
      </c>
      <c r="ES11" t="e">
        <f>AND(Sheet1!J143,"AAAAAHXN9ZQ=")</f>
        <v>#VALUE!</v>
      </c>
      <c r="ET11" t="e">
        <f>AND(Sheet1!K143,"AAAAAHXN9ZU=")</f>
        <v>#VALUE!</v>
      </c>
      <c r="EU11" t="e">
        <f>AND(Sheet1!L143,"AAAAAHXN9ZY=")</f>
        <v>#VALUE!</v>
      </c>
      <c r="EV11" t="e">
        <f>AND(Sheet1!M143,"AAAAAHXN9Zc=")</f>
        <v>#VALUE!</v>
      </c>
      <c r="EW11" t="e">
        <f>AND(Sheet1!N143,"AAAAAHXN9Zg=")</f>
        <v>#VALUE!</v>
      </c>
      <c r="EX11" t="e">
        <f>AND(Sheet1!#REF!,"AAAAAHXN9Zk=")</f>
        <v>#REF!</v>
      </c>
      <c r="EY11" t="e">
        <f>AND(Sheet1!#REF!,"AAAAAHXN9Zo=")</f>
        <v>#REF!</v>
      </c>
      <c r="EZ11" t="e">
        <f>AND(Sheet1!#REF!,"AAAAAHXN9Zs=")</f>
        <v>#REF!</v>
      </c>
      <c r="FA11" t="e">
        <f>AND(Sheet1!#REF!,"AAAAAHXN9Zw=")</f>
        <v>#REF!</v>
      </c>
      <c r="FB11">
        <f>IF(Sheet1!144:144,"AAAAAHXN9Z0=",0)</f>
        <v>0</v>
      </c>
      <c r="FC11" t="e">
        <f>AND(Sheet1!A144,"AAAAAHXN9Z4=")</f>
        <v>#VALUE!</v>
      </c>
      <c r="FD11" t="e">
        <f>AND(Sheet1!B144,"AAAAAHXN9Z8=")</f>
        <v>#VALUE!</v>
      </c>
      <c r="FE11" t="e">
        <f>AND(Sheet1!C144,"AAAAAHXN9aA=")</f>
        <v>#VALUE!</v>
      </c>
      <c r="FF11" t="e">
        <f>AND(Sheet1!D144,"AAAAAHXN9aE=")</f>
        <v>#VALUE!</v>
      </c>
      <c r="FG11" t="e">
        <f>AND(Sheet1!E144,"AAAAAHXN9aI=")</f>
        <v>#VALUE!</v>
      </c>
      <c r="FH11" t="e">
        <f>AND(Sheet1!F144,"AAAAAHXN9aM=")</f>
        <v>#VALUE!</v>
      </c>
      <c r="FI11" t="e">
        <f>AND(Sheet1!G144,"AAAAAHXN9aQ=")</f>
        <v>#VALUE!</v>
      </c>
      <c r="FJ11" t="e">
        <f>AND(Sheet1!H144,"AAAAAHXN9aU=")</f>
        <v>#VALUE!</v>
      </c>
      <c r="FK11" t="e">
        <f>AND(Sheet1!I144,"AAAAAHXN9aY=")</f>
        <v>#VALUE!</v>
      </c>
      <c r="FL11" t="e">
        <f>AND(Sheet1!J144,"AAAAAHXN9ac=")</f>
        <v>#VALUE!</v>
      </c>
      <c r="FM11" t="e">
        <f>AND(Sheet1!K144,"AAAAAHXN9ag=")</f>
        <v>#VALUE!</v>
      </c>
      <c r="FN11" t="e">
        <f>AND(Sheet1!L144,"AAAAAHXN9ak=")</f>
        <v>#VALUE!</v>
      </c>
      <c r="FO11" t="e">
        <f>AND(Sheet1!M144,"AAAAAHXN9ao=")</f>
        <v>#VALUE!</v>
      </c>
      <c r="FP11" t="e">
        <f>AND(Sheet1!N144,"AAAAAHXN9as=")</f>
        <v>#VALUE!</v>
      </c>
      <c r="FQ11" t="e">
        <f>AND(Sheet1!#REF!,"AAAAAHXN9aw=")</f>
        <v>#REF!</v>
      </c>
      <c r="FR11" t="e">
        <f>AND(Sheet1!#REF!,"AAAAAHXN9a0=")</f>
        <v>#REF!</v>
      </c>
      <c r="FS11" t="e">
        <f>AND(Sheet1!#REF!,"AAAAAHXN9a4=")</f>
        <v>#REF!</v>
      </c>
      <c r="FT11" t="e">
        <f>AND(Sheet1!#REF!,"AAAAAHXN9a8=")</f>
        <v>#REF!</v>
      </c>
      <c r="FU11">
        <f>IF(Sheet1!145:145,"AAAAAHXN9bA=",0)</f>
        <v>0</v>
      </c>
      <c r="FV11" t="e">
        <f>AND(Sheet1!A145,"AAAAAHXN9bE=")</f>
        <v>#VALUE!</v>
      </c>
      <c r="FW11" t="e">
        <f>AND(Sheet1!B145,"AAAAAHXN9bI=")</f>
        <v>#VALUE!</v>
      </c>
      <c r="FX11" t="e">
        <f>AND(Sheet1!C145,"AAAAAHXN9bM=")</f>
        <v>#VALUE!</v>
      </c>
      <c r="FY11" t="e">
        <f>AND(Sheet1!D145,"AAAAAHXN9bQ=")</f>
        <v>#VALUE!</v>
      </c>
      <c r="FZ11" t="e">
        <f>AND(Sheet1!E145,"AAAAAHXN9bU=")</f>
        <v>#VALUE!</v>
      </c>
      <c r="GA11" t="e">
        <f>AND(Sheet1!F145,"AAAAAHXN9bY=")</f>
        <v>#VALUE!</v>
      </c>
      <c r="GB11" t="e">
        <f>AND(Sheet1!G145,"AAAAAHXN9bc=")</f>
        <v>#VALUE!</v>
      </c>
      <c r="GC11" t="e">
        <f>AND(Sheet1!H145,"AAAAAHXN9bg=")</f>
        <v>#VALUE!</v>
      </c>
      <c r="GD11" t="e">
        <f>AND(Sheet1!I145,"AAAAAHXN9bk=")</f>
        <v>#VALUE!</v>
      </c>
      <c r="GE11" t="e">
        <f>AND(Sheet1!J145,"AAAAAHXN9bo=")</f>
        <v>#VALUE!</v>
      </c>
      <c r="GF11" t="e">
        <f>AND(Sheet1!K145,"AAAAAHXN9bs=")</f>
        <v>#VALUE!</v>
      </c>
      <c r="GG11" t="e">
        <f>AND(Sheet1!L145,"AAAAAHXN9bw=")</f>
        <v>#VALUE!</v>
      </c>
      <c r="GH11" t="e">
        <f>AND(Sheet1!M145,"AAAAAHXN9b0=")</f>
        <v>#VALUE!</v>
      </c>
      <c r="GI11" t="e">
        <f>AND(Sheet1!N145,"AAAAAHXN9b4=")</f>
        <v>#VALUE!</v>
      </c>
      <c r="GJ11" t="e">
        <f>AND(Sheet1!#REF!,"AAAAAHXN9b8=")</f>
        <v>#REF!</v>
      </c>
      <c r="GK11" t="e">
        <f>AND(Sheet1!#REF!,"AAAAAHXN9cA=")</f>
        <v>#REF!</v>
      </c>
      <c r="GL11" t="e">
        <f>AND(Sheet1!#REF!,"AAAAAHXN9cE=")</f>
        <v>#REF!</v>
      </c>
      <c r="GM11" t="e">
        <f>AND(Sheet1!#REF!,"AAAAAHXN9cI=")</f>
        <v>#REF!</v>
      </c>
      <c r="GN11">
        <f>IF(Sheet1!146:146,"AAAAAHXN9cM=",0)</f>
        <v>0</v>
      </c>
      <c r="GO11" t="e">
        <f>AND(Sheet1!A146,"AAAAAHXN9cQ=")</f>
        <v>#VALUE!</v>
      </c>
      <c r="GP11" t="e">
        <f>AND(Sheet1!B146,"AAAAAHXN9cU=")</f>
        <v>#VALUE!</v>
      </c>
      <c r="GQ11" t="e">
        <f>AND(Sheet1!C146,"AAAAAHXN9cY=")</f>
        <v>#VALUE!</v>
      </c>
      <c r="GR11" t="e">
        <f>AND(Sheet1!D146,"AAAAAHXN9cc=")</f>
        <v>#VALUE!</v>
      </c>
      <c r="GS11" t="e">
        <f>AND(Sheet1!E146,"AAAAAHXN9cg=")</f>
        <v>#VALUE!</v>
      </c>
      <c r="GT11" t="e">
        <f>AND(Sheet1!F146,"AAAAAHXN9ck=")</f>
        <v>#VALUE!</v>
      </c>
      <c r="GU11" t="e">
        <f>AND(Sheet1!G146,"AAAAAHXN9co=")</f>
        <v>#VALUE!</v>
      </c>
      <c r="GV11" t="e">
        <f>AND(Sheet1!H146,"AAAAAHXN9cs=")</f>
        <v>#VALUE!</v>
      </c>
      <c r="GW11" t="e">
        <f>AND(Sheet1!I146,"AAAAAHXN9cw=")</f>
        <v>#VALUE!</v>
      </c>
      <c r="GX11" t="e">
        <f>AND(Sheet1!J146,"AAAAAHXN9c0=")</f>
        <v>#VALUE!</v>
      </c>
      <c r="GY11" t="e">
        <f>AND(Sheet1!K146,"AAAAAHXN9c4=")</f>
        <v>#VALUE!</v>
      </c>
      <c r="GZ11" t="e">
        <f>AND(Sheet1!L146,"AAAAAHXN9c8=")</f>
        <v>#VALUE!</v>
      </c>
      <c r="HA11" t="e">
        <f>AND(Sheet1!M146,"AAAAAHXN9dA=")</f>
        <v>#VALUE!</v>
      </c>
      <c r="HB11" t="e">
        <f>AND(Sheet1!N146,"AAAAAHXN9dE=")</f>
        <v>#VALUE!</v>
      </c>
      <c r="HC11" t="e">
        <f>AND(Sheet1!#REF!,"AAAAAHXN9dI=")</f>
        <v>#REF!</v>
      </c>
      <c r="HD11" t="e">
        <f>AND(Sheet1!#REF!,"AAAAAHXN9dM=")</f>
        <v>#REF!</v>
      </c>
      <c r="HE11" t="e">
        <f>AND(Sheet1!#REF!,"AAAAAHXN9dQ=")</f>
        <v>#REF!</v>
      </c>
      <c r="HF11" t="e">
        <f>AND(Sheet1!#REF!,"AAAAAHXN9dU=")</f>
        <v>#REF!</v>
      </c>
      <c r="HG11">
        <f>IF(Sheet1!147:147,"AAAAAHXN9dY=",0)</f>
        <v>0</v>
      </c>
      <c r="HH11" t="e">
        <f>AND(Sheet1!A147,"AAAAAHXN9dc=")</f>
        <v>#VALUE!</v>
      </c>
      <c r="HI11" t="e">
        <f>AND(Sheet1!B147,"AAAAAHXN9dg=")</f>
        <v>#VALUE!</v>
      </c>
      <c r="HJ11" t="e">
        <f>AND(Sheet1!C147,"AAAAAHXN9dk=")</f>
        <v>#VALUE!</v>
      </c>
      <c r="HK11" t="e">
        <f>AND(Sheet1!D147,"AAAAAHXN9do=")</f>
        <v>#VALUE!</v>
      </c>
      <c r="HL11" t="e">
        <f>AND(Sheet1!E147,"AAAAAHXN9ds=")</f>
        <v>#VALUE!</v>
      </c>
      <c r="HM11" t="e">
        <f>AND(Sheet1!F147,"AAAAAHXN9dw=")</f>
        <v>#VALUE!</v>
      </c>
      <c r="HN11" t="e">
        <f>AND(Sheet1!G147,"AAAAAHXN9d0=")</f>
        <v>#VALUE!</v>
      </c>
      <c r="HO11" t="e">
        <f>AND(Sheet1!H147,"AAAAAHXN9d4=")</f>
        <v>#VALUE!</v>
      </c>
      <c r="HP11" t="e">
        <f>AND(Sheet1!I147,"AAAAAHXN9d8=")</f>
        <v>#VALUE!</v>
      </c>
      <c r="HQ11" t="e">
        <f>AND(Sheet1!J147,"AAAAAHXN9eA=")</f>
        <v>#VALUE!</v>
      </c>
      <c r="HR11" t="e">
        <f>AND(Sheet1!K147,"AAAAAHXN9eE=")</f>
        <v>#VALUE!</v>
      </c>
      <c r="HS11" t="e">
        <f>AND(Sheet1!L147,"AAAAAHXN9eI=")</f>
        <v>#VALUE!</v>
      </c>
      <c r="HT11" t="e">
        <f>AND(Sheet1!M147,"AAAAAHXN9eM=")</f>
        <v>#VALUE!</v>
      </c>
      <c r="HU11" t="e">
        <f>AND(Sheet1!N147,"AAAAAHXN9eQ=")</f>
        <v>#VALUE!</v>
      </c>
      <c r="HV11" t="e">
        <f>AND(Sheet1!#REF!,"AAAAAHXN9eU=")</f>
        <v>#REF!</v>
      </c>
      <c r="HW11" t="e">
        <f>AND(Sheet1!#REF!,"AAAAAHXN9eY=")</f>
        <v>#REF!</v>
      </c>
      <c r="HX11" t="e">
        <f>AND(Sheet1!#REF!,"AAAAAHXN9ec=")</f>
        <v>#REF!</v>
      </c>
      <c r="HY11" t="e">
        <f>AND(Sheet1!#REF!,"AAAAAHXN9eg=")</f>
        <v>#REF!</v>
      </c>
      <c r="HZ11">
        <f>IF(Sheet1!148:148,"AAAAAHXN9ek=",0)</f>
        <v>0</v>
      </c>
      <c r="IA11" t="e">
        <f>AND(Sheet1!A148,"AAAAAHXN9eo=")</f>
        <v>#VALUE!</v>
      </c>
      <c r="IB11" t="e">
        <f>AND(Sheet1!B148,"AAAAAHXN9es=")</f>
        <v>#VALUE!</v>
      </c>
      <c r="IC11" t="e">
        <f>AND(Sheet1!C148,"AAAAAHXN9ew=")</f>
        <v>#VALUE!</v>
      </c>
      <c r="ID11" t="e">
        <f>AND(Sheet1!D148,"AAAAAHXN9e0=")</f>
        <v>#VALUE!</v>
      </c>
      <c r="IE11" t="e">
        <f>AND(Sheet1!E148,"AAAAAHXN9e4=")</f>
        <v>#VALUE!</v>
      </c>
      <c r="IF11" t="e">
        <f>AND(Sheet1!F148,"AAAAAHXN9e8=")</f>
        <v>#VALUE!</v>
      </c>
      <c r="IG11" t="e">
        <f>AND(Sheet1!G148,"AAAAAHXN9fA=")</f>
        <v>#VALUE!</v>
      </c>
      <c r="IH11" t="e">
        <f>AND(Sheet1!H148,"AAAAAHXN9fE=")</f>
        <v>#VALUE!</v>
      </c>
      <c r="II11" t="e">
        <f>AND(Sheet1!I148,"AAAAAHXN9fI=")</f>
        <v>#VALUE!</v>
      </c>
      <c r="IJ11" t="e">
        <f>AND(Sheet1!J148,"AAAAAHXN9fM=")</f>
        <v>#VALUE!</v>
      </c>
      <c r="IK11" t="e">
        <f>AND(Sheet1!K148,"AAAAAHXN9fQ=")</f>
        <v>#VALUE!</v>
      </c>
      <c r="IL11" t="e">
        <f>AND(Sheet1!L148,"AAAAAHXN9fU=")</f>
        <v>#VALUE!</v>
      </c>
      <c r="IM11" t="e">
        <f>AND(Sheet1!M148,"AAAAAHXN9fY=")</f>
        <v>#VALUE!</v>
      </c>
      <c r="IN11" t="e">
        <f>AND(Sheet1!N148,"AAAAAHXN9fc=")</f>
        <v>#VALUE!</v>
      </c>
      <c r="IO11" t="e">
        <f>AND(Sheet1!#REF!,"AAAAAHXN9fg=")</f>
        <v>#REF!</v>
      </c>
      <c r="IP11" t="e">
        <f>AND(Sheet1!#REF!,"AAAAAHXN9fk=")</f>
        <v>#REF!</v>
      </c>
      <c r="IQ11" t="e">
        <f>AND(Sheet1!#REF!,"AAAAAHXN9fo=")</f>
        <v>#REF!</v>
      </c>
      <c r="IR11" t="e">
        <f>AND(Sheet1!#REF!,"AAAAAHXN9fs=")</f>
        <v>#REF!</v>
      </c>
      <c r="IS11">
        <f>IF(Sheet1!149:149,"AAAAAHXN9fw=",0)</f>
        <v>0</v>
      </c>
      <c r="IT11" t="e">
        <f>AND(Sheet1!A149,"AAAAAHXN9f0=")</f>
        <v>#VALUE!</v>
      </c>
      <c r="IU11" t="e">
        <f>AND(Sheet1!B149,"AAAAAHXN9f4=")</f>
        <v>#VALUE!</v>
      </c>
      <c r="IV11" t="e">
        <f>AND(Sheet1!C149,"AAAAAHXN9f8=")</f>
        <v>#VALUE!</v>
      </c>
    </row>
    <row r="12" spans="1:256" x14ac:dyDescent="0.2">
      <c r="A12" t="e">
        <f>AND(Sheet1!D149,"AAAAAE49fgA=")</f>
        <v>#VALUE!</v>
      </c>
      <c r="B12" t="e">
        <f>AND(Sheet1!E149,"AAAAAE49fgE=")</f>
        <v>#VALUE!</v>
      </c>
      <c r="C12" t="e">
        <f>AND(Sheet1!F149,"AAAAAE49fgI=")</f>
        <v>#VALUE!</v>
      </c>
      <c r="D12" t="e">
        <f>AND(Sheet1!G149,"AAAAAE49fgM=")</f>
        <v>#VALUE!</v>
      </c>
      <c r="E12" t="e">
        <f>AND(Sheet1!H149,"AAAAAE49fgQ=")</f>
        <v>#VALUE!</v>
      </c>
      <c r="F12" t="e">
        <f>AND(Sheet1!I149,"AAAAAE49fgU=")</f>
        <v>#VALUE!</v>
      </c>
      <c r="G12" t="e">
        <f>AND(Sheet1!J149,"AAAAAE49fgY=")</f>
        <v>#VALUE!</v>
      </c>
      <c r="H12" t="e">
        <f>AND(Sheet1!K149,"AAAAAE49fgc=")</f>
        <v>#VALUE!</v>
      </c>
      <c r="I12" t="e">
        <f>AND(Sheet1!L149,"AAAAAE49fgg=")</f>
        <v>#VALUE!</v>
      </c>
      <c r="J12" t="e">
        <f>AND(Sheet1!M149,"AAAAAE49fgk=")</f>
        <v>#VALUE!</v>
      </c>
      <c r="K12" t="e">
        <f>AND(Sheet1!N149,"AAAAAE49fgo=")</f>
        <v>#VALUE!</v>
      </c>
      <c r="L12" t="e">
        <f>AND(Sheet1!#REF!,"AAAAAE49fgs=")</f>
        <v>#REF!</v>
      </c>
      <c r="M12" t="e">
        <f>AND(Sheet1!#REF!,"AAAAAE49fgw=")</f>
        <v>#REF!</v>
      </c>
      <c r="N12" t="e">
        <f>AND(Sheet1!#REF!,"AAAAAE49fg0=")</f>
        <v>#REF!</v>
      </c>
      <c r="O12" t="e">
        <f>AND(Sheet1!#REF!,"AAAAAE49fg4=")</f>
        <v>#REF!</v>
      </c>
      <c r="P12">
        <f>IF(Sheet1!150:150,"AAAAAE49fg8=",0)</f>
        <v>0</v>
      </c>
      <c r="Q12" t="e">
        <f>AND(Sheet1!A150,"AAAAAE49fhA=")</f>
        <v>#VALUE!</v>
      </c>
      <c r="R12" t="e">
        <f>AND(Sheet1!B150,"AAAAAE49fhE=")</f>
        <v>#VALUE!</v>
      </c>
      <c r="S12" t="e">
        <f>AND(Sheet1!C150,"AAAAAE49fhI=")</f>
        <v>#VALUE!</v>
      </c>
      <c r="T12" t="e">
        <f>AND(Sheet1!D150,"AAAAAE49fhM=")</f>
        <v>#VALUE!</v>
      </c>
      <c r="U12" t="e">
        <f>AND(Sheet1!E150,"AAAAAE49fhQ=")</f>
        <v>#VALUE!</v>
      </c>
      <c r="V12" t="e">
        <f>AND(Sheet1!F150,"AAAAAE49fhU=")</f>
        <v>#VALUE!</v>
      </c>
      <c r="W12" t="e">
        <f>AND(Sheet1!G150,"AAAAAE49fhY=")</f>
        <v>#VALUE!</v>
      </c>
      <c r="X12" t="e">
        <f>AND(Sheet1!H150,"AAAAAE49fhc=")</f>
        <v>#VALUE!</v>
      </c>
      <c r="Y12" t="e">
        <f>AND(Sheet1!I150,"AAAAAE49fhg=")</f>
        <v>#VALUE!</v>
      </c>
      <c r="Z12" t="e">
        <f>AND(Sheet1!J150,"AAAAAE49fhk=")</f>
        <v>#VALUE!</v>
      </c>
      <c r="AA12" t="e">
        <f>AND(Sheet1!K150,"AAAAAE49fho=")</f>
        <v>#VALUE!</v>
      </c>
      <c r="AB12" t="e">
        <f>AND(Sheet1!L150,"AAAAAE49fhs=")</f>
        <v>#VALUE!</v>
      </c>
      <c r="AC12" t="e">
        <f>AND(Sheet1!M150,"AAAAAE49fhw=")</f>
        <v>#VALUE!</v>
      </c>
      <c r="AD12" t="e">
        <f>AND(Sheet1!N150,"AAAAAE49fh0=")</f>
        <v>#VALUE!</v>
      </c>
      <c r="AE12" t="e">
        <f>AND(Sheet1!#REF!,"AAAAAE49fh4=")</f>
        <v>#REF!</v>
      </c>
      <c r="AF12" t="e">
        <f>AND(Sheet1!#REF!,"AAAAAE49fh8=")</f>
        <v>#REF!</v>
      </c>
      <c r="AG12" t="e">
        <f>AND(Sheet1!#REF!,"AAAAAE49fiA=")</f>
        <v>#REF!</v>
      </c>
      <c r="AH12" t="e">
        <f>AND(Sheet1!#REF!,"AAAAAE49fiE=")</f>
        <v>#REF!</v>
      </c>
      <c r="AI12">
        <f>IF(Sheet1!151:151,"AAAAAE49fiI=",0)</f>
        <v>0</v>
      </c>
      <c r="AJ12" t="e">
        <f>AND(Sheet1!A151,"AAAAAE49fiM=")</f>
        <v>#VALUE!</v>
      </c>
      <c r="AK12" t="e">
        <f>AND(Sheet1!B151,"AAAAAE49fiQ=")</f>
        <v>#VALUE!</v>
      </c>
      <c r="AL12" t="e">
        <f>AND(Sheet1!C151,"AAAAAE49fiU=")</f>
        <v>#VALUE!</v>
      </c>
      <c r="AM12" t="e">
        <f>AND(Sheet1!D151,"AAAAAE49fiY=")</f>
        <v>#VALUE!</v>
      </c>
      <c r="AN12" t="e">
        <f>AND(Sheet1!E151,"AAAAAE49fic=")</f>
        <v>#VALUE!</v>
      </c>
      <c r="AO12" t="e">
        <f>AND(Sheet1!F151,"AAAAAE49fig=")</f>
        <v>#VALUE!</v>
      </c>
      <c r="AP12" t="e">
        <f>AND(Sheet1!G151,"AAAAAE49fik=")</f>
        <v>#VALUE!</v>
      </c>
      <c r="AQ12" t="e">
        <f>AND(Sheet1!H151,"AAAAAE49fio=")</f>
        <v>#VALUE!</v>
      </c>
      <c r="AR12" t="e">
        <f>AND(Sheet1!I151,"AAAAAE49fis=")</f>
        <v>#VALUE!</v>
      </c>
      <c r="AS12" t="e">
        <f>AND(Sheet1!J151,"AAAAAE49fiw=")</f>
        <v>#VALUE!</v>
      </c>
      <c r="AT12" t="e">
        <f>AND(Sheet1!K151,"AAAAAE49fi0=")</f>
        <v>#VALUE!</v>
      </c>
      <c r="AU12" t="e">
        <f>AND(Sheet1!L151,"AAAAAE49fi4=")</f>
        <v>#VALUE!</v>
      </c>
      <c r="AV12" t="e">
        <f>AND(Sheet1!M151,"AAAAAE49fi8=")</f>
        <v>#VALUE!</v>
      </c>
      <c r="AW12" t="e">
        <f>AND(Sheet1!N151,"AAAAAE49fjA=")</f>
        <v>#VALUE!</v>
      </c>
      <c r="AX12" t="e">
        <f>AND(Sheet1!#REF!,"AAAAAE49fjE=")</f>
        <v>#REF!</v>
      </c>
      <c r="AY12" t="e">
        <f>AND(Sheet1!#REF!,"AAAAAE49fjI=")</f>
        <v>#REF!</v>
      </c>
      <c r="AZ12" t="e">
        <f>AND(Sheet1!#REF!,"AAAAAE49fjM=")</f>
        <v>#REF!</v>
      </c>
      <c r="BA12" t="e">
        <f>AND(Sheet1!#REF!,"AAAAAE49fjQ=")</f>
        <v>#REF!</v>
      </c>
      <c r="BB12">
        <f>IF(Sheet1!152:152,"AAAAAE49fjU=",0)</f>
        <v>0</v>
      </c>
      <c r="BC12" t="e">
        <f>AND(Sheet1!A152,"AAAAAE49fjY=")</f>
        <v>#VALUE!</v>
      </c>
      <c r="BD12" t="e">
        <f>AND(Sheet1!B152,"AAAAAE49fjc=")</f>
        <v>#VALUE!</v>
      </c>
      <c r="BE12" t="e">
        <f>AND(Sheet1!C152,"AAAAAE49fjg=")</f>
        <v>#VALUE!</v>
      </c>
      <c r="BF12" t="e">
        <f>AND(Sheet1!D152,"AAAAAE49fjk=")</f>
        <v>#VALUE!</v>
      </c>
      <c r="BG12" t="e">
        <f>AND(Sheet1!E152,"AAAAAE49fjo=")</f>
        <v>#VALUE!</v>
      </c>
      <c r="BH12" t="e">
        <f>AND(Sheet1!F152,"AAAAAE49fjs=")</f>
        <v>#VALUE!</v>
      </c>
      <c r="BI12" t="e">
        <f>AND(Sheet1!G152,"AAAAAE49fjw=")</f>
        <v>#VALUE!</v>
      </c>
      <c r="BJ12" t="e">
        <f>AND(Sheet1!H152,"AAAAAE49fj0=")</f>
        <v>#VALUE!</v>
      </c>
      <c r="BK12" t="e">
        <f>AND(Sheet1!I152,"AAAAAE49fj4=")</f>
        <v>#VALUE!</v>
      </c>
      <c r="BL12" t="e">
        <f>AND(Sheet1!J152,"AAAAAE49fj8=")</f>
        <v>#VALUE!</v>
      </c>
      <c r="BM12" t="e">
        <f>AND(Sheet1!K152,"AAAAAE49fkA=")</f>
        <v>#VALUE!</v>
      </c>
      <c r="BN12" t="e">
        <f>AND(Sheet1!L152,"AAAAAE49fkE=")</f>
        <v>#VALUE!</v>
      </c>
      <c r="BO12" t="e">
        <f>AND(Sheet1!M152,"AAAAAE49fkI=")</f>
        <v>#VALUE!</v>
      </c>
      <c r="BP12" t="e">
        <f>AND(Sheet1!N152,"AAAAAE49fkM=")</f>
        <v>#VALUE!</v>
      </c>
      <c r="BQ12" t="e">
        <f>AND(Sheet1!#REF!,"AAAAAE49fkQ=")</f>
        <v>#REF!</v>
      </c>
      <c r="BR12" t="e">
        <f>AND(Sheet1!#REF!,"AAAAAE49fkU=")</f>
        <v>#REF!</v>
      </c>
      <c r="BS12" t="e">
        <f>AND(Sheet1!#REF!,"AAAAAE49fkY=")</f>
        <v>#REF!</v>
      </c>
      <c r="BT12" t="e">
        <f>AND(Sheet1!#REF!,"AAAAAE49fkc=")</f>
        <v>#REF!</v>
      </c>
      <c r="BU12">
        <f>IF(Sheet1!153:153,"AAAAAE49fkg=",0)</f>
        <v>0</v>
      </c>
      <c r="BV12" t="e">
        <f>AND(Sheet1!A153,"AAAAAE49fkk=")</f>
        <v>#VALUE!</v>
      </c>
      <c r="BW12" t="e">
        <f>AND(Sheet1!B153,"AAAAAE49fko=")</f>
        <v>#VALUE!</v>
      </c>
      <c r="BX12" t="e">
        <f>AND(Sheet1!C153,"AAAAAE49fks=")</f>
        <v>#VALUE!</v>
      </c>
      <c r="BY12" t="e">
        <f>AND(Sheet1!D153,"AAAAAE49fkw=")</f>
        <v>#VALUE!</v>
      </c>
      <c r="BZ12" t="e">
        <f>AND(Sheet1!E153,"AAAAAE49fk0=")</f>
        <v>#VALUE!</v>
      </c>
      <c r="CA12" t="e">
        <f>AND(Sheet1!F153,"AAAAAE49fk4=")</f>
        <v>#VALUE!</v>
      </c>
      <c r="CB12" t="e">
        <f>AND(Sheet1!G153,"AAAAAE49fk8=")</f>
        <v>#VALUE!</v>
      </c>
      <c r="CC12" t="e">
        <f>AND(Sheet1!H153,"AAAAAE49flA=")</f>
        <v>#VALUE!</v>
      </c>
      <c r="CD12" t="e">
        <f>AND(Sheet1!I153,"AAAAAE49flE=")</f>
        <v>#VALUE!</v>
      </c>
      <c r="CE12" t="e">
        <f>AND(Sheet1!J153,"AAAAAE49flI=")</f>
        <v>#VALUE!</v>
      </c>
      <c r="CF12" t="e">
        <f>AND(Sheet1!K153,"AAAAAE49flM=")</f>
        <v>#VALUE!</v>
      </c>
      <c r="CG12" t="e">
        <f>AND(Sheet1!L153,"AAAAAE49flQ=")</f>
        <v>#VALUE!</v>
      </c>
      <c r="CH12" t="e">
        <f>AND(Sheet1!M153,"AAAAAE49flU=")</f>
        <v>#VALUE!</v>
      </c>
      <c r="CI12" t="e">
        <f>AND(Sheet1!N153,"AAAAAE49flY=")</f>
        <v>#VALUE!</v>
      </c>
      <c r="CJ12" t="e">
        <f>AND(Sheet1!#REF!,"AAAAAE49flc=")</f>
        <v>#REF!</v>
      </c>
      <c r="CK12" t="e">
        <f>AND(Sheet1!#REF!,"AAAAAE49flg=")</f>
        <v>#REF!</v>
      </c>
      <c r="CL12" t="e">
        <f>AND(Sheet1!#REF!,"AAAAAE49flk=")</f>
        <v>#REF!</v>
      </c>
      <c r="CM12" t="e">
        <f>AND(Sheet1!#REF!,"AAAAAE49flo=")</f>
        <v>#REF!</v>
      </c>
      <c r="CN12">
        <f>IF(Sheet1!154:154,"AAAAAE49fls=",0)</f>
        <v>0</v>
      </c>
      <c r="CO12" t="e">
        <f>AND(Sheet1!A154,"AAAAAE49flw=")</f>
        <v>#VALUE!</v>
      </c>
      <c r="CP12" t="e">
        <f>AND(Sheet1!B154,"AAAAAE49fl0=")</f>
        <v>#VALUE!</v>
      </c>
      <c r="CQ12" t="e">
        <f>AND(Sheet1!C154,"AAAAAE49fl4=")</f>
        <v>#VALUE!</v>
      </c>
      <c r="CR12" t="e">
        <f>AND(Sheet1!D154,"AAAAAE49fl8=")</f>
        <v>#VALUE!</v>
      </c>
      <c r="CS12" t="e">
        <f>AND(Sheet1!E154,"AAAAAE49fmA=")</f>
        <v>#VALUE!</v>
      </c>
      <c r="CT12" t="e">
        <f>AND(Sheet1!F154,"AAAAAE49fmE=")</f>
        <v>#VALUE!</v>
      </c>
      <c r="CU12" t="e">
        <f>AND(Sheet1!G154,"AAAAAE49fmI=")</f>
        <v>#VALUE!</v>
      </c>
      <c r="CV12" t="e">
        <f>AND(Sheet1!H154,"AAAAAE49fmM=")</f>
        <v>#VALUE!</v>
      </c>
      <c r="CW12" t="e">
        <f>AND(Sheet1!I154,"AAAAAE49fmQ=")</f>
        <v>#VALUE!</v>
      </c>
      <c r="CX12" t="e">
        <f>AND(Sheet1!J154,"AAAAAE49fmU=")</f>
        <v>#VALUE!</v>
      </c>
      <c r="CY12" t="e">
        <f>AND(Sheet1!K154,"AAAAAE49fmY=")</f>
        <v>#VALUE!</v>
      </c>
      <c r="CZ12" t="e">
        <f>AND(Sheet1!L154,"AAAAAE49fmc=")</f>
        <v>#VALUE!</v>
      </c>
      <c r="DA12" t="e">
        <f>AND(Sheet1!M154,"AAAAAE49fmg=")</f>
        <v>#VALUE!</v>
      </c>
      <c r="DB12" t="e">
        <f>AND(Sheet1!N154,"AAAAAE49fmk=")</f>
        <v>#VALUE!</v>
      </c>
      <c r="DC12" t="e">
        <f>AND(Sheet1!#REF!,"AAAAAE49fmo=")</f>
        <v>#REF!</v>
      </c>
      <c r="DD12" t="e">
        <f>AND(Sheet1!#REF!,"AAAAAE49fms=")</f>
        <v>#REF!</v>
      </c>
      <c r="DE12" t="e">
        <f>AND(Sheet1!#REF!,"AAAAAE49fmw=")</f>
        <v>#REF!</v>
      </c>
      <c r="DF12" t="e">
        <f>AND(Sheet1!#REF!,"AAAAAE49fm0=")</f>
        <v>#REF!</v>
      </c>
      <c r="DG12">
        <f>IF(Sheet1!155:155,"AAAAAE49fm4=",0)</f>
        <v>0</v>
      </c>
      <c r="DH12" t="e">
        <f>AND(Sheet1!A155,"AAAAAE49fm8=")</f>
        <v>#VALUE!</v>
      </c>
      <c r="DI12" t="e">
        <f>AND(Sheet1!B155,"AAAAAE49fnA=")</f>
        <v>#VALUE!</v>
      </c>
      <c r="DJ12" t="e">
        <f>AND(Sheet1!C155,"AAAAAE49fnE=")</f>
        <v>#VALUE!</v>
      </c>
      <c r="DK12" t="e">
        <f>AND(Sheet1!D155,"AAAAAE49fnI=")</f>
        <v>#VALUE!</v>
      </c>
      <c r="DL12" t="e">
        <f>AND(Sheet1!E155,"AAAAAE49fnM=")</f>
        <v>#VALUE!</v>
      </c>
      <c r="DM12" t="e">
        <f>AND(Sheet1!F155,"AAAAAE49fnQ=")</f>
        <v>#VALUE!</v>
      </c>
      <c r="DN12" t="e">
        <f>AND(Sheet1!G155,"AAAAAE49fnU=")</f>
        <v>#VALUE!</v>
      </c>
      <c r="DO12" t="e">
        <f>AND(Sheet1!H155,"AAAAAE49fnY=")</f>
        <v>#VALUE!</v>
      </c>
      <c r="DP12" t="e">
        <f>AND(Sheet1!I155,"AAAAAE49fnc=")</f>
        <v>#VALUE!</v>
      </c>
      <c r="DQ12" t="e">
        <f>AND(Sheet1!J155,"AAAAAE49fng=")</f>
        <v>#VALUE!</v>
      </c>
      <c r="DR12" t="e">
        <f>AND(Sheet1!K155,"AAAAAE49fnk=")</f>
        <v>#VALUE!</v>
      </c>
      <c r="DS12" t="e">
        <f>AND(Sheet1!L155,"AAAAAE49fno=")</f>
        <v>#VALUE!</v>
      </c>
      <c r="DT12" t="e">
        <f>AND(Sheet1!M155,"AAAAAE49fns=")</f>
        <v>#VALUE!</v>
      </c>
      <c r="DU12" t="e">
        <f>AND(Sheet1!N155,"AAAAAE49fnw=")</f>
        <v>#VALUE!</v>
      </c>
      <c r="DV12" t="e">
        <f>AND(Sheet1!#REF!,"AAAAAE49fn0=")</f>
        <v>#REF!</v>
      </c>
      <c r="DW12" t="e">
        <f>AND(Sheet1!#REF!,"AAAAAE49fn4=")</f>
        <v>#REF!</v>
      </c>
      <c r="DX12" t="e">
        <f>AND(Sheet1!#REF!,"AAAAAE49fn8=")</f>
        <v>#REF!</v>
      </c>
      <c r="DY12" t="e">
        <f>AND(Sheet1!#REF!,"AAAAAE49foA=")</f>
        <v>#REF!</v>
      </c>
      <c r="DZ12">
        <f>IF(Sheet1!156:156,"AAAAAE49foE=",0)</f>
        <v>0</v>
      </c>
      <c r="EA12" t="e">
        <f>AND(Sheet1!A156,"AAAAAE49foI=")</f>
        <v>#VALUE!</v>
      </c>
      <c r="EB12" t="e">
        <f>AND(Sheet1!B156,"AAAAAE49foM=")</f>
        <v>#VALUE!</v>
      </c>
      <c r="EC12" t="e">
        <f>AND(Sheet1!C156,"AAAAAE49foQ=")</f>
        <v>#VALUE!</v>
      </c>
      <c r="ED12" t="e">
        <f>AND(Sheet1!D156,"AAAAAE49foU=")</f>
        <v>#VALUE!</v>
      </c>
      <c r="EE12" t="e">
        <f>AND(Sheet1!E156,"AAAAAE49foY=")</f>
        <v>#VALUE!</v>
      </c>
      <c r="EF12" t="e">
        <f>AND(Sheet1!F156,"AAAAAE49foc=")</f>
        <v>#VALUE!</v>
      </c>
      <c r="EG12" t="e">
        <f>AND(Sheet1!G156,"AAAAAE49fog=")</f>
        <v>#VALUE!</v>
      </c>
      <c r="EH12" t="e">
        <f>AND(Sheet1!H156,"AAAAAE49fok=")</f>
        <v>#VALUE!</v>
      </c>
      <c r="EI12" t="e">
        <f>AND(Sheet1!I156,"AAAAAE49foo=")</f>
        <v>#VALUE!</v>
      </c>
      <c r="EJ12" t="e">
        <f>AND(Sheet1!J156,"AAAAAE49fos=")</f>
        <v>#VALUE!</v>
      </c>
      <c r="EK12" t="e">
        <f>AND(Sheet1!K156,"AAAAAE49fow=")</f>
        <v>#VALUE!</v>
      </c>
      <c r="EL12" t="e">
        <f>AND(Sheet1!L156,"AAAAAE49fo0=")</f>
        <v>#VALUE!</v>
      </c>
      <c r="EM12" t="e">
        <f>AND(Sheet1!M156,"AAAAAE49fo4=")</f>
        <v>#VALUE!</v>
      </c>
      <c r="EN12" t="e">
        <f>AND(Sheet1!N156,"AAAAAE49fo8=")</f>
        <v>#VALUE!</v>
      </c>
      <c r="EO12" t="e">
        <f>AND(Sheet1!#REF!,"AAAAAE49fpA=")</f>
        <v>#REF!</v>
      </c>
      <c r="EP12" t="e">
        <f>AND(Sheet1!#REF!,"AAAAAE49fpE=")</f>
        <v>#REF!</v>
      </c>
      <c r="EQ12" t="e">
        <f>AND(Sheet1!#REF!,"AAAAAE49fpI=")</f>
        <v>#REF!</v>
      </c>
      <c r="ER12" t="e">
        <f>AND(Sheet1!#REF!,"AAAAAE49fpM=")</f>
        <v>#REF!</v>
      </c>
      <c r="ES12">
        <f>IF(Sheet1!157:157,"AAAAAE49fpQ=",0)</f>
        <v>0</v>
      </c>
      <c r="ET12" t="e">
        <f>AND(Sheet1!A157,"AAAAAE49fpU=")</f>
        <v>#VALUE!</v>
      </c>
      <c r="EU12" t="e">
        <f>AND(Sheet1!B157,"AAAAAE49fpY=")</f>
        <v>#VALUE!</v>
      </c>
      <c r="EV12" t="e">
        <f>AND(Sheet1!C157,"AAAAAE49fpc=")</f>
        <v>#VALUE!</v>
      </c>
      <c r="EW12" t="e">
        <f>AND(Sheet1!D157,"AAAAAE49fpg=")</f>
        <v>#VALUE!</v>
      </c>
      <c r="EX12" t="e">
        <f>AND(Sheet1!E157,"AAAAAE49fpk=")</f>
        <v>#VALUE!</v>
      </c>
      <c r="EY12" t="e">
        <f>AND(Sheet1!F157,"AAAAAE49fpo=")</f>
        <v>#VALUE!</v>
      </c>
      <c r="EZ12" t="e">
        <f>AND(Sheet1!G157,"AAAAAE49fps=")</f>
        <v>#VALUE!</v>
      </c>
      <c r="FA12" t="e">
        <f>AND(Sheet1!H157,"AAAAAE49fpw=")</f>
        <v>#VALUE!</v>
      </c>
      <c r="FB12" t="e">
        <f>AND(Sheet1!I157,"AAAAAE49fp0=")</f>
        <v>#VALUE!</v>
      </c>
      <c r="FC12" t="e">
        <f>AND(Sheet1!J157,"AAAAAE49fp4=")</f>
        <v>#VALUE!</v>
      </c>
      <c r="FD12" t="e">
        <f>AND(Sheet1!K157,"AAAAAE49fp8=")</f>
        <v>#VALUE!</v>
      </c>
      <c r="FE12" t="e">
        <f>AND(Sheet1!L157,"AAAAAE49fqA=")</f>
        <v>#VALUE!</v>
      </c>
      <c r="FF12" t="e">
        <f>AND(Sheet1!M157,"AAAAAE49fqE=")</f>
        <v>#VALUE!</v>
      </c>
      <c r="FG12" t="e">
        <f>AND(Sheet1!N157,"AAAAAE49fqI=")</f>
        <v>#VALUE!</v>
      </c>
      <c r="FH12" t="e">
        <f>AND(Sheet1!#REF!,"AAAAAE49fqM=")</f>
        <v>#REF!</v>
      </c>
      <c r="FI12" t="e">
        <f>AND(Sheet1!#REF!,"AAAAAE49fqQ=")</f>
        <v>#REF!</v>
      </c>
      <c r="FJ12" t="e">
        <f>AND(Sheet1!#REF!,"AAAAAE49fqU=")</f>
        <v>#REF!</v>
      </c>
      <c r="FK12" t="e">
        <f>AND(Sheet1!#REF!,"AAAAAE49fqY=")</f>
        <v>#REF!</v>
      </c>
      <c r="FL12">
        <f>IF(Sheet1!158:158,"AAAAAE49fqc=",0)</f>
        <v>0</v>
      </c>
      <c r="FM12" t="e">
        <f>AND(Sheet1!A158,"AAAAAE49fqg=")</f>
        <v>#VALUE!</v>
      </c>
      <c r="FN12" t="e">
        <f>AND(Sheet1!B158,"AAAAAE49fqk=")</f>
        <v>#VALUE!</v>
      </c>
      <c r="FO12" t="e">
        <f>AND(Sheet1!C158,"AAAAAE49fqo=")</f>
        <v>#VALUE!</v>
      </c>
      <c r="FP12" t="e">
        <f>AND(Sheet1!D158,"AAAAAE49fqs=")</f>
        <v>#VALUE!</v>
      </c>
      <c r="FQ12" t="e">
        <f>AND(Sheet1!E158,"AAAAAE49fqw=")</f>
        <v>#VALUE!</v>
      </c>
      <c r="FR12" t="e">
        <f>AND(Sheet1!F158,"AAAAAE49fq0=")</f>
        <v>#VALUE!</v>
      </c>
      <c r="FS12" t="e">
        <f>AND(Sheet1!G158,"AAAAAE49fq4=")</f>
        <v>#VALUE!</v>
      </c>
      <c r="FT12" t="e">
        <f>AND(Sheet1!H158,"AAAAAE49fq8=")</f>
        <v>#VALUE!</v>
      </c>
      <c r="FU12" t="e">
        <f>AND(Sheet1!I158,"AAAAAE49frA=")</f>
        <v>#VALUE!</v>
      </c>
      <c r="FV12" t="e">
        <f>AND(Sheet1!J158,"AAAAAE49frE=")</f>
        <v>#VALUE!</v>
      </c>
      <c r="FW12" t="e">
        <f>AND(Sheet1!K158,"AAAAAE49frI=")</f>
        <v>#VALUE!</v>
      </c>
      <c r="FX12" t="e">
        <f>AND(Sheet1!L158,"AAAAAE49frM=")</f>
        <v>#VALUE!</v>
      </c>
      <c r="FY12" t="e">
        <f>AND(Sheet1!M158,"AAAAAE49frQ=")</f>
        <v>#VALUE!</v>
      </c>
      <c r="FZ12" t="e">
        <f>AND(Sheet1!N158,"AAAAAE49frU=")</f>
        <v>#VALUE!</v>
      </c>
      <c r="GA12" t="e">
        <f>AND(Sheet1!#REF!,"AAAAAE49frY=")</f>
        <v>#REF!</v>
      </c>
      <c r="GB12" t="e">
        <f>AND(Sheet1!#REF!,"AAAAAE49frc=")</f>
        <v>#REF!</v>
      </c>
      <c r="GC12" t="e">
        <f>AND(Sheet1!#REF!,"AAAAAE49frg=")</f>
        <v>#REF!</v>
      </c>
      <c r="GD12" t="e">
        <f>AND(Sheet1!#REF!,"AAAAAE49frk=")</f>
        <v>#REF!</v>
      </c>
      <c r="GE12">
        <f>IF(Sheet1!159:159,"AAAAAE49fro=",0)</f>
        <v>0</v>
      </c>
      <c r="GF12" t="e">
        <f>AND(Sheet1!A159,"AAAAAE49frs=")</f>
        <v>#VALUE!</v>
      </c>
      <c r="GG12" t="e">
        <f>AND(Sheet1!B159,"AAAAAE49frw=")</f>
        <v>#VALUE!</v>
      </c>
      <c r="GH12" t="e">
        <f>AND(Sheet1!C159,"AAAAAE49fr0=")</f>
        <v>#VALUE!</v>
      </c>
      <c r="GI12" t="e">
        <f>AND(Sheet1!D159,"AAAAAE49fr4=")</f>
        <v>#VALUE!</v>
      </c>
      <c r="GJ12" t="e">
        <f>AND(Sheet1!E159,"AAAAAE49fr8=")</f>
        <v>#VALUE!</v>
      </c>
      <c r="GK12" t="e">
        <f>AND(Sheet1!F159,"AAAAAE49fsA=")</f>
        <v>#VALUE!</v>
      </c>
      <c r="GL12" t="e">
        <f>AND(Sheet1!G159,"AAAAAE49fsE=")</f>
        <v>#VALUE!</v>
      </c>
      <c r="GM12" t="e">
        <f>AND(Sheet1!H159,"AAAAAE49fsI=")</f>
        <v>#VALUE!</v>
      </c>
      <c r="GN12" t="e">
        <f>AND(Sheet1!I159,"AAAAAE49fsM=")</f>
        <v>#VALUE!</v>
      </c>
      <c r="GO12" t="e">
        <f>AND(Sheet1!J159,"AAAAAE49fsQ=")</f>
        <v>#VALUE!</v>
      </c>
      <c r="GP12" t="e">
        <f>AND(Sheet1!K159,"AAAAAE49fsU=")</f>
        <v>#VALUE!</v>
      </c>
      <c r="GQ12" t="e">
        <f>AND(Sheet1!L159,"AAAAAE49fsY=")</f>
        <v>#VALUE!</v>
      </c>
      <c r="GR12" t="e">
        <f>AND(Sheet1!M159,"AAAAAE49fsc=")</f>
        <v>#VALUE!</v>
      </c>
      <c r="GS12" t="e">
        <f>AND(Sheet1!N159,"AAAAAE49fsg=")</f>
        <v>#VALUE!</v>
      </c>
      <c r="GT12" t="e">
        <f>AND(Sheet1!#REF!,"AAAAAE49fsk=")</f>
        <v>#REF!</v>
      </c>
      <c r="GU12" t="e">
        <f>AND(Sheet1!#REF!,"AAAAAE49fso=")</f>
        <v>#REF!</v>
      </c>
      <c r="GV12" t="e">
        <f>AND(Sheet1!#REF!,"AAAAAE49fss=")</f>
        <v>#REF!</v>
      </c>
      <c r="GW12" t="e">
        <f>AND(Sheet1!#REF!,"AAAAAE49fsw=")</f>
        <v>#REF!</v>
      </c>
      <c r="GX12">
        <f>IF(Sheet1!160:160,"AAAAAE49fs0=",0)</f>
        <v>0</v>
      </c>
      <c r="GY12" t="e">
        <f>AND(Sheet1!A160,"AAAAAE49fs4=")</f>
        <v>#VALUE!</v>
      </c>
      <c r="GZ12" t="e">
        <f>AND(Sheet1!B160,"AAAAAE49fs8=")</f>
        <v>#VALUE!</v>
      </c>
      <c r="HA12" t="e">
        <f>AND(Sheet1!C160,"AAAAAE49ftA=")</f>
        <v>#VALUE!</v>
      </c>
      <c r="HB12" t="e">
        <f>AND(Sheet1!D160,"AAAAAE49ftE=")</f>
        <v>#VALUE!</v>
      </c>
      <c r="HC12" t="e">
        <f>AND(Sheet1!E160,"AAAAAE49ftI=")</f>
        <v>#VALUE!</v>
      </c>
      <c r="HD12" t="e">
        <f>AND(Sheet1!F160,"AAAAAE49ftM=")</f>
        <v>#VALUE!</v>
      </c>
      <c r="HE12" t="e">
        <f>AND(Sheet1!G160,"AAAAAE49ftQ=")</f>
        <v>#VALUE!</v>
      </c>
      <c r="HF12" t="e">
        <f>AND(Sheet1!H160,"AAAAAE49ftU=")</f>
        <v>#VALUE!</v>
      </c>
      <c r="HG12" t="e">
        <f>AND(Sheet1!I160,"AAAAAE49ftY=")</f>
        <v>#VALUE!</v>
      </c>
      <c r="HH12" t="e">
        <f>AND(Sheet1!J160,"AAAAAE49ftc=")</f>
        <v>#VALUE!</v>
      </c>
      <c r="HI12" t="e">
        <f>AND(Sheet1!K160,"AAAAAE49ftg=")</f>
        <v>#VALUE!</v>
      </c>
      <c r="HJ12" t="e">
        <f>AND(Sheet1!L160,"AAAAAE49ftk=")</f>
        <v>#VALUE!</v>
      </c>
      <c r="HK12" t="e">
        <f>AND(Sheet1!M160,"AAAAAE49fto=")</f>
        <v>#VALUE!</v>
      </c>
      <c r="HL12" t="e">
        <f>AND(Sheet1!N160,"AAAAAE49fts=")</f>
        <v>#VALUE!</v>
      </c>
      <c r="HM12" t="e">
        <f>AND(Sheet1!#REF!,"AAAAAE49ftw=")</f>
        <v>#REF!</v>
      </c>
      <c r="HN12" t="e">
        <f>AND(Sheet1!#REF!,"AAAAAE49ft0=")</f>
        <v>#REF!</v>
      </c>
      <c r="HO12" t="e">
        <f>AND(Sheet1!#REF!,"AAAAAE49ft4=")</f>
        <v>#REF!</v>
      </c>
      <c r="HP12" t="e">
        <f>AND(Sheet1!#REF!,"AAAAAE49ft8=")</f>
        <v>#REF!</v>
      </c>
      <c r="HQ12">
        <f>IF(Sheet1!161:161,"AAAAAE49fuA=",0)</f>
        <v>0</v>
      </c>
      <c r="HR12" t="e">
        <f>AND(Sheet1!A161,"AAAAAE49fuE=")</f>
        <v>#VALUE!</v>
      </c>
      <c r="HS12" t="e">
        <f>AND(Sheet1!B161,"AAAAAE49fuI=")</f>
        <v>#VALUE!</v>
      </c>
      <c r="HT12" t="e">
        <f>AND(Sheet1!C161,"AAAAAE49fuM=")</f>
        <v>#VALUE!</v>
      </c>
      <c r="HU12" t="e">
        <f>AND(Sheet1!D161,"AAAAAE49fuQ=")</f>
        <v>#VALUE!</v>
      </c>
      <c r="HV12" t="e">
        <f>AND(Sheet1!E161,"AAAAAE49fuU=")</f>
        <v>#VALUE!</v>
      </c>
      <c r="HW12" t="e">
        <f>AND(Sheet1!F161,"AAAAAE49fuY=")</f>
        <v>#VALUE!</v>
      </c>
      <c r="HX12" t="e">
        <f>AND(Sheet1!G161,"AAAAAE49fuc=")</f>
        <v>#VALUE!</v>
      </c>
      <c r="HY12" t="e">
        <f>AND(Sheet1!H161,"AAAAAE49fug=")</f>
        <v>#VALUE!</v>
      </c>
      <c r="HZ12" t="e">
        <f>AND(Sheet1!I161,"AAAAAE49fuk=")</f>
        <v>#VALUE!</v>
      </c>
      <c r="IA12" t="e">
        <f>AND(Sheet1!J161,"AAAAAE49fuo=")</f>
        <v>#VALUE!</v>
      </c>
      <c r="IB12" t="e">
        <f>AND(Sheet1!K161,"AAAAAE49fus=")</f>
        <v>#VALUE!</v>
      </c>
      <c r="IC12" t="e">
        <f>AND(Sheet1!L161,"AAAAAE49fuw=")</f>
        <v>#VALUE!</v>
      </c>
      <c r="ID12" t="e">
        <f>AND(Sheet1!M161,"AAAAAE49fu0=")</f>
        <v>#VALUE!</v>
      </c>
      <c r="IE12" t="e">
        <f>AND(Sheet1!N161,"AAAAAE49fu4=")</f>
        <v>#VALUE!</v>
      </c>
      <c r="IF12" t="e">
        <f>AND(Sheet1!#REF!,"AAAAAE49fu8=")</f>
        <v>#REF!</v>
      </c>
      <c r="IG12" t="e">
        <f>AND(Sheet1!#REF!,"AAAAAE49fvA=")</f>
        <v>#REF!</v>
      </c>
      <c r="IH12" t="e">
        <f>AND(Sheet1!#REF!,"AAAAAE49fvE=")</f>
        <v>#REF!</v>
      </c>
      <c r="II12" t="e">
        <f>AND(Sheet1!#REF!,"AAAAAE49fvI=")</f>
        <v>#REF!</v>
      </c>
      <c r="IJ12">
        <f>IF(Sheet1!162:162,"AAAAAE49fvM=",0)</f>
        <v>0</v>
      </c>
      <c r="IK12" t="e">
        <f>AND(Sheet1!A162,"AAAAAE49fvQ=")</f>
        <v>#VALUE!</v>
      </c>
      <c r="IL12" t="e">
        <f>AND(Sheet1!B162,"AAAAAE49fvU=")</f>
        <v>#VALUE!</v>
      </c>
      <c r="IM12" t="e">
        <f>AND(Sheet1!C162,"AAAAAE49fvY=")</f>
        <v>#VALUE!</v>
      </c>
      <c r="IN12" t="e">
        <f>AND(Sheet1!D162,"AAAAAE49fvc=")</f>
        <v>#VALUE!</v>
      </c>
      <c r="IO12" t="e">
        <f>AND(Sheet1!E162,"AAAAAE49fvg=")</f>
        <v>#VALUE!</v>
      </c>
      <c r="IP12" t="e">
        <f>AND(Sheet1!F162,"AAAAAE49fvk=")</f>
        <v>#VALUE!</v>
      </c>
      <c r="IQ12" t="e">
        <f>AND(Sheet1!G162,"AAAAAE49fvo=")</f>
        <v>#VALUE!</v>
      </c>
      <c r="IR12" t="e">
        <f>AND(Sheet1!H162,"AAAAAE49fvs=")</f>
        <v>#VALUE!</v>
      </c>
      <c r="IS12" t="e">
        <f>AND(Sheet1!I162,"AAAAAE49fvw=")</f>
        <v>#VALUE!</v>
      </c>
      <c r="IT12" t="e">
        <f>AND(Sheet1!J162,"AAAAAE49fv0=")</f>
        <v>#VALUE!</v>
      </c>
      <c r="IU12" t="e">
        <f>AND(Sheet1!K162,"AAAAAE49fv4=")</f>
        <v>#VALUE!</v>
      </c>
      <c r="IV12" t="e">
        <f>AND(Sheet1!L162,"AAAAAE49fv8=")</f>
        <v>#VALUE!</v>
      </c>
    </row>
    <row r="13" spans="1:256" x14ac:dyDescent="0.2">
      <c r="A13" t="e">
        <f>AND(Sheet1!M162,"AAAAAF+NPwA=")</f>
        <v>#VALUE!</v>
      </c>
      <c r="B13" t="e">
        <f>AND(Sheet1!N162,"AAAAAF+NPwE=")</f>
        <v>#VALUE!</v>
      </c>
      <c r="C13" t="e">
        <f>AND(Sheet1!#REF!,"AAAAAF+NPwI=")</f>
        <v>#REF!</v>
      </c>
      <c r="D13" t="e">
        <f>AND(Sheet1!#REF!,"AAAAAF+NPwM=")</f>
        <v>#REF!</v>
      </c>
      <c r="E13" t="e">
        <f>AND(Sheet1!#REF!,"AAAAAF+NPwQ=")</f>
        <v>#REF!</v>
      </c>
      <c r="F13" t="e">
        <f>AND(Sheet1!#REF!,"AAAAAF+NPwU=")</f>
        <v>#REF!</v>
      </c>
      <c r="G13" t="str">
        <f>IF(Sheet1!163:163,"AAAAAF+NPwY=",0)</f>
        <v>AAAAAF+NPwY=</v>
      </c>
      <c r="H13" t="e">
        <f>AND(Sheet1!A163,"AAAAAF+NPwc=")</f>
        <v>#VALUE!</v>
      </c>
      <c r="I13" t="e">
        <f>AND(Sheet1!B163,"AAAAAF+NPwg=")</f>
        <v>#VALUE!</v>
      </c>
      <c r="J13" t="e">
        <f>AND(Sheet1!C163,"AAAAAF+NPwk=")</f>
        <v>#VALUE!</v>
      </c>
      <c r="K13" t="e">
        <f>AND(Sheet1!D163,"AAAAAF+NPwo=")</f>
        <v>#VALUE!</v>
      </c>
      <c r="L13" t="e">
        <f>AND(Sheet1!E163,"AAAAAF+NPws=")</f>
        <v>#VALUE!</v>
      </c>
      <c r="M13" t="e">
        <f>AND(Sheet1!F163,"AAAAAF+NPww=")</f>
        <v>#VALUE!</v>
      </c>
      <c r="N13" t="e">
        <f>AND(Sheet1!G163,"AAAAAF+NPw0=")</f>
        <v>#VALUE!</v>
      </c>
      <c r="O13" t="e">
        <f>AND(Sheet1!H163,"AAAAAF+NPw4=")</f>
        <v>#VALUE!</v>
      </c>
      <c r="P13" t="e">
        <f>AND(Sheet1!I163,"AAAAAF+NPw8=")</f>
        <v>#VALUE!</v>
      </c>
      <c r="Q13" t="e">
        <f>AND(Sheet1!J163,"AAAAAF+NPxA=")</f>
        <v>#VALUE!</v>
      </c>
      <c r="R13" t="e">
        <f>AND(Sheet1!K163,"AAAAAF+NPxE=")</f>
        <v>#VALUE!</v>
      </c>
      <c r="S13" t="e">
        <f>AND(Sheet1!L163,"AAAAAF+NPxI=")</f>
        <v>#VALUE!</v>
      </c>
      <c r="T13" t="e">
        <f>AND(Sheet1!M163,"AAAAAF+NPxM=")</f>
        <v>#VALUE!</v>
      </c>
      <c r="U13" t="e">
        <f>AND(Sheet1!N163,"AAAAAF+NPxQ=")</f>
        <v>#VALUE!</v>
      </c>
      <c r="V13" t="e">
        <f>AND(Sheet1!#REF!,"AAAAAF+NPxU=")</f>
        <v>#REF!</v>
      </c>
      <c r="W13" t="e">
        <f>AND(Sheet1!#REF!,"AAAAAF+NPxY=")</f>
        <v>#REF!</v>
      </c>
      <c r="X13" t="e">
        <f>AND(Sheet1!#REF!,"AAAAAF+NPxc=")</f>
        <v>#REF!</v>
      </c>
      <c r="Y13" t="e">
        <f>AND(Sheet1!#REF!,"AAAAAF+NPxg=")</f>
        <v>#REF!</v>
      </c>
      <c r="Z13">
        <f>IF(Sheet1!164:164,"AAAAAF+NPxk=",0)</f>
        <v>0</v>
      </c>
      <c r="AA13" t="e">
        <f>AND(Sheet1!A164,"AAAAAF+NPxo=")</f>
        <v>#VALUE!</v>
      </c>
      <c r="AB13" t="e">
        <f>AND(Sheet1!B164,"AAAAAF+NPxs=")</f>
        <v>#VALUE!</v>
      </c>
      <c r="AC13" t="e">
        <f>AND(Sheet1!C164,"AAAAAF+NPxw=")</f>
        <v>#VALUE!</v>
      </c>
      <c r="AD13" t="e">
        <f>AND(Sheet1!D164,"AAAAAF+NPx0=")</f>
        <v>#VALUE!</v>
      </c>
      <c r="AE13" t="e">
        <f>AND(Sheet1!E164,"AAAAAF+NPx4=")</f>
        <v>#VALUE!</v>
      </c>
      <c r="AF13" t="e">
        <f>AND(Sheet1!F164,"AAAAAF+NPx8=")</f>
        <v>#VALUE!</v>
      </c>
      <c r="AG13" t="e">
        <f>AND(Sheet1!G164,"AAAAAF+NPyA=")</f>
        <v>#VALUE!</v>
      </c>
      <c r="AH13" t="e">
        <f>AND(Sheet1!H164,"AAAAAF+NPyE=")</f>
        <v>#VALUE!</v>
      </c>
      <c r="AI13" t="e">
        <f>AND(Sheet1!I164,"AAAAAF+NPyI=")</f>
        <v>#VALUE!</v>
      </c>
      <c r="AJ13" t="e">
        <f>AND(Sheet1!J164,"AAAAAF+NPyM=")</f>
        <v>#VALUE!</v>
      </c>
      <c r="AK13" t="e">
        <f>AND(Sheet1!K164,"AAAAAF+NPyQ=")</f>
        <v>#VALUE!</v>
      </c>
      <c r="AL13" t="e">
        <f>AND(Sheet1!L164,"AAAAAF+NPyU=")</f>
        <v>#VALUE!</v>
      </c>
      <c r="AM13" t="e">
        <f>AND(Sheet1!M164,"AAAAAF+NPyY=")</f>
        <v>#VALUE!</v>
      </c>
      <c r="AN13" t="e">
        <f>AND(Sheet1!N164,"AAAAAF+NPyc=")</f>
        <v>#VALUE!</v>
      </c>
      <c r="AO13" t="e">
        <f>AND(Sheet1!#REF!,"AAAAAF+NPyg=")</f>
        <v>#REF!</v>
      </c>
      <c r="AP13" t="e">
        <f>AND(Sheet1!#REF!,"AAAAAF+NPyk=")</f>
        <v>#REF!</v>
      </c>
      <c r="AQ13" t="e">
        <f>AND(Sheet1!#REF!,"AAAAAF+NPyo=")</f>
        <v>#REF!</v>
      </c>
      <c r="AR13" t="e">
        <f>AND(Sheet1!#REF!,"AAAAAF+NPys=")</f>
        <v>#REF!</v>
      </c>
      <c r="AS13">
        <f>IF(Sheet1!165:165,"AAAAAF+NPyw=",0)</f>
        <v>0</v>
      </c>
      <c r="AT13" t="e">
        <f>AND(Sheet1!A165,"AAAAAF+NPy0=")</f>
        <v>#VALUE!</v>
      </c>
      <c r="AU13" t="e">
        <f>AND(Sheet1!B165,"AAAAAF+NPy4=")</f>
        <v>#VALUE!</v>
      </c>
      <c r="AV13" t="e">
        <f>AND(Sheet1!C165,"AAAAAF+NPy8=")</f>
        <v>#VALUE!</v>
      </c>
      <c r="AW13" t="e">
        <f>AND(Sheet1!D165,"AAAAAF+NPzA=")</f>
        <v>#VALUE!</v>
      </c>
      <c r="AX13" t="e">
        <f>AND(Sheet1!E165,"AAAAAF+NPzE=")</f>
        <v>#VALUE!</v>
      </c>
      <c r="AY13" t="e">
        <f>AND(Sheet1!F165,"AAAAAF+NPzI=")</f>
        <v>#VALUE!</v>
      </c>
      <c r="AZ13" t="e">
        <f>AND(Sheet1!G165,"AAAAAF+NPzM=")</f>
        <v>#VALUE!</v>
      </c>
      <c r="BA13" t="e">
        <f>AND(Sheet1!H165,"AAAAAF+NPzQ=")</f>
        <v>#VALUE!</v>
      </c>
      <c r="BB13" t="e">
        <f>AND(Sheet1!I165,"AAAAAF+NPzU=")</f>
        <v>#VALUE!</v>
      </c>
      <c r="BC13" t="e">
        <f>AND(Sheet1!J165,"AAAAAF+NPzY=")</f>
        <v>#VALUE!</v>
      </c>
      <c r="BD13" t="e">
        <f>AND(Sheet1!K165,"AAAAAF+NPzc=")</f>
        <v>#VALUE!</v>
      </c>
      <c r="BE13" t="e">
        <f>AND(Sheet1!L165,"AAAAAF+NPzg=")</f>
        <v>#VALUE!</v>
      </c>
      <c r="BF13" t="e">
        <f>AND(Sheet1!M165,"AAAAAF+NPzk=")</f>
        <v>#VALUE!</v>
      </c>
      <c r="BG13" t="e">
        <f>AND(Sheet1!N165,"AAAAAF+NPzo=")</f>
        <v>#VALUE!</v>
      </c>
      <c r="BH13" t="e">
        <f>AND(Sheet1!#REF!,"AAAAAF+NPzs=")</f>
        <v>#REF!</v>
      </c>
      <c r="BI13" t="e">
        <f>AND(Sheet1!#REF!,"AAAAAF+NPzw=")</f>
        <v>#REF!</v>
      </c>
      <c r="BJ13" t="e">
        <f>AND(Sheet1!#REF!,"AAAAAF+NPz0=")</f>
        <v>#REF!</v>
      </c>
      <c r="BK13" t="e">
        <f>AND(Sheet1!#REF!,"AAAAAF+NPz4=")</f>
        <v>#REF!</v>
      </c>
      <c r="BL13">
        <f>IF(Sheet1!166:166,"AAAAAF+NPz8=",0)</f>
        <v>0</v>
      </c>
      <c r="BM13" t="e">
        <f>AND(Sheet1!A166,"AAAAAF+NP0A=")</f>
        <v>#VALUE!</v>
      </c>
      <c r="BN13" t="e">
        <f>AND(Sheet1!B166,"AAAAAF+NP0E=")</f>
        <v>#VALUE!</v>
      </c>
      <c r="BO13" t="e">
        <f>AND(Sheet1!C166,"AAAAAF+NP0I=")</f>
        <v>#VALUE!</v>
      </c>
      <c r="BP13" t="e">
        <f>AND(Sheet1!D166,"AAAAAF+NP0M=")</f>
        <v>#VALUE!</v>
      </c>
      <c r="BQ13" t="e">
        <f>AND(Sheet1!E166,"AAAAAF+NP0Q=")</f>
        <v>#VALUE!</v>
      </c>
      <c r="BR13" t="e">
        <f>AND(Sheet1!F166,"AAAAAF+NP0U=")</f>
        <v>#VALUE!</v>
      </c>
      <c r="BS13" t="e">
        <f>AND(Sheet1!G166,"AAAAAF+NP0Y=")</f>
        <v>#VALUE!</v>
      </c>
      <c r="BT13" t="e">
        <f>AND(Sheet1!H166,"AAAAAF+NP0c=")</f>
        <v>#VALUE!</v>
      </c>
      <c r="BU13" t="e">
        <f>AND(Sheet1!I166,"AAAAAF+NP0g=")</f>
        <v>#VALUE!</v>
      </c>
      <c r="BV13" t="e">
        <f>AND(Sheet1!J166,"AAAAAF+NP0k=")</f>
        <v>#VALUE!</v>
      </c>
      <c r="BW13" t="e">
        <f>AND(Sheet1!K166,"AAAAAF+NP0o=")</f>
        <v>#VALUE!</v>
      </c>
      <c r="BX13" t="e">
        <f>AND(Sheet1!L166,"AAAAAF+NP0s=")</f>
        <v>#VALUE!</v>
      </c>
      <c r="BY13" t="e">
        <f>AND(Sheet1!M166,"AAAAAF+NP0w=")</f>
        <v>#VALUE!</v>
      </c>
      <c r="BZ13" t="e">
        <f>AND(Sheet1!N166,"AAAAAF+NP00=")</f>
        <v>#VALUE!</v>
      </c>
      <c r="CA13" t="e">
        <f>AND(Sheet1!#REF!,"AAAAAF+NP04=")</f>
        <v>#REF!</v>
      </c>
      <c r="CB13" t="e">
        <f>AND(Sheet1!#REF!,"AAAAAF+NP08=")</f>
        <v>#REF!</v>
      </c>
      <c r="CC13" t="e">
        <f>AND(Sheet1!#REF!,"AAAAAF+NP1A=")</f>
        <v>#REF!</v>
      </c>
      <c r="CD13" t="e">
        <f>AND(Sheet1!#REF!,"AAAAAF+NP1E=")</f>
        <v>#REF!</v>
      </c>
      <c r="CE13">
        <f>IF(Sheet1!167:167,"AAAAAF+NP1I=",0)</f>
        <v>0</v>
      </c>
      <c r="CF13" t="e">
        <f>AND(Sheet1!A167,"AAAAAF+NP1M=")</f>
        <v>#VALUE!</v>
      </c>
      <c r="CG13" t="e">
        <f>AND(Sheet1!B167,"AAAAAF+NP1Q=")</f>
        <v>#VALUE!</v>
      </c>
      <c r="CH13" t="e">
        <f>AND(Sheet1!C167,"AAAAAF+NP1U=")</f>
        <v>#VALUE!</v>
      </c>
      <c r="CI13" t="e">
        <f>AND(Sheet1!D167,"AAAAAF+NP1Y=")</f>
        <v>#VALUE!</v>
      </c>
      <c r="CJ13" t="e">
        <f>AND(Sheet1!E167,"AAAAAF+NP1c=")</f>
        <v>#VALUE!</v>
      </c>
      <c r="CK13" t="e">
        <f>AND(Sheet1!F167,"AAAAAF+NP1g=")</f>
        <v>#VALUE!</v>
      </c>
      <c r="CL13" t="e">
        <f>AND(Sheet1!G167,"AAAAAF+NP1k=")</f>
        <v>#VALUE!</v>
      </c>
      <c r="CM13" t="e">
        <f>AND(Sheet1!H167,"AAAAAF+NP1o=")</f>
        <v>#VALUE!</v>
      </c>
      <c r="CN13" t="e">
        <f>AND(Sheet1!I167,"AAAAAF+NP1s=")</f>
        <v>#VALUE!</v>
      </c>
      <c r="CO13" t="e">
        <f>AND(Sheet1!J167,"AAAAAF+NP1w=")</f>
        <v>#VALUE!</v>
      </c>
      <c r="CP13" t="e">
        <f>AND(Sheet1!K167,"AAAAAF+NP10=")</f>
        <v>#VALUE!</v>
      </c>
      <c r="CQ13" t="e">
        <f>AND(Sheet1!L167,"AAAAAF+NP14=")</f>
        <v>#VALUE!</v>
      </c>
      <c r="CR13" t="e">
        <f>AND(Sheet1!M167,"AAAAAF+NP18=")</f>
        <v>#VALUE!</v>
      </c>
      <c r="CS13" t="e">
        <f>AND(Sheet1!N167,"AAAAAF+NP2A=")</f>
        <v>#VALUE!</v>
      </c>
      <c r="CT13" t="e">
        <f>AND(Sheet1!#REF!,"AAAAAF+NP2E=")</f>
        <v>#REF!</v>
      </c>
      <c r="CU13" t="e">
        <f>AND(Sheet1!#REF!,"AAAAAF+NP2I=")</f>
        <v>#REF!</v>
      </c>
      <c r="CV13" t="e">
        <f>AND(Sheet1!#REF!,"AAAAAF+NP2M=")</f>
        <v>#REF!</v>
      </c>
      <c r="CW13" t="e">
        <f>AND(Sheet1!#REF!,"AAAAAF+NP2Q=")</f>
        <v>#REF!</v>
      </c>
      <c r="CX13">
        <f>IF(Sheet1!168:168,"AAAAAF+NP2U=",0)</f>
        <v>0</v>
      </c>
      <c r="CY13" t="e">
        <f>AND(Sheet1!A168,"AAAAAF+NP2Y=")</f>
        <v>#VALUE!</v>
      </c>
      <c r="CZ13" t="e">
        <f>AND(Sheet1!B168,"AAAAAF+NP2c=")</f>
        <v>#VALUE!</v>
      </c>
      <c r="DA13" t="e">
        <f>AND(Sheet1!C168,"AAAAAF+NP2g=")</f>
        <v>#VALUE!</v>
      </c>
      <c r="DB13" t="e">
        <f>AND(Sheet1!D168,"AAAAAF+NP2k=")</f>
        <v>#VALUE!</v>
      </c>
      <c r="DC13" t="e">
        <f>AND(Sheet1!E168,"AAAAAF+NP2o=")</f>
        <v>#VALUE!</v>
      </c>
      <c r="DD13" t="e">
        <f>AND(Sheet1!F168,"AAAAAF+NP2s=")</f>
        <v>#VALUE!</v>
      </c>
      <c r="DE13" t="e">
        <f>AND(Sheet1!G168,"AAAAAF+NP2w=")</f>
        <v>#VALUE!</v>
      </c>
      <c r="DF13" t="e">
        <f>AND(Sheet1!H168,"AAAAAF+NP20=")</f>
        <v>#VALUE!</v>
      </c>
      <c r="DG13" t="e">
        <f>AND(Sheet1!I168,"AAAAAF+NP24=")</f>
        <v>#VALUE!</v>
      </c>
      <c r="DH13" t="e">
        <f>AND(Sheet1!J168,"AAAAAF+NP28=")</f>
        <v>#VALUE!</v>
      </c>
      <c r="DI13" t="e">
        <f>AND(Sheet1!K168,"AAAAAF+NP3A=")</f>
        <v>#VALUE!</v>
      </c>
      <c r="DJ13" t="e">
        <f>AND(Sheet1!L168,"AAAAAF+NP3E=")</f>
        <v>#VALUE!</v>
      </c>
      <c r="DK13" t="e">
        <f>AND(Sheet1!M168,"AAAAAF+NP3I=")</f>
        <v>#VALUE!</v>
      </c>
      <c r="DL13" t="e">
        <f>AND(Sheet1!N168,"AAAAAF+NP3M=")</f>
        <v>#VALUE!</v>
      </c>
      <c r="DM13" t="e">
        <f>AND(Sheet1!#REF!,"AAAAAF+NP3Q=")</f>
        <v>#REF!</v>
      </c>
      <c r="DN13" t="e">
        <f>AND(Sheet1!#REF!,"AAAAAF+NP3U=")</f>
        <v>#REF!</v>
      </c>
      <c r="DO13" t="e">
        <f>AND(Sheet1!#REF!,"AAAAAF+NP3Y=")</f>
        <v>#REF!</v>
      </c>
      <c r="DP13" t="e">
        <f>AND(Sheet1!#REF!,"AAAAAF+NP3c=")</f>
        <v>#REF!</v>
      </c>
      <c r="DQ13">
        <f>IF(Sheet1!169:169,"AAAAAF+NP3g=",0)</f>
        <v>0</v>
      </c>
      <c r="DR13" t="e">
        <f>AND(Sheet1!A169,"AAAAAF+NP3k=")</f>
        <v>#VALUE!</v>
      </c>
      <c r="DS13" t="e">
        <f>AND(Sheet1!B169,"AAAAAF+NP3o=")</f>
        <v>#VALUE!</v>
      </c>
      <c r="DT13" t="e">
        <f>AND(Sheet1!C169,"AAAAAF+NP3s=")</f>
        <v>#VALUE!</v>
      </c>
      <c r="DU13" t="e">
        <f>AND(Sheet1!D169,"AAAAAF+NP3w=")</f>
        <v>#VALUE!</v>
      </c>
      <c r="DV13" t="e">
        <f>AND(Sheet1!E169,"AAAAAF+NP30=")</f>
        <v>#VALUE!</v>
      </c>
      <c r="DW13" t="e">
        <f>AND(Sheet1!F169,"AAAAAF+NP34=")</f>
        <v>#VALUE!</v>
      </c>
      <c r="DX13" t="e">
        <f>AND(Sheet1!G169,"AAAAAF+NP38=")</f>
        <v>#VALUE!</v>
      </c>
      <c r="DY13" t="e">
        <f>AND(Sheet1!H169,"AAAAAF+NP4A=")</f>
        <v>#VALUE!</v>
      </c>
      <c r="DZ13" t="e">
        <f>AND(Sheet1!I169,"AAAAAF+NP4E=")</f>
        <v>#VALUE!</v>
      </c>
      <c r="EA13" t="e">
        <f>AND(Sheet1!J169,"AAAAAF+NP4I=")</f>
        <v>#VALUE!</v>
      </c>
      <c r="EB13" t="e">
        <f>AND(Sheet1!K169,"AAAAAF+NP4M=")</f>
        <v>#VALUE!</v>
      </c>
      <c r="EC13" t="e">
        <f>AND(Sheet1!L169,"AAAAAF+NP4Q=")</f>
        <v>#VALUE!</v>
      </c>
      <c r="ED13" t="e">
        <f>AND(Sheet1!M169,"AAAAAF+NP4U=")</f>
        <v>#VALUE!</v>
      </c>
      <c r="EE13" t="e">
        <f>AND(Sheet1!N169,"AAAAAF+NP4Y=")</f>
        <v>#VALUE!</v>
      </c>
      <c r="EF13" t="e">
        <f>AND(Sheet1!#REF!,"AAAAAF+NP4c=")</f>
        <v>#REF!</v>
      </c>
      <c r="EG13" t="e">
        <f>AND(Sheet1!#REF!,"AAAAAF+NP4g=")</f>
        <v>#REF!</v>
      </c>
      <c r="EH13" t="e">
        <f>AND(Sheet1!#REF!,"AAAAAF+NP4k=")</f>
        <v>#REF!</v>
      </c>
      <c r="EI13" t="e">
        <f>AND(Sheet1!#REF!,"AAAAAF+NP4o=")</f>
        <v>#REF!</v>
      </c>
      <c r="EJ13">
        <f>IF(Sheet1!170:170,"AAAAAF+NP4s=",0)</f>
        <v>0</v>
      </c>
      <c r="EK13" t="e">
        <f>AND(Sheet1!A170,"AAAAAF+NP4w=")</f>
        <v>#VALUE!</v>
      </c>
      <c r="EL13" t="e">
        <f>AND(Sheet1!B170,"AAAAAF+NP40=")</f>
        <v>#VALUE!</v>
      </c>
      <c r="EM13" t="e">
        <f>AND(Sheet1!C170,"AAAAAF+NP44=")</f>
        <v>#VALUE!</v>
      </c>
      <c r="EN13" t="e">
        <f>AND(Sheet1!D170,"AAAAAF+NP48=")</f>
        <v>#VALUE!</v>
      </c>
      <c r="EO13" t="e">
        <f>AND(Sheet1!E170,"AAAAAF+NP5A=")</f>
        <v>#VALUE!</v>
      </c>
      <c r="EP13" t="e">
        <f>AND(Sheet1!F170,"AAAAAF+NP5E=")</f>
        <v>#VALUE!</v>
      </c>
      <c r="EQ13" t="e">
        <f>AND(Sheet1!G170,"AAAAAF+NP5I=")</f>
        <v>#VALUE!</v>
      </c>
      <c r="ER13" t="e">
        <f>AND(Sheet1!H170,"AAAAAF+NP5M=")</f>
        <v>#VALUE!</v>
      </c>
      <c r="ES13" t="e">
        <f>AND(Sheet1!I170,"AAAAAF+NP5Q=")</f>
        <v>#VALUE!</v>
      </c>
      <c r="ET13" t="e">
        <f>AND(Sheet1!J170,"AAAAAF+NP5U=")</f>
        <v>#VALUE!</v>
      </c>
      <c r="EU13" t="e">
        <f>AND(Sheet1!K170,"AAAAAF+NP5Y=")</f>
        <v>#VALUE!</v>
      </c>
      <c r="EV13" t="e">
        <f>AND(Sheet1!L170,"AAAAAF+NP5c=")</f>
        <v>#VALUE!</v>
      </c>
      <c r="EW13" t="e">
        <f>AND(Sheet1!M170,"AAAAAF+NP5g=")</f>
        <v>#VALUE!</v>
      </c>
      <c r="EX13" t="e">
        <f>AND(Sheet1!N170,"AAAAAF+NP5k=")</f>
        <v>#VALUE!</v>
      </c>
      <c r="EY13" t="e">
        <f>AND(Sheet1!#REF!,"AAAAAF+NP5o=")</f>
        <v>#REF!</v>
      </c>
      <c r="EZ13" t="e">
        <f>AND(Sheet1!#REF!,"AAAAAF+NP5s=")</f>
        <v>#REF!</v>
      </c>
      <c r="FA13" t="e">
        <f>AND(Sheet1!#REF!,"AAAAAF+NP5w=")</f>
        <v>#REF!</v>
      </c>
      <c r="FB13" t="e">
        <f>AND(Sheet1!#REF!,"AAAAAF+NP50=")</f>
        <v>#REF!</v>
      </c>
      <c r="FC13">
        <f>IF(Sheet1!171:171,"AAAAAF+NP54=",0)</f>
        <v>0</v>
      </c>
      <c r="FD13" t="e">
        <f>AND(Sheet1!A171,"AAAAAF+NP58=")</f>
        <v>#VALUE!</v>
      </c>
      <c r="FE13" t="e">
        <f>AND(Sheet1!B171,"AAAAAF+NP6A=")</f>
        <v>#VALUE!</v>
      </c>
      <c r="FF13" t="e">
        <f>AND(Sheet1!C171,"AAAAAF+NP6E=")</f>
        <v>#VALUE!</v>
      </c>
      <c r="FG13" t="e">
        <f>AND(Sheet1!D171,"AAAAAF+NP6I=")</f>
        <v>#VALUE!</v>
      </c>
      <c r="FH13" t="e">
        <f>AND(Sheet1!E171,"AAAAAF+NP6M=")</f>
        <v>#VALUE!</v>
      </c>
      <c r="FI13" t="e">
        <f>AND(Sheet1!F171,"AAAAAF+NP6Q=")</f>
        <v>#VALUE!</v>
      </c>
      <c r="FJ13" t="e">
        <f>AND(Sheet1!G171,"AAAAAF+NP6U=")</f>
        <v>#VALUE!</v>
      </c>
      <c r="FK13" t="e">
        <f>AND(Sheet1!H171,"AAAAAF+NP6Y=")</f>
        <v>#VALUE!</v>
      </c>
      <c r="FL13" t="e">
        <f>AND(Sheet1!I171,"AAAAAF+NP6c=")</f>
        <v>#VALUE!</v>
      </c>
      <c r="FM13" t="e">
        <f>AND(Sheet1!J171,"AAAAAF+NP6g=")</f>
        <v>#VALUE!</v>
      </c>
      <c r="FN13" t="e">
        <f>AND(Sheet1!K171,"AAAAAF+NP6k=")</f>
        <v>#VALUE!</v>
      </c>
      <c r="FO13" t="e">
        <f>AND(Sheet1!L171,"AAAAAF+NP6o=")</f>
        <v>#VALUE!</v>
      </c>
      <c r="FP13" t="e">
        <f>AND(Sheet1!M171,"AAAAAF+NP6s=")</f>
        <v>#VALUE!</v>
      </c>
      <c r="FQ13" t="e">
        <f>AND(Sheet1!N171,"AAAAAF+NP6w=")</f>
        <v>#VALUE!</v>
      </c>
      <c r="FR13" t="e">
        <f>AND(Sheet1!#REF!,"AAAAAF+NP60=")</f>
        <v>#REF!</v>
      </c>
      <c r="FS13" t="e">
        <f>AND(Sheet1!#REF!,"AAAAAF+NP64=")</f>
        <v>#REF!</v>
      </c>
      <c r="FT13" t="e">
        <f>AND(Sheet1!#REF!,"AAAAAF+NP68=")</f>
        <v>#REF!</v>
      </c>
      <c r="FU13" t="e">
        <f>AND(Sheet1!#REF!,"AAAAAF+NP7A=")</f>
        <v>#REF!</v>
      </c>
      <c r="FV13">
        <f>IF(Sheet1!172:172,"AAAAAF+NP7E=",0)</f>
        <v>0</v>
      </c>
      <c r="FW13" t="e">
        <f>AND(Sheet1!A172,"AAAAAF+NP7I=")</f>
        <v>#VALUE!</v>
      </c>
      <c r="FX13" t="e">
        <f>AND(Sheet1!B172,"AAAAAF+NP7M=")</f>
        <v>#VALUE!</v>
      </c>
      <c r="FY13" t="e">
        <f>AND(Sheet1!C172,"AAAAAF+NP7Q=")</f>
        <v>#VALUE!</v>
      </c>
      <c r="FZ13" t="e">
        <f>AND(Sheet1!D172,"AAAAAF+NP7U=")</f>
        <v>#VALUE!</v>
      </c>
      <c r="GA13" t="e">
        <f>AND(Sheet1!E172,"AAAAAF+NP7Y=")</f>
        <v>#VALUE!</v>
      </c>
      <c r="GB13" t="e">
        <f>AND(Sheet1!F172,"AAAAAF+NP7c=")</f>
        <v>#VALUE!</v>
      </c>
      <c r="GC13" t="e">
        <f>AND(Sheet1!G172,"AAAAAF+NP7g=")</f>
        <v>#VALUE!</v>
      </c>
      <c r="GD13" t="e">
        <f>AND(Sheet1!H172,"AAAAAF+NP7k=")</f>
        <v>#VALUE!</v>
      </c>
      <c r="GE13" t="e">
        <f>AND(Sheet1!I172,"AAAAAF+NP7o=")</f>
        <v>#VALUE!</v>
      </c>
      <c r="GF13" t="e">
        <f>AND(Sheet1!J172,"AAAAAF+NP7s=")</f>
        <v>#VALUE!</v>
      </c>
      <c r="GG13" t="e">
        <f>AND(Sheet1!K172,"AAAAAF+NP7w=")</f>
        <v>#VALUE!</v>
      </c>
      <c r="GH13" t="e">
        <f>AND(Sheet1!L172,"AAAAAF+NP70=")</f>
        <v>#VALUE!</v>
      </c>
      <c r="GI13" t="e">
        <f>AND(Sheet1!M172,"AAAAAF+NP74=")</f>
        <v>#VALUE!</v>
      </c>
      <c r="GJ13" t="e">
        <f>AND(Sheet1!N172,"AAAAAF+NP78=")</f>
        <v>#VALUE!</v>
      </c>
      <c r="GK13" t="e">
        <f>AND(Sheet1!#REF!,"AAAAAF+NP8A=")</f>
        <v>#REF!</v>
      </c>
      <c r="GL13" t="e">
        <f>AND(Sheet1!#REF!,"AAAAAF+NP8E=")</f>
        <v>#REF!</v>
      </c>
      <c r="GM13" t="e">
        <f>AND(Sheet1!#REF!,"AAAAAF+NP8I=")</f>
        <v>#REF!</v>
      </c>
      <c r="GN13" t="e">
        <f>AND(Sheet1!#REF!,"AAAAAF+NP8M=")</f>
        <v>#REF!</v>
      </c>
      <c r="GO13">
        <f>IF(Sheet1!173:173,"AAAAAF+NP8Q=",0)</f>
        <v>0</v>
      </c>
      <c r="GP13" t="e">
        <f>AND(Sheet1!A173,"AAAAAF+NP8U=")</f>
        <v>#VALUE!</v>
      </c>
      <c r="GQ13" t="e">
        <f>AND(Sheet1!B173,"AAAAAF+NP8Y=")</f>
        <v>#VALUE!</v>
      </c>
      <c r="GR13" t="e">
        <f>AND(Sheet1!C173,"AAAAAF+NP8c=")</f>
        <v>#VALUE!</v>
      </c>
      <c r="GS13" t="e">
        <f>AND(Sheet1!D173,"AAAAAF+NP8g=")</f>
        <v>#VALUE!</v>
      </c>
      <c r="GT13" t="e">
        <f>AND(Sheet1!E173,"AAAAAF+NP8k=")</f>
        <v>#VALUE!</v>
      </c>
      <c r="GU13" t="e">
        <f>AND(Sheet1!F173,"AAAAAF+NP8o=")</f>
        <v>#VALUE!</v>
      </c>
      <c r="GV13" t="e">
        <f>AND(Sheet1!G173,"AAAAAF+NP8s=")</f>
        <v>#VALUE!</v>
      </c>
      <c r="GW13" t="e">
        <f>AND(Sheet1!H173,"AAAAAF+NP8w=")</f>
        <v>#VALUE!</v>
      </c>
      <c r="GX13" t="e">
        <f>AND(Sheet1!I173,"AAAAAF+NP80=")</f>
        <v>#VALUE!</v>
      </c>
      <c r="GY13" t="e">
        <f>AND(Sheet1!J173,"AAAAAF+NP84=")</f>
        <v>#VALUE!</v>
      </c>
      <c r="GZ13" t="e">
        <f>AND(Sheet1!K173,"AAAAAF+NP88=")</f>
        <v>#VALUE!</v>
      </c>
      <c r="HA13" t="e">
        <f>AND(Sheet1!L173,"AAAAAF+NP9A=")</f>
        <v>#VALUE!</v>
      </c>
      <c r="HB13" t="e">
        <f>AND(Sheet1!M173,"AAAAAF+NP9E=")</f>
        <v>#VALUE!</v>
      </c>
      <c r="HC13" t="e">
        <f>AND(Sheet1!N173,"AAAAAF+NP9I=")</f>
        <v>#VALUE!</v>
      </c>
      <c r="HD13" t="e">
        <f>AND(Sheet1!#REF!,"AAAAAF+NP9M=")</f>
        <v>#REF!</v>
      </c>
      <c r="HE13" t="e">
        <f>AND(Sheet1!#REF!,"AAAAAF+NP9Q=")</f>
        <v>#REF!</v>
      </c>
      <c r="HF13" t="e">
        <f>AND(Sheet1!#REF!,"AAAAAF+NP9U=")</f>
        <v>#REF!</v>
      </c>
      <c r="HG13" t="e">
        <f>AND(Sheet1!#REF!,"AAAAAF+NP9Y=")</f>
        <v>#REF!</v>
      </c>
      <c r="HH13">
        <f>IF(Sheet1!174:174,"AAAAAF+NP9c=",0)</f>
        <v>0</v>
      </c>
      <c r="HI13" t="e">
        <f>AND(Sheet1!A174,"AAAAAF+NP9g=")</f>
        <v>#VALUE!</v>
      </c>
      <c r="HJ13" t="e">
        <f>AND(Sheet1!B174,"AAAAAF+NP9k=")</f>
        <v>#VALUE!</v>
      </c>
      <c r="HK13" t="e">
        <f>AND(Sheet1!C174,"AAAAAF+NP9o=")</f>
        <v>#VALUE!</v>
      </c>
      <c r="HL13" t="e">
        <f>AND(Sheet1!D174,"AAAAAF+NP9s=")</f>
        <v>#VALUE!</v>
      </c>
      <c r="HM13" t="e">
        <f>AND(Sheet1!E174,"AAAAAF+NP9w=")</f>
        <v>#VALUE!</v>
      </c>
      <c r="HN13" t="e">
        <f>AND(Sheet1!F174,"AAAAAF+NP90=")</f>
        <v>#VALUE!</v>
      </c>
      <c r="HO13" t="e">
        <f>AND(Sheet1!G174,"AAAAAF+NP94=")</f>
        <v>#VALUE!</v>
      </c>
      <c r="HP13" t="e">
        <f>AND(Sheet1!H174,"AAAAAF+NP98=")</f>
        <v>#VALUE!</v>
      </c>
      <c r="HQ13" t="e">
        <f>AND(Sheet1!I174,"AAAAAF+NP+A=")</f>
        <v>#VALUE!</v>
      </c>
      <c r="HR13" t="e">
        <f>AND(Sheet1!J174,"AAAAAF+NP+E=")</f>
        <v>#VALUE!</v>
      </c>
      <c r="HS13" t="e">
        <f>AND(Sheet1!K174,"AAAAAF+NP+I=")</f>
        <v>#VALUE!</v>
      </c>
      <c r="HT13" t="e">
        <f>AND(Sheet1!L174,"AAAAAF+NP+M=")</f>
        <v>#VALUE!</v>
      </c>
      <c r="HU13" t="e">
        <f>AND(Sheet1!M174,"AAAAAF+NP+Q=")</f>
        <v>#VALUE!</v>
      </c>
      <c r="HV13" t="e">
        <f>AND(Sheet1!N174,"AAAAAF+NP+U=")</f>
        <v>#VALUE!</v>
      </c>
      <c r="HW13" t="e">
        <f>AND(Sheet1!#REF!,"AAAAAF+NP+Y=")</f>
        <v>#REF!</v>
      </c>
      <c r="HX13" t="e">
        <f>AND(Sheet1!#REF!,"AAAAAF+NP+c=")</f>
        <v>#REF!</v>
      </c>
      <c r="HY13" t="e">
        <f>AND(Sheet1!#REF!,"AAAAAF+NP+g=")</f>
        <v>#REF!</v>
      </c>
      <c r="HZ13" t="e">
        <f>AND(Sheet1!#REF!,"AAAAAF+NP+k=")</f>
        <v>#REF!</v>
      </c>
      <c r="IA13">
        <f>IF(Sheet1!175:175,"AAAAAF+NP+o=",0)</f>
        <v>0</v>
      </c>
      <c r="IB13" t="e">
        <f>AND(Sheet1!A175,"AAAAAF+NP+s=")</f>
        <v>#VALUE!</v>
      </c>
      <c r="IC13" t="e">
        <f>AND(Sheet1!B175,"AAAAAF+NP+w=")</f>
        <v>#VALUE!</v>
      </c>
      <c r="ID13" t="e">
        <f>AND(Sheet1!C175,"AAAAAF+NP+0=")</f>
        <v>#VALUE!</v>
      </c>
      <c r="IE13" t="e">
        <f>AND(Sheet1!D175,"AAAAAF+NP+4=")</f>
        <v>#VALUE!</v>
      </c>
      <c r="IF13" t="e">
        <f>AND(Sheet1!E175,"AAAAAF+NP+8=")</f>
        <v>#VALUE!</v>
      </c>
      <c r="IG13" t="e">
        <f>AND(Sheet1!F175,"AAAAAF+NP/A=")</f>
        <v>#VALUE!</v>
      </c>
      <c r="IH13" t="e">
        <f>AND(Sheet1!G175,"AAAAAF+NP/E=")</f>
        <v>#VALUE!</v>
      </c>
      <c r="II13" t="e">
        <f>AND(Sheet1!H175,"AAAAAF+NP/I=")</f>
        <v>#VALUE!</v>
      </c>
      <c r="IJ13" t="e">
        <f>AND(Sheet1!I175,"AAAAAF+NP/M=")</f>
        <v>#VALUE!</v>
      </c>
      <c r="IK13" t="e">
        <f>AND(Sheet1!J175,"AAAAAF+NP/Q=")</f>
        <v>#VALUE!</v>
      </c>
      <c r="IL13" t="e">
        <f>AND(Sheet1!K175,"AAAAAF+NP/U=")</f>
        <v>#VALUE!</v>
      </c>
      <c r="IM13" t="e">
        <f>AND(Sheet1!L175,"AAAAAF+NP/Y=")</f>
        <v>#VALUE!</v>
      </c>
      <c r="IN13" t="e">
        <f>AND(Sheet1!M175,"AAAAAF+NP/c=")</f>
        <v>#VALUE!</v>
      </c>
      <c r="IO13" t="e">
        <f>AND(Sheet1!N175,"AAAAAF+NP/g=")</f>
        <v>#VALUE!</v>
      </c>
      <c r="IP13" t="e">
        <f>AND(Sheet1!#REF!,"AAAAAF+NP/k=")</f>
        <v>#REF!</v>
      </c>
      <c r="IQ13" t="e">
        <f>AND(Sheet1!#REF!,"AAAAAF+NP/o=")</f>
        <v>#REF!</v>
      </c>
      <c r="IR13" t="e">
        <f>AND(Sheet1!#REF!,"AAAAAF+NP/s=")</f>
        <v>#REF!</v>
      </c>
      <c r="IS13" t="e">
        <f>AND(Sheet1!#REF!,"AAAAAF+NP/w=")</f>
        <v>#REF!</v>
      </c>
      <c r="IT13">
        <f>IF(Sheet1!176:176,"AAAAAF+NP/0=",0)</f>
        <v>0</v>
      </c>
      <c r="IU13" t="e">
        <f>AND(Sheet1!A176,"AAAAAF+NP/4=")</f>
        <v>#VALUE!</v>
      </c>
      <c r="IV13" t="e">
        <f>AND(Sheet1!B176,"AAAAAF+NP/8=")</f>
        <v>#VALUE!</v>
      </c>
    </row>
    <row r="14" spans="1:256" x14ac:dyDescent="0.2">
      <c r="A14" t="e">
        <f>AND(Sheet1!C176,"AAAAAFHntwA=")</f>
        <v>#VALUE!</v>
      </c>
      <c r="B14" t="e">
        <f>AND(Sheet1!D176,"AAAAAFHntwE=")</f>
        <v>#VALUE!</v>
      </c>
      <c r="C14" t="e">
        <f>AND(Sheet1!E176,"AAAAAFHntwI=")</f>
        <v>#VALUE!</v>
      </c>
      <c r="D14" t="e">
        <f>AND(Sheet1!F176,"AAAAAFHntwM=")</f>
        <v>#VALUE!</v>
      </c>
      <c r="E14" t="e">
        <f>AND(Sheet1!G176,"AAAAAFHntwQ=")</f>
        <v>#VALUE!</v>
      </c>
      <c r="F14" t="e">
        <f>AND(Sheet1!H176,"AAAAAFHntwU=")</f>
        <v>#VALUE!</v>
      </c>
      <c r="G14" t="e">
        <f>AND(Sheet1!I176,"AAAAAFHntwY=")</f>
        <v>#VALUE!</v>
      </c>
      <c r="H14" t="e">
        <f>AND(Sheet1!J176,"AAAAAFHntwc=")</f>
        <v>#VALUE!</v>
      </c>
      <c r="I14" t="e">
        <f>AND(Sheet1!K176,"AAAAAFHntwg=")</f>
        <v>#VALUE!</v>
      </c>
      <c r="J14" t="e">
        <f>AND(Sheet1!L176,"AAAAAFHntwk=")</f>
        <v>#VALUE!</v>
      </c>
      <c r="K14" t="e">
        <f>AND(Sheet1!M176,"AAAAAFHntwo=")</f>
        <v>#VALUE!</v>
      </c>
      <c r="L14" t="e">
        <f>AND(Sheet1!N176,"AAAAAFHntws=")</f>
        <v>#VALUE!</v>
      </c>
      <c r="M14" t="e">
        <f>AND(Sheet1!#REF!,"AAAAAFHntww=")</f>
        <v>#REF!</v>
      </c>
      <c r="N14" t="e">
        <f>AND(Sheet1!#REF!,"AAAAAFHntw0=")</f>
        <v>#REF!</v>
      </c>
      <c r="O14" t="e">
        <f>AND(Sheet1!#REF!,"AAAAAFHntw4=")</f>
        <v>#REF!</v>
      </c>
      <c r="P14" t="e">
        <f>AND(Sheet1!#REF!,"AAAAAFHntw8=")</f>
        <v>#REF!</v>
      </c>
      <c r="Q14">
        <f>IF(Sheet1!177:177,"AAAAAFHntxA=",0)</f>
        <v>0</v>
      </c>
      <c r="R14" t="e">
        <f>AND(Sheet1!A177,"AAAAAFHntxE=")</f>
        <v>#VALUE!</v>
      </c>
      <c r="S14" t="e">
        <f>AND(Sheet1!B177,"AAAAAFHntxI=")</f>
        <v>#VALUE!</v>
      </c>
      <c r="T14" t="e">
        <f>AND(Sheet1!C177,"AAAAAFHntxM=")</f>
        <v>#VALUE!</v>
      </c>
      <c r="U14" t="e">
        <f>AND(Sheet1!D177,"AAAAAFHntxQ=")</f>
        <v>#VALUE!</v>
      </c>
      <c r="V14" t="e">
        <f>AND(Sheet1!E177,"AAAAAFHntxU=")</f>
        <v>#VALUE!</v>
      </c>
      <c r="W14" t="e">
        <f>AND(Sheet1!F177,"AAAAAFHntxY=")</f>
        <v>#VALUE!</v>
      </c>
      <c r="X14" t="e">
        <f>AND(Sheet1!G177,"AAAAAFHntxc=")</f>
        <v>#VALUE!</v>
      </c>
      <c r="Y14" t="e">
        <f>AND(Sheet1!H177,"AAAAAFHntxg=")</f>
        <v>#VALUE!</v>
      </c>
      <c r="Z14" t="e">
        <f>AND(Sheet1!I177,"AAAAAFHntxk=")</f>
        <v>#VALUE!</v>
      </c>
      <c r="AA14" t="e">
        <f>AND(Sheet1!J177,"AAAAAFHntxo=")</f>
        <v>#VALUE!</v>
      </c>
      <c r="AB14" t="e">
        <f>AND(Sheet1!K177,"AAAAAFHntxs=")</f>
        <v>#VALUE!</v>
      </c>
      <c r="AC14" t="e">
        <f>AND(Sheet1!L177,"AAAAAFHntxw=")</f>
        <v>#VALUE!</v>
      </c>
      <c r="AD14" t="e">
        <f>AND(Sheet1!M177,"AAAAAFHntx0=")</f>
        <v>#VALUE!</v>
      </c>
      <c r="AE14" t="e">
        <f>AND(Sheet1!N177,"AAAAAFHntx4=")</f>
        <v>#VALUE!</v>
      </c>
      <c r="AF14" t="e">
        <f>AND(Sheet1!#REF!,"AAAAAFHntx8=")</f>
        <v>#REF!</v>
      </c>
      <c r="AG14" t="e">
        <f>AND(Sheet1!#REF!,"AAAAAFHntyA=")</f>
        <v>#REF!</v>
      </c>
      <c r="AH14" t="e">
        <f>AND(Sheet1!#REF!,"AAAAAFHntyE=")</f>
        <v>#REF!</v>
      </c>
      <c r="AI14" t="e">
        <f>AND(Sheet1!#REF!,"AAAAAFHntyI=")</f>
        <v>#REF!</v>
      </c>
      <c r="AJ14">
        <f>IF(Sheet1!178:178,"AAAAAFHntyM=",0)</f>
        <v>0</v>
      </c>
      <c r="AK14" t="e">
        <f>AND(Sheet1!A178,"AAAAAFHntyQ=")</f>
        <v>#VALUE!</v>
      </c>
      <c r="AL14" t="e">
        <f>AND(Sheet1!B178,"AAAAAFHntyU=")</f>
        <v>#VALUE!</v>
      </c>
      <c r="AM14" t="e">
        <f>AND(Sheet1!C178,"AAAAAFHntyY=")</f>
        <v>#VALUE!</v>
      </c>
      <c r="AN14" t="e">
        <f>AND(Sheet1!D178,"AAAAAFHntyc=")</f>
        <v>#VALUE!</v>
      </c>
      <c r="AO14" t="e">
        <f>AND(Sheet1!E178,"AAAAAFHntyg=")</f>
        <v>#VALUE!</v>
      </c>
      <c r="AP14" t="e">
        <f>AND(Sheet1!F178,"AAAAAFHntyk=")</f>
        <v>#VALUE!</v>
      </c>
      <c r="AQ14" t="e">
        <f>AND(Sheet1!G178,"AAAAAFHntyo=")</f>
        <v>#VALUE!</v>
      </c>
      <c r="AR14" t="e">
        <f>AND(Sheet1!H178,"AAAAAFHntys=")</f>
        <v>#VALUE!</v>
      </c>
      <c r="AS14" t="e">
        <f>AND(Sheet1!I178,"AAAAAFHntyw=")</f>
        <v>#VALUE!</v>
      </c>
      <c r="AT14" t="e">
        <f>AND(Sheet1!J178,"AAAAAFHnty0=")</f>
        <v>#VALUE!</v>
      </c>
      <c r="AU14" t="e">
        <f>AND(Sheet1!K178,"AAAAAFHnty4=")</f>
        <v>#VALUE!</v>
      </c>
      <c r="AV14" t="e">
        <f>AND(Sheet1!L178,"AAAAAFHnty8=")</f>
        <v>#VALUE!</v>
      </c>
      <c r="AW14" t="e">
        <f>AND(Sheet1!M178,"AAAAAFHntzA=")</f>
        <v>#VALUE!</v>
      </c>
      <c r="AX14" t="e">
        <f>AND(Sheet1!N178,"AAAAAFHntzE=")</f>
        <v>#VALUE!</v>
      </c>
      <c r="AY14" t="e">
        <f>AND(Sheet1!#REF!,"AAAAAFHntzI=")</f>
        <v>#REF!</v>
      </c>
      <c r="AZ14" t="e">
        <f>AND(Sheet1!#REF!,"AAAAAFHntzM=")</f>
        <v>#REF!</v>
      </c>
      <c r="BA14" t="e">
        <f>AND(Sheet1!#REF!,"AAAAAFHntzQ=")</f>
        <v>#REF!</v>
      </c>
      <c r="BB14" t="e">
        <f>AND(Sheet1!#REF!,"AAAAAFHntzU=")</f>
        <v>#REF!</v>
      </c>
      <c r="BC14">
        <f>IF(Sheet1!179:179,"AAAAAFHntzY=",0)</f>
        <v>0</v>
      </c>
      <c r="BD14" t="e">
        <f>AND(Sheet1!A179,"AAAAAFHntzc=")</f>
        <v>#VALUE!</v>
      </c>
      <c r="BE14" t="e">
        <f>AND(Sheet1!B179,"AAAAAFHntzg=")</f>
        <v>#VALUE!</v>
      </c>
      <c r="BF14" t="e">
        <f>AND(Sheet1!C179,"AAAAAFHntzk=")</f>
        <v>#VALUE!</v>
      </c>
      <c r="BG14" t="e">
        <f>AND(Sheet1!D179,"AAAAAFHntzo=")</f>
        <v>#VALUE!</v>
      </c>
      <c r="BH14" t="e">
        <f>AND(Sheet1!E179,"AAAAAFHntzs=")</f>
        <v>#VALUE!</v>
      </c>
      <c r="BI14" t="e">
        <f>AND(Sheet1!F179,"AAAAAFHntzw=")</f>
        <v>#VALUE!</v>
      </c>
      <c r="BJ14" t="e">
        <f>AND(Sheet1!G179,"AAAAAFHntz0=")</f>
        <v>#VALUE!</v>
      </c>
      <c r="BK14" t="e">
        <f>AND(Sheet1!H179,"AAAAAFHntz4=")</f>
        <v>#VALUE!</v>
      </c>
      <c r="BL14" t="e">
        <f>AND(Sheet1!I179,"AAAAAFHntz8=")</f>
        <v>#VALUE!</v>
      </c>
      <c r="BM14" t="e">
        <f>AND(Sheet1!J179,"AAAAAFHnt0A=")</f>
        <v>#VALUE!</v>
      </c>
      <c r="BN14" t="e">
        <f>AND(Sheet1!K179,"AAAAAFHnt0E=")</f>
        <v>#VALUE!</v>
      </c>
      <c r="BO14" t="e">
        <f>AND(Sheet1!L179,"AAAAAFHnt0I=")</f>
        <v>#VALUE!</v>
      </c>
      <c r="BP14" t="e">
        <f>AND(Sheet1!M179,"AAAAAFHnt0M=")</f>
        <v>#VALUE!</v>
      </c>
      <c r="BQ14" t="e">
        <f>AND(Sheet1!N179,"AAAAAFHnt0Q=")</f>
        <v>#VALUE!</v>
      </c>
      <c r="BR14" t="e">
        <f>AND(Sheet1!#REF!,"AAAAAFHnt0U=")</f>
        <v>#REF!</v>
      </c>
      <c r="BS14" t="e">
        <f>AND(Sheet1!#REF!,"AAAAAFHnt0Y=")</f>
        <v>#REF!</v>
      </c>
      <c r="BT14" t="e">
        <f>AND(Sheet1!#REF!,"AAAAAFHnt0c=")</f>
        <v>#REF!</v>
      </c>
      <c r="BU14" t="e">
        <f>AND(Sheet1!#REF!,"AAAAAFHnt0g=")</f>
        <v>#REF!</v>
      </c>
      <c r="BV14">
        <f>IF(Sheet1!180:180,"AAAAAFHnt0k=",0)</f>
        <v>0</v>
      </c>
      <c r="BW14" t="e">
        <f>AND(Sheet1!A180,"AAAAAFHnt0o=")</f>
        <v>#VALUE!</v>
      </c>
      <c r="BX14" t="e">
        <f>AND(Sheet1!B180,"AAAAAFHnt0s=")</f>
        <v>#VALUE!</v>
      </c>
      <c r="BY14" t="e">
        <f>AND(Sheet1!C180,"AAAAAFHnt0w=")</f>
        <v>#VALUE!</v>
      </c>
      <c r="BZ14" t="e">
        <f>AND(Sheet1!D180,"AAAAAFHnt00=")</f>
        <v>#VALUE!</v>
      </c>
      <c r="CA14" t="e">
        <f>AND(Sheet1!E180,"AAAAAFHnt04=")</f>
        <v>#VALUE!</v>
      </c>
      <c r="CB14" t="e">
        <f>AND(Sheet1!F180,"AAAAAFHnt08=")</f>
        <v>#VALUE!</v>
      </c>
      <c r="CC14" t="e">
        <f>AND(Sheet1!G180,"AAAAAFHnt1A=")</f>
        <v>#VALUE!</v>
      </c>
      <c r="CD14" t="e">
        <f>AND(Sheet1!H180,"AAAAAFHnt1E=")</f>
        <v>#VALUE!</v>
      </c>
      <c r="CE14" t="e">
        <f>AND(Sheet1!I180,"AAAAAFHnt1I=")</f>
        <v>#VALUE!</v>
      </c>
      <c r="CF14" t="e">
        <f>AND(Sheet1!J180,"AAAAAFHnt1M=")</f>
        <v>#VALUE!</v>
      </c>
      <c r="CG14" t="e">
        <f>AND(Sheet1!K180,"AAAAAFHnt1Q=")</f>
        <v>#VALUE!</v>
      </c>
      <c r="CH14" t="e">
        <f>AND(Sheet1!L180,"AAAAAFHnt1U=")</f>
        <v>#VALUE!</v>
      </c>
      <c r="CI14" t="e">
        <f>AND(Sheet1!M180,"AAAAAFHnt1Y=")</f>
        <v>#VALUE!</v>
      </c>
      <c r="CJ14" t="e">
        <f>AND(Sheet1!N180,"AAAAAFHnt1c=")</f>
        <v>#VALUE!</v>
      </c>
      <c r="CK14" t="e">
        <f>AND(Sheet1!#REF!,"AAAAAFHnt1g=")</f>
        <v>#REF!</v>
      </c>
      <c r="CL14" t="e">
        <f>AND(Sheet1!#REF!,"AAAAAFHnt1k=")</f>
        <v>#REF!</v>
      </c>
      <c r="CM14" t="e">
        <f>AND(Sheet1!#REF!,"AAAAAFHnt1o=")</f>
        <v>#REF!</v>
      </c>
      <c r="CN14" t="e">
        <f>AND(Sheet1!#REF!,"AAAAAFHnt1s=")</f>
        <v>#REF!</v>
      </c>
      <c r="CO14">
        <f>IF(Sheet1!181:181,"AAAAAFHnt1w=",0)</f>
        <v>0</v>
      </c>
      <c r="CP14" t="e">
        <f>AND(Sheet1!A181,"AAAAAFHnt10=")</f>
        <v>#VALUE!</v>
      </c>
      <c r="CQ14" t="e">
        <f>AND(Sheet1!B181,"AAAAAFHnt14=")</f>
        <v>#VALUE!</v>
      </c>
      <c r="CR14" t="e">
        <f>AND(Sheet1!C181,"AAAAAFHnt18=")</f>
        <v>#VALUE!</v>
      </c>
      <c r="CS14" t="e">
        <f>AND(Sheet1!D181,"AAAAAFHnt2A=")</f>
        <v>#VALUE!</v>
      </c>
      <c r="CT14" t="e">
        <f>AND(Sheet1!E181,"AAAAAFHnt2E=")</f>
        <v>#VALUE!</v>
      </c>
      <c r="CU14" t="e">
        <f>AND(Sheet1!F181,"AAAAAFHnt2I=")</f>
        <v>#VALUE!</v>
      </c>
      <c r="CV14" t="e">
        <f>AND(Sheet1!G181,"AAAAAFHnt2M=")</f>
        <v>#VALUE!</v>
      </c>
      <c r="CW14" t="e">
        <f>AND(Sheet1!H181,"AAAAAFHnt2Q=")</f>
        <v>#VALUE!</v>
      </c>
      <c r="CX14" t="e">
        <f>AND(Sheet1!I181,"AAAAAFHnt2U=")</f>
        <v>#VALUE!</v>
      </c>
      <c r="CY14" t="e">
        <f>AND(Sheet1!J181,"AAAAAFHnt2Y=")</f>
        <v>#VALUE!</v>
      </c>
      <c r="CZ14" t="e">
        <f>AND(Sheet1!K181,"AAAAAFHnt2c=")</f>
        <v>#VALUE!</v>
      </c>
      <c r="DA14" t="e">
        <f>AND(Sheet1!L181,"AAAAAFHnt2g=")</f>
        <v>#VALUE!</v>
      </c>
      <c r="DB14" t="e">
        <f>AND(Sheet1!M181,"AAAAAFHnt2k=")</f>
        <v>#VALUE!</v>
      </c>
      <c r="DC14" t="e">
        <f>AND(Sheet1!N181,"AAAAAFHnt2o=")</f>
        <v>#VALUE!</v>
      </c>
      <c r="DD14" t="e">
        <f>AND(Sheet1!#REF!,"AAAAAFHnt2s=")</f>
        <v>#REF!</v>
      </c>
      <c r="DE14" t="e">
        <f>AND(Sheet1!#REF!,"AAAAAFHnt2w=")</f>
        <v>#REF!</v>
      </c>
      <c r="DF14" t="e">
        <f>AND(Sheet1!#REF!,"AAAAAFHnt20=")</f>
        <v>#REF!</v>
      </c>
      <c r="DG14" t="e">
        <f>AND(Sheet1!#REF!,"AAAAAFHnt24=")</f>
        <v>#REF!</v>
      </c>
      <c r="DH14">
        <f>IF(Sheet1!182:182,"AAAAAFHnt28=",0)</f>
        <v>0</v>
      </c>
      <c r="DI14" t="e">
        <f>AND(Sheet1!A182,"AAAAAFHnt3A=")</f>
        <v>#VALUE!</v>
      </c>
      <c r="DJ14" t="e">
        <f>AND(Sheet1!B182,"AAAAAFHnt3E=")</f>
        <v>#VALUE!</v>
      </c>
      <c r="DK14" t="e">
        <f>AND(Sheet1!C182,"AAAAAFHnt3I=")</f>
        <v>#VALUE!</v>
      </c>
      <c r="DL14" t="e">
        <f>AND(Sheet1!D182,"AAAAAFHnt3M=")</f>
        <v>#VALUE!</v>
      </c>
      <c r="DM14" t="e">
        <f>AND(Sheet1!E182,"AAAAAFHnt3Q=")</f>
        <v>#VALUE!</v>
      </c>
      <c r="DN14" t="e">
        <f>AND(Sheet1!F182,"AAAAAFHnt3U=")</f>
        <v>#VALUE!</v>
      </c>
      <c r="DO14" t="e">
        <f>AND(Sheet1!G182,"AAAAAFHnt3Y=")</f>
        <v>#VALUE!</v>
      </c>
      <c r="DP14" t="e">
        <f>AND(Sheet1!H182,"AAAAAFHnt3c=")</f>
        <v>#VALUE!</v>
      </c>
      <c r="DQ14" t="e">
        <f>AND(Sheet1!I182,"AAAAAFHnt3g=")</f>
        <v>#VALUE!</v>
      </c>
      <c r="DR14" t="e">
        <f>AND(Sheet1!J182,"AAAAAFHnt3k=")</f>
        <v>#VALUE!</v>
      </c>
      <c r="DS14" t="e">
        <f>AND(Sheet1!K182,"AAAAAFHnt3o=")</f>
        <v>#VALUE!</v>
      </c>
      <c r="DT14" t="e">
        <f>AND(Sheet1!L182,"AAAAAFHnt3s=")</f>
        <v>#VALUE!</v>
      </c>
      <c r="DU14" t="e">
        <f>AND(Sheet1!M182,"AAAAAFHnt3w=")</f>
        <v>#VALUE!</v>
      </c>
      <c r="DV14" t="e">
        <f>AND(Sheet1!N182,"AAAAAFHnt30=")</f>
        <v>#VALUE!</v>
      </c>
      <c r="DW14" t="e">
        <f>AND(Sheet1!#REF!,"AAAAAFHnt34=")</f>
        <v>#REF!</v>
      </c>
      <c r="DX14" t="e">
        <f>AND(Sheet1!#REF!,"AAAAAFHnt38=")</f>
        <v>#REF!</v>
      </c>
      <c r="DY14" t="e">
        <f>AND(Sheet1!#REF!,"AAAAAFHnt4A=")</f>
        <v>#REF!</v>
      </c>
      <c r="DZ14" t="e">
        <f>AND(Sheet1!#REF!,"AAAAAFHnt4E=")</f>
        <v>#REF!</v>
      </c>
      <c r="EA14">
        <f>IF(Sheet1!183:183,"AAAAAFHnt4I=",0)</f>
        <v>0</v>
      </c>
      <c r="EB14" t="e">
        <f>AND(Sheet1!A183,"AAAAAFHnt4M=")</f>
        <v>#VALUE!</v>
      </c>
      <c r="EC14" t="e">
        <f>AND(Sheet1!B183,"AAAAAFHnt4Q=")</f>
        <v>#VALUE!</v>
      </c>
      <c r="ED14" t="e">
        <f>AND(Sheet1!C183,"AAAAAFHnt4U=")</f>
        <v>#VALUE!</v>
      </c>
      <c r="EE14" t="e">
        <f>AND(Sheet1!D183,"AAAAAFHnt4Y=")</f>
        <v>#VALUE!</v>
      </c>
      <c r="EF14" t="e">
        <f>AND(Sheet1!E183,"AAAAAFHnt4c=")</f>
        <v>#VALUE!</v>
      </c>
      <c r="EG14" t="e">
        <f>AND(Sheet1!F183,"AAAAAFHnt4g=")</f>
        <v>#VALUE!</v>
      </c>
      <c r="EH14" t="e">
        <f>AND(Sheet1!G183,"AAAAAFHnt4k=")</f>
        <v>#VALUE!</v>
      </c>
      <c r="EI14" t="e">
        <f>AND(Sheet1!H183,"AAAAAFHnt4o=")</f>
        <v>#VALUE!</v>
      </c>
      <c r="EJ14" t="e">
        <f>AND(Sheet1!I183,"AAAAAFHnt4s=")</f>
        <v>#VALUE!</v>
      </c>
      <c r="EK14" t="e">
        <f>AND(Sheet1!J183,"AAAAAFHnt4w=")</f>
        <v>#VALUE!</v>
      </c>
      <c r="EL14" t="e">
        <f>AND(Sheet1!K183,"AAAAAFHnt40=")</f>
        <v>#VALUE!</v>
      </c>
      <c r="EM14" t="e">
        <f>AND(Sheet1!L183,"AAAAAFHnt44=")</f>
        <v>#VALUE!</v>
      </c>
      <c r="EN14" t="e">
        <f>AND(Sheet1!M183,"AAAAAFHnt48=")</f>
        <v>#VALUE!</v>
      </c>
      <c r="EO14" t="e">
        <f>AND(Sheet1!N183,"AAAAAFHnt5A=")</f>
        <v>#VALUE!</v>
      </c>
      <c r="EP14" t="e">
        <f>AND(Sheet1!#REF!,"AAAAAFHnt5E=")</f>
        <v>#REF!</v>
      </c>
      <c r="EQ14" t="e">
        <f>AND(Sheet1!#REF!,"AAAAAFHnt5I=")</f>
        <v>#REF!</v>
      </c>
      <c r="ER14" t="e">
        <f>AND(Sheet1!#REF!,"AAAAAFHnt5M=")</f>
        <v>#REF!</v>
      </c>
      <c r="ES14" t="e">
        <f>AND(Sheet1!#REF!,"AAAAAFHnt5Q=")</f>
        <v>#REF!</v>
      </c>
      <c r="ET14">
        <f>IF(Sheet1!184:184,"AAAAAFHnt5U=",0)</f>
        <v>0</v>
      </c>
      <c r="EU14" t="e">
        <f>AND(Sheet1!A184,"AAAAAFHnt5Y=")</f>
        <v>#VALUE!</v>
      </c>
      <c r="EV14" t="e">
        <f>AND(Sheet1!B184,"AAAAAFHnt5c=")</f>
        <v>#VALUE!</v>
      </c>
      <c r="EW14" t="e">
        <f>AND(Sheet1!C184,"AAAAAFHnt5g=")</f>
        <v>#VALUE!</v>
      </c>
      <c r="EX14" t="e">
        <f>AND(Sheet1!D184,"AAAAAFHnt5k=")</f>
        <v>#VALUE!</v>
      </c>
      <c r="EY14" t="e">
        <f>AND(Sheet1!E184,"AAAAAFHnt5o=")</f>
        <v>#VALUE!</v>
      </c>
      <c r="EZ14" t="e">
        <f>AND(Sheet1!F184,"AAAAAFHnt5s=")</f>
        <v>#VALUE!</v>
      </c>
      <c r="FA14" t="e">
        <f>AND(Sheet1!G184,"AAAAAFHnt5w=")</f>
        <v>#VALUE!</v>
      </c>
      <c r="FB14" t="e">
        <f>AND(Sheet1!H184,"AAAAAFHnt50=")</f>
        <v>#VALUE!</v>
      </c>
      <c r="FC14" t="e">
        <f>AND(Sheet1!I184,"AAAAAFHnt54=")</f>
        <v>#VALUE!</v>
      </c>
      <c r="FD14" t="e">
        <f>AND(Sheet1!J184,"AAAAAFHnt58=")</f>
        <v>#VALUE!</v>
      </c>
      <c r="FE14" t="e">
        <f>AND(Sheet1!K184,"AAAAAFHnt6A=")</f>
        <v>#VALUE!</v>
      </c>
      <c r="FF14" t="e">
        <f>AND(Sheet1!L184,"AAAAAFHnt6E=")</f>
        <v>#VALUE!</v>
      </c>
      <c r="FG14" t="e">
        <f>AND(Sheet1!M184,"AAAAAFHnt6I=")</f>
        <v>#VALUE!</v>
      </c>
      <c r="FH14" t="e">
        <f>AND(Sheet1!N184,"AAAAAFHnt6M=")</f>
        <v>#VALUE!</v>
      </c>
      <c r="FI14" t="e">
        <f>AND(Sheet1!#REF!,"AAAAAFHnt6Q=")</f>
        <v>#REF!</v>
      </c>
      <c r="FJ14" t="e">
        <f>AND(Sheet1!#REF!,"AAAAAFHnt6U=")</f>
        <v>#REF!</v>
      </c>
      <c r="FK14" t="e">
        <f>AND(Sheet1!#REF!,"AAAAAFHnt6Y=")</f>
        <v>#REF!</v>
      </c>
      <c r="FL14" t="e">
        <f>AND(Sheet1!#REF!,"AAAAAFHnt6c=")</f>
        <v>#REF!</v>
      </c>
      <c r="FM14">
        <f>IF(Sheet1!185:185,"AAAAAFHnt6g=",0)</f>
        <v>0</v>
      </c>
      <c r="FN14" t="e">
        <f>AND(Sheet1!A185,"AAAAAFHnt6k=")</f>
        <v>#VALUE!</v>
      </c>
      <c r="FO14" t="e">
        <f>AND(Sheet1!B185,"AAAAAFHnt6o=")</f>
        <v>#VALUE!</v>
      </c>
      <c r="FP14" t="e">
        <f>AND(Sheet1!C185,"AAAAAFHnt6s=")</f>
        <v>#VALUE!</v>
      </c>
      <c r="FQ14" t="e">
        <f>AND(Sheet1!D185,"AAAAAFHnt6w=")</f>
        <v>#VALUE!</v>
      </c>
      <c r="FR14" t="e">
        <f>AND(Sheet1!E185,"AAAAAFHnt60=")</f>
        <v>#VALUE!</v>
      </c>
      <c r="FS14" t="e">
        <f>AND(Sheet1!F185,"AAAAAFHnt64=")</f>
        <v>#VALUE!</v>
      </c>
      <c r="FT14" t="e">
        <f>AND(Sheet1!G185,"AAAAAFHnt68=")</f>
        <v>#VALUE!</v>
      </c>
      <c r="FU14" t="e">
        <f>AND(Sheet1!H185,"AAAAAFHnt7A=")</f>
        <v>#VALUE!</v>
      </c>
      <c r="FV14" t="e">
        <f>AND(Sheet1!I185,"AAAAAFHnt7E=")</f>
        <v>#VALUE!</v>
      </c>
      <c r="FW14" t="e">
        <f>AND(Sheet1!J185,"AAAAAFHnt7I=")</f>
        <v>#VALUE!</v>
      </c>
      <c r="FX14" t="e">
        <f>AND(Sheet1!K185,"AAAAAFHnt7M=")</f>
        <v>#VALUE!</v>
      </c>
      <c r="FY14" t="e">
        <f>AND(Sheet1!L185,"AAAAAFHnt7Q=")</f>
        <v>#VALUE!</v>
      </c>
      <c r="FZ14" t="e">
        <f>AND(Sheet1!M185,"AAAAAFHnt7U=")</f>
        <v>#VALUE!</v>
      </c>
      <c r="GA14" t="e">
        <f>AND(Sheet1!N185,"AAAAAFHnt7Y=")</f>
        <v>#VALUE!</v>
      </c>
      <c r="GB14" t="e">
        <f>AND(Sheet1!#REF!,"AAAAAFHnt7c=")</f>
        <v>#REF!</v>
      </c>
      <c r="GC14" t="e">
        <f>AND(Sheet1!#REF!,"AAAAAFHnt7g=")</f>
        <v>#REF!</v>
      </c>
      <c r="GD14" t="e">
        <f>AND(Sheet1!#REF!,"AAAAAFHnt7k=")</f>
        <v>#REF!</v>
      </c>
      <c r="GE14" t="e">
        <f>AND(Sheet1!#REF!,"AAAAAFHnt7o=")</f>
        <v>#REF!</v>
      </c>
      <c r="GF14">
        <f>IF(Sheet1!186:186,"AAAAAFHnt7s=",0)</f>
        <v>0</v>
      </c>
      <c r="GG14" t="e">
        <f>AND(Sheet1!A186,"AAAAAFHnt7w=")</f>
        <v>#VALUE!</v>
      </c>
      <c r="GH14" t="e">
        <f>AND(Sheet1!B186,"AAAAAFHnt70=")</f>
        <v>#VALUE!</v>
      </c>
      <c r="GI14" t="e">
        <f>AND(Sheet1!C186,"AAAAAFHnt74=")</f>
        <v>#VALUE!</v>
      </c>
      <c r="GJ14" t="e">
        <f>AND(Sheet1!D186,"AAAAAFHnt78=")</f>
        <v>#VALUE!</v>
      </c>
      <c r="GK14" t="e">
        <f>AND(Sheet1!E186,"AAAAAFHnt8A=")</f>
        <v>#VALUE!</v>
      </c>
      <c r="GL14" t="e">
        <f>AND(Sheet1!F186,"AAAAAFHnt8E=")</f>
        <v>#VALUE!</v>
      </c>
      <c r="GM14" t="e">
        <f>AND(Sheet1!G186,"AAAAAFHnt8I=")</f>
        <v>#VALUE!</v>
      </c>
      <c r="GN14" t="e">
        <f>AND(Sheet1!H186,"AAAAAFHnt8M=")</f>
        <v>#VALUE!</v>
      </c>
      <c r="GO14" t="e">
        <f>AND(Sheet1!I186,"AAAAAFHnt8Q=")</f>
        <v>#VALUE!</v>
      </c>
      <c r="GP14" t="e">
        <f>AND(Sheet1!J186,"AAAAAFHnt8U=")</f>
        <v>#VALUE!</v>
      </c>
      <c r="GQ14" t="e">
        <f>AND(Sheet1!K186,"AAAAAFHnt8Y=")</f>
        <v>#VALUE!</v>
      </c>
      <c r="GR14" t="e">
        <f>AND(Sheet1!L186,"AAAAAFHnt8c=")</f>
        <v>#VALUE!</v>
      </c>
      <c r="GS14" t="e">
        <f>AND(Sheet1!M186,"AAAAAFHnt8g=")</f>
        <v>#VALUE!</v>
      </c>
      <c r="GT14" t="e">
        <f>AND(Sheet1!N186,"AAAAAFHnt8k=")</f>
        <v>#VALUE!</v>
      </c>
      <c r="GU14" t="e">
        <f>AND(Sheet1!#REF!,"AAAAAFHnt8o=")</f>
        <v>#REF!</v>
      </c>
      <c r="GV14" t="e">
        <f>AND(Sheet1!#REF!,"AAAAAFHnt8s=")</f>
        <v>#REF!</v>
      </c>
      <c r="GW14" t="e">
        <f>AND(Sheet1!#REF!,"AAAAAFHnt8w=")</f>
        <v>#REF!</v>
      </c>
      <c r="GX14" t="e">
        <f>AND(Sheet1!#REF!,"AAAAAFHnt80=")</f>
        <v>#REF!</v>
      </c>
      <c r="GY14">
        <f>IF(Sheet1!187:187,"AAAAAFHnt84=",0)</f>
        <v>0</v>
      </c>
      <c r="GZ14" t="e">
        <f>AND(Sheet1!A187,"AAAAAFHnt88=")</f>
        <v>#VALUE!</v>
      </c>
      <c r="HA14" t="e">
        <f>AND(Sheet1!B187,"AAAAAFHnt9A=")</f>
        <v>#VALUE!</v>
      </c>
      <c r="HB14" t="e">
        <f>AND(Sheet1!C187,"AAAAAFHnt9E=")</f>
        <v>#VALUE!</v>
      </c>
      <c r="HC14" t="e">
        <f>AND(Sheet1!D187,"AAAAAFHnt9I=")</f>
        <v>#VALUE!</v>
      </c>
      <c r="HD14" t="e">
        <f>AND(Sheet1!E187,"AAAAAFHnt9M=")</f>
        <v>#VALUE!</v>
      </c>
      <c r="HE14" t="e">
        <f>AND(Sheet1!F187,"AAAAAFHnt9Q=")</f>
        <v>#VALUE!</v>
      </c>
      <c r="HF14" t="e">
        <f>AND(Sheet1!G187,"AAAAAFHnt9U=")</f>
        <v>#VALUE!</v>
      </c>
      <c r="HG14" t="e">
        <f>AND(Sheet1!H187,"AAAAAFHnt9Y=")</f>
        <v>#VALUE!</v>
      </c>
      <c r="HH14" t="e">
        <f>AND(Sheet1!I187,"AAAAAFHnt9c=")</f>
        <v>#VALUE!</v>
      </c>
      <c r="HI14" t="e">
        <f>AND(Sheet1!J187,"AAAAAFHnt9g=")</f>
        <v>#VALUE!</v>
      </c>
      <c r="HJ14" t="e">
        <f>AND(Sheet1!K187,"AAAAAFHnt9k=")</f>
        <v>#VALUE!</v>
      </c>
      <c r="HK14" t="e">
        <f>AND(Sheet1!L187,"AAAAAFHnt9o=")</f>
        <v>#VALUE!</v>
      </c>
      <c r="HL14" t="e">
        <f>AND(Sheet1!M187,"AAAAAFHnt9s=")</f>
        <v>#VALUE!</v>
      </c>
      <c r="HM14" t="e">
        <f>AND(Sheet1!N187,"AAAAAFHnt9w=")</f>
        <v>#VALUE!</v>
      </c>
      <c r="HN14" t="e">
        <f>AND(Sheet1!#REF!,"AAAAAFHnt90=")</f>
        <v>#REF!</v>
      </c>
      <c r="HO14" t="e">
        <f>AND(Sheet1!#REF!,"AAAAAFHnt94=")</f>
        <v>#REF!</v>
      </c>
      <c r="HP14" t="e">
        <f>AND(Sheet1!#REF!,"AAAAAFHnt98=")</f>
        <v>#REF!</v>
      </c>
      <c r="HQ14" t="e">
        <f>AND(Sheet1!#REF!,"AAAAAFHnt+A=")</f>
        <v>#REF!</v>
      </c>
      <c r="HR14">
        <f>IF(Sheet1!188:188,"AAAAAFHnt+E=",0)</f>
        <v>0</v>
      </c>
      <c r="HS14" t="e">
        <f>AND(Sheet1!A188,"AAAAAFHnt+I=")</f>
        <v>#VALUE!</v>
      </c>
      <c r="HT14" t="e">
        <f>AND(Sheet1!B188,"AAAAAFHnt+M=")</f>
        <v>#VALUE!</v>
      </c>
      <c r="HU14" t="e">
        <f>AND(Sheet1!C188,"AAAAAFHnt+Q=")</f>
        <v>#VALUE!</v>
      </c>
      <c r="HV14" t="e">
        <f>AND(Sheet1!D188,"AAAAAFHnt+U=")</f>
        <v>#VALUE!</v>
      </c>
      <c r="HW14" t="e">
        <f>AND(Sheet1!E188,"AAAAAFHnt+Y=")</f>
        <v>#VALUE!</v>
      </c>
      <c r="HX14" t="e">
        <f>AND(Sheet1!F188,"AAAAAFHnt+c=")</f>
        <v>#VALUE!</v>
      </c>
      <c r="HY14" t="e">
        <f>AND(Sheet1!G188,"AAAAAFHnt+g=")</f>
        <v>#VALUE!</v>
      </c>
      <c r="HZ14" t="e">
        <f>AND(Sheet1!H188,"AAAAAFHnt+k=")</f>
        <v>#VALUE!</v>
      </c>
      <c r="IA14" t="e">
        <f>AND(Sheet1!I188,"AAAAAFHnt+o=")</f>
        <v>#VALUE!</v>
      </c>
      <c r="IB14" t="e">
        <f>AND(Sheet1!J188,"AAAAAFHnt+s=")</f>
        <v>#VALUE!</v>
      </c>
      <c r="IC14" t="e">
        <f>AND(Sheet1!K188,"AAAAAFHnt+w=")</f>
        <v>#VALUE!</v>
      </c>
      <c r="ID14" t="e">
        <f>AND(Sheet1!L188,"AAAAAFHnt+0=")</f>
        <v>#VALUE!</v>
      </c>
      <c r="IE14" t="e">
        <f>AND(Sheet1!M188,"AAAAAFHnt+4=")</f>
        <v>#VALUE!</v>
      </c>
      <c r="IF14" t="e">
        <f>AND(Sheet1!N188,"AAAAAFHnt+8=")</f>
        <v>#VALUE!</v>
      </c>
      <c r="IG14" t="e">
        <f>AND(Sheet1!#REF!,"AAAAAFHnt/A=")</f>
        <v>#REF!</v>
      </c>
      <c r="IH14" t="e">
        <f>AND(Sheet1!#REF!,"AAAAAFHnt/E=")</f>
        <v>#REF!</v>
      </c>
      <c r="II14" t="e">
        <f>AND(Sheet1!#REF!,"AAAAAFHnt/I=")</f>
        <v>#REF!</v>
      </c>
      <c r="IJ14" t="e">
        <f>AND(Sheet1!#REF!,"AAAAAFHnt/M=")</f>
        <v>#REF!</v>
      </c>
      <c r="IK14">
        <f>IF(Sheet1!189:189,"AAAAAFHnt/Q=",0)</f>
        <v>0</v>
      </c>
      <c r="IL14" t="e">
        <f>AND(Sheet1!A189,"AAAAAFHnt/U=")</f>
        <v>#VALUE!</v>
      </c>
      <c r="IM14" t="e">
        <f>AND(Sheet1!B189,"AAAAAFHnt/Y=")</f>
        <v>#VALUE!</v>
      </c>
      <c r="IN14" t="e">
        <f>AND(Sheet1!C189,"AAAAAFHnt/c=")</f>
        <v>#VALUE!</v>
      </c>
      <c r="IO14" t="e">
        <f>AND(Sheet1!D189,"AAAAAFHnt/g=")</f>
        <v>#VALUE!</v>
      </c>
      <c r="IP14" t="e">
        <f>AND(Sheet1!E189,"AAAAAFHnt/k=")</f>
        <v>#VALUE!</v>
      </c>
      <c r="IQ14" t="e">
        <f>AND(Sheet1!F189,"AAAAAFHnt/o=")</f>
        <v>#VALUE!</v>
      </c>
      <c r="IR14" t="e">
        <f>AND(Sheet1!G189,"AAAAAFHnt/s=")</f>
        <v>#VALUE!</v>
      </c>
      <c r="IS14" t="e">
        <f>AND(Sheet1!H189,"AAAAAFHnt/w=")</f>
        <v>#VALUE!</v>
      </c>
      <c r="IT14" t="e">
        <f>AND(Sheet1!I189,"AAAAAFHnt/0=")</f>
        <v>#VALUE!</v>
      </c>
      <c r="IU14" t="e">
        <f>AND(Sheet1!J189,"AAAAAFHnt/4=")</f>
        <v>#VALUE!</v>
      </c>
      <c r="IV14" t="e">
        <f>AND(Sheet1!K189,"AAAAAFHnt/8=")</f>
        <v>#VALUE!</v>
      </c>
    </row>
    <row r="15" spans="1:256" x14ac:dyDescent="0.2">
      <c r="A15" t="e">
        <f>AND(Sheet1!L189,"AAAAAHf23gA=")</f>
        <v>#VALUE!</v>
      </c>
      <c r="B15" t="e">
        <f>AND(Sheet1!M189,"AAAAAHf23gE=")</f>
        <v>#VALUE!</v>
      </c>
      <c r="C15" t="e">
        <f>AND(Sheet1!N189,"AAAAAHf23gI=")</f>
        <v>#VALUE!</v>
      </c>
      <c r="D15" t="e">
        <f>AND(Sheet1!#REF!,"AAAAAHf23gM=")</f>
        <v>#REF!</v>
      </c>
      <c r="E15" t="e">
        <f>AND(Sheet1!#REF!,"AAAAAHf23gQ=")</f>
        <v>#REF!</v>
      </c>
      <c r="F15" t="e">
        <f>AND(Sheet1!#REF!,"AAAAAHf23gU=")</f>
        <v>#REF!</v>
      </c>
      <c r="G15" t="e">
        <f>AND(Sheet1!#REF!,"AAAAAHf23gY=")</f>
        <v>#REF!</v>
      </c>
      <c r="H15" t="str">
        <f>IF(Sheet1!190:190,"AAAAAHf23gc=",0)</f>
        <v>AAAAAHf23gc=</v>
      </c>
      <c r="I15" t="e">
        <f>AND(Sheet1!A190,"AAAAAHf23gg=")</f>
        <v>#VALUE!</v>
      </c>
      <c r="J15" t="e">
        <f>AND(Sheet1!B190,"AAAAAHf23gk=")</f>
        <v>#VALUE!</v>
      </c>
      <c r="K15" t="e">
        <f>AND(Sheet1!C190,"AAAAAHf23go=")</f>
        <v>#VALUE!</v>
      </c>
      <c r="L15" t="e">
        <f>AND(Sheet1!D190,"AAAAAHf23gs=")</f>
        <v>#VALUE!</v>
      </c>
      <c r="M15" t="e">
        <f>AND(Sheet1!E190,"AAAAAHf23gw=")</f>
        <v>#VALUE!</v>
      </c>
      <c r="N15" t="e">
        <f>AND(Sheet1!F190,"AAAAAHf23g0=")</f>
        <v>#VALUE!</v>
      </c>
      <c r="O15" t="e">
        <f>AND(Sheet1!G190,"AAAAAHf23g4=")</f>
        <v>#VALUE!</v>
      </c>
      <c r="P15" t="e">
        <f>AND(Sheet1!H190,"AAAAAHf23g8=")</f>
        <v>#VALUE!</v>
      </c>
      <c r="Q15" t="e">
        <f>AND(Sheet1!I190,"AAAAAHf23hA=")</f>
        <v>#VALUE!</v>
      </c>
      <c r="R15" t="e">
        <f>AND(Sheet1!J190,"AAAAAHf23hE=")</f>
        <v>#VALUE!</v>
      </c>
      <c r="S15" t="e">
        <f>AND(Sheet1!K190,"AAAAAHf23hI=")</f>
        <v>#VALUE!</v>
      </c>
      <c r="T15" t="e">
        <f>AND(Sheet1!L190,"AAAAAHf23hM=")</f>
        <v>#VALUE!</v>
      </c>
      <c r="U15" t="e">
        <f>AND(Sheet1!M190,"AAAAAHf23hQ=")</f>
        <v>#VALUE!</v>
      </c>
      <c r="V15" t="e">
        <f>AND(Sheet1!N190,"AAAAAHf23hU=")</f>
        <v>#VALUE!</v>
      </c>
      <c r="W15" t="e">
        <f>AND(Sheet1!#REF!,"AAAAAHf23hY=")</f>
        <v>#REF!</v>
      </c>
      <c r="X15" t="e">
        <f>AND(Sheet1!#REF!,"AAAAAHf23hc=")</f>
        <v>#REF!</v>
      </c>
      <c r="Y15" t="e">
        <f>AND(Sheet1!#REF!,"AAAAAHf23hg=")</f>
        <v>#REF!</v>
      </c>
      <c r="Z15" t="e">
        <f>AND(Sheet1!#REF!,"AAAAAHf23hk=")</f>
        <v>#REF!</v>
      </c>
      <c r="AA15">
        <f>IF(Sheet1!191:191,"AAAAAHf23ho=",0)</f>
        <v>0</v>
      </c>
      <c r="AB15" t="e">
        <f>AND(Sheet1!A191,"AAAAAHf23hs=")</f>
        <v>#VALUE!</v>
      </c>
      <c r="AC15" t="e">
        <f>AND(Sheet1!B191,"AAAAAHf23hw=")</f>
        <v>#VALUE!</v>
      </c>
      <c r="AD15" t="e">
        <f>AND(Sheet1!C191,"AAAAAHf23h0=")</f>
        <v>#VALUE!</v>
      </c>
      <c r="AE15" t="e">
        <f>AND(Sheet1!D191,"AAAAAHf23h4=")</f>
        <v>#VALUE!</v>
      </c>
      <c r="AF15" t="e">
        <f>AND(Sheet1!E191,"AAAAAHf23h8=")</f>
        <v>#VALUE!</v>
      </c>
      <c r="AG15" t="e">
        <f>AND(Sheet1!F191,"AAAAAHf23iA=")</f>
        <v>#VALUE!</v>
      </c>
      <c r="AH15" t="e">
        <f>AND(Sheet1!G191,"AAAAAHf23iE=")</f>
        <v>#VALUE!</v>
      </c>
      <c r="AI15" t="e">
        <f>AND(Sheet1!H191,"AAAAAHf23iI=")</f>
        <v>#VALUE!</v>
      </c>
      <c r="AJ15" t="e">
        <f>AND(Sheet1!I191,"AAAAAHf23iM=")</f>
        <v>#VALUE!</v>
      </c>
      <c r="AK15" t="e">
        <f>AND(Sheet1!J191,"AAAAAHf23iQ=")</f>
        <v>#VALUE!</v>
      </c>
      <c r="AL15" t="e">
        <f>AND(Sheet1!K191,"AAAAAHf23iU=")</f>
        <v>#VALUE!</v>
      </c>
      <c r="AM15" t="e">
        <f>AND(Sheet1!L191,"AAAAAHf23iY=")</f>
        <v>#VALUE!</v>
      </c>
      <c r="AN15" t="e">
        <f>AND(Sheet1!M191,"AAAAAHf23ic=")</f>
        <v>#VALUE!</v>
      </c>
      <c r="AO15" t="e">
        <f>AND(Sheet1!N191,"AAAAAHf23ig=")</f>
        <v>#VALUE!</v>
      </c>
      <c r="AP15" t="e">
        <f>AND(Sheet1!#REF!,"AAAAAHf23ik=")</f>
        <v>#REF!</v>
      </c>
      <c r="AQ15" t="e">
        <f>AND(Sheet1!#REF!,"AAAAAHf23io=")</f>
        <v>#REF!</v>
      </c>
      <c r="AR15" t="e">
        <f>AND(Sheet1!#REF!,"AAAAAHf23is=")</f>
        <v>#REF!</v>
      </c>
      <c r="AS15" t="e">
        <f>AND(Sheet1!#REF!,"AAAAAHf23iw=")</f>
        <v>#REF!</v>
      </c>
      <c r="AT15">
        <f>IF(Sheet1!192:192,"AAAAAHf23i0=",0)</f>
        <v>0</v>
      </c>
      <c r="AU15" t="e">
        <f>AND(Sheet1!A192,"AAAAAHf23i4=")</f>
        <v>#VALUE!</v>
      </c>
      <c r="AV15" t="e">
        <f>AND(Sheet1!B192,"AAAAAHf23i8=")</f>
        <v>#VALUE!</v>
      </c>
      <c r="AW15" t="e">
        <f>AND(Sheet1!C192,"AAAAAHf23jA=")</f>
        <v>#VALUE!</v>
      </c>
      <c r="AX15" t="e">
        <f>AND(Sheet1!D192,"AAAAAHf23jE=")</f>
        <v>#VALUE!</v>
      </c>
      <c r="AY15" t="e">
        <f>AND(Sheet1!E192,"AAAAAHf23jI=")</f>
        <v>#VALUE!</v>
      </c>
      <c r="AZ15" t="e">
        <f>AND(Sheet1!F192,"AAAAAHf23jM=")</f>
        <v>#VALUE!</v>
      </c>
      <c r="BA15" t="e">
        <f>AND(Sheet1!G192,"AAAAAHf23jQ=")</f>
        <v>#VALUE!</v>
      </c>
      <c r="BB15" t="e">
        <f>AND(Sheet1!H192,"AAAAAHf23jU=")</f>
        <v>#VALUE!</v>
      </c>
      <c r="BC15" t="e">
        <f>AND(Sheet1!I192,"AAAAAHf23jY=")</f>
        <v>#VALUE!</v>
      </c>
      <c r="BD15" t="e">
        <f>AND(Sheet1!J192,"AAAAAHf23jc=")</f>
        <v>#VALUE!</v>
      </c>
      <c r="BE15" t="e">
        <f>AND(Sheet1!K192,"AAAAAHf23jg=")</f>
        <v>#VALUE!</v>
      </c>
      <c r="BF15" t="e">
        <f>AND(Sheet1!L192,"AAAAAHf23jk=")</f>
        <v>#VALUE!</v>
      </c>
      <c r="BG15" t="e">
        <f>AND(Sheet1!M192,"AAAAAHf23jo=")</f>
        <v>#VALUE!</v>
      </c>
      <c r="BH15" t="e">
        <f>AND(Sheet1!N192,"AAAAAHf23js=")</f>
        <v>#VALUE!</v>
      </c>
      <c r="BI15" t="e">
        <f>AND(Sheet1!#REF!,"AAAAAHf23jw=")</f>
        <v>#REF!</v>
      </c>
      <c r="BJ15" t="e">
        <f>AND(Sheet1!#REF!,"AAAAAHf23j0=")</f>
        <v>#REF!</v>
      </c>
      <c r="BK15" t="e">
        <f>AND(Sheet1!#REF!,"AAAAAHf23j4=")</f>
        <v>#REF!</v>
      </c>
      <c r="BL15" t="e">
        <f>AND(Sheet1!#REF!,"AAAAAHf23j8=")</f>
        <v>#REF!</v>
      </c>
      <c r="BM15">
        <f>IF(Sheet1!193:193,"AAAAAHf23kA=",0)</f>
        <v>0</v>
      </c>
      <c r="BN15" t="e">
        <f>AND(Sheet1!A193,"AAAAAHf23kE=")</f>
        <v>#VALUE!</v>
      </c>
      <c r="BO15" t="e">
        <f>AND(Sheet1!B193,"AAAAAHf23kI=")</f>
        <v>#VALUE!</v>
      </c>
      <c r="BP15" t="e">
        <f>AND(Sheet1!C193,"AAAAAHf23kM=")</f>
        <v>#VALUE!</v>
      </c>
      <c r="BQ15" t="e">
        <f>AND(Sheet1!D193,"AAAAAHf23kQ=")</f>
        <v>#VALUE!</v>
      </c>
      <c r="BR15" t="e">
        <f>AND(Sheet1!E193,"AAAAAHf23kU=")</f>
        <v>#VALUE!</v>
      </c>
      <c r="BS15" t="e">
        <f>AND(Sheet1!F193,"AAAAAHf23kY=")</f>
        <v>#VALUE!</v>
      </c>
      <c r="BT15" t="e">
        <f>AND(Sheet1!G193,"AAAAAHf23kc=")</f>
        <v>#VALUE!</v>
      </c>
      <c r="BU15" t="e">
        <f>AND(Sheet1!H193,"AAAAAHf23kg=")</f>
        <v>#VALUE!</v>
      </c>
      <c r="BV15" t="e">
        <f>AND(Sheet1!I193,"AAAAAHf23kk=")</f>
        <v>#VALUE!</v>
      </c>
      <c r="BW15" t="e">
        <f>AND(Sheet1!J193,"AAAAAHf23ko=")</f>
        <v>#VALUE!</v>
      </c>
      <c r="BX15" t="e">
        <f>AND(Sheet1!K193,"AAAAAHf23ks=")</f>
        <v>#VALUE!</v>
      </c>
      <c r="BY15" t="e">
        <f>AND(Sheet1!L193,"AAAAAHf23kw=")</f>
        <v>#VALUE!</v>
      </c>
      <c r="BZ15" t="e">
        <f>AND(Sheet1!M193,"AAAAAHf23k0=")</f>
        <v>#VALUE!</v>
      </c>
      <c r="CA15" t="e">
        <f>AND(Sheet1!N193,"AAAAAHf23k4=")</f>
        <v>#VALUE!</v>
      </c>
      <c r="CB15" t="e">
        <f>AND(Sheet1!#REF!,"AAAAAHf23k8=")</f>
        <v>#REF!</v>
      </c>
      <c r="CC15" t="e">
        <f>AND(Sheet1!#REF!,"AAAAAHf23lA=")</f>
        <v>#REF!</v>
      </c>
      <c r="CD15" t="e">
        <f>AND(Sheet1!#REF!,"AAAAAHf23lE=")</f>
        <v>#REF!</v>
      </c>
      <c r="CE15" t="e">
        <f>AND(Sheet1!#REF!,"AAAAAHf23lI=")</f>
        <v>#REF!</v>
      </c>
      <c r="CF15">
        <f>IF(Sheet1!194:194,"AAAAAHf23lM=",0)</f>
        <v>0</v>
      </c>
      <c r="CG15" t="e">
        <f>AND(Sheet1!A194,"AAAAAHf23lQ=")</f>
        <v>#VALUE!</v>
      </c>
      <c r="CH15" t="e">
        <f>AND(Sheet1!B194,"AAAAAHf23lU=")</f>
        <v>#VALUE!</v>
      </c>
      <c r="CI15" t="e">
        <f>AND(Sheet1!C194,"AAAAAHf23lY=")</f>
        <v>#VALUE!</v>
      </c>
      <c r="CJ15" t="e">
        <f>AND(Sheet1!D194,"AAAAAHf23lc=")</f>
        <v>#VALUE!</v>
      </c>
      <c r="CK15" t="e">
        <f>AND(Sheet1!E194,"AAAAAHf23lg=")</f>
        <v>#VALUE!</v>
      </c>
      <c r="CL15" t="e">
        <f>AND(Sheet1!F194,"AAAAAHf23lk=")</f>
        <v>#VALUE!</v>
      </c>
      <c r="CM15" t="e">
        <f>AND(Sheet1!G194,"AAAAAHf23lo=")</f>
        <v>#VALUE!</v>
      </c>
      <c r="CN15" t="e">
        <f>AND(Sheet1!H194,"AAAAAHf23ls=")</f>
        <v>#VALUE!</v>
      </c>
      <c r="CO15" t="e">
        <f>AND(Sheet1!I194,"AAAAAHf23lw=")</f>
        <v>#VALUE!</v>
      </c>
      <c r="CP15" t="e">
        <f>AND(Sheet1!J194,"AAAAAHf23l0=")</f>
        <v>#VALUE!</v>
      </c>
      <c r="CQ15" t="e">
        <f>AND(Sheet1!K194,"AAAAAHf23l4=")</f>
        <v>#VALUE!</v>
      </c>
      <c r="CR15" t="e">
        <f>AND(Sheet1!L194,"AAAAAHf23l8=")</f>
        <v>#VALUE!</v>
      </c>
      <c r="CS15" t="e">
        <f>AND(Sheet1!M194,"AAAAAHf23mA=")</f>
        <v>#VALUE!</v>
      </c>
      <c r="CT15" t="e">
        <f>AND(Sheet1!N194,"AAAAAHf23mE=")</f>
        <v>#VALUE!</v>
      </c>
      <c r="CU15" t="e">
        <f>AND(Sheet1!#REF!,"AAAAAHf23mI=")</f>
        <v>#REF!</v>
      </c>
      <c r="CV15" t="e">
        <f>AND(Sheet1!#REF!,"AAAAAHf23mM=")</f>
        <v>#REF!</v>
      </c>
      <c r="CW15" t="e">
        <f>AND(Sheet1!#REF!,"AAAAAHf23mQ=")</f>
        <v>#REF!</v>
      </c>
      <c r="CX15" t="e">
        <f>AND(Sheet1!#REF!,"AAAAAHf23mU=")</f>
        <v>#REF!</v>
      </c>
      <c r="CY15">
        <f>IF(Sheet1!195:195,"AAAAAHf23mY=",0)</f>
        <v>0</v>
      </c>
      <c r="CZ15" t="e">
        <f>AND(Sheet1!A195,"AAAAAHf23mc=")</f>
        <v>#VALUE!</v>
      </c>
      <c r="DA15" t="e">
        <f>AND(Sheet1!B195,"AAAAAHf23mg=")</f>
        <v>#VALUE!</v>
      </c>
      <c r="DB15" t="e">
        <f>AND(Sheet1!C195,"AAAAAHf23mk=")</f>
        <v>#VALUE!</v>
      </c>
      <c r="DC15" t="e">
        <f>AND(Sheet1!D195,"AAAAAHf23mo=")</f>
        <v>#VALUE!</v>
      </c>
      <c r="DD15" t="e">
        <f>AND(Sheet1!E195,"AAAAAHf23ms=")</f>
        <v>#VALUE!</v>
      </c>
      <c r="DE15" t="e">
        <f>AND(Sheet1!F195,"AAAAAHf23mw=")</f>
        <v>#VALUE!</v>
      </c>
      <c r="DF15" t="e">
        <f>AND(Sheet1!G195,"AAAAAHf23m0=")</f>
        <v>#VALUE!</v>
      </c>
      <c r="DG15" t="e">
        <f>AND(Sheet1!H195,"AAAAAHf23m4=")</f>
        <v>#VALUE!</v>
      </c>
      <c r="DH15" t="e">
        <f>AND(Sheet1!I195,"AAAAAHf23m8=")</f>
        <v>#VALUE!</v>
      </c>
      <c r="DI15" t="e">
        <f>AND(Sheet1!J195,"AAAAAHf23nA=")</f>
        <v>#VALUE!</v>
      </c>
      <c r="DJ15" t="e">
        <f>AND(Sheet1!K195,"AAAAAHf23nE=")</f>
        <v>#VALUE!</v>
      </c>
      <c r="DK15" t="e">
        <f>AND(Sheet1!L195,"AAAAAHf23nI=")</f>
        <v>#VALUE!</v>
      </c>
      <c r="DL15" t="e">
        <f>AND(Sheet1!M195,"AAAAAHf23nM=")</f>
        <v>#VALUE!</v>
      </c>
      <c r="DM15" t="e">
        <f>AND(Sheet1!N195,"AAAAAHf23nQ=")</f>
        <v>#VALUE!</v>
      </c>
      <c r="DN15" t="e">
        <f>AND(Sheet1!#REF!,"AAAAAHf23nU=")</f>
        <v>#REF!</v>
      </c>
      <c r="DO15" t="e">
        <f>AND(Sheet1!#REF!,"AAAAAHf23nY=")</f>
        <v>#REF!</v>
      </c>
      <c r="DP15" t="e">
        <f>AND(Sheet1!#REF!,"AAAAAHf23nc=")</f>
        <v>#REF!</v>
      </c>
      <c r="DQ15" t="e">
        <f>AND(Sheet1!#REF!,"AAAAAHf23ng=")</f>
        <v>#REF!</v>
      </c>
      <c r="DR15">
        <f>IF(Sheet1!196:196,"AAAAAHf23nk=",0)</f>
        <v>0</v>
      </c>
      <c r="DS15" t="e">
        <f>AND(Sheet1!A196,"AAAAAHf23no=")</f>
        <v>#VALUE!</v>
      </c>
      <c r="DT15" t="e">
        <f>AND(Sheet1!B196,"AAAAAHf23ns=")</f>
        <v>#VALUE!</v>
      </c>
      <c r="DU15" t="e">
        <f>AND(Sheet1!C196,"AAAAAHf23nw=")</f>
        <v>#VALUE!</v>
      </c>
      <c r="DV15" t="e">
        <f>AND(Sheet1!D196,"AAAAAHf23n0=")</f>
        <v>#VALUE!</v>
      </c>
      <c r="DW15" t="e">
        <f>AND(Sheet1!E196,"AAAAAHf23n4=")</f>
        <v>#VALUE!</v>
      </c>
      <c r="DX15" t="e">
        <f>AND(Sheet1!F196,"AAAAAHf23n8=")</f>
        <v>#VALUE!</v>
      </c>
      <c r="DY15" t="e">
        <f>AND(Sheet1!G196,"AAAAAHf23oA=")</f>
        <v>#VALUE!</v>
      </c>
      <c r="DZ15" t="e">
        <f>AND(Sheet1!H196,"AAAAAHf23oE=")</f>
        <v>#VALUE!</v>
      </c>
      <c r="EA15" t="e">
        <f>AND(Sheet1!I196,"AAAAAHf23oI=")</f>
        <v>#VALUE!</v>
      </c>
      <c r="EB15" t="e">
        <f>AND(Sheet1!J196,"AAAAAHf23oM=")</f>
        <v>#VALUE!</v>
      </c>
      <c r="EC15" t="e">
        <f>AND(Sheet1!K196,"AAAAAHf23oQ=")</f>
        <v>#VALUE!</v>
      </c>
      <c r="ED15" t="e">
        <f>AND(Sheet1!L196,"AAAAAHf23oU=")</f>
        <v>#VALUE!</v>
      </c>
      <c r="EE15" t="e">
        <f>AND(Sheet1!M196,"AAAAAHf23oY=")</f>
        <v>#VALUE!</v>
      </c>
      <c r="EF15" t="e">
        <f>AND(Sheet1!N196,"AAAAAHf23oc=")</f>
        <v>#VALUE!</v>
      </c>
      <c r="EG15" t="e">
        <f>AND(Sheet1!#REF!,"AAAAAHf23og=")</f>
        <v>#REF!</v>
      </c>
      <c r="EH15" t="e">
        <f>AND(Sheet1!#REF!,"AAAAAHf23ok=")</f>
        <v>#REF!</v>
      </c>
      <c r="EI15" t="e">
        <f>AND(Sheet1!#REF!,"AAAAAHf23oo=")</f>
        <v>#REF!</v>
      </c>
      <c r="EJ15" t="e">
        <f>AND(Sheet1!#REF!,"AAAAAHf23os=")</f>
        <v>#REF!</v>
      </c>
      <c r="EK15">
        <f>IF(Sheet1!197:197,"AAAAAHf23ow=",0)</f>
        <v>0</v>
      </c>
      <c r="EL15" t="e">
        <f>AND(Sheet1!A197,"AAAAAHf23o0=")</f>
        <v>#VALUE!</v>
      </c>
      <c r="EM15" t="e">
        <f>AND(Sheet1!B197,"AAAAAHf23o4=")</f>
        <v>#VALUE!</v>
      </c>
      <c r="EN15" t="e">
        <f>AND(Sheet1!C197,"AAAAAHf23o8=")</f>
        <v>#VALUE!</v>
      </c>
      <c r="EO15" t="e">
        <f>AND(Sheet1!D197,"AAAAAHf23pA=")</f>
        <v>#VALUE!</v>
      </c>
      <c r="EP15" t="e">
        <f>AND(Sheet1!E197,"AAAAAHf23pE=")</f>
        <v>#VALUE!</v>
      </c>
      <c r="EQ15" t="e">
        <f>AND(Sheet1!F197,"AAAAAHf23pI=")</f>
        <v>#VALUE!</v>
      </c>
      <c r="ER15" t="e">
        <f>AND(Sheet1!G197,"AAAAAHf23pM=")</f>
        <v>#VALUE!</v>
      </c>
      <c r="ES15" t="e">
        <f>AND(Sheet1!H197,"AAAAAHf23pQ=")</f>
        <v>#VALUE!</v>
      </c>
      <c r="ET15" t="e">
        <f>AND(Sheet1!I197,"AAAAAHf23pU=")</f>
        <v>#VALUE!</v>
      </c>
      <c r="EU15" t="e">
        <f>AND(Sheet1!J197,"AAAAAHf23pY=")</f>
        <v>#VALUE!</v>
      </c>
      <c r="EV15" t="e">
        <f>AND(Sheet1!K197,"AAAAAHf23pc=")</f>
        <v>#VALUE!</v>
      </c>
      <c r="EW15" t="e">
        <f>AND(Sheet1!L197,"AAAAAHf23pg=")</f>
        <v>#VALUE!</v>
      </c>
      <c r="EX15" t="e">
        <f>AND(Sheet1!M197,"AAAAAHf23pk=")</f>
        <v>#VALUE!</v>
      </c>
      <c r="EY15" t="e">
        <f>AND(Sheet1!N197,"AAAAAHf23po=")</f>
        <v>#VALUE!</v>
      </c>
      <c r="EZ15" t="e">
        <f>AND(Sheet1!#REF!,"AAAAAHf23ps=")</f>
        <v>#REF!</v>
      </c>
      <c r="FA15" t="e">
        <f>AND(Sheet1!#REF!,"AAAAAHf23pw=")</f>
        <v>#REF!</v>
      </c>
      <c r="FB15" t="e">
        <f>AND(Sheet1!#REF!,"AAAAAHf23p0=")</f>
        <v>#REF!</v>
      </c>
      <c r="FC15" t="e">
        <f>AND(Sheet1!#REF!,"AAAAAHf23p4=")</f>
        <v>#REF!</v>
      </c>
      <c r="FD15">
        <f>IF(Sheet1!198:198,"AAAAAHf23p8=",0)</f>
        <v>0</v>
      </c>
      <c r="FE15" t="e">
        <f>AND(Sheet1!A198,"AAAAAHf23qA=")</f>
        <v>#VALUE!</v>
      </c>
      <c r="FF15" t="e">
        <f>AND(Sheet1!B198,"AAAAAHf23qE=")</f>
        <v>#VALUE!</v>
      </c>
      <c r="FG15" t="e">
        <f>AND(Sheet1!C198,"AAAAAHf23qI=")</f>
        <v>#VALUE!</v>
      </c>
      <c r="FH15" t="e">
        <f>AND(Sheet1!D198,"AAAAAHf23qM=")</f>
        <v>#VALUE!</v>
      </c>
      <c r="FI15" t="e">
        <f>AND(Sheet1!E198,"AAAAAHf23qQ=")</f>
        <v>#VALUE!</v>
      </c>
      <c r="FJ15" t="e">
        <f>AND(Sheet1!F198,"AAAAAHf23qU=")</f>
        <v>#VALUE!</v>
      </c>
      <c r="FK15" t="e">
        <f>AND(Sheet1!G198,"AAAAAHf23qY=")</f>
        <v>#VALUE!</v>
      </c>
      <c r="FL15" t="e">
        <f>AND(Sheet1!H198,"AAAAAHf23qc=")</f>
        <v>#VALUE!</v>
      </c>
      <c r="FM15" t="e">
        <f>AND(Sheet1!I198,"AAAAAHf23qg=")</f>
        <v>#VALUE!</v>
      </c>
      <c r="FN15" t="e">
        <f>AND(Sheet1!J198,"AAAAAHf23qk=")</f>
        <v>#VALUE!</v>
      </c>
      <c r="FO15" t="e">
        <f>AND(Sheet1!K198,"AAAAAHf23qo=")</f>
        <v>#VALUE!</v>
      </c>
      <c r="FP15" t="e">
        <f>AND(Sheet1!L198,"AAAAAHf23qs=")</f>
        <v>#VALUE!</v>
      </c>
      <c r="FQ15" t="e">
        <f>AND(Sheet1!M198,"AAAAAHf23qw=")</f>
        <v>#VALUE!</v>
      </c>
      <c r="FR15" t="e">
        <f>AND(Sheet1!N198,"AAAAAHf23q0=")</f>
        <v>#VALUE!</v>
      </c>
      <c r="FS15" t="e">
        <f>AND(Sheet1!#REF!,"AAAAAHf23q4=")</f>
        <v>#REF!</v>
      </c>
      <c r="FT15" t="e">
        <f>AND(Sheet1!#REF!,"AAAAAHf23q8=")</f>
        <v>#REF!</v>
      </c>
      <c r="FU15" t="e">
        <f>AND(Sheet1!#REF!,"AAAAAHf23rA=")</f>
        <v>#REF!</v>
      </c>
      <c r="FV15" t="e">
        <f>AND(Sheet1!#REF!,"AAAAAHf23rE=")</f>
        <v>#REF!</v>
      </c>
      <c r="FW15">
        <f>IF(Sheet1!199:199,"AAAAAHf23rI=",0)</f>
        <v>0</v>
      </c>
      <c r="FX15" t="e">
        <f>AND(Sheet1!A199,"AAAAAHf23rM=")</f>
        <v>#VALUE!</v>
      </c>
      <c r="FY15" t="e">
        <f>AND(Sheet1!B199,"AAAAAHf23rQ=")</f>
        <v>#VALUE!</v>
      </c>
      <c r="FZ15" t="e">
        <f>AND(Sheet1!C199,"AAAAAHf23rU=")</f>
        <v>#VALUE!</v>
      </c>
      <c r="GA15" t="e">
        <f>AND(Sheet1!D199,"AAAAAHf23rY=")</f>
        <v>#VALUE!</v>
      </c>
      <c r="GB15" t="e">
        <f>AND(Sheet1!E199,"AAAAAHf23rc=")</f>
        <v>#VALUE!</v>
      </c>
      <c r="GC15" t="e">
        <f>AND(Sheet1!F199,"AAAAAHf23rg=")</f>
        <v>#VALUE!</v>
      </c>
      <c r="GD15" t="e">
        <f>AND(Sheet1!G199,"AAAAAHf23rk=")</f>
        <v>#VALUE!</v>
      </c>
      <c r="GE15" t="e">
        <f>AND(Sheet1!H199,"AAAAAHf23ro=")</f>
        <v>#VALUE!</v>
      </c>
      <c r="GF15" t="e">
        <f>AND(Sheet1!I199,"AAAAAHf23rs=")</f>
        <v>#VALUE!</v>
      </c>
      <c r="GG15" t="e">
        <f>AND(Sheet1!J199,"AAAAAHf23rw=")</f>
        <v>#VALUE!</v>
      </c>
      <c r="GH15" t="e">
        <f>AND(Sheet1!K199,"AAAAAHf23r0=")</f>
        <v>#VALUE!</v>
      </c>
      <c r="GI15" t="e">
        <f>AND(Sheet1!L199,"AAAAAHf23r4=")</f>
        <v>#VALUE!</v>
      </c>
      <c r="GJ15" t="e">
        <f>AND(Sheet1!M199,"AAAAAHf23r8=")</f>
        <v>#VALUE!</v>
      </c>
      <c r="GK15" t="e">
        <f>AND(Sheet1!N199,"AAAAAHf23sA=")</f>
        <v>#VALUE!</v>
      </c>
      <c r="GL15" t="e">
        <f>AND(Sheet1!#REF!,"AAAAAHf23sE=")</f>
        <v>#REF!</v>
      </c>
      <c r="GM15" t="e">
        <f>AND(Sheet1!#REF!,"AAAAAHf23sI=")</f>
        <v>#REF!</v>
      </c>
      <c r="GN15" t="e">
        <f>AND(Sheet1!#REF!,"AAAAAHf23sM=")</f>
        <v>#REF!</v>
      </c>
      <c r="GO15" t="e">
        <f>AND(Sheet1!#REF!,"AAAAAHf23sQ=")</f>
        <v>#REF!</v>
      </c>
      <c r="GP15">
        <f>IF(Sheet1!200:200,"AAAAAHf23sU=",0)</f>
        <v>0</v>
      </c>
      <c r="GQ15" t="e">
        <f>AND(Sheet1!A200,"AAAAAHf23sY=")</f>
        <v>#VALUE!</v>
      </c>
      <c r="GR15" t="e">
        <f>AND(Sheet1!B200,"AAAAAHf23sc=")</f>
        <v>#VALUE!</v>
      </c>
      <c r="GS15" t="e">
        <f>AND(Sheet1!C200,"AAAAAHf23sg=")</f>
        <v>#VALUE!</v>
      </c>
      <c r="GT15" t="e">
        <f>AND(Sheet1!D200,"AAAAAHf23sk=")</f>
        <v>#VALUE!</v>
      </c>
      <c r="GU15" t="e">
        <f>AND(Sheet1!E200,"AAAAAHf23so=")</f>
        <v>#VALUE!</v>
      </c>
      <c r="GV15" t="e">
        <f>AND(Sheet1!F200,"AAAAAHf23ss=")</f>
        <v>#VALUE!</v>
      </c>
      <c r="GW15" t="e">
        <f>AND(Sheet1!G200,"AAAAAHf23sw=")</f>
        <v>#VALUE!</v>
      </c>
      <c r="GX15" t="e">
        <f>AND(Sheet1!H200,"AAAAAHf23s0=")</f>
        <v>#VALUE!</v>
      </c>
      <c r="GY15" t="e">
        <f>AND(Sheet1!I200,"AAAAAHf23s4=")</f>
        <v>#VALUE!</v>
      </c>
      <c r="GZ15" t="e">
        <f>AND(Sheet1!J200,"AAAAAHf23s8=")</f>
        <v>#VALUE!</v>
      </c>
      <c r="HA15" t="e">
        <f>AND(Sheet1!K200,"AAAAAHf23tA=")</f>
        <v>#VALUE!</v>
      </c>
      <c r="HB15" t="e">
        <f>AND(Sheet1!L200,"AAAAAHf23tE=")</f>
        <v>#VALUE!</v>
      </c>
      <c r="HC15" t="e">
        <f>AND(Sheet1!M200,"AAAAAHf23tI=")</f>
        <v>#VALUE!</v>
      </c>
      <c r="HD15" t="e">
        <f>AND(Sheet1!N200,"AAAAAHf23tM=")</f>
        <v>#VALUE!</v>
      </c>
      <c r="HE15" t="e">
        <f>AND(Sheet1!#REF!,"AAAAAHf23tQ=")</f>
        <v>#REF!</v>
      </c>
      <c r="HF15" t="e">
        <f>AND(Sheet1!#REF!,"AAAAAHf23tU=")</f>
        <v>#REF!</v>
      </c>
      <c r="HG15" t="e">
        <f>AND(Sheet1!#REF!,"AAAAAHf23tY=")</f>
        <v>#REF!</v>
      </c>
      <c r="HH15" t="e">
        <f>AND(Sheet1!#REF!,"AAAAAHf23tc=")</f>
        <v>#REF!</v>
      </c>
      <c r="HI15">
        <f>IF(Sheet1!201:201,"AAAAAHf23tg=",0)</f>
        <v>0</v>
      </c>
      <c r="HJ15" t="e">
        <f>AND(Sheet1!A201,"AAAAAHf23tk=")</f>
        <v>#VALUE!</v>
      </c>
      <c r="HK15" t="e">
        <f>AND(Sheet1!B201,"AAAAAHf23to=")</f>
        <v>#VALUE!</v>
      </c>
      <c r="HL15" t="e">
        <f>AND(Sheet1!C201,"AAAAAHf23ts=")</f>
        <v>#VALUE!</v>
      </c>
      <c r="HM15" t="e">
        <f>AND(Sheet1!D201,"AAAAAHf23tw=")</f>
        <v>#VALUE!</v>
      </c>
      <c r="HN15" t="e">
        <f>AND(Sheet1!E201,"AAAAAHf23t0=")</f>
        <v>#VALUE!</v>
      </c>
      <c r="HO15" t="e">
        <f>AND(Sheet1!F201,"AAAAAHf23t4=")</f>
        <v>#VALUE!</v>
      </c>
      <c r="HP15" t="e">
        <f>AND(Sheet1!G201,"AAAAAHf23t8=")</f>
        <v>#VALUE!</v>
      </c>
      <c r="HQ15" t="e">
        <f>AND(Sheet1!H201,"AAAAAHf23uA=")</f>
        <v>#VALUE!</v>
      </c>
      <c r="HR15" t="e">
        <f>AND(Sheet1!I201,"AAAAAHf23uE=")</f>
        <v>#VALUE!</v>
      </c>
      <c r="HS15" t="e">
        <f>AND(Sheet1!J201,"AAAAAHf23uI=")</f>
        <v>#VALUE!</v>
      </c>
      <c r="HT15" t="e">
        <f>AND(Sheet1!K201,"AAAAAHf23uM=")</f>
        <v>#VALUE!</v>
      </c>
      <c r="HU15" t="e">
        <f>AND(Sheet1!L201,"AAAAAHf23uQ=")</f>
        <v>#VALUE!</v>
      </c>
      <c r="HV15" t="e">
        <f>AND(Sheet1!M201,"AAAAAHf23uU=")</f>
        <v>#VALUE!</v>
      </c>
      <c r="HW15" t="e">
        <f>AND(Sheet1!N201,"AAAAAHf23uY=")</f>
        <v>#VALUE!</v>
      </c>
      <c r="HX15" t="e">
        <f>AND(Sheet1!#REF!,"AAAAAHf23uc=")</f>
        <v>#REF!</v>
      </c>
      <c r="HY15" t="e">
        <f>AND(Sheet1!#REF!,"AAAAAHf23ug=")</f>
        <v>#REF!</v>
      </c>
      <c r="HZ15" t="e">
        <f>AND(Sheet1!#REF!,"AAAAAHf23uk=")</f>
        <v>#REF!</v>
      </c>
      <c r="IA15" t="e">
        <f>AND(Sheet1!#REF!,"AAAAAHf23uo=")</f>
        <v>#REF!</v>
      </c>
      <c r="IB15">
        <f>IF(Sheet1!202:202,"AAAAAHf23us=",0)</f>
        <v>0</v>
      </c>
      <c r="IC15" t="e">
        <f>AND(Sheet1!A202,"AAAAAHf23uw=")</f>
        <v>#VALUE!</v>
      </c>
      <c r="ID15" t="e">
        <f>AND(Sheet1!B202,"AAAAAHf23u0=")</f>
        <v>#VALUE!</v>
      </c>
      <c r="IE15" t="e">
        <f>AND(Sheet1!C202,"AAAAAHf23u4=")</f>
        <v>#VALUE!</v>
      </c>
      <c r="IF15" t="e">
        <f>AND(Sheet1!D202,"AAAAAHf23u8=")</f>
        <v>#VALUE!</v>
      </c>
      <c r="IG15" t="e">
        <f>AND(Sheet1!E202,"AAAAAHf23vA=")</f>
        <v>#VALUE!</v>
      </c>
      <c r="IH15" t="e">
        <f>AND(Sheet1!F202,"AAAAAHf23vE=")</f>
        <v>#VALUE!</v>
      </c>
      <c r="II15" t="e">
        <f>AND(Sheet1!G202,"AAAAAHf23vI=")</f>
        <v>#VALUE!</v>
      </c>
      <c r="IJ15" t="e">
        <f>AND(Sheet1!H202,"AAAAAHf23vM=")</f>
        <v>#VALUE!</v>
      </c>
      <c r="IK15" t="e">
        <f>AND(Sheet1!I202,"AAAAAHf23vQ=")</f>
        <v>#VALUE!</v>
      </c>
      <c r="IL15" t="e">
        <f>AND(Sheet1!J202,"AAAAAHf23vU=")</f>
        <v>#VALUE!</v>
      </c>
      <c r="IM15" t="e">
        <f>AND(Sheet1!K202,"AAAAAHf23vY=")</f>
        <v>#VALUE!</v>
      </c>
      <c r="IN15" t="e">
        <f>AND(Sheet1!L202,"AAAAAHf23vc=")</f>
        <v>#VALUE!</v>
      </c>
      <c r="IO15" t="e">
        <f>AND(Sheet1!M202,"AAAAAHf23vg=")</f>
        <v>#VALUE!</v>
      </c>
      <c r="IP15" t="e">
        <f>AND(Sheet1!N202,"AAAAAHf23vk=")</f>
        <v>#VALUE!</v>
      </c>
      <c r="IQ15" t="e">
        <f>AND(Sheet1!#REF!,"AAAAAHf23vo=")</f>
        <v>#REF!</v>
      </c>
      <c r="IR15" t="e">
        <f>AND(Sheet1!#REF!,"AAAAAHf23vs=")</f>
        <v>#REF!</v>
      </c>
      <c r="IS15" t="e">
        <f>AND(Sheet1!#REF!,"AAAAAHf23vw=")</f>
        <v>#REF!</v>
      </c>
      <c r="IT15" t="e">
        <f>AND(Sheet1!#REF!,"AAAAAHf23v0=")</f>
        <v>#REF!</v>
      </c>
      <c r="IU15">
        <f>IF(Sheet1!203:203,"AAAAAHf23v4=",0)</f>
        <v>0</v>
      </c>
      <c r="IV15" t="e">
        <f>AND(Sheet1!A203,"AAAAAHf23v8=")</f>
        <v>#VALUE!</v>
      </c>
    </row>
    <row r="16" spans="1:256" x14ac:dyDescent="0.2">
      <c r="A16" t="e">
        <f>AND(Sheet1!B203,"AAAAAF1X/wA=")</f>
        <v>#VALUE!</v>
      </c>
      <c r="B16" t="e">
        <f>AND(Sheet1!C203,"AAAAAF1X/wE=")</f>
        <v>#VALUE!</v>
      </c>
      <c r="C16" t="e">
        <f>AND(Sheet1!D203,"AAAAAF1X/wI=")</f>
        <v>#VALUE!</v>
      </c>
      <c r="D16" t="e">
        <f>AND(Sheet1!E203,"AAAAAF1X/wM=")</f>
        <v>#VALUE!</v>
      </c>
      <c r="E16" t="e">
        <f>AND(Sheet1!F203,"AAAAAF1X/wQ=")</f>
        <v>#VALUE!</v>
      </c>
      <c r="F16" t="e">
        <f>AND(Sheet1!G203,"AAAAAF1X/wU=")</f>
        <v>#VALUE!</v>
      </c>
      <c r="G16" t="e">
        <f>AND(Sheet1!H203,"AAAAAF1X/wY=")</f>
        <v>#VALUE!</v>
      </c>
      <c r="H16" t="e">
        <f>AND(Sheet1!I203,"AAAAAF1X/wc=")</f>
        <v>#VALUE!</v>
      </c>
      <c r="I16" t="e">
        <f>AND(Sheet1!J203,"AAAAAF1X/wg=")</f>
        <v>#VALUE!</v>
      </c>
      <c r="J16" t="e">
        <f>AND(Sheet1!K203,"AAAAAF1X/wk=")</f>
        <v>#VALUE!</v>
      </c>
      <c r="K16" t="e">
        <f>AND(Sheet1!L203,"AAAAAF1X/wo=")</f>
        <v>#VALUE!</v>
      </c>
      <c r="L16" t="e">
        <f>AND(Sheet1!M203,"AAAAAF1X/ws=")</f>
        <v>#VALUE!</v>
      </c>
      <c r="M16" t="e">
        <f>AND(Sheet1!N203,"AAAAAF1X/ww=")</f>
        <v>#VALUE!</v>
      </c>
      <c r="N16" t="e">
        <f>AND(Sheet1!#REF!,"AAAAAF1X/w0=")</f>
        <v>#REF!</v>
      </c>
      <c r="O16" t="e">
        <f>AND(Sheet1!#REF!,"AAAAAF1X/w4=")</f>
        <v>#REF!</v>
      </c>
      <c r="P16" t="e">
        <f>AND(Sheet1!#REF!,"AAAAAF1X/w8=")</f>
        <v>#REF!</v>
      </c>
      <c r="Q16" t="e">
        <f>AND(Sheet1!#REF!,"AAAAAF1X/xA=")</f>
        <v>#REF!</v>
      </c>
      <c r="R16">
        <f>IF(Sheet1!204:204,"AAAAAF1X/xE=",0)</f>
        <v>0</v>
      </c>
      <c r="S16" t="e">
        <f>AND(Sheet1!A204,"AAAAAF1X/xI=")</f>
        <v>#VALUE!</v>
      </c>
      <c r="T16" t="e">
        <f>AND(Sheet1!B204,"AAAAAF1X/xM=")</f>
        <v>#VALUE!</v>
      </c>
      <c r="U16" t="e">
        <f>AND(Sheet1!C204,"AAAAAF1X/xQ=")</f>
        <v>#VALUE!</v>
      </c>
      <c r="V16" t="e">
        <f>AND(Sheet1!D204,"AAAAAF1X/xU=")</f>
        <v>#VALUE!</v>
      </c>
      <c r="W16" t="e">
        <f>AND(Sheet1!E204,"AAAAAF1X/xY=")</f>
        <v>#VALUE!</v>
      </c>
      <c r="X16" t="e">
        <f>AND(Sheet1!F204,"AAAAAF1X/xc=")</f>
        <v>#VALUE!</v>
      </c>
      <c r="Y16" t="e">
        <f>AND(Sheet1!G204,"AAAAAF1X/xg=")</f>
        <v>#VALUE!</v>
      </c>
      <c r="Z16" t="e">
        <f>AND(Sheet1!H204,"AAAAAF1X/xk=")</f>
        <v>#VALUE!</v>
      </c>
      <c r="AA16" t="e">
        <f>AND(Sheet1!I204,"AAAAAF1X/xo=")</f>
        <v>#VALUE!</v>
      </c>
      <c r="AB16" t="e">
        <f>AND(Sheet1!J204,"AAAAAF1X/xs=")</f>
        <v>#VALUE!</v>
      </c>
      <c r="AC16" t="e">
        <f>AND(Sheet1!K204,"AAAAAF1X/xw=")</f>
        <v>#VALUE!</v>
      </c>
      <c r="AD16" t="e">
        <f>AND(Sheet1!L204,"AAAAAF1X/x0=")</f>
        <v>#VALUE!</v>
      </c>
      <c r="AE16" t="e">
        <f>AND(Sheet1!M204,"AAAAAF1X/x4=")</f>
        <v>#VALUE!</v>
      </c>
      <c r="AF16" t="e">
        <f>AND(Sheet1!N204,"AAAAAF1X/x8=")</f>
        <v>#VALUE!</v>
      </c>
      <c r="AG16" t="e">
        <f>AND(Sheet1!#REF!,"AAAAAF1X/yA=")</f>
        <v>#REF!</v>
      </c>
      <c r="AH16" t="e">
        <f>AND(Sheet1!#REF!,"AAAAAF1X/yE=")</f>
        <v>#REF!</v>
      </c>
      <c r="AI16" t="e">
        <f>AND(Sheet1!#REF!,"AAAAAF1X/yI=")</f>
        <v>#REF!</v>
      </c>
      <c r="AJ16" t="e">
        <f>AND(Sheet1!#REF!,"AAAAAF1X/yM=")</f>
        <v>#REF!</v>
      </c>
      <c r="AK16">
        <f>IF(Sheet1!205:205,"AAAAAF1X/yQ=",0)</f>
        <v>0</v>
      </c>
      <c r="AL16" t="e">
        <f>AND(Sheet1!A205,"AAAAAF1X/yU=")</f>
        <v>#VALUE!</v>
      </c>
      <c r="AM16" t="e">
        <f>AND(Sheet1!B205,"AAAAAF1X/yY=")</f>
        <v>#VALUE!</v>
      </c>
      <c r="AN16" t="e">
        <f>AND(Sheet1!C205,"AAAAAF1X/yc=")</f>
        <v>#VALUE!</v>
      </c>
      <c r="AO16" t="e">
        <f>AND(Sheet1!D205,"AAAAAF1X/yg=")</f>
        <v>#VALUE!</v>
      </c>
      <c r="AP16" t="e">
        <f>AND(Sheet1!E205,"AAAAAF1X/yk=")</f>
        <v>#VALUE!</v>
      </c>
      <c r="AQ16" t="e">
        <f>AND(Sheet1!F205,"AAAAAF1X/yo=")</f>
        <v>#VALUE!</v>
      </c>
      <c r="AR16" t="e">
        <f>AND(Sheet1!G205,"AAAAAF1X/ys=")</f>
        <v>#VALUE!</v>
      </c>
      <c r="AS16" t="e">
        <f>AND(Sheet1!H205,"AAAAAF1X/yw=")</f>
        <v>#VALUE!</v>
      </c>
      <c r="AT16" t="e">
        <f>AND(Sheet1!I205,"AAAAAF1X/y0=")</f>
        <v>#VALUE!</v>
      </c>
      <c r="AU16" t="e">
        <f>AND(Sheet1!J205,"AAAAAF1X/y4=")</f>
        <v>#VALUE!</v>
      </c>
      <c r="AV16" t="e">
        <f>AND(Sheet1!K205,"AAAAAF1X/y8=")</f>
        <v>#VALUE!</v>
      </c>
      <c r="AW16" t="e">
        <f>AND(Sheet1!L205,"AAAAAF1X/zA=")</f>
        <v>#VALUE!</v>
      </c>
      <c r="AX16" t="e">
        <f>AND(Sheet1!M205,"AAAAAF1X/zE=")</f>
        <v>#VALUE!</v>
      </c>
      <c r="AY16" t="e">
        <f>AND(Sheet1!N205,"AAAAAF1X/zI=")</f>
        <v>#VALUE!</v>
      </c>
      <c r="AZ16" t="e">
        <f>AND(Sheet1!#REF!,"AAAAAF1X/zM=")</f>
        <v>#REF!</v>
      </c>
      <c r="BA16" t="e">
        <f>AND(Sheet1!#REF!,"AAAAAF1X/zQ=")</f>
        <v>#REF!</v>
      </c>
      <c r="BB16" t="e">
        <f>AND(Sheet1!#REF!,"AAAAAF1X/zU=")</f>
        <v>#REF!</v>
      </c>
      <c r="BC16" t="e">
        <f>AND(Sheet1!#REF!,"AAAAAF1X/zY=")</f>
        <v>#REF!</v>
      </c>
      <c r="BD16">
        <f>IF(Sheet1!206:206,"AAAAAF1X/zc=",0)</f>
        <v>0</v>
      </c>
      <c r="BE16" t="e">
        <f>AND(Sheet1!A206,"AAAAAF1X/zg=")</f>
        <v>#VALUE!</v>
      </c>
      <c r="BF16" t="e">
        <f>AND(Sheet1!B206,"AAAAAF1X/zk=")</f>
        <v>#VALUE!</v>
      </c>
      <c r="BG16" t="e">
        <f>AND(Sheet1!C206,"AAAAAF1X/zo=")</f>
        <v>#VALUE!</v>
      </c>
      <c r="BH16" t="e">
        <f>AND(Sheet1!D206,"AAAAAF1X/zs=")</f>
        <v>#VALUE!</v>
      </c>
      <c r="BI16" t="e">
        <f>AND(Sheet1!E206,"AAAAAF1X/zw=")</f>
        <v>#VALUE!</v>
      </c>
      <c r="BJ16" t="e">
        <f>AND(Sheet1!F206,"AAAAAF1X/z0=")</f>
        <v>#VALUE!</v>
      </c>
      <c r="BK16" t="e">
        <f>AND(Sheet1!G206,"AAAAAF1X/z4=")</f>
        <v>#VALUE!</v>
      </c>
      <c r="BL16" t="e">
        <f>AND(Sheet1!H206,"AAAAAF1X/z8=")</f>
        <v>#VALUE!</v>
      </c>
      <c r="BM16" t="e">
        <f>AND(Sheet1!I206,"AAAAAF1X/0A=")</f>
        <v>#VALUE!</v>
      </c>
      <c r="BN16" t="e">
        <f>AND(Sheet1!J206,"AAAAAF1X/0E=")</f>
        <v>#VALUE!</v>
      </c>
      <c r="BO16" t="e">
        <f>AND(Sheet1!K206,"AAAAAF1X/0I=")</f>
        <v>#VALUE!</v>
      </c>
      <c r="BP16" t="e">
        <f>AND(Sheet1!L206,"AAAAAF1X/0M=")</f>
        <v>#VALUE!</v>
      </c>
      <c r="BQ16" t="e">
        <f>AND(Sheet1!M206,"AAAAAF1X/0Q=")</f>
        <v>#VALUE!</v>
      </c>
      <c r="BR16" t="e">
        <f>AND(Sheet1!N206,"AAAAAF1X/0U=")</f>
        <v>#VALUE!</v>
      </c>
      <c r="BS16" t="e">
        <f>AND(Sheet1!#REF!,"AAAAAF1X/0Y=")</f>
        <v>#REF!</v>
      </c>
      <c r="BT16" t="e">
        <f>AND(Sheet1!#REF!,"AAAAAF1X/0c=")</f>
        <v>#REF!</v>
      </c>
      <c r="BU16" t="e">
        <f>AND(Sheet1!#REF!,"AAAAAF1X/0g=")</f>
        <v>#REF!</v>
      </c>
      <c r="BV16" t="e">
        <f>AND(Sheet1!#REF!,"AAAAAF1X/0k=")</f>
        <v>#REF!</v>
      </c>
      <c r="BW16">
        <f>IF(Sheet1!207:207,"AAAAAF1X/0o=",0)</f>
        <v>0</v>
      </c>
      <c r="BX16" t="e">
        <f>AND(Sheet1!A207,"AAAAAF1X/0s=")</f>
        <v>#VALUE!</v>
      </c>
      <c r="BY16" t="e">
        <f>AND(Sheet1!B207,"AAAAAF1X/0w=")</f>
        <v>#VALUE!</v>
      </c>
      <c r="BZ16" t="e">
        <f>AND(Sheet1!C207,"AAAAAF1X/00=")</f>
        <v>#VALUE!</v>
      </c>
      <c r="CA16" t="e">
        <f>AND(Sheet1!D207,"AAAAAF1X/04=")</f>
        <v>#VALUE!</v>
      </c>
      <c r="CB16" t="e">
        <f>AND(Sheet1!E207,"AAAAAF1X/08=")</f>
        <v>#VALUE!</v>
      </c>
      <c r="CC16" t="e">
        <f>AND(Sheet1!F207,"AAAAAF1X/1A=")</f>
        <v>#VALUE!</v>
      </c>
      <c r="CD16" t="e">
        <f>AND(Sheet1!G207,"AAAAAF1X/1E=")</f>
        <v>#VALUE!</v>
      </c>
      <c r="CE16" t="e">
        <f>AND(Sheet1!H207,"AAAAAF1X/1I=")</f>
        <v>#VALUE!</v>
      </c>
      <c r="CF16" t="e">
        <f>AND(Sheet1!I207,"AAAAAF1X/1M=")</f>
        <v>#VALUE!</v>
      </c>
      <c r="CG16" t="e">
        <f>AND(Sheet1!J207,"AAAAAF1X/1Q=")</f>
        <v>#VALUE!</v>
      </c>
      <c r="CH16" t="e">
        <f>AND(Sheet1!K207,"AAAAAF1X/1U=")</f>
        <v>#VALUE!</v>
      </c>
      <c r="CI16" t="e">
        <f>AND(Sheet1!L207,"AAAAAF1X/1Y=")</f>
        <v>#VALUE!</v>
      </c>
      <c r="CJ16" t="e">
        <f>AND(Sheet1!M207,"AAAAAF1X/1c=")</f>
        <v>#VALUE!</v>
      </c>
      <c r="CK16" t="e">
        <f>AND(Sheet1!N207,"AAAAAF1X/1g=")</f>
        <v>#VALUE!</v>
      </c>
      <c r="CL16" t="e">
        <f>AND(Sheet1!#REF!,"AAAAAF1X/1k=")</f>
        <v>#REF!</v>
      </c>
      <c r="CM16" t="e">
        <f>AND(Sheet1!#REF!,"AAAAAF1X/1o=")</f>
        <v>#REF!</v>
      </c>
      <c r="CN16" t="e">
        <f>AND(Sheet1!#REF!,"AAAAAF1X/1s=")</f>
        <v>#REF!</v>
      </c>
      <c r="CO16" t="e">
        <f>AND(Sheet1!#REF!,"AAAAAF1X/1w=")</f>
        <v>#REF!</v>
      </c>
      <c r="CP16">
        <f>IF(Sheet1!208:208,"AAAAAF1X/10=",0)</f>
        <v>0</v>
      </c>
      <c r="CQ16" t="e">
        <f>AND(Sheet1!A208,"AAAAAF1X/14=")</f>
        <v>#VALUE!</v>
      </c>
      <c r="CR16" t="e">
        <f>AND(Sheet1!B208,"AAAAAF1X/18=")</f>
        <v>#VALUE!</v>
      </c>
      <c r="CS16" t="e">
        <f>AND(Sheet1!C208,"AAAAAF1X/2A=")</f>
        <v>#VALUE!</v>
      </c>
      <c r="CT16" t="e">
        <f>AND(Sheet1!D208,"AAAAAF1X/2E=")</f>
        <v>#VALUE!</v>
      </c>
      <c r="CU16" t="e">
        <f>AND(Sheet1!E208,"AAAAAF1X/2I=")</f>
        <v>#VALUE!</v>
      </c>
      <c r="CV16" t="e">
        <f>AND(Sheet1!F208,"AAAAAF1X/2M=")</f>
        <v>#VALUE!</v>
      </c>
      <c r="CW16" t="e">
        <f>AND(Sheet1!G208,"AAAAAF1X/2Q=")</f>
        <v>#VALUE!</v>
      </c>
      <c r="CX16" t="e">
        <f>AND(Sheet1!H208,"AAAAAF1X/2U=")</f>
        <v>#VALUE!</v>
      </c>
      <c r="CY16" t="e">
        <f>AND(Sheet1!I208,"AAAAAF1X/2Y=")</f>
        <v>#VALUE!</v>
      </c>
      <c r="CZ16" t="e">
        <f>AND(Sheet1!J208,"AAAAAF1X/2c=")</f>
        <v>#VALUE!</v>
      </c>
      <c r="DA16" t="e">
        <f>AND(Sheet1!K208,"AAAAAF1X/2g=")</f>
        <v>#VALUE!</v>
      </c>
      <c r="DB16" t="e">
        <f>AND(Sheet1!L208,"AAAAAF1X/2k=")</f>
        <v>#VALUE!</v>
      </c>
      <c r="DC16" t="e">
        <f>AND(Sheet1!M208,"AAAAAF1X/2o=")</f>
        <v>#VALUE!</v>
      </c>
      <c r="DD16" t="e">
        <f>AND(Sheet1!N208,"AAAAAF1X/2s=")</f>
        <v>#VALUE!</v>
      </c>
      <c r="DE16" t="e">
        <f>AND(Sheet1!#REF!,"AAAAAF1X/2w=")</f>
        <v>#REF!</v>
      </c>
      <c r="DF16" t="e">
        <f>AND(Sheet1!#REF!,"AAAAAF1X/20=")</f>
        <v>#REF!</v>
      </c>
      <c r="DG16" t="e">
        <f>AND(Sheet1!#REF!,"AAAAAF1X/24=")</f>
        <v>#REF!</v>
      </c>
      <c r="DH16" t="e">
        <f>AND(Sheet1!#REF!,"AAAAAF1X/28=")</f>
        <v>#REF!</v>
      </c>
      <c r="DI16">
        <f>IF(Sheet1!209:209,"AAAAAF1X/3A=",0)</f>
        <v>0</v>
      </c>
      <c r="DJ16" t="e">
        <f>AND(Sheet1!A209,"AAAAAF1X/3E=")</f>
        <v>#VALUE!</v>
      </c>
      <c r="DK16" t="e">
        <f>AND(Sheet1!B209,"AAAAAF1X/3I=")</f>
        <v>#VALUE!</v>
      </c>
      <c r="DL16" t="e">
        <f>AND(Sheet1!C209,"AAAAAF1X/3M=")</f>
        <v>#VALUE!</v>
      </c>
      <c r="DM16" t="e">
        <f>AND(Sheet1!D209,"AAAAAF1X/3Q=")</f>
        <v>#VALUE!</v>
      </c>
      <c r="DN16" t="e">
        <f>AND(Sheet1!E209,"AAAAAF1X/3U=")</f>
        <v>#VALUE!</v>
      </c>
      <c r="DO16" t="e">
        <f>AND(Sheet1!F209,"AAAAAF1X/3Y=")</f>
        <v>#VALUE!</v>
      </c>
      <c r="DP16" t="e">
        <f>AND(Sheet1!G209,"AAAAAF1X/3c=")</f>
        <v>#VALUE!</v>
      </c>
      <c r="DQ16" t="e">
        <f>AND(Sheet1!H209,"AAAAAF1X/3g=")</f>
        <v>#VALUE!</v>
      </c>
      <c r="DR16" t="e">
        <f>AND(Sheet1!I209,"AAAAAF1X/3k=")</f>
        <v>#VALUE!</v>
      </c>
      <c r="DS16" t="e">
        <f>AND(Sheet1!J209,"AAAAAF1X/3o=")</f>
        <v>#VALUE!</v>
      </c>
      <c r="DT16" t="e">
        <f>AND(Sheet1!K209,"AAAAAF1X/3s=")</f>
        <v>#VALUE!</v>
      </c>
      <c r="DU16" t="e">
        <f>AND(Sheet1!L209,"AAAAAF1X/3w=")</f>
        <v>#VALUE!</v>
      </c>
      <c r="DV16" t="e">
        <f>AND(Sheet1!M209,"AAAAAF1X/30=")</f>
        <v>#VALUE!</v>
      </c>
      <c r="DW16" t="e">
        <f>AND(Sheet1!N209,"AAAAAF1X/34=")</f>
        <v>#VALUE!</v>
      </c>
      <c r="DX16" t="e">
        <f>AND(Sheet1!#REF!,"AAAAAF1X/38=")</f>
        <v>#REF!</v>
      </c>
      <c r="DY16" t="e">
        <f>AND(Sheet1!#REF!,"AAAAAF1X/4A=")</f>
        <v>#REF!</v>
      </c>
      <c r="DZ16" t="e">
        <f>AND(Sheet1!#REF!,"AAAAAF1X/4E=")</f>
        <v>#REF!</v>
      </c>
      <c r="EA16" t="e">
        <f>AND(Sheet1!#REF!,"AAAAAF1X/4I=")</f>
        <v>#REF!</v>
      </c>
      <c r="EB16">
        <f>IF(Sheet1!210:210,"AAAAAF1X/4M=",0)</f>
        <v>0</v>
      </c>
      <c r="EC16" t="e">
        <f>AND(Sheet1!A210,"AAAAAF1X/4Q=")</f>
        <v>#VALUE!</v>
      </c>
      <c r="ED16" t="e">
        <f>AND(Sheet1!B210,"AAAAAF1X/4U=")</f>
        <v>#VALUE!</v>
      </c>
      <c r="EE16" t="e">
        <f>AND(Sheet1!C210,"AAAAAF1X/4Y=")</f>
        <v>#VALUE!</v>
      </c>
      <c r="EF16" t="e">
        <f>AND(Sheet1!D210,"AAAAAF1X/4c=")</f>
        <v>#VALUE!</v>
      </c>
      <c r="EG16" t="e">
        <f>AND(Sheet1!E210,"AAAAAF1X/4g=")</f>
        <v>#VALUE!</v>
      </c>
      <c r="EH16" t="e">
        <f>AND(Sheet1!F210,"AAAAAF1X/4k=")</f>
        <v>#VALUE!</v>
      </c>
      <c r="EI16" t="e">
        <f>AND(Sheet1!G210,"AAAAAF1X/4o=")</f>
        <v>#VALUE!</v>
      </c>
      <c r="EJ16" t="e">
        <f>AND(Sheet1!H210,"AAAAAF1X/4s=")</f>
        <v>#VALUE!</v>
      </c>
      <c r="EK16" t="e">
        <f>AND(Sheet1!I210,"AAAAAF1X/4w=")</f>
        <v>#VALUE!</v>
      </c>
      <c r="EL16" t="e">
        <f>AND(Sheet1!J210,"AAAAAF1X/40=")</f>
        <v>#VALUE!</v>
      </c>
      <c r="EM16" t="e">
        <f>AND(Sheet1!K210,"AAAAAF1X/44=")</f>
        <v>#VALUE!</v>
      </c>
      <c r="EN16" t="e">
        <f>AND(Sheet1!L210,"AAAAAF1X/48=")</f>
        <v>#VALUE!</v>
      </c>
      <c r="EO16" t="e">
        <f>AND(Sheet1!M210,"AAAAAF1X/5A=")</f>
        <v>#VALUE!</v>
      </c>
      <c r="EP16" t="e">
        <f>AND(Sheet1!N210,"AAAAAF1X/5E=")</f>
        <v>#VALUE!</v>
      </c>
      <c r="EQ16" t="e">
        <f>AND(Sheet1!#REF!,"AAAAAF1X/5I=")</f>
        <v>#REF!</v>
      </c>
      <c r="ER16" t="e">
        <f>AND(Sheet1!#REF!,"AAAAAF1X/5M=")</f>
        <v>#REF!</v>
      </c>
      <c r="ES16" t="e">
        <f>AND(Sheet1!#REF!,"AAAAAF1X/5Q=")</f>
        <v>#REF!</v>
      </c>
      <c r="ET16" t="e">
        <f>AND(Sheet1!#REF!,"AAAAAF1X/5U=")</f>
        <v>#REF!</v>
      </c>
      <c r="EU16">
        <f>IF(Sheet1!211:211,"AAAAAF1X/5Y=",0)</f>
        <v>0</v>
      </c>
      <c r="EV16" t="e">
        <f>AND(Sheet1!A211,"AAAAAF1X/5c=")</f>
        <v>#VALUE!</v>
      </c>
      <c r="EW16" t="e">
        <f>AND(Sheet1!B211,"AAAAAF1X/5g=")</f>
        <v>#VALUE!</v>
      </c>
      <c r="EX16" t="e">
        <f>AND(Sheet1!C211,"AAAAAF1X/5k=")</f>
        <v>#VALUE!</v>
      </c>
      <c r="EY16" t="e">
        <f>AND(Sheet1!D211,"AAAAAF1X/5o=")</f>
        <v>#VALUE!</v>
      </c>
      <c r="EZ16" t="e">
        <f>AND(Sheet1!E211,"AAAAAF1X/5s=")</f>
        <v>#VALUE!</v>
      </c>
      <c r="FA16" t="e">
        <f>AND(Sheet1!F211,"AAAAAF1X/5w=")</f>
        <v>#VALUE!</v>
      </c>
      <c r="FB16" t="e">
        <f>AND(Sheet1!G211,"AAAAAF1X/50=")</f>
        <v>#VALUE!</v>
      </c>
      <c r="FC16" t="e">
        <f>AND(Sheet1!H211,"AAAAAF1X/54=")</f>
        <v>#VALUE!</v>
      </c>
      <c r="FD16" t="e">
        <f>AND(Sheet1!I211,"AAAAAF1X/58=")</f>
        <v>#VALUE!</v>
      </c>
      <c r="FE16" t="e">
        <f>AND(Sheet1!J211,"AAAAAF1X/6A=")</f>
        <v>#VALUE!</v>
      </c>
      <c r="FF16" t="e">
        <f>AND(Sheet1!K211,"AAAAAF1X/6E=")</f>
        <v>#VALUE!</v>
      </c>
      <c r="FG16" t="e">
        <f>AND(Sheet1!L211,"AAAAAF1X/6I=")</f>
        <v>#VALUE!</v>
      </c>
      <c r="FH16" t="e">
        <f>AND(Sheet1!M211,"AAAAAF1X/6M=")</f>
        <v>#VALUE!</v>
      </c>
      <c r="FI16" t="e">
        <f>AND(Sheet1!N211,"AAAAAF1X/6Q=")</f>
        <v>#VALUE!</v>
      </c>
      <c r="FJ16" t="e">
        <f>AND(Sheet1!#REF!,"AAAAAF1X/6U=")</f>
        <v>#REF!</v>
      </c>
      <c r="FK16" t="e">
        <f>AND(Sheet1!#REF!,"AAAAAF1X/6Y=")</f>
        <v>#REF!</v>
      </c>
      <c r="FL16" t="e">
        <f>AND(Sheet1!#REF!,"AAAAAF1X/6c=")</f>
        <v>#REF!</v>
      </c>
      <c r="FM16" t="e">
        <f>AND(Sheet1!#REF!,"AAAAAF1X/6g=")</f>
        <v>#REF!</v>
      </c>
      <c r="FN16">
        <f>IF(Sheet1!212:212,"AAAAAF1X/6k=",0)</f>
        <v>0</v>
      </c>
      <c r="FO16" t="e">
        <f>AND(Sheet1!A212,"AAAAAF1X/6o=")</f>
        <v>#VALUE!</v>
      </c>
      <c r="FP16" t="e">
        <f>AND(Sheet1!B212,"AAAAAF1X/6s=")</f>
        <v>#VALUE!</v>
      </c>
      <c r="FQ16" t="e">
        <f>AND(Sheet1!C212,"AAAAAF1X/6w=")</f>
        <v>#VALUE!</v>
      </c>
      <c r="FR16" t="e">
        <f>AND(Sheet1!D212,"AAAAAF1X/60=")</f>
        <v>#VALUE!</v>
      </c>
      <c r="FS16" t="e">
        <f>AND(Sheet1!E212,"AAAAAF1X/64=")</f>
        <v>#VALUE!</v>
      </c>
      <c r="FT16" t="e">
        <f>AND(Sheet1!F212,"AAAAAF1X/68=")</f>
        <v>#VALUE!</v>
      </c>
      <c r="FU16" t="e">
        <f>AND(Sheet1!G212,"AAAAAF1X/7A=")</f>
        <v>#VALUE!</v>
      </c>
      <c r="FV16" t="e">
        <f>AND(Sheet1!H212,"AAAAAF1X/7E=")</f>
        <v>#VALUE!</v>
      </c>
      <c r="FW16" t="e">
        <f>AND(Sheet1!I212,"AAAAAF1X/7I=")</f>
        <v>#VALUE!</v>
      </c>
      <c r="FX16" t="e">
        <f>AND(Sheet1!J212,"AAAAAF1X/7M=")</f>
        <v>#VALUE!</v>
      </c>
      <c r="FY16" t="e">
        <f>AND(Sheet1!K212,"AAAAAF1X/7Q=")</f>
        <v>#VALUE!</v>
      </c>
      <c r="FZ16" t="e">
        <f>AND(Sheet1!L212,"AAAAAF1X/7U=")</f>
        <v>#VALUE!</v>
      </c>
      <c r="GA16" t="e">
        <f>AND(Sheet1!M212,"AAAAAF1X/7Y=")</f>
        <v>#VALUE!</v>
      </c>
      <c r="GB16" t="e">
        <f>AND(Sheet1!N212,"AAAAAF1X/7c=")</f>
        <v>#VALUE!</v>
      </c>
      <c r="GC16" t="e">
        <f>AND(Sheet1!#REF!,"AAAAAF1X/7g=")</f>
        <v>#REF!</v>
      </c>
      <c r="GD16" t="e">
        <f>AND(Sheet1!#REF!,"AAAAAF1X/7k=")</f>
        <v>#REF!</v>
      </c>
      <c r="GE16" t="e">
        <f>AND(Sheet1!#REF!,"AAAAAF1X/7o=")</f>
        <v>#REF!</v>
      </c>
      <c r="GF16" t="e">
        <f>AND(Sheet1!#REF!,"AAAAAF1X/7s=")</f>
        <v>#REF!</v>
      </c>
      <c r="GG16">
        <f>IF(Sheet1!213:213,"AAAAAF1X/7w=",0)</f>
        <v>0</v>
      </c>
      <c r="GH16" t="e">
        <f>AND(Sheet1!A213,"AAAAAF1X/70=")</f>
        <v>#VALUE!</v>
      </c>
      <c r="GI16" t="e">
        <f>AND(Sheet1!B213,"AAAAAF1X/74=")</f>
        <v>#VALUE!</v>
      </c>
      <c r="GJ16" t="e">
        <f>AND(Sheet1!C213,"AAAAAF1X/78=")</f>
        <v>#VALUE!</v>
      </c>
      <c r="GK16" t="e">
        <f>AND(Sheet1!D213,"AAAAAF1X/8A=")</f>
        <v>#VALUE!</v>
      </c>
      <c r="GL16" t="e">
        <f>AND(Sheet1!E213,"AAAAAF1X/8E=")</f>
        <v>#VALUE!</v>
      </c>
      <c r="GM16" t="e">
        <f>AND(Sheet1!F213,"AAAAAF1X/8I=")</f>
        <v>#VALUE!</v>
      </c>
      <c r="GN16" t="e">
        <f>AND(Sheet1!G213,"AAAAAF1X/8M=")</f>
        <v>#VALUE!</v>
      </c>
      <c r="GO16" t="e">
        <f>AND(Sheet1!H213,"AAAAAF1X/8Q=")</f>
        <v>#VALUE!</v>
      </c>
      <c r="GP16" t="e">
        <f>AND(Sheet1!I213,"AAAAAF1X/8U=")</f>
        <v>#VALUE!</v>
      </c>
      <c r="GQ16" t="e">
        <f>AND(Sheet1!J213,"AAAAAF1X/8Y=")</f>
        <v>#VALUE!</v>
      </c>
      <c r="GR16" t="e">
        <f>AND(Sheet1!K213,"AAAAAF1X/8c=")</f>
        <v>#VALUE!</v>
      </c>
      <c r="GS16" t="e">
        <f>AND(Sheet1!L213,"AAAAAF1X/8g=")</f>
        <v>#VALUE!</v>
      </c>
      <c r="GT16" t="e">
        <f>AND(Sheet1!M213,"AAAAAF1X/8k=")</f>
        <v>#VALUE!</v>
      </c>
      <c r="GU16" t="e">
        <f>AND(Sheet1!N213,"AAAAAF1X/8o=")</f>
        <v>#VALUE!</v>
      </c>
      <c r="GV16" t="e">
        <f>AND(Sheet1!#REF!,"AAAAAF1X/8s=")</f>
        <v>#REF!</v>
      </c>
      <c r="GW16" t="e">
        <f>AND(Sheet1!#REF!,"AAAAAF1X/8w=")</f>
        <v>#REF!</v>
      </c>
      <c r="GX16" t="e">
        <f>AND(Sheet1!#REF!,"AAAAAF1X/80=")</f>
        <v>#REF!</v>
      </c>
      <c r="GY16" t="e">
        <f>AND(Sheet1!#REF!,"AAAAAF1X/84=")</f>
        <v>#REF!</v>
      </c>
      <c r="GZ16">
        <f>IF(Sheet1!214:214,"AAAAAF1X/88=",0)</f>
        <v>0</v>
      </c>
      <c r="HA16" t="e">
        <f>AND(Sheet1!A214,"AAAAAF1X/9A=")</f>
        <v>#VALUE!</v>
      </c>
      <c r="HB16" t="e">
        <f>AND(Sheet1!B214,"AAAAAF1X/9E=")</f>
        <v>#VALUE!</v>
      </c>
      <c r="HC16" t="e">
        <f>AND(Sheet1!C214,"AAAAAF1X/9I=")</f>
        <v>#VALUE!</v>
      </c>
      <c r="HD16" t="e">
        <f>AND(Sheet1!D214,"AAAAAF1X/9M=")</f>
        <v>#VALUE!</v>
      </c>
      <c r="HE16" t="e">
        <f>AND(Sheet1!E214,"AAAAAF1X/9Q=")</f>
        <v>#VALUE!</v>
      </c>
      <c r="HF16" t="e">
        <f>AND(Sheet1!F214,"AAAAAF1X/9U=")</f>
        <v>#VALUE!</v>
      </c>
      <c r="HG16" t="e">
        <f>AND(Sheet1!G214,"AAAAAF1X/9Y=")</f>
        <v>#VALUE!</v>
      </c>
      <c r="HH16" t="e">
        <f>AND(Sheet1!H214,"AAAAAF1X/9c=")</f>
        <v>#VALUE!</v>
      </c>
      <c r="HI16" t="e">
        <f>AND(Sheet1!I214,"AAAAAF1X/9g=")</f>
        <v>#VALUE!</v>
      </c>
      <c r="HJ16" t="e">
        <f>AND(Sheet1!J214,"AAAAAF1X/9k=")</f>
        <v>#VALUE!</v>
      </c>
      <c r="HK16" t="e">
        <f>AND(Sheet1!K214,"AAAAAF1X/9o=")</f>
        <v>#VALUE!</v>
      </c>
      <c r="HL16" t="e">
        <f>AND(Sheet1!L214,"AAAAAF1X/9s=")</f>
        <v>#VALUE!</v>
      </c>
      <c r="HM16" t="e">
        <f>AND(Sheet1!M214,"AAAAAF1X/9w=")</f>
        <v>#VALUE!</v>
      </c>
      <c r="HN16" t="e">
        <f>AND(Sheet1!N214,"AAAAAF1X/90=")</f>
        <v>#VALUE!</v>
      </c>
      <c r="HO16" t="e">
        <f>AND(Sheet1!#REF!,"AAAAAF1X/94=")</f>
        <v>#REF!</v>
      </c>
      <c r="HP16" t="e">
        <f>AND(Sheet1!#REF!,"AAAAAF1X/98=")</f>
        <v>#REF!</v>
      </c>
      <c r="HQ16" t="e">
        <f>AND(Sheet1!#REF!,"AAAAAF1X/+A=")</f>
        <v>#REF!</v>
      </c>
      <c r="HR16" t="e">
        <f>AND(Sheet1!#REF!,"AAAAAF1X/+E=")</f>
        <v>#REF!</v>
      </c>
      <c r="HS16">
        <f>IF(Sheet1!215:215,"AAAAAF1X/+I=",0)</f>
        <v>0</v>
      </c>
      <c r="HT16" t="e">
        <f>AND(Sheet1!A215,"AAAAAF1X/+M=")</f>
        <v>#VALUE!</v>
      </c>
      <c r="HU16" t="e">
        <f>AND(Sheet1!B215,"AAAAAF1X/+Q=")</f>
        <v>#VALUE!</v>
      </c>
      <c r="HV16" t="e">
        <f>AND(Sheet1!C215,"AAAAAF1X/+U=")</f>
        <v>#VALUE!</v>
      </c>
      <c r="HW16" t="e">
        <f>AND(Sheet1!D215,"AAAAAF1X/+Y=")</f>
        <v>#VALUE!</v>
      </c>
      <c r="HX16" t="e">
        <f>AND(Sheet1!E215,"AAAAAF1X/+c=")</f>
        <v>#VALUE!</v>
      </c>
      <c r="HY16" t="e">
        <f>AND(Sheet1!F215,"AAAAAF1X/+g=")</f>
        <v>#VALUE!</v>
      </c>
      <c r="HZ16" t="e">
        <f>AND(Sheet1!G215,"AAAAAF1X/+k=")</f>
        <v>#VALUE!</v>
      </c>
      <c r="IA16" t="e">
        <f>AND(Sheet1!H215,"AAAAAF1X/+o=")</f>
        <v>#VALUE!</v>
      </c>
      <c r="IB16" t="e">
        <f>AND(Sheet1!I215,"AAAAAF1X/+s=")</f>
        <v>#VALUE!</v>
      </c>
      <c r="IC16" t="e">
        <f>AND(Sheet1!J215,"AAAAAF1X/+w=")</f>
        <v>#VALUE!</v>
      </c>
      <c r="ID16" t="e">
        <f>AND(Sheet1!K215,"AAAAAF1X/+0=")</f>
        <v>#VALUE!</v>
      </c>
      <c r="IE16" t="e">
        <f>AND(Sheet1!L215,"AAAAAF1X/+4=")</f>
        <v>#VALUE!</v>
      </c>
      <c r="IF16" t="e">
        <f>AND(Sheet1!M215,"AAAAAF1X/+8=")</f>
        <v>#VALUE!</v>
      </c>
      <c r="IG16" t="e">
        <f>AND(Sheet1!N215,"AAAAAF1X//A=")</f>
        <v>#VALUE!</v>
      </c>
      <c r="IH16" t="e">
        <f>AND(Sheet1!#REF!,"AAAAAF1X//E=")</f>
        <v>#REF!</v>
      </c>
      <c r="II16" t="e">
        <f>AND(Sheet1!#REF!,"AAAAAF1X//I=")</f>
        <v>#REF!</v>
      </c>
      <c r="IJ16" t="e">
        <f>AND(Sheet1!#REF!,"AAAAAF1X//M=")</f>
        <v>#REF!</v>
      </c>
      <c r="IK16" t="e">
        <f>AND(Sheet1!#REF!,"AAAAAF1X//Q=")</f>
        <v>#REF!</v>
      </c>
      <c r="IL16">
        <f>IF(Sheet1!216:216,"AAAAAF1X//U=",0)</f>
        <v>0</v>
      </c>
      <c r="IM16" t="e">
        <f>AND(Sheet1!A216,"AAAAAF1X//Y=")</f>
        <v>#VALUE!</v>
      </c>
      <c r="IN16" t="e">
        <f>AND(Sheet1!B216,"AAAAAF1X//c=")</f>
        <v>#VALUE!</v>
      </c>
      <c r="IO16" t="e">
        <f>AND(Sheet1!C216,"AAAAAF1X//g=")</f>
        <v>#VALUE!</v>
      </c>
      <c r="IP16" t="e">
        <f>AND(Sheet1!D216,"AAAAAF1X//k=")</f>
        <v>#VALUE!</v>
      </c>
      <c r="IQ16" t="e">
        <f>AND(Sheet1!E216,"AAAAAF1X//o=")</f>
        <v>#VALUE!</v>
      </c>
      <c r="IR16" t="e">
        <f>AND(Sheet1!F216,"AAAAAF1X//s=")</f>
        <v>#VALUE!</v>
      </c>
      <c r="IS16" t="e">
        <f>AND(Sheet1!G216,"AAAAAF1X//w=")</f>
        <v>#VALUE!</v>
      </c>
      <c r="IT16" t="e">
        <f>AND(Sheet1!H216,"AAAAAF1X//0=")</f>
        <v>#VALUE!</v>
      </c>
      <c r="IU16" t="e">
        <f>AND(Sheet1!I216,"AAAAAF1X//4=")</f>
        <v>#VALUE!</v>
      </c>
      <c r="IV16" t="e">
        <f>AND(Sheet1!J216,"AAAAAF1X//8=")</f>
        <v>#VALUE!</v>
      </c>
    </row>
    <row r="17" spans="1:256" x14ac:dyDescent="0.2">
      <c r="A17" t="e">
        <f>AND(Sheet1!K216,"AAAAABp7fwA=")</f>
        <v>#VALUE!</v>
      </c>
      <c r="B17" t="e">
        <f>AND(Sheet1!L216,"AAAAABp7fwE=")</f>
        <v>#VALUE!</v>
      </c>
      <c r="C17" t="e">
        <f>AND(Sheet1!M216,"AAAAABp7fwI=")</f>
        <v>#VALUE!</v>
      </c>
      <c r="D17" t="e">
        <f>AND(Sheet1!N216,"AAAAABp7fwM=")</f>
        <v>#VALUE!</v>
      </c>
      <c r="E17" t="e">
        <f>AND(Sheet1!#REF!,"AAAAABp7fwQ=")</f>
        <v>#REF!</v>
      </c>
      <c r="F17" t="e">
        <f>AND(Sheet1!#REF!,"AAAAABp7fwU=")</f>
        <v>#REF!</v>
      </c>
      <c r="G17" t="e">
        <f>AND(Sheet1!#REF!,"AAAAABp7fwY=")</f>
        <v>#REF!</v>
      </c>
      <c r="H17" t="e">
        <f>AND(Sheet1!#REF!,"AAAAABp7fwc=")</f>
        <v>#REF!</v>
      </c>
      <c r="I17" t="str">
        <f>IF(Sheet1!217:217,"AAAAABp7fwg=",0)</f>
        <v>AAAAABp7fwg=</v>
      </c>
      <c r="J17" t="e">
        <f>AND(Sheet1!A217,"AAAAABp7fwk=")</f>
        <v>#VALUE!</v>
      </c>
      <c r="K17" t="e">
        <f>AND(Sheet1!B217,"AAAAABp7fwo=")</f>
        <v>#VALUE!</v>
      </c>
      <c r="L17" t="e">
        <f>AND(Sheet1!C217,"AAAAABp7fws=")</f>
        <v>#VALUE!</v>
      </c>
      <c r="M17" t="e">
        <f>AND(Sheet1!D217,"AAAAABp7fww=")</f>
        <v>#VALUE!</v>
      </c>
      <c r="N17" t="e">
        <f>AND(Sheet1!E217,"AAAAABp7fw0=")</f>
        <v>#VALUE!</v>
      </c>
      <c r="O17" t="e">
        <f>AND(Sheet1!F217,"AAAAABp7fw4=")</f>
        <v>#VALUE!</v>
      </c>
      <c r="P17" t="e">
        <f>AND(Sheet1!G217,"AAAAABp7fw8=")</f>
        <v>#VALUE!</v>
      </c>
      <c r="Q17" t="e">
        <f>AND(Sheet1!H217,"AAAAABp7fxA=")</f>
        <v>#VALUE!</v>
      </c>
      <c r="R17" t="e">
        <f>AND(Sheet1!I217,"AAAAABp7fxE=")</f>
        <v>#VALUE!</v>
      </c>
      <c r="S17" t="e">
        <f>AND(Sheet1!J217,"AAAAABp7fxI=")</f>
        <v>#VALUE!</v>
      </c>
      <c r="T17" t="e">
        <f>AND(Sheet1!K217,"AAAAABp7fxM=")</f>
        <v>#VALUE!</v>
      </c>
      <c r="U17" t="e">
        <f>AND(Sheet1!L217,"AAAAABp7fxQ=")</f>
        <v>#VALUE!</v>
      </c>
      <c r="V17" t="e">
        <f>AND(Sheet1!M217,"AAAAABp7fxU=")</f>
        <v>#VALUE!</v>
      </c>
      <c r="W17" t="e">
        <f>AND(Sheet1!N217,"AAAAABp7fxY=")</f>
        <v>#VALUE!</v>
      </c>
      <c r="X17" t="e">
        <f>AND(Sheet1!#REF!,"AAAAABp7fxc=")</f>
        <v>#REF!</v>
      </c>
      <c r="Y17" t="e">
        <f>AND(Sheet1!#REF!,"AAAAABp7fxg=")</f>
        <v>#REF!</v>
      </c>
      <c r="Z17" t="e">
        <f>AND(Sheet1!#REF!,"AAAAABp7fxk=")</f>
        <v>#REF!</v>
      </c>
      <c r="AA17" t="e">
        <f>AND(Sheet1!#REF!,"AAAAABp7fxo=")</f>
        <v>#REF!</v>
      </c>
      <c r="AB17">
        <f>IF(Sheet1!218:218,"AAAAABp7fxs=",0)</f>
        <v>0</v>
      </c>
      <c r="AC17" t="e">
        <f>AND(Sheet1!A218,"AAAAABp7fxw=")</f>
        <v>#VALUE!</v>
      </c>
      <c r="AD17" t="e">
        <f>AND(Sheet1!B218,"AAAAABp7fx0=")</f>
        <v>#VALUE!</v>
      </c>
      <c r="AE17" t="e">
        <f>AND(Sheet1!C218,"AAAAABp7fx4=")</f>
        <v>#VALUE!</v>
      </c>
      <c r="AF17" t="e">
        <f>AND(Sheet1!D218,"AAAAABp7fx8=")</f>
        <v>#VALUE!</v>
      </c>
      <c r="AG17" t="e">
        <f>AND(Sheet1!E218,"AAAAABp7fyA=")</f>
        <v>#VALUE!</v>
      </c>
      <c r="AH17" t="e">
        <f>AND(Sheet1!F218,"AAAAABp7fyE=")</f>
        <v>#VALUE!</v>
      </c>
      <c r="AI17" t="e">
        <f>AND(Sheet1!G218,"AAAAABp7fyI=")</f>
        <v>#VALUE!</v>
      </c>
      <c r="AJ17" t="e">
        <f>AND(Sheet1!H218,"AAAAABp7fyM=")</f>
        <v>#VALUE!</v>
      </c>
      <c r="AK17" t="e">
        <f>AND(Sheet1!I218,"AAAAABp7fyQ=")</f>
        <v>#VALUE!</v>
      </c>
      <c r="AL17" t="e">
        <f>AND(Sheet1!J218,"AAAAABp7fyU=")</f>
        <v>#VALUE!</v>
      </c>
      <c r="AM17" t="e">
        <f>AND(Sheet1!K218,"AAAAABp7fyY=")</f>
        <v>#VALUE!</v>
      </c>
      <c r="AN17" t="e">
        <f>AND(Sheet1!L218,"AAAAABp7fyc=")</f>
        <v>#VALUE!</v>
      </c>
      <c r="AO17" t="e">
        <f>AND(Sheet1!M218,"AAAAABp7fyg=")</f>
        <v>#VALUE!</v>
      </c>
      <c r="AP17" t="e">
        <f>AND(Sheet1!N218,"AAAAABp7fyk=")</f>
        <v>#VALUE!</v>
      </c>
      <c r="AQ17" t="e">
        <f>AND(Sheet1!#REF!,"AAAAABp7fyo=")</f>
        <v>#REF!</v>
      </c>
      <c r="AR17" t="e">
        <f>AND(Sheet1!#REF!,"AAAAABp7fys=")</f>
        <v>#REF!</v>
      </c>
      <c r="AS17" t="e">
        <f>AND(Sheet1!#REF!,"AAAAABp7fyw=")</f>
        <v>#REF!</v>
      </c>
      <c r="AT17" t="e">
        <f>AND(Sheet1!#REF!,"AAAAABp7fy0=")</f>
        <v>#REF!</v>
      </c>
      <c r="AU17">
        <f>IF(Sheet1!219:219,"AAAAABp7fy4=",0)</f>
        <v>0</v>
      </c>
      <c r="AV17" t="e">
        <f>AND(Sheet1!A219,"AAAAABp7fy8=")</f>
        <v>#VALUE!</v>
      </c>
      <c r="AW17" t="e">
        <f>AND(Sheet1!B219,"AAAAABp7fzA=")</f>
        <v>#VALUE!</v>
      </c>
      <c r="AX17" t="e">
        <f>AND(Sheet1!C219,"AAAAABp7fzE=")</f>
        <v>#VALUE!</v>
      </c>
      <c r="AY17" t="e">
        <f>AND(Sheet1!D219,"AAAAABp7fzI=")</f>
        <v>#VALUE!</v>
      </c>
      <c r="AZ17" t="e">
        <f>AND(Sheet1!E219,"AAAAABp7fzM=")</f>
        <v>#VALUE!</v>
      </c>
      <c r="BA17" t="e">
        <f>AND(Sheet1!F219,"AAAAABp7fzQ=")</f>
        <v>#VALUE!</v>
      </c>
      <c r="BB17" t="e">
        <f>AND(Sheet1!G219,"AAAAABp7fzU=")</f>
        <v>#VALUE!</v>
      </c>
      <c r="BC17" t="e">
        <f>AND(Sheet1!H219,"AAAAABp7fzY=")</f>
        <v>#VALUE!</v>
      </c>
      <c r="BD17" t="e">
        <f>AND(Sheet1!I219,"AAAAABp7fzc=")</f>
        <v>#VALUE!</v>
      </c>
      <c r="BE17" t="e">
        <f>AND(Sheet1!J219,"AAAAABp7fzg=")</f>
        <v>#VALUE!</v>
      </c>
      <c r="BF17" t="e">
        <f>AND(Sheet1!K219,"AAAAABp7fzk=")</f>
        <v>#VALUE!</v>
      </c>
      <c r="BG17" t="e">
        <f>AND(Sheet1!L219,"AAAAABp7fzo=")</f>
        <v>#VALUE!</v>
      </c>
      <c r="BH17" t="e">
        <f>AND(Sheet1!M219,"AAAAABp7fzs=")</f>
        <v>#VALUE!</v>
      </c>
      <c r="BI17" t="e">
        <f>AND(Sheet1!N219,"AAAAABp7fzw=")</f>
        <v>#VALUE!</v>
      </c>
      <c r="BJ17" t="e">
        <f>AND(Sheet1!#REF!,"AAAAABp7fz0=")</f>
        <v>#REF!</v>
      </c>
      <c r="BK17" t="e">
        <f>AND(Sheet1!#REF!,"AAAAABp7fz4=")</f>
        <v>#REF!</v>
      </c>
      <c r="BL17" t="e">
        <f>AND(Sheet1!#REF!,"AAAAABp7fz8=")</f>
        <v>#REF!</v>
      </c>
      <c r="BM17" t="e">
        <f>AND(Sheet1!#REF!,"AAAAABp7f0A=")</f>
        <v>#REF!</v>
      </c>
      <c r="BN17">
        <f>IF(Sheet1!220:220,"AAAAABp7f0E=",0)</f>
        <v>0</v>
      </c>
      <c r="BO17" t="e">
        <f>AND(Sheet1!A220,"AAAAABp7f0I=")</f>
        <v>#VALUE!</v>
      </c>
      <c r="BP17" t="e">
        <f>AND(Sheet1!B220,"AAAAABp7f0M=")</f>
        <v>#VALUE!</v>
      </c>
      <c r="BQ17" t="e">
        <f>AND(Sheet1!C220,"AAAAABp7f0Q=")</f>
        <v>#VALUE!</v>
      </c>
      <c r="BR17" t="e">
        <f>AND(Sheet1!D220,"AAAAABp7f0U=")</f>
        <v>#VALUE!</v>
      </c>
      <c r="BS17" t="e">
        <f>AND(Sheet1!E220,"AAAAABp7f0Y=")</f>
        <v>#VALUE!</v>
      </c>
      <c r="BT17" t="e">
        <f>AND(Sheet1!F220,"AAAAABp7f0c=")</f>
        <v>#VALUE!</v>
      </c>
      <c r="BU17" t="e">
        <f>AND(Sheet1!G220,"AAAAABp7f0g=")</f>
        <v>#VALUE!</v>
      </c>
      <c r="BV17" t="e">
        <f>AND(Sheet1!H220,"AAAAABp7f0k=")</f>
        <v>#VALUE!</v>
      </c>
      <c r="BW17" t="e">
        <f>AND(Sheet1!I220,"AAAAABp7f0o=")</f>
        <v>#VALUE!</v>
      </c>
      <c r="BX17" t="e">
        <f>AND(Sheet1!J220,"AAAAABp7f0s=")</f>
        <v>#VALUE!</v>
      </c>
      <c r="BY17" t="e">
        <f>AND(Sheet1!K220,"AAAAABp7f0w=")</f>
        <v>#VALUE!</v>
      </c>
      <c r="BZ17" t="e">
        <f>AND(Sheet1!L220,"AAAAABp7f00=")</f>
        <v>#VALUE!</v>
      </c>
      <c r="CA17" t="e">
        <f>AND(Sheet1!M220,"AAAAABp7f04=")</f>
        <v>#VALUE!</v>
      </c>
      <c r="CB17" t="e">
        <f>AND(Sheet1!N220,"AAAAABp7f08=")</f>
        <v>#VALUE!</v>
      </c>
      <c r="CC17" t="e">
        <f>AND(Sheet1!#REF!,"AAAAABp7f1A=")</f>
        <v>#REF!</v>
      </c>
      <c r="CD17" t="e">
        <f>AND(Sheet1!#REF!,"AAAAABp7f1E=")</f>
        <v>#REF!</v>
      </c>
      <c r="CE17" t="e">
        <f>AND(Sheet1!#REF!,"AAAAABp7f1I=")</f>
        <v>#REF!</v>
      </c>
      <c r="CF17" t="e">
        <f>AND(Sheet1!#REF!,"AAAAABp7f1M=")</f>
        <v>#REF!</v>
      </c>
      <c r="CG17">
        <f>IF(Sheet1!221:221,"AAAAABp7f1Q=",0)</f>
        <v>0</v>
      </c>
      <c r="CH17" t="e">
        <f>AND(Sheet1!A221,"AAAAABp7f1U=")</f>
        <v>#VALUE!</v>
      </c>
      <c r="CI17" t="e">
        <f>AND(Sheet1!B221,"AAAAABp7f1Y=")</f>
        <v>#VALUE!</v>
      </c>
      <c r="CJ17" t="e">
        <f>AND(Sheet1!C221,"AAAAABp7f1c=")</f>
        <v>#VALUE!</v>
      </c>
      <c r="CK17" t="e">
        <f>AND(Sheet1!D221,"AAAAABp7f1g=")</f>
        <v>#VALUE!</v>
      </c>
      <c r="CL17" t="e">
        <f>AND(Sheet1!E221,"AAAAABp7f1k=")</f>
        <v>#VALUE!</v>
      </c>
      <c r="CM17" t="e">
        <f>AND(Sheet1!F221,"AAAAABp7f1o=")</f>
        <v>#VALUE!</v>
      </c>
      <c r="CN17" t="e">
        <f>AND(Sheet1!G221,"AAAAABp7f1s=")</f>
        <v>#VALUE!</v>
      </c>
      <c r="CO17" t="e">
        <f>AND(Sheet1!H221,"AAAAABp7f1w=")</f>
        <v>#VALUE!</v>
      </c>
      <c r="CP17" t="e">
        <f>AND(Sheet1!I221,"AAAAABp7f10=")</f>
        <v>#VALUE!</v>
      </c>
      <c r="CQ17" t="e">
        <f>AND(Sheet1!J221,"AAAAABp7f14=")</f>
        <v>#VALUE!</v>
      </c>
      <c r="CR17" t="e">
        <f>AND(Sheet1!K221,"AAAAABp7f18=")</f>
        <v>#VALUE!</v>
      </c>
      <c r="CS17" t="e">
        <f>AND(Sheet1!L221,"AAAAABp7f2A=")</f>
        <v>#VALUE!</v>
      </c>
      <c r="CT17" t="e">
        <f>AND(Sheet1!M221,"AAAAABp7f2E=")</f>
        <v>#VALUE!</v>
      </c>
      <c r="CU17" t="e">
        <f>AND(Sheet1!N221,"AAAAABp7f2I=")</f>
        <v>#VALUE!</v>
      </c>
      <c r="CV17" t="e">
        <f>AND(Sheet1!#REF!,"AAAAABp7f2M=")</f>
        <v>#REF!</v>
      </c>
      <c r="CW17" t="e">
        <f>AND(Sheet1!#REF!,"AAAAABp7f2Q=")</f>
        <v>#REF!</v>
      </c>
      <c r="CX17" t="e">
        <f>AND(Sheet1!#REF!,"AAAAABp7f2U=")</f>
        <v>#REF!</v>
      </c>
      <c r="CY17" t="e">
        <f>AND(Sheet1!#REF!,"AAAAABp7f2Y=")</f>
        <v>#REF!</v>
      </c>
      <c r="CZ17">
        <f>IF(Sheet1!222:222,"AAAAABp7f2c=",0)</f>
        <v>0</v>
      </c>
      <c r="DA17" t="e">
        <f>AND(Sheet1!A222,"AAAAABp7f2g=")</f>
        <v>#VALUE!</v>
      </c>
      <c r="DB17" t="e">
        <f>AND(Sheet1!B222,"AAAAABp7f2k=")</f>
        <v>#VALUE!</v>
      </c>
      <c r="DC17" t="e">
        <f>AND(Sheet1!C222,"AAAAABp7f2o=")</f>
        <v>#VALUE!</v>
      </c>
      <c r="DD17" t="e">
        <f>AND(Sheet1!D222,"AAAAABp7f2s=")</f>
        <v>#VALUE!</v>
      </c>
      <c r="DE17" t="e">
        <f>AND(Sheet1!E222,"AAAAABp7f2w=")</f>
        <v>#VALUE!</v>
      </c>
      <c r="DF17" t="e">
        <f>AND(Sheet1!F222,"AAAAABp7f20=")</f>
        <v>#VALUE!</v>
      </c>
      <c r="DG17" t="e">
        <f>AND(Sheet1!G222,"AAAAABp7f24=")</f>
        <v>#VALUE!</v>
      </c>
      <c r="DH17" t="e">
        <f>AND(Sheet1!H222,"AAAAABp7f28=")</f>
        <v>#VALUE!</v>
      </c>
      <c r="DI17" t="e">
        <f>AND(Sheet1!I222,"AAAAABp7f3A=")</f>
        <v>#VALUE!</v>
      </c>
      <c r="DJ17" t="e">
        <f>AND(Sheet1!J222,"AAAAABp7f3E=")</f>
        <v>#VALUE!</v>
      </c>
      <c r="DK17" t="e">
        <f>AND(Sheet1!K222,"AAAAABp7f3I=")</f>
        <v>#VALUE!</v>
      </c>
      <c r="DL17" t="e">
        <f>AND(Sheet1!L222,"AAAAABp7f3M=")</f>
        <v>#VALUE!</v>
      </c>
      <c r="DM17" t="e">
        <f>AND(Sheet1!M222,"AAAAABp7f3Q=")</f>
        <v>#VALUE!</v>
      </c>
      <c r="DN17" t="e">
        <f>AND(Sheet1!N222,"AAAAABp7f3U=")</f>
        <v>#VALUE!</v>
      </c>
      <c r="DO17" t="e">
        <f>AND(Sheet1!#REF!,"AAAAABp7f3Y=")</f>
        <v>#REF!</v>
      </c>
      <c r="DP17" t="e">
        <f>AND(Sheet1!#REF!,"AAAAABp7f3c=")</f>
        <v>#REF!</v>
      </c>
      <c r="DQ17" t="e">
        <f>AND(Sheet1!#REF!,"AAAAABp7f3g=")</f>
        <v>#REF!</v>
      </c>
      <c r="DR17" t="e">
        <f>AND(Sheet1!#REF!,"AAAAABp7f3k=")</f>
        <v>#REF!</v>
      </c>
      <c r="DS17">
        <f>IF(Sheet1!223:223,"AAAAABp7f3o=",0)</f>
        <v>0</v>
      </c>
      <c r="DT17" t="e">
        <f>AND(Sheet1!A223,"AAAAABp7f3s=")</f>
        <v>#VALUE!</v>
      </c>
      <c r="DU17" t="e">
        <f>AND(Sheet1!B223,"AAAAABp7f3w=")</f>
        <v>#VALUE!</v>
      </c>
      <c r="DV17" t="e">
        <f>AND(Sheet1!C223,"AAAAABp7f30=")</f>
        <v>#VALUE!</v>
      </c>
      <c r="DW17" t="e">
        <f>AND(Sheet1!D223,"AAAAABp7f34=")</f>
        <v>#VALUE!</v>
      </c>
      <c r="DX17" t="e">
        <f>AND(Sheet1!E223,"AAAAABp7f38=")</f>
        <v>#VALUE!</v>
      </c>
      <c r="DY17" t="e">
        <f>AND(Sheet1!F223,"AAAAABp7f4A=")</f>
        <v>#VALUE!</v>
      </c>
      <c r="DZ17" t="e">
        <f>AND(Sheet1!G223,"AAAAABp7f4E=")</f>
        <v>#VALUE!</v>
      </c>
      <c r="EA17" t="e">
        <f>AND(Sheet1!H223,"AAAAABp7f4I=")</f>
        <v>#VALUE!</v>
      </c>
      <c r="EB17" t="e">
        <f>AND(Sheet1!I223,"AAAAABp7f4M=")</f>
        <v>#VALUE!</v>
      </c>
      <c r="EC17" t="e">
        <f>AND(Sheet1!J223,"AAAAABp7f4Q=")</f>
        <v>#VALUE!</v>
      </c>
      <c r="ED17" t="e">
        <f>AND(Sheet1!K223,"AAAAABp7f4U=")</f>
        <v>#VALUE!</v>
      </c>
      <c r="EE17" t="e">
        <f>AND(Sheet1!L223,"AAAAABp7f4Y=")</f>
        <v>#VALUE!</v>
      </c>
      <c r="EF17" t="e">
        <f>AND(Sheet1!M223,"AAAAABp7f4c=")</f>
        <v>#VALUE!</v>
      </c>
      <c r="EG17" t="e">
        <f>AND(Sheet1!N223,"AAAAABp7f4g=")</f>
        <v>#VALUE!</v>
      </c>
      <c r="EH17" t="e">
        <f>AND(Sheet1!#REF!,"AAAAABp7f4k=")</f>
        <v>#REF!</v>
      </c>
      <c r="EI17" t="e">
        <f>AND(Sheet1!#REF!,"AAAAABp7f4o=")</f>
        <v>#REF!</v>
      </c>
      <c r="EJ17" t="e">
        <f>AND(Sheet1!#REF!,"AAAAABp7f4s=")</f>
        <v>#REF!</v>
      </c>
      <c r="EK17" t="e">
        <f>AND(Sheet1!#REF!,"AAAAABp7f4w=")</f>
        <v>#REF!</v>
      </c>
      <c r="EL17">
        <f>IF(Sheet1!224:224,"AAAAABp7f40=",0)</f>
        <v>0</v>
      </c>
      <c r="EM17" t="e">
        <f>AND(Sheet1!A224,"AAAAABp7f44=")</f>
        <v>#VALUE!</v>
      </c>
      <c r="EN17" t="e">
        <f>AND(Sheet1!B224,"AAAAABp7f48=")</f>
        <v>#VALUE!</v>
      </c>
      <c r="EO17" t="e">
        <f>AND(Sheet1!C224,"AAAAABp7f5A=")</f>
        <v>#VALUE!</v>
      </c>
      <c r="EP17" t="e">
        <f>AND(Sheet1!D224,"AAAAABp7f5E=")</f>
        <v>#VALUE!</v>
      </c>
      <c r="EQ17" t="e">
        <f>AND(Sheet1!E224,"AAAAABp7f5I=")</f>
        <v>#VALUE!</v>
      </c>
      <c r="ER17" t="e">
        <f>AND(Sheet1!F224,"AAAAABp7f5M=")</f>
        <v>#VALUE!</v>
      </c>
      <c r="ES17" t="e">
        <f>AND(Sheet1!G224,"AAAAABp7f5Q=")</f>
        <v>#VALUE!</v>
      </c>
      <c r="ET17" t="e">
        <f>AND(Sheet1!H224,"AAAAABp7f5U=")</f>
        <v>#VALUE!</v>
      </c>
      <c r="EU17" t="e">
        <f>AND(Sheet1!I224,"AAAAABp7f5Y=")</f>
        <v>#VALUE!</v>
      </c>
      <c r="EV17" t="e">
        <f>AND(Sheet1!J224,"AAAAABp7f5c=")</f>
        <v>#VALUE!</v>
      </c>
      <c r="EW17" t="e">
        <f>AND(Sheet1!K224,"AAAAABp7f5g=")</f>
        <v>#VALUE!</v>
      </c>
      <c r="EX17" t="e">
        <f>AND(Sheet1!L224,"AAAAABp7f5k=")</f>
        <v>#VALUE!</v>
      </c>
      <c r="EY17" t="e">
        <f>AND(Sheet1!M224,"AAAAABp7f5o=")</f>
        <v>#VALUE!</v>
      </c>
      <c r="EZ17" t="e">
        <f>AND(Sheet1!N224,"AAAAABp7f5s=")</f>
        <v>#VALUE!</v>
      </c>
      <c r="FA17" t="e">
        <f>AND(Sheet1!#REF!,"AAAAABp7f5w=")</f>
        <v>#REF!</v>
      </c>
      <c r="FB17" t="e">
        <f>AND(Sheet1!#REF!,"AAAAABp7f50=")</f>
        <v>#REF!</v>
      </c>
      <c r="FC17" t="e">
        <f>AND(Sheet1!#REF!,"AAAAABp7f54=")</f>
        <v>#REF!</v>
      </c>
      <c r="FD17" t="e">
        <f>AND(Sheet1!#REF!,"AAAAABp7f58=")</f>
        <v>#REF!</v>
      </c>
      <c r="FE17">
        <f>IF(Sheet1!225:225,"AAAAABp7f6A=",0)</f>
        <v>0</v>
      </c>
      <c r="FF17" t="e">
        <f>AND(Sheet1!A225,"AAAAABp7f6E=")</f>
        <v>#VALUE!</v>
      </c>
      <c r="FG17" t="e">
        <f>AND(Sheet1!B225,"AAAAABp7f6I=")</f>
        <v>#VALUE!</v>
      </c>
      <c r="FH17" t="e">
        <f>AND(Sheet1!C225,"AAAAABp7f6M=")</f>
        <v>#VALUE!</v>
      </c>
      <c r="FI17" t="e">
        <f>AND(Sheet1!D225,"AAAAABp7f6Q=")</f>
        <v>#VALUE!</v>
      </c>
      <c r="FJ17" t="e">
        <f>AND(Sheet1!E225,"AAAAABp7f6U=")</f>
        <v>#VALUE!</v>
      </c>
      <c r="FK17" t="e">
        <f>AND(Sheet1!F225,"AAAAABp7f6Y=")</f>
        <v>#VALUE!</v>
      </c>
      <c r="FL17" t="e">
        <f>AND(Sheet1!G225,"AAAAABp7f6c=")</f>
        <v>#VALUE!</v>
      </c>
      <c r="FM17" t="e">
        <f>AND(Sheet1!H225,"AAAAABp7f6g=")</f>
        <v>#VALUE!</v>
      </c>
      <c r="FN17" t="e">
        <f>AND(Sheet1!I225,"AAAAABp7f6k=")</f>
        <v>#VALUE!</v>
      </c>
      <c r="FO17" t="e">
        <f>AND(Sheet1!J225,"AAAAABp7f6o=")</f>
        <v>#VALUE!</v>
      </c>
      <c r="FP17" t="e">
        <f>AND(Sheet1!K225,"AAAAABp7f6s=")</f>
        <v>#VALUE!</v>
      </c>
      <c r="FQ17" t="e">
        <f>AND(Sheet1!L225,"AAAAABp7f6w=")</f>
        <v>#VALUE!</v>
      </c>
      <c r="FR17" t="e">
        <f>AND(Sheet1!M225,"AAAAABp7f60=")</f>
        <v>#VALUE!</v>
      </c>
      <c r="FS17" t="e">
        <f>AND(Sheet1!N225,"AAAAABp7f64=")</f>
        <v>#VALUE!</v>
      </c>
      <c r="FT17" t="e">
        <f>AND(Sheet1!#REF!,"AAAAABp7f68=")</f>
        <v>#REF!</v>
      </c>
      <c r="FU17" t="e">
        <f>AND(Sheet1!#REF!,"AAAAABp7f7A=")</f>
        <v>#REF!</v>
      </c>
      <c r="FV17" t="e">
        <f>AND(Sheet1!#REF!,"AAAAABp7f7E=")</f>
        <v>#REF!</v>
      </c>
      <c r="FW17" t="e">
        <f>AND(Sheet1!#REF!,"AAAAABp7f7I=")</f>
        <v>#REF!</v>
      </c>
      <c r="FX17">
        <f>IF(Sheet1!226:226,"AAAAABp7f7M=",0)</f>
        <v>0</v>
      </c>
      <c r="FY17" t="e">
        <f>AND(Sheet1!A226,"AAAAABp7f7Q=")</f>
        <v>#VALUE!</v>
      </c>
      <c r="FZ17" t="e">
        <f>AND(Sheet1!B226,"AAAAABp7f7U=")</f>
        <v>#VALUE!</v>
      </c>
      <c r="GA17" t="e">
        <f>AND(Sheet1!C226,"AAAAABp7f7Y=")</f>
        <v>#VALUE!</v>
      </c>
      <c r="GB17" t="e">
        <f>AND(Sheet1!D226,"AAAAABp7f7c=")</f>
        <v>#VALUE!</v>
      </c>
      <c r="GC17" t="e">
        <f>AND(Sheet1!E226,"AAAAABp7f7g=")</f>
        <v>#VALUE!</v>
      </c>
      <c r="GD17" t="e">
        <f>AND(Sheet1!F226,"AAAAABp7f7k=")</f>
        <v>#VALUE!</v>
      </c>
      <c r="GE17" t="e">
        <f>AND(Sheet1!G226,"AAAAABp7f7o=")</f>
        <v>#VALUE!</v>
      </c>
      <c r="GF17" t="e">
        <f>AND(Sheet1!H226,"AAAAABp7f7s=")</f>
        <v>#VALUE!</v>
      </c>
      <c r="GG17" t="e">
        <f>AND(Sheet1!I226,"AAAAABp7f7w=")</f>
        <v>#VALUE!</v>
      </c>
      <c r="GH17" t="e">
        <f>AND(Sheet1!J226,"AAAAABp7f70=")</f>
        <v>#VALUE!</v>
      </c>
      <c r="GI17" t="e">
        <f>AND(Sheet1!K226,"AAAAABp7f74=")</f>
        <v>#VALUE!</v>
      </c>
      <c r="GJ17" t="e">
        <f>AND(Sheet1!L226,"AAAAABp7f78=")</f>
        <v>#VALUE!</v>
      </c>
      <c r="GK17" t="e">
        <f>AND(Sheet1!M226,"AAAAABp7f8A=")</f>
        <v>#VALUE!</v>
      </c>
      <c r="GL17" t="e">
        <f>AND(Sheet1!N226,"AAAAABp7f8E=")</f>
        <v>#VALUE!</v>
      </c>
      <c r="GM17" t="e">
        <f>AND(Sheet1!#REF!,"AAAAABp7f8I=")</f>
        <v>#REF!</v>
      </c>
      <c r="GN17" t="e">
        <f>AND(Sheet1!#REF!,"AAAAABp7f8M=")</f>
        <v>#REF!</v>
      </c>
      <c r="GO17" t="e">
        <f>AND(Sheet1!#REF!,"AAAAABp7f8Q=")</f>
        <v>#REF!</v>
      </c>
      <c r="GP17" t="e">
        <f>AND(Sheet1!#REF!,"AAAAABp7f8U=")</f>
        <v>#REF!</v>
      </c>
      <c r="GQ17">
        <f>IF(Sheet1!227:227,"AAAAABp7f8Y=",0)</f>
        <v>0</v>
      </c>
      <c r="GR17" t="e">
        <f>AND(Sheet1!A227,"AAAAABp7f8c=")</f>
        <v>#VALUE!</v>
      </c>
      <c r="GS17" t="e">
        <f>AND(Sheet1!B227,"AAAAABp7f8g=")</f>
        <v>#VALUE!</v>
      </c>
      <c r="GT17" t="e">
        <f>AND(Sheet1!C227,"AAAAABp7f8k=")</f>
        <v>#VALUE!</v>
      </c>
      <c r="GU17" t="e">
        <f>AND(Sheet1!D227,"AAAAABp7f8o=")</f>
        <v>#VALUE!</v>
      </c>
      <c r="GV17" t="e">
        <f>AND(Sheet1!E227,"AAAAABp7f8s=")</f>
        <v>#VALUE!</v>
      </c>
      <c r="GW17" t="e">
        <f>AND(Sheet1!F227,"AAAAABp7f8w=")</f>
        <v>#VALUE!</v>
      </c>
      <c r="GX17" t="e">
        <f>AND(Sheet1!G227,"AAAAABp7f80=")</f>
        <v>#VALUE!</v>
      </c>
      <c r="GY17" t="e">
        <f>AND(Sheet1!H227,"AAAAABp7f84=")</f>
        <v>#VALUE!</v>
      </c>
      <c r="GZ17" t="e">
        <f>AND(Sheet1!I227,"AAAAABp7f88=")</f>
        <v>#VALUE!</v>
      </c>
      <c r="HA17" t="e">
        <f>AND(Sheet1!J227,"AAAAABp7f9A=")</f>
        <v>#VALUE!</v>
      </c>
      <c r="HB17" t="e">
        <f>AND(Sheet1!K227,"AAAAABp7f9E=")</f>
        <v>#VALUE!</v>
      </c>
      <c r="HC17" t="e">
        <f>AND(Sheet1!L227,"AAAAABp7f9I=")</f>
        <v>#VALUE!</v>
      </c>
      <c r="HD17" t="e">
        <f>AND(Sheet1!M227,"AAAAABp7f9M=")</f>
        <v>#VALUE!</v>
      </c>
      <c r="HE17" t="e">
        <f>AND(Sheet1!N227,"AAAAABp7f9Q=")</f>
        <v>#VALUE!</v>
      </c>
      <c r="HF17" t="e">
        <f>AND(Sheet1!#REF!,"AAAAABp7f9U=")</f>
        <v>#REF!</v>
      </c>
      <c r="HG17" t="e">
        <f>AND(Sheet1!#REF!,"AAAAABp7f9Y=")</f>
        <v>#REF!</v>
      </c>
      <c r="HH17" t="e">
        <f>AND(Sheet1!#REF!,"AAAAABp7f9c=")</f>
        <v>#REF!</v>
      </c>
      <c r="HI17" t="e">
        <f>AND(Sheet1!#REF!,"AAAAABp7f9g=")</f>
        <v>#REF!</v>
      </c>
      <c r="HJ17">
        <f>IF(Sheet1!228:228,"AAAAABp7f9k=",0)</f>
        <v>0</v>
      </c>
      <c r="HK17" t="e">
        <f>AND(Sheet1!A228,"AAAAABp7f9o=")</f>
        <v>#VALUE!</v>
      </c>
      <c r="HL17" t="e">
        <f>AND(Sheet1!B228,"AAAAABp7f9s=")</f>
        <v>#VALUE!</v>
      </c>
      <c r="HM17" t="e">
        <f>AND(Sheet1!C228,"AAAAABp7f9w=")</f>
        <v>#VALUE!</v>
      </c>
      <c r="HN17" t="e">
        <f>AND(Sheet1!D228,"AAAAABp7f90=")</f>
        <v>#VALUE!</v>
      </c>
      <c r="HO17" t="e">
        <f>AND(Sheet1!E228,"AAAAABp7f94=")</f>
        <v>#VALUE!</v>
      </c>
      <c r="HP17" t="e">
        <f>AND(Sheet1!F228,"AAAAABp7f98=")</f>
        <v>#VALUE!</v>
      </c>
      <c r="HQ17" t="e">
        <f>AND(Sheet1!G228,"AAAAABp7f+A=")</f>
        <v>#VALUE!</v>
      </c>
      <c r="HR17" t="e">
        <f>AND(Sheet1!H228,"AAAAABp7f+E=")</f>
        <v>#VALUE!</v>
      </c>
      <c r="HS17" t="e">
        <f>AND(Sheet1!I228,"AAAAABp7f+I=")</f>
        <v>#VALUE!</v>
      </c>
      <c r="HT17" t="e">
        <f>AND(Sheet1!J228,"AAAAABp7f+M=")</f>
        <v>#VALUE!</v>
      </c>
      <c r="HU17" t="e">
        <f>AND(Sheet1!K228,"AAAAABp7f+Q=")</f>
        <v>#VALUE!</v>
      </c>
      <c r="HV17" t="e">
        <f>AND(Sheet1!L228,"AAAAABp7f+U=")</f>
        <v>#VALUE!</v>
      </c>
      <c r="HW17" t="e">
        <f>AND(Sheet1!M228,"AAAAABp7f+Y=")</f>
        <v>#VALUE!</v>
      </c>
      <c r="HX17" t="e">
        <f>AND(Sheet1!N228,"AAAAABp7f+c=")</f>
        <v>#VALUE!</v>
      </c>
      <c r="HY17" t="e">
        <f>AND(Sheet1!#REF!,"AAAAABp7f+g=")</f>
        <v>#REF!</v>
      </c>
      <c r="HZ17" t="e">
        <f>AND(Sheet1!#REF!,"AAAAABp7f+k=")</f>
        <v>#REF!</v>
      </c>
      <c r="IA17" t="e">
        <f>AND(Sheet1!#REF!,"AAAAABp7f+o=")</f>
        <v>#REF!</v>
      </c>
      <c r="IB17" t="e">
        <f>AND(Sheet1!#REF!,"AAAAABp7f+s=")</f>
        <v>#REF!</v>
      </c>
      <c r="IC17">
        <f>IF(Sheet1!229:229,"AAAAABp7f+w=",0)</f>
        <v>0</v>
      </c>
      <c r="ID17" t="e">
        <f>AND(Sheet1!A229,"AAAAABp7f+0=")</f>
        <v>#VALUE!</v>
      </c>
      <c r="IE17" t="e">
        <f>AND(Sheet1!B229,"AAAAABp7f+4=")</f>
        <v>#VALUE!</v>
      </c>
      <c r="IF17" t="e">
        <f>AND(Sheet1!C229,"AAAAABp7f+8=")</f>
        <v>#VALUE!</v>
      </c>
      <c r="IG17" t="e">
        <f>AND(Sheet1!D229,"AAAAABp7f/A=")</f>
        <v>#VALUE!</v>
      </c>
      <c r="IH17" t="e">
        <f>AND(Sheet1!E229,"AAAAABp7f/E=")</f>
        <v>#VALUE!</v>
      </c>
      <c r="II17" t="e">
        <f>AND(Sheet1!F229,"AAAAABp7f/I=")</f>
        <v>#VALUE!</v>
      </c>
      <c r="IJ17" t="e">
        <f>AND(Sheet1!G229,"AAAAABp7f/M=")</f>
        <v>#VALUE!</v>
      </c>
      <c r="IK17" t="e">
        <f>AND(Sheet1!H229,"AAAAABp7f/Q=")</f>
        <v>#VALUE!</v>
      </c>
      <c r="IL17" t="e">
        <f>AND(Sheet1!I229,"AAAAABp7f/U=")</f>
        <v>#VALUE!</v>
      </c>
      <c r="IM17" t="e">
        <f>AND(Sheet1!J229,"AAAAABp7f/Y=")</f>
        <v>#VALUE!</v>
      </c>
      <c r="IN17" t="e">
        <f>AND(Sheet1!K229,"AAAAABp7f/c=")</f>
        <v>#VALUE!</v>
      </c>
      <c r="IO17" t="e">
        <f>AND(Sheet1!L229,"AAAAABp7f/g=")</f>
        <v>#VALUE!</v>
      </c>
      <c r="IP17" t="e">
        <f>AND(Sheet1!M229,"AAAAABp7f/k=")</f>
        <v>#VALUE!</v>
      </c>
      <c r="IQ17" t="e">
        <f>AND(Sheet1!N229,"AAAAABp7f/o=")</f>
        <v>#VALUE!</v>
      </c>
      <c r="IR17" t="e">
        <f>AND(Sheet1!#REF!,"AAAAABp7f/s=")</f>
        <v>#REF!</v>
      </c>
      <c r="IS17" t="e">
        <f>AND(Sheet1!#REF!,"AAAAABp7f/w=")</f>
        <v>#REF!</v>
      </c>
      <c r="IT17" t="e">
        <f>AND(Sheet1!#REF!,"AAAAABp7f/0=")</f>
        <v>#REF!</v>
      </c>
      <c r="IU17" t="e">
        <f>AND(Sheet1!#REF!,"AAAAABp7f/4=")</f>
        <v>#REF!</v>
      </c>
      <c r="IV17">
        <f>IF(Sheet1!230:230,"AAAAABp7f/8=",0)</f>
        <v>0</v>
      </c>
    </row>
    <row r="18" spans="1:256" x14ac:dyDescent="0.2">
      <c r="A18" t="e">
        <f>AND(Sheet1!A230,"AAAAAHn/tQA=")</f>
        <v>#VALUE!</v>
      </c>
      <c r="B18" t="e">
        <f>AND(Sheet1!B230,"AAAAAHn/tQE=")</f>
        <v>#VALUE!</v>
      </c>
      <c r="C18" t="e">
        <f>AND(Sheet1!C230,"AAAAAHn/tQI=")</f>
        <v>#VALUE!</v>
      </c>
      <c r="D18" t="e">
        <f>AND(Sheet1!D230,"AAAAAHn/tQM=")</f>
        <v>#VALUE!</v>
      </c>
      <c r="E18" t="e">
        <f>AND(Sheet1!E230,"AAAAAHn/tQQ=")</f>
        <v>#VALUE!</v>
      </c>
      <c r="F18" t="e">
        <f>AND(Sheet1!F230,"AAAAAHn/tQU=")</f>
        <v>#VALUE!</v>
      </c>
      <c r="G18" t="e">
        <f>AND(Sheet1!G230,"AAAAAHn/tQY=")</f>
        <v>#VALUE!</v>
      </c>
      <c r="H18" t="e">
        <f>AND(Sheet1!H230,"AAAAAHn/tQc=")</f>
        <v>#VALUE!</v>
      </c>
      <c r="I18" t="e">
        <f>AND(Sheet1!I230,"AAAAAHn/tQg=")</f>
        <v>#VALUE!</v>
      </c>
      <c r="J18" t="e">
        <f>AND(Sheet1!J230,"AAAAAHn/tQk=")</f>
        <v>#VALUE!</v>
      </c>
      <c r="K18" t="e">
        <f>AND(Sheet1!K230,"AAAAAHn/tQo=")</f>
        <v>#VALUE!</v>
      </c>
      <c r="L18" t="e">
        <f>AND(Sheet1!L230,"AAAAAHn/tQs=")</f>
        <v>#VALUE!</v>
      </c>
      <c r="M18" t="e">
        <f>AND(Sheet1!M230,"AAAAAHn/tQw=")</f>
        <v>#VALUE!</v>
      </c>
      <c r="N18" t="e">
        <f>AND(Sheet1!N230,"AAAAAHn/tQ0=")</f>
        <v>#VALUE!</v>
      </c>
      <c r="O18" t="e">
        <f>AND(Sheet1!#REF!,"AAAAAHn/tQ4=")</f>
        <v>#REF!</v>
      </c>
      <c r="P18" t="e">
        <f>AND(Sheet1!#REF!,"AAAAAHn/tQ8=")</f>
        <v>#REF!</v>
      </c>
      <c r="Q18" t="e">
        <f>AND(Sheet1!#REF!,"AAAAAHn/tRA=")</f>
        <v>#REF!</v>
      </c>
      <c r="R18" t="e">
        <f>AND(Sheet1!#REF!,"AAAAAHn/tRE=")</f>
        <v>#REF!</v>
      </c>
      <c r="S18">
        <f>IF(Sheet1!231:231,"AAAAAHn/tRI=",0)</f>
        <v>0</v>
      </c>
      <c r="T18" t="e">
        <f>AND(Sheet1!A231,"AAAAAHn/tRM=")</f>
        <v>#VALUE!</v>
      </c>
      <c r="U18" t="e">
        <f>AND(Sheet1!B231,"AAAAAHn/tRQ=")</f>
        <v>#VALUE!</v>
      </c>
      <c r="V18" t="e">
        <f>AND(Sheet1!C231,"AAAAAHn/tRU=")</f>
        <v>#VALUE!</v>
      </c>
      <c r="W18" t="e">
        <f>AND(Sheet1!D231,"AAAAAHn/tRY=")</f>
        <v>#VALUE!</v>
      </c>
      <c r="X18" t="e">
        <f>AND(Sheet1!E231,"AAAAAHn/tRc=")</f>
        <v>#VALUE!</v>
      </c>
      <c r="Y18" t="e">
        <f>AND(Sheet1!F231,"AAAAAHn/tRg=")</f>
        <v>#VALUE!</v>
      </c>
      <c r="Z18" t="e">
        <f>AND(Sheet1!G231,"AAAAAHn/tRk=")</f>
        <v>#VALUE!</v>
      </c>
      <c r="AA18" t="e">
        <f>AND(Sheet1!H231,"AAAAAHn/tRo=")</f>
        <v>#VALUE!</v>
      </c>
      <c r="AB18" t="e">
        <f>AND(Sheet1!I231,"AAAAAHn/tRs=")</f>
        <v>#VALUE!</v>
      </c>
      <c r="AC18" t="e">
        <f>AND(Sheet1!J231,"AAAAAHn/tRw=")</f>
        <v>#VALUE!</v>
      </c>
      <c r="AD18" t="e">
        <f>AND(Sheet1!K231,"AAAAAHn/tR0=")</f>
        <v>#VALUE!</v>
      </c>
      <c r="AE18" t="e">
        <f>AND(Sheet1!L231,"AAAAAHn/tR4=")</f>
        <v>#VALUE!</v>
      </c>
      <c r="AF18" t="e">
        <f>AND(Sheet1!M231,"AAAAAHn/tR8=")</f>
        <v>#VALUE!</v>
      </c>
      <c r="AG18" t="e">
        <f>AND(Sheet1!N231,"AAAAAHn/tSA=")</f>
        <v>#VALUE!</v>
      </c>
      <c r="AH18" t="e">
        <f>AND(Sheet1!#REF!,"AAAAAHn/tSE=")</f>
        <v>#REF!</v>
      </c>
      <c r="AI18" t="e">
        <f>AND(Sheet1!#REF!,"AAAAAHn/tSI=")</f>
        <v>#REF!</v>
      </c>
      <c r="AJ18" t="e">
        <f>AND(Sheet1!#REF!,"AAAAAHn/tSM=")</f>
        <v>#REF!</v>
      </c>
      <c r="AK18" t="e">
        <f>AND(Sheet1!#REF!,"AAAAAHn/tSQ=")</f>
        <v>#REF!</v>
      </c>
      <c r="AL18">
        <f>IF(Sheet1!232:232,"AAAAAHn/tSU=",0)</f>
        <v>0</v>
      </c>
      <c r="AM18" t="e">
        <f>AND(Sheet1!A232,"AAAAAHn/tSY=")</f>
        <v>#VALUE!</v>
      </c>
      <c r="AN18" t="e">
        <f>AND(Sheet1!B232,"AAAAAHn/tSc=")</f>
        <v>#VALUE!</v>
      </c>
      <c r="AO18" t="e">
        <f>AND(Sheet1!C232,"AAAAAHn/tSg=")</f>
        <v>#VALUE!</v>
      </c>
      <c r="AP18" t="e">
        <f>AND(Sheet1!D232,"AAAAAHn/tSk=")</f>
        <v>#VALUE!</v>
      </c>
      <c r="AQ18" t="e">
        <f>AND(Sheet1!E232,"AAAAAHn/tSo=")</f>
        <v>#VALUE!</v>
      </c>
      <c r="AR18" t="e">
        <f>AND(Sheet1!F232,"AAAAAHn/tSs=")</f>
        <v>#VALUE!</v>
      </c>
      <c r="AS18" t="e">
        <f>AND(Sheet1!G232,"AAAAAHn/tSw=")</f>
        <v>#VALUE!</v>
      </c>
      <c r="AT18" t="e">
        <f>AND(Sheet1!H232,"AAAAAHn/tS0=")</f>
        <v>#VALUE!</v>
      </c>
      <c r="AU18" t="e">
        <f>AND(Sheet1!I232,"AAAAAHn/tS4=")</f>
        <v>#VALUE!</v>
      </c>
      <c r="AV18" t="e">
        <f>AND(Sheet1!J232,"AAAAAHn/tS8=")</f>
        <v>#VALUE!</v>
      </c>
      <c r="AW18" t="e">
        <f>AND(Sheet1!K232,"AAAAAHn/tTA=")</f>
        <v>#VALUE!</v>
      </c>
      <c r="AX18" t="e">
        <f>AND(Sheet1!L232,"AAAAAHn/tTE=")</f>
        <v>#VALUE!</v>
      </c>
      <c r="AY18" t="e">
        <f>AND(Sheet1!M232,"AAAAAHn/tTI=")</f>
        <v>#VALUE!</v>
      </c>
      <c r="AZ18" t="e">
        <f>AND(Sheet1!N232,"AAAAAHn/tTM=")</f>
        <v>#VALUE!</v>
      </c>
      <c r="BA18" t="e">
        <f>AND(Sheet1!#REF!,"AAAAAHn/tTQ=")</f>
        <v>#REF!</v>
      </c>
      <c r="BB18" t="e">
        <f>AND(Sheet1!#REF!,"AAAAAHn/tTU=")</f>
        <v>#REF!</v>
      </c>
      <c r="BC18" t="e">
        <f>AND(Sheet1!#REF!,"AAAAAHn/tTY=")</f>
        <v>#REF!</v>
      </c>
      <c r="BD18" t="e">
        <f>AND(Sheet1!#REF!,"AAAAAHn/tTc=")</f>
        <v>#REF!</v>
      </c>
      <c r="BE18">
        <f>IF(Sheet1!233:233,"AAAAAHn/tTg=",0)</f>
        <v>0</v>
      </c>
      <c r="BF18" t="e">
        <f>AND(Sheet1!A233,"AAAAAHn/tTk=")</f>
        <v>#VALUE!</v>
      </c>
      <c r="BG18" t="e">
        <f>AND(Sheet1!B233,"AAAAAHn/tTo=")</f>
        <v>#VALUE!</v>
      </c>
      <c r="BH18" t="e">
        <f>AND(Sheet1!C233,"AAAAAHn/tTs=")</f>
        <v>#VALUE!</v>
      </c>
      <c r="BI18" t="e">
        <f>AND(Sheet1!D233,"AAAAAHn/tTw=")</f>
        <v>#VALUE!</v>
      </c>
      <c r="BJ18" t="e">
        <f>AND(Sheet1!E233,"AAAAAHn/tT0=")</f>
        <v>#VALUE!</v>
      </c>
      <c r="BK18" t="e">
        <f>AND(Sheet1!F233,"AAAAAHn/tT4=")</f>
        <v>#VALUE!</v>
      </c>
      <c r="BL18" t="e">
        <f>AND(Sheet1!G233,"AAAAAHn/tT8=")</f>
        <v>#VALUE!</v>
      </c>
      <c r="BM18" t="e">
        <f>AND(Sheet1!H233,"AAAAAHn/tUA=")</f>
        <v>#VALUE!</v>
      </c>
      <c r="BN18" t="e">
        <f>AND(Sheet1!I233,"AAAAAHn/tUE=")</f>
        <v>#VALUE!</v>
      </c>
      <c r="BO18" t="e">
        <f>AND(Sheet1!J233,"AAAAAHn/tUI=")</f>
        <v>#VALUE!</v>
      </c>
      <c r="BP18" t="e">
        <f>AND(Sheet1!K233,"AAAAAHn/tUM=")</f>
        <v>#VALUE!</v>
      </c>
      <c r="BQ18" t="e">
        <f>AND(Sheet1!L233,"AAAAAHn/tUQ=")</f>
        <v>#VALUE!</v>
      </c>
      <c r="BR18" t="e">
        <f>AND(Sheet1!M233,"AAAAAHn/tUU=")</f>
        <v>#VALUE!</v>
      </c>
      <c r="BS18" t="e">
        <f>AND(Sheet1!N233,"AAAAAHn/tUY=")</f>
        <v>#VALUE!</v>
      </c>
      <c r="BT18" t="e">
        <f>AND(Sheet1!#REF!,"AAAAAHn/tUc=")</f>
        <v>#REF!</v>
      </c>
      <c r="BU18" t="e">
        <f>AND(Sheet1!#REF!,"AAAAAHn/tUg=")</f>
        <v>#REF!</v>
      </c>
      <c r="BV18" t="e">
        <f>AND(Sheet1!#REF!,"AAAAAHn/tUk=")</f>
        <v>#REF!</v>
      </c>
      <c r="BW18" t="e">
        <f>AND(Sheet1!#REF!,"AAAAAHn/tUo=")</f>
        <v>#REF!</v>
      </c>
      <c r="BX18">
        <f>IF(Sheet1!234:234,"AAAAAHn/tUs=",0)</f>
        <v>0</v>
      </c>
      <c r="BY18" t="e">
        <f>AND(Sheet1!A234,"AAAAAHn/tUw=")</f>
        <v>#VALUE!</v>
      </c>
      <c r="BZ18" t="e">
        <f>AND(Sheet1!B234,"AAAAAHn/tU0=")</f>
        <v>#VALUE!</v>
      </c>
      <c r="CA18" t="e">
        <f>AND(Sheet1!C234,"AAAAAHn/tU4=")</f>
        <v>#VALUE!</v>
      </c>
      <c r="CB18" t="e">
        <f>AND(Sheet1!D234,"AAAAAHn/tU8=")</f>
        <v>#VALUE!</v>
      </c>
      <c r="CC18" t="e">
        <f>AND(Sheet1!E234,"AAAAAHn/tVA=")</f>
        <v>#VALUE!</v>
      </c>
      <c r="CD18" t="e">
        <f>AND(Sheet1!F234,"AAAAAHn/tVE=")</f>
        <v>#VALUE!</v>
      </c>
      <c r="CE18" t="e">
        <f>AND(Sheet1!G234,"AAAAAHn/tVI=")</f>
        <v>#VALUE!</v>
      </c>
      <c r="CF18" t="e">
        <f>AND(Sheet1!H234,"AAAAAHn/tVM=")</f>
        <v>#VALUE!</v>
      </c>
      <c r="CG18" t="e">
        <f>AND(Sheet1!I234,"AAAAAHn/tVQ=")</f>
        <v>#VALUE!</v>
      </c>
      <c r="CH18" t="e">
        <f>AND(Sheet1!J234,"AAAAAHn/tVU=")</f>
        <v>#VALUE!</v>
      </c>
      <c r="CI18" t="e">
        <f>AND(Sheet1!K234,"AAAAAHn/tVY=")</f>
        <v>#VALUE!</v>
      </c>
      <c r="CJ18" t="e">
        <f>AND(Sheet1!L234,"AAAAAHn/tVc=")</f>
        <v>#VALUE!</v>
      </c>
      <c r="CK18" t="e">
        <f>AND(Sheet1!M234,"AAAAAHn/tVg=")</f>
        <v>#VALUE!</v>
      </c>
      <c r="CL18" t="e">
        <f>AND(Sheet1!N234,"AAAAAHn/tVk=")</f>
        <v>#VALUE!</v>
      </c>
      <c r="CM18" t="e">
        <f>AND(Sheet1!#REF!,"AAAAAHn/tVo=")</f>
        <v>#REF!</v>
      </c>
      <c r="CN18" t="e">
        <f>AND(Sheet1!#REF!,"AAAAAHn/tVs=")</f>
        <v>#REF!</v>
      </c>
      <c r="CO18" t="e">
        <f>AND(Sheet1!#REF!,"AAAAAHn/tVw=")</f>
        <v>#REF!</v>
      </c>
      <c r="CP18" t="e">
        <f>AND(Sheet1!#REF!,"AAAAAHn/tV0=")</f>
        <v>#REF!</v>
      </c>
      <c r="CQ18">
        <f>IF(Sheet1!235:235,"AAAAAHn/tV4=",0)</f>
        <v>0</v>
      </c>
      <c r="CR18" t="e">
        <f>AND(Sheet1!A235,"AAAAAHn/tV8=")</f>
        <v>#VALUE!</v>
      </c>
      <c r="CS18" t="e">
        <f>AND(Sheet1!B235,"AAAAAHn/tWA=")</f>
        <v>#VALUE!</v>
      </c>
      <c r="CT18" t="e">
        <f>AND(Sheet1!C235,"AAAAAHn/tWE=")</f>
        <v>#VALUE!</v>
      </c>
      <c r="CU18" t="e">
        <f>AND(Sheet1!D235,"AAAAAHn/tWI=")</f>
        <v>#VALUE!</v>
      </c>
      <c r="CV18" t="e">
        <f>AND(Sheet1!E235,"AAAAAHn/tWM=")</f>
        <v>#VALUE!</v>
      </c>
      <c r="CW18" t="e">
        <f>AND(Sheet1!F235,"AAAAAHn/tWQ=")</f>
        <v>#VALUE!</v>
      </c>
      <c r="CX18" t="e">
        <f>AND(Sheet1!G235,"AAAAAHn/tWU=")</f>
        <v>#VALUE!</v>
      </c>
      <c r="CY18" t="e">
        <f>AND(Sheet1!H235,"AAAAAHn/tWY=")</f>
        <v>#VALUE!</v>
      </c>
      <c r="CZ18" t="e">
        <f>AND(Sheet1!I235,"AAAAAHn/tWc=")</f>
        <v>#VALUE!</v>
      </c>
      <c r="DA18" t="e">
        <f>AND(Sheet1!J235,"AAAAAHn/tWg=")</f>
        <v>#VALUE!</v>
      </c>
      <c r="DB18" t="e">
        <f>AND(Sheet1!K235,"AAAAAHn/tWk=")</f>
        <v>#VALUE!</v>
      </c>
      <c r="DC18" t="e">
        <f>AND(Sheet1!L235,"AAAAAHn/tWo=")</f>
        <v>#VALUE!</v>
      </c>
      <c r="DD18" t="e">
        <f>AND(Sheet1!M235,"AAAAAHn/tWs=")</f>
        <v>#VALUE!</v>
      </c>
      <c r="DE18" t="e">
        <f>AND(Sheet1!N235,"AAAAAHn/tWw=")</f>
        <v>#VALUE!</v>
      </c>
      <c r="DF18" t="e">
        <f>AND(Sheet1!#REF!,"AAAAAHn/tW0=")</f>
        <v>#REF!</v>
      </c>
      <c r="DG18" t="e">
        <f>AND(Sheet1!#REF!,"AAAAAHn/tW4=")</f>
        <v>#REF!</v>
      </c>
      <c r="DH18" t="e">
        <f>AND(Sheet1!#REF!,"AAAAAHn/tW8=")</f>
        <v>#REF!</v>
      </c>
      <c r="DI18" t="e">
        <f>AND(Sheet1!#REF!,"AAAAAHn/tXA=")</f>
        <v>#REF!</v>
      </c>
      <c r="DJ18">
        <f>IF(Sheet1!236:236,"AAAAAHn/tXE=",0)</f>
        <v>0</v>
      </c>
      <c r="DK18" t="e">
        <f>AND(Sheet1!A236,"AAAAAHn/tXI=")</f>
        <v>#VALUE!</v>
      </c>
      <c r="DL18" t="e">
        <f>AND(Sheet1!B236,"AAAAAHn/tXM=")</f>
        <v>#VALUE!</v>
      </c>
      <c r="DM18" t="e">
        <f>AND(Sheet1!C236,"AAAAAHn/tXQ=")</f>
        <v>#VALUE!</v>
      </c>
      <c r="DN18" t="e">
        <f>AND(Sheet1!D236,"AAAAAHn/tXU=")</f>
        <v>#VALUE!</v>
      </c>
      <c r="DO18" t="e">
        <f>AND(Sheet1!E236,"AAAAAHn/tXY=")</f>
        <v>#VALUE!</v>
      </c>
      <c r="DP18" t="e">
        <f>AND(Sheet1!F236,"AAAAAHn/tXc=")</f>
        <v>#VALUE!</v>
      </c>
      <c r="DQ18" t="e">
        <f>AND(Sheet1!G236,"AAAAAHn/tXg=")</f>
        <v>#VALUE!</v>
      </c>
      <c r="DR18" t="e">
        <f>AND(Sheet1!H236,"AAAAAHn/tXk=")</f>
        <v>#VALUE!</v>
      </c>
      <c r="DS18" t="e">
        <f>AND(Sheet1!I236,"AAAAAHn/tXo=")</f>
        <v>#VALUE!</v>
      </c>
      <c r="DT18" t="e">
        <f>AND(Sheet1!J236,"AAAAAHn/tXs=")</f>
        <v>#VALUE!</v>
      </c>
      <c r="DU18" t="e">
        <f>AND(Sheet1!K236,"AAAAAHn/tXw=")</f>
        <v>#VALUE!</v>
      </c>
      <c r="DV18" t="e">
        <f>AND(Sheet1!L236,"AAAAAHn/tX0=")</f>
        <v>#VALUE!</v>
      </c>
      <c r="DW18" t="e">
        <f>AND(Sheet1!M236,"AAAAAHn/tX4=")</f>
        <v>#VALUE!</v>
      </c>
      <c r="DX18" t="e">
        <f>AND(Sheet1!N236,"AAAAAHn/tX8=")</f>
        <v>#VALUE!</v>
      </c>
      <c r="DY18" t="e">
        <f>AND(Sheet1!#REF!,"AAAAAHn/tYA=")</f>
        <v>#REF!</v>
      </c>
      <c r="DZ18" t="e">
        <f>AND(Sheet1!#REF!,"AAAAAHn/tYE=")</f>
        <v>#REF!</v>
      </c>
      <c r="EA18" t="e">
        <f>AND(Sheet1!#REF!,"AAAAAHn/tYI=")</f>
        <v>#REF!</v>
      </c>
      <c r="EB18" t="e">
        <f>AND(Sheet1!#REF!,"AAAAAHn/tYM=")</f>
        <v>#REF!</v>
      </c>
      <c r="EC18">
        <f>IF(Sheet1!237:237,"AAAAAHn/tYQ=",0)</f>
        <v>0</v>
      </c>
      <c r="ED18" t="e">
        <f>AND(Sheet1!A237,"AAAAAHn/tYU=")</f>
        <v>#VALUE!</v>
      </c>
      <c r="EE18" t="e">
        <f>AND(Sheet1!B237,"AAAAAHn/tYY=")</f>
        <v>#VALUE!</v>
      </c>
      <c r="EF18" t="e">
        <f>AND(Sheet1!C237,"AAAAAHn/tYc=")</f>
        <v>#VALUE!</v>
      </c>
      <c r="EG18" t="e">
        <f>AND(Sheet1!D237,"AAAAAHn/tYg=")</f>
        <v>#VALUE!</v>
      </c>
      <c r="EH18" t="e">
        <f>AND(Sheet1!E237,"AAAAAHn/tYk=")</f>
        <v>#VALUE!</v>
      </c>
      <c r="EI18" t="e">
        <f>AND(Sheet1!F237,"AAAAAHn/tYo=")</f>
        <v>#VALUE!</v>
      </c>
      <c r="EJ18" t="e">
        <f>AND(Sheet1!G237,"AAAAAHn/tYs=")</f>
        <v>#VALUE!</v>
      </c>
      <c r="EK18" t="e">
        <f>AND(Sheet1!H237,"AAAAAHn/tYw=")</f>
        <v>#VALUE!</v>
      </c>
      <c r="EL18" t="e">
        <f>AND(Sheet1!I237,"AAAAAHn/tY0=")</f>
        <v>#VALUE!</v>
      </c>
      <c r="EM18" t="e">
        <f>AND(Sheet1!J237,"AAAAAHn/tY4=")</f>
        <v>#VALUE!</v>
      </c>
      <c r="EN18" t="e">
        <f>AND(Sheet1!K237,"AAAAAHn/tY8=")</f>
        <v>#VALUE!</v>
      </c>
      <c r="EO18" t="e">
        <f>AND(Sheet1!L237,"AAAAAHn/tZA=")</f>
        <v>#VALUE!</v>
      </c>
      <c r="EP18" t="e">
        <f>AND(Sheet1!M237,"AAAAAHn/tZE=")</f>
        <v>#VALUE!</v>
      </c>
      <c r="EQ18" t="e">
        <f>AND(Sheet1!N237,"AAAAAHn/tZI=")</f>
        <v>#VALUE!</v>
      </c>
      <c r="ER18" t="e">
        <f>AND(Sheet1!#REF!,"AAAAAHn/tZM=")</f>
        <v>#REF!</v>
      </c>
      <c r="ES18" t="e">
        <f>AND(Sheet1!#REF!,"AAAAAHn/tZQ=")</f>
        <v>#REF!</v>
      </c>
      <c r="ET18" t="e">
        <f>AND(Sheet1!#REF!,"AAAAAHn/tZU=")</f>
        <v>#REF!</v>
      </c>
      <c r="EU18" t="e">
        <f>AND(Sheet1!#REF!,"AAAAAHn/tZY=")</f>
        <v>#REF!</v>
      </c>
      <c r="EV18">
        <f>IF(Sheet1!238:238,"AAAAAHn/tZc=",0)</f>
        <v>0</v>
      </c>
      <c r="EW18" t="e">
        <f>AND(Sheet1!A238,"AAAAAHn/tZg=")</f>
        <v>#VALUE!</v>
      </c>
      <c r="EX18" t="e">
        <f>AND(Sheet1!B238,"AAAAAHn/tZk=")</f>
        <v>#VALUE!</v>
      </c>
      <c r="EY18" t="e">
        <f>AND(Sheet1!C238,"AAAAAHn/tZo=")</f>
        <v>#VALUE!</v>
      </c>
      <c r="EZ18" t="e">
        <f>AND(Sheet1!D238,"AAAAAHn/tZs=")</f>
        <v>#VALUE!</v>
      </c>
      <c r="FA18" t="e">
        <f>AND(Sheet1!E238,"AAAAAHn/tZw=")</f>
        <v>#VALUE!</v>
      </c>
      <c r="FB18" t="e">
        <f>AND(Sheet1!F238,"AAAAAHn/tZ0=")</f>
        <v>#VALUE!</v>
      </c>
      <c r="FC18" t="e">
        <f>AND(Sheet1!G238,"AAAAAHn/tZ4=")</f>
        <v>#VALUE!</v>
      </c>
      <c r="FD18" t="e">
        <f>AND(Sheet1!H238,"AAAAAHn/tZ8=")</f>
        <v>#VALUE!</v>
      </c>
      <c r="FE18" t="e">
        <f>AND(Sheet1!I238,"AAAAAHn/taA=")</f>
        <v>#VALUE!</v>
      </c>
      <c r="FF18" t="e">
        <f>AND(Sheet1!J238,"AAAAAHn/taE=")</f>
        <v>#VALUE!</v>
      </c>
      <c r="FG18" t="e">
        <f>AND(Sheet1!K238,"AAAAAHn/taI=")</f>
        <v>#VALUE!</v>
      </c>
      <c r="FH18" t="e">
        <f>AND(Sheet1!L238,"AAAAAHn/taM=")</f>
        <v>#VALUE!</v>
      </c>
      <c r="FI18" t="e">
        <f>AND(Sheet1!M238,"AAAAAHn/taQ=")</f>
        <v>#VALUE!</v>
      </c>
      <c r="FJ18" t="e">
        <f>AND(Sheet1!N238,"AAAAAHn/taU=")</f>
        <v>#VALUE!</v>
      </c>
      <c r="FK18" t="e">
        <f>AND(Sheet1!#REF!,"AAAAAHn/taY=")</f>
        <v>#REF!</v>
      </c>
      <c r="FL18" t="e">
        <f>AND(Sheet1!#REF!,"AAAAAHn/tac=")</f>
        <v>#REF!</v>
      </c>
      <c r="FM18" t="e">
        <f>AND(Sheet1!#REF!,"AAAAAHn/tag=")</f>
        <v>#REF!</v>
      </c>
      <c r="FN18" t="e">
        <f>AND(Sheet1!#REF!,"AAAAAHn/tak=")</f>
        <v>#REF!</v>
      </c>
      <c r="FO18">
        <f>IF(Sheet1!239:239,"AAAAAHn/tao=",0)</f>
        <v>0</v>
      </c>
      <c r="FP18" t="e">
        <f>AND(Sheet1!A239,"AAAAAHn/tas=")</f>
        <v>#VALUE!</v>
      </c>
      <c r="FQ18" t="e">
        <f>AND(Sheet1!B239,"AAAAAHn/taw=")</f>
        <v>#VALUE!</v>
      </c>
      <c r="FR18" t="e">
        <f>AND(Sheet1!C239,"AAAAAHn/ta0=")</f>
        <v>#VALUE!</v>
      </c>
      <c r="FS18" t="e">
        <f>AND(Sheet1!D239,"AAAAAHn/ta4=")</f>
        <v>#VALUE!</v>
      </c>
      <c r="FT18" t="e">
        <f>AND(Sheet1!E239,"AAAAAHn/ta8=")</f>
        <v>#VALUE!</v>
      </c>
      <c r="FU18" t="e">
        <f>AND(Sheet1!F239,"AAAAAHn/tbA=")</f>
        <v>#VALUE!</v>
      </c>
      <c r="FV18" t="e">
        <f>AND(Sheet1!G239,"AAAAAHn/tbE=")</f>
        <v>#VALUE!</v>
      </c>
      <c r="FW18" t="e">
        <f>AND(Sheet1!H239,"AAAAAHn/tbI=")</f>
        <v>#VALUE!</v>
      </c>
      <c r="FX18" t="e">
        <f>AND(Sheet1!I239,"AAAAAHn/tbM=")</f>
        <v>#VALUE!</v>
      </c>
      <c r="FY18" t="e">
        <f>AND(Sheet1!J239,"AAAAAHn/tbQ=")</f>
        <v>#VALUE!</v>
      </c>
      <c r="FZ18" t="e">
        <f>AND(Sheet1!K239,"AAAAAHn/tbU=")</f>
        <v>#VALUE!</v>
      </c>
      <c r="GA18" t="e">
        <f>AND(Sheet1!L239,"AAAAAHn/tbY=")</f>
        <v>#VALUE!</v>
      </c>
      <c r="GB18" t="e">
        <f>AND(Sheet1!M239,"AAAAAHn/tbc=")</f>
        <v>#VALUE!</v>
      </c>
      <c r="GC18" t="e">
        <f>AND(Sheet1!N239,"AAAAAHn/tbg=")</f>
        <v>#VALUE!</v>
      </c>
      <c r="GD18" t="e">
        <f>AND(Sheet1!#REF!,"AAAAAHn/tbk=")</f>
        <v>#REF!</v>
      </c>
      <c r="GE18" t="e">
        <f>AND(Sheet1!#REF!,"AAAAAHn/tbo=")</f>
        <v>#REF!</v>
      </c>
      <c r="GF18" t="e">
        <f>AND(Sheet1!#REF!,"AAAAAHn/tbs=")</f>
        <v>#REF!</v>
      </c>
      <c r="GG18" t="e">
        <f>AND(Sheet1!#REF!,"AAAAAHn/tbw=")</f>
        <v>#REF!</v>
      </c>
      <c r="GH18">
        <f>IF(Sheet1!240:240,"AAAAAHn/tb0=",0)</f>
        <v>0</v>
      </c>
      <c r="GI18" t="e">
        <f>AND(Sheet1!A240,"AAAAAHn/tb4=")</f>
        <v>#VALUE!</v>
      </c>
      <c r="GJ18" t="e">
        <f>AND(Sheet1!B240,"AAAAAHn/tb8=")</f>
        <v>#VALUE!</v>
      </c>
      <c r="GK18" t="e">
        <f>AND(Sheet1!C240,"AAAAAHn/tcA=")</f>
        <v>#VALUE!</v>
      </c>
      <c r="GL18" t="e">
        <f>AND(Sheet1!D240,"AAAAAHn/tcE=")</f>
        <v>#VALUE!</v>
      </c>
      <c r="GM18" t="e">
        <f>AND(Sheet1!E240,"AAAAAHn/tcI=")</f>
        <v>#VALUE!</v>
      </c>
      <c r="GN18" t="e">
        <f>AND(Sheet1!F240,"AAAAAHn/tcM=")</f>
        <v>#VALUE!</v>
      </c>
      <c r="GO18" t="e">
        <f>AND(Sheet1!G240,"AAAAAHn/tcQ=")</f>
        <v>#VALUE!</v>
      </c>
      <c r="GP18" t="e">
        <f>AND(Sheet1!H240,"AAAAAHn/tcU=")</f>
        <v>#VALUE!</v>
      </c>
      <c r="GQ18" t="e">
        <f>AND(Sheet1!I240,"AAAAAHn/tcY=")</f>
        <v>#VALUE!</v>
      </c>
      <c r="GR18" t="e">
        <f>AND(Sheet1!J240,"AAAAAHn/tcc=")</f>
        <v>#VALUE!</v>
      </c>
      <c r="GS18" t="e">
        <f>AND(Sheet1!K240,"AAAAAHn/tcg=")</f>
        <v>#VALUE!</v>
      </c>
      <c r="GT18" t="e">
        <f>AND(Sheet1!L240,"AAAAAHn/tck=")</f>
        <v>#VALUE!</v>
      </c>
      <c r="GU18" t="e">
        <f>AND(Sheet1!M240,"AAAAAHn/tco=")</f>
        <v>#VALUE!</v>
      </c>
      <c r="GV18" t="e">
        <f>AND(Sheet1!N240,"AAAAAHn/tcs=")</f>
        <v>#VALUE!</v>
      </c>
      <c r="GW18" t="e">
        <f>AND(Sheet1!#REF!,"AAAAAHn/tcw=")</f>
        <v>#REF!</v>
      </c>
      <c r="GX18" t="e">
        <f>AND(Sheet1!#REF!,"AAAAAHn/tc0=")</f>
        <v>#REF!</v>
      </c>
      <c r="GY18" t="e">
        <f>AND(Sheet1!#REF!,"AAAAAHn/tc4=")</f>
        <v>#REF!</v>
      </c>
      <c r="GZ18" t="e">
        <f>AND(Sheet1!#REF!,"AAAAAHn/tc8=")</f>
        <v>#REF!</v>
      </c>
      <c r="HA18">
        <f>IF(Sheet1!241:241,"AAAAAHn/tdA=",0)</f>
        <v>0</v>
      </c>
      <c r="HB18" t="e">
        <f>AND(Sheet1!A241,"AAAAAHn/tdE=")</f>
        <v>#VALUE!</v>
      </c>
      <c r="HC18" t="e">
        <f>AND(Sheet1!B241,"AAAAAHn/tdI=")</f>
        <v>#VALUE!</v>
      </c>
      <c r="HD18" t="e">
        <f>AND(Sheet1!C241,"AAAAAHn/tdM=")</f>
        <v>#VALUE!</v>
      </c>
      <c r="HE18" t="e">
        <f>AND(Sheet1!D241,"AAAAAHn/tdQ=")</f>
        <v>#VALUE!</v>
      </c>
      <c r="HF18" t="e">
        <f>AND(Sheet1!E241,"AAAAAHn/tdU=")</f>
        <v>#VALUE!</v>
      </c>
      <c r="HG18" t="e">
        <f>AND(Sheet1!F241,"AAAAAHn/tdY=")</f>
        <v>#VALUE!</v>
      </c>
      <c r="HH18" t="e">
        <f>AND(Sheet1!G241,"AAAAAHn/tdc=")</f>
        <v>#VALUE!</v>
      </c>
      <c r="HI18" t="e">
        <f>AND(Sheet1!H241,"AAAAAHn/tdg=")</f>
        <v>#VALUE!</v>
      </c>
      <c r="HJ18" t="e">
        <f>AND(Sheet1!I241,"AAAAAHn/tdk=")</f>
        <v>#VALUE!</v>
      </c>
      <c r="HK18" t="e">
        <f>AND(Sheet1!J241,"AAAAAHn/tdo=")</f>
        <v>#VALUE!</v>
      </c>
      <c r="HL18" t="e">
        <f>AND(Sheet1!K241,"AAAAAHn/tds=")</f>
        <v>#VALUE!</v>
      </c>
      <c r="HM18" t="e">
        <f>AND(Sheet1!L241,"AAAAAHn/tdw=")</f>
        <v>#VALUE!</v>
      </c>
      <c r="HN18" t="e">
        <f>AND(Sheet1!M241,"AAAAAHn/td0=")</f>
        <v>#VALUE!</v>
      </c>
      <c r="HO18" t="e">
        <f>AND(Sheet1!N241,"AAAAAHn/td4=")</f>
        <v>#VALUE!</v>
      </c>
      <c r="HP18" t="e">
        <f>AND(Sheet1!#REF!,"AAAAAHn/td8=")</f>
        <v>#REF!</v>
      </c>
      <c r="HQ18" t="e">
        <f>AND(Sheet1!#REF!,"AAAAAHn/teA=")</f>
        <v>#REF!</v>
      </c>
      <c r="HR18" t="e">
        <f>AND(Sheet1!#REF!,"AAAAAHn/teE=")</f>
        <v>#REF!</v>
      </c>
      <c r="HS18" t="e">
        <f>AND(Sheet1!#REF!,"AAAAAHn/teI=")</f>
        <v>#REF!</v>
      </c>
      <c r="HT18">
        <f>IF(Sheet1!242:242,"AAAAAHn/teM=",0)</f>
        <v>0</v>
      </c>
      <c r="HU18" t="e">
        <f>AND(Sheet1!A242,"AAAAAHn/teQ=")</f>
        <v>#VALUE!</v>
      </c>
      <c r="HV18" t="e">
        <f>AND(Sheet1!B242,"AAAAAHn/teU=")</f>
        <v>#VALUE!</v>
      </c>
      <c r="HW18" t="e">
        <f>AND(Sheet1!C242,"AAAAAHn/teY=")</f>
        <v>#VALUE!</v>
      </c>
      <c r="HX18" t="e">
        <f>AND(Sheet1!D242,"AAAAAHn/tec=")</f>
        <v>#VALUE!</v>
      </c>
      <c r="HY18" t="e">
        <f>AND(Sheet1!E242,"AAAAAHn/teg=")</f>
        <v>#VALUE!</v>
      </c>
      <c r="HZ18" t="e">
        <f>AND(Sheet1!F242,"AAAAAHn/tek=")</f>
        <v>#VALUE!</v>
      </c>
      <c r="IA18" t="e">
        <f>AND(Sheet1!G242,"AAAAAHn/teo=")</f>
        <v>#VALUE!</v>
      </c>
      <c r="IB18" t="e">
        <f>AND(Sheet1!H242,"AAAAAHn/tes=")</f>
        <v>#VALUE!</v>
      </c>
      <c r="IC18" t="e">
        <f>AND(Sheet1!I242,"AAAAAHn/tew=")</f>
        <v>#VALUE!</v>
      </c>
      <c r="ID18" t="e">
        <f>AND(Sheet1!J242,"AAAAAHn/te0=")</f>
        <v>#VALUE!</v>
      </c>
      <c r="IE18" t="e">
        <f>AND(Sheet1!K242,"AAAAAHn/te4=")</f>
        <v>#VALUE!</v>
      </c>
      <c r="IF18" t="e">
        <f>AND(Sheet1!L242,"AAAAAHn/te8=")</f>
        <v>#VALUE!</v>
      </c>
      <c r="IG18" t="e">
        <f>AND(Sheet1!M242,"AAAAAHn/tfA=")</f>
        <v>#VALUE!</v>
      </c>
      <c r="IH18" t="e">
        <f>AND(Sheet1!N242,"AAAAAHn/tfE=")</f>
        <v>#VALUE!</v>
      </c>
      <c r="II18" t="e">
        <f>AND(Sheet1!#REF!,"AAAAAHn/tfI=")</f>
        <v>#REF!</v>
      </c>
      <c r="IJ18" t="e">
        <f>AND(Sheet1!#REF!,"AAAAAHn/tfM=")</f>
        <v>#REF!</v>
      </c>
      <c r="IK18" t="e">
        <f>AND(Sheet1!#REF!,"AAAAAHn/tfQ=")</f>
        <v>#REF!</v>
      </c>
      <c r="IL18" t="e">
        <f>AND(Sheet1!#REF!,"AAAAAHn/tfU=")</f>
        <v>#REF!</v>
      </c>
      <c r="IM18">
        <f>IF(Sheet1!243:243,"AAAAAHn/tfY=",0)</f>
        <v>0</v>
      </c>
      <c r="IN18" t="e">
        <f>AND(Sheet1!A243,"AAAAAHn/tfc=")</f>
        <v>#VALUE!</v>
      </c>
      <c r="IO18" t="e">
        <f>AND(Sheet1!B243,"AAAAAHn/tfg=")</f>
        <v>#VALUE!</v>
      </c>
      <c r="IP18" t="e">
        <f>AND(Sheet1!C243,"AAAAAHn/tfk=")</f>
        <v>#VALUE!</v>
      </c>
      <c r="IQ18" t="e">
        <f>AND(Sheet1!D243,"AAAAAHn/tfo=")</f>
        <v>#VALUE!</v>
      </c>
      <c r="IR18" t="e">
        <f>AND(Sheet1!E243,"AAAAAHn/tfs=")</f>
        <v>#VALUE!</v>
      </c>
      <c r="IS18" t="e">
        <f>AND(Sheet1!F243,"AAAAAHn/tfw=")</f>
        <v>#VALUE!</v>
      </c>
      <c r="IT18" t="e">
        <f>AND(Sheet1!G243,"AAAAAHn/tf0=")</f>
        <v>#VALUE!</v>
      </c>
      <c r="IU18" t="e">
        <f>AND(Sheet1!H243,"AAAAAHn/tf4=")</f>
        <v>#VALUE!</v>
      </c>
      <c r="IV18" t="e">
        <f>AND(Sheet1!I243,"AAAAAHn/tf8=")</f>
        <v>#VALUE!</v>
      </c>
    </row>
    <row r="19" spans="1:256" x14ac:dyDescent="0.2">
      <c r="A19" t="e">
        <f>AND(Sheet1!J243,"AAAAAD/crQA=")</f>
        <v>#VALUE!</v>
      </c>
      <c r="B19" t="e">
        <f>AND(Sheet1!K243,"AAAAAD/crQE=")</f>
        <v>#VALUE!</v>
      </c>
      <c r="C19" t="e">
        <f>AND(Sheet1!L243,"AAAAAD/crQI=")</f>
        <v>#VALUE!</v>
      </c>
      <c r="D19" t="e">
        <f>AND(Sheet1!M243,"AAAAAD/crQM=")</f>
        <v>#VALUE!</v>
      </c>
      <c r="E19" t="e">
        <f>AND(Sheet1!N243,"AAAAAD/crQQ=")</f>
        <v>#VALUE!</v>
      </c>
      <c r="F19" t="e">
        <f>AND(Sheet1!#REF!,"AAAAAD/crQU=")</f>
        <v>#REF!</v>
      </c>
      <c r="G19" t="e">
        <f>AND(Sheet1!#REF!,"AAAAAD/crQY=")</f>
        <v>#REF!</v>
      </c>
      <c r="H19" t="e">
        <f>AND(Sheet1!#REF!,"AAAAAD/crQc=")</f>
        <v>#REF!</v>
      </c>
      <c r="I19" t="e">
        <f>AND(Sheet1!#REF!,"AAAAAD/crQg=")</f>
        <v>#REF!</v>
      </c>
      <c r="J19">
        <f>IF(Sheet1!244:244,"AAAAAD/crQk=",0)</f>
        <v>0</v>
      </c>
      <c r="K19" t="e">
        <f>AND(Sheet1!A244,"AAAAAD/crQo=")</f>
        <v>#VALUE!</v>
      </c>
      <c r="L19" t="e">
        <f>AND(Sheet1!B244,"AAAAAD/crQs=")</f>
        <v>#VALUE!</v>
      </c>
      <c r="M19" t="e">
        <f>AND(Sheet1!C244,"AAAAAD/crQw=")</f>
        <v>#VALUE!</v>
      </c>
      <c r="N19" t="e">
        <f>AND(Sheet1!D244,"AAAAAD/crQ0=")</f>
        <v>#VALUE!</v>
      </c>
      <c r="O19" t="e">
        <f>AND(Sheet1!E244,"AAAAAD/crQ4=")</f>
        <v>#VALUE!</v>
      </c>
      <c r="P19" t="e">
        <f>AND(Sheet1!F244,"AAAAAD/crQ8=")</f>
        <v>#VALUE!</v>
      </c>
      <c r="Q19" t="e">
        <f>AND(Sheet1!G244,"AAAAAD/crRA=")</f>
        <v>#VALUE!</v>
      </c>
      <c r="R19" t="e">
        <f>AND(Sheet1!H244,"AAAAAD/crRE=")</f>
        <v>#VALUE!</v>
      </c>
      <c r="S19" t="e">
        <f>AND(Sheet1!I244,"AAAAAD/crRI=")</f>
        <v>#VALUE!</v>
      </c>
      <c r="T19" t="e">
        <f>AND(Sheet1!J244,"AAAAAD/crRM=")</f>
        <v>#VALUE!</v>
      </c>
      <c r="U19" t="e">
        <f>AND(Sheet1!K244,"AAAAAD/crRQ=")</f>
        <v>#VALUE!</v>
      </c>
      <c r="V19" t="e">
        <f>AND(Sheet1!L244,"AAAAAD/crRU=")</f>
        <v>#VALUE!</v>
      </c>
      <c r="W19" t="e">
        <f>AND(Sheet1!M244,"AAAAAD/crRY=")</f>
        <v>#VALUE!</v>
      </c>
      <c r="X19" t="e">
        <f>AND(Sheet1!N244,"AAAAAD/crRc=")</f>
        <v>#VALUE!</v>
      </c>
      <c r="Y19" t="e">
        <f>AND(Sheet1!#REF!,"AAAAAD/crRg=")</f>
        <v>#REF!</v>
      </c>
      <c r="Z19" t="e">
        <f>AND(Sheet1!#REF!,"AAAAAD/crRk=")</f>
        <v>#REF!</v>
      </c>
      <c r="AA19" t="e">
        <f>AND(Sheet1!#REF!,"AAAAAD/crRo=")</f>
        <v>#REF!</v>
      </c>
      <c r="AB19" t="e">
        <f>AND(Sheet1!#REF!,"AAAAAD/crRs=")</f>
        <v>#REF!</v>
      </c>
      <c r="AC19">
        <f>IF(Sheet1!245:245,"AAAAAD/crRw=",0)</f>
        <v>0</v>
      </c>
      <c r="AD19" t="e">
        <f>AND(Sheet1!A245,"AAAAAD/crR0=")</f>
        <v>#VALUE!</v>
      </c>
      <c r="AE19" t="e">
        <f>AND(Sheet1!B245,"AAAAAD/crR4=")</f>
        <v>#VALUE!</v>
      </c>
      <c r="AF19" t="e">
        <f>AND(Sheet1!C245,"AAAAAD/crR8=")</f>
        <v>#VALUE!</v>
      </c>
      <c r="AG19" t="e">
        <f>AND(Sheet1!D245,"AAAAAD/crSA=")</f>
        <v>#VALUE!</v>
      </c>
      <c r="AH19" t="e">
        <f>AND(Sheet1!E245,"AAAAAD/crSE=")</f>
        <v>#VALUE!</v>
      </c>
      <c r="AI19" t="e">
        <f>AND(Sheet1!F245,"AAAAAD/crSI=")</f>
        <v>#VALUE!</v>
      </c>
      <c r="AJ19" t="e">
        <f>AND(Sheet1!G245,"AAAAAD/crSM=")</f>
        <v>#VALUE!</v>
      </c>
      <c r="AK19" t="e">
        <f>AND(Sheet1!H245,"AAAAAD/crSQ=")</f>
        <v>#VALUE!</v>
      </c>
      <c r="AL19" t="e">
        <f>AND(Sheet1!I245,"AAAAAD/crSU=")</f>
        <v>#VALUE!</v>
      </c>
      <c r="AM19" t="e">
        <f>AND(Sheet1!J245,"AAAAAD/crSY=")</f>
        <v>#VALUE!</v>
      </c>
      <c r="AN19" t="e">
        <f>AND(Sheet1!K245,"AAAAAD/crSc=")</f>
        <v>#VALUE!</v>
      </c>
      <c r="AO19" t="e">
        <f>AND(Sheet1!L245,"AAAAAD/crSg=")</f>
        <v>#VALUE!</v>
      </c>
      <c r="AP19" t="e">
        <f>AND(Sheet1!M245,"AAAAAD/crSk=")</f>
        <v>#VALUE!</v>
      </c>
      <c r="AQ19" t="e">
        <f>AND(Sheet1!N245,"AAAAAD/crSo=")</f>
        <v>#VALUE!</v>
      </c>
      <c r="AR19" t="e">
        <f>AND(Sheet1!#REF!,"AAAAAD/crSs=")</f>
        <v>#REF!</v>
      </c>
      <c r="AS19" t="e">
        <f>AND(Sheet1!#REF!,"AAAAAD/crSw=")</f>
        <v>#REF!</v>
      </c>
      <c r="AT19" t="e">
        <f>AND(Sheet1!#REF!,"AAAAAD/crS0=")</f>
        <v>#REF!</v>
      </c>
      <c r="AU19" t="e">
        <f>AND(Sheet1!#REF!,"AAAAAD/crS4=")</f>
        <v>#REF!</v>
      </c>
      <c r="AV19">
        <f>IF(Sheet1!246:246,"AAAAAD/crS8=",0)</f>
        <v>0</v>
      </c>
      <c r="AW19" t="e">
        <f>AND(Sheet1!A246,"AAAAAD/crTA=")</f>
        <v>#VALUE!</v>
      </c>
      <c r="AX19" t="e">
        <f>AND(Sheet1!B246,"AAAAAD/crTE=")</f>
        <v>#VALUE!</v>
      </c>
      <c r="AY19" t="e">
        <f>AND(Sheet1!C246,"AAAAAD/crTI=")</f>
        <v>#VALUE!</v>
      </c>
      <c r="AZ19" t="e">
        <f>AND(Sheet1!D246,"AAAAAD/crTM=")</f>
        <v>#VALUE!</v>
      </c>
      <c r="BA19" t="e">
        <f>AND(Sheet1!E246,"AAAAAD/crTQ=")</f>
        <v>#VALUE!</v>
      </c>
      <c r="BB19" t="e">
        <f>AND(Sheet1!F246,"AAAAAD/crTU=")</f>
        <v>#VALUE!</v>
      </c>
      <c r="BC19" t="e">
        <f>AND(Sheet1!G246,"AAAAAD/crTY=")</f>
        <v>#VALUE!</v>
      </c>
      <c r="BD19" t="e">
        <f>AND(Sheet1!H246,"AAAAAD/crTc=")</f>
        <v>#VALUE!</v>
      </c>
      <c r="BE19" t="e">
        <f>AND(Sheet1!I246,"AAAAAD/crTg=")</f>
        <v>#VALUE!</v>
      </c>
      <c r="BF19" t="e">
        <f>AND(Sheet1!J246,"AAAAAD/crTk=")</f>
        <v>#VALUE!</v>
      </c>
      <c r="BG19" t="e">
        <f>AND(Sheet1!K246,"AAAAAD/crTo=")</f>
        <v>#VALUE!</v>
      </c>
      <c r="BH19" t="e">
        <f>AND(Sheet1!L246,"AAAAAD/crTs=")</f>
        <v>#VALUE!</v>
      </c>
      <c r="BI19" t="e">
        <f>AND(Sheet1!M246,"AAAAAD/crTw=")</f>
        <v>#VALUE!</v>
      </c>
      <c r="BJ19" t="e">
        <f>AND(Sheet1!N246,"AAAAAD/crT0=")</f>
        <v>#VALUE!</v>
      </c>
      <c r="BK19" t="e">
        <f>AND(Sheet1!#REF!,"AAAAAD/crT4=")</f>
        <v>#REF!</v>
      </c>
      <c r="BL19" t="e">
        <f>AND(Sheet1!#REF!,"AAAAAD/crT8=")</f>
        <v>#REF!</v>
      </c>
      <c r="BM19" t="e">
        <f>AND(Sheet1!#REF!,"AAAAAD/crUA=")</f>
        <v>#REF!</v>
      </c>
      <c r="BN19" t="e">
        <f>AND(Sheet1!#REF!,"AAAAAD/crUE=")</f>
        <v>#REF!</v>
      </c>
      <c r="BO19">
        <f>IF(Sheet1!247:247,"AAAAAD/crUI=",0)</f>
        <v>0</v>
      </c>
      <c r="BP19" t="e">
        <f>AND(Sheet1!A247,"AAAAAD/crUM=")</f>
        <v>#VALUE!</v>
      </c>
      <c r="BQ19" t="e">
        <f>AND(Sheet1!B247,"AAAAAD/crUQ=")</f>
        <v>#VALUE!</v>
      </c>
      <c r="BR19" t="e">
        <f>AND(Sheet1!C247,"AAAAAD/crUU=")</f>
        <v>#VALUE!</v>
      </c>
      <c r="BS19" t="e">
        <f>AND(Sheet1!D247,"AAAAAD/crUY=")</f>
        <v>#VALUE!</v>
      </c>
      <c r="BT19" t="e">
        <f>AND(Sheet1!E247,"AAAAAD/crUc=")</f>
        <v>#VALUE!</v>
      </c>
      <c r="BU19" t="e">
        <f>AND(Sheet1!F247,"AAAAAD/crUg=")</f>
        <v>#VALUE!</v>
      </c>
      <c r="BV19" t="e">
        <f>AND(Sheet1!G247,"AAAAAD/crUk=")</f>
        <v>#VALUE!</v>
      </c>
      <c r="BW19" t="e">
        <f>AND(Sheet1!H247,"AAAAAD/crUo=")</f>
        <v>#VALUE!</v>
      </c>
      <c r="BX19" t="e">
        <f>AND(Sheet1!I247,"AAAAAD/crUs=")</f>
        <v>#VALUE!</v>
      </c>
      <c r="BY19" t="e">
        <f>AND(Sheet1!J247,"AAAAAD/crUw=")</f>
        <v>#VALUE!</v>
      </c>
      <c r="BZ19" t="e">
        <f>AND(Sheet1!K247,"AAAAAD/crU0=")</f>
        <v>#VALUE!</v>
      </c>
      <c r="CA19" t="e">
        <f>AND(Sheet1!L247,"AAAAAD/crU4=")</f>
        <v>#VALUE!</v>
      </c>
      <c r="CB19" t="e">
        <f>AND(Sheet1!M247,"AAAAAD/crU8=")</f>
        <v>#VALUE!</v>
      </c>
      <c r="CC19" t="e">
        <f>AND(Sheet1!N247,"AAAAAD/crVA=")</f>
        <v>#VALUE!</v>
      </c>
      <c r="CD19" t="e">
        <f>AND(Sheet1!#REF!,"AAAAAD/crVE=")</f>
        <v>#REF!</v>
      </c>
      <c r="CE19" t="e">
        <f>AND(Sheet1!#REF!,"AAAAAD/crVI=")</f>
        <v>#REF!</v>
      </c>
      <c r="CF19" t="e">
        <f>AND(Sheet1!#REF!,"AAAAAD/crVM=")</f>
        <v>#REF!</v>
      </c>
      <c r="CG19" t="e">
        <f>AND(Sheet1!#REF!,"AAAAAD/crVQ=")</f>
        <v>#REF!</v>
      </c>
      <c r="CH19">
        <f>IF(Sheet1!248:248,"AAAAAD/crVU=",0)</f>
        <v>0</v>
      </c>
      <c r="CI19" t="e">
        <f>AND(Sheet1!A248,"AAAAAD/crVY=")</f>
        <v>#VALUE!</v>
      </c>
      <c r="CJ19" t="e">
        <f>AND(Sheet1!B248,"AAAAAD/crVc=")</f>
        <v>#VALUE!</v>
      </c>
      <c r="CK19" t="e">
        <f>AND(Sheet1!C248,"AAAAAD/crVg=")</f>
        <v>#VALUE!</v>
      </c>
      <c r="CL19" t="e">
        <f>AND(Sheet1!D248,"AAAAAD/crVk=")</f>
        <v>#VALUE!</v>
      </c>
      <c r="CM19" t="e">
        <f>AND(Sheet1!E248,"AAAAAD/crVo=")</f>
        <v>#VALUE!</v>
      </c>
      <c r="CN19" t="e">
        <f>AND(Sheet1!F248,"AAAAAD/crVs=")</f>
        <v>#VALUE!</v>
      </c>
      <c r="CO19" t="e">
        <f>AND(Sheet1!G248,"AAAAAD/crVw=")</f>
        <v>#VALUE!</v>
      </c>
      <c r="CP19" t="e">
        <f>AND(Sheet1!H248,"AAAAAD/crV0=")</f>
        <v>#VALUE!</v>
      </c>
      <c r="CQ19" t="e">
        <f>AND(Sheet1!I248,"AAAAAD/crV4=")</f>
        <v>#VALUE!</v>
      </c>
      <c r="CR19" t="e">
        <f>AND(Sheet1!J248,"AAAAAD/crV8=")</f>
        <v>#VALUE!</v>
      </c>
      <c r="CS19" t="e">
        <f>AND(Sheet1!K248,"AAAAAD/crWA=")</f>
        <v>#VALUE!</v>
      </c>
      <c r="CT19" t="e">
        <f>AND(Sheet1!L248,"AAAAAD/crWE=")</f>
        <v>#VALUE!</v>
      </c>
      <c r="CU19" t="e">
        <f>AND(Sheet1!M248,"AAAAAD/crWI=")</f>
        <v>#VALUE!</v>
      </c>
      <c r="CV19" t="e">
        <f>AND(Sheet1!N248,"AAAAAD/crWM=")</f>
        <v>#VALUE!</v>
      </c>
      <c r="CW19" t="e">
        <f>AND(Sheet1!#REF!,"AAAAAD/crWQ=")</f>
        <v>#REF!</v>
      </c>
      <c r="CX19" t="e">
        <f>AND(Sheet1!#REF!,"AAAAAD/crWU=")</f>
        <v>#REF!</v>
      </c>
      <c r="CY19" t="e">
        <f>AND(Sheet1!#REF!,"AAAAAD/crWY=")</f>
        <v>#REF!</v>
      </c>
      <c r="CZ19" t="e">
        <f>AND(Sheet1!#REF!,"AAAAAD/crWc=")</f>
        <v>#REF!</v>
      </c>
      <c r="DA19">
        <f>IF(Sheet1!249:249,"AAAAAD/crWg=",0)</f>
        <v>0</v>
      </c>
      <c r="DB19" t="e">
        <f>AND(Sheet1!A249,"AAAAAD/crWk=")</f>
        <v>#VALUE!</v>
      </c>
      <c r="DC19" t="e">
        <f>AND(Sheet1!B249,"AAAAAD/crWo=")</f>
        <v>#VALUE!</v>
      </c>
      <c r="DD19" t="e">
        <f>AND(Sheet1!C249,"AAAAAD/crWs=")</f>
        <v>#VALUE!</v>
      </c>
      <c r="DE19" t="e">
        <f>AND(Sheet1!D249,"AAAAAD/crWw=")</f>
        <v>#VALUE!</v>
      </c>
      <c r="DF19" t="e">
        <f>AND(Sheet1!E249,"AAAAAD/crW0=")</f>
        <v>#VALUE!</v>
      </c>
      <c r="DG19" t="e">
        <f>AND(Sheet1!F249,"AAAAAD/crW4=")</f>
        <v>#VALUE!</v>
      </c>
      <c r="DH19" t="e">
        <f>AND(Sheet1!G249,"AAAAAD/crW8=")</f>
        <v>#VALUE!</v>
      </c>
      <c r="DI19" t="e">
        <f>AND(Sheet1!H249,"AAAAAD/crXA=")</f>
        <v>#VALUE!</v>
      </c>
      <c r="DJ19" t="e">
        <f>AND(Sheet1!I249,"AAAAAD/crXE=")</f>
        <v>#VALUE!</v>
      </c>
      <c r="DK19" t="e">
        <f>AND(Sheet1!J249,"AAAAAD/crXI=")</f>
        <v>#VALUE!</v>
      </c>
      <c r="DL19" t="e">
        <f>AND(Sheet1!K249,"AAAAAD/crXM=")</f>
        <v>#VALUE!</v>
      </c>
      <c r="DM19" t="e">
        <f>AND(Sheet1!L249,"AAAAAD/crXQ=")</f>
        <v>#VALUE!</v>
      </c>
      <c r="DN19" t="e">
        <f>AND(Sheet1!M249,"AAAAAD/crXU=")</f>
        <v>#VALUE!</v>
      </c>
      <c r="DO19" t="e">
        <f>AND(Sheet1!N249,"AAAAAD/crXY=")</f>
        <v>#VALUE!</v>
      </c>
      <c r="DP19" t="e">
        <f>AND(Sheet1!#REF!,"AAAAAD/crXc=")</f>
        <v>#REF!</v>
      </c>
      <c r="DQ19" t="e">
        <f>AND(Sheet1!#REF!,"AAAAAD/crXg=")</f>
        <v>#REF!</v>
      </c>
      <c r="DR19" t="e">
        <f>AND(Sheet1!#REF!,"AAAAAD/crXk=")</f>
        <v>#REF!</v>
      </c>
      <c r="DS19" t="e">
        <f>AND(Sheet1!#REF!,"AAAAAD/crXo=")</f>
        <v>#REF!</v>
      </c>
      <c r="DT19">
        <f>IF(Sheet1!250:250,"AAAAAD/crXs=",0)</f>
        <v>0</v>
      </c>
      <c r="DU19" t="e">
        <f>AND(Sheet1!A250,"AAAAAD/crXw=")</f>
        <v>#VALUE!</v>
      </c>
      <c r="DV19" t="e">
        <f>AND(Sheet1!B250,"AAAAAD/crX0=")</f>
        <v>#VALUE!</v>
      </c>
      <c r="DW19" t="e">
        <f>AND(Sheet1!C250,"AAAAAD/crX4=")</f>
        <v>#VALUE!</v>
      </c>
      <c r="DX19" t="e">
        <f>AND(Sheet1!D250,"AAAAAD/crX8=")</f>
        <v>#VALUE!</v>
      </c>
      <c r="DY19" t="e">
        <f>AND(Sheet1!E250,"AAAAAD/crYA=")</f>
        <v>#VALUE!</v>
      </c>
      <c r="DZ19" t="e">
        <f>AND(Sheet1!F250,"AAAAAD/crYE=")</f>
        <v>#VALUE!</v>
      </c>
      <c r="EA19" t="e">
        <f>AND(Sheet1!G250,"AAAAAD/crYI=")</f>
        <v>#VALUE!</v>
      </c>
      <c r="EB19" t="e">
        <f>AND(Sheet1!H250,"AAAAAD/crYM=")</f>
        <v>#VALUE!</v>
      </c>
      <c r="EC19" t="e">
        <f>AND(Sheet1!I250,"AAAAAD/crYQ=")</f>
        <v>#VALUE!</v>
      </c>
      <c r="ED19" t="e">
        <f>AND(Sheet1!J250,"AAAAAD/crYU=")</f>
        <v>#VALUE!</v>
      </c>
      <c r="EE19" t="e">
        <f>AND(Sheet1!K250,"AAAAAD/crYY=")</f>
        <v>#VALUE!</v>
      </c>
      <c r="EF19" t="e">
        <f>AND(Sheet1!L250,"AAAAAD/crYc=")</f>
        <v>#VALUE!</v>
      </c>
      <c r="EG19" t="e">
        <f>AND(Sheet1!M250,"AAAAAD/crYg=")</f>
        <v>#VALUE!</v>
      </c>
      <c r="EH19" t="e">
        <f>AND(Sheet1!N250,"AAAAAD/crYk=")</f>
        <v>#VALUE!</v>
      </c>
      <c r="EI19" t="e">
        <f>AND(Sheet1!#REF!,"AAAAAD/crYo=")</f>
        <v>#REF!</v>
      </c>
      <c r="EJ19" t="e">
        <f>AND(Sheet1!#REF!,"AAAAAD/crYs=")</f>
        <v>#REF!</v>
      </c>
      <c r="EK19" t="e">
        <f>AND(Sheet1!#REF!,"AAAAAD/crYw=")</f>
        <v>#REF!</v>
      </c>
      <c r="EL19" t="e">
        <f>AND(Sheet1!#REF!,"AAAAAD/crY0=")</f>
        <v>#REF!</v>
      </c>
      <c r="EM19">
        <f>IF(Sheet1!251:251,"AAAAAD/crY4=",0)</f>
        <v>0</v>
      </c>
      <c r="EN19" t="e">
        <f>AND(Sheet1!A251,"AAAAAD/crY8=")</f>
        <v>#VALUE!</v>
      </c>
      <c r="EO19" t="e">
        <f>AND(Sheet1!B251,"AAAAAD/crZA=")</f>
        <v>#VALUE!</v>
      </c>
      <c r="EP19" t="e">
        <f>AND(Sheet1!C251,"AAAAAD/crZE=")</f>
        <v>#VALUE!</v>
      </c>
      <c r="EQ19" t="e">
        <f>AND(Sheet1!D251,"AAAAAD/crZI=")</f>
        <v>#VALUE!</v>
      </c>
      <c r="ER19" t="e">
        <f>AND(Sheet1!E251,"AAAAAD/crZM=")</f>
        <v>#VALUE!</v>
      </c>
      <c r="ES19" t="e">
        <f>AND(Sheet1!F251,"AAAAAD/crZQ=")</f>
        <v>#VALUE!</v>
      </c>
      <c r="ET19" t="e">
        <f>AND(Sheet1!G251,"AAAAAD/crZU=")</f>
        <v>#VALUE!</v>
      </c>
      <c r="EU19" t="e">
        <f>AND(Sheet1!H251,"AAAAAD/crZY=")</f>
        <v>#VALUE!</v>
      </c>
      <c r="EV19" t="e">
        <f>AND(Sheet1!I251,"AAAAAD/crZc=")</f>
        <v>#VALUE!</v>
      </c>
      <c r="EW19" t="e">
        <f>AND(Sheet1!J251,"AAAAAD/crZg=")</f>
        <v>#VALUE!</v>
      </c>
      <c r="EX19" t="e">
        <f>AND(Sheet1!K251,"AAAAAD/crZk=")</f>
        <v>#VALUE!</v>
      </c>
      <c r="EY19" t="e">
        <f>AND(Sheet1!L251,"AAAAAD/crZo=")</f>
        <v>#VALUE!</v>
      </c>
      <c r="EZ19" t="e">
        <f>AND(Sheet1!M251,"AAAAAD/crZs=")</f>
        <v>#VALUE!</v>
      </c>
      <c r="FA19" t="e">
        <f>AND(Sheet1!N251,"AAAAAD/crZw=")</f>
        <v>#VALUE!</v>
      </c>
      <c r="FB19" t="e">
        <f>AND(Sheet1!#REF!,"AAAAAD/crZ0=")</f>
        <v>#REF!</v>
      </c>
      <c r="FC19" t="e">
        <f>AND(Sheet1!#REF!,"AAAAAD/crZ4=")</f>
        <v>#REF!</v>
      </c>
      <c r="FD19" t="e">
        <f>AND(Sheet1!#REF!,"AAAAAD/crZ8=")</f>
        <v>#REF!</v>
      </c>
      <c r="FE19" t="e">
        <f>AND(Sheet1!#REF!,"AAAAAD/craA=")</f>
        <v>#REF!</v>
      </c>
      <c r="FF19">
        <f>IF(Sheet1!252:252,"AAAAAD/craE=",0)</f>
        <v>0</v>
      </c>
      <c r="FG19" t="e">
        <f>AND(Sheet1!A252,"AAAAAD/craI=")</f>
        <v>#VALUE!</v>
      </c>
      <c r="FH19" t="e">
        <f>AND(Sheet1!B252,"AAAAAD/craM=")</f>
        <v>#VALUE!</v>
      </c>
      <c r="FI19" t="e">
        <f>AND(Sheet1!C252,"AAAAAD/craQ=")</f>
        <v>#VALUE!</v>
      </c>
      <c r="FJ19" t="e">
        <f>AND(Sheet1!D252,"AAAAAD/craU=")</f>
        <v>#VALUE!</v>
      </c>
      <c r="FK19" t="e">
        <f>AND(Sheet1!E252,"AAAAAD/craY=")</f>
        <v>#VALUE!</v>
      </c>
      <c r="FL19" t="e">
        <f>AND(Sheet1!F252,"AAAAAD/crac=")</f>
        <v>#VALUE!</v>
      </c>
      <c r="FM19" t="e">
        <f>AND(Sheet1!G252,"AAAAAD/crag=")</f>
        <v>#VALUE!</v>
      </c>
      <c r="FN19" t="e">
        <f>AND(Sheet1!H252,"AAAAAD/crak=")</f>
        <v>#VALUE!</v>
      </c>
      <c r="FO19" t="e">
        <f>AND(Sheet1!I252,"AAAAAD/crao=")</f>
        <v>#VALUE!</v>
      </c>
      <c r="FP19" t="e">
        <f>AND(Sheet1!J252,"AAAAAD/cras=")</f>
        <v>#VALUE!</v>
      </c>
      <c r="FQ19" t="e">
        <f>AND(Sheet1!K252,"AAAAAD/craw=")</f>
        <v>#VALUE!</v>
      </c>
      <c r="FR19" t="e">
        <f>AND(Sheet1!L252,"AAAAAD/cra0=")</f>
        <v>#VALUE!</v>
      </c>
      <c r="FS19" t="e">
        <f>AND(Sheet1!M252,"AAAAAD/cra4=")</f>
        <v>#VALUE!</v>
      </c>
      <c r="FT19" t="e">
        <f>AND(Sheet1!N252,"AAAAAD/cra8=")</f>
        <v>#VALUE!</v>
      </c>
      <c r="FU19" t="e">
        <f>AND(Sheet1!#REF!,"AAAAAD/crbA=")</f>
        <v>#REF!</v>
      </c>
      <c r="FV19" t="e">
        <f>AND(Sheet1!#REF!,"AAAAAD/crbE=")</f>
        <v>#REF!</v>
      </c>
      <c r="FW19" t="e">
        <f>AND(Sheet1!#REF!,"AAAAAD/crbI=")</f>
        <v>#REF!</v>
      </c>
      <c r="FX19" t="e">
        <f>AND(Sheet1!#REF!,"AAAAAD/crbM=")</f>
        <v>#REF!</v>
      </c>
      <c r="FY19">
        <f>IF(Sheet1!253:253,"AAAAAD/crbQ=",0)</f>
        <v>0</v>
      </c>
      <c r="FZ19" t="e">
        <f>AND(Sheet1!A253,"AAAAAD/crbU=")</f>
        <v>#VALUE!</v>
      </c>
      <c r="GA19" t="e">
        <f>AND(Sheet1!B253,"AAAAAD/crbY=")</f>
        <v>#VALUE!</v>
      </c>
      <c r="GB19" t="e">
        <f>AND(Sheet1!C253,"AAAAAD/crbc=")</f>
        <v>#VALUE!</v>
      </c>
      <c r="GC19" t="e">
        <f>AND(Sheet1!D253,"AAAAAD/crbg=")</f>
        <v>#VALUE!</v>
      </c>
      <c r="GD19" t="e">
        <f>AND(Sheet1!E253,"AAAAAD/crbk=")</f>
        <v>#VALUE!</v>
      </c>
      <c r="GE19" t="e">
        <f>AND(Sheet1!F253,"AAAAAD/crbo=")</f>
        <v>#VALUE!</v>
      </c>
      <c r="GF19" t="e">
        <f>AND(Sheet1!G253,"AAAAAD/crbs=")</f>
        <v>#VALUE!</v>
      </c>
      <c r="GG19" t="e">
        <f>AND(Sheet1!H253,"AAAAAD/crbw=")</f>
        <v>#VALUE!</v>
      </c>
      <c r="GH19" t="e">
        <f>AND(Sheet1!I253,"AAAAAD/crb0=")</f>
        <v>#VALUE!</v>
      </c>
      <c r="GI19" t="e">
        <f>AND(Sheet1!J253,"AAAAAD/crb4=")</f>
        <v>#VALUE!</v>
      </c>
      <c r="GJ19" t="e">
        <f>AND(Sheet1!K253,"AAAAAD/crb8=")</f>
        <v>#VALUE!</v>
      </c>
      <c r="GK19" t="e">
        <f>AND(Sheet1!L253,"AAAAAD/crcA=")</f>
        <v>#VALUE!</v>
      </c>
      <c r="GL19" t="e">
        <f>AND(Sheet1!M253,"AAAAAD/crcE=")</f>
        <v>#VALUE!</v>
      </c>
      <c r="GM19" t="e">
        <f>AND(Sheet1!N253,"AAAAAD/crcI=")</f>
        <v>#VALUE!</v>
      </c>
      <c r="GN19" t="e">
        <f>AND(Sheet1!#REF!,"AAAAAD/crcM=")</f>
        <v>#REF!</v>
      </c>
      <c r="GO19" t="e">
        <f>AND(Sheet1!#REF!,"AAAAAD/crcQ=")</f>
        <v>#REF!</v>
      </c>
      <c r="GP19" t="e">
        <f>AND(Sheet1!#REF!,"AAAAAD/crcU=")</f>
        <v>#REF!</v>
      </c>
      <c r="GQ19" t="e">
        <f>AND(Sheet1!#REF!,"AAAAAD/crcY=")</f>
        <v>#REF!</v>
      </c>
      <c r="GR19">
        <f>IF(Sheet1!254:254,"AAAAAD/crcc=",0)</f>
        <v>0</v>
      </c>
      <c r="GS19" t="e">
        <f>AND(Sheet1!A254,"AAAAAD/crcg=")</f>
        <v>#VALUE!</v>
      </c>
      <c r="GT19" t="e">
        <f>AND(Sheet1!B254,"AAAAAD/crck=")</f>
        <v>#VALUE!</v>
      </c>
      <c r="GU19" t="e">
        <f>AND(Sheet1!C254,"AAAAAD/crco=")</f>
        <v>#VALUE!</v>
      </c>
      <c r="GV19" t="e">
        <f>AND(Sheet1!D254,"AAAAAD/crcs=")</f>
        <v>#VALUE!</v>
      </c>
      <c r="GW19" t="e">
        <f>AND(Sheet1!E254,"AAAAAD/crcw=")</f>
        <v>#VALUE!</v>
      </c>
      <c r="GX19" t="e">
        <f>AND(Sheet1!F254,"AAAAAD/crc0=")</f>
        <v>#VALUE!</v>
      </c>
      <c r="GY19" t="e">
        <f>AND(Sheet1!G254,"AAAAAD/crc4=")</f>
        <v>#VALUE!</v>
      </c>
      <c r="GZ19" t="e">
        <f>AND(Sheet1!H254,"AAAAAD/crc8=")</f>
        <v>#VALUE!</v>
      </c>
      <c r="HA19" t="e">
        <f>AND(Sheet1!I254,"AAAAAD/crdA=")</f>
        <v>#VALUE!</v>
      </c>
      <c r="HB19" t="e">
        <f>AND(Sheet1!J254,"AAAAAD/crdE=")</f>
        <v>#VALUE!</v>
      </c>
      <c r="HC19" t="e">
        <f>AND(Sheet1!K254,"AAAAAD/crdI=")</f>
        <v>#VALUE!</v>
      </c>
      <c r="HD19" t="e">
        <f>AND(Sheet1!L254,"AAAAAD/crdM=")</f>
        <v>#VALUE!</v>
      </c>
      <c r="HE19" t="e">
        <f>AND(Sheet1!M254,"AAAAAD/crdQ=")</f>
        <v>#VALUE!</v>
      </c>
      <c r="HF19" t="e">
        <f>AND(Sheet1!N254,"AAAAAD/crdU=")</f>
        <v>#VALUE!</v>
      </c>
      <c r="HG19" t="e">
        <f>AND(Sheet1!#REF!,"AAAAAD/crdY=")</f>
        <v>#REF!</v>
      </c>
      <c r="HH19" t="e">
        <f>AND(Sheet1!#REF!,"AAAAAD/crdc=")</f>
        <v>#REF!</v>
      </c>
      <c r="HI19" t="e">
        <f>AND(Sheet1!#REF!,"AAAAAD/crdg=")</f>
        <v>#REF!</v>
      </c>
      <c r="HJ19" t="e">
        <f>AND(Sheet1!#REF!,"AAAAAD/crdk=")</f>
        <v>#REF!</v>
      </c>
      <c r="HK19">
        <f>IF(Sheet1!255:255,"AAAAAD/crdo=",0)</f>
        <v>0</v>
      </c>
      <c r="HL19" t="e">
        <f>AND(Sheet1!A255,"AAAAAD/crds=")</f>
        <v>#VALUE!</v>
      </c>
      <c r="HM19" t="e">
        <f>AND(Sheet1!B255,"AAAAAD/crdw=")</f>
        <v>#VALUE!</v>
      </c>
      <c r="HN19" t="e">
        <f>AND(Sheet1!C255,"AAAAAD/crd0=")</f>
        <v>#VALUE!</v>
      </c>
      <c r="HO19" t="e">
        <f>AND(Sheet1!D255,"AAAAAD/crd4=")</f>
        <v>#VALUE!</v>
      </c>
      <c r="HP19" t="e">
        <f>AND(Sheet1!E255,"AAAAAD/crd8=")</f>
        <v>#VALUE!</v>
      </c>
      <c r="HQ19" t="e">
        <f>AND(Sheet1!F255,"AAAAAD/creA=")</f>
        <v>#VALUE!</v>
      </c>
      <c r="HR19" t="e">
        <f>AND(Sheet1!G255,"AAAAAD/creE=")</f>
        <v>#VALUE!</v>
      </c>
      <c r="HS19" t="e">
        <f>AND(Sheet1!H255,"AAAAAD/creI=")</f>
        <v>#VALUE!</v>
      </c>
      <c r="HT19" t="e">
        <f>AND(Sheet1!I255,"AAAAAD/creM=")</f>
        <v>#VALUE!</v>
      </c>
      <c r="HU19" t="e">
        <f>AND(Sheet1!J255,"AAAAAD/creQ=")</f>
        <v>#VALUE!</v>
      </c>
      <c r="HV19" t="e">
        <f>AND(Sheet1!K255,"AAAAAD/creU=")</f>
        <v>#VALUE!</v>
      </c>
      <c r="HW19" t="e">
        <f>AND(Sheet1!L255,"AAAAAD/creY=")</f>
        <v>#VALUE!</v>
      </c>
      <c r="HX19" t="e">
        <f>AND(Sheet1!M255,"AAAAAD/crec=")</f>
        <v>#VALUE!</v>
      </c>
      <c r="HY19" t="e">
        <f>AND(Sheet1!N255,"AAAAAD/creg=")</f>
        <v>#VALUE!</v>
      </c>
      <c r="HZ19" t="e">
        <f>AND(Sheet1!#REF!,"AAAAAD/crek=")</f>
        <v>#REF!</v>
      </c>
      <c r="IA19" t="e">
        <f>AND(Sheet1!#REF!,"AAAAAD/creo=")</f>
        <v>#REF!</v>
      </c>
      <c r="IB19" t="e">
        <f>AND(Sheet1!#REF!,"AAAAAD/cres=")</f>
        <v>#REF!</v>
      </c>
      <c r="IC19" t="e">
        <f>AND(Sheet1!#REF!,"AAAAAD/crew=")</f>
        <v>#REF!</v>
      </c>
      <c r="ID19">
        <f>IF(Sheet1!256:256,"AAAAAD/cre0=",0)</f>
        <v>0</v>
      </c>
      <c r="IE19" t="e">
        <f>AND(Sheet1!A256,"AAAAAD/cre4=")</f>
        <v>#VALUE!</v>
      </c>
      <c r="IF19" t="e">
        <f>AND(Sheet1!B256,"AAAAAD/cre8=")</f>
        <v>#VALUE!</v>
      </c>
      <c r="IG19" t="e">
        <f>AND(Sheet1!C256,"AAAAAD/crfA=")</f>
        <v>#VALUE!</v>
      </c>
      <c r="IH19" t="e">
        <f>AND(Sheet1!D256,"AAAAAD/crfE=")</f>
        <v>#VALUE!</v>
      </c>
      <c r="II19" t="e">
        <f>AND(Sheet1!E256,"AAAAAD/crfI=")</f>
        <v>#VALUE!</v>
      </c>
      <c r="IJ19" t="e">
        <f>AND(Sheet1!F256,"AAAAAD/crfM=")</f>
        <v>#VALUE!</v>
      </c>
      <c r="IK19" t="e">
        <f>AND(Sheet1!G256,"AAAAAD/crfQ=")</f>
        <v>#VALUE!</v>
      </c>
      <c r="IL19" t="e">
        <f>AND(Sheet1!H256,"AAAAAD/crfU=")</f>
        <v>#VALUE!</v>
      </c>
      <c r="IM19" t="e">
        <f>AND(Sheet1!I256,"AAAAAD/crfY=")</f>
        <v>#VALUE!</v>
      </c>
      <c r="IN19" t="e">
        <f>AND(Sheet1!J256,"AAAAAD/crfc=")</f>
        <v>#VALUE!</v>
      </c>
      <c r="IO19" t="e">
        <f>AND(Sheet1!K256,"AAAAAD/crfg=")</f>
        <v>#VALUE!</v>
      </c>
      <c r="IP19" t="e">
        <f>AND(Sheet1!L256,"AAAAAD/crfk=")</f>
        <v>#VALUE!</v>
      </c>
      <c r="IQ19" t="e">
        <f>AND(Sheet1!M256,"AAAAAD/crfo=")</f>
        <v>#VALUE!</v>
      </c>
      <c r="IR19" t="e">
        <f>AND(Sheet1!N256,"AAAAAD/crfs=")</f>
        <v>#VALUE!</v>
      </c>
      <c r="IS19" t="e">
        <f>AND(Sheet1!#REF!,"AAAAAD/crfw=")</f>
        <v>#REF!</v>
      </c>
      <c r="IT19" t="e">
        <f>AND(Sheet1!#REF!,"AAAAAD/crf0=")</f>
        <v>#REF!</v>
      </c>
      <c r="IU19" t="e">
        <f>AND(Sheet1!#REF!,"AAAAAD/crf4=")</f>
        <v>#REF!</v>
      </c>
      <c r="IV19" t="e">
        <f>AND(Sheet1!#REF!,"AAAAAD/crf8=")</f>
        <v>#REF!</v>
      </c>
    </row>
    <row r="20" spans="1:256" x14ac:dyDescent="0.2">
      <c r="A20" t="e">
        <f>IF(Sheet1!257:257,"AAAAAF+9/gA=",0)</f>
        <v>#VALUE!</v>
      </c>
      <c r="B20" t="e">
        <f>AND(Sheet1!A257,"AAAAAF+9/gE=")</f>
        <v>#VALUE!</v>
      </c>
      <c r="C20" t="e">
        <f>AND(Sheet1!B257,"AAAAAF+9/gI=")</f>
        <v>#VALUE!</v>
      </c>
      <c r="D20" t="e">
        <f>AND(Sheet1!C257,"AAAAAF+9/gM=")</f>
        <v>#VALUE!</v>
      </c>
      <c r="E20" t="e">
        <f>AND(Sheet1!D257,"AAAAAF+9/gQ=")</f>
        <v>#VALUE!</v>
      </c>
      <c r="F20" t="e">
        <f>AND(Sheet1!E257,"AAAAAF+9/gU=")</f>
        <v>#VALUE!</v>
      </c>
      <c r="G20" t="e">
        <f>AND(Sheet1!F257,"AAAAAF+9/gY=")</f>
        <v>#VALUE!</v>
      </c>
      <c r="H20" t="e">
        <f>AND(Sheet1!G257,"AAAAAF+9/gc=")</f>
        <v>#VALUE!</v>
      </c>
      <c r="I20" t="e">
        <f>AND(Sheet1!H257,"AAAAAF+9/gg=")</f>
        <v>#VALUE!</v>
      </c>
      <c r="J20" t="e">
        <f>AND(Sheet1!I257,"AAAAAF+9/gk=")</f>
        <v>#VALUE!</v>
      </c>
      <c r="K20" t="e">
        <f>AND(Sheet1!J257,"AAAAAF+9/go=")</f>
        <v>#VALUE!</v>
      </c>
      <c r="L20" t="e">
        <f>AND(Sheet1!K257,"AAAAAF+9/gs=")</f>
        <v>#VALUE!</v>
      </c>
      <c r="M20" t="e">
        <f>AND(Sheet1!L257,"AAAAAF+9/gw=")</f>
        <v>#VALUE!</v>
      </c>
      <c r="N20" t="e">
        <f>AND(Sheet1!M257,"AAAAAF+9/g0=")</f>
        <v>#VALUE!</v>
      </c>
      <c r="O20" t="e">
        <f>AND(Sheet1!N257,"AAAAAF+9/g4=")</f>
        <v>#VALUE!</v>
      </c>
      <c r="P20" t="e">
        <f>AND(Sheet1!#REF!,"AAAAAF+9/g8=")</f>
        <v>#REF!</v>
      </c>
      <c r="Q20" t="e">
        <f>AND(Sheet1!#REF!,"AAAAAF+9/hA=")</f>
        <v>#REF!</v>
      </c>
      <c r="R20" t="e">
        <f>AND(Sheet1!#REF!,"AAAAAF+9/hE=")</f>
        <v>#REF!</v>
      </c>
      <c r="S20" t="e">
        <f>AND(Sheet1!#REF!,"AAAAAF+9/hI=")</f>
        <v>#REF!</v>
      </c>
      <c r="T20">
        <f>IF(Sheet1!258:258,"AAAAAF+9/hM=",0)</f>
        <v>0</v>
      </c>
      <c r="U20" t="e">
        <f>AND(Sheet1!A258,"AAAAAF+9/hQ=")</f>
        <v>#VALUE!</v>
      </c>
      <c r="V20" t="e">
        <f>AND(Sheet1!B258,"AAAAAF+9/hU=")</f>
        <v>#VALUE!</v>
      </c>
      <c r="W20" t="e">
        <f>AND(Sheet1!C258,"AAAAAF+9/hY=")</f>
        <v>#VALUE!</v>
      </c>
      <c r="X20" t="e">
        <f>AND(Sheet1!D258,"AAAAAF+9/hc=")</f>
        <v>#VALUE!</v>
      </c>
      <c r="Y20" t="e">
        <f>AND(Sheet1!E258,"AAAAAF+9/hg=")</f>
        <v>#VALUE!</v>
      </c>
      <c r="Z20" t="e">
        <f>AND(Sheet1!F258,"AAAAAF+9/hk=")</f>
        <v>#VALUE!</v>
      </c>
      <c r="AA20" t="e">
        <f>AND(Sheet1!G258,"AAAAAF+9/ho=")</f>
        <v>#VALUE!</v>
      </c>
      <c r="AB20" t="e">
        <f>AND(Sheet1!H258,"AAAAAF+9/hs=")</f>
        <v>#VALUE!</v>
      </c>
      <c r="AC20" t="e">
        <f>AND(Sheet1!I258,"AAAAAF+9/hw=")</f>
        <v>#VALUE!</v>
      </c>
      <c r="AD20" t="e">
        <f>AND(Sheet1!J258,"AAAAAF+9/h0=")</f>
        <v>#VALUE!</v>
      </c>
      <c r="AE20" t="e">
        <f>AND(Sheet1!K258,"AAAAAF+9/h4=")</f>
        <v>#VALUE!</v>
      </c>
      <c r="AF20" t="e">
        <f>AND(Sheet1!L258,"AAAAAF+9/h8=")</f>
        <v>#VALUE!</v>
      </c>
      <c r="AG20" t="e">
        <f>AND(Sheet1!M258,"AAAAAF+9/iA=")</f>
        <v>#VALUE!</v>
      </c>
      <c r="AH20" t="e">
        <f>AND(Sheet1!N258,"AAAAAF+9/iE=")</f>
        <v>#VALUE!</v>
      </c>
      <c r="AI20" t="e">
        <f>AND(Sheet1!#REF!,"AAAAAF+9/iI=")</f>
        <v>#REF!</v>
      </c>
      <c r="AJ20" t="e">
        <f>AND(Sheet1!#REF!,"AAAAAF+9/iM=")</f>
        <v>#REF!</v>
      </c>
      <c r="AK20" t="e">
        <f>AND(Sheet1!#REF!,"AAAAAF+9/iQ=")</f>
        <v>#REF!</v>
      </c>
      <c r="AL20" t="e">
        <f>AND(Sheet1!#REF!,"AAAAAF+9/iU=")</f>
        <v>#REF!</v>
      </c>
      <c r="AM20">
        <f>IF(Sheet1!259:259,"AAAAAF+9/iY=",0)</f>
        <v>0</v>
      </c>
      <c r="AN20" t="e">
        <f>AND(Sheet1!A259,"AAAAAF+9/ic=")</f>
        <v>#VALUE!</v>
      </c>
      <c r="AO20" t="e">
        <f>AND(Sheet1!B259,"AAAAAF+9/ig=")</f>
        <v>#VALUE!</v>
      </c>
      <c r="AP20" t="e">
        <f>AND(Sheet1!C259,"AAAAAF+9/ik=")</f>
        <v>#VALUE!</v>
      </c>
      <c r="AQ20" t="e">
        <f>AND(Sheet1!D259,"AAAAAF+9/io=")</f>
        <v>#VALUE!</v>
      </c>
      <c r="AR20" t="e">
        <f>AND(Sheet1!E259,"AAAAAF+9/is=")</f>
        <v>#VALUE!</v>
      </c>
      <c r="AS20" t="e">
        <f>AND(Sheet1!F259,"AAAAAF+9/iw=")</f>
        <v>#VALUE!</v>
      </c>
      <c r="AT20" t="e">
        <f>AND(Sheet1!G259,"AAAAAF+9/i0=")</f>
        <v>#VALUE!</v>
      </c>
      <c r="AU20" t="e">
        <f>AND(Sheet1!H259,"AAAAAF+9/i4=")</f>
        <v>#VALUE!</v>
      </c>
      <c r="AV20" t="e">
        <f>AND(Sheet1!I259,"AAAAAF+9/i8=")</f>
        <v>#VALUE!</v>
      </c>
      <c r="AW20" t="e">
        <f>AND(Sheet1!J259,"AAAAAF+9/jA=")</f>
        <v>#VALUE!</v>
      </c>
      <c r="AX20" t="e">
        <f>AND(Sheet1!K259,"AAAAAF+9/jE=")</f>
        <v>#VALUE!</v>
      </c>
      <c r="AY20" t="e">
        <f>AND(Sheet1!L259,"AAAAAF+9/jI=")</f>
        <v>#VALUE!</v>
      </c>
      <c r="AZ20" t="e">
        <f>AND(Sheet1!M259,"AAAAAF+9/jM=")</f>
        <v>#VALUE!</v>
      </c>
      <c r="BA20" t="e">
        <f>AND(Sheet1!N259,"AAAAAF+9/jQ=")</f>
        <v>#VALUE!</v>
      </c>
      <c r="BB20" t="e">
        <f>AND(Sheet1!#REF!,"AAAAAF+9/jU=")</f>
        <v>#REF!</v>
      </c>
      <c r="BC20" t="e">
        <f>AND(Sheet1!#REF!,"AAAAAF+9/jY=")</f>
        <v>#REF!</v>
      </c>
      <c r="BD20" t="e">
        <f>AND(Sheet1!#REF!,"AAAAAF+9/jc=")</f>
        <v>#REF!</v>
      </c>
      <c r="BE20" t="e">
        <f>AND(Sheet1!#REF!,"AAAAAF+9/jg=")</f>
        <v>#REF!</v>
      </c>
      <c r="BF20">
        <f>IF(Sheet1!260:260,"AAAAAF+9/jk=",0)</f>
        <v>0</v>
      </c>
      <c r="BG20" t="e">
        <f>AND(Sheet1!A260,"AAAAAF+9/jo=")</f>
        <v>#VALUE!</v>
      </c>
      <c r="BH20" t="e">
        <f>AND(Sheet1!B260,"AAAAAF+9/js=")</f>
        <v>#VALUE!</v>
      </c>
      <c r="BI20" t="e">
        <f>AND(Sheet1!C260,"AAAAAF+9/jw=")</f>
        <v>#VALUE!</v>
      </c>
      <c r="BJ20" t="e">
        <f>AND(Sheet1!D260,"AAAAAF+9/j0=")</f>
        <v>#VALUE!</v>
      </c>
      <c r="BK20" t="e">
        <f>AND(Sheet1!E260,"AAAAAF+9/j4=")</f>
        <v>#VALUE!</v>
      </c>
      <c r="BL20" t="e">
        <f>AND(Sheet1!F260,"AAAAAF+9/j8=")</f>
        <v>#VALUE!</v>
      </c>
      <c r="BM20" t="e">
        <f>AND(Sheet1!G260,"AAAAAF+9/kA=")</f>
        <v>#VALUE!</v>
      </c>
      <c r="BN20" t="e">
        <f>AND(Sheet1!H260,"AAAAAF+9/kE=")</f>
        <v>#VALUE!</v>
      </c>
      <c r="BO20" t="e">
        <f>AND(Sheet1!I260,"AAAAAF+9/kI=")</f>
        <v>#VALUE!</v>
      </c>
      <c r="BP20" t="e">
        <f>AND(Sheet1!J260,"AAAAAF+9/kM=")</f>
        <v>#VALUE!</v>
      </c>
      <c r="BQ20" t="e">
        <f>AND(Sheet1!K260,"AAAAAF+9/kQ=")</f>
        <v>#VALUE!</v>
      </c>
      <c r="BR20" t="e">
        <f>AND(Sheet1!L260,"AAAAAF+9/kU=")</f>
        <v>#VALUE!</v>
      </c>
      <c r="BS20" t="e">
        <f>AND(Sheet1!M260,"AAAAAF+9/kY=")</f>
        <v>#VALUE!</v>
      </c>
      <c r="BT20" t="e">
        <f>AND(Sheet1!N260,"AAAAAF+9/kc=")</f>
        <v>#VALUE!</v>
      </c>
      <c r="BU20" t="e">
        <f>AND(Sheet1!#REF!,"AAAAAF+9/kg=")</f>
        <v>#REF!</v>
      </c>
      <c r="BV20" t="e">
        <f>AND(Sheet1!#REF!,"AAAAAF+9/kk=")</f>
        <v>#REF!</v>
      </c>
      <c r="BW20" t="e">
        <f>AND(Sheet1!#REF!,"AAAAAF+9/ko=")</f>
        <v>#REF!</v>
      </c>
      <c r="BX20" t="e">
        <f>AND(Sheet1!#REF!,"AAAAAF+9/ks=")</f>
        <v>#REF!</v>
      </c>
      <c r="BY20">
        <f>IF(Sheet1!261:261,"AAAAAF+9/kw=",0)</f>
        <v>0</v>
      </c>
      <c r="BZ20" t="e">
        <f>AND(Sheet1!A261,"AAAAAF+9/k0=")</f>
        <v>#VALUE!</v>
      </c>
      <c r="CA20" t="e">
        <f>AND(Sheet1!B261,"AAAAAF+9/k4=")</f>
        <v>#VALUE!</v>
      </c>
      <c r="CB20" t="e">
        <f>AND(Sheet1!C261,"AAAAAF+9/k8=")</f>
        <v>#VALUE!</v>
      </c>
      <c r="CC20" t="e">
        <f>AND(Sheet1!D261,"AAAAAF+9/lA=")</f>
        <v>#VALUE!</v>
      </c>
      <c r="CD20" t="e">
        <f>AND(Sheet1!E261,"AAAAAF+9/lE=")</f>
        <v>#VALUE!</v>
      </c>
      <c r="CE20" t="e">
        <f>AND(Sheet1!F261,"AAAAAF+9/lI=")</f>
        <v>#VALUE!</v>
      </c>
      <c r="CF20" t="e">
        <f>AND(Sheet1!G261,"AAAAAF+9/lM=")</f>
        <v>#VALUE!</v>
      </c>
      <c r="CG20" t="e">
        <f>AND(Sheet1!H261,"AAAAAF+9/lQ=")</f>
        <v>#VALUE!</v>
      </c>
      <c r="CH20" t="e">
        <f>AND(Sheet1!I261,"AAAAAF+9/lU=")</f>
        <v>#VALUE!</v>
      </c>
      <c r="CI20" t="e">
        <f>AND(Sheet1!J261,"AAAAAF+9/lY=")</f>
        <v>#VALUE!</v>
      </c>
      <c r="CJ20" t="e">
        <f>AND(Sheet1!K261,"AAAAAF+9/lc=")</f>
        <v>#VALUE!</v>
      </c>
      <c r="CK20" t="e">
        <f>AND(Sheet1!L261,"AAAAAF+9/lg=")</f>
        <v>#VALUE!</v>
      </c>
      <c r="CL20" t="e">
        <f>AND(Sheet1!M261,"AAAAAF+9/lk=")</f>
        <v>#VALUE!</v>
      </c>
      <c r="CM20" t="e">
        <f>AND(Sheet1!N261,"AAAAAF+9/lo=")</f>
        <v>#VALUE!</v>
      </c>
      <c r="CN20" t="e">
        <f>AND(Sheet1!#REF!,"AAAAAF+9/ls=")</f>
        <v>#REF!</v>
      </c>
      <c r="CO20" t="e">
        <f>AND(Sheet1!#REF!,"AAAAAF+9/lw=")</f>
        <v>#REF!</v>
      </c>
      <c r="CP20" t="e">
        <f>AND(Sheet1!#REF!,"AAAAAF+9/l0=")</f>
        <v>#REF!</v>
      </c>
      <c r="CQ20" t="e">
        <f>AND(Sheet1!#REF!,"AAAAAF+9/l4=")</f>
        <v>#REF!</v>
      </c>
      <c r="CR20">
        <f>IF(Sheet1!262:262,"AAAAAF+9/l8=",0)</f>
        <v>0</v>
      </c>
      <c r="CS20" t="e">
        <f>AND(Sheet1!A262,"AAAAAF+9/mA=")</f>
        <v>#VALUE!</v>
      </c>
      <c r="CT20" t="e">
        <f>AND(Sheet1!B262,"AAAAAF+9/mE=")</f>
        <v>#VALUE!</v>
      </c>
      <c r="CU20" t="e">
        <f>AND(Sheet1!C262,"AAAAAF+9/mI=")</f>
        <v>#VALUE!</v>
      </c>
      <c r="CV20" t="e">
        <f>AND(Sheet1!D262,"AAAAAF+9/mM=")</f>
        <v>#VALUE!</v>
      </c>
      <c r="CW20" t="e">
        <f>AND(Sheet1!E262,"AAAAAF+9/mQ=")</f>
        <v>#VALUE!</v>
      </c>
      <c r="CX20" t="e">
        <f>AND(Sheet1!F262,"AAAAAF+9/mU=")</f>
        <v>#VALUE!</v>
      </c>
      <c r="CY20" t="e">
        <f>AND(Sheet1!G262,"AAAAAF+9/mY=")</f>
        <v>#VALUE!</v>
      </c>
      <c r="CZ20" t="e">
        <f>AND(Sheet1!H262,"AAAAAF+9/mc=")</f>
        <v>#VALUE!</v>
      </c>
      <c r="DA20" t="e">
        <f>AND(Sheet1!I262,"AAAAAF+9/mg=")</f>
        <v>#VALUE!</v>
      </c>
      <c r="DB20" t="e">
        <f>AND(Sheet1!J262,"AAAAAF+9/mk=")</f>
        <v>#VALUE!</v>
      </c>
      <c r="DC20" t="e">
        <f>AND(Sheet1!K262,"AAAAAF+9/mo=")</f>
        <v>#VALUE!</v>
      </c>
      <c r="DD20" t="e">
        <f>AND(Sheet1!L262,"AAAAAF+9/ms=")</f>
        <v>#VALUE!</v>
      </c>
      <c r="DE20" t="e">
        <f>AND(Sheet1!M262,"AAAAAF+9/mw=")</f>
        <v>#VALUE!</v>
      </c>
      <c r="DF20" t="e">
        <f>AND(Sheet1!N262,"AAAAAF+9/m0=")</f>
        <v>#VALUE!</v>
      </c>
      <c r="DG20" t="e">
        <f>AND(Sheet1!#REF!,"AAAAAF+9/m4=")</f>
        <v>#REF!</v>
      </c>
      <c r="DH20" t="e">
        <f>AND(Sheet1!#REF!,"AAAAAF+9/m8=")</f>
        <v>#REF!</v>
      </c>
      <c r="DI20" t="e">
        <f>AND(Sheet1!#REF!,"AAAAAF+9/nA=")</f>
        <v>#REF!</v>
      </c>
      <c r="DJ20" t="e">
        <f>AND(Sheet1!#REF!,"AAAAAF+9/nE=")</f>
        <v>#REF!</v>
      </c>
      <c r="DK20">
        <f>IF(Sheet1!263:263,"AAAAAF+9/nI=",0)</f>
        <v>0</v>
      </c>
      <c r="DL20" t="e">
        <f>AND(Sheet1!A263,"AAAAAF+9/nM=")</f>
        <v>#VALUE!</v>
      </c>
      <c r="DM20" t="e">
        <f>AND(Sheet1!B263,"AAAAAF+9/nQ=")</f>
        <v>#VALUE!</v>
      </c>
      <c r="DN20" t="e">
        <f>AND(Sheet1!C263,"AAAAAF+9/nU=")</f>
        <v>#VALUE!</v>
      </c>
      <c r="DO20" t="e">
        <f>AND(Sheet1!D263,"AAAAAF+9/nY=")</f>
        <v>#VALUE!</v>
      </c>
      <c r="DP20" t="e">
        <f>AND(Sheet1!E263,"AAAAAF+9/nc=")</f>
        <v>#VALUE!</v>
      </c>
      <c r="DQ20" t="e">
        <f>AND(Sheet1!F263,"AAAAAF+9/ng=")</f>
        <v>#VALUE!</v>
      </c>
      <c r="DR20" t="e">
        <f>AND(Sheet1!G263,"AAAAAF+9/nk=")</f>
        <v>#VALUE!</v>
      </c>
      <c r="DS20" t="e">
        <f>AND(Sheet1!H263,"AAAAAF+9/no=")</f>
        <v>#VALUE!</v>
      </c>
      <c r="DT20" t="e">
        <f>AND(Sheet1!I263,"AAAAAF+9/ns=")</f>
        <v>#VALUE!</v>
      </c>
      <c r="DU20" t="e">
        <f>AND(Sheet1!J263,"AAAAAF+9/nw=")</f>
        <v>#VALUE!</v>
      </c>
      <c r="DV20" t="e">
        <f>AND(Sheet1!K263,"AAAAAF+9/n0=")</f>
        <v>#VALUE!</v>
      </c>
      <c r="DW20" t="e">
        <f>AND(Sheet1!L263,"AAAAAF+9/n4=")</f>
        <v>#VALUE!</v>
      </c>
      <c r="DX20" t="e">
        <f>AND(Sheet1!M263,"AAAAAF+9/n8=")</f>
        <v>#VALUE!</v>
      </c>
      <c r="DY20" t="e">
        <f>AND(Sheet1!N263,"AAAAAF+9/oA=")</f>
        <v>#VALUE!</v>
      </c>
      <c r="DZ20" t="e">
        <f>AND(Sheet1!#REF!,"AAAAAF+9/oE=")</f>
        <v>#REF!</v>
      </c>
      <c r="EA20" t="e">
        <f>AND(Sheet1!#REF!,"AAAAAF+9/oI=")</f>
        <v>#REF!</v>
      </c>
      <c r="EB20" t="e">
        <f>AND(Sheet1!#REF!,"AAAAAF+9/oM=")</f>
        <v>#REF!</v>
      </c>
      <c r="EC20" t="e">
        <f>AND(Sheet1!#REF!,"AAAAAF+9/oQ=")</f>
        <v>#REF!</v>
      </c>
      <c r="ED20">
        <f>IF(Sheet1!264:264,"AAAAAF+9/oU=",0)</f>
        <v>0</v>
      </c>
      <c r="EE20" t="e">
        <f>AND(Sheet1!A264,"AAAAAF+9/oY=")</f>
        <v>#VALUE!</v>
      </c>
      <c r="EF20" t="e">
        <f>AND(Sheet1!B264,"AAAAAF+9/oc=")</f>
        <v>#VALUE!</v>
      </c>
      <c r="EG20" t="e">
        <f>AND(Sheet1!C264,"AAAAAF+9/og=")</f>
        <v>#VALUE!</v>
      </c>
      <c r="EH20" t="e">
        <f>AND(Sheet1!D264,"AAAAAF+9/ok=")</f>
        <v>#VALUE!</v>
      </c>
      <c r="EI20" t="e">
        <f>AND(Sheet1!E264,"AAAAAF+9/oo=")</f>
        <v>#VALUE!</v>
      </c>
      <c r="EJ20" t="e">
        <f>AND(Sheet1!F264,"AAAAAF+9/os=")</f>
        <v>#VALUE!</v>
      </c>
      <c r="EK20" t="e">
        <f>AND(Sheet1!G264,"AAAAAF+9/ow=")</f>
        <v>#VALUE!</v>
      </c>
      <c r="EL20" t="e">
        <f>AND(Sheet1!H264,"AAAAAF+9/o0=")</f>
        <v>#VALUE!</v>
      </c>
      <c r="EM20" t="e">
        <f>AND(Sheet1!I264,"AAAAAF+9/o4=")</f>
        <v>#VALUE!</v>
      </c>
      <c r="EN20" t="e">
        <f>AND(Sheet1!J264,"AAAAAF+9/o8=")</f>
        <v>#VALUE!</v>
      </c>
      <c r="EO20" t="e">
        <f>AND(Sheet1!K264,"AAAAAF+9/pA=")</f>
        <v>#VALUE!</v>
      </c>
      <c r="EP20" t="e">
        <f>AND(Sheet1!L264,"AAAAAF+9/pE=")</f>
        <v>#VALUE!</v>
      </c>
      <c r="EQ20" t="e">
        <f>AND(Sheet1!M264,"AAAAAF+9/pI=")</f>
        <v>#VALUE!</v>
      </c>
      <c r="ER20" t="e">
        <f>AND(Sheet1!N264,"AAAAAF+9/pM=")</f>
        <v>#VALUE!</v>
      </c>
      <c r="ES20" t="e">
        <f>AND(Sheet1!#REF!,"AAAAAF+9/pQ=")</f>
        <v>#REF!</v>
      </c>
      <c r="ET20" t="e">
        <f>AND(Sheet1!#REF!,"AAAAAF+9/pU=")</f>
        <v>#REF!</v>
      </c>
      <c r="EU20" t="e">
        <f>AND(Sheet1!#REF!,"AAAAAF+9/pY=")</f>
        <v>#REF!</v>
      </c>
      <c r="EV20" t="e">
        <f>AND(Sheet1!#REF!,"AAAAAF+9/pc=")</f>
        <v>#REF!</v>
      </c>
      <c r="EW20">
        <f>IF(Sheet1!265:265,"AAAAAF+9/pg=",0)</f>
        <v>0</v>
      </c>
      <c r="EX20" t="e">
        <f>AND(Sheet1!A265,"AAAAAF+9/pk=")</f>
        <v>#VALUE!</v>
      </c>
      <c r="EY20" t="e">
        <f>AND(Sheet1!B265,"AAAAAF+9/po=")</f>
        <v>#VALUE!</v>
      </c>
      <c r="EZ20" t="e">
        <f>AND(Sheet1!C265,"AAAAAF+9/ps=")</f>
        <v>#VALUE!</v>
      </c>
      <c r="FA20" t="e">
        <f>AND(Sheet1!D265,"AAAAAF+9/pw=")</f>
        <v>#VALUE!</v>
      </c>
      <c r="FB20" t="e">
        <f>AND(Sheet1!E265,"AAAAAF+9/p0=")</f>
        <v>#VALUE!</v>
      </c>
      <c r="FC20" t="e">
        <f>AND(Sheet1!F265,"AAAAAF+9/p4=")</f>
        <v>#VALUE!</v>
      </c>
      <c r="FD20" t="e">
        <f>AND(Sheet1!G265,"AAAAAF+9/p8=")</f>
        <v>#VALUE!</v>
      </c>
      <c r="FE20" t="e">
        <f>AND(Sheet1!H265,"AAAAAF+9/qA=")</f>
        <v>#VALUE!</v>
      </c>
      <c r="FF20" t="e">
        <f>AND(Sheet1!I265,"AAAAAF+9/qE=")</f>
        <v>#VALUE!</v>
      </c>
      <c r="FG20" t="e">
        <f>AND(Sheet1!J265,"AAAAAF+9/qI=")</f>
        <v>#VALUE!</v>
      </c>
      <c r="FH20" t="e">
        <f>AND(Sheet1!K265,"AAAAAF+9/qM=")</f>
        <v>#VALUE!</v>
      </c>
      <c r="FI20" t="e">
        <f>AND(Sheet1!L265,"AAAAAF+9/qQ=")</f>
        <v>#VALUE!</v>
      </c>
      <c r="FJ20" t="e">
        <f>AND(Sheet1!M265,"AAAAAF+9/qU=")</f>
        <v>#VALUE!</v>
      </c>
      <c r="FK20" t="e">
        <f>AND(Sheet1!N265,"AAAAAF+9/qY=")</f>
        <v>#VALUE!</v>
      </c>
      <c r="FL20" t="e">
        <f>AND(Sheet1!#REF!,"AAAAAF+9/qc=")</f>
        <v>#REF!</v>
      </c>
      <c r="FM20" t="e">
        <f>AND(Sheet1!#REF!,"AAAAAF+9/qg=")</f>
        <v>#REF!</v>
      </c>
      <c r="FN20" t="e">
        <f>AND(Sheet1!#REF!,"AAAAAF+9/qk=")</f>
        <v>#REF!</v>
      </c>
      <c r="FO20" t="e">
        <f>AND(Sheet1!#REF!,"AAAAAF+9/qo=")</f>
        <v>#REF!</v>
      </c>
      <c r="FP20">
        <f>IF(Sheet1!266:266,"AAAAAF+9/qs=",0)</f>
        <v>0</v>
      </c>
      <c r="FQ20" t="e">
        <f>AND(Sheet1!A266,"AAAAAF+9/qw=")</f>
        <v>#VALUE!</v>
      </c>
      <c r="FR20" t="e">
        <f>AND(Sheet1!B266,"AAAAAF+9/q0=")</f>
        <v>#VALUE!</v>
      </c>
      <c r="FS20" t="e">
        <f>AND(Sheet1!C266,"AAAAAF+9/q4=")</f>
        <v>#VALUE!</v>
      </c>
      <c r="FT20" t="e">
        <f>AND(Sheet1!D266,"AAAAAF+9/q8=")</f>
        <v>#VALUE!</v>
      </c>
      <c r="FU20" t="e">
        <f>AND(Sheet1!E266,"AAAAAF+9/rA=")</f>
        <v>#VALUE!</v>
      </c>
      <c r="FV20" t="e">
        <f>AND(Sheet1!F266,"AAAAAF+9/rE=")</f>
        <v>#VALUE!</v>
      </c>
      <c r="FW20" t="e">
        <f>AND(Sheet1!G266,"AAAAAF+9/rI=")</f>
        <v>#VALUE!</v>
      </c>
      <c r="FX20" t="e">
        <f>AND(Sheet1!H266,"AAAAAF+9/rM=")</f>
        <v>#VALUE!</v>
      </c>
      <c r="FY20" t="e">
        <f>AND(Sheet1!I266,"AAAAAF+9/rQ=")</f>
        <v>#VALUE!</v>
      </c>
      <c r="FZ20" t="e">
        <f>AND(Sheet1!J266,"AAAAAF+9/rU=")</f>
        <v>#VALUE!</v>
      </c>
      <c r="GA20" t="e">
        <f>AND(Sheet1!K266,"AAAAAF+9/rY=")</f>
        <v>#VALUE!</v>
      </c>
      <c r="GB20" t="e">
        <f>AND(Sheet1!L266,"AAAAAF+9/rc=")</f>
        <v>#VALUE!</v>
      </c>
      <c r="GC20" t="e">
        <f>AND(Sheet1!M266,"AAAAAF+9/rg=")</f>
        <v>#VALUE!</v>
      </c>
      <c r="GD20" t="e">
        <f>AND(Sheet1!N266,"AAAAAF+9/rk=")</f>
        <v>#VALUE!</v>
      </c>
      <c r="GE20" t="e">
        <f>AND(Sheet1!#REF!,"AAAAAF+9/ro=")</f>
        <v>#REF!</v>
      </c>
      <c r="GF20" t="e">
        <f>AND(Sheet1!#REF!,"AAAAAF+9/rs=")</f>
        <v>#REF!</v>
      </c>
      <c r="GG20" t="e">
        <f>AND(Sheet1!#REF!,"AAAAAF+9/rw=")</f>
        <v>#REF!</v>
      </c>
      <c r="GH20" t="e">
        <f>AND(Sheet1!#REF!,"AAAAAF+9/r0=")</f>
        <v>#REF!</v>
      </c>
      <c r="GI20">
        <f>IF(Sheet1!267:267,"AAAAAF+9/r4=",0)</f>
        <v>0</v>
      </c>
      <c r="GJ20" t="e">
        <f>AND(Sheet1!A267,"AAAAAF+9/r8=")</f>
        <v>#VALUE!</v>
      </c>
      <c r="GK20" t="e">
        <f>AND(Sheet1!B267,"AAAAAF+9/sA=")</f>
        <v>#VALUE!</v>
      </c>
      <c r="GL20" t="e">
        <f>AND(Sheet1!C267,"AAAAAF+9/sE=")</f>
        <v>#VALUE!</v>
      </c>
      <c r="GM20" t="e">
        <f>AND(Sheet1!D267,"AAAAAF+9/sI=")</f>
        <v>#VALUE!</v>
      </c>
      <c r="GN20" t="e">
        <f>AND(Sheet1!E267,"AAAAAF+9/sM=")</f>
        <v>#VALUE!</v>
      </c>
      <c r="GO20" t="e">
        <f>AND(Sheet1!F267,"AAAAAF+9/sQ=")</f>
        <v>#VALUE!</v>
      </c>
      <c r="GP20" t="e">
        <f>AND(Sheet1!G267,"AAAAAF+9/sU=")</f>
        <v>#VALUE!</v>
      </c>
      <c r="GQ20" t="e">
        <f>AND(Sheet1!H267,"AAAAAF+9/sY=")</f>
        <v>#VALUE!</v>
      </c>
      <c r="GR20" t="e">
        <f>AND(Sheet1!I267,"AAAAAF+9/sc=")</f>
        <v>#VALUE!</v>
      </c>
      <c r="GS20" t="e">
        <f>AND(Sheet1!J267,"AAAAAF+9/sg=")</f>
        <v>#VALUE!</v>
      </c>
      <c r="GT20" t="e">
        <f>AND(Sheet1!K267,"AAAAAF+9/sk=")</f>
        <v>#VALUE!</v>
      </c>
      <c r="GU20" t="e">
        <f>AND(Sheet1!L267,"AAAAAF+9/so=")</f>
        <v>#VALUE!</v>
      </c>
      <c r="GV20" t="e">
        <f>AND(Sheet1!M267,"AAAAAF+9/ss=")</f>
        <v>#VALUE!</v>
      </c>
      <c r="GW20" t="e">
        <f>AND(Sheet1!N267,"AAAAAF+9/sw=")</f>
        <v>#VALUE!</v>
      </c>
      <c r="GX20" t="e">
        <f>AND(Sheet1!#REF!,"AAAAAF+9/s0=")</f>
        <v>#REF!</v>
      </c>
      <c r="GY20" t="e">
        <f>AND(Sheet1!#REF!,"AAAAAF+9/s4=")</f>
        <v>#REF!</v>
      </c>
      <c r="GZ20" t="e">
        <f>AND(Sheet1!#REF!,"AAAAAF+9/s8=")</f>
        <v>#REF!</v>
      </c>
      <c r="HA20" t="e">
        <f>AND(Sheet1!#REF!,"AAAAAF+9/tA=")</f>
        <v>#REF!</v>
      </c>
      <c r="HB20">
        <f>IF(Sheet1!268:268,"AAAAAF+9/tE=",0)</f>
        <v>0</v>
      </c>
      <c r="HC20" t="e">
        <f>AND(Sheet1!A268,"AAAAAF+9/tI=")</f>
        <v>#VALUE!</v>
      </c>
      <c r="HD20" t="e">
        <f>AND(Sheet1!B268,"AAAAAF+9/tM=")</f>
        <v>#VALUE!</v>
      </c>
      <c r="HE20" t="e">
        <f>AND(Sheet1!C268,"AAAAAF+9/tQ=")</f>
        <v>#VALUE!</v>
      </c>
      <c r="HF20" t="e">
        <f>AND(Sheet1!D268,"AAAAAF+9/tU=")</f>
        <v>#VALUE!</v>
      </c>
      <c r="HG20" t="e">
        <f>AND(Sheet1!E268,"AAAAAF+9/tY=")</f>
        <v>#VALUE!</v>
      </c>
      <c r="HH20" t="e">
        <f>AND(Sheet1!F268,"AAAAAF+9/tc=")</f>
        <v>#VALUE!</v>
      </c>
      <c r="HI20" t="e">
        <f>AND(Sheet1!G268,"AAAAAF+9/tg=")</f>
        <v>#VALUE!</v>
      </c>
      <c r="HJ20" t="e">
        <f>AND(Sheet1!H268,"AAAAAF+9/tk=")</f>
        <v>#VALUE!</v>
      </c>
      <c r="HK20" t="e">
        <f>AND(Sheet1!I268,"AAAAAF+9/to=")</f>
        <v>#VALUE!</v>
      </c>
      <c r="HL20" t="e">
        <f>AND(Sheet1!J268,"AAAAAF+9/ts=")</f>
        <v>#VALUE!</v>
      </c>
      <c r="HM20" t="e">
        <f>AND(Sheet1!K268,"AAAAAF+9/tw=")</f>
        <v>#VALUE!</v>
      </c>
      <c r="HN20" t="e">
        <f>AND(Sheet1!L268,"AAAAAF+9/t0=")</f>
        <v>#VALUE!</v>
      </c>
      <c r="HO20" t="e">
        <f>AND(Sheet1!M268,"AAAAAF+9/t4=")</f>
        <v>#VALUE!</v>
      </c>
      <c r="HP20" t="e">
        <f>AND(Sheet1!N268,"AAAAAF+9/t8=")</f>
        <v>#VALUE!</v>
      </c>
      <c r="HQ20" t="e">
        <f>AND(Sheet1!#REF!,"AAAAAF+9/uA=")</f>
        <v>#REF!</v>
      </c>
      <c r="HR20" t="e">
        <f>AND(Sheet1!#REF!,"AAAAAF+9/uE=")</f>
        <v>#REF!</v>
      </c>
      <c r="HS20" t="e">
        <f>AND(Sheet1!#REF!,"AAAAAF+9/uI=")</f>
        <v>#REF!</v>
      </c>
      <c r="HT20" t="e">
        <f>AND(Sheet1!#REF!,"AAAAAF+9/uM=")</f>
        <v>#REF!</v>
      </c>
      <c r="HU20">
        <f>IF(Sheet1!269:269,"AAAAAF+9/uQ=",0)</f>
        <v>0</v>
      </c>
      <c r="HV20" t="e">
        <f>AND(Sheet1!A269,"AAAAAF+9/uU=")</f>
        <v>#VALUE!</v>
      </c>
      <c r="HW20" t="e">
        <f>AND(Sheet1!B269,"AAAAAF+9/uY=")</f>
        <v>#VALUE!</v>
      </c>
      <c r="HX20" t="e">
        <f>AND(Sheet1!C269,"AAAAAF+9/uc=")</f>
        <v>#VALUE!</v>
      </c>
      <c r="HY20" t="e">
        <f>AND(Sheet1!D269,"AAAAAF+9/ug=")</f>
        <v>#VALUE!</v>
      </c>
      <c r="HZ20" t="e">
        <f>AND(Sheet1!E269,"AAAAAF+9/uk=")</f>
        <v>#VALUE!</v>
      </c>
      <c r="IA20" t="e">
        <f>AND(Sheet1!F269,"AAAAAF+9/uo=")</f>
        <v>#VALUE!</v>
      </c>
      <c r="IB20" t="e">
        <f>AND(Sheet1!G269,"AAAAAF+9/us=")</f>
        <v>#VALUE!</v>
      </c>
      <c r="IC20" t="e">
        <f>AND(Sheet1!H269,"AAAAAF+9/uw=")</f>
        <v>#VALUE!</v>
      </c>
      <c r="ID20" t="e">
        <f>AND(Sheet1!I269,"AAAAAF+9/u0=")</f>
        <v>#VALUE!</v>
      </c>
      <c r="IE20" t="e">
        <f>AND(Sheet1!J269,"AAAAAF+9/u4=")</f>
        <v>#VALUE!</v>
      </c>
      <c r="IF20" t="e">
        <f>AND(Sheet1!K269,"AAAAAF+9/u8=")</f>
        <v>#VALUE!</v>
      </c>
      <c r="IG20" t="e">
        <f>AND(Sheet1!L269,"AAAAAF+9/vA=")</f>
        <v>#VALUE!</v>
      </c>
      <c r="IH20" t="e">
        <f>AND(Sheet1!M269,"AAAAAF+9/vE=")</f>
        <v>#VALUE!</v>
      </c>
      <c r="II20" t="e">
        <f>AND(Sheet1!N269,"AAAAAF+9/vI=")</f>
        <v>#VALUE!</v>
      </c>
      <c r="IJ20" t="e">
        <f>AND(Sheet1!#REF!,"AAAAAF+9/vM=")</f>
        <v>#REF!</v>
      </c>
      <c r="IK20" t="e">
        <f>AND(Sheet1!#REF!,"AAAAAF+9/vQ=")</f>
        <v>#REF!</v>
      </c>
      <c r="IL20" t="e">
        <f>AND(Sheet1!#REF!,"AAAAAF+9/vU=")</f>
        <v>#REF!</v>
      </c>
      <c r="IM20" t="e">
        <f>AND(Sheet1!#REF!,"AAAAAF+9/vY=")</f>
        <v>#REF!</v>
      </c>
      <c r="IN20">
        <f>IF(Sheet1!270:270,"AAAAAF+9/vc=",0)</f>
        <v>0</v>
      </c>
      <c r="IO20" t="e">
        <f>AND(Sheet1!A270,"AAAAAF+9/vg=")</f>
        <v>#VALUE!</v>
      </c>
      <c r="IP20" t="e">
        <f>AND(Sheet1!B270,"AAAAAF+9/vk=")</f>
        <v>#VALUE!</v>
      </c>
      <c r="IQ20" t="e">
        <f>AND(Sheet1!C270,"AAAAAF+9/vo=")</f>
        <v>#VALUE!</v>
      </c>
      <c r="IR20" t="e">
        <f>AND(Sheet1!D270,"AAAAAF+9/vs=")</f>
        <v>#VALUE!</v>
      </c>
      <c r="IS20" t="e">
        <f>AND(Sheet1!E270,"AAAAAF+9/vw=")</f>
        <v>#VALUE!</v>
      </c>
      <c r="IT20" t="e">
        <f>AND(Sheet1!F270,"AAAAAF+9/v0=")</f>
        <v>#VALUE!</v>
      </c>
      <c r="IU20" t="e">
        <f>AND(Sheet1!G270,"AAAAAF+9/v4=")</f>
        <v>#VALUE!</v>
      </c>
      <c r="IV20" t="e">
        <f>AND(Sheet1!H270,"AAAAAF+9/v8=")</f>
        <v>#VALUE!</v>
      </c>
    </row>
    <row r="21" spans="1:256" x14ac:dyDescent="0.2">
      <c r="A21" t="e">
        <f>AND(Sheet1!I270,"AAAAAH37dgA=")</f>
        <v>#VALUE!</v>
      </c>
      <c r="B21" t="e">
        <f>AND(Sheet1!J270,"AAAAAH37dgE=")</f>
        <v>#VALUE!</v>
      </c>
      <c r="C21" t="e">
        <f>AND(Sheet1!K270,"AAAAAH37dgI=")</f>
        <v>#VALUE!</v>
      </c>
      <c r="D21" t="e">
        <f>AND(Sheet1!L270,"AAAAAH37dgM=")</f>
        <v>#VALUE!</v>
      </c>
      <c r="E21" t="e">
        <f>AND(Sheet1!M270,"AAAAAH37dgQ=")</f>
        <v>#VALUE!</v>
      </c>
      <c r="F21" t="e">
        <f>AND(Sheet1!N270,"AAAAAH37dgU=")</f>
        <v>#VALUE!</v>
      </c>
      <c r="G21" t="e">
        <f>AND(Sheet1!#REF!,"AAAAAH37dgY=")</f>
        <v>#REF!</v>
      </c>
      <c r="H21" t="e">
        <f>AND(Sheet1!#REF!,"AAAAAH37dgc=")</f>
        <v>#REF!</v>
      </c>
      <c r="I21" t="e">
        <f>AND(Sheet1!#REF!,"AAAAAH37dgg=")</f>
        <v>#REF!</v>
      </c>
      <c r="J21" t="e">
        <f>AND(Sheet1!#REF!,"AAAAAH37dgk=")</f>
        <v>#REF!</v>
      </c>
      <c r="K21" t="e">
        <f>IF(Sheet1!271:271,"AAAAAH37dgo=",0)</f>
        <v>#VALUE!</v>
      </c>
      <c r="L21" t="e">
        <f>AND(Sheet1!A271,"AAAAAH37dgs=")</f>
        <v>#VALUE!</v>
      </c>
      <c r="M21" t="e">
        <f>AND(Sheet1!B271,"AAAAAH37dgw=")</f>
        <v>#VALUE!</v>
      </c>
      <c r="N21" t="e">
        <f>AND(Sheet1!C271,"AAAAAH37dg0=")</f>
        <v>#VALUE!</v>
      </c>
      <c r="O21" t="e">
        <f>AND(Sheet1!D271,"AAAAAH37dg4=")</f>
        <v>#VALUE!</v>
      </c>
      <c r="P21" t="e">
        <f>AND(Sheet1!E271,"AAAAAH37dg8=")</f>
        <v>#VALUE!</v>
      </c>
      <c r="Q21" t="e">
        <f>AND(Sheet1!F271,"AAAAAH37dhA=")</f>
        <v>#VALUE!</v>
      </c>
      <c r="R21" t="e">
        <f>AND(Sheet1!G271,"AAAAAH37dhE=")</f>
        <v>#VALUE!</v>
      </c>
      <c r="S21" t="e">
        <f>AND(Sheet1!H271,"AAAAAH37dhI=")</f>
        <v>#VALUE!</v>
      </c>
      <c r="T21" t="e">
        <f>AND(Sheet1!I271,"AAAAAH37dhM=")</f>
        <v>#VALUE!</v>
      </c>
      <c r="U21" t="e">
        <f>AND(Sheet1!J271,"AAAAAH37dhQ=")</f>
        <v>#VALUE!</v>
      </c>
      <c r="V21" t="e">
        <f>AND(Sheet1!K271,"AAAAAH37dhU=")</f>
        <v>#VALUE!</v>
      </c>
      <c r="W21" t="e">
        <f>AND(Sheet1!L271,"AAAAAH37dhY=")</f>
        <v>#VALUE!</v>
      </c>
      <c r="X21" t="e">
        <f>AND(Sheet1!M271,"AAAAAH37dhc=")</f>
        <v>#VALUE!</v>
      </c>
      <c r="Y21" t="e">
        <f>AND(Sheet1!N271,"AAAAAH37dhg=")</f>
        <v>#VALUE!</v>
      </c>
      <c r="Z21" t="e">
        <f>AND(Sheet1!#REF!,"AAAAAH37dhk=")</f>
        <v>#REF!</v>
      </c>
      <c r="AA21" t="e">
        <f>AND(Sheet1!#REF!,"AAAAAH37dho=")</f>
        <v>#REF!</v>
      </c>
      <c r="AB21" t="e">
        <f>AND(Sheet1!#REF!,"AAAAAH37dhs=")</f>
        <v>#REF!</v>
      </c>
      <c r="AC21" t="e">
        <f>AND(Sheet1!#REF!,"AAAAAH37dhw=")</f>
        <v>#REF!</v>
      </c>
      <c r="AD21">
        <f>IF(Sheet1!272:272,"AAAAAH37dh0=",0)</f>
        <v>0</v>
      </c>
      <c r="AE21" t="e">
        <f>AND(Sheet1!A272,"AAAAAH37dh4=")</f>
        <v>#VALUE!</v>
      </c>
      <c r="AF21" t="e">
        <f>AND(Sheet1!B272,"AAAAAH37dh8=")</f>
        <v>#VALUE!</v>
      </c>
      <c r="AG21" t="e">
        <f>AND(Sheet1!C272,"AAAAAH37diA=")</f>
        <v>#VALUE!</v>
      </c>
      <c r="AH21" t="e">
        <f>AND(Sheet1!D272,"AAAAAH37diE=")</f>
        <v>#VALUE!</v>
      </c>
      <c r="AI21" t="e">
        <f>AND(Sheet1!E272,"AAAAAH37diI=")</f>
        <v>#VALUE!</v>
      </c>
      <c r="AJ21" t="e">
        <f>AND(Sheet1!F272,"AAAAAH37diM=")</f>
        <v>#VALUE!</v>
      </c>
      <c r="AK21" t="e">
        <f>AND(Sheet1!G272,"AAAAAH37diQ=")</f>
        <v>#VALUE!</v>
      </c>
      <c r="AL21" t="e">
        <f>AND(Sheet1!H272,"AAAAAH37diU=")</f>
        <v>#VALUE!</v>
      </c>
      <c r="AM21" t="e">
        <f>AND(Sheet1!I272,"AAAAAH37diY=")</f>
        <v>#VALUE!</v>
      </c>
      <c r="AN21" t="e">
        <f>AND(Sheet1!J272,"AAAAAH37dic=")</f>
        <v>#VALUE!</v>
      </c>
      <c r="AO21" t="e">
        <f>AND(Sheet1!K272,"AAAAAH37dig=")</f>
        <v>#VALUE!</v>
      </c>
      <c r="AP21" t="e">
        <f>AND(Sheet1!L272,"AAAAAH37dik=")</f>
        <v>#VALUE!</v>
      </c>
      <c r="AQ21" t="e">
        <f>AND(Sheet1!M272,"AAAAAH37dio=")</f>
        <v>#VALUE!</v>
      </c>
      <c r="AR21" t="e">
        <f>AND(Sheet1!N272,"AAAAAH37dis=")</f>
        <v>#VALUE!</v>
      </c>
      <c r="AS21" t="e">
        <f>AND(Sheet1!#REF!,"AAAAAH37diw=")</f>
        <v>#REF!</v>
      </c>
      <c r="AT21" t="e">
        <f>AND(Sheet1!#REF!,"AAAAAH37di0=")</f>
        <v>#REF!</v>
      </c>
      <c r="AU21" t="e">
        <f>AND(Sheet1!#REF!,"AAAAAH37di4=")</f>
        <v>#REF!</v>
      </c>
      <c r="AV21" t="e">
        <f>AND(Sheet1!#REF!,"AAAAAH37di8=")</f>
        <v>#REF!</v>
      </c>
      <c r="AW21">
        <f>IF(Sheet1!273:273,"AAAAAH37djA=",0)</f>
        <v>0</v>
      </c>
      <c r="AX21" t="e">
        <f>AND(Sheet1!A273,"AAAAAH37djE=")</f>
        <v>#VALUE!</v>
      </c>
      <c r="AY21" t="e">
        <f>AND(Sheet1!B273,"AAAAAH37djI=")</f>
        <v>#VALUE!</v>
      </c>
      <c r="AZ21" t="e">
        <f>AND(Sheet1!C273,"AAAAAH37djM=")</f>
        <v>#VALUE!</v>
      </c>
      <c r="BA21" t="e">
        <f>AND(Sheet1!D273,"AAAAAH37djQ=")</f>
        <v>#VALUE!</v>
      </c>
      <c r="BB21" t="e">
        <f>AND(Sheet1!E273,"AAAAAH37djU=")</f>
        <v>#VALUE!</v>
      </c>
      <c r="BC21" t="e">
        <f>AND(Sheet1!F273,"AAAAAH37djY=")</f>
        <v>#VALUE!</v>
      </c>
      <c r="BD21" t="e">
        <f>AND(Sheet1!G273,"AAAAAH37djc=")</f>
        <v>#VALUE!</v>
      </c>
      <c r="BE21" t="e">
        <f>AND(Sheet1!H273,"AAAAAH37djg=")</f>
        <v>#VALUE!</v>
      </c>
      <c r="BF21" t="e">
        <f>AND(Sheet1!I273,"AAAAAH37djk=")</f>
        <v>#VALUE!</v>
      </c>
      <c r="BG21" t="e">
        <f>AND(Sheet1!J273,"AAAAAH37djo=")</f>
        <v>#VALUE!</v>
      </c>
      <c r="BH21" t="e">
        <f>AND(Sheet1!K273,"AAAAAH37djs=")</f>
        <v>#VALUE!</v>
      </c>
      <c r="BI21" t="e">
        <f>AND(Sheet1!L273,"AAAAAH37djw=")</f>
        <v>#VALUE!</v>
      </c>
      <c r="BJ21" t="e">
        <f>AND(Sheet1!M273,"AAAAAH37dj0=")</f>
        <v>#VALUE!</v>
      </c>
      <c r="BK21" t="e">
        <f>AND(Sheet1!N273,"AAAAAH37dj4=")</f>
        <v>#VALUE!</v>
      </c>
      <c r="BL21" t="e">
        <f>AND(Sheet1!#REF!,"AAAAAH37dj8=")</f>
        <v>#REF!</v>
      </c>
      <c r="BM21" t="e">
        <f>AND(Sheet1!#REF!,"AAAAAH37dkA=")</f>
        <v>#REF!</v>
      </c>
      <c r="BN21" t="e">
        <f>AND(Sheet1!#REF!,"AAAAAH37dkE=")</f>
        <v>#REF!</v>
      </c>
      <c r="BO21" t="e">
        <f>AND(Sheet1!#REF!,"AAAAAH37dkI=")</f>
        <v>#REF!</v>
      </c>
      <c r="BP21">
        <f>IF(Sheet1!274:274,"AAAAAH37dkM=",0)</f>
        <v>0</v>
      </c>
      <c r="BQ21" t="e">
        <f>AND(Sheet1!A274,"AAAAAH37dkQ=")</f>
        <v>#VALUE!</v>
      </c>
      <c r="BR21" t="e">
        <f>AND(Sheet1!B274,"AAAAAH37dkU=")</f>
        <v>#VALUE!</v>
      </c>
      <c r="BS21" t="e">
        <f>AND(Sheet1!C274,"AAAAAH37dkY=")</f>
        <v>#VALUE!</v>
      </c>
      <c r="BT21" t="e">
        <f>AND(Sheet1!D274,"AAAAAH37dkc=")</f>
        <v>#VALUE!</v>
      </c>
      <c r="BU21" t="e">
        <f>AND(Sheet1!E274,"AAAAAH37dkg=")</f>
        <v>#VALUE!</v>
      </c>
      <c r="BV21" t="e">
        <f>AND(Sheet1!F274,"AAAAAH37dkk=")</f>
        <v>#VALUE!</v>
      </c>
      <c r="BW21" t="e">
        <f>AND(Sheet1!G274,"AAAAAH37dko=")</f>
        <v>#VALUE!</v>
      </c>
      <c r="BX21" t="e">
        <f>AND(Sheet1!H274,"AAAAAH37dks=")</f>
        <v>#VALUE!</v>
      </c>
      <c r="BY21" t="e">
        <f>AND(Sheet1!I274,"AAAAAH37dkw=")</f>
        <v>#VALUE!</v>
      </c>
      <c r="BZ21" t="e">
        <f>AND(Sheet1!J274,"AAAAAH37dk0=")</f>
        <v>#VALUE!</v>
      </c>
      <c r="CA21" t="e">
        <f>AND(Sheet1!K274,"AAAAAH37dk4=")</f>
        <v>#VALUE!</v>
      </c>
      <c r="CB21" t="e">
        <f>AND(Sheet1!L274,"AAAAAH37dk8=")</f>
        <v>#VALUE!</v>
      </c>
      <c r="CC21" t="e">
        <f>AND(Sheet1!M274,"AAAAAH37dlA=")</f>
        <v>#VALUE!</v>
      </c>
      <c r="CD21" t="e">
        <f>AND(Sheet1!N274,"AAAAAH37dlE=")</f>
        <v>#VALUE!</v>
      </c>
      <c r="CE21" t="e">
        <f>AND(Sheet1!#REF!,"AAAAAH37dlI=")</f>
        <v>#REF!</v>
      </c>
      <c r="CF21" t="e">
        <f>AND(Sheet1!#REF!,"AAAAAH37dlM=")</f>
        <v>#REF!</v>
      </c>
      <c r="CG21" t="e">
        <f>AND(Sheet1!#REF!,"AAAAAH37dlQ=")</f>
        <v>#REF!</v>
      </c>
      <c r="CH21" t="e">
        <f>AND(Sheet1!#REF!,"AAAAAH37dlU=")</f>
        <v>#REF!</v>
      </c>
      <c r="CI21">
        <f>IF(Sheet1!275:275,"AAAAAH37dlY=",0)</f>
        <v>0</v>
      </c>
      <c r="CJ21" t="e">
        <f>AND(Sheet1!A275,"AAAAAH37dlc=")</f>
        <v>#VALUE!</v>
      </c>
      <c r="CK21" t="e">
        <f>AND(Sheet1!B275,"AAAAAH37dlg=")</f>
        <v>#VALUE!</v>
      </c>
      <c r="CL21" t="e">
        <f>AND(Sheet1!C275,"AAAAAH37dlk=")</f>
        <v>#VALUE!</v>
      </c>
      <c r="CM21" t="e">
        <f>AND(Sheet1!D275,"AAAAAH37dlo=")</f>
        <v>#VALUE!</v>
      </c>
      <c r="CN21" t="e">
        <f>AND(Sheet1!E275,"AAAAAH37dls=")</f>
        <v>#VALUE!</v>
      </c>
      <c r="CO21" t="e">
        <f>AND(Sheet1!F275,"AAAAAH37dlw=")</f>
        <v>#VALUE!</v>
      </c>
      <c r="CP21" t="e">
        <f>AND(Sheet1!G275,"AAAAAH37dl0=")</f>
        <v>#VALUE!</v>
      </c>
      <c r="CQ21" t="e">
        <f>AND(Sheet1!H275,"AAAAAH37dl4=")</f>
        <v>#VALUE!</v>
      </c>
      <c r="CR21" t="e">
        <f>AND(Sheet1!I275,"AAAAAH37dl8=")</f>
        <v>#VALUE!</v>
      </c>
      <c r="CS21" t="e">
        <f>AND(Sheet1!J275,"AAAAAH37dmA=")</f>
        <v>#VALUE!</v>
      </c>
      <c r="CT21" t="e">
        <f>AND(Sheet1!K275,"AAAAAH37dmE=")</f>
        <v>#VALUE!</v>
      </c>
      <c r="CU21" t="e">
        <f>AND(Sheet1!L275,"AAAAAH37dmI=")</f>
        <v>#VALUE!</v>
      </c>
      <c r="CV21" t="e">
        <f>AND(Sheet1!M275,"AAAAAH37dmM=")</f>
        <v>#VALUE!</v>
      </c>
      <c r="CW21" t="e">
        <f>AND(Sheet1!N275,"AAAAAH37dmQ=")</f>
        <v>#VALUE!</v>
      </c>
      <c r="CX21" t="e">
        <f>AND(Sheet1!#REF!,"AAAAAH37dmU=")</f>
        <v>#REF!</v>
      </c>
      <c r="CY21" t="e">
        <f>AND(Sheet1!#REF!,"AAAAAH37dmY=")</f>
        <v>#REF!</v>
      </c>
      <c r="CZ21" t="e">
        <f>AND(Sheet1!#REF!,"AAAAAH37dmc=")</f>
        <v>#REF!</v>
      </c>
      <c r="DA21" t="e">
        <f>AND(Sheet1!#REF!,"AAAAAH37dmg=")</f>
        <v>#REF!</v>
      </c>
      <c r="DB21">
        <f>IF(Sheet1!276:276,"AAAAAH37dmk=",0)</f>
        <v>0</v>
      </c>
      <c r="DC21" t="e">
        <f>AND(Sheet1!A276,"AAAAAH37dmo=")</f>
        <v>#VALUE!</v>
      </c>
      <c r="DD21" t="e">
        <f>AND(Sheet1!B276,"AAAAAH37dms=")</f>
        <v>#VALUE!</v>
      </c>
      <c r="DE21" t="e">
        <f>AND(Sheet1!C276,"AAAAAH37dmw=")</f>
        <v>#VALUE!</v>
      </c>
      <c r="DF21" t="e">
        <f>AND(Sheet1!D276,"AAAAAH37dm0=")</f>
        <v>#VALUE!</v>
      </c>
      <c r="DG21" t="e">
        <f>AND(Sheet1!E276,"AAAAAH37dm4=")</f>
        <v>#VALUE!</v>
      </c>
      <c r="DH21" t="e">
        <f>AND(Sheet1!F276,"AAAAAH37dm8=")</f>
        <v>#VALUE!</v>
      </c>
      <c r="DI21" t="e">
        <f>AND(Sheet1!G276,"AAAAAH37dnA=")</f>
        <v>#VALUE!</v>
      </c>
      <c r="DJ21" t="e">
        <f>AND(Sheet1!H276,"AAAAAH37dnE=")</f>
        <v>#VALUE!</v>
      </c>
      <c r="DK21" t="e">
        <f>AND(Sheet1!I276,"AAAAAH37dnI=")</f>
        <v>#VALUE!</v>
      </c>
      <c r="DL21" t="e">
        <f>AND(Sheet1!J276,"AAAAAH37dnM=")</f>
        <v>#VALUE!</v>
      </c>
      <c r="DM21" t="e">
        <f>AND(Sheet1!K276,"AAAAAH37dnQ=")</f>
        <v>#VALUE!</v>
      </c>
      <c r="DN21" t="e">
        <f>AND(Sheet1!L276,"AAAAAH37dnU=")</f>
        <v>#VALUE!</v>
      </c>
      <c r="DO21" t="e">
        <f>AND(Sheet1!M276,"AAAAAH37dnY=")</f>
        <v>#VALUE!</v>
      </c>
      <c r="DP21" t="e">
        <f>AND(Sheet1!N276,"AAAAAH37dnc=")</f>
        <v>#VALUE!</v>
      </c>
      <c r="DQ21" t="e">
        <f>AND(Sheet1!#REF!,"AAAAAH37dng=")</f>
        <v>#REF!</v>
      </c>
      <c r="DR21" t="e">
        <f>AND(Sheet1!#REF!,"AAAAAH37dnk=")</f>
        <v>#REF!</v>
      </c>
      <c r="DS21" t="e">
        <f>AND(Sheet1!#REF!,"AAAAAH37dno=")</f>
        <v>#REF!</v>
      </c>
      <c r="DT21" t="e">
        <f>AND(Sheet1!#REF!,"AAAAAH37dns=")</f>
        <v>#REF!</v>
      </c>
      <c r="DU21">
        <f>IF(Sheet1!277:277,"AAAAAH37dnw=",0)</f>
        <v>0</v>
      </c>
      <c r="DV21" t="e">
        <f>AND(Sheet1!A277,"AAAAAH37dn0=")</f>
        <v>#VALUE!</v>
      </c>
      <c r="DW21" t="e">
        <f>AND(Sheet1!B277,"AAAAAH37dn4=")</f>
        <v>#VALUE!</v>
      </c>
      <c r="DX21" t="e">
        <f>AND(Sheet1!C277,"AAAAAH37dn8=")</f>
        <v>#VALUE!</v>
      </c>
      <c r="DY21" t="e">
        <f>AND(Sheet1!D277,"AAAAAH37doA=")</f>
        <v>#VALUE!</v>
      </c>
      <c r="DZ21" t="e">
        <f>AND(Sheet1!E277,"AAAAAH37doE=")</f>
        <v>#VALUE!</v>
      </c>
      <c r="EA21" t="e">
        <f>AND(Sheet1!F277,"AAAAAH37doI=")</f>
        <v>#VALUE!</v>
      </c>
      <c r="EB21" t="e">
        <f>AND(Sheet1!G277,"AAAAAH37doM=")</f>
        <v>#VALUE!</v>
      </c>
      <c r="EC21" t="e">
        <f>AND(Sheet1!H277,"AAAAAH37doQ=")</f>
        <v>#VALUE!</v>
      </c>
      <c r="ED21" t="e">
        <f>AND(Sheet1!I277,"AAAAAH37doU=")</f>
        <v>#VALUE!</v>
      </c>
      <c r="EE21" t="e">
        <f>AND(Sheet1!J277,"AAAAAH37doY=")</f>
        <v>#VALUE!</v>
      </c>
      <c r="EF21" t="e">
        <f>AND(Sheet1!K277,"AAAAAH37doc=")</f>
        <v>#VALUE!</v>
      </c>
      <c r="EG21" t="e">
        <f>AND(Sheet1!L277,"AAAAAH37dog=")</f>
        <v>#VALUE!</v>
      </c>
      <c r="EH21" t="e">
        <f>AND(Sheet1!M277,"AAAAAH37dok=")</f>
        <v>#VALUE!</v>
      </c>
      <c r="EI21" t="e">
        <f>AND(Sheet1!N277,"AAAAAH37doo=")</f>
        <v>#VALUE!</v>
      </c>
      <c r="EJ21" t="e">
        <f>AND(Sheet1!#REF!,"AAAAAH37dos=")</f>
        <v>#REF!</v>
      </c>
      <c r="EK21" t="e">
        <f>AND(Sheet1!#REF!,"AAAAAH37dow=")</f>
        <v>#REF!</v>
      </c>
      <c r="EL21" t="e">
        <f>AND(Sheet1!#REF!,"AAAAAH37do0=")</f>
        <v>#REF!</v>
      </c>
      <c r="EM21" t="e">
        <f>AND(Sheet1!#REF!,"AAAAAH37do4=")</f>
        <v>#REF!</v>
      </c>
      <c r="EN21">
        <f>IF(Sheet1!278:278,"AAAAAH37do8=",0)</f>
        <v>0</v>
      </c>
      <c r="EO21" t="e">
        <f>AND(Sheet1!A278,"AAAAAH37dpA=")</f>
        <v>#VALUE!</v>
      </c>
      <c r="EP21" t="e">
        <f>AND(Sheet1!B278,"AAAAAH37dpE=")</f>
        <v>#VALUE!</v>
      </c>
      <c r="EQ21" t="e">
        <f>AND(Sheet1!C278,"AAAAAH37dpI=")</f>
        <v>#VALUE!</v>
      </c>
      <c r="ER21" t="e">
        <f>AND(Sheet1!D278,"AAAAAH37dpM=")</f>
        <v>#VALUE!</v>
      </c>
      <c r="ES21" t="e">
        <f>AND(Sheet1!E278,"AAAAAH37dpQ=")</f>
        <v>#VALUE!</v>
      </c>
      <c r="ET21" t="e">
        <f>AND(Sheet1!F278,"AAAAAH37dpU=")</f>
        <v>#VALUE!</v>
      </c>
      <c r="EU21" t="e">
        <f>AND(Sheet1!G278,"AAAAAH37dpY=")</f>
        <v>#VALUE!</v>
      </c>
      <c r="EV21" t="e">
        <f>AND(Sheet1!H278,"AAAAAH37dpc=")</f>
        <v>#VALUE!</v>
      </c>
      <c r="EW21" t="e">
        <f>AND(Sheet1!I278,"AAAAAH37dpg=")</f>
        <v>#VALUE!</v>
      </c>
      <c r="EX21" t="e">
        <f>AND(Sheet1!J278,"AAAAAH37dpk=")</f>
        <v>#VALUE!</v>
      </c>
      <c r="EY21" t="e">
        <f>AND(Sheet1!K278,"AAAAAH37dpo=")</f>
        <v>#VALUE!</v>
      </c>
      <c r="EZ21" t="e">
        <f>AND(Sheet1!L278,"AAAAAH37dps=")</f>
        <v>#VALUE!</v>
      </c>
      <c r="FA21" t="e">
        <f>AND(Sheet1!M278,"AAAAAH37dpw=")</f>
        <v>#VALUE!</v>
      </c>
      <c r="FB21" t="e">
        <f>AND(Sheet1!N278,"AAAAAH37dp0=")</f>
        <v>#VALUE!</v>
      </c>
      <c r="FC21" t="e">
        <f>AND(Sheet1!#REF!,"AAAAAH37dp4=")</f>
        <v>#REF!</v>
      </c>
      <c r="FD21" t="e">
        <f>AND(Sheet1!#REF!,"AAAAAH37dp8=")</f>
        <v>#REF!</v>
      </c>
      <c r="FE21" t="e">
        <f>AND(Sheet1!#REF!,"AAAAAH37dqA=")</f>
        <v>#REF!</v>
      </c>
      <c r="FF21" t="e">
        <f>AND(Sheet1!#REF!,"AAAAAH37dqE=")</f>
        <v>#REF!</v>
      </c>
      <c r="FG21">
        <f>IF(Sheet1!279:279,"AAAAAH37dqI=",0)</f>
        <v>0</v>
      </c>
      <c r="FH21" t="e">
        <f>AND(Sheet1!A279,"AAAAAH37dqM=")</f>
        <v>#VALUE!</v>
      </c>
      <c r="FI21" t="e">
        <f>AND(Sheet1!B279,"AAAAAH37dqQ=")</f>
        <v>#VALUE!</v>
      </c>
      <c r="FJ21" t="e">
        <f>AND(Sheet1!C279,"AAAAAH37dqU=")</f>
        <v>#VALUE!</v>
      </c>
      <c r="FK21" t="e">
        <f>AND(Sheet1!D279,"AAAAAH37dqY=")</f>
        <v>#VALUE!</v>
      </c>
      <c r="FL21" t="e">
        <f>AND(Sheet1!E279,"AAAAAH37dqc=")</f>
        <v>#VALUE!</v>
      </c>
      <c r="FM21" t="e">
        <f>AND(Sheet1!F279,"AAAAAH37dqg=")</f>
        <v>#VALUE!</v>
      </c>
      <c r="FN21" t="e">
        <f>AND(Sheet1!G279,"AAAAAH37dqk=")</f>
        <v>#VALUE!</v>
      </c>
      <c r="FO21" t="e">
        <f>AND(Sheet1!H279,"AAAAAH37dqo=")</f>
        <v>#VALUE!</v>
      </c>
      <c r="FP21" t="e">
        <f>AND(Sheet1!I279,"AAAAAH37dqs=")</f>
        <v>#VALUE!</v>
      </c>
      <c r="FQ21" t="e">
        <f>AND(Sheet1!J279,"AAAAAH37dqw=")</f>
        <v>#VALUE!</v>
      </c>
      <c r="FR21" t="e">
        <f>AND(Sheet1!K279,"AAAAAH37dq0=")</f>
        <v>#VALUE!</v>
      </c>
      <c r="FS21" t="e">
        <f>AND(Sheet1!L279,"AAAAAH37dq4=")</f>
        <v>#VALUE!</v>
      </c>
      <c r="FT21" t="e">
        <f>AND(Sheet1!M279,"AAAAAH37dq8=")</f>
        <v>#VALUE!</v>
      </c>
      <c r="FU21" t="e">
        <f>AND(Sheet1!N279,"AAAAAH37drA=")</f>
        <v>#VALUE!</v>
      </c>
      <c r="FV21" t="e">
        <f>AND(Sheet1!#REF!,"AAAAAH37drE=")</f>
        <v>#REF!</v>
      </c>
      <c r="FW21" t="e">
        <f>AND(Sheet1!#REF!,"AAAAAH37drI=")</f>
        <v>#REF!</v>
      </c>
      <c r="FX21" t="e">
        <f>AND(Sheet1!#REF!,"AAAAAH37drM=")</f>
        <v>#REF!</v>
      </c>
      <c r="FY21" t="e">
        <f>AND(Sheet1!#REF!,"AAAAAH37drQ=")</f>
        <v>#REF!</v>
      </c>
      <c r="FZ21">
        <f>IF(Sheet1!280:280,"AAAAAH37drU=",0)</f>
        <v>0</v>
      </c>
      <c r="GA21" t="e">
        <f>AND(Sheet1!A280,"AAAAAH37drY=")</f>
        <v>#VALUE!</v>
      </c>
      <c r="GB21" t="e">
        <f>AND(Sheet1!B280,"AAAAAH37drc=")</f>
        <v>#VALUE!</v>
      </c>
      <c r="GC21" t="e">
        <f>AND(Sheet1!C280,"AAAAAH37drg=")</f>
        <v>#VALUE!</v>
      </c>
      <c r="GD21" t="e">
        <f>AND(Sheet1!D280,"AAAAAH37drk=")</f>
        <v>#VALUE!</v>
      </c>
      <c r="GE21" t="e">
        <f>AND(Sheet1!E280,"AAAAAH37dro=")</f>
        <v>#VALUE!</v>
      </c>
      <c r="GF21" t="e">
        <f>AND(Sheet1!F280,"AAAAAH37drs=")</f>
        <v>#VALUE!</v>
      </c>
      <c r="GG21" t="e">
        <f>AND(Sheet1!G280,"AAAAAH37drw=")</f>
        <v>#VALUE!</v>
      </c>
      <c r="GH21" t="e">
        <f>AND(Sheet1!H280,"AAAAAH37dr0=")</f>
        <v>#VALUE!</v>
      </c>
      <c r="GI21" t="e">
        <f>AND(Sheet1!I280,"AAAAAH37dr4=")</f>
        <v>#VALUE!</v>
      </c>
      <c r="GJ21" t="e">
        <f>AND(Sheet1!J280,"AAAAAH37dr8=")</f>
        <v>#VALUE!</v>
      </c>
      <c r="GK21" t="e">
        <f>AND(Sheet1!K280,"AAAAAH37dsA=")</f>
        <v>#VALUE!</v>
      </c>
      <c r="GL21" t="e">
        <f>AND(Sheet1!L280,"AAAAAH37dsE=")</f>
        <v>#VALUE!</v>
      </c>
      <c r="GM21" t="e">
        <f>AND(Sheet1!M280,"AAAAAH37dsI=")</f>
        <v>#VALUE!</v>
      </c>
      <c r="GN21" t="e">
        <f>AND(Sheet1!N280,"AAAAAH37dsM=")</f>
        <v>#VALUE!</v>
      </c>
      <c r="GO21" t="e">
        <f>AND(Sheet1!#REF!,"AAAAAH37dsQ=")</f>
        <v>#REF!</v>
      </c>
      <c r="GP21" t="e">
        <f>AND(Sheet1!#REF!,"AAAAAH37dsU=")</f>
        <v>#REF!</v>
      </c>
      <c r="GQ21" t="e">
        <f>AND(Sheet1!#REF!,"AAAAAH37dsY=")</f>
        <v>#REF!</v>
      </c>
      <c r="GR21" t="e">
        <f>AND(Sheet1!#REF!,"AAAAAH37dsc=")</f>
        <v>#REF!</v>
      </c>
      <c r="GS21">
        <f>IF(Sheet1!281:281,"AAAAAH37dsg=",0)</f>
        <v>0</v>
      </c>
      <c r="GT21" t="e">
        <f>AND(Sheet1!A281,"AAAAAH37dsk=")</f>
        <v>#VALUE!</v>
      </c>
      <c r="GU21" t="e">
        <f>AND(Sheet1!B281,"AAAAAH37dso=")</f>
        <v>#VALUE!</v>
      </c>
      <c r="GV21" t="e">
        <f>AND(Sheet1!C281,"AAAAAH37dss=")</f>
        <v>#VALUE!</v>
      </c>
      <c r="GW21" t="e">
        <f>AND(Sheet1!D281,"AAAAAH37dsw=")</f>
        <v>#VALUE!</v>
      </c>
      <c r="GX21" t="e">
        <f>AND(Sheet1!E281,"AAAAAH37ds0=")</f>
        <v>#VALUE!</v>
      </c>
      <c r="GY21" t="e">
        <f>AND(Sheet1!F281,"AAAAAH37ds4=")</f>
        <v>#VALUE!</v>
      </c>
      <c r="GZ21" t="e">
        <f>AND(Sheet1!G281,"AAAAAH37ds8=")</f>
        <v>#VALUE!</v>
      </c>
      <c r="HA21" t="e">
        <f>AND(Sheet1!H281,"AAAAAH37dtA=")</f>
        <v>#VALUE!</v>
      </c>
      <c r="HB21" t="e">
        <f>AND(Sheet1!I281,"AAAAAH37dtE=")</f>
        <v>#VALUE!</v>
      </c>
      <c r="HC21" t="e">
        <f>AND(Sheet1!J281,"AAAAAH37dtI=")</f>
        <v>#VALUE!</v>
      </c>
      <c r="HD21" t="e">
        <f>AND(Sheet1!K281,"AAAAAH37dtM=")</f>
        <v>#VALUE!</v>
      </c>
      <c r="HE21" t="e">
        <f>AND(Sheet1!L281,"AAAAAH37dtQ=")</f>
        <v>#VALUE!</v>
      </c>
      <c r="HF21" t="e">
        <f>AND(Sheet1!M281,"AAAAAH37dtU=")</f>
        <v>#VALUE!</v>
      </c>
      <c r="HG21" t="e">
        <f>AND(Sheet1!N281,"AAAAAH37dtY=")</f>
        <v>#VALUE!</v>
      </c>
      <c r="HH21" t="e">
        <f>AND(Sheet1!#REF!,"AAAAAH37dtc=")</f>
        <v>#REF!</v>
      </c>
      <c r="HI21" t="e">
        <f>AND(Sheet1!#REF!,"AAAAAH37dtg=")</f>
        <v>#REF!</v>
      </c>
      <c r="HJ21" t="e">
        <f>AND(Sheet1!#REF!,"AAAAAH37dtk=")</f>
        <v>#REF!</v>
      </c>
      <c r="HK21" t="e">
        <f>AND(Sheet1!#REF!,"AAAAAH37dto=")</f>
        <v>#REF!</v>
      </c>
      <c r="HL21">
        <f>IF(Sheet1!282:282,"AAAAAH37dts=",0)</f>
        <v>0</v>
      </c>
      <c r="HM21" t="e">
        <f>AND(Sheet1!A282,"AAAAAH37dtw=")</f>
        <v>#VALUE!</v>
      </c>
      <c r="HN21" t="e">
        <f>AND(Sheet1!B282,"AAAAAH37dt0=")</f>
        <v>#VALUE!</v>
      </c>
      <c r="HO21" t="e">
        <f>AND(Sheet1!C282,"AAAAAH37dt4=")</f>
        <v>#VALUE!</v>
      </c>
      <c r="HP21" t="e">
        <f>AND(Sheet1!D282,"AAAAAH37dt8=")</f>
        <v>#VALUE!</v>
      </c>
      <c r="HQ21" t="e">
        <f>AND(Sheet1!E282,"AAAAAH37duA=")</f>
        <v>#VALUE!</v>
      </c>
      <c r="HR21" t="e">
        <f>AND(Sheet1!F282,"AAAAAH37duE=")</f>
        <v>#VALUE!</v>
      </c>
      <c r="HS21" t="e">
        <f>AND(Sheet1!G282,"AAAAAH37duI=")</f>
        <v>#VALUE!</v>
      </c>
      <c r="HT21" t="e">
        <f>AND(Sheet1!H282,"AAAAAH37duM=")</f>
        <v>#VALUE!</v>
      </c>
      <c r="HU21" t="e">
        <f>AND(Sheet1!I282,"AAAAAH37duQ=")</f>
        <v>#VALUE!</v>
      </c>
      <c r="HV21" t="e">
        <f>AND(Sheet1!J282,"AAAAAH37duU=")</f>
        <v>#VALUE!</v>
      </c>
      <c r="HW21" t="e">
        <f>AND(Sheet1!K282,"AAAAAH37duY=")</f>
        <v>#VALUE!</v>
      </c>
      <c r="HX21" t="e">
        <f>AND(Sheet1!L282,"AAAAAH37duc=")</f>
        <v>#VALUE!</v>
      </c>
      <c r="HY21" t="e">
        <f>AND(Sheet1!M282,"AAAAAH37dug=")</f>
        <v>#VALUE!</v>
      </c>
      <c r="HZ21" t="e">
        <f>AND(Sheet1!N282,"AAAAAH37duk=")</f>
        <v>#VALUE!</v>
      </c>
      <c r="IA21" t="e">
        <f>AND(Sheet1!#REF!,"AAAAAH37duo=")</f>
        <v>#REF!</v>
      </c>
      <c r="IB21" t="e">
        <f>AND(Sheet1!#REF!,"AAAAAH37dus=")</f>
        <v>#REF!</v>
      </c>
      <c r="IC21" t="e">
        <f>AND(Sheet1!#REF!,"AAAAAH37duw=")</f>
        <v>#REF!</v>
      </c>
      <c r="ID21" t="e">
        <f>AND(Sheet1!#REF!,"AAAAAH37du0=")</f>
        <v>#REF!</v>
      </c>
      <c r="IE21">
        <f>IF(Sheet1!283:283,"AAAAAH37du4=",0)</f>
        <v>0</v>
      </c>
      <c r="IF21" t="e">
        <f>AND(Sheet1!A283,"AAAAAH37du8=")</f>
        <v>#VALUE!</v>
      </c>
      <c r="IG21" t="e">
        <f>AND(Sheet1!B283,"AAAAAH37dvA=")</f>
        <v>#VALUE!</v>
      </c>
      <c r="IH21" t="e">
        <f>AND(Sheet1!C283,"AAAAAH37dvE=")</f>
        <v>#VALUE!</v>
      </c>
      <c r="II21" t="e">
        <f>AND(Sheet1!D283,"AAAAAH37dvI=")</f>
        <v>#VALUE!</v>
      </c>
      <c r="IJ21" t="e">
        <f>AND(Sheet1!E283,"AAAAAH37dvM=")</f>
        <v>#VALUE!</v>
      </c>
      <c r="IK21" t="e">
        <f>AND(Sheet1!F283,"AAAAAH37dvQ=")</f>
        <v>#VALUE!</v>
      </c>
      <c r="IL21" t="e">
        <f>AND(Sheet1!G283,"AAAAAH37dvU=")</f>
        <v>#VALUE!</v>
      </c>
      <c r="IM21" t="e">
        <f>AND(Sheet1!H283,"AAAAAH37dvY=")</f>
        <v>#VALUE!</v>
      </c>
      <c r="IN21" t="e">
        <f>AND(Sheet1!I283,"AAAAAH37dvc=")</f>
        <v>#VALUE!</v>
      </c>
      <c r="IO21" t="e">
        <f>AND(Sheet1!J283,"AAAAAH37dvg=")</f>
        <v>#VALUE!</v>
      </c>
      <c r="IP21" t="e">
        <f>AND(Sheet1!K283,"AAAAAH37dvk=")</f>
        <v>#VALUE!</v>
      </c>
      <c r="IQ21" t="e">
        <f>AND(Sheet1!L283,"AAAAAH37dvo=")</f>
        <v>#VALUE!</v>
      </c>
      <c r="IR21" t="e">
        <f>AND(Sheet1!M283,"AAAAAH37dvs=")</f>
        <v>#VALUE!</v>
      </c>
      <c r="IS21" t="e">
        <f>AND(Sheet1!N283,"AAAAAH37dvw=")</f>
        <v>#VALUE!</v>
      </c>
      <c r="IT21" t="e">
        <f>AND(Sheet1!#REF!,"AAAAAH37dv0=")</f>
        <v>#REF!</v>
      </c>
      <c r="IU21" t="e">
        <f>AND(Sheet1!#REF!,"AAAAAH37dv4=")</f>
        <v>#REF!</v>
      </c>
      <c r="IV21" t="e">
        <f>AND(Sheet1!#REF!,"AAAAAH37dv8=")</f>
        <v>#REF!</v>
      </c>
    </row>
    <row r="22" spans="1:256" x14ac:dyDescent="0.2">
      <c r="A22" t="e">
        <f>AND(Sheet1!#REF!,"AAAAAH9m/wA=")</f>
        <v>#REF!</v>
      </c>
      <c r="B22" t="e">
        <f>IF(Sheet1!284:284,"AAAAAH9m/wE=",0)</f>
        <v>#VALUE!</v>
      </c>
      <c r="C22" t="e">
        <f>AND(Sheet1!A284,"AAAAAH9m/wI=")</f>
        <v>#VALUE!</v>
      </c>
      <c r="D22" t="e">
        <f>AND(Sheet1!B284,"AAAAAH9m/wM=")</f>
        <v>#VALUE!</v>
      </c>
      <c r="E22" t="e">
        <f>AND(Sheet1!C284,"AAAAAH9m/wQ=")</f>
        <v>#VALUE!</v>
      </c>
      <c r="F22" t="e">
        <f>AND(Sheet1!D284,"AAAAAH9m/wU=")</f>
        <v>#VALUE!</v>
      </c>
      <c r="G22" t="e">
        <f>AND(Sheet1!E284,"AAAAAH9m/wY=")</f>
        <v>#VALUE!</v>
      </c>
      <c r="H22" t="e">
        <f>AND(Sheet1!F284,"AAAAAH9m/wc=")</f>
        <v>#VALUE!</v>
      </c>
      <c r="I22" t="e">
        <f>AND(Sheet1!G284,"AAAAAH9m/wg=")</f>
        <v>#VALUE!</v>
      </c>
      <c r="J22" t="e">
        <f>AND(Sheet1!H284,"AAAAAH9m/wk=")</f>
        <v>#VALUE!</v>
      </c>
      <c r="K22" t="e">
        <f>AND(Sheet1!I284,"AAAAAH9m/wo=")</f>
        <v>#VALUE!</v>
      </c>
      <c r="L22" t="e">
        <f>AND(Sheet1!J284,"AAAAAH9m/ws=")</f>
        <v>#VALUE!</v>
      </c>
      <c r="M22" t="e">
        <f>AND(Sheet1!K284,"AAAAAH9m/ww=")</f>
        <v>#VALUE!</v>
      </c>
      <c r="N22" t="e">
        <f>AND(Sheet1!L284,"AAAAAH9m/w0=")</f>
        <v>#VALUE!</v>
      </c>
      <c r="O22" t="e">
        <f>AND(Sheet1!M284,"AAAAAH9m/w4=")</f>
        <v>#VALUE!</v>
      </c>
      <c r="P22" t="e">
        <f>AND(Sheet1!N284,"AAAAAH9m/w8=")</f>
        <v>#VALUE!</v>
      </c>
      <c r="Q22" t="e">
        <f>AND(Sheet1!#REF!,"AAAAAH9m/xA=")</f>
        <v>#REF!</v>
      </c>
      <c r="R22" t="e">
        <f>AND(Sheet1!#REF!,"AAAAAH9m/xE=")</f>
        <v>#REF!</v>
      </c>
      <c r="S22" t="e">
        <f>AND(Sheet1!#REF!,"AAAAAH9m/xI=")</f>
        <v>#REF!</v>
      </c>
      <c r="T22" t="e">
        <f>AND(Sheet1!#REF!,"AAAAAH9m/xM=")</f>
        <v>#REF!</v>
      </c>
      <c r="U22">
        <f>IF(Sheet1!285:285,"AAAAAH9m/xQ=",0)</f>
        <v>0</v>
      </c>
      <c r="V22" t="e">
        <f>AND(Sheet1!A285,"AAAAAH9m/xU=")</f>
        <v>#VALUE!</v>
      </c>
      <c r="W22" t="e">
        <f>AND(Sheet1!B285,"AAAAAH9m/xY=")</f>
        <v>#VALUE!</v>
      </c>
      <c r="X22" t="e">
        <f>AND(Sheet1!C285,"AAAAAH9m/xc=")</f>
        <v>#VALUE!</v>
      </c>
      <c r="Y22" t="e">
        <f>AND(Sheet1!D285,"AAAAAH9m/xg=")</f>
        <v>#VALUE!</v>
      </c>
      <c r="Z22" t="e">
        <f>AND(Sheet1!E285,"AAAAAH9m/xk=")</f>
        <v>#VALUE!</v>
      </c>
      <c r="AA22" t="e">
        <f>AND(Sheet1!F285,"AAAAAH9m/xo=")</f>
        <v>#VALUE!</v>
      </c>
      <c r="AB22" t="e">
        <f>AND(Sheet1!G285,"AAAAAH9m/xs=")</f>
        <v>#VALUE!</v>
      </c>
      <c r="AC22" t="e">
        <f>AND(Sheet1!H285,"AAAAAH9m/xw=")</f>
        <v>#VALUE!</v>
      </c>
      <c r="AD22" t="e">
        <f>AND(Sheet1!I285,"AAAAAH9m/x0=")</f>
        <v>#VALUE!</v>
      </c>
      <c r="AE22" t="e">
        <f>AND(Sheet1!J285,"AAAAAH9m/x4=")</f>
        <v>#VALUE!</v>
      </c>
      <c r="AF22" t="e">
        <f>AND(Sheet1!K285,"AAAAAH9m/x8=")</f>
        <v>#VALUE!</v>
      </c>
      <c r="AG22" t="e">
        <f>AND(Sheet1!L285,"AAAAAH9m/yA=")</f>
        <v>#VALUE!</v>
      </c>
      <c r="AH22" t="e">
        <f>AND(Sheet1!M285,"AAAAAH9m/yE=")</f>
        <v>#VALUE!</v>
      </c>
      <c r="AI22" t="e">
        <f>AND(Sheet1!N285,"AAAAAH9m/yI=")</f>
        <v>#VALUE!</v>
      </c>
      <c r="AJ22" t="e">
        <f>AND(Sheet1!#REF!,"AAAAAH9m/yM=")</f>
        <v>#REF!</v>
      </c>
      <c r="AK22" t="e">
        <f>AND(Sheet1!#REF!,"AAAAAH9m/yQ=")</f>
        <v>#REF!</v>
      </c>
      <c r="AL22" t="e">
        <f>AND(Sheet1!#REF!,"AAAAAH9m/yU=")</f>
        <v>#REF!</v>
      </c>
      <c r="AM22" t="e">
        <f>AND(Sheet1!#REF!,"AAAAAH9m/yY=")</f>
        <v>#REF!</v>
      </c>
      <c r="AN22">
        <f>IF(Sheet1!286:286,"AAAAAH9m/yc=",0)</f>
        <v>0</v>
      </c>
      <c r="AO22" t="e">
        <f>AND(Sheet1!A286,"AAAAAH9m/yg=")</f>
        <v>#VALUE!</v>
      </c>
      <c r="AP22" t="e">
        <f>AND(Sheet1!B286,"AAAAAH9m/yk=")</f>
        <v>#VALUE!</v>
      </c>
      <c r="AQ22" t="e">
        <f>AND(Sheet1!C286,"AAAAAH9m/yo=")</f>
        <v>#VALUE!</v>
      </c>
      <c r="AR22" t="e">
        <f>AND(Sheet1!D286,"AAAAAH9m/ys=")</f>
        <v>#VALUE!</v>
      </c>
      <c r="AS22" t="e">
        <f>AND(Sheet1!E286,"AAAAAH9m/yw=")</f>
        <v>#VALUE!</v>
      </c>
      <c r="AT22" t="e">
        <f>AND(Sheet1!F286,"AAAAAH9m/y0=")</f>
        <v>#VALUE!</v>
      </c>
      <c r="AU22" t="e">
        <f>AND(Sheet1!G286,"AAAAAH9m/y4=")</f>
        <v>#VALUE!</v>
      </c>
      <c r="AV22" t="e">
        <f>AND(Sheet1!H286,"AAAAAH9m/y8=")</f>
        <v>#VALUE!</v>
      </c>
      <c r="AW22" t="e">
        <f>AND(Sheet1!I286,"AAAAAH9m/zA=")</f>
        <v>#VALUE!</v>
      </c>
      <c r="AX22" t="e">
        <f>AND(Sheet1!J286,"AAAAAH9m/zE=")</f>
        <v>#VALUE!</v>
      </c>
      <c r="AY22" t="e">
        <f>AND(Sheet1!K286,"AAAAAH9m/zI=")</f>
        <v>#VALUE!</v>
      </c>
      <c r="AZ22" t="e">
        <f>AND(Sheet1!L286,"AAAAAH9m/zM=")</f>
        <v>#VALUE!</v>
      </c>
      <c r="BA22" t="e">
        <f>AND(Sheet1!M286,"AAAAAH9m/zQ=")</f>
        <v>#VALUE!</v>
      </c>
      <c r="BB22" t="e">
        <f>AND(Sheet1!N286,"AAAAAH9m/zU=")</f>
        <v>#VALUE!</v>
      </c>
      <c r="BC22" t="e">
        <f>AND(Sheet1!#REF!,"AAAAAH9m/zY=")</f>
        <v>#REF!</v>
      </c>
      <c r="BD22" t="e">
        <f>AND(Sheet1!#REF!,"AAAAAH9m/zc=")</f>
        <v>#REF!</v>
      </c>
      <c r="BE22" t="e">
        <f>AND(Sheet1!#REF!,"AAAAAH9m/zg=")</f>
        <v>#REF!</v>
      </c>
      <c r="BF22" t="e">
        <f>AND(Sheet1!#REF!,"AAAAAH9m/zk=")</f>
        <v>#REF!</v>
      </c>
      <c r="BG22">
        <f>IF(Sheet1!287:287,"AAAAAH9m/zo=",0)</f>
        <v>0</v>
      </c>
      <c r="BH22" t="e">
        <f>AND(Sheet1!A287,"AAAAAH9m/zs=")</f>
        <v>#VALUE!</v>
      </c>
      <c r="BI22" t="e">
        <f>AND(Sheet1!B287,"AAAAAH9m/zw=")</f>
        <v>#VALUE!</v>
      </c>
      <c r="BJ22" t="e">
        <f>AND(Sheet1!C287,"AAAAAH9m/z0=")</f>
        <v>#VALUE!</v>
      </c>
      <c r="BK22" t="e">
        <f>AND(Sheet1!D287,"AAAAAH9m/z4=")</f>
        <v>#VALUE!</v>
      </c>
      <c r="BL22" t="e">
        <f>AND(Sheet1!E287,"AAAAAH9m/z8=")</f>
        <v>#VALUE!</v>
      </c>
      <c r="BM22" t="e">
        <f>AND(Sheet1!F287,"AAAAAH9m/0A=")</f>
        <v>#VALUE!</v>
      </c>
      <c r="BN22" t="e">
        <f>AND(Sheet1!G287,"AAAAAH9m/0E=")</f>
        <v>#VALUE!</v>
      </c>
      <c r="BO22" t="e">
        <f>AND(Sheet1!H287,"AAAAAH9m/0I=")</f>
        <v>#VALUE!</v>
      </c>
      <c r="BP22" t="e">
        <f>AND(Sheet1!I287,"AAAAAH9m/0M=")</f>
        <v>#VALUE!</v>
      </c>
      <c r="BQ22" t="e">
        <f>AND(Sheet1!J287,"AAAAAH9m/0Q=")</f>
        <v>#VALUE!</v>
      </c>
      <c r="BR22" t="e">
        <f>AND(Sheet1!K287,"AAAAAH9m/0U=")</f>
        <v>#VALUE!</v>
      </c>
      <c r="BS22" t="e">
        <f>AND(Sheet1!L287,"AAAAAH9m/0Y=")</f>
        <v>#VALUE!</v>
      </c>
      <c r="BT22" t="e">
        <f>AND(Sheet1!M287,"AAAAAH9m/0c=")</f>
        <v>#VALUE!</v>
      </c>
      <c r="BU22" t="e">
        <f>AND(Sheet1!N287,"AAAAAH9m/0g=")</f>
        <v>#VALUE!</v>
      </c>
      <c r="BV22" t="e">
        <f>AND(Sheet1!#REF!,"AAAAAH9m/0k=")</f>
        <v>#REF!</v>
      </c>
      <c r="BW22" t="e">
        <f>AND(Sheet1!#REF!,"AAAAAH9m/0o=")</f>
        <v>#REF!</v>
      </c>
      <c r="BX22" t="e">
        <f>AND(Sheet1!#REF!,"AAAAAH9m/0s=")</f>
        <v>#REF!</v>
      </c>
      <c r="BY22" t="e">
        <f>AND(Sheet1!#REF!,"AAAAAH9m/0w=")</f>
        <v>#REF!</v>
      </c>
      <c r="BZ22">
        <f>IF(Sheet1!288:288,"AAAAAH9m/00=",0)</f>
        <v>0</v>
      </c>
      <c r="CA22" t="e">
        <f>AND(Sheet1!A288,"AAAAAH9m/04=")</f>
        <v>#VALUE!</v>
      </c>
      <c r="CB22" t="e">
        <f>AND(Sheet1!B288,"AAAAAH9m/08=")</f>
        <v>#VALUE!</v>
      </c>
      <c r="CC22" t="e">
        <f>AND(Sheet1!C288,"AAAAAH9m/1A=")</f>
        <v>#VALUE!</v>
      </c>
      <c r="CD22" t="e">
        <f>AND(Sheet1!D288,"AAAAAH9m/1E=")</f>
        <v>#VALUE!</v>
      </c>
      <c r="CE22" t="e">
        <f>AND(Sheet1!E288,"AAAAAH9m/1I=")</f>
        <v>#VALUE!</v>
      </c>
      <c r="CF22" t="e">
        <f>AND(Sheet1!F288,"AAAAAH9m/1M=")</f>
        <v>#VALUE!</v>
      </c>
      <c r="CG22" t="e">
        <f>AND(Sheet1!G288,"AAAAAH9m/1Q=")</f>
        <v>#VALUE!</v>
      </c>
      <c r="CH22" t="e">
        <f>AND(Sheet1!H288,"AAAAAH9m/1U=")</f>
        <v>#VALUE!</v>
      </c>
      <c r="CI22" t="e">
        <f>AND(Sheet1!I288,"AAAAAH9m/1Y=")</f>
        <v>#VALUE!</v>
      </c>
      <c r="CJ22" t="e">
        <f>AND(Sheet1!J288,"AAAAAH9m/1c=")</f>
        <v>#VALUE!</v>
      </c>
      <c r="CK22" t="e">
        <f>AND(Sheet1!K288,"AAAAAH9m/1g=")</f>
        <v>#VALUE!</v>
      </c>
      <c r="CL22" t="e">
        <f>AND(Sheet1!L288,"AAAAAH9m/1k=")</f>
        <v>#VALUE!</v>
      </c>
      <c r="CM22" t="e">
        <f>AND(Sheet1!M288,"AAAAAH9m/1o=")</f>
        <v>#VALUE!</v>
      </c>
      <c r="CN22" t="e">
        <f>AND(Sheet1!N288,"AAAAAH9m/1s=")</f>
        <v>#VALUE!</v>
      </c>
      <c r="CO22" t="e">
        <f>AND(Sheet1!#REF!,"AAAAAH9m/1w=")</f>
        <v>#REF!</v>
      </c>
      <c r="CP22" t="e">
        <f>AND(Sheet1!#REF!,"AAAAAH9m/10=")</f>
        <v>#REF!</v>
      </c>
      <c r="CQ22" t="e">
        <f>AND(Sheet1!#REF!,"AAAAAH9m/14=")</f>
        <v>#REF!</v>
      </c>
      <c r="CR22" t="e">
        <f>AND(Sheet1!#REF!,"AAAAAH9m/18=")</f>
        <v>#REF!</v>
      </c>
      <c r="CS22">
        <f>IF(Sheet1!289:289,"AAAAAH9m/2A=",0)</f>
        <v>0</v>
      </c>
      <c r="CT22" t="e">
        <f>AND(Sheet1!A289,"AAAAAH9m/2E=")</f>
        <v>#VALUE!</v>
      </c>
      <c r="CU22" t="e">
        <f>AND(Sheet1!B289,"AAAAAH9m/2I=")</f>
        <v>#VALUE!</v>
      </c>
      <c r="CV22" t="e">
        <f>AND(Sheet1!C289,"AAAAAH9m/2M=")</f>
        <v>#VALUE!</v>
      </c>
      <c r="CW22" t="e">
        <f>AND(Sheet1!D289,"AAAAAH9m/2Q=")</f>
        <v>#VALUE!</v>
      </c>
      <c r="CX22" t="e">
        <f>AND(Sheet1!E289,"AAAAAH9m/2U=")</f>
        <v>#VALUE!</v>
      </c>
      <c r="CY22" t="e">
        <f>AND(Sheet1!F289,"AAAAAH9m/2Y=")</f>
        <v>#VALUE!</v>
      </c>
      <c r="CZ22" t="e">
        <f>AND(Sheet1!G289,"AAAAAH9m/2c=")</f>
        <v>#VALUE!</v>
      </c>
      <c r="DA22" t="e">
        <f>AND(Sheet1!H289,"AAAAAH9m/2g=")</f>
        <v>#VALUE!</v>
      </c>
      <c r="DB22" t="e">
        <f>AND(Sheet1!I289,"AAAAAH9m/2k=")</f>
        <v>#VALUE!</v>
      </c>
      <c r="DC22" t="e">
        <f>AND(Sheet1!J289,"AAAAAH9m/2o=")</f>
        <v>#VALUE!</v>
      </c>
      <c r="DD22" t="e">
        <f>AND(Sheet1!K289,"AAAAAH9m/2s=")</f>
        <v>#VALUE!</v>
      </c>
      <c r="DE22" t="e">
        <f>AND(Sheet1!L289,"AAAAAH9m/2w=")</f>
        <v>#VALUE!</v>
      </c>
      <c r="DF22" t="e">
        <f>AND(Sheet1!M289,"AAAAAH9m/20=")</f>
        <v>#VALUE!</v>
      </c>
      <c r="DG22" t="e">
        <f>AND(Sheet1!N289,"AAAAAH9m/24=")</f>
        <v>#VALUE!</v>
      </c>
      <c r="DH22" t="e">
        <f>AND(Sheet1!#REF!,"AAAAAH9m/28=")</f>
        <v>#REF!</v>
      </c>
      <c r="DI22" t="e">
        <f>AND(Sheet1!#REF!,"AAAAAH9m/3A=")</f>
        <v>#REF!</v>
      </c>
      <c r="DJ22" t="e">
        <f>AND(Sheet1!#REF!,"AAAAAH9m/3E=")</f>
        <v>#REF!</v>
      </c>
      <c r="DK22" t="e">
        <f>AND(Sheet1!#REF!,"AAAAAH9m/3I=")</f>
        <v>#REF!</v>
      </c>
      <c r="DL22">
        <f>IF(Sheet1!290:290,"AAAAAH9m/3M=",0)</f>
        <v>0</v>
      </c>
      <c r="DM22" t="e">
        <f>AND(Sheet1!A290,"AAAAAH9m/3Q=")</f>
        <v>#VALUE!</v>
      </c>
      <c r="DN22" t="e">
        <f>AND(Sheet1!B290,"AAAAAH9m/3U=")</f>
        <v>#VALUE!</v>
      </c>
      <c r="DO22" t="e">
        <f>AND(Sheet1!C290,"AAAAAH9m/3Y=")</f>
        <v>#VALUE!</v>
      </c>
      <c r="DP22" t="e">
        <f>AND(Sheet1!D290,"AAAAAH9m/3c=")</f>
        <v>#VALUE!</v>
      </c>
      <c r="DQ22" t="e">
        <f>AND(Sheet1!E290,"AAAAAH9m/3g=")</f>
        <v>#VALUE!</v>
      </c>
      <c r="DR22" t="e">
        <f>AND(Sheet1!F290,"AAAAAH9m/3k=")</f>
        <v>#VALUE!</v>
      </c>
      <c r="DS22" t="e">
        <f>AND(Sheet1!G290,"AAAAAH9m/3o=")</f>
        <v>#VALUE!</v>
      </c>
      <c r="DT22" t="e">
        <f>AND(Sheet1!H290,"AAAAAH9m/3s=")</f>
        <v>#VALUE!</v>
      </c>
      <c r="DU22" t="e">
        <f>AND(Sheet1!I290,"AAAAAH9m/3w=")</f>
        <v>#VALUE!</v>
      </c>
      <c r="DV22" t="e">
        <f>AND(Sheet1!J290,"AAAAAH9m/30=")</f>
        <v>#VALUE!</v>
      </c>
      <c r="DW22" t="e">
        <f>AND(Sheet1!K290,"AAAAAH9m/34=")</f>
        <v>#VALUE!</v>
      </c>
      <c r="DX22" t="e">
        <f>AND(Sheet1!L290,"AAAAAH9m/38=")</f>
        <v>#VALUE!</v>
      </c>
      <c r="DY22" t="e">
        <f>AND(Sheet1!M290,"AAAAAH9m/4A=")</f>
        <v>#VALUE!</v>
      </c>
      <c r="DZ22" t="e">
        <f>AND(Sheet1!N290,"AAAAAH9m/4E=")</f>
        <v>#VALUE!</v>
      </c>
      <c r="EA22" t="e">
        <f>AND(Sheet1!#REF!,"AAAAAH9m/4I=")</f>
        <v>#REF!</v>
      </c>
      <c r="EB22" t="e">
        <f>AND(Sheet1!#REF!,"AAAAAH9m/4M=")</f>
        <v>#REF!</v>
      </c>
      <c r="EC22" t="e">
        <f>AND(Sheet1!#REF!,"AAAAAH9m/4Q=")</f>
        <v>#REF!</v>
      </c>
      <c r="ED22" t="e">
        <f>AND(Sheet1!#REF!,"AAAAAH9m/4U=")</f>
        <v>#REF!</v>
      </c>
      <c r="EE22">
        <f>IF(Sheet1!291:291,"AAAAAH9m/4Y=",0)</f>
        <v>0</v>
      </c>
      <c r="EF22" t="e">
        <f>AND(Sheet1!A291,"AAAAAH9m/4c=")</f>
        <v>#VALUE!</v>
      </c>
      <c r="EG22" t="e">
        <f>AND(Sheet1!B291,"AAAAAH9m/4g=")</f>
        <v>#VALUE!</v>
      </c>
      <c r="EH22" t="e">
        <f>AND(Sheet1!C291,"AAAAAH9m/4k=")</f>
        <v>#VALUE!</v>
      </c>
      <c r="EI22" t="e">
        <f>AND(Sheet1!D291,"AAAAAH9m/4o=")</f>
        <v>#VALUE!</v>
      </c>
      <c r="EJ22" t="e">
        <f>AND(Sheet1!E291,"AAAAAH9m/4s=")</f>
        <v>#VALUE!</v>
      </c>
      <c r="EK22" t="e">
        <f>AND(Sheet1!F291,"AAAAAH9m/4w=")</f>
        <v>#VALUE!</v>
      </c>
      <c r="EL22" t="e">
        <f>AND(Sheet1!G291,"AAAAAH9m/40=")</f>
        <v>#VALUE!</v>
      </c>
      <c r="EM22" t="e">
        <f>AND(Sheet1!H291,"AAAAAH9m/44=")</f>
        <v>#VALUE!</v>
      </c>
      <c r="EN22" t="e">
        <f>AND(Sheet1!I291,"AAAAAH9m/48=")</f>
        <v>#VALUE!</v>
      </c>
      <c r="EO22" t="e">
        <f>AND(Sheet1!J291,"AAAAAH9m/5A=")</f>
        <v>#VALUE!</v>
      </c>
      <c r="EP22" t="e">
        <f>AND(Sheet1!K291,"AAAAAH9m/5E=")</f>
        <v>#VALUE!</v>
      </c>
      <c r="EQ22" t="e">
        <f>AND(Sheet1!L291,"AAAAAH9m/5I=")</f>
        <v>#VALUE!</v>
      </c>
      <c r="ER22" t="e">
        <f>AND(Sheet1!M291,"AAAAAH9m/5M=")</f>
        <v>#VALUE!</v>
      </c>
      <c r="ES22" t="e">
        <f>AND(Sheet1!N291,"AAAAAH9m/5Q=")</f>
        <v>#VALUE!</v>
      </c>
      <c r="ET22" t="e">
        <f>AND(Sheet1!#REF!,"AAAAAH9m/5U=")</f>
        <v>#REF!</v>
      </c>
      <c r="EU22" t="e">
        <f>AND(Sheet1!#REF!,"AAAAAH9m/5Y=")</f>
        <v>#REF!</v>
      </c>
      <c r="EV22" t="e">
        <f>AND(Sheet1!#REF!,"AAAAAH9m/5c=")</f>
        <v>#REF!</v>
      </c>
      <c r="EW22" t="e">
        <f>AND(Sheet1!#REF!,"AAAAAH9m/5g=")</f>
        <v>#REF!</v>
      </c>
      <c r="EX22">
        <f>IF(Sheet1!292:292,"AAAAAH9m/5k=",0)</f>
        <v>0</v>
      </c>
      <c r="EY22" t="e">
        <f>AND(Sheet1!A292,"AAAAAH9m/5o=")</f>
        <v>#VALUE!</v>
      </c>
      <c r="EZ22" t="e">
        <f>AND(Sheet1!B292,"AAAAAH9m/5s=")</f>
        <v>#VALUE!</v>
      </c>
      <c r="FA22" t="e">
        <f>AND(Sheet1!C292,"AAAAAH9m/5w=")</f>
        <v>#VALUE!</v>
      </c>
      <c r="FB22" t="e">
        <f>AND(Sheet1!D292,"AAAAAH9m/50=")</f>
        <v>#VALUE!</v>
      </c>
      <c r="FC22" t="e">
        <f>AND(Sheet1!E292,"AAAAAH9m/54=")</f>
        <v>#VALUE!</v>
      </c>
      <c r="FD22" t="e">
        <f>AND(Sheet1!F292,"AAAAAH9m/58=")</f>
        <v>#VALUE!</v>
      </c>
      <c r="FE22" t="e">
        <f>AND(Sheet1!G292,"AAAAAH9m/6A=")</f>
        <v>#VALUE!</v>
      </c>
      <c r="FF22" t="e">
        <f>AND(Sheet1!H292,"AAAAAH9m/6E=")</f>
        <v>#VALUE!</v>
      </c>
      <c r="FG22" t="e">
        <f>AND(Sheet1!I292,"AAAAAH9m/6I=")</f>
        <v>#VALUE!</v>
      </c>
      <c r="FH22" t="e">
        <f>AND(Sheet1!J292,"AAAAAH9m/6M=")</f>
        <v>#VALUE!</v>
      </c>
      <c r="FI22" t="e">
        <f>AND(Sheet1!K292,"AAAAAH9m/6Q=")</f>
        <v>#VALUE!</v>
      </c>
      <c r="FJ22" t="e">
        <f>AND(Sheet1!L292,"AAAAAH9m/6U=")</f>
        <v>#VALUE!</v>
      </c>
      <c r="FK22" t="e">
        <f>AND(Sheet1!M292,"AAAAAH9m/6Y=")</f>
        <v>#VALUE!</v>
      </c>
      <c r="FL22" t="e">
        <f>AND(Sheet1!N292,"AAAAAH9m/6c=")</f>
        <v>#VALUE!</v>
      </c>
      <c r="FM22" t="e">
        <f>AND(Sheet1!#REF!,"AAAAAH9m/6g=")</f>
        <v>#REF!</v>
      </c>
      <c r="FN22" t="e">
        <f>AND(Sheet1!#REF!,"AAAAAH9m/6k=")</f>
        <v>#REF!</v>
      </c>
      <c r="FO22" t="e">
        <f>AND(Sheet1!#REF!,"AAAAAH9m/6o=")</f>
        <v>#REF!</v>
      </c>
      <c r="FP22" t="e">
        <f>AND(Sheet1!#REF!,"AAAAAH9m/6s=")</f>
        <v>#REF!</v>
      </c>
      <c r="FQ22">
        <f>IF(Sheet1!293:293,"AAAAAH9m/6w=",0)</f>
        <v>0</v>
      </c>
      <c r="FR22" t="e">
        <f>AND(Sheet1!A293,"AAAAAH9m/60=")</f>
        <v>#VALUE!</v>
      </c>
      <c r="FS22" t="e">
        <f>AND(Sheet1!B293,"AAAAAH9m/64=")</f>
        <v>#VALUE!</v>
      </c>
      <c r="FT22" t="e">
        <f>AND(Sheet1!C293,"AAAAAH9m/68=")</f>
        <v>#VALUE!</v>
      </c>
      <c r="FU22" t="e">
        <f>AND(Sheet1!D293,"AAAAAH9m/7A=")</f>
        <v>#VALUE!</v>
      </c>
      <c r="FV22" t="e">
        <f>AND(Sheet1!E293,"AAAAAH9m/7E=")</f>
        <v>#VALUE!</v>
      </c>
      <c r="FW22" t="e">
        <f>AND(Sheet1!F293,"AAAAAH9m/7I=")</f>
        <v>#VALUE!</v>
      </c>
      <c r="FX22" t="e">
        <f>AND(Sheet1!G293,"AAAAAH9m/7M=")</f>
        <v>#VALUE!</v>
      </c>
      <c r="FY22" t="e">
        <f>AND(Sheet1!H293,"AAAAAH9m/7Q=")</f>
        <v>#VALUE!</v>
      </c>
      <c r="FZ22" t="e">
        <f>AND(Sheet1!I293,"AAAAAH9m/7U=")</f>
        <v>#VALUE!</v>
      </c>
      <c r="GA22" t="e">
        <f>AND(Sheet1!J293,"AAAAAH9m/7Y=")</f>
        <v>#VALUE!</v>
      </c>
      <c r="GB22" t="e">
        <f>AND(Sheet1!K293,"AAAAAH9m/7c=")</f>
        <v>#VALUE!</v>
      </c>
      <c r="GC22" t="e">
        <f>AND(Sheet1!L293,"AAAAAH9m/7g=")</f>
        <v>#VALUE!</v>
      </c>
      <c r="GD22" t="e">
        <f>AND(Sheet1!M293,"AAAAAH9m/7k=")</f>
        <v>#VALUE!</v>
      </c>
      <c r="GE22" t="e">
        <f>AND(Sheet1!N293,"AAAAAH9m/7o=")</f>
        <v>#VALUE!</v>
      </c>
      <c r="GF22" t="e">
        <f>AND(Sheet1!#REF!,"AAAAAH9m/7s=")</f>
        <v>#REF!</v>
      </c>
      <c r="GG22" t="e">
        <f>AND(Sheet1!#REF!,"AAAAAH9m/7w=")</f>
        <v>#REF!</v>
      </c>
      <c r="GH22" t="e">
        <f>AND(Sheet1!#REF!,"AAAAAH9m/70=")</f>
        <v>#REF!</v>
      </c>
      <c r="GI22" t="e">
        <f>AND(Sheet1!#REF!,"AAAAAH9m/74=")</f>
        <v>#REF!</v>
      </c>
      <c r="GJ22">
        <f>IF(Sheet1!294:294,"AAAAAH9m/78=",0)</f>
        <v>0</v>
      </c>
      <c r="GK22" t="e">
        <f>AND(Sheet1!A294,"AAAAAH9m/8A=")</f>
        <v>#VALUE!</v>
      </c>
      <c r="GL22" t="e">
        <f>AND(Sheet1!B294,"AAAAAH9m/8E=")</f>
        <v>#VALUE!</v>
      </c>
      <c r="GM22" t="e">
        <f>AND(Sheet1!C294,"AAAAAH9m/8I=")</f>
        <v>#VALUE!</v>
      </c>
      <c r="GN22" t="e">
        <f>AND(Sheet1!D294,"AAAAAH9m/8M=")</f>
        <v>#VALUE!</v>
      </c>
      <c r="GO22" t="e">
        <f>AND(Sheet1!E294,"AAAAAH9m/8Q=")</f>
        <v>#VALUE!</v>
      </c>
      <c r="GP22" t="e">
        <f>AND(Sheet1!F294,"AAAAAH9m/8U=")</f>
        <v>#VALUE!</v>
      </c>
      <c r="GQ22" t="e">
        <f>AND(Sheet1!G294,"AAAAAH9m/8Y=")</f>
        <v>#VALUE!</v>
      </c>
      <c r="GR22" t="e">
        <f>AND(Sheet1!H294,"AAAAAH9m/8c=")</f>
        <v>#VALUE!</v>
      </c>
      <c r="GS22" t="e">
        <f>AND(Sheet1!I294,"AAAAAH9m/8g=")</f>
        <v>#VALUE!</v>
      </c>
      <c r="GT22" t="e">
        <f>AND(Sheet1!J294,"AAAAAH9m/8k=")</f>
        <v>#VALUE!</v>
      </c>
      <c r="GU22" t="e">
        <f>AND(Sheet1!K294,"AAAAAH9m/8o=")</f>
        <v>#VALUE!</v>
      </c>
      <c r="GV22" t="e">
        <f>AND(Sheet1!L294,"AAAAAH9m/8s=")</f>
        <v>#VALUE!</v>
      </c>
      <c r="GW22" t="e">
        <f>AND(Sheet1!M294,"AAAAAH9m/8w=")</f>
        <v>#VALUE!</v>
      </c>
      <c r="GX22" t="e">
        <f>AND(Sheet1!N294,"AAAAAH9m/80=")</f>
        <v>#VALUE!</v>
      </c>
      <c r="GY22" t="e">
        <f>AND(Sheet1!#REF!,"AAAAAH9m/84=")</f>
        <v>#REF!</v>
      </c>
      <c r="GZ22" t="e">
        <f>AND(Sheet1!#REF!,"AAAAAH9m/88=")</f>
        <v>#REF!</v>
      </c>
      <c r="HA22" t="e">
        <f>AND(Sheet1!#REF!,"AAAAAH9m/9A=")</f>
        <v>#REF!</v>
      </c>
      <c r="HB22" t="e">
        <f>AND(Sheet1!#REF!,"AAAAAH9m/9E=")</f>
        <v>#REF!</v>
      </c>
      <c r="HC22">
        <f>IF(Sheet1!295:295,"AAAAAH9m/9I=",0)</f>
        <v>0</v>
      </c>
      <c r="HD22" t="e">
        <f>AND(Sheet1!A295,"AAAAAH9m/9M=")</f>
        <v>#VALUE!</v>
      </c>
      <c r="HE22" t="e">
        <f>AND(Sheet1!B295,"AAAAAH9m/9Q=")</f>
        <v>#VALUE!</v>
      </c>
      <c r="HF22" t="e">
        <f>AND(Sheet1!C295,"AAAAAH9m/9U=")</f>
        <v>#VALUE!</v>
      </c>
      <c r="HG22" t="e">
        <f>AND(Sheet1!D295,"AAAAAH9m/9Y=")</f>
        <v>#VALUE!</v>
      </c>
      <c r="HH22" t="e">
        <f>AND(Sheet1!E295,"AAAAAH9m/9c=")</f>
        <v>#VALUE!</v>
      </c>
      <c r="HI22" t="e">
        <f>AND(Sheet1!F295,"AAAAAH9m/9g=")</f>
        <v>#VALUE!</v>
      </c>
      <c r="HJ22" t="e">
        <f>AND(Sheet1!G295,"AAAAAH9m/9k=")</f>
        <v>#VALUE!</v>
      </c>
      <c r="HK22" t="e">
        <f>AND(Sheet1!H295,"AAAAAH9m/9o=")</f>
        <v>#VALUE!</v>
      </c>
      <c r="HL22" t="e">
        <f>AND(Sheet1!I295,"AAAAAH9m/9s=")</f>
        <v>#VALUE!</v>
      </c>
      <c r="HM22" t="e">
        <f>AND(Sheet1!J295,"AAAAAH9m/9w=")</f>
        <v>#VALUE!</v>
      </c>
      <c r="HN22" t="e">
        <f>AND(Sheet1!K295,"AAAAAH9m/90=")</f>
        <v>#VALUE!</v>
      </c>
      <c r="HO22" t="e">
        <f>AND(Sheet1!L295,"AAAAAH9m/94=")</f>
        <v>#VALUE!</v>
      </c>
      <c r="HP22" t="e">
        <f>AND(Sheet1!M295,"AAAAAH9m/98=")</f>
        <v>#VALUE!</v>
      </c>
      <c r="HQ22" t="e">
        <f>AND(Sheet1!N295,"AAAAAH9m/+A=")</f>
        <v>#VALUE!</v>
      </c>
      <c r="HR22" t="e">
        <f>AND(Sheet1!#REF!,"AAAAAH9m/+E=")</f>
        <v>#REF!</v>
      </c>
      <c r="HS22" t="e">
        <f>AND(Sheet1!#REF!,"AAAAAH9m/+I=")</f>
        <v>#REF!</v>
      </c>
      <c r="HT22" t="e">
        <f>AND(Sheet1!#REF!,"AAAAAH9m/+M=")</f>
        <v>#REF!</v>
      </c>
      <c r="HU22" t="e">
        <f>AND(Sheet1!#REF!,"AAAAAH9m/+Q=")</f>
        <v>#REF!</v>
      </c>
      <c r="HV22">
        <f>IF(Sheet1!296:296,"AAAAAH9m/+U=",0)</f>
        <v>0</v>
      </c>
      <c r="HW22" t="e">
        <f>AND(Sheet1!A296,"AAAAAH9m/+Y=")</f>
        <v>#VALUE!</v>
      </c>
      <c r="HX22" t="e">
        <f>AND(Sheet1!B296,"AAAAAH9m/+c=")</f>
        <v>#VALUE!</v>
      </c>
      <c r="HY22" t="e">
        <f>AND(Sheet1!C296,"AAAAAH9m/+g=")</f>
        <v>#VALUE!</v>
      </c>
      <c r="HZ22" t="e">
        <f>AND(Sheet1!D296,"AAAAAH9m/+k=")</f>
        <v>#VALUE!</v>
      </c>
      <c r="IA22" t="e">
        <f>AND(Sheet1!E296,"AAAAAH9m/+o=")</f>
        <v>#VALUE!</v>
      </c>
      <c r="IB22" t="e">
        <f>AND(Sheet1!F296,"AAAAAH9m/+s=")</f>
        <v>#VALUE!</v>
      </c>
      <c r="IC22" t="e">
        <f>AND(Sheet1!G296,"AAAAAH9m/+w=")</f>
        <v>#VALUE!</v>
      </c>
      <c r="ID22" t="e">
        <f>AND(Sheet1!H296,"AAAAAH9m/+0=")</f>
        <v>#VALUE!</v>
      </c>
      <c r="IE22" t="e">
        <f>AND(Sheet1!I296,"AAAAAH9m/+4=")</f>
        <v>#VALUE!</v>
      </c>
      <c r="IF22" t="e">
        <f>AND(Sheet1!J296,"AAAAAH9m/+8=")</f>
        <v>#VALUE!</v>
      </c>
      <c r="IG22" t="e">
        <f>AND(Sheet1!K296,"AAAAAH9m//A=")</f>
        <v>#VALUE!</v>
      </c>
      <c r="IH22" t="e">
        <f>AND(Sheet1!L296,"AAAAAH9m//E=")</f>
        <v>#VALUE!</v>
      </c>
      <c r="II22" t="e">
        <f>AND(Sheet1!M296,"AAAAAH9m//I=")</f>
        <v>#VALUE!</v>
      </c>
      <c r="IJ22" t="e">
        <f>AND(Sheet1!N296,"AAAAAH9m//M=")</f>
        <v>#VALUE!</v>
      </c>
      <c r="IK22" t="e">
        <f>AND(Sheet1!#REF!,"AAAAAH9m//Q=")</f>
        <v>#REF!</v>
      </c>
      <c r="IL22" t="e">
        <f>AND(Sheet1!#REF!,"AAAAAH9m//U=")</f>
        <v>#REF!</v>
      </c>
      <c r="IM22" t="e">
        <f>AND(Sheet1!#REF!,"AAAAAH9m//Y=")</f>
        <v>#REF!</v>
      </c>
      <c r="IN22" t="e">
        <f>AND(Sheet1!#REF!,"AAAAAH9m//c=")</f>
        <v>#REF!</v>
      </c>
      <c r="IO22">
        <f>IF(Sheet1!297:297,"AAAAAH9m//g=",0)</f>
        <v>0</v>
      </c>
      <c r="IP22" t="e">
        <f>AND(Sheet1!A297,"AAAAAH9m//k=")</f>
        <v>#VALUE!</v>
      </c>
      <c r="IQ22" t="e">
        <f>AND(Sheet1!B297,"AAAAAH9m//o=")</f>
        <v>#VALUE!</v>
      </c>
      <c r="IR22" t="e">
        <f>AND(Sheet1!C297,"AAAAAH9m//s=")</f>
        <v>#VALUE!</v>
      </c>
      <c r="IS22" t="e">
        <f>AND(Sheet1!D297,"AAAAAH9m//w=")</f>
        <v>#VALUE!</v>
      </c>
      <c r="IT22" t="e">
        <f>AND(Sheet1!E297,"AAAAAH9m//0=")</f>
        <v>#VALUE!</v>
      </c>
      <c r="IU22" t="e">
        <f>AND(Sheet1!F297,"AAAAAH9m//4=")</f>
        <v>#VALUE!</v>
      </c>
      <c r="IV22" t="e">
        <f>AND(Sheet1!G297,"AAAAAH9m//8=")</f>
        <v>#VALUE!</v>
      </c>
    </row>
    <row r="23" spans="1:256" x14ac:dyDescent="0.2">
      <c r="A23" t="e">
        <f>AND(Sheet1!H297,"AAAAAG5XHwA=")</f>
        <v>#VALUE!</v>
      </c>
      <c r="B23" t="e">
        <f>AND(Sheet1!I297,"AAAAAG5XHwE=")</f>
        <v>#VALUE!</v>
      </c>
      <c r="C23" t="e">
        <f>AND(Sheet1!J297,"AAAAAG5XHwI=")</f>
        <v>#VALUE!</v>
      </c>
      <c r="D23" t="e">
        <f>AND(Sheet1!K297,"AAAAAG5XHwM=")</f>
        <v>#VALUE!</v>
      </c>
      <c r="E23" t="e">
        <f>AND(Sheet1!L297,"AAAAAG5XHwQ=")</f>
        <v>#VALUE!</v>
      </c>
      <c r="F23" t="e">
        <f>AND(Sheet1!M297,"AAAAAG5XHwU=")</f>
        <v>#VALUE!</v>
      </c>
      <c r="G23" t="e">
        <f>AND(Sheet1!N297,"AAAAAG5XHwY=")</f>
        <v>#VALUE!</v>
      </c>
      <c r="H23" t="e">
        <f>AND(Sheet1!#REF!,"AAAAAG5XHwc=")</f>
        <v>#REF!</v>
      </c>
      <c r="I23" t="e">
        <f>AND(Sheet1!#REF!,"AAAAAG5XHwg=")</f>
        <v>#REF!</v>
      </c>
      <c r="J23" t="e">
        <f>AND(Sheet1!#REF!,"AAAAAG5XHwk=")</f>
        <v>#REF!</v>
      </c>
      <c r="K23" t="e">
        <f>AND(Sheet1!#REF!,"AAAAAG5XHwo=")</f>
        <v>#REF!</v>
      </c>
      <c r="L23">
        <f>IF(Sheet1!298:298,"AAAAAG5XHws=",0)</f>
        <v>0</v>
      </c>
      <c r="M23" t="e">
        <f>AND(Sheet1!A298,"AAAAAG5XHww=")</f>
        <v>#VALUE!</v>
      </c>
      <c r="N23" t="e">
        <f>AND(Sheet1!B298,"AAAAAG5XHw0=")</f>
        <v>#VALUE!</v>
      </c>
      <c r="O23" t="e">
        <f>AND(Sheet1!C298,"AAAAAG5XHw4=")</f>
        <v>#VALUE!</v>
      </c>
      <c r="P23" t="e">
        <f>AND(Sheet1!D298,"AAAAAG5XHw8=")</f>
        <v>#VALUE!</v>
      </c>
      <c r="Q23" t="e">
        <f>AND(Sheet1!E298,"AAAAAG5XHxA=")</f>
        <v>#VALUE!</v>
      </c>
      <c r="R23" t="e">
        <f>AND(Sheet1!F298,"AAAAAG5XHxE=")</f>
        <v>#VALUE!</v>
      </c>
      <c r="S23" t="e">
        <f>AND(Sheet1!G298,"AAAAAG5XHxI=")</f>
        <v>#VALUE!</v>
      </c>
      <c r="T23" t="e">
        <f>AND(Sheet1!H298,"AAAAAG5XHxM=")</f>
        <v>#VALUE!</v>
      </c>
      <c r="U23" t="e">
        <f>AND(Sheet1!I298,"AAAAAG5XHxQ=")</f>
        <v>#VALUE!</v>
      </c>
      <c r="V23" t="e">
        <f>AND(Sheet1!J298,"AAAAAG5XHxU=")</f>
        <v>#VALUE!</v>
      </c>
      <c r="W23" t="e">
        <f>AND(Sheet1!K298,"AAAAAG5XHxY=")</f>
        <v>#VALUE!</v>
      </c>
      <c r="X23" t="e">
        <f>AND(Sheet1!L298,"AAAAAG5XHxc=")</f>
        <v>#VALUE!</v>
      </c>
      <c r="Y23" t="e">
        <f>AND(Sheet1!M298,"AAAAAG5XHxg=")</f>
        <v>#VALUE!</v>
      </c>
      <c r="Z23" t="e">
        <f>AND(Sheet1!N298,"AAAAAG5XHxk=")</f>
        <v>#VALUE!</v>
      </c>
      <c r="AA23" t="e">
        <f>AND(Sheet1!#REF!,"AAAAAG5XHxo=")</f>
        <v>#REF!</v>
      </c>
      <c r="AB23" t="e">
        <f>AND(Sheet1!#REF!,"AAAAAG5XHxs=")</f>
        <v>#REF!</v>
      </c>
      <c r="AC23" t="e">
        <f>AND(Sheet1!#REF!,"AAAAAG5XHxw=")</f>
        <v>#REF!</v>
      </c>
      <c r="AD23" t="e">
        <f>AND(Sheet1!#REF!,"AAAAAG5XHx0=")</f>
        <v>#REF!</v>
      </c>
      <c r="AE23">
        <f>IF(Sheet1!299:299,"AAAAAG5XHx4=",0)</f>
        <v>0</v>
      </c>
      <c r="AF23" t="e">
        <f>AND(Sheet1!A299,"AAAAAG5XHx8=")</f>
        <v>#VALUE!</v>
      </c>
      <c r="AG23" t="e">
        <f>AND(Sheet1!B299,"AAAAAG5XHyA=")</f>
        <v>#VALUE!</v>
      </c>
      <c r="AH23" t="e">
        <f>AND(Sheet1!C299,"AAAAAG5XHyE=")</f>
        <v>#VALUE!</v>
      </c>
      <c r="AI23" t="e">
        <f>AND(Sheet1!D299,"AAAAAG5XHyI=")</f>
        <v>#VALUE!</v>
      </c>
      <c r="AJ23" t="e">
        <f>AND(Sheet1!E299,"AAAAAG5XHyM=")</f>
        <v>#VALUE!</v>
      </c>
      <c r="AK23" t="e">
        <f>AND(Sheet1!F299,"AAAAAG5XHyQ=")</f>
        <v>#VALUE!</v>
      </c>
      <c r="AL23" t="e">
        <f>AND(Sheet1!G299,"AAAAAG5XHyU=")</f>
        <v>#VALUE!</v>
      </c>
      <c r="AM23" t="e">
        <f>AND(Sheet1!H299,"AAAAAG5XHyY=")</f>
        <v>#VALUE!</v>
      </c>
      <c r="AN23" t="e">
        <f>AND(Sheet1!I299,"AAAAAG5XHyc=")</f>
        <v>#VALUE!</v>
      </c>
      <c r="AO23" t="e">
        <f>AND(Sheet1!J299,"AAAAAG5XHyg=")</f>
        <v>#VALUE!</v>
      </c>
      <c r="AP23" t="e">
        <f>AND(Sheet1!K299,"AAAAAG5XHyk=")</f>
        <v>#VALUE!</v>
      </c>
      <c r="AQ23" t="e">
        <f>AND(Sheet1!L299,"AAAAAG5XHyo=")</f>
        <v>#VALUE!</v>
      </c>
      <c r="AR23" t="e">
        <f>AND(Sheet1!M299,"AAAAAG5XHys=")</f>
        <v>#VALUE!</v>
      </c>
      <c r="AS23" t="e">
        <f>AND(Sheet1!N299,"AAAAAG5XHyw=")</f>
        <v>#VALUE!</v>
      </c>
      <c r="AT23" t="e">
        <f>AND(Sheet1!#REF!,"AAAAAG5XHy0=")</f>
        <v>#REF!</v>
      </c>
      <c r="AU23" t="e">
        <f>AND(Sheet1!#REF!,"AAAAAG5XHy4=")</f>
        <v>#REF!</v>
      </c>
      <c r="AV23" t="e">
        <f>AND(Sheet1!#REF!,"AAAAAG5XHy8=")</f>
        <v>#REF!</v>
      </c>
      <c r="AW23" t="e">
        <f>AND(Sheet1!#REF!,"AAAAAG5XHzA=")</f>
        <v>#REF!</v>
      </c>
      <c r="AX23">
        <f>IF(Sheet1!300:300,"AAAAAG5XHzE=",0)</f>
        <v>0</v>
      </c>
      <c r="AY23" t="e">
        <f>AND(Sheet1!A300,"AAAAAG5XHzI=")</f>
        <v>#VALUE!</v>
      </c>
      <c r="AZ23" t="e">
        <f>AND(Sheet1!B300,"AAAAAG5XHzM=")</f>
        <v>#VALUE!</v>
      </c>
      <c r="BA23" t="e">
        <f>AND(Sheet1!C300,"AAAAAG5XHzQ=")</f>
        <v>#VALUE!</v>
      </c>
      <c r="BB23" t="e">
        <f>AND(Sheet1!D300,"AAAAAG5XHzU=")</f>
        <v>#VALUE!</v>
      </c>
      <c r="BC23" t="e">
        <f>AND(Sheet1!E300,"AAAAAG5XHzY=")</f>
        <v>#VALUE!</v>
      </c>
      <c r="BD23" t="e">
        <f>AND(Sheet1!F300,"AAAAAG5XHzc=")</f>
        <v>#VALUE!</v>
      </c>
      <c r="BE23" t="e">
        <f>AND(Sheet1!G300,"AAAAAG5XHzg=")</f>
        <v>#VALUE!</v>
      </c>
      <c r="BF23" t="e">
        <f>AND(Sheet1!H300,"AAAAAG5XHzk=")</f>
        <v>#VALUE!</v>
      </c>
      <c r="BG23" t="e">
        <f>AND(Sheet1!I300,"AAAAAG5XHzo=")</f>
        <v>#VALUE!</v>
      </c>
      <c r="BH23" t="e">
        <f>AND(Sheet1!J300,"AAAAAG5XHzs=")</f>
        <v>#VALUE!</v>
      </c>
      <c r="BI23" t="e">
        <f>AND(Sheet1!K300,"AAAAAG5XHzw=")</f>
        <v>#VALUE!</v>
      </c>
      <c r="BJ23" t="e">
        <f>AND(Sheet1!L300,"AAAAAG5XHz0=")</f>
        <v>#VALUE!</v>
      </c>
      <c r="BK23" t="e">
        <f>AND(Sheet1!M300,"AAAAAG5XHz4=")</f>
        <v>#VALUE!</v>
      </c>
      <c r="BL23" t="e">
        <f>AND(Sheet1!N300,"AAAAAG5XHz8=")</f>
        <v>#VALUE!</v>
      </c>
      <c r="BM23" t="e">
        <f>AND(Sheet1!#REF!,"AAAAAG5XH0A=")</f>
        <v>#REF!</v>
      </c>
      <c r="BN23" t="e">
        <f>AND(Sheet1!#REF!,"AAAAAG5XH0E=")</f>
        <v>#REF!</v>
      </c>
      <c r="BO23" t="e">
        <f>AND(Sheet1!#REF!,"AAAAAG5XH0I=")</f>
        <v>#REF!</v>
      </c>
      <c r="BP23" t="e">
        <f>AND(Sheet1!#REF!,"AAAAAG5XH0M=")</f>
        <v>#REF!</v>
      </c>
      <c r="BQ23">
        <f>IF(Sheet1!301:301,"AAAAAG5XH0Q=",0)</f>
        <v>0</v>
      </c>
      <c r="BR23" t="e">
        <f>AND(Sheet1!A301,"AAAAAG5XH0U=")</f>
        <v>#VALUE!</v>
      </c>
      <c r="BS23" t="e">
        <f>AND(Sheet1!B301,"AAAAAG5XH0Y=")</f>
        <v>#VALUE!</v>
      </c>
      <c r="BT23" t="e">
        <f>AND(Sheet1!C301,"AAAAAG5XH0c=")</f>
        <v>#VALUE!</v>
      </c>
      <c r="BU23" t="e">
        <f>AND(Sheet1!D301,"AAAAAG5XH0g=")</f>
        <v>#VALUE!</v>
      </c>
      <c r="BV23" t="e">
        <f>AND(Sheet1!E301,"AAAAAG5XH0k=")</f>
        <v>#VALUE!</v>
      </c>
      <c r="BW23" t="e">
        <f>AND(Sheet1!F301,"AAAAAG5XH0o=")</f>
        <v>#VALUE!</v>
      </c>
      <c r="BX23" t="e">
        <f>AND(Sheet1!G301,"AAAAAG5XH0s=")</f>
        <v>#VALUE!</v>
      </c>
      <c r="BY23" t="e">
        <f>AND(Sheet1!H301,"AAAAAG5XH0w=")</f>
        <v>#VALUE!</v>
      </c>
      <c r="BZ23" t="e">
        <f>AND(Sheet1!I301,"AAAAAG5XH00=")</f>
        <v>#VALUE!</v>
      </c>
      <c r="CA23" t="e">
        <f>AND(Sheet1!J301,"AAAAAG5XH04=")</f>
        <v>#VALUE!</v>
      </c>
      <c r="CB23" t="e">
        <f>AND(Sheet1!K301,"AAAAAG5XH08=")</f>
        <v>#VALUE!</v>
      </c>
      <c r="CC23" t="e">
        <f>AND(Sheet1!L301,"AAAAAG5XH1A=")</f>
        <v>#VALUE!</v>
      </c>
      <c r="CD23" t="e">
        <f>AND(Sheet1!M301,"AAAAAG5XH1E=")</f>
        <v>#VALUE!</v>
      </c>
      <c r="CE23" t="e">
        <f>AND(Sheet1!N301,"AAAAAG5XH1I=")</f>
        <v>#VALUE!</v>
      </c>
      <c r="CF23" t="e">
        <f>AND(Sheet1!#REF!,"AAAAAG5XH1M=")</f>
        <v>#REF!</v>
      </c>
      <c r="CG23" t="e">
        <f>AND(Sheet1!#REF!,"AAAAAG5XH1Q=")</f>
        <v>#REF!</v>
      </c>
      <c r="CH23" t="e">
        <f>AND(Sheet1!#REF!,"AAAAAG5XH1U=")</f>
        <v>#REF!</v>
      </c>
      <c r="CI23" t="e">
        <f>AND(Sheet1!#REF!,"AAAAAG5XH1Y=")</f>
        <v>#REF!</v>
      </c>
      <c r="CJ23">
        <f>IF(Sheet1!302:302,"AAAAAG5XH1c=",0)</f>
        <v>0</v>
      </c>
      <c r="CK23" t="e">
        <f>AND(Sheet1!A302,"AAAAAG5XH1g=")</f>
        <v>#VALUE!</v>
      </c>
      <c r="CL23" t="e">
        <f>AND(Sheet1!B302,"AAAAAG5XH1k=")</f>
        <v>#VALUE!</v>
      </c>
      <c r="CM23" t="e">
        <f>AND(Sheet1!C302,"AAAAAG5XH1o=")</f>
        <v>#VALUE!</v>
      </c>
      <c r="CN23" t="e">
        <f>AND(Sheet1!D302,"AAAAAG5XH1s=")</f>
        <v>#VALUE!</v>
      </c>
      <c r="CO23" t="e">
        <f>AND(Sheet1!E302,"AAAAAG5XH1w=")</f>
        <v>#VALUE!</v>
      </c>
      <c r="CP23" t="e">
        <f>AND(Sheet1!F302,"AAAAAG5XH10=")</f>
        <v>#VALUE!</v>
      </c>
      <c r="CQ23" t="e">
        <f>AND(Sheet1!G302,"AAAAAG5XH14=")</f>
        <v>#VALUE!</v>
      </c>
      <c r="CR23" t="e">
        <f>AND(Sheet1!H302,"AAAAAG5XH18=")</f>
        <v>#VALUE!</v>
      </c>
      <c r="CS23" t="e">
        <f>AND(Sheet1!I302,"AAAAAG5XH2A=")</f>
        <v>#VALUE!</v>
      </c>
      <c r="CT23" t="e">
        <f>AND(Sheet1!J302,"AAAAAG5XH2E=")</f>
        <v>#VALUE!</v>
      </c>
      <c r="CU23" t="e">
        <f>AND(Sheet1!K302,"AAAAAG5XH2I=")</f>
        <v>#VALUE!</v>
      </c>
      <c r="CV23" t="e">
        <f>AND(Sheet1!L302,"AAAAAG5XH2M=")</f>
        <v>#VALUE!</v>
      </c>
      <c r="CW23" t="e">
        <f>AND(Sheet1!M302,"AAAAAG5XH2Q=")</f>
        <v>#VALUE!</v>
      </c>
      <c r="CX23" t="e">
        <f>AND(Sheet1!N302,"AAAAAG5XH2U=")</f>
        <v>#VALUE!</v>
      </c>
      <c r="CY23" t="e">
        <f>AND(Sheet1!#REF!,"AAAAAG5XH2Y=")</f>
        <v>#REF!</v>
      </c>
      <c r="CZ23" t="e">
        <f>AND(Sheet1!#REF!,"AAAAAG5XH2c=")</f>
        <v>#REF!</v>
      </c>
      <c r="DA23" t="e">
        <f>AND(Sheet1!#REF!,"AAAAAG5XH2g=")</f>
        <v>#REF!</v>
      </c>
      <c r="DB23" t="e">
        <f>AND(Sheet1!#REF!,"AAAAAG5XH2k=")</f>
        <v>#REF!</v>
      </c>
      <c r="DC23">
        <f>IF(Sheet1!303:303,"AAAAAG5XH2o=",0)</f>
        <v>0</v>
      </c>
      <c r="DD23" t="e">
        <f>AND(Sheet1!A303,"AAAAAG5XH2s=")</f>
        <v>#VALUE!</v>
      </c>
      <c r="DE23" t="e">
        <f>AND(Sheet1!B303,"AAAAAG5XH2w=")</f>
        <v>#VALUE!</v>
      </c>
      <c r="DF23" t="e">
        <f>AND(Sheet1!C303,"AAAAAG5XH20=")</f>
        <v>#VALUE!</v>
      </c>
      <c r="DG23" t="e">
        <f>AND(Sheet1!D303,"AAAAAG5XH24=")</f>
        <v>#VALUE!</v>
      </c>
      <c r="DH23" t="e">
        <f>AND(Sheet1!E303,"AAAAAG5XH28=")</f>
        <v>#VALUE!</v>
      </c>
      <c r="DI23" t="e">
        <f>AND(Sheet1!F303,"AAAAAG5XH3A=")</f>
        <v>#VALUE!</v>
      </c>
      <c r="DJ23" t="e">
        <f>AND(Sheet1!G303,"AAAAAG5XH3E=")</f>
        <v>#VALUE!</v>
      </c>
      <c r="DK23" t="e">
        <f>AND(Sheet1!H303,"AAAAAG5XH3I=")</f>
        <v>#VALUE!</v>
      </c>
      <c r="DL23" t="e">
        <f>AND(Sheet1!I303,"AAAAAG5XH3M=")</f>
        <v>#VALUE!</v>
      </c>
      <c r="DM23" t="e">
        <f>AND(Sheet1!J303,"AAAAAG5XH3Q=")</f>
        <v>#VALUE!</v>
      </c>
      <c r="DN23" t="e">
        <f>AND(Sheet1!K303,"AAAAAG5XH3U=")</f>
        <v>#VALUE!</v>
      </c>
      <c r="DO23" t="e">
        <f>AND(Sheet1!L303,"AAAAAG5XH3Y=")</f>
        <v>#VALUE!</v>
      </c>
      <c r="DP23" t="e">
        <f>AND(Sheet1!M303,"AAAAAG5XH3c=")</f>
        <v>#VALUE!</v>
      </c>
      <c r="DQ23" t="e">
        <f>AND(Sheet1!N303,"AAAAAG5XH3g=")</f>
        <v>#VALUE!</v>
      </c>
      <c r="DR23" t="e">
        <f>AND(Sheet1!#REF!,"AAAAAG5XH3k=")</f>
        <v>#REF!</v>
      </c>
      <c r="DS23" t="e">
        <f>AND(Sheet1!#REF!,"AAAAAG5XH3o=")</f>
        <v>#REF!</v>
      </c>
      <c r="DT23" t="e">
        <f>AND(Sheet1!#REF!,"AAAAAG5XH3s=")</f>
        <v>#REF!</v>
      </c>
      <c r="DU23" t="e">
        <f>AND(Sheet1!#REF!,"AAAAAG5XH3w=")</f>
        <v>#REF!</v>
      </c>
      <c r="DV23">
        <f>IF(Sheet1!304:304,"AAAAAG5XH30=",0)</f>
        <v>0</v>
      </c>
      <c r="DW23" t="e">
        <f>AND(Sheet1!A304,"AAAAAG5XH34=")</f>
        <v>#VALUE!</v>
      </c>
      <c r="DX23" t="e">
        <f>AND(Sheet1!B304,"AAAAAG5XH38=")</f>
        <v>#VALUE!</v>
      </c>
      <c r="DY23" t="e">
        <f>AND(Sheet1!C304,"AAAAAG5XH4A=")</f>
        <v>#VALUE!</v>
      </c>
      <c r="DZ23" t="e">
        <f>AND(Sheet1!D304,"AAAAAG5XH4E=")</f>
        <v>#VALUE!</v>
      </c>
      <c r="EA23" t="e">
        <f>AND(Sheet1!E304,"AAAAAG5XH4I=")</f>
        <v>#VALUE!</v>
      </c>
      <c r="EB23" t="e">
        <f>AND(Sheet1!F304,"AAAAAG5XH4M=")</f>
        <v>#VALUE!</v>
      </c>
      <c r="EC23" t="e">
        <f>AND(Sheet1!G304,"AAAAAG5XH4Q=")</f>
        <v>#VALUE!</v>
      </c>
      <c r="ED23" t="e">
        <f>AND(Sheet1!H304,"AAAAAG5XH4U=")</f>
        <v>#VALUE!</v>
      </c>
      <c r="EE23" t="e">
        <f>AND(Sheet1!I304,"AAAAAG5XH4Y=")</f>
        <v>#VALUE!</v>
      </c>
      <c r="EF23" t="e">
        <f>AND(Sheet1!J304,"AAAAAG5XH4c=")</f>
        <v>#VALUE!</v>
      </c>
      <c r="EG23" t="e">
        <f>AND(Sheet1!K304,"AAAAAG5XH4g=")</f>
        <v>#VALUE!</v>
      </c>
      <c r="EH23" t="e">
        <f>AND(Sheet1!L304,"AAAAAG5XH4k=")</f>
        <v>#VALUE!</v>
      </c>
      <c r="EI23" t="e">
        <f>AND(Sheet1!M304,"AAAAAG5XH4o=")</f>
        <v>#VALUE!</v>
      </c>
      <c r="EJ23" t="e">
        <f>AND(Sheet1!N304,"AAAAAG5XH4s=")</f>
        <v>#VALUE!</v>
      </c>
      <c r="EK23" t="e">
        <f>AND(Sheet1!#REF!,"AAAAAG5XH4w=")</f>
        <v>#REF!</v>
      </c>
      <c r="EL23" t="e">
        <f>AND(Sheet1!#REF!,"AAAAAG5XH40=")</f>
        <v>#REF!</v>
      </c>
      <c r="EM23" t="e">
        <f>AND(Sheet1!#REF!,"AAAAAG5XH44=")</f>
        <v>#REF!</v>
      </c>
      <c r="EN23" t="e">
        <f>AND(Sheet1!#REF!,"AAAAAG5XH48=")</f>
        <v>#REF!</v>
      </c>
      <c r="EO23">
        <f>IF(Sheet1!305:305,"AAAAAG5XH5A=",0)</f>
        <v>0</v>
      </c>
      <c r="EP23" t="e">
        <f>AND(Sheet1!A305,"AAAAAG5XH5E=")</f>
        <v>#VALUE!</v>
      </c>
      <c r="EQ23" t="e">
        <f>AND(Sheet1!B305,"AAAAAG5XH5I=")</f>
        <v>#VALUE!</v>
      </c>
      <c r="ER23" t="e">
        <f>AND(Sheet1!C305,"AAAAAG5XH5M=")</f>
        <v>#VALUE!</v>
      </c>
      <c r="ES23" t="e">
        <f>AND(Sheet1!D305,"AAAAAG5XH5Q=")</f>
        <v>#VALUE!</v>
      </c>
      <c r="ET23" t="e">
        <f>AND(Sheet1!E305,"AAAAAG5XH5U=")</f>
        <v>#VALUE!</v>
      </c>
      <c r="EU23" t="e">
        <f>AND(Sheet1!F305,"AAAAAG5XH5Y=")</f>
        <v>#VALUE!</v>
      </c>
      <c r="EV23" t="e">
        <f>AND(Sheet1!G305,"AAAAAG5XH5c=")</f>
        <v>#VALUE!</v>
      </c>
      <c r="EW23" t="e">
        <f>AND(Sheet1!H305,"AAAAAG5XH5g=")</f>
        <v>#VALUE!</v>
      </c>
      <c r="EX23" t="e">
        <f>AND(Sheet1!I305,"AAAAAG5XH5k=")</f>
        <v>#VALUE!</v>
      </c>
      <c r="EY23" t="e">
        <f>AND(Sheet1!J305,"AAAAAG5XH5o=")</f>
        <v>#VALUE!</v>
      </c>
      <c r="EZ23" t="e">
        <f>AND(Sheet1!K305,"AAAAAG5XH5s=")</f>
        <v>#VALUE!</v>
      </c>
      <c r="FA23" t="e">
        <f>AND(Sheet1!L305,"AAAAAG5XH5w=")</f>
        <v>#VALUE!</v>
      </c>
      <c r="FB23" t="e">
        <f>AND(Sheet1!M305,"AAAAAG5XH50=")</f>
        <v>#VALUE!</v>
      </c>
      <c r="FC23" t="e">
        <f>AND(Sheet1!N305,"AAAAAG5XH54=")</f>
        <v>#VALUE!</v>
      </c>
      <c r="FD23" t="e">
        <f>AND(Sheet1!#REF!,"AAAAAG5XH58=")</f>
        <v>#REF!</v>
      </c>
      <c r="FE23" t="e">
        <f>AND(Sheet1!#REF!,"AAAAAG5XH6A=")</f>
        <v>#REF!</v>
      </c>
      <c r="FF23" t="e">
        <f>AND(Sheet1!#REF!,"AAAAAG5XH6E=")</f>
        <v>#REF!</v>
      </c>
      <c r="FG23" t="e">
        <f>AND(Sheet1!#REF!,"AAAAAG5XH6I=")</f>
        <v>#REF!</v>
      </c>
      <c r="FH23">
        <f>IF(Sheet1!306:306,"AAAAAG5XH6M=",0)</f>
        <v>0</v>
      </c>
      <c r="FI23" t="e">
        <f>AND(Sheet1!A306,"AAAAAG5XH6Q=")</f>
        <v>#VALUE!</v>
      </c>
      <c r="FJ23" t="e">
        <f>AND(Sheet1!B306,"AAAAAG5XH6U=")</f>
        <v>#VALUE!</v>
      </c>
      <c r="FK23" t="e">
        <f>AND(Sheet1!C306,"AAAAAG5XH6Y=")</f>
        <v>#VALUE!</v>
      </c>
      <c r="FL23" t="e">
        <f>AND(Sheet1!D306,"AAAAAG5XH6c=")</f>
        <v>#VALUE!</v>
      </c>
      <c r="FM23" t="e">
        <f>AND(Sheet1!E306,"AAAAAG5XH6g=")</f>
        <v>#VALUE!</v>
      </c>
      <c r="FN23" t="e">
        <f>AND(Sheet1!F306,"AAAAAG5XH6k=")</f>
        <v>#VALUE!</v>
      </c>
      <c r="FO23" t="e">
        <f>AND(Sheet1!G306,"AAAAAG5XH6o=")</f>
        <v>#VALUE!</v>
      </c>
      <c r="FP23" t="e">
        <f>AND(Sheet1!H306,"AAAAAG5XH6s=")</f>
        <v>#VALUE!</v>
      </c>
      <c r="FQ23" t="e">
        <f>AND(Sheet1!I306,"AAAAAG5XH6w=")</f>
        <v>#VALUE!</v>
      </c>
      <c r="FR23" t="e">
        <f>AND(Sheet1!J306,"AAAAAG5XH60=")</f>
        <v>#VALUE!</v>
      </c>
      <c r="FS23" t="e">
        <f>AND(Sheet1!K306,"AAAAAG5XH64=")</f>
        <v>#VALUE!</v>
      </c>
      <c r="FT23" t="e">
        <f>AND(Sheet1!L306,"AAAAAG5XH68=")</f>
        <v>#VALUE!</v>
      </c>
      <c r="FU23" t="e">
        <f>AND(Sheet1!M306,"AAAAAG5XH7A=")</f>
        <v>#VALUE!</v>
      </c>
      <c r="FV23" t="e">
        <f>AND(Sheet1!N306,"AAAAAG5XH7E=")</f>
        <v>#VALUE!</v>
      </c>
      <c r="FW23" t="e">
        <f>AND(Sheet1!#REF!,"AAAAAG5XH7I=")</f>
        <v>#REF!</v>
      </c>
      <c r="FX23" t="e">
        <f>AND(Sheet1!#REF!,"AAAAAG5XH7M=")</f>
        <v>#REF!</v>
      </c>
      <c r="FY23" t="e">
        <f>AND(Sheet1!#REF!,"AAAAAG5XH7Q=")</f>
        <v>#REF!</v>
      </c>
      <c r="FZ23" t="e">
        <f>AND(Sheet1!#REF!,"AAAAAG5XH7U=")</f>
        <v>#REF!</v>
      </c>
      <c r="GA23">
        <f>IF(Sheet1!307:307,"AAAAAG5XH7Y=",0)</f>
        <v>0</v>
      </c>
      <c r="GB23" t="e">
        <f>AND(Sheet1!A307,"AAAAAG5XH7c=")</f>
        <v>#VALUE!</v>
      </c>
      <c r="GC23" t="e">
        <f>AND(Sheet1!B307,"AAAAAG5XH7g=")</f>
        <v>#VALUE!</v>
      </c>
      <c r="GD23" t="e">
        <f>AND(Sheet1!C307,"AAAAAG5XH7k=")</f>
        <v>#VALUE!</v>
      </c>
      <c r="GE23" t="e">
        <f>AND(Sheet1!D307,"AAAAAG5XH7o=")</f>
        <v>#VALUE!</v>
      </c>
      <c r="GF23" t="e">
        <f>AND(Sheet1!E307,"AAAAAG5XH7s=")</f>
        <v>#VALUE!</v>
      </c>
      <c r="GG23" t="e">
        <f>AND(Sheet1!F307,"AAAAAG5XH7w=")</f>
        <v>#VALUE!</v>
      </c>
      <c r="GH23" t="e">
        <f>AND(Sheet1!G307,"AAAAAG5XH70=")</f>
        <v>#VALUE!</v>
      </c>
      <c r="GI23" t="e">
        <f>AND(Sheet1!H307,"AAAAAG5XH74=")</f>
        <v>#VALUE!</v>
      </c>
      <c r="GJ23" t="e">
        <f>AND(Sheet1!I307,"AAAAAG5XH78=")</f>
        <v>#VALUE!</v>
      </c>
      <c r="GK23" t="e">
        <f>AND(Sheet1!J307,"AAAAAG5XH8A=")</f>
        <v>#VALUE!</v>
      </c>
      <c r="GL23" t="e">
        <f>AND(Sheet1!K307,"AAAAAG5XH8E=")</f>
        <v>#VALUE!</v>
      </c>
      <c r="GM23" t="e">
        <f>AND(Sheet1!L307,"AAAAAG5XH8I=")</f>
        <v>#VALUE!</v>
      </c>
      <c r="GN23" t="e">
        <f>AND(Sheet1!M307,"AAAAAG5XH8M=")</f>
        <v>#VALUE!</v>
      </c>
      <c r="GO23" t="e">
        <f>AND(Sheet1!N307,"AAAAAG5XH8Q=")</f>
        <v>#VALUE!</v>
      </c>
      <c r="GP23" t="e">
        <f>AND(Sheet1!#REF!,"AAAAAG5XH8U=")</f>
        <v>#REF!</v>
      </c>
      <c r="GQ23" t="e">
        <f>AND(Sheet1!#REF!,"AAAAAG5XH8Y=")</f>
        <v>#REF!</v>
      </c>
      <c r="GR23" t="e">
        <f>AND(Sheet1!#REF!,"AAAAAG5XH8c=")</f>
        <v>#REF!</v>
      </c>
      <c r="GS23" t="e">
        <f>AND(Sheet1!#REF!,"AAAAAG5XH8g=")</f>
        <v>#REF!</v>
      </c>
      <c r="GT23">
        <f>IF(Sheet1!308:308,"AAAAAG5XH8k=",0)</f>
        <v>0</v>
      </c>
      <c r="GU23" t="e">
        <f>AND(Sheet1!A308,"AAAAAG5XH8o=")</f>
        <v>#VALUE!</v>
      </c>
      <c r="GV23" t="e">
        <f>AND(Sheet1!B308,"AAAAAG5XH8s=")</f>
        <v>#VALUE!</v>
      </c>
      <c r="GW23" t="e">
        <f>AND(Sheet1!C308,"AAAAAG5XH8w=")</f>
        <v>#VALUE!</v>
      </c>
      <c r="GX23" t="e">
        <f>AND(Sheet1!D308,"AAAAAG5XH80=")</f>
        <v>#VALUE!</v>
      </c>
      <c r="GY23" t="e">
        <f>AND(Sheet1!E308,"AAAAAG5XH84=")</f>
        <v>#VALUE!</v>
      </c>
      <c r="GZ23" t="e">
        <f>AND(Sheet1!F308,"AAAAAG5XH88=")</f>
        <v>#VALUE!</v>
      </c>
      <c r="HA23" t="e">
        <f>AND(Sheet1!G308,"AAAAAG5XH9A=")</f>
        <v>#VALUE!</v>
      </c>
      <c r="HB23" t="e">
        <f>AND(Sheet1!H308,"AAAAAG5XH9E=")</f>
        <v>#VALUE!</v>
      </c>
      <c r="HC23" t="e">
        <f>AND(Sheet1!I308,"AAAAAG5XH9I=")</f>
        <v>#VALUE!</v>
      </c>
      <c r="HD23" t="e">
        <f>AND(Sheet1!J308,"AAAAAG5XH9M=")</f>
        <v>#VALUE!</v>
      </c>
      <c r="HE23" t="e">
        <f>AND(Sheet1!K308,"AAAAAG5XH9Q=")</f>
        <v>#VALUE!</v>
      </c>
      <c r="HF23" t="e">
        <f>AND(Sheet1!L308,"AAAAAG5XH9U=")</f>
        <v>#VALUE!</v>
      </c>
      <c r="HG23" t="e">
        <f>AND(Sheet1!M308,"AAAAAG5XH9Y=")</f>
        <v>#VALUE!</v>
      </c>
      <c r="HH23" t="e">
        <f>AND(Sheet1!N308,"AAAAAG5XH9c=")</f>
        <v>#VALUE!</v>
      </c>
      <c r="HI23" t="e">
        <f>AND(Sheet1!#REF!,"AAAAAG5XH9g=")</f>
        <v>#REF!</v>
      </c>
      <c r="HJ23" t="e">
        <f>AND(Sheet1!#REF!,"AAAAAG5XH9k=")</f>
        <v>#REF!</v>
      </c>
      <c r="HK23" t="e">
        <f>AND(Sheet1!#REF!,"AAAAAG5XH9o=")</f>
        <v>#REF!</v>
      </c>
      <c r="HL23" t="e">
        <f>AND(Sheet1!#REF!,"AAAAAG5XH9s=")</f>
        <v>#REF!</v>
      </c>
      <c r="HM23">
        <f>IF(Sheet1!309:309,"AAAAAG5XH9w=",0)</f>
        <v>0</v>
      </c>
      <c r="HN23" t="e">
        <f>AND(Sheet1!A309,"AAAAAG5XH90=")</f>
        <v>#VALUE!</v>
      </c>
      <c r="HO23" t="e">
        <f>AND(Sheet1!B309,"AAAAAG5XH94=")</f>
        <v>#VALUE!</v>
      </c>
      <c r="HP23" t="e">
        <f>AND(Sheet1!C309,"AAAAAG5XH98=")</f>
        <v>#VALUE!</v>
      </c>
      <c r="HQ23" t="e">
        <f>AND(Sheet1!D309,"AAAAAG5XH+A=")</f>
        <v>#VALUE!</v>
      </c>
      <c r="HR23" t="e">
        <f>AND(Sheet1!E309,"AAAAAG5XH+E=")</f>
        <v>#VALUE!</v>
      </c>
      <c r="HS23" t="e">
        <f>AND(Sheet1!F309,"AAAAAG5XH+I=")</f>
        <v>#VALUE!</v>
      </c>
      <c r="HT23" t="e">
        <f>AND(Sheet1!G309,"AAAAAG5XH+M=")</f>
        <v>#VALUE!</v>
      </c>
      <c r="HU23" t="e">
        <f>AND(Sheet1!H309,"AAAAAG5XH+Q=")</f>
        <v>#VALUE!</v>
      </c>
      <c r="HV23" t="e">
        <f>AND(Sheet1!I309,"AAAAAG5XH+U=")</f>
        <v>#VALUE!</v>
      </c>
      <c r="HW23" t="e">
        <f>AND(Sheet1!J309,"AAAAAG5XH+Y=")</f>
        <v>#VALUE!</v>
      </c>
      <c r="HX23" t="e">
        <f>AND(Sheet1!K309,"AAAAAG5XH+c=")</f>
        <v>#VALUE!</v>
      </c>
      <c r="HY23" t="e">
        <f>AND(Sheet1!L309,"AAAAAG5XH+g=")</f>
        <v>#VALUE!</v>
      </c>
      <c r="HZ23" t="e">
        <f>AND(Sheet1!M309,"AAAAAG5XH+k=")</f>
        <v>#VALUE!</v>
      </c>
      <c r="IA23" t="e">
        <f>AND(Sheet1!N309,"AAAAAG5XH+o=")</f>
        <v>#VALUE!</v>
      </c>
      <c r="IB23" t="e">
        <f>AND(Sheet1!#REF!,"AAAAAG5XH+s=")</f>
        <v>#REF!</v>
      </c>
      <c r="IC23" t="e">
        <f>AND(Sheet1!#REF!,"AAAAAG5XH+w=")</f>
        <v>#REF!</v>
      </c>
      <c r="ID23" t="e">
        <f>AND(Sheet1!#REF!,"AAAAAG5XH+0=")</f>
        <v>#REF!</v>
      </c>
      <c r="IE23" t="e">
        <f>AND(Sheet1!#REF!,"AAAAAG5XH+4=")</f>
        <v>#REF!</v>
      </c>
      <c r="IF23">
        <f>IF(Sheet1!310:310,"AAAAAG5XH+8=",0)</f>
        <v>0</v>
      </c>
      <c r="IG23" t="e">
        <f>AND(Sheet1!A310,"AAAAAG5XH/A=")</f>
        <v>#VALUE!</v>
      </c>
      <c r="IH23" t="e">
        <f>AND(Sheet1!B310,"AAAAAG5XH/E=")</f>
        <v>#VALUE!</v>
      </c>
      <c r="II23" t="e">
        <f>AND(Sheet1!C310,"AAAAAG5XH/I=")</f>
        <v>#VALUE!</v>
      </c>
      <c r="IJ23" t="e">
        <f>AND(Sheet1!D310,"AAAAAG5XH/M=")</f>
        <v>#VALUE!</v>
      </c>
      <c r="IK23" t="e">
        <f>AND(Sheet1!E310,"AAAAAG5XH/Q=")</f>
        <v>#VALUE!</v>
      </c>
      <c r="IL23" t="e">
        <f>AND(Sheet1!F310,"AAAAAG5XH/U=")</f>
        <v>#VALUE!</v>
      </c>
      <c r="IM23" t="e">
        <f>AND(Sheet1!G310,"AAAAAG5XH/Y=")</f>
        <v>#VALUE!</v>
      </c>
      <c r="IN23" t="e">
        <f>AND(Sheet1!H310,"AAAAAG5XH/c=")</f>
        <v>#VALUE!</v>
      </c>
      <c r="IO23" t="e">
        <f>AND(Sheet1!I310,"AAAAAG5XH/g=")</f>
        <v>#VALUE!</v>
      </c>
      <c r="IP23" t="e">
        <f>AND(Sheet1!J310,"AAAAAG5XH/k=")</f>
        <v>#VALUE!</v>
      </c>
      <c r="IQ23" t="e">
        <f>AND(Sheet1!K310,"AAAAAG5XH/o=")</f>
        <v>#VALUE!</v>
      </c>
      <c r="IR23" t="e">
        <f>AND(Sheet1!L310,"AAAAAG5XH/s=")</f>
        <v>#VALUE!</v>
      </c>
      <c r="IS23" t="e">
        <f>AND(Sheet1!M310,"AAAAAG5XH/w=")</f>
        <v>#VALUE!</v>
      </c>
      <c r="IT23" t="e">
        <f>AND(Sheet1!N310,"AAAAAG5XH/0=")</f>
        <v>#VALUE!</v>
      </c>
      <c r="IU23" t="e">
        <f>AND(Sheet1!#REF!,"AAAAAG5XH/4=")</f>
        <v>#REF!</v>
      </c>
      <c r="IV23" t="e">
        <f>AND(Sheet1!#REF!,"AAAAAG5XH/8=")</f>
        <v>#REF!</v>
      </c>
    </row>
    <row r="24" spans="1:256" x14ac:dyDescent="0.2">
      <c r="A24" t="e">
        <f>AND(Sheet1!#REF!,"AAAAAD/9/QA=")</f>
        <v>#REF!</v>
      </c>
      <c r="B24" t="e">
        <f>AND(Sheet1!#REF!,"AAAAAD/9/QE=")</f>
        <v>#REF!</v>
      </c>
      <c r="C24" t="e">
        <f>IF(Sheet1!311:311,"AAAAAD/9/QI=",0)</f>
        <v>#VALUE!</v>
      </c>
      <c r="D24" t="e">
        <f>AND(Sheet1!A311,"AAAAAD/9/QM=")</f>
        <v>#VALUE!</v>
      </c>
      <c r="E24" t="e">
        <f>AND(Sheet1!B311,"AAAAAD/9/QQ=")</f>
        <v>#VALUE!</v>
      </c>
      <c r="F24" t="e">
        <f>AND(Sheet1!C311,"AAAAAD/9/QU=")</f>
        <v>#VALUE!</v>
      </c>
      <c r="G24" t="e">
        <f>AND(Sheet1!D311,"AAAAAD/9/QY=")</f>
        <v>#VALUE!</v>
      </c>
      <c r="H24" t="e">
        <f>AND(Sheet1!E311,"AAAAAD/9/Qc=")</f>
        <v>#VALUE!</v>
      </c>
      <c r="I24" t="e">
        <f>AND(Sheet1!F311,"AAAAAD/9/Qg=")</f>
        <v>#VALUE!</v>
      </c>
      <c r="J24" t="e">
        <f>AND(Sheet1!G311,"AAAAAD/9/Qk=")</f>
        <v>#VALUE!</v>
      </c>
      <c r="K24" t="e">
        <f>AND(Sheet1!H311,"AAAAAD/9/Qo=")</f>
        <v>#VALUE!</v>
      </c>
      <c r="L24" t="e">
        <f>AND(Sheet1!I311,"AAAAAD/9/Qs=")</f>
        <v>#VALUE!</v>
      </c>
      <c r="M24" t="e">
        <f>AND(Sheet1!J311,"AAAAAD/9/Qw=")</f>
        <v>#VALUE!</v>
      </c>
      <c r="N24" t="e">
        <f>AND(Sheet1!K311,"AAAAAD/9/Q0=")</f>
        <v>#VALUE!</v>
      </c>
      <c r="O24" t="e">
        <f>AND(Sheet1!L311,"AAAAAD/9/Q4=")</f>
        <v>#VALUE!</v>
      </c>
      <c r="P24" t="e">
        <f>AND(Sheet1!M311,"AAAAAD/9/Q8=")</f>
        <v>#VALUE!</v>
      </c>
      <c r="Q24" t="e">
        <f>AND(Sheet1!N311,"AAAAAD/9/RA=")</f>
        <v>#VALUE!</v>
      </c>
      <c r="R24" t="e">
        <f>AND(Sheet1!#REF!,"AAAAAD/9/RE=")</f>
        <v>#REF!</v>
      </c>
      <c r="S24" t="e">
        <f>AND(Sheet1!#REF!,"AAAAAD/9/RI=")</f>
        <v>#REF!</v>
      </c>
      <c r="T24" t="e">
        <f>AND(Sheet1!#REF!,"AAAAAD/9/RM=")</f>
        <v>#REF!</v>
      </c>
      <c r="U24" t="e">
        <f>AND(Sheet1!#REF!,"AAAAAD/9/RQ=")</f>
        <v>#REF!</v>
      </c>
      <c r="V24">
        <f>IF(Sheet1!312:312,"AAAAAD/9/RU=",0)</f>
        <v>0</v>
      </c>
      <c r="W24" t="e">
        <f>AND(Sheet1!A312,"AAAAAD/9/RY=")</f>
        <v>#VALUE!</v>
      </c>
      <c r="X24" t="e">
        <f>AND(Sheet1!B312,"AAAAAD/9/Rc=")</f>
        <v>#VALUE!</v>
      </c>
      <c r="Y24" t="e">
        <f>AND(Sheet1!C312,"AAAAAD/9/Rg=")</f>
        <v>#VALUE!</v>
      </c>
      <c r="Z24" t="e">
        <f>AND(Sheet1!D312,"AAAAAD/9/Rk=")</f>
        <v>#VALUE!</v>
      </c>
      <c r="AA24" t="e">
        <f>AND(Sheet1!E312,"AAAAAD/9/Ro=")</f>
        <v>#VALUE!</v>
      </c>
      <c r="AB24" t="e">
        <f>AND(Sheet1!F312,"AAAAAD/9/Rs=")</f>
        <v>#VALUE!</v>
      </c>
      <c r="AC24" t="e">
        <f>AND(Sheet1!G312,"AAAAAD/9/Rw=")</f>
        <v>#VALUE!</v>
      </c>
      <c r="AD24" t="e">
        <f>AND(Sheet1!H312,"AAAAAD/9/R0=")</f>
        <v>#VALUE!</v>
      </c>
      <c r="AE24" t="e">
        <f>AND(Sheet1!I312,"AAAAAD/9/R4=")</f>
        <v>#VALUE!</v>
      </c>
      <c r="AF24" t="e">
        <f>AND(Sheet1!J312,"AAAAAD/9/R8=")</f>
        <v>#VALUE!</v>
      </c>
      <c r="AG24" t="e">
        <f>AND(Sheet1!K312,"AAAAAD/9/SA=")</f>
        <v>#VALUE!</v>
      </c>
      <c r="AH24" t="e">
        <f>AND(Sheet1!L312,"AAAAAD/9/SE=")</f>
        <v>#VALUE!</v>
      </c>
      <c r="AI24" t="e">
        <f>AND(Sheet1!M312,"AAAAAD/9/SI=")</f>
        <v>#VALUE!</v>
      </c>
      <c r="AJ24" t="e">
        <f>AND(Sheet1!N312,"AAAAAD/9/SM=")</f>
        <v>#VALUE!</v>
      </c>
      <c r="AK24" t="e">
        <f>AND(Sheet1!#REF!,"AAAAAD/9/SQ=")</f>
        <v>#REF!</v>
      </c>
      <c r="AL24" t="e">
        <f>AND(Sheet1!#REF!,"AAAAAD/9/SU=")</f>
        <v>#REF!</v>
      </c>
      <c r="AM24" t="e">
        <f>AND(Sheet1!#REF!,"AAAAAD/9/SY=")</f>
        <v>#REF!</v>
      </c>
      <c r="AN24" t="e">
        <f>AND(Sheet1!#REF!,"AAAAAD/9/Sc=")</f>
        <v>#REF!</v>
      </c>
      <c r="AO24">
        <f>IF(Sheet1!313:313,"AAAAAD/9/Sg=",0)</f>
        <v>0</v>
      </c>
      <c r="AP24" t="e">
        <f>AND(Sheet1!A313,"AAAAAD/9/Sk=")</f>
        <v>#VALUE!</v>
      </c>
      <c r="AQ24" t="e">
        <f>AND(Sheet1!B313,"AAAAAD/9/So=")</f>
        <v>#VALUE!</v>
      </c>
      <c r="AR24" t="e">
        <f>AND(Sheet1!C313,"AAAAAD/9/Ss=")</f>
        <v>#VALUE!</v>
      </c>
      <c r="AS24" t="e">
        <f>AND(Sheet1!D313,"AAAAAD/9/Sw=")</f>
        <v>#VALUE!</v>
      </c>
      <c r="AT24" t="e">
        <f>AND(Sheet1!E313,"AAAAAD/9/S0=")</f>
        <v>#VALUE!</v>
      </c>
      <c r="AU24" t="e">
        <f>AND(Sheet1!F313,"AAAAAD/9/S4=")</f>
        <v>#VALUE!</v>
      </c>
      <c r="AV24" t="e">
        <f>AND(Sheet1!G313,"AAAAAD/9/S8=")</f>
        <v>#VALUE!</v>
      </c>
      <c r="AW24" t="e">
        <f>AND(Sheet1!H313,"AAAAAD/9/TA=")</f>
        <v>#VALUE!</v>
      </c>
      <c r="AX24" t="e">
        <f>AND(Sheet1!I313,"AAAAAD/9/TE=")</f>
        <v>#VALUE!</v>
      </c>
      <c r="AY24" t="e">
        <f>AND(Sheet1!J313,"AAAAAD/9/TI=")</f>
        <v>#VALUE!</v>
      </c>
      <c r="AZ24" t="e">
        <f>AND(Sheet1!K313,"AAAAAD/9/TM=")</f>
        <v>#VALUE!</v>
      </c>
      <c r="BA24" t="e">
        <f>AND(Sheet1!L313,"AAAAAD/9/TQ=")</f>
        <v>#VALUE!</v>
      </c>
      <c r="BB24" t="e">
        <f>AND(Sheet1!M313,"AAAAAD/9/TU=")</f>
        <v>#VALUE!</v>
      </c>
      <c r="BC24" t="e">
        <f>AND(Sheet1!N313,"AAAAAD/9/TY=")</f>
        <v>#VALUE!</v>
      </c>
      <c r="BD24" t="e">
        <f>AND(Sheet1!#REF!,"AAAAAD/9/Tc=")</f>
        <v>#REF!</v>
      </c>
      <c r="BE24" t="e">
        <f>AND(Sheet1!#REF!,"AAAAAD/9/Tg=")</f>
        <v>#REF!</v>
      </c>
      <c r="BF24" t="e">
        <f>AND(Sheet1!#REF!,"AAAAAD/9/Tk=")</f>
        <v>#REF!</v>
      </c>
      <c r="BG24" t="e">
        <f>AND(Sheet1!#REF!,"AAAAAD/9/To=")</f>
        <v>#REF!</v>
      </c>
      <c r="BH24">
        <f>IF(Sheet1!314:314,"AAAAAD/9/Ts=",0)</f>
        <v>0</v>
      </c>
      <c r="BI24" t="e">
        <f>AND(Sheet1!A314,"AAAAAD/9/Tw=")</f>
        <v>#VALUE!</v>
      </c>
      <c r="BJ24" t="e">
        <f>AND(Sheet1!B314,"AAAAAD/9/T0=")</f>
        <v>#VALUE!</v>
      </c>
      <c r="BK24" t="e">
        <f>AND(Sheet1!C314,"AAAAAD/9/T4=")</f>
        <v>#VALUE!</v>
      </c>
      <c r="BL24" t="e">
        <f>AND(Sheet1!D314,"AAAAAD/9/T8=")</f>
        <v>#VALUE!</v>
      </c>
      <c r="BM24" t="e">
        <f>AND(Sheet1!E314,"AAAAAD/9/UA=")</f>
        <v>#VALUE!</v>
      </c>
      <c r="BN24" t="e">
        <f>AND(Sheet1!F314,"AAAAAD/9/UE=")</f>
        <v>#VALUE!</v>
      </c>
      <c r="BO24" t="e">
        <f>AND(Sheet1!G314,"AAAAAD/9/UI=")</f>
        <v>#VALUE!</v>
      </c>
      <c r="BP24" t="e">
        <f>AND(Sheet1!H314,"AAAAAD/9/UM=")</f>
        <v>#VALUE!</v>
      </c>
      <c r="BQ24" t="e">
        <f>AND(Sheet1!I314,"AAAAAD/9/UQ=")</f>
        <v>#VALUE!</v>
      </c>
      <c r="BR24" t="e">
        <f>AND(Sheet1!J314,"AAAAAD/9/UU=")</f>
        <v>#VALUE!</v>
      </c>
      <c r="BS24" t="e">
        <f>AND(Sheet1!K314,"AAAAAD/9/UY=")</f>
        <v>#VALUE!</v>
      </c>
      <c r="BT24" t="e">
        <f>AND(Sheet1!L314,"AAAAAD/9/Uc=")</f>
        <v>#VALUE!</v>
      </c>
      <c r="BU24" t="e">
        <f>AND(Sheet1!M314,"AAAAAD/9/Ug=")</f>
        <v>#VALUE!</v>
      </c>
      <c r="BV24" t="e">
        <f>AND(Sheet1!N314,"AAAAAD/9/Uk=")</f>
        <v>#VALUE!</v>
      </c>
      <c r="BW24" t="e">
        <f>AND(Sheet1!#REF!,"AAAAAD/9/Uo=")</f>
        <v>#REF!</v>
      </c>
      <c r="BX24" t="e">
        <f>AND(Sheet1!#REF!,"AAAAAD/9/Us=")</f>
        <v>#REF!</v>
      </c>
      <c r="BY24" t="e">
        <f>AND(Sheet1!#REF!,"AAAAAD/9/Uw=")</f>
        <v>#REF!</v>
      </c>
      <c r="BZ24" t="e">
        <f>AND(Sheet1!#REF!,"AAAAAD/9/U0=")</f>
        <v>#REF!</v>
      </c>
      <c r="CA24">
        <f>IF(Sheet1!315:315,"AAAAAD/9/U4=",0)</f>
        <v>0</v>
      </c>
      <c r="CB24" t="e">
        <f>AND(Sheet1!A315,"AAAAAD/9/U8=")</f>
        <v>#VALUE!</v>
      </c>
      <c r="CC24" t="e">
        <f>AND(Sheet1!B315,"AAAAAD/9/VA=")</f>
        <v>#VALUE!</v>
      </c>
      <c r="CD24" t="e">
        <f>AND(Sheet1!C315,"AAAAAD/9/VE=")</f>
        <v>#VALUE!</v>
      </c>
      <c r="CE24" t="e">
        <f>AND(Sheet1!D315,"AAAAAD/9/VI=")</f>
        <v>#VALUE!</v>
      </c>
      <c r="CF24" t="e">
        <f>AND(Sheet1!E315,"AAAAAD/9/VM=")</f>
        <v>#VALUE!</v>
      </c>
      <c r="CG24" t="e">
        <f>AND(Sheet1!F315,"AAAAAD/9/VQ=")</f>
        <v>#VALUE!</v>
      </c>
      <c r="CH24" t="e">
        <f>AND(Sheet1!G315,"AAAAAD/9/VU=")</f>
        <v>#VALUE!</v>
      </c>
      <c r="CI24" t="e">
        <f>AND(Sheet1!H315,"AAAAAD/9/VY=")</f>
        <v>#VALUE!</v>
      </c>
      <c r="CJ24" t="e">
        <f>AND(Sheet1!I315,"AAAAAD/9/Vc=")</f>
        <v>#VALUE!</v>
      </c>
      <c r="CK24" t="e">
        <f>AND(Sheet1!J315,"AAAAAD/9/Vg=")</f>
        <v>#VALUE!</v>
      </c>
      <c r="CL24" t="e">
        <f>AND(Sheet1!K315,"AAAAAD/9/Vk=")</f>
        <v>#VALUE!</v>
      </c>
      <c r="CM24" t="e">
        <f>AND(Sheet1!L315,"AAAAAD/9/Vo=")</f>
        <v>#VALUE!</v>
      </c>
      <c r="CN24" t="e">
        <f>AND(Sheet1!M315,"AAAAAD/9/Vs=")</f>
        <v>#VALUE!</v>
      </c>
      <c r="CO24" t="e">
        <f>AND(Sheet1!N315,"AAAAAD/9/Vw=")</f>
        <v>#VALUE!</v>
      </c>
      <c r="CP24" t="e">
        <f>AND(Sheet1!#REF!,"AAAAAD/9/V0=")</f>
        <v>#REF!</v>
      </c>
      <c r="CQ24" t="e">
        <f>AND(Sheet1!#REF!,"AAAAAD/9/V4=")</f>
        <v>#REF!</v>
      </c>
      <c r="CR24" t="e">
        <f>AND(Sheet1!#REF!,"AAAAAD/9/V8=")</f>
        <v>#REF!</v>
      </c>
      <c r="CS24" t="e">
        <f>AND(Sheet1!#REF!,"AAAAAD/9/WA=")</f>
        <v>#REF!</v>
      </c>
      <c r="CT24">
        <f>IF(Sheet1!316:316,"AAAAAD/9/WE=",0)</f>
        <v>0</v>
      </c>
      <c r="CU24" t="e">
        <f>AND(Sheet1!A316,"AAAAAD/9/WI=")</f>
        <v>#VALUE!</v>
      </c>
      <c r="CV24" t="e">
        <f>AND(Sheet1!B316,"AAAAAD/9/WM=")</f>
        <v>#VALUE!</v>
      </c>
      <c r="CW24" t="e">
        <f>AND(Sheet1!C316,"AAAAAD/9/WQ=")</f>
        <v>#VALUE!</v>
      </c>
      <c r="CX24" t="e">
        <f>AND(Sheet1!D316,"AAAAAD/9/WU=")</f>
        <v>#VALUE!</v>
      </c>
      <c r="CY24" t="e">
        <f>AND(Sheet1!E316,"AAAAAD/9/WY=")</f>
        <v>#VALUE!</v>
      </c>
      <c r="CZ24" t="e">
        <f>AND(Sheet1!F316,"AAAAAD/9/Wc=")</f>
        <v>#VALUE!</v>
      </c>
      <c r="DA24" t="e">
        <f>AND(Sheet1!G316,"AAAAAD/9/Wg=")</f>
        <v>#VALUE!</v>
      </c>
      <c r="DB24" t="e">
        <f>AND(Sheet1!H316,"AAAAAD/9/Wk=")</f>
        <v>#VALUE!</v>
      </c>
      <c r="DC24" t="e">
        <f>AND(Sheet1!I316,"AAAAAD/9/Wo=")</f>
        <v>#VALUE!</v>
      </c>
      <c r="DD24" t="e">
        <f>AND(Sheet1!J316,"AAAAAD/9/Ws=")</f>
        <v>#VALUE!</v>
      </c>
      <c r="DE24" t="e">
        <f>AND(Sheet1!K316,"AAAAAD/9/Ww=")</f>
        <v>#VALUE!</v>
      </c>
      <c r="DF24" t="e">
        <f>AND(Sheet1!L316,"AAAAAD/9/W0=")</f>
        <v>#VALUE!</v>
      </c>
      <c r="DG24" t="e">
        <f>AND(Sheet1!M316,"AAAAAD/9/W4=")</f>
        <v>#VALUE!</v>
      </c>
      <c r="DH24" t="e">
        <f>AND(Sheet1!N316,"AAAAAD/9/W8=")</f>
        <v>#VALUE!</v>
      </c>
      <c r="DI24" t="e">
        <f>AND(Sheet1!#REF!,"AAAAAD/9/XA=")</f>
        <v>#REF!</v>
      </c>
      <c r="DJ24" t="e">
        <f>AND(Sheet1!#REF!,"AAAAAD/9/XE=")</f>
        <v>#REF!</v>
      </c>
      <c r="DK24" t="e">
        <f>AND(Sheet1!#REF!,"AAAAAD/9/XI=")</f>
        <v>#REF!</v>
      </c>
      <c r="DL24" t="e">
        <f>AND(Sheet1!#REF!,"AAAAAD/9/XM=")</f>
        <v>#REF!</v>
      </c>
      <c r="DM24">
        <f>IF(Sheet1!317:317,"AAAAAD/9/XQ=",0)</f>
        <v>0</v>
      </c>
      <c r="DN24" t="e">
        <f>AND(Sheet1!A317,"AAAAAD/9/XU=")</f>
        <v>#VALUE!</v>
      </c>
      <c r="DO24" t="e">
        <f>AND(Sheet1!B317,"AAAAAD/9/XY=")</f>
        <v>#VALUE!</v>
      </c>
      <c r="DP24" t="e">
        <f>AND(Sheet1!C317,"AAAAAD/9/Xc=")</f>
        <v>#VALUE!</v>
      </c>
      <c r="DQ24" t="e">
        <f>AND(Sheet1!D317,"AAAAAD/9/Xg=")</f>
        <v>#VALUE!</v>
      </c>
      <c r="DR24" t="e">
        <f>AND(Sheet1!E317,"AAAAAD/9/Xk=")</f>
        <v>#VALUE!</v>
      </c>
      <c r="DS24" t="e">
        <f>AND(Sheet1!F317,"AAAAAD/9/Xo=")</f>
        <v>#VALUE!</v>
      </c>
      <c r="DT24" t="e">
        <f>AND(Sheet1!G317,"AAAAAD/9/Xs=")</f>
        <v>#VALUE!</v>
      </c>
      <c r="DU24" t="e">
        <f>AND(Sheet1!H317,"AAAAAD/9/Xw=")</f>
        <v>#VALUE!</v>
      </c>
      <c r="DV24" t="e">
        <f>AND(Sheet1!I317,"AAAAAD/9/X0=")</f>
        <v>#VALUE!</v>
      </c>
      <c r="DW24" t="e">
        <f>AND(Sheet1!J317,"AAAAAD/9/X4=")</f>
        <v>#VALUE!</v>
      </c>
      <c r="DX24" t="e">
        <f>AND(Sheet1!K317,"AAAAAD/9/X8=")</f>
        <v>#VALUE!</v>
      </c>
      <c r="DY24" t="e">
        <f>AND(Sheet1!L317,"AAAAAD/9/YA=")</f>
        <v>#VALUE!</v>
      </c>
      <c r="DZ24" t="e">
        <f>AND(Sheet1!M317,"AAAAAD/9/YE=")</f>
        <v>#VALUE!</v>
      </c>
      <c r="EA24" t="e">
        <f>AND(Sheet1!N317,"AAAAAD/9/YI=")</f>
        <v>#VALUE!</v>
      </c>
      <c r="EB24" t="e">
        <f>AND(Sheet1!#REF!,"AAAAAD/9/YM=")</f>
        <v>#REF!</v>
      </c>
      <c r="EC24" t="e">
        <f>AND(Sheet1!#REF!,"AAAAAD/9/YQ=")</f>
        <v>#REF!</v>
      </c>
      <c r="ED24" t="e">
        <f>AND(Sheet1!#REF!,"AAAAAD/9/YU=")</f>
        <v>#REF!</v>
      </c>
      <c r="EE24" t="e">
        <f>AND(Sheet1!#REF!,"AAAAAD/9/YY=")</f>
        <v>#REF!</v>
      </c>
      <c r="EF24">
        <f>IF(Sheet1!318:318,"AAAAAD/9/Yc=",0)</f>
        <v>0</v>
      </c>
      <c r="EG24" t="e">
        <f>AND(Sheet1!A318,"AAAAAD/9/Yg=")</f>
        <v>#VALUE!</v>
      </c>
      <c r="EH24" t="e">
        <f>AND(Sheet1!B318,"AAAAAD/9/Yk=")</f>
        <v>#VALUE!</v>
      </c>
      <c r="EI24" t="e">
        <f>AND(Sheet1!C318,"AAAAAD/9/Yo=")</f>
        <v>#VALUE!</v>
      </c>
      <c r="EJ24" t="e">
        <f>AND(Sheet1!D318,"AAAAAD/9/Ys=")</f>
        <v>#VALUE!</v>
      </c>
      <c r="EK24" t="e">
        <f>AND(Sheet1!E318,"AAAAAD/9/Yw=")</f>
        <v>#VALUE!</v>
      </c>
      <c r="EL24" t="e">
        <f>AND(Sheet1!F318,"AAAAAD/9/Y0=")</f>
        <v>#VALUE!</v>
      </c>
      <c r="EM24" t="e">
        <f>AND(Sheet1!G318,"AAAAAD/9/Y4=")</f>
        <v>#VALUE!</v>
      </c>
      <c r="EN24" t="e">
        <f>AND(Sheet1!H318,"AAAAAD/9/Y8=")</f>
        <v>#VALUE!</v>
      </c>
      <c r="EO24" t="e">
        <f>AND(Sheet1!I318,"AAAAAD/9/ZA=")</f>
        <v>#VALUE!</v>
      </c>
      <c r="EP24" t="e">
        <f>AND(Sheet1!J318,"AAAAAD/9/ZE=")</f>
        <v>#VALUE!</v>
      </c>
      <c r="EQ24" t="e">
        <f>AND(Sheet1!K318,"AAAAAD/9/ZI=")</f>
        <v>#VALUE!</v>
      </c>
      <c r="ER24" t="e">
        <f>AND(Sheet1!L318,"AAAAAD/9/ZM=")</f>
        <v>#VALUE!</v>
      </c>
      <c r="ES24" t="e">
        <f>AND(Sheet1!M318,"AAAAAD/9/ZQ=")</f>
        <v>#VALUE!</v>
      </c>
      <c r="ET24" t="e">
        <f>AND(Sheet1!N318,"AAAAAD/9/ZU=")</f>
        <v>#VALUE!</v>
      </c>
      <c r="EU24" t="e">
        <f>AND(Sheet1!#REF!,"AAAAAD/9/ZY=")</f>
        <v>#REF!</v>
      </c>
      <c r="EV24" t="e">
        <f>AND(Sheet1!#REF!,"AAAAAD/9/Zc=")</f>
        <v>#REF!</v>
      </c>
      <c r="EW24" t="e">
        <f>AND(Sheet1!#REF!,"AAAAAD/9/Zg=")</f>
        <v>#REF!</v>
      </c>
      <c r="EX24" t="e">
        <f>AND(Sheet1!#REF!,"AAAAAD/9/Zk=")</f>
        <v>#REF!</v>
      </c>
      <c r="EY24">
        <f>IF(Sheet1!319:319,"AAAAAD/9/Zo=",0)</f>
        <v>0</v>
      </c>
      <c r="EZ24" t="e">
        <f>AND(Sheet1!A319,"AAAAAD/9/Zs=")</f>
        <v>#VALUE!</v>
      </c>
      <c r="FA24" t="e">
        <f>AND(Sheet1!B319,"AAAAAD/9/Zw=")</f>
        <v>#VALUE!</v>
      </c>
      <c r="FB24" t="e">
        <f>AND(Sheet1!C319,"AAAAAD/9/Z0=")</f>
        <v>#VALUE!</v>
      </c>
      <c r="FC24" t="e">
        <f>AND(Sheet1!D319,"AAAAAD/9/Z4=")</f>
        <v>#VALUE!</v>
      </c>
      <c r="FD24" t="e">
        <f>AND(Sheet1!E319,"AAAAAD/9/Z8=")</f>
        <v>#VALUE!</v>
      </c>
      <c r="FE24" t="e">
        <f>AND(Sheet1!F319,"AAAAAD/9/aA=")</f>
        <v>#VALUE!</v>
      </c>
      <c r="FF24" t="e">
        <f>AND(Sheet1!G319,"AAAAAD/9/aE=")</f>
        <v>#VALUE!</v>
      </c>
      <c r="FG24" t="e">
        <f>AND(Sheet1!H319,"AAAAAD/9/aI=")</f>
        <v>#VALUE!</v>
      </c>
      <c r="FH24" t="e">
        <f>AND(Sheet1!I319,"AAAAAD/9/aM=")</f>
        <v>#VALUE!</v>
      </c>
      <c r="FI24" t="e">
        <f>AND(Sheet1!J319,"AAAAAD/9/aQ=")</f>
        <v>#VALUE!</v>
      </c>
      <c r="FJ24" t="e">
        <f>AND(Sheet1!K319,"AAAAAD/9/aU=")</f>
        <v>#VALUE!</v>
      </c>
      <c r="FK24" t="e">
        <f>AND(Sheet1!L319,"AAAAAD/9/aY=")</f>
        <v>#VALUE!</v>
      </c>
      <c r="FL24" t="e">
        <f>AND(Sheet1!M319,"AAAAAD/9/ac=")</f>
        <v>#VALUE!</v>
      </c>
      <c r="FM24" t="e">
        <f>AND(Sheet1!N319,"AAAAAD/9/ag=")</f>
        <v>#VALUE!</v>
      </c>
      <c r="FN24" t="e">
        <f>AND(Sheet1!#REF!,"AAAAAD/9/ak=")</f>
        <v>#REF!</v>
      </c>
      <c r="FO24" t="e">
        <f>AND(Sheet1!#REF!,"AAAAAD/9/ao=")</f>
        <v>#REF!</v>
      </c>
      <c r="FP24" t="e">
        <f>AND(Sheet1!#REF!,"AAAAAD/9/as=")</f>
        <v>#REF!</v>
      </c>
      <c r="FQ24" t="e">
        <f>AND(Sheet1!#REF!,"AAAAAD/9/aw=")</f>
        <v>#REF!</v>
      </c>
      <c r="FR24">
        <f>IF(Sheet1!320:320,"AAAAAD/9/a0=",0)</f>
        <v>0</v>
      </c>
      <c r="FS24" t="e">
        <f>AND(Sheet1!A320,"AAAAAD/9/a4=")</f>
        <v>#VALUE!</v>
      </c>
      <c r="FT24" t="e">
        <f>AND(Sheet1!B320,"AAAAAD/9/a8=")</f>
        <v>#VALUE!</v>
      </c>
      <c r="FU24" t="e">
        <f>AND(Sheet1!C320,"AAAAAD/9/bA=")</f>
        <v>#VALUE!</v>
      </c>
      <c r="FV24" t="e">
        <f>AND(Sheet1!D320,"AAAAAD/9/bE=")</f>
        <v>#VALUE!</v>
      </c>
      <c r="FW24" t="e">
        <f>AND(Sheet1!E320,"AAAAAD/9/bI=")</f>
        <v>#VALUE!</v>
      </c>
      <c r="FX24" t="e">
        <f>AND(Sheet1!F320,"AAAAAD/9/bM=")</f>
        <v>#VALUE!</v>
      </c>
      <c r="FY24" t="e">
        <f>AND(Sheet1!G320,"AAAAAD/9/bQ=")</f>
        <v>#VALUE!</v>
      </c>
      <c r="FZ24" t="e">
        <f>AND(Sheet1!H320,"AAAAAD/9/bU=")</f>
        <v>#VALUE!</v>
      </c>
      <c r="GA24" t="e">
        <f>AND(Sheet1!I320,"AAAAAD/9/bY=")</f>
        <v>#VALUE!</v>
      </c>
      <c r="GB24" t="e">
        <f>AND(Sheet1!J320,"AAAAAD/9/bc=")</f>
        <v>#VALUE!</v>
      </c>
      <c r="GC24" t="e">
        <f>AND(Sheet1!K320,"AAAAAD/9/bg=")</f>
        <v>#VALUE!</v>
      </c>
      <c r="GD24" t="e">
        <f>AND(Sheet1!L320,"AAAAAD/9/bk=")</f>
        <v>#VALUE!</v>
      </c>
      <c r="GE24" t="e">
        <f>AND(Sheet1!M320,"AAAAAD/9/bo=")</f>
        <v>#VALUE!</v>
      </c>
      <c r="GF24" t="e">
        <f>AND(Sheet1!N320,"AAAAAD/9/bs=")</f>
        <v>#VALUE!</v>
      </c>
      <c r="GG24" t="e">
        <f>AND(Sheet1!#REF!,"AAAAAD/9/bw=")</f>
        <v>#REF!</v>
      </c>
      <c r="GH24" t="e">
        <f>AND(Sheet1!#REF!,"AAAAAD/9/b0=")</f>
        <v>#REF!</v>
      </c>
      <c r="GI24" t="e">
        <f>AND(Sheet1!#REF!,"AAAAAD/9/b4=")</f>
        <v>#REF!</v>
      </c>
      <c r="GJ24" t="e">
        <f>AND(Sheet1!#REF!,"AAAAAD/9/b8=")</f>
        <v>#REF!</v>
      </c>
      <c r="GK24">
        <f>IF(Sheet1!321:321,"AAAAAD/9/cA=",0)</f>
        <v>0</v>
      </c>
      <c r="GL24" t="e">
        <f>AND(Sheet1!A321,"AAAAAD/9/cE=")</f>
        <v>#VALUE!</v>
      </c>
      <c r="GM24" t="e">
        <f>AND(Sheet1!B321,"AAAAAD/9/cI=")</f>
        <v>#VALUE!</v>
      </c>
      <c r="GN24" t="e">
        <f>AND(Sheet1!C321,"AAAAAD/9/cM=")</f>
        <v>#VALUE!</v>
      </c>
      <c r="GO24" t="e">
        <f>AND(Sheet1!D321,"AAAAAD/9/cQ=")</f>
        <v>#VALUE!</v>
      </c>
      <c r="GP24" t="e">
        <f>AND(Sheet1!E321,"AAAAAD/9/cU=")</f>
        <v>#VALUE!</v>
      </c>
      <c r="GQ24" t="e">
        <f>AND(Sheet1!F321,"AAAAAD/9/cY=")</f>
        <v>#VALUE!</v>
      </c>
      <c r="GR24" t="e">
        <f>AND(Sheet1!G321,"AAAAAD/9/cc=")</f>
        <v>#VALUE!</v>
      </c>
      <c r="GS24" t="e">
        <f>AND(Sheet1!H321,"AAAAAD/9/cg=")</f>
        <v>#VALUE!</v>
      </c>
      <c r="GT24" t="e">
        <f>AND(Sheet1!I321,"AAAAAD/9/ck=")</f>
        <v>#VALUE!</v>
      </c>
      <c r="GU24" t="e">
        <f>AND(Sheet1!J321,"AAAAAD/9/co=")</f>
        <v>#VALUE!</v>
      </c>
      <c r="GV24" t="e">
        <f>AND(Sheet1!K321,"AAAAAD/9/cs=")</f>
        <v>#VALUE!</v>
      </c>
      <c r="GW24" t="e">
        <f>AND(Sheet1!L321,"AAAAAD/9/cw=")</f>
        <v>#VALUE!</v>
      </c>
      <c r="GX24" t="e">
        <f>AND(Sheet1!M321,"AAAAAD/9/c0=")</f>
        <v>#VALUE!</v>
      </c>
      <c r="GY24" t="e">
        <f>AND(Sheet1!N321,"AAAAAD/9/c4=")</f>
        <v>#VALUE!</v>
      </c>
      <c r="GZ24" t="e">
        <f>AND(Sheet1!#REF!,"AAAAAD/9/c8=")</f>
        <v>#REF!</v>
      </c>
      <c r="HA24" t="e">
        <f>AND(Sheet1!#REF!,"AAAAAD/9/dA=")</f>
        <v>#REF!</v>
      </c>
      <c r="HB24" t="e">
        <f>AND(Sheet1!#REF!,"AAAAAD/9/dE=")</f>
        <v>#REF!</v>
      </c>
      <c r="HC24" t="e">
        <f>AND(Sheet1!#REF!,"AAAAAD/9/dI=")</f>
        <v>#REF!</v>
      </c>
      <c r="HD24">
        <f>IF(Sheet1!322:322,"AAAAAD/9/dM=",0)</f>
        <v>0</v>
      </c>
      <c r="HE24" t="e">
        <f>AND(Sheet1!A322,"AAAAAD/9/dQ=")</f>
        <v>#VALUE!</v>
      </c>
      <c r="HF24" t="e">
        <f>AND(Sheet1!B322,"AAAAAD/9/dU=")</f>
        <v>#VALUE!</v>
      </c>
      <c r="HG24" t="e">
        <f>AND(Sheet1!C322,"AAAAAD/9/dY=")</f>
        <v>#VALUE!</v>
      </c>
      <c r="HH24" t="e">
        <f>AND(Sheet1!D322,"AAAAAD/9/dc=")</f>
        <v>#VALUE!</v>
      </c>
      <c r="HI24" t="e">
        <f>AND(Sheet1!E322,"AAAAAD/9/dg=")</f>
        <v>#VALUE!</v>
      </c>
      <c r="HJ24" t="e">
        <f>AND(Sheet1!F322,"AAAAAD/9/dk=")</f>
        <v>#VALUE!</v>
      </c>
      <c r="HK24" t="e">
        <f>AND(Sheet1!G322,"AAAAAD/9/do=")</f>
        <v>#VALUE!</v>
      </c>
      <c r="HL24" t="e">
        <f>AND(Sheet1!H322,"AAAAAD/9/ds=")</f>
        <v>#VALUE!</v>
      </c>
      <c r="HM24" t="e">
        <f>AND(Sheet1!I322,"AAAAAD/9/dw=")</f>
        <v>#VALUE!</v>
      </c>
      <c r="HN24" t="e">
        <f>AND(Sheet1!J322,"AAAAAD/9/d0=")</f>
        <v>#VALUE!</v>
      </c>
      <c r="HO24" t="e">
        <f>AND(Sheet1!K322,"AAAAAD/9/d4=")</f>
        <v>#VALUE!</v>
      </c>
      <c r="HP24" t="e">
        <f>AND(Sheet1!L322,"AAAAAD/9/d8=")</f>
        <v>#VALUE!</v>
      </c>
      <c r="HQ24" t="e">
        <f>AND(Sheet1!M322,"AAAAAD/9/eA=")</f>
        <v>#VALUE!</v>
      </c>
      <c r="HR24" t="e">
        <f>AND(Sheet1!N322,"AAAAAD/9/eE=")</f>
        <v>#VALUE!</v>
      </c>
      <c r="HS24" t="e">
        <f>AND(Sheet1!#REF!,"AAAAAD/9/eI=")</f>
        <v>#REF!</v>
      </c>
      <c r="HT24" t="e">
        <f>AND(Sheet1!#REF!,"AAAAAD/9/eM=")</f>
        <v>#REF!</v>
      </c>
      <c r="HU24" t="e">
        <f>AND(Sheet1!#REF!,"AAAAAD/9/eQ=")</f>
        <v>#REF!</v>
      </c>
      <c r="HV24" t="e">
        <f>AND(Sheet1!#REF!,"AAAAAD/9/eU=")</f>
        <v>#REF!</v>
      </c>
      <c r="HW24">
        <f>IF(Sheet1!323:323,"AAAAAD/9/eY=",0)</f>
        <v>0</v>
      </c>
      <c r="HX24" t="e">
        <f>AND(Sheet1!A323,"AAAAAD/9/ec=")</f>
        <v>#VALUE!</v>
      </c>
      <c r="HY24" t="e">
        <f>AND(Sheet1!B323,"AAAAAD/9/eg=")</f>
        <v>#VALUE!</v>
      </c>
      <c r="HZ24" t="e">
        <f>AND(Sheet1!C323,"AAAAAD/9/ek=")</f>
        <v>#VALUE!</v>
      </c>
      <c r="IA24" t="e">
        <f>AND(Sheet1!D323,"AAAAAD/9/eo=")</f>
        <v>#VALUE!</v>
      </c>
      <c r="IB24" t="e">
        <f>AND(Sheet1!E323,"AAAAAD/9/es=")</f>
        <v>#VALUE!</v>
      </c>
      <c r="IC24" t="e">
        <f>AND(Sheet1!F323,"AAAAAD/9/ew=")</f>
        <v>#VALUE!</v>
      </c>
      <c r="ID24" t="e">
        <f>AND(Sheet1!G323,"AAAAAD/9/e0=")</f>
        <v>#VALUE!</v>
      </c>
      <c r="IE24" t="e">
        <f>AND(Sheet1!H323,"AAAAAD/9/e4=")</f>
        <v>#VALUE!</v>
      </c>
      <c r="IF24" t="e">
        <f>AND(Sheet1!I323,"AAAAAD/9/e8=")</f>
        <v>#VALUE!</v>
      </c>
      <c r="IG24" t="e">
        <f>AND(Sheet1!J323,"AAAAAD/9/fA=")</f>
        <v>#VALUE!</v>
      </c>
      <c r="IH24" t="e">
        <f>AND(Sheet1!K323,"AAAAAD/9/fE=")</f>
        <v>#VALUE!</v>
      </c>
      <c r="II24" t="e">
        <f>AND(Sheet1!L323,"AAAAAD/9/fI=")</f>
        <v>#VALUE!</v>
      </c>
      <c r="IJ24" t="e">
        <f>AND(Sheet1!M323,"AAAAAD/9/fM=")</f>
        <v>#VALUE!</v>
      </c>
      <c r="IK24" t="e">
        <f>AND(Sheet1!N323,"AAAAAD/9/fQ=")</f>
        <v>#VALUE!</v>
      </c>
      <c r="IL24" t="e">
        <f>AND(Sheet1!#REF!,"AAAAAD/9/fU=")</f>
        <v>#REF!</v>
      </c>
      <c r="IM24" t="e">
        <f>AND(Sheet1!#REF!,"AAAAAD/9/fY=")</f>
        <v>#REF!</v>
      </c>
      <c r="IN24" t="e">
        <f>AND(Sheet1!#REF!,"AAAAAD/9/fc=")</f>
        <v>#REF!</v>
      </c>
      <c r="IO24" t="e">
        <f>AND(Sheet1!#REF!,"AAAAAD/9/fg=")</f>
        <v>#REF!</v>
      </c>
      <c r="IP24">
        <f>IF(Sheet1!324:324,"AAAAAD/9/fk=",0)</f>
        <v>0</v>
      </c>
      <c r="IQ24" t="e">
        <f>AND(Sheet1!A324,"AAAAAD/9/fo=")</f>
        <v>#VALUE!</v>
      </c>
      <c r="IR24" t="e">
        <f>AND(Sheet1!B324,"AAAAAD/9/fs=")</f>
        <v>#VALUE!</v>
      </c>
      <c r="IS24" t="e">
        <f>AND(Sheet1!C324,"AAAAAD/9/fw=")</f>
        <v>#VALUE!</v>
      </c>
      <c r="IT24" t="e">
        <f>AND(Sheet1!D324,"AAAAAD/9/f0=")</f>
        <v>#VALUE!</v>
      </c>
      <c r="IU24" t="e">
        <f>AND(Sheet1!E324,"AAAAAD/9/f4=")</f>
        <v>#VALUE!</v>
      </c>
      <c r="IV24" t="e">
        <f>AND(Sheet1!F324,"AAAAAD/9/f8=")</f>
        <v>#VALUE!</v>
      </c>
    </row>
    <row r="25" spans="1:256" x14ac:dyDescent="0.2">
      <c r="A25" t="e">
        <f>AND(Sheet1!G324,"AAAAAF4j/gA=")</f>
        <v>#VALUE!</v>
      </c>
      <c r="B25" t="e">
        <f>AND(Sheet1!H324,"AAAAAF4j/gE=")</f>
        <v>#VALUE!</v>
      </c>
      <c r="C25" t="e">
        <f>AND(Sheet1!I324,"AAAAAF4j/gI=")</f>
        <v>#VALUE!</v>
      </c>
      <c r="D25" t="e">
        <f>AND(Sheet1!J324,"AAAAAF4j/gM=")</f>
        <v>#VALUE!</v>
      </c>
      <c r="E25" t="e">
        <f>AND(Sheet1!K324,"AAAAAF4j/gQ=")</f>
        <v>#VALUE!</v>
      </c>
      <c r="F25" t="e">
        <f>AND(Sheet1!L324,"AAAAAF4j/gU=")</f>
        <v>#VALUE!</v>
      </c>
      <c r="G25" t="e">
        <f>AND(Sheet1!M324,"AAAAAF4j/gY=")</f>
        <v>#VALUE!</v>
      </c>
      <c r="H25" t="e">
        <f>AND(Sheet1!N324,"AAAAAF4j/gc=")</f>
        <v>#VALUE!</v>
      </c>
      <c r="I25" t="e">
        <f>AND(Sheet1!#REF!,"AAAAAF4j/gg=")</f>
        <v>#REF!</v>
      </c>
      <c r="J25" t="e">
        <f>AND(Sheet1!#REF!,"AAAAAF4j/gk=")</f>
        <v>#REF!</v>
      </c>
      <c r="K25" t="e">
        <f>AND(Sheet1!#REF!,"AAAAAF4j/go=")</f>
        <v>#REF!</v>
      </c>
      <c r="L25" t="e">
        <f>AND(Sheet1!#REF!,"AAAAAF4j/gs=")</f>
        <v>#REF!</v>
      </c>
      <c r="M25" t="str">
        <f>IF(Sheet1!325:325,"AAAAAF4j/gw=",0)</f>
        <v>AAAAAF4j/gw=</v>
      </c>
      <c r="N25" t="e">
        <f>AND(Sheet1!A325,"AAAAAF4j/g0=")</f>
        <v>#VALUE!</v>
      </c>
      <c r="O25" t="e">
        <f>AND(Sheet1!B325,"AAAAAF4j/g4=")</f>
        <v>#VALUE!</v>
      </c>
      <c r="P25" t="e">
        <f>AND(Sheet1!C325,"AAAAAF4j/g8=")</f>
        <v>#VALUE!</v>
      </c>
      <c r="Q25" t="e">
        <f>AND(Sheet1!D325,"AAAAAF4j/hA=")</f>
        <v>#VALUE!</v>
      </c>
      <c r="R25" t="e">
        <f>AND(Sheet1!E325,"AAAAAF4j/hE=")</f>
        <v>#VALUE!</v>
      </c>
      <c r="S25" t="e">
        <f>AND(Sheet1!F325,"AAAAAF4j/hI=")</f>
        <v>#VALUE!</v>
      </c>
      <c r="T25" t="e">
        <f>AND(Sheet1!G325,"AAAAAF4j/hM=")</f>
        <v>#VALUE!</v>
      </c>
      <c r="U25" t="e">
        <f>AND(Sheet1!H325,"AAAAAF4j/hQ=")</f>
        <v>#VALUE!</v>
      </c>
      <c r="V25" t="e">
        <f>AND(Sheet1!I325,"AAAAAF4j/hU=")</f>
        <v>#VALUE!</v>
      </c>
      <c r="W25" t="e">
        <f>AND(Sheet1!J325,"AAAAAF4j/hY=")</f>
        <v>#VALUE!</v>
      </c>
      <c r="X25" t="e">
        <f>AND(Sheet1!K325,"AAAAAF4j/hc=")</f>
        <v>#VALUE!</v>
      </c>
      <c r="Y25" t="e">
        <f>AND(Sheet1!L325,"AAAAAF4j/hg=")</f>
        <v>#VALUE!</v>
      </c>
      <c r="Z25" t="e">
        <f>AND(Sheet1!M325,"AAAAAF4j/hk=")</f>
        <v>#VALUE!</v>
      </c>
      <c r="AA25" t="e">
        <f>AND(Sheet1!N325,"AAAAAF4j/ho=")</f>
        <v>#VALUE!</v>
      </c>
      <c r="AB25" t="e">
        <f>AND(Sheet1!#REF!,"AAAAAF4j/hs=")</f>
        <v>#REF!</v>
      </c>
      <c r="AC25" t="e">
        <f>AND(Sheet1!#REF!,"AAAAAF4j/hw=")</f>
        <v>#REF!</v>
      </c>
      <c r="AD25" t="e">
        <f>AND(Sheet1!#REF!,"AAAAAF4j/h0=")</f>
        <v>#REF!</v>
      </c>
      <c r="AE25" t="e">
        <f>AND(Sheet1!#REF!,"AAAAAF4j/h4=")</f>
        <v>#REF!</v>
      </c>
      <c r="AF25">
        <f>IF(Sheet1!326:326,"AAAAAF4j/h8=",0)</f>
        <v>0</v>
      </c>
      <c r="AG25" t="e">
        <f>AND(Sheet1!A326,"AAAAAF4j/iA=")</f>
        <v>#VALUE!</v>
      </c>
      <c r="AH25" t="e">
        <f>AND(Sheet1!B326,"AAAAAF4j/iE=")</f>
        <v>#VALUE!</v>
      </c>
      <c r="AI25" t="e">
        <f>AND(Sheet1!C326,"AAAAAF4j/iI=")</f>
        <v>#VALUE!</v>
      </c>
      <c r="AJ25" t="e">
        <f>AND(Sheet1!D326,"AAAAAF4j/iM=")</f>
        <v>#VALUE!</v>
      </c>
      <c r="AK25" t="e">
        <f>AND(Sheet1!E326,"AAAAAF4j/iQ=")</f>
        <v>#VALUE!</v>
      </c>
      <c r="AL25" t="e">
        <f>AND(Sheet1!F326,"AAAAAF4j/iU=")</f>
        <v>#VALUE!</v>
      </c>
      <c r="AM25" t="e">
        <f>AND(Sheet1!G326,"AAAAAF4j/iY=")</f>
        <v>#VALUE!</v>
      </c>
      <c r="AN25" t="e">
        <f>AND(Sheet1!H326,"AAAAAF4j/ic=")</f>
        <v>#VALUE!</v>
      </c>
      <c r="AO25" t="e">
        <f>AND(Sheet1!I326,"AAAAAF4j/ig=")</f>
        <v>#VALUE!</v>
      </c>
      <c r="AP25" t="e">
        <f>AND(Sheet1!J326,"AAAAAF4j/ik=")</f>
        <v>#VALUE!</v>
      </c>
      <c r="AQ25" t="e">
        <f>AND(Sheet1!K326,"AAAAAF4j/io=")</f>
        <v>#VALUE!</v>
      </c>
      <c r="AR25" t="e">
        <f>AND(Sheet1!L326,"AAAAAF4j/is=")</f>
        <v>#VALUE!</v>
      </c>
      <c r="AS25" t="e">
        <f>AND(Sheet1!M326,"AAAAAF4j/iw=")</f>
        <v>#VALUE!</v>
      </c>
      <c r="AT25" t="e">
        <f>AND(Sheet1!N326,"AAAAAF4j/i0=")</f>
        <v>#VALUE!</v>
      </c>
      <c r="AU25" t="e">
        <f>AND(Sheet1!#REF!,"AAAAAF4j/i4=")</f>
        <v>#REF!</v>
      </c>
      <c r="AV25" t="e">
        <f>AND(Sheet1!#REF!,"AAAAAF4j/i8=")</f>
        <v>#REF!</v>
      </c>
      <c r="AW25" t="e">
        <f>AND(Sheet1!#REF!,"AAAAAF4j/jA=")</f>
        <v>#REF!</v>
      </c>
      <c r="AX25" t="e">
        <f>AND(Sheet1!#REF!,"AAAAAF4j/jE=")</f>
        <v>#REF!</v>
      </c>
      <c r="AY25">
        <f>IF(Sheet1!327:327,"AAAAAF4j/jI=",0)</f>
        <v>0</v>
      </c>
      <c r="AZ25" t="e">
        <f>AND(Sheet1!A327,"AAAAAF4j/jM=")</f>
        <v>#VALUE!</v>
      </c>
      <c r="BA25" t="e">
        <f>AND(Sheet1!B327,"AAAAAF4j/jQ=")</f>
        <v>#VALUE!</v>
      </c>
      <c r="BB25" t="e">
        <f>AND(Sheet1!C327,"AAAAAF4j/jU=")</f>
        <v>#VALUE!</v>
      </c>
      <c r="BC25" t="e">
        <f>AND(Sheet1!D327,"AAAAAF4j/jY=")</f>
        <v>#VALUE!</v>
      </c>
      <c r="BD25" t="e">
        <f>AND(Sheet1!E327,"AAAAAF4j/jc=")</f>
        <v>#VALUE!</v>
      </c>
      <c r="BE25" t="e">
        <f>AND(Sheet1!F327,"AAAAAF4j/jg=")</f>
        <v>#VALUE!</v>
      </c>
      <c r="BF25" t="e">
        <f>AND(Sheet1!G327,"AAAAAF4j/jk=")</f>
        <v>#VALUE!</v>
      </c>
      <c r="BG25" t="e">
        <f>AND(Sheet1!H327,"AAAAAF4j/jo=")</f>
        <v>#VALUE!</v>
      </c>
      <c r="BH25" t="e">
        <f>AND(Sheet1!I327,"AAAAAF4j/js=")</f>
        <v>#VALUE!</v>
      </c>
      <c r="BI25" t="e">
        <f>AND(Sheet1!J327,"AAAAAF4j/jw=")</f>
        <v>#VALUE!</v>
      </c>
      <c r="BJ25" t="e">
        <f>AND(Sheet1!K327,"AAAAAF4j/j0=")</f>
        <v>#VALUE!</v>
      </c>
      <c r="BK25" t="e">
        <f>AND(Sheet1!L327,"AAAAAF4j/j4=")</f>
        <v>#VALUE!</v>
      </c>
      <c r="BL25" t="e">
        <f>AND(Sheet1!M327,"AAAAAF4j/j8=")</f>
        <v>#VALUE!</v>
      </c>
      <c r="BM25" t="e">
        <f>AND(Sheet1!N327,"AAAAAF4j/kA=")</f>
        <v>#VALUE!</v>
      </c>
      <c r="BN25" t="e">
        <f>AND(Sheet1!#REF!,"AAAAAF4j/kE=")</f>
        <v>#REF!</v>
      </c>
      <c r="BO25" t="e">
        <f>AND(Sheet1!#REF!,"AAAAAF4j/kI=")</f>
        <v>#REF!</v>
      </c>
      <c r="BP25" t="e">
        <f>AND(Sheet1!#REF!,"AAAAAF4j/kM=")</f>
        <v>#REF!</v>
      </c>
      <c r="BQ25" t="e">
        <f>AND(Sheet1!#REF!,"AAAAAF4j/kQ=")</f>
        <v>#REF!</v>
      </c>
      <c r="BR25">
        <f>IF(Sheet1!328:328,"AAAAAF4j/kU=",0)</f>
        <v>0</v>
      </c>
      <c r="BS25" t="e">
        <f>AND(Sheet1!A328,"AAAAAF4j/kY=")</f>
        <v>#VALUE!</v>
      </c>
      <c r="BT25" t="e">
        <f>AND(Sheet1!B328,"AAAAAF4j/kc=")</f>
        <v>#VALUE!</v>
      </c>
      <c r="BU25" t="e">
        <f>AND(Sheet1!C328,"AAAAAF4j/kg=")</f>
        <v>#VALUE!</v>
      </c>
      <c r="BV25" t="e">
        <f>AND(Sheet1!D328,"AAAAAF4j/kk=")</f>
        <v>#VALUE!</v>
      </c>
      <c r="BW25" t="e">
        <f>AND(Sheet1!E328,"AAAAAF4j/ko=")</f>
        <v>#VALUE!</v>
      </c>
      <c r="BX25" t="e">
        <f>AND(Sheet1!F328,"AAAAAF4j/ks=")</f>
        <v>#VALUE!</v>
      </c>
      <c r="BY25" t="e">
        <f>AND(Sheet1!G328,"AAAAAF4j/kw=")</f>
        <v>#VALUE!</v>
      </c>
      <c r="BZ25" t="e">
        <f>AND(Sheet1!H328,"AAAAAF4j/k0=")</f>
        <v>#VALUE!</v>
      </c>
      <c r="CA25" t="e">
        <f>AND(Sheet1!I328,"AAAAAF4j/k4=")</f>
        <v>#VALUE!</v>
      </c>
      <c r="CB25" t="e">
        <f>AND(Sheet1!J328,"AAAAAF4j/k8=")</f>
        <v>#VALUE!</v>
      </c>
      <c r="CC25" t="e">
        <f>AND(Sheet1!K328,"AAAAAF4j/lA=")</f>
        <v>#VALUE!</v>
      </c>
      <c r="CD25" t="e">
        <f>AND(Sheet1!L328,"AAAAAF4j/lE=")</f>
        <v>#VALUE!</v>
      </c>
      <c r="CE25" t="e">
        <f>AND(Sheet1!M328,"AAAAAF4j/lI=")</f>
        <v>#VALUE!</v>
      </c>
      <c r="CF25" t="e">
        <f>AND(Sheet1!N328,"AAAAAF4j/lM=")</f>
        <v>#VALUE!</v>
      </c>
      <c r="CG25" t="e">
        <f>AND(Sheet1!#REF!,"AAAAAF4j/lQ=")</f>
        <v>#REF!</v>
      </c>
      <c r="CH25" t="e">
        <f>AND(Sheet1!#REF!,"AAAAAF4j/lU=")</f>
        <v>#REF!</v>
      </c>
      <c r="CI25" t="e">
        <f>AND(Sheet1!#REF!,"AAAAAF4j/lY=")</f>
        <v>#REF!</v>
      </c>
      <c r="CJ25" t="e">
        <f>AND(Sheet1!#REF!,"AAAAAF4j/lc=")</f>
        <v>#REF!</v>
      </c>
      <c r="CK25">
        <f>IF(Sheet1!329:329,"AAAAAF4j/lg=",0)</f>
        <v>0</v>
      </c>
      <c r="CL25" t="e">
        <f>AND(Sheet1!A329,"AAAAAF4j/lk=")</f>
        <v>#VALUE!</v>
      </c>
      <c r="CM25" t="e">
        <f>AND(Sheet1!B329,"AAAAAF4j/lo=")</f>
        <v>#VALUE!</v>
      </c>
      <c r="CN25" t="e">
        <f>AND(Sheet1!C329,"AAAAAF4j/ls=")</f>
        <v>#VALUE!</v>
      </c>
      <c r="CO25" t="e">
        <f>AND(Sheet1!D329,"AAAAAF4j/lw=")</f>
        <v>#VALUE!</v>
      </c>
      <c r="CP25" t="e">
        <f>AND(Sheet1!E329,"AAAAAF4j/l0=")</f>
        <v>#VALUE!</v>
      </c>
      <c r="CQ25" t="e">
        <f>AND(Sheet1!F329,"AAAAAF4j/l4=")</f>
        <v>#VALUE!</v>
      </c>
      <c r="CR25" t="e">
        <f>AND(Sheet1!G329,"AAAAAF4j/l8=")</f>
        <v>#VALUE!</v>
      </c>
      <c r="CS25" t="e">
        <f>AND(Sheet1!H329,"AAAAAF4j/mA=")</f>
        <v>#VALUE!</v>
      </c>
      <c r="CT25" t="e">
        <f>AND(Sheet1!I329,"AAAAAF4j/mE=")</f>
        <v>#VALUE!</v>
      </c>
      <c r="CU25" t="e">
        <f>AND(Sheet1!J329,"AAAAAF4j/mI=")</f>
        <v>#VALUE!</v>
      </c>
      <c r="CV25" t="e">
        <f>AND(Sheet1!K329,"AAAAAF4j/mM=")</f>
        <v>#VALUE!</v>
      </c>
      <c r="CW25" t="e">
        <f>AND(Sheet1!L329,"AAAAAF4j/mQ=")</f>
        <v>#VALUE!</v>
      </c>
      <c r="CX25" t="e">
        <f>AND(Sheet1!M329,"AAAAAF4j/mU=")</f>
        <v>#VALUE!</v>
      </c>
      <c r="CY25" t="e">
        <f>AND(Sheet1!N329,"AAAAAF4j/mY=")</f>
        <v>#VALUE!</v>
      </c>
      <c r="CZ25" t="e">
        <f>AND(Sheet1!#REF!,"AAAAAF4j/mc=")</f>
        <v>#REF!</v>
      </c>
      <c r="DA25" t="e">
        <f>AND(Sheet1!#REF!,"AAAAAF4j/mg=")</f>
        <v>#REF!</v>
      </c>
      <c r="DB25" t="e">
        <f>AND(Sheet1!#REF!,"AAAAAF4j/mk=")</f>
        <v>#REF!</v>
      </c>
      <c r="DC25" t="e">
        <f>AND(Sheet1!#REF!,"AAAAAF4j/mo=")</f>
        <v>#REF!</v>
      </c>
      <c r="DD25">
        <f>IF(Sheet1!330:330,"AAAAAF4j/ms=",0)</f>
        <v>0</v>
      </c>
      <c r="DE25" t="e">
        <f>AND(Sheet1!A330,"AAAAAF4j/mw=")</f>
        <v>#VALUE!</v>
      </c>
      <c r="DF25" t="e">
        <f>AND(Sheet1!B330,"AAAAAF4j/m0=")</f>
        <v>#VALUE!</v>
      </c>
      <c r="DG25" t="e">
        <f>AND(Sheet1!C330,"AAAAAF4j/m4=")</f>
        <v>#VALUE!</v>
      </c>
      <c r="DH25" t="e">
        <f>AND(Sheet1!D330,"AAAAAF4j/m8=")</f>
        <v>#VALUE!</v>
      </c>
      <c r="DI25" t="e">
        <f>AND(Sheet1!E330,"AAAAAF4j/nA=")</f>
        <v>#VALUE!</v>
      </c>
      <c r="DJ25" t="e">
        <f>AND(Sheet1!F330,"AAAAAF4j/nE=")</f>
        <v>#VALUE!</v>
      </c>
      <c r="DK25" t="e">
        <f>AND(Sheet1!G330,"AAAAAF4j/nI=")</f>
        <v>#VALUE!</v>
      </c>
      <c r="DL25" t="e">
        <f>AND(Sheet1!H330,"AAAAAF4j/nM=")</f>
        <v>#VALUE!</v>
      </c>
      <c r="DM25" t="e">
        <f>AND(Sheet1!I330,"AAAAAF4j/nQ=")</f>
        <v>#VALUE!</v>
      </c>
      <c r="DN25" t="e">
        <f>AND(Sheet1!J330,"AAAAAF4j/nU=")</f>
        <v>#VALUE!</v>
      </c>
      <c r="DO25" t="e">
        <f>AND(Sheet1!K330,"AAAAAF4j/nY=")</f>
        <v>#VALUE!</v>
      </c>
      <c r="DP25" t="e">
        <f>AND(Sheet1!L330,"AAAAAF4j/nc=")</f>
        <v>#VALUE!</v>
      </c>
      <c r="DQ25" t="e">
        <f>AND(Sheet1!M330,"AAAAAF4j/ng=")</f>
        <v>#VALUE!</v>
      </c>
      <c r="DR25" t="e">
        <f>AND(Sheet1!N330,"AAAAAF4j/nk=")</f>
        <v>#VALUE!</v>
      </c>
      <c r="DS25" t="e">
        <f>AND(Sheet1!#REF!,"AAAAAF4j/no=")</f>
        <v>#REF!</v>
      </c>
      <c r="DT25" t="e">
        <f>AND(Sheet1!#REF!,"AAAAAF4j/ns=")</f>
        <v>#REF!</v>
      </c>
      <c r="DU25" t="e">
        <f>AND(Sheet1!#REF!,"AAAAAF4j/nw=")</f>
        <v>#REF!</v>
      </c>
      <c r="DV25" t="e">
        <f>AND(Sheet1!#REF!,"AAAAAF4j/n0=")</f>
        <v>#REF!</v>
      </c>
      <c r="DW25">
        <f>IF(Sheet1!331:331,"AAAAAF4j/n4=",0)</f>
        <v>0</v>
      </c>
      <c r="DX25" t="e">
        <f>AND(Sheet1!A331,"AAAAAF4j/n8=")</f>
        <v>#VALUE!</v>
      </c>
      <c r="DY25" t="e">
        <f>AND(Sheet1!B331,"AAAAAF4j/oA=")</f>
        <v>#VALUE!</v>
      </c>
      <c r="DZ25" t="e">
        <f>AND(Sheet1!C331,"AAAAAF4j/oE=")</f>
        <v>#VALUE!</v>
      </c>
      <c r="EA25" t="e">
        <f>AND(Sheet1!D331,"AAAAAF4j/oI=")</f>
        <v>#VALUE!</v>
      </c>
      <c r="EB25" t="e">
        <f>AND(Sheet1!E331,"AAAAAF4j/oM=")</f>
        <v>#VALUE!</v>
      </c>
      <c r="EC25" t="e">
        <f>AND(Sheet1!F331,"AAAAAF4j/oQ=")</f>
        <v>#VALUE!</v>
      </c>
      <c r="ED25" t="e">
        <f>AND(Sheet1!G331,"AAAAAF4j/oU=")</f>
        <v>#VALUE!</v>
      </c>
      <c r="EE25" t="e">
        <f>AND(Sheet1!H331,"AAAAAF4j/oY=")</f>
        <v>#VALUE!</v>
      </c>
      <c r="EF25" t="e">
        <f>AND(Sheet1!I331,"AAAAAF4j/oc=")</f>
        <v>#VALUE!</v>
      </c>
      <c r="EG25" t="e">
        <f>AND(Sheet1!J331,"AAAAAF4j/og=")</f>
        <v>#VALUE!</v>
      </c>
      <c r="EH25" t="e">
        <f>AND(Sheet1!K331,"AAAAAF4j/ok=")</f>
        <v>#VALUE!</v>
      </c>
      <c r="EI25" t="e">
        <f>AND(Sheet1!L331,"AAAAAF4j/oo=")</f>
        <v>#VALUE!</v>
      </c>
      <c r="EJ25" t="e">
        <f>AND(Sheet1!M331,"AAAAAF4j/os=")</f>
        <v>#VALUE!</v>
      </c>
      <c r="EK25" t="e">
        <f>AND(Sheet1!N331,"AAAAAF4j/ow=")</f>
        <v>#VALUE!</v>
      </c>
      <c r="EL25" t="e">
        <f>AND(Sheet1!#REF!,"AAAAAF4j/o0=")</f>
        <v>#REF!</v>
      </c>
      <c r="EM25" t="e">
        <f>AND(Sheet1!#REF!,"AAAAAF4j/o4=")</f>
        <v>#REF!</v>
      </c>
      <c r="EN25" t="e">
        <f>AND(Sheet1!#REF!,"AAAAAF4j/o8=")</f>
        <v>#REF!</v>
      </c>
      <c r="EO25" t="e">
        <f>AND(Sheet1!#REF!,"AAAAAF4j/pA=")</f>
        <v>#REF!</v>
      </c>
      <c r="EP25">
        <f>IF(Sheet1!332:332,"AAAAAF4j/pE=",0)</f>
        <v>0</v>
      </c>
      <c r="EQ25" t="e">
        <f>AND(Sheet1!A332,"AAAAAF4j/pI=")</f>
        <v>#VALUE!</v>
      </c>
      <c r="ER25" t="e">
        <f>AND(Sheet1!B332,"AAAAAF4j/pM=")</f>
        <v>#VALUE!</v>
      </c>
      <c r="ES25" t="e">
        <f>AND(Sheet1!C332,"AAAAAF4j/pQ=")</f>
        <v>#VALUE!</v>
      </c>
      <c r="ET25" t="e">
        <f>AND(Sheet1!D332,"AAAAAF4j/pU=")</f>
        <v>#VALUE!</v>
      </c>
      <c r="EU25" t="e">
        <f>AND(Sheet1!E332,"AAAAAF4j/pY=")</f>
        <v>#VALUE!</v>
      </c>
      <c r="EV25" t="e">
        <f>AND(Sheet1!F332,"AAAAAF4j/pc=")</f>
        <v>#VALUE!</v>
      </c>
      <c r="EW25" t="e">
        <f>AND(Sheet1!G332,"AAAAAF4j/pg=")</f>
        <v>#VALUE!</v>
      </c>
      <c r="EX25" t="e">
        <f>AND(Sheet1!H332,"AAAAAF4j/pk=")</f>
        <v>#VALUE!</v>
      </c>
      <c r="EY25" t="e">
        <f>AND(Sheet1!I332,"AAAAAF4j/po=")</f>
        <v>#VALUE!</v>
      </c>
      <c r="EZ25" t="e">
        <f>AND(Sheet1!J332,"AAAAAF4j/ps=")</f>
        <v>#VALUE!</v>
      </c>
      <c r="FA25" t="e">
        <f>AND(Sheet1!K332,"AAAAAF4j/pw=")</f>
        <v>#VALUE!</v>
      </c>
      <c r="FB25" t="e">
        <f>AND(Sheet1!L332,"AAAAAF4j/p0=")</f>
        <v>#VALUE!</v>
      </c>
      <c r="FC25" t="e">
        <f>AND(Sheet1!M332,"AAAAAF4j/p4=")</f>
        <v>#VALUE!</v>
      </c>
      <c r="FD25" t="e">
        <f>AND(Sheet1!N332,"AAAAAF4j/p8=")</f>
        <v>#VALUE!</v>
      </c>
      <c r="FE25" t="e">
        <f>AND(Sheet1!#REF!,"AAAAAF4j/qA=")</f>
        <v>#REF!</v>
      </c>
      <c r="FF25" t="e">
        <f>AND(Sheet1!#REF!,"AAAAAF4j/qE=")</f>
        <v>#REF!</v>
      </c>
      <c r="FG25" t="e">
        <f>AND(Sheet1!#REF!,"AAAAAF4j/qI=")</f>
        <v>#REF!</v>
      </c>
      <c r="FH25" t="e">
        <f>AND(Sheet1!#REF!,"AAAAAF4j/qM=")</f>
        <v>#REF!</v>
      </c>
      <c r="FI25">
        <f>IF(Sheet1!333:333,"AAAAAF4j/qQ=",0)</f>
        <v>0</v>
      </c>
      <c r="FJ25" t="e">
        <f>AND(Sheet1!A333,"AAAAAF4j/qU=")</f>
        <v>#VALUE!</v>
      </c>
      <c r="FK25" t="e">
        <f>AND(Sheet1!B333,"AAAAAF4j/qY=")</f>
        <v>#VALUE!</v>
      </c>
      <c r="FL25" t="e">
        <f>AND(Sheet1!C333,"AAAAAF4j/qc=")</f>
        <v>#VALUE!</v>
      </c>
      <c r="FM25" t="e">
        <f>AND(Sheet1!D333,"AAAAAF4j/qg=")</f>
        <v>#VALUE!</v>
      </c>
      <c r="FN25" t="e">
        <f>AND(Sheet1!E333,"AAAAAF4j/qk=")</f>
        <v>#VALUE!</v>
      </c>
      <c r="FO25" t="e">
        <f>AND(Sheet1!F333,"AAAAAF4j/qo=")</f>
        <v>#VALUE!</v>
      </c>
      <c r="FP25" t="e">
        <f>AND(Sheet1!G333,"AAAAAF4j/qs=")</f>
        <v>#VALUE!</v>
      </c>
      <c r="FQ25" t="e">
        <f>AND(Sheet1!H333,"AAAAAF4j/qw=")</f>
        <v>#VALUE!</v>
      </c>
      <c r="FR25" t="e">
        <f>AND(Sheet1!I333,"AAAAAF4j/q0=")</f>
        <v>#VALUE!</v>
      </c>
      <c r="FS25" t="e">
        <f>AND(Sheet1!J333,"AAAAAF4j/q4=")</f>
        <v>#VALUE!</v>
      </c>
      <c r="FT25" t="e">
        <f>AND(Sheet1!K333,"AAAAAF4j/q8=")</f>
        <v>#VALUE!</v>
      </c>
      <c r="FU25" t="e">
        <f>AND(Sheet1!L333,"AAAAAF4j/rA=")</f>
        <v>#VALUE!</v>
      </c>
      <c r="FV25" t="e">
        <f>AND(Sheet1!M333,"AAAAAF4j/rE=")</f>
        <v>#VALUE!</v>
      </c>
      <c r="FW25" t="e">
        <f>AND(Sheet1!N333,"AAAAAF4j/rI=")</f>
        <v>#VALUE!</v>
      </c>
      <c r="FX25" t="e">
        <f>AND(Sheet1!#REF!,"AAAAAF4j/rM=")</f>
        <v>#REF!</v>
      </c>
      <c r="FY25" t="e">
        <f>AND(Sheet1!#REF!,"AAAAAF4j/rQ=")</f>
        <v>#REF!</v>
      </c>
      <c r="FZ25" t="e">
        <f>AND(Sheet1!#REF!,"AAAAAF4j/rU=")</f>
        <v>#REF!</v>
      </c>
      <c r="GA25" t="e">
        <f>AND(Sheet1!#REF!,"AAAAAF4j/rY=")</f>
        <v>#REF!</v>
      </c>
      <c r="GB25">
        <f>IF(Sheet1!334:334,"AAAAAF4j/rc=",0)</f>
        <v>0</v>
      </c>
      <c r="GC25" t="e">
        <f>AND(Sheet1!A334,"AAAAAF4j/rg=")</f>
        <v>#VALUE!</v>
      </c>
      <c r="GD25" t="e">
        <f>AND(Sheet1!B334,"AAAAAF4j/rk=")</f>
        <v>#VALUE!</v>
      </c>
      <c r="GE25" t="e">
        <f>AND(Sheet1!C334,"AAAAAF4j/ro=")</f>
        <v>#VALUE!</v>
      </c>
      <c r="GF25" t="e">
        <f>AND(Sheet1!D334,"AAAAAF4j/rs=")</f>
        <v>#VALUE!</v>
      </c>
      <c r="GG25" t="e">
        <f>AND(Sheet1!E334,"AAAAAF4j/rw=")</f>
        <v>#VALUE!</v>
      </c>
      <c r="GH25" t="e">
        <f>AND(Sheet1!F334,"AAAAAF4j/r0=")</f>
        <v>#VALUE!</v>
      </c>
      <c r="GI25" t="e">
        <f>AND(Sheet1!G334,"AAAAAF4j/r4=")</f>
        <v>#VALUE!</v>
      </c>
      <c r="GJ25" t="e">
        <f>AND(Sheet1!H334,"AAAAAF4j/r8=")</f>
        <v>#VALUE!</v>
      </c>
      <c r="GK25" t="e">
        <f>AND(Sheet1!I334,"AAAAAF4j/sA=")</f>
        <v>#VALUE!</v>
      </c>
      <c r="GL25" t="e">
        <f>AND(Sheet1!J334,"AAAAAF4j/sE=")</f>
        <v>#VALUE!</v>
      </c>
      <c r="GM25" t="e">
        <f>AND(Sheet1!K334,"AAAAAF4j/sI=")</f>
        <v>#VALUE!</v>
      </c>
      <c r="GN25" t="e">
        <f>AND(Sheet1!L334,"AAAAAF4j/sM=")</f>
        <v>#VALUE!</v>
      </c>
      <c r="GO25" t="e">
        <f>AND(Sheet1!M334,"AAAAAF4j/sQ=")</f>
        <v>#VALUE!</v>
      </c>
      <c r="GP25" t="e">
        <f>AND(Sheet1!N334,"AAAAAF4j/sU=")</f>
        <v>#VALUE!</v>
      </c>
      <c r="GQ25" t="e">
        <f>AND(Sheet1!#REF!,"AAAAAF4j/sY=")</f>
        <v>#REF!</v>
      </c>
      <c r="GR25" t="e">
        <f>AND(Sheet1!#REF!,"AAAAAF4j/sc=")</f>
        <v>#REF!</v>
      </c>
      <c r="GS25" t="e">
        <f>AND(Sheet1!#REF!,"AAAAAF4j/sg=")</f>
        <v>#REF!</v>
      </c>
      <c r="GT25" t="e">
        <f>AND(Sheet1!#REF!,"AAAAAF4j/sk=")</f>
        <v>#REF!</v>
      </c>
      <c r="GU25">
        <f>IF(Sheet1!335:335,"AAAAAF4j/so=",0)</f>
        <v>0</v>
      </c>
      <c r="GV25" t="e">
        <f>AND(Sheet1!A335,"AAAAAF4j/ss=")</f>
        <v>#VALUE!</v>
      </c>
      <c r="GW25" t="e">
        <f>AND(Sheet1!B335,"AAAAAF4j/sw=")</f>
        <v>#VALUE!</v>
      </c>
      <c r="GX25" t="e">
        <f>AND(Sheet1!C335,"AAAAAF4j/s0=")</f>
        <v>#VALUE!</v>
      </c>
      <c r="GY25" t="e">
        <f>AND(Sheet1!D335,"AAAAAF4j/s4=")</f>
        <v>#VALUE!</v>
      </c>
      <c r="GZ25" t="e">
        <f>AND(Sheet1!E335,"AAAAAF4j/s8=")</f>
        <v>#VALUE!</v>
      </c>
      <c r="HA25" t="e">
        <f>AND(Sheet1!F335,"AAAAAF4j/tA=")</f>
        <v>#VALUE!</v>
      </c>
      <c r="HB25" t="e">
        <f>AND(Sheet1!G335,"AAAAAF4j/tE=")</f>
        <v>#VALUE!</v>
      </c>
      <c r="HC25" t="e">
        <f>AND(Sheet1!H335,"AAAAAF4j/tI=")</f>
        <v>#VALUE!</v>
      </c>
      <c r="HD25" t="e">
        <f>AND(Sheet1!I335,"AAAAAF4j/tM=")</f>
        <v>#VALUE!</v>
      </c>
      <c r="HE25" t="e">
        <f>AND(Sheet1!J335,"AAAAAF4j/tQ=")</f>
        <v>#VALUE!</v>
      </c>
      <c r="HF25" t="e">
        <f>AND(Sheet1!K335,"AAAAAF4j/tU=")</f>
        <v>#VALUE!</v>
      </c>
      <c r="HG25" t="e">
        <f>AND(Sheet1!L335,"AAAAAF4j/tY=")</f>
        <v>#VALUE!</v>
      </c>
      <c r="HH25" t="e">
        <f>AND(Sheet1!M335,"AAAAAF4j/tc=")</f>
        <v>#VALUE!</v>
      </c>
      <c r="HI25" t="e">
        <f>AND(Sheet1!N335,"AAAAAF4j/tg=")</f>
        <v>#VALUE!</v>
      </c>
      <c r="HJ25" t="e">
        <f>AND(Sheet1!#REF!,"AAAAAF4j/tk=")</f>
        <v>#REF!</v>
      </c>
      <c r="HK25" t="e">
        <f>AND(Sheet1!#REF!,"AAAAAF4j/to=")</f>
        <v>#REF!</v>
      </c>
      <c r="HL25" t="e">
        <f>AND(Sheet1!#REF!,"AAAAAF4j/ts=")</f>
        <v>#REF!</v>
      </c>
      <c r="HM25" t="e">
        <f>AND(Sheet1!#REF!,"AAAAAF4j/tw=")</f>
        <v>#REF!</v>
      </c>
      <c r="HN25">
        <f>IF(Sheet1!336:336,"AAAAAF4j/t0=",0)</f>
        <v>0</v>
      </c>
      <c r="HO25" t="e">
        <f>AND(Sheet1!A336,"AAAAAF4j/t4=")</f>
        <v>#VALUE!</v>
      </c>
      <c r="HP25" t="e">
        <f>AND(Sheet1!B336,"AAAAAF4j/t8=")</f>
        <v>#VALUE!</v>
      </c>
      <c r="HQ25" t="e">
        <f>AND(Sheet1!C336,"AAAAAF4j/uA=")</f>
        <v>#VALUE!</v>
      </c>
      <c r="HR25" t="e">
        <f>AND(Sheet1!D336,"AAAAAF4j/uE=")</f>
        <v>#VALUE!</v>
      </c>
      <c r="HS25" t="e">
        <f>AND(Sheet1!E336,"AAAAAF4j/uI=")</f>
        <v>#VALUE!</v>
      </c>
      <c r="HT25" t="e">
        <f>AND(Sheet1!F336,"AAAAAF4j/uM=")</f>
        <v>#VALUE!</v>
      </c>
      <c r="HU25" t="e">
        <f>AND(Sheet1!G336,"AAAAAF4j/uQ=")</f>
        <v>#VALUE!</v>
      </c>
      <c r="HV25" t="e">
        <f>AND(Sheet1!H336,"AAAAAF4j/uU=")</f>
        <v>#VALUE!</v>
      </c>
      <c r="HW25" t="e">
        <f>AND(Sheet1!I336,"AAAAAF4j/uY=")</f>
        <v>#VALUE!</v>
      </c>
      <c r="HX25" t="e">
        <f>AND(Sheet1!J336,"AAAAAF4j/uc=")</f>
        <v>#VALUE!</v>
      </c>
      <c r="HY25" t="e">
        <f>AND(Sheet1!K336,"AAAAAF4j/ug=")</f>
        <v>#VALUE!</v>
      </c>
      <c r="HZ25" t="e">
        <f>AND(Sheet1!L336,"AAAAAF4j/uk=")</f>
        <v>#VALUE!</v>
      </c>
      <c r="IA25" t="e">
        <f>AND(Sheet1!M336,"AAAAAF4j/uo=")</f>
        <v>#VALUE!</v>
      </c>
      <c r="IB25" t="e">
        <f>AND(Sheet1!N336,"AAAAAF4j/us=")</f>
        <v>#VALUE!</v>
      </c>
      <c r="IC25" t="e">
        <f>AND(Sheet1!#REF!,"AAAAAF4j/uw=")</f>
        <v>#REF!</v>
      </c>
      <c r="ID25" t="e">
        <f>AND(Sheet1!#REF!,"AAAAAF4j/u0=")</f>
        <v>#REF!</v>
      </c>
      <c r="IE25" t="e">
        <f>AND(Sheet1!#REF!,"AAAAAF4j/u4=")</f>
        <v>#REF!</v>
      </c>
      <c r="IF25" t="e">
        <f>AND(Sheet1!#REF!,"AAAAAF4j/u8=")</f>
        <v>#REF!</v>
      </c>
      <c r="IG25">
        <f>IF(Sheet1!337:337,"AAAAAF4j/vA=",0)</f>
        <v>0</v>
      </c>
      <c r="IH25" t="e">
        <f>AND(Sheet1!A337,"AAAAAF4j/vE=")</f>
        <v>#VALUE!</v>
      </c>
      <c r="II25" t="e">
        <f>AND(Sheet1!B337,"AAAAAF4j/vI=")</f>
        <v>#VALUE!</v>
      </c>
      <c r="IJ25" t="e">
        <f>AND(Sheet1!C337,"AAAAAF4j/vM=")</f>
        <v>#VALUE!</v>
      </c>
      <c r="IK25" t="e">
        <f>AND(Sheet1!D337,"AAAAAF4j/vQ=")</f>
        <v>#VALUE!</v>
      </c>
      <c r="IL25" t="e">
        <f>AND(Sheet1!E337,"AAAAAF4j/vU=")</f>
        <v>#VALUE!</v>
      </c>
      <c r="IM25" t="e">
        <f>AND(Sheet1!F337,"AAAAAF4j/vY=")</f>
        <v>#VALUE!</v>
      </c>
      <c r="IN25" t="e">
        <f>AND(Sheet1!G337,"AAAAAF4j/vc=")</f>
        <v>#VALUE!</v>
      </c>
      <c r="IO25" t="e">
        <f>AND(Sheet1!H337,"AAAAAF4j/vg=")</f>
        <v>#VALUE!</v>
      </c>
      <c r="IP25" t="e">
        <f>AND(Sheet1!I337,"AAAAAF4j/vk=")</f>
        <v>#VALUE!</v>
      </c>
      <c r="IQ25" t="e">
        <f>AND(Sheet1!J337,"AAAAAF4j/vo=")</f>
        <v>#VALUE!</v>
      </c>
      <c r="IR25" t="e">
        <f>AND(Sheet1!K337,"AAAAAF4j/vs=")</f>
        <v>#VALUE!</v>
      </c>
      <c r="IS25" t="e">
        <f>AND(Sheet1!L337,"AAAAAF4j/vw=")</f>
        <v>#VALUE!</v>
      </c>
      <c r="IT25" t="e">
        <f>AND(Sheet1!M337,"AAAAAF4j/v0=")</f>
        <v>#VALUE!</v>
      </c>
      <c r="IU25" t="e">
        <f>AND(Sheet1!N337,"AAAAAF4j/v4=")</f>
        <v>#VALUE!</v>
      </c>
      <c r="IV25" t="e">
        <f>AND(Sheet1!#REF!,"AAAAAF4j/v8=")</f>
        <v>#REF!</v>
      </c>
    </row>
    <row r="26" spans="1:256" x14ac:dyDescent="0.2">
      <c r="A26" t="e">
        <f>AND(Sheet1!#REF!,"AAAAAHPz3wA=")</f>
        <v>#REF!</v>
      </c>
      <c r="B26" t="e">
        <f>AND(Sheet1!#REF!,"AAAAAHPz3wE=")</f>
        <v>#REF!</v>
      </c>
      <c r="C26" t="e">
        <f>AND(Sheet1!#REF!,"AAAAAHPz3wI=")</f>
        <v>#REF!</v>
      </c>
      <c r="D26" t="e">
        <f>IF(Sheet1!338:338,"AAAAAHPz3wM=",0)</f>
        <v>#VALUE!</v>
      </c>
      <c r="E26" t="e">
        <f>AND(Sheet1!A338,"AAAAAHPz3wQ=")</f>
        <v>#VALUE!</v>
      </c>
      <c r="F26" t="e">
        <f>AND(Sheet1!B338,"AAAAAHPz3wU=")</f>
        <v>#VALUE!</v>
      </c>
      <c r="G26" t="e">
        <f>AND(Sheet1!C338,"AAAAAHPz3wY=")</f>
        <v>#VALUE!</v>
      </c>
      <c r="H26" t="e">
        <f>AND(Sheet1!D338,"AAAAAHPz3wc=")</f>
        <v>#VALUE!</v>
      </c>
      <c r="I26" t="e">
        <f>AND(Sheet1!E338,"AAAAAHPz3wg=")</f>
        <v>#VALUE!</v>
      </c>
      <c r="J26" t="e">
        <f>AND(Sheet1!F338,"AAAAAHPz3wk=")</f>
        <v>#VALUE!</v>
      </c>
      <c r="K26" t="e">
        <f>AND(Sheet1!G338,"AAAAAHPz3wo=")</f>
        <v>#VALUE!</v>
      </c>
      <c r="L26" t="e">
        <f>AND(Sheet1!H338,"AAAAAHPz3ws=")</f>
        <v>#VALUE!</v>
      </c>
      <c r="M26" t="e">
        <f>AND(Sheet1!I338,"AAAAAHPz3ww=")</f>
        <v>#VALUE!</v>
      </c>
      <c r="N26" t="e">
        <f>AND(Sheet1!J338,"AAAAAHPz3w0=")</f>
        <v>#VALUE!</v>
      </c>
      <c r="O26" t="e">
        <f>AND(Sheet1!K338,"AAAAAHPz3w4=")</f>
        <v>#VALUE!</v>
      </c>
      <c r="P26" t="e">
        <f>AND(Sheet1!L338,"AAAAAHPz3w8=")</f>
        <v>#VALUE!</v>
      </c>
      <c r="Q26" t="e">
        <f>AND(Sheet1!M338,"AAAAAHPz3xA=")</f>
        <v>#VALUE!</v>
      </c>
      <c r="R26" t="e">
        <f>AND(Sheet1!N338,"AAAAAHPz3xE=")</f>
        <v>#VALUE!</v>
      </c>
      <c r="S26" t="e">
        <f>AND(Sheet1!#REF!,"AAAAAHPz3xI=")</f>
        <v>#REF!</v>
      </c>
      <c r="T26" t="e">
        <f>AND(Sheet1!#REF!,"AAAAAHPz3xM=")</f>
        <v>#REF!</v>
      </c>
      <c r="U26" t="e">
        <f>AND(Sheet1!#REF!,"AAAAAHPz3xQ=")</f>
        <v>#REF!</v>
      </c>
      <c r="V26" t="e">
        <f>AND(Sheet1!#REF!,"AAAAAHPz3xU=")</f>
        <v>#REF!</v>
      </c>
      <c r="W26">
        <f>IF(Sheet1!339:339,"AAAAAHPz3xY=",0)</f>
        <v>0</v>
      </c>
      <c r="X26" t="e">
        <f>AND(Sheet1!A339,"AAAAAHPz3xc=")</f>
        <v>#VALUE!</v>
      </c>
      <c r="Y26" t="e">
        <f>AND(Sheet1!B339,"AAAAAHPz3xg=")</f>
        <v>#VALUE!</v>
      </c>
      <c r="Z26" t="e">
        <f>AND(Sheet1!C339,"AAAAAHPz3xk=")</f>
        <v>#VALUE!</v>
      </c>
      <c r="AA26" t="e">
        <f>AND(Sheet1!D339,"AAAAAHPz3xo=")</f>
        <v>#VALUE!</v>
      </c>
      <c r="AB26" t="e">
        <f>AND(Sheet1!E339,"AAAAAHPz3xs=")</f>
        <v>#VALUE!</v>
      </c>
      <c r="AC26" t="e">
        <f>AND(Sheet1!F339,"AAAAAHPz3xw=")</f>
        <v>#VALUE!</v>
      </c>
      <c r="AD26" t="e">
        <f>AND(Sheet1!G339,"AAAAAHPz3x0=")</f>
        <v>#VALUE!</v>
      </c>
      <c r="AE26" t="e">
        <f>AND(Sheet1!H339,"AAAAAHPz3x4=")</f>
        <v>#VALUE!</v>
      </c>
      <c r="AF26" t="e">
        <f>AND(Sheet1!I339,"AAAAAHPz3x8=")</f>
        <v>#VALUE!</v>
      </c>
      <c r="AG26" t="e">
        <f>AND(Sheet1!J339,"AAAAAHPz3yA=")</f>
        <v>#VALUE!</v>
      </c>
      <c r="AH26" t="e">
        <f>AND(Sheet1!K339,"AAAAAHPz3yE=")</f>
        <v>#VALUE!</v>
      </c>
      <c r="AI26" t="e">
        <f>AND(Sheet1!L339,"AAAAAHPz3yI=")</f>
        <v>#VALUE!</v>
      </c>
      <c r="AJ26" t="e">
        <f>AND(Sheet1!M339,"AAAAAHPz3yM=")</f>
        <v>#VALUE!</v>
      </c>
      <c r="AK26" t="e">
        <f>AND(Sheet1!N339,"AAAAAHPz3yQ=")</f>
        <v>#VALUE!</v>
      </c>
      <c r="AL26" t="e">
        <f>AND(Sheet1!#REF!,"AAAAAHPz3yU=")</f>
        <v>#REF!</v>
      </c>
      <c r="AM26" t="e">
        <f>AND(Sheet1!#REF!,"AAAAAHPz3yY=")</f>
        <v>#REF!</v>
      </c>
      <c r="AN26" t="e">
        <f>AND(Sheet1!#REF!,"AAAAAHPz3yc=")</f>
        <v>#REF!</v>
      </c>
      <c r="AO26" t="e">
        <f>AND(Sheet1!#REF!,"AAAAAHPz3yg=")</f>
        <v>#REF!</v>
      </c>
      <c r="AP26">
        <f>IF(Sheet1!340:340,"AAAAAHPz3yk=",0)</f>
        <v>0</v>
      </c>
      <c r="AQ26" t="e">
        <f>AND(Sheet1!A340,"AAAAAHPz3yo=")</f>
        <v>#VALUE!</v>
      </c>
      <c r="AR26" t="e">
        <f>AND(Sheet1!B340,"AAAAAHPz3ys=")</f>
        <v>#VALUE!</v>
      </c>
      <c r="AS26" t="e">
        <f>AND(Sheet1!C340,"AAAAAHPz3yw=")</f>
        <v>#VALUE!</v>
      </c>
      <c r="AT26" t="e">
        <f>AND(Sheet1!D340,"AAAAAHPz3y0=")</f>
        <v>#VALUE!</v>
      </c>
      <c r="AU26" t="e">
        <f>AND(Sheet1!E340,"AAAAAHPz3y4=")</f>
        <v>#VALUE!</v>
      </c>
      <c r="AV26" t="e">
        <f>AND(Sheet1!F340,"AAAAAHPz3y8=")</f>
        <v>#VALUE!</v>
      </c>
      <c r="AW26" t="e">
        <f>AND(Sheet1!G340,"AAAAAHPz3zA=")</f>
        <v>#VALUE!</v>
      </c>
      <c r="AX26" t="e">
        <f>AND(Sheet1!H340,"AAAAAHPz3zE=")</f>
        <v>#VALUE!</v>
      </c>
      <c r="AY26" t="e">
        <f>AND(Sheet1!I340,"AAAAAHPz3zI=")</f>
        <v>#VALUE!</v>
      </c>
      <c r="AZ26" t="e">
        <f>AND(Sheet1!J340,"AAAAAHPz3zM=")</f>
        <v>#VALUE!</v>
      </c>
      <c r="BA26" t="e">
        <f>AND(Sheet1!K340,"AAAAAHPz3zQ=")</f>
        <v>#VALUE!</v>
      </c>
      <c r="BB26" t="e">
        <f>AND(Sheet1!L340,"AAAAAHPz3zU=")</f>
        <v>#VALUE!</v>
      </c>
      <c r="BC26" t="e">
        <f>AND(Sheet1!M340,"AAAAAHPz3zY=")</f>
        <v>#VALUE!</v>
      </c>
      <c r="BD26" t="e">
        <f>AND(Sheet1!N340,"AAAAAHPz3zc=")</f>
        <v>#VALUE!</v>
      </c>
      <c r="BE26" t="e">
        <f>AND(Sheet1!#REF!,"AAAAAHPz3zg=")</f>
        <v>#REF!</v>
      </c>
      <c r="BF26" t="e">
        <f>AND(Sheet1!#REF!,"AAAAAHPz3zk=")</f>
        <v>#REF!</v>
      </c>
      <c r="BG26" t="e">
        <f>AND(Sheet1!#REF!,"AAAAAHPz3zo=")</f>
        <v>#REF!</v>
      </c>
      <c r="BH26" t="e">
        <f>AND(Sheet1!#REF!,"AAAAAHPz3zs=")</f>
        <v>#REF!</v>
      </c>
      <c r="BI26">
        <f>IF(Sheet1!341:341,"AAAAAHPz3zw=",0)</f>
        <v>0</v>
      </c>
      <c r="BJ26" t="e">
        <f>AND(Sheet1!A341,"AAAAAHPz3z0=")</f>
        <v>#VALUE!</v>
      </c>
      <c r="BK26" t="e">
        <f>AND(Sheet1!B341,"AAAAAHPz3z4=")</f>
        <v>#VALUE!</v>
      </c>
      <c r="BL26" t="e">
        <f>AND(Sheet1!C341,"AAAAAHPz3z8=")</f>
        <v>#VALUE!</v>
      </c>
      <c r="BM26" t="e">
        <f>AND(Sheet1!D341,"AAAAAHPz30A=")</f>
        <v>#VALUE!</v>
      </c>
      <c r="BN26" t="e">
        <f>AND(Sheet1!E341,"AAAAAHPz30E=")</f>
        <v>#VALUE!</v>
      </c>
      <c r="BO26" t="e">
        <f>AND(Sheet1!F341,"AAAAAHPz30I=")</f>
        <v>#VALUE!</v>
      </c>
      <c r="BP26" t="e">
        <f>AND(Sheet1!G341,"AAAAAHPz30M=")</f>
        <v>#VALUE!</v>
      </c>
      <c r="BQ26" t="e">
        <f>AND(Sheet1!H341,"AAAAAHPz30Q=")</f>
        <v>#VALUE!</v>
      </c>
      <c r="BR26" t="e">
        <f>AND(Sheet1!I341,"AAAAAHPz30U=")</f>
        <v>#VALUE!</v>
      </c>
      <c r="BS26" t="e">
        <f>AND(Sheet1!J341,"AAAAAHPz30Y=")</f>
        <v>#VALUE!</v>
      </c>
      <c r="BT26" t="e">
        <f>AND(Sheet1!K341,"AAAAAHPz30c=")</f>
        <v>#VALUE!</v>
      </c>
      <c r="BU26" t="e">
        <f>AND(Sheet1!L341,"AAAAAHPz30g=")</f>
        <v>#VALUE!</v>
      </c>
      <c r="BV26" t="e">
        <f>AND(Sheet1!M341,"AAAAAHPz30k=")</f>
        <v>#VALUE!</v>
      </c>
      <c r="BW26" t="e">
        <f>AND(Sheet1!N341,"AAAAAHPz30o=")</f>
        <v>#VALUE!</v>
      </c>
      <c r="BX26" t="e">
        <f>AND(Sheet1!#REF!,"AAAAAHPz30s=")</f>
        <v>#REF!</v>
      </c>
      <c r="BY26" t="e">
        <f>AND(Sheet1!#REF!,"AAAAAHPz30w=")</f>
        <v>#REF!</v>
      </c>
      <c r="BZ26" t="e">
        <f>AND(Sheet1!#REF!,"AAAAAHPz300=")</f>
        <v>#REF!</v>
      </c>
      <c r="CA26" t="e">
        <f>AND(Sheet1!#REF!,"AAAAAHPz304=")</f>
        <v>#REF!</v>
      </c>
      <c r="CB26">
        <f>IF(Sheet1!342:342,"AAAAAHPz308=",0)</f>
        <v>0</v>
      </c>
      <c r="CC26" t="e">
        <f>AND(Sheet1!A342,"AAAAAHPz31A=")</f>
        <v>#VALUE!</v>
      </c>
      <c r="CD26" t="e">
        <f>AND(Sheet1!B342,"AAAAAHPz31E=")</f>
        <v>#VALUE!</v>
      </c>
      <c r="CE26" t="e">
        <f>AND(Sheet1!C342,"AAAAAHPz31I=")</f>
        <v>#VALUE!</v>
      </c>
      <c r="CF26" t="e">
        <f>AND(Sheet1!D342,"AAAAAHPz31M=")</f>
        <v>#VALUE!</v>
      </c>
      <c r="CG26" t="e">
        <f>AND(Sheet1!E342,"AAAAAHPz31Q=")</f>
        <v>#VALUE!</v>
      </c>
      <c r="CH26" t="e">
        <f>AND(Sheet1!F342,"AAAAAHPz31U=")</f>
        <v>#VALUE!</v>
      </c>
      <c r="CI26" t="e">
        <f>AND(Sheet1!G342,"AAAAAHPz31Y=")</f>
        <v>#VALUE!</v>
      </c>
      <c r="CJ26" t="e">
        <f>AND(Sheet1!H342,"AAAAAHPz31c=")</f>
        <v>#VALUE!</v>
      </c>
      <c r="CK26" t="e">
        <f>AND(Sheet1!I342,"AAAAAHPz31g=")</f>
        <v>#VALUE!</v>
      </c>
      <c r="CL26" t="e">
        <f>AND(Sheet1!J342,"AAAAAHPz31k=")</f>
        <v>#VALUE!</v>
      </c>
      <c r="CM26" t="e">
        <f>AND(Sheet1!K342,"AAAAAHPz31o=")</f>
        <v>#VALUE!</v>
      </c>
      <c r="CN26" t="e">
        <f>AND(Sheet1!L342,"AAAAAHPz31s=")</f>
        <v>#VALUE!</v>
      </c>
      <c r="CO26" t="e">
        <f>AND(Sheet1!M342,"AAAAAHPz31w=")</f>
        <v>#VALUE!</v>
      </c>
      <c r="CP26" t="e">
        <f>AND(Sheet1!N342,"AAAAAHPz310=")</f>
        <v>#VALUE!</v>
      </c>
      <c r="CQ26" t="e">
        <f>AND(Sheet1!#REF!,"AAAAAHPz314=")</f>
        <v>#REF!</v>
      </c>
      <c r="CR26" t="e">
        <f>AND(Sheet1!#REF!,"AAAAAHPz318=")</f>
        <v>#REF!</v>
      </c>
      <c r="CS26" t="e">
        <f>AND(Sheet1!#REF!,"AAAAAHPz32A=")</f>
        <v>#REF!</v>
      </c>
      <c r="CT26" t="e">
        <f>AND(Sheet1!#REF!,"AAAAAHPz32E=")</f>
        <v>#REF!</v>
      </c>
      <c r="CU26">
        <f>IF(Sheet1!343:343,"AAAAAHPz32I=",0)</f>
        <v>0</v>
      </c>
      <c r="CV26" t="e">
        <f>AND(Sheet1!A343,"AAAAAHPz32M=")</f>
        <v>#VALUE!</v>
      </c>
      <c r="CW26" t="e">
        <f>AND(Sheet1!B343,"AAAAAHPz32Q=")</f>
        <v>#VALUE!</v>
      </c>
      <c r="CX26" t="e">
        <f>AND(Sheet1!C343,"AAAAAHPz32U=")</f>
        <v>#VALUE!</v>
      </c>
      <c r="CY26" t="e">
        <f>AND(Sheet1!D343,"AAAAAHPz32Y=")</f>
        <v>#VALUE!</v>
      </c>
      <c r="CZ26" t="e">
        <f>AND(Sheet1!E343,"AAAAAHPz32c=")</f>
        <v>#VALUE!</v>
      </c>
      <c r="DA26" t="e">
        <f>AND(Sheet1!F343,"AAAAAHPz32g=")</f>
        <v>#VALUE!</v>
      </c>
      <c r="DB26" t="e">
        <f>AND(Sheet1!G343,"AAAAAHPz32k=")</f>
        <v>#VALUE!</v>
      </c>
      <c r="DC26" t="e">
        <f>AND(Sheet1!H343,"AAAAAHPz32o=")</f>
        <v>#VALUE!</v>
      </c>
      <c r="DD26" t="e">
        <f>AND(Sheet1!I343,"AAAAAHPz32s=")</f>
        <v>#VALUE!</v>
      </c>
      <c r="DE26" t="e">
        <f>AND(Sheet1!J343,"AAAAAHPz32w=")</f>
        <v>#VALUE!</v>
      </c>
      <c r="DF26" t="e">
        <f>AND(Sheet1!K343,"AAAAAHPz320=")</f>
        <v>#VALUE!</v>
      </c>
      <c r="DG26" t="e">
        <f>AND(Sheet1!L343,"AAAAAHPz324=")</f>
        <v>#VALUE!</v>
      </c>
      <c r="DH26" t="e">
        <f>AND(Sheet1!M343,"AAAAAHPz328=")</f>
        <v>#VALUE!</v>
      </c>
      <c r="DI26" t="e">
        <f>AND(Sheet1!N343,"AAAAAHPz33A=")</f>
        <v>#VALUE!</v>
      </c>
      <c r="DJ26" t="e">
        <f>AND(Sheet1!#REF!,"AAAAAHPz33E=")</f>
        <v>#REF!</v>
      </c>
      <c r="DK26" t="e">
        <f>AND(Sheet1!#REF!,"AAAAAHPz33I=")</f>
        <v>#REF!</v>
      </c>
      <c r="DL26" t="e">
        <f>AND(Sheet1!#REF!,"AAAAAHPz33M=")</f>
        <v>#REF!</v>
      </c>
      <c r="DM26" t="e">
        <f>AND(Sheet1!#REF!,"AAAAAHPz33Q=")</f>
        <v>#REF!</v>
      </c>
      <c r="DN26">
        <f>IF(Sheet1!344:344,"AAAAAHPz33U=",0)</f>
        <v>0</v>
      </c>
      <c r="DO26" t="e">
        <f>AND(Sheet1!A344,"AAAAAHPz33Y=")</f>
        <v>#VALUE!</v>
      </c>
      <c r="DP26" t="e">
        <f>AND(Sheet1!B344,"AAAAAHPz33c=")</f>
        <v>#VALUE!</v>
      </c>
      <c r="DQ26" t="e">
        <f>AND(Sheet1!C344,"AAAAAHPz33g=")</f>
        <v>#VALUE!</v>
      </c>
      <c r="DR26" t="e">
        <f>AND(Sheet1!D344,"AAAAAHPz33k=")</f>
        <v>#VALUE!</v>
      </c>
      <c r="DS26" t="e">
        <f>AND(Sheet1!E344,"AAAAAHPz33o=")</f>
        <v>#VALUE!</v>
      </c>
      <c r="DT26" t="e">
        <f>AND(Sheet1!F344,"AAAAAHPz33s=")</f>
        <v>#VALUE!</v>
      </c>
      <c r="DU26" t="e">
        <f>AND(Sheet1!G344,"AAAAAHPz33w=")</f>
        <v>#VALUE!</v>
      </c>
      <c r="DV26" t="e">
        <f>AND(Sheet1!H344,"AAAAAHPz330=")</f>
        <v>#VALUE!</v>
      </c>
      <c r="DW26" t="e">
        <f>AND(Sheet1!I344,"AAAAAHPz334=")</f>
        <v>#VALUE!</v>
      </c>
      <c r="DX26" t="e">
        <f>AND(Sheet1!J344,"AAAAAHPz338=")</f>
        <v>#VALUE!</v>
      </c>
      <c r="DY26" t="e">
        <f>AND(Sheet1!K344,"AAAAAHPz34A=")</f>
        <v>#VALUE!</v>
      </c>
      <c r="DZ26" t="e">
        <f>AND(Sheet1!L344,"AAAAAHPz34E=")</f>
        <v>#VALUE!</v>
      </c>
      <c r="EA26" t="e">
        <f>AND(Sheet1!M344,"AAAAAHPz34I=")</f>
        <v>#VALUE!</v>
      </c>
      <c r="EB26" t="e">
        <f>AND(Sheet1!N344,"AAAAAHPz34M=")</f>
        <v>#VALUE!</v>
      </c>
      <c r="EC26" t="e">
        <f>AND(Sheet1!#REF!,"AAAAAHPz34Q=")</f>
        <v>#REF!</v>
      </c>
      <c r="ED26" t="e">
        <f>AND(Sheet1!#REF!,"AAAAAHPz34U=")</f>
        <v>#REF!</v>
      </c>
      <c r="EE26" t="e">
        <f>AND(Sheet1!#REF!,"AAAAAHPz34Y=")</f>
        <v>#REF!</v>
      </c>
      <c r="EF26" t="e">
        <f>AND(Sheet1!#REF!,"AAAAAHPz34c=")</f>
        <v>#REF!</v>
      </c>
      <c r="EG26">
        <f>IF(Sheet1!345:345,"AAAAAHPz34g=",0)</f>
        <v>0</v>
      </c>
      <c r="EH26" t="e">
        <f>AND(Sheet1!A345,"AAAAAHPz34k=")</f>
        <v>#VALUE!</v>
      </c>
      <c r="EI26" t="e">
        <f>AND(Sheet1!B345,"AAAAAHPz34o=")</f>
        <v>#VALUE!</v>
      </c>
      <c r="EJ26" t="e">
        <f>AND(Sheet1!C345,"AAAAAHPz34s=")</f>
        <v>#VALUE!</v>
      </c>
      <c r="EK26" t="e">
        <f>AND(Sheet1!D345,"AAAAAHPz34w=")</f>
        <v>#VALUE!</v>
      </c>
      <c r="EL26" t="e">
        <f>AND(Sheet1!E345,"AAAAAHPz340=")</f>
        <v>#VALUE!</v>
      </c>
      <c r="EM26" t="e">
        <f>AND(Sheet1!F345,"AAAAAHPz344=")</f>
        <v>#VALUE!</v>
      </c>
      <c r="EN26" t="e">
        <f>AND(Sheet1!G345,"AAAAAHPz348=")</f>
        <v>#VALUE!</v>
      </c>
      <c r="EO26" t="e">
        <f>AND(Sheet1!H345,"AAAAAHPz35A=")</f>
        <v>#VALUE!</v>
      </c>
      <c r="EP26" t="e">
        <f>AND(Sheet1!I345,"AAAAAHPz35E=")</f>
        <v>#VALUE!</v>
      </c>
      <c r="EQ26" t="e">
        <f>AND(Sheet1!J345,"AAAAAHPz35I=")</f>
        <v>#VALUE!</v>
      </c>
      <c r="ER26" t="e">
        <f>AND(Sheet1!K345,"AAAAAHPz35M=")</f>
        <v>#VALUE!</v>
      </c>
      <c r="ES26" t="e">
        <f>AND(Sheet1!L345,"AAAAAHPz35Q=")</f>
        <v>#VALUE!</v>
      </c>
      <c r="ET26" t="e">
        <f>AND(Sheet1!M345,"AAAAAHPz35U=")</f>
        <v>#VALUE!</v>
      </c>
      <c r="EU26" t="e">
        <f>AND(Sheet1!N345,"AAAAAHPz35Y=")</f>
        <v>#VALUE!</v>
      </c>
      <c r="EV26" t="e">
        <f>AND(Sheet1!#REF!,"AAAAAHPz35c=")</f>
        <v>#REF!</v>
      </c>
      <c r="EW26" t="e">
        <f>AND(Sheet1!#REF!,"AAAAAHPz35g=")</f>
        <v>#REF!</v>
      </c>
      <c r="EX26" t="e">
        <f>AND(Sheet1!#REF!,"AAAAAHPz35k=")</f>
        <v>#REF!</v>
      </c>
      <c r="EY26" t="e">
        <f>AND(Sheet1!#REF!,"AAAAAHPz35o=")</f>
        <v>#REF!</v>
      </c>
      <c r="EZ26">
        <f>IF(Sheet1!346:346,"AAAAAHPz35s=",0)</f>
        <v>0</v>
      </c>
      <c r="FA26" t="e">
        <f>AND(Sheet1!A346,"AAAAAHPz35w=")</f>
        <v>#VALUE!</v>
      </c>
      <c r="FB26" t="e">
        <f>AND(Sheet1!B346,"AAAAAHPz350=")</f>
        <v>#VALUE!</v>
      </c>
      <c r="FC26" t="e">
        <f>AND(Sheet1!C346,"AAAAAHPz354=")</f>
        <v>#VALUE!</v>
      </c>
      <c r="FD26" t="e">
        <f>AND(Sheet1!D346,"AAAAAHPz358=")</f>
        <v>#VALUE!</v>
      </c>
      <c r="FE26" t="e">
        <f>AND(Sheet1!E346,"AAAAAHPz36A=")</f>
        <v>#VALUE!</v>
      </c>
      <c r="FF26" t="e">
        <f>AND(Sheet1!F346,"AAAAAHPz36E=")</f>
        <v>#VALUE!</v>
      </c>
      <c r="FG26" t="e">
        <f>AND(Sheet1!G346,"AAAAAHPz36I=")</f>
        <v>#VALUE!</v>
      </c>
      <c r="FH26" t="e">
        <f>AND(Sheet1!H346,"AAAAAHPz36M=")</f>
        <v>#VALUE!</v>
      </c>
      <c r="FI26" t="e">
        <f>AND(Sheet1!I346,"AAAAAHPz36Q=")</f>
        <v>#VALUE!</v>
      </c>
      <c r="FJ26" t="e">
        <f>AND(Sheet1!J346,"AAAAAHPz36U=")</f>
        <v>#VALUE!</v>
      </c>
      <c r="FK26" t="e">
        <f>AND(Sheet1!K346,"AAAAAHPz36Y=")</f>
        <v>#VALUE!</v>
      </c>
      <c r="FL26" t="e">
        <f>AND(Sheet1!L346,"AAAAAHPz36c=")</f>
        <v>#VALUE!</v>
      </c>
      <c r="FM26" t="e">
        <f>AND(Sheet1!M346,"AAAAAHPz36g=")</f>
        <v>#VALUE!</v>
      </c>
      <c r="FN26" t="e">
        <f>AND(Sheet1!N346,"AAAAAHPz36k=")</f>
        <v>#VALUE!</v>
      </c>
      <c r="FO26" t="e">
        <f>AND(Sheet1!#REF!,"AAAAAHPz36o=")</f>
        <v>#REF!</v>
      </c>
      <c r="FP26" t="e">
        <f>AND(Sheet1!#REF!,"AAAAAHPz36s=")</f>
        <v>#REF!</v>
      </c>
      <c r="FQ26" t="e">
        <f>AND(Sheet1!#REF!,"AAAAAHPz36w=")</f>
        <v>#REF!</v>
      </c>
      <c r="FR26" t="e">
        <f>AND(Sheet1!#REF!,"AAAAAHPz360=")</f>
        <v>#REF!</v>
      </c>
      <c r="FS26">
        <f>IF(Sheet1!347:347,"AAAAAHPz364=",0)</f>
        <v>0</v>
      </c>
      <c r="FT26" t="e">
        <f>AND(Sheet1!A347,"AAAAAHPz368=")</f>
        <v>#VALUE!</v>
      </c>
      <c r="FU26" t="e">
        <f>AND(Sheet1!B347,"AAAAAHPz37A=")</f>
        <v>#VALUE!</v>
      </c>
      <c r="FV26" t="e">
        <f>AND(Sheet1!C347,"AAAAAHPz37E=")</f>
        <v>#VALUE!</v>
      </c>
      <c r="FW26" t="e">
        <f>AND(Sheet1!D347,"AAAAAHPz37I=")</f>
        <v>#VALUE!</v>
      </c>
      <c r="FX26" t="e">
        <f>AND(Sheet1!E347,"AAAAAHPz37M=")</f>
        <v>#VALUE!</v>
      </c>
      <c r="FY26" t="e">
        <f>AND(Sheet1!F347,"AAAAAHPz37Q=")</f>
        <v>#VALUE!</v>
      </c>
      <c r="FZ26" t="e">
        <f>AND(Sheet1!G347,"AAAAAHPz37U=")</f>
        <v>#VALUE!</v>
      </c>
      <c r="GA26" t="e">
        <f>AND(Sheet1!H347,"AAAAAHPz37Y=")</f>
        <v>#VALUE!</v>
      </c>
      <c r="GB26" t="e">
        <f>AND(Sheet1!I347,"AAAAAHPz37c=")</f>
        <v>#VALUE!</v>
      </c>
      <c r="GC26" t="e">
        <f>AND(Sheet1!J347,"AAAAAHPz37g=")</f>
        <v>#VALUE!</v>
      </c>
      <c r="GD26" t="e">
        <f>AND(Sheet1!K347,"AAAAAHPz37k=")</f>
        <v>#VALUE!</v>
      </c>
      <c r="GE26" t="e">
        <f>AND(Sheet1!L347,"AAAAAHPz37o=")</f>
        <v>#VALUE!</v>
      </c>
      <c r="GF26" t="e">
        <f>AND(Sheet1!M347,"AAAAAHPz37s=")</f>
        <v>#VALUE!</v>
      </c>
      <c r="GG26" t="e">
        <f>AND(Sheet1!N347,"AAAAAHPz37w=")</f>
        <v>#VALUE!</v>
      </c>
      <c r="GH26" t="e">
        <f>AND(Sheet1!#REF!,"AAAAAHPz370=")</f>
        <v>#REF!</v>
      </c>
      <c r="GI26" t="e">
        <f>AND(Sheet1!#REF!,"AAAAAHPz374=")</f>
        <v>#REF!</v>
      </c>
      <c r="GJ26" t="e">
        <f>AND(Sheet1!#REF!,"AAAAAHPz378=")</f>
        <v>#REF!</v>
      </c>
      <c r="GK26" t="e">
        <f>AND(Sheet1!#REF!,"AAAAAHPz38A=")</f>
        <v>#REF!</v>
      </c>
      <c r="GL26">
        <f>IF(Sheet1!348:348,"AAAAAHPz38E=",0)</f>
        <v>0</v>
      </c>
      <c r="GM26" t="e">
        <f>AND(Sheet1!A348,"AAAAAHPz38I=")</f>
        <v>#VALUE!</v>
      </c>
      <c r="GN26" t="e">
        <f>AND(Sheet1!B348,"AAAAAHPz38M=")</f>
        <v>#VALUE!</v>
      </c>
      <c r="GO26" t="e">
        <f>AND(Sheet1!C348,"AAAAAHPz38Q=")</f>
        <v>#VALUE!</v>
      </c>
      <c r="GP26" t="e">
        <f>AND(Sheet1!D348,"AAAAAHPz38U=")</f>
        <v>#VALUE!</v>
      </c>
      <c r="GQ26" t="e">
        <f>AND(Sheet1!E348,"AAAAAHPz38Y=")</f>
        <v>#VALUE!</v>
      </c>
      <c r="GR26" t="e">
        <f>AND(Sheet1!F348,"AAAAAHPz38c=")</f>
        <v>#VALUE!</v>
      </c>
      <c r="GS26" t="e">
        <f>AND(Sheet1!G348,"AAAAAHPz38g=")</f>
        <v>#VALUE!</v>
      </c>
      <c r="GT26" t="e">
        <f>AND(Sheet1!H348,"AAAAAHPz38k=")</f>
        <v>#VALUE!</v>
      </c>
      <c r="GU26" t="e">
        <f>AND(Sheet1!I348,"AAAAAHPz38o=")</f>
        <v>#VALUE!</v>
      </c>
      <c r="GV26" t="e">
        <f>AND(Sheet1!J348,"AAAAAHPz38s=")</f>
        <v>#VALUE!</v>
      </c>
      <c r="GW26" t="e">
        <f>AND(Sheet1!K348,"AAAAAHPz38w=")</f>
        <v>#VALUE!</v>
      </c>
      <c r="GX26" t="e">
        <f>AND(Sheet1!L348,"AAAAAHPz380=")</f>
        <v>#VALUE!</v>
      </c>
      <c r="GY26" t="e">
        <f>AND(Sheet1!M348,"AAAAAHPz384=")</f>
        <v>#VALUE!</v>
      </c>
      <c r="GZ26" t="e">
        <f>AND(Sheet1!N348,"AAAAAHPz388=")</f>
        <v>#VALUE!</v>
      </c>
      <c r="HA26" t="e">
        <f>AND(Sheet1!#REF!,"AAAAAHPz39A=")</f>
        <v>#REF!</v>
      </c>
      <c r="HB26" t="e">
        <f>AND(Sheet1!#REF!,"AAAAAHPz39E=")</f>
        <v>#REF!</v>
      </c>
      <c r="HC26" t="e">
        <f>AND(Sheet1!#REF!,"AAAAAHPz39I=")</f>
        <v>#REF!</v>
      </c>
      <c r="HD26" t="e">
        <f>AND(Sheet1!#REF!,"AAAAAHPz39M=")</f>
        <v>#REF!</v>
      </c>
      <c r="HE26">
        <f>IF(Sheet1!349:349,"AAAAAHPz39Q=",0)</f>
        <v>0</v>
      </c>
      <c r="HF26" t="e">
        <f>AND(Sheet1!A349,"AAAAAHPz39U=")</f>
        <v>#VALUE!</v>
      </c>
      <c r="HG26" t="e">
        <f>AND(Sheet1!B349,"AAAAAHPz39Y=")</f>
        <v>#VALUE!</v>
      </c>
      <c r="HH26" t="e">
        <f>AND(Sheet1!C349,"AAAAAHPz39c=")</f>
        <v>#VALUE!</v>
      </c>
      <c r="HI26" t="e">
        <f>AND(Sheet1!D349,"AAAAAHPz39g=")</f>
        <v>#VALUE!</v>
      </c>
      <c r="HJ26" t="e">
        <f>AND(Sheet1!E349,"AAAAAHPz39k=")</f>
        <v>#VALUE!</v>
      </c>
      <c r="HK26" t="e">
        <f>AND(Sheet1!F349,"AAAAAHPz39o=")</f>
        <v>#VALUE!</v>
      </c>
      <c r="HL26" t="e">
        <f>AND(Sheet1!G349,"AAAAAHPz39s=")</f>
        <v>#VALUE!</v>
      </c>
      <c r="HM26" t="e">
        <f>AND(Sheet1!H349,"AAAAAHPz39w=")</f>
        <v>#VALUE!</v>
      </c>
      <c r="HN26" t="e">
        <f>AND(Sheet1!I349,"AAAAAHPz390=")</f>
        <v>#VALUE!</v>
      </c>
      <c r="HO26" t="e">
        <f>AND(Sheet1!J349,"AAAAAHPz394=")</f>
        <v>#VALUE!</v>
      </c>
      <c r="HP26" t="e">
        <f>AND(Sheet1!K349,"AAAAAHPz398=")</f>
        <v>#VALUE!</v>
      </c>
      <c r="HQ26" t="e">
        <f>AND(Sheet1!L349,"AAAAAHPz3+A=")</f>
        <v>#VALUE!</v>
      </c>
      <c r="HR26" t="e">
        <f>AND(Sheet1!M349,"AAAAAHPz3+E=")</f>
        <v>#VALUE!</v>
      </c>
      <c r="HS26" t="e">
        <f>AND(Sheet1!N349,"AAAAAHPz3+I=")</f>
        <v>#VALUE!</v>
      </c>
      <c r="HT26" t="e">
        <f>AND(Sheet1!#REF!,"AAAAAHPz3+M=")</f>
        <v>#REF!</v>
      </c>
      <c r="HU26" t="e">
        <f>AND(Sheet1!#REF!,"AAAAAHPz3+Q=")</f>
        <v>#REF!</v>
      </c>
      <c r="HV26" t="e">
        <f>AND(Sheet1!#REF!,"AAAAAHPz3+U=")</f>
        <v>#REF!</v>
      </c>
      <c r="HW26" t="e">
        <f>AND(Sheet1!#REF!,"AAAAAHPz3+Y=")</f>
        <v>#REF!</v>
      </c>
      <c r="HX26">
        <f>IF(Sheet1!350:350,"AAAAAHPz3+c=",0)</f>
        <v>0</v>
      </c>
      <c r="HY26" t="e">
        <f>AND(Sheet1!A350,"AAAAAHPz3+g=")</f>
        <v>#VALUE!</v>
      </c>
      <c r="HZ26" t="e">
        <f>AND(Sheet1!B350,"AAAAAHPz3+k=")</f>
        <v>#VALUE!</v>
      </c>
      <c r="IA26" t="e">
        <f>AND(Sheet1!C350,"AAAAAHPz3+o=")</f>
        <v>#VALUE!</v>
      </c>
      <c r="IB26" t="e">
        <f>AND(Sheet1!D350,"AAAAAHPz3+s=")</f>
        <v>#VALUE!</v>
      </c>
      <c r="IC26" t="e">
        <f>AND(Sheet1!E350,"AAAAAHPz3+w=")</f>
        <v>#VALUE!</v>
      </c>
      <c r="ID26" t="e">
        <f>AND(Sheet1!F350,"AAAAAHPz3+0=")</f>
        <v>#VALUE!</v>
      </c>
      <c r="IE26" t="e">
        <f>AND(Sheet1!G350,"AAAAAHPz3+4=")</f>
        <v>#VALUE!</v>
      </c>
      <c r="IF26" t="e">
        <f>AND(Sheet1!H350,"AAAAAHPz3+8=")</f>
        <v>#VALUE!</v>
      </c>
      <c r="IG26" t="e">
        <f>AND(Sheet1!I350,"AAAAAHPz3/A=")</f>
        <v>#VALUE!</v>
      </c>
      <c r="IH26" t="e">
        <f>AND(Sheet1!J350,"AAAAAHPz3/E=")</f>
        <v>#VALUE!</v>
      </c>
      <c r="II26" t="e">
        <f>AND(Sheet1!K350,"AAAAAHPz3/I=")</f>
        <v>#VALUE!</v>
      </c>
      <c r="IJ26" t="e">
        <f>AND(Sheet1!L350,"AAAAAHPz3/M=")</f>
        <v>#VALUE!</v>
      </c>
      <c r="IK26" t="e">
        <f>AND(Sheet1!M350,"AAAAAHPz3/Q=")</f>
        <v>#VALUE!</v>
      </c>
      <c r="IL26" t="e">
        <f>AND(Sheet1!N350,"AAAAAHPz3/U=")</f>
        <v>#VALUE!</v>
      </c>
      <c r="IM26" t="e">
        <f>AND(Sheet1!#REF!,"AAAAAHPz3/Y=")</f>
        <v>#REF!</v>
      </c>
      <c r="IN26" t="e">
        <f>AND(Sheet1!#REF!,"AAAAAHPz3/c=")</f>
        <v>#REF!</v>
      </c>
      <c r="IO26" t="e">
        <f>AND(Sheet1!#REF!,"AAAAAHPz3/g=")</f>
        <v>#REF!</v>
      </c>
      <c r="IP26" t="e">
        <f>AND(Sheet1!#REF!,"AAAAAHPz3/k=")</f>
        <v>#REF!</v>
      </c>
      <c r="IQ26">
        <f>IF(Sheet1!351:351,"AAAAAHPz3/o=",0)</f>
        <v>0</v>
      </c>
      <c r="IR26" t="e">
        <f>AND(Sheet1!A351,"AAAAAHPz3/s=")</f>
        <v>#VALUE!</v>
      </c>
      <c r="IS26" t="e">
        <f>AND(Sheet1!B351,"AAAAAHPz3/w=")</f>
        <v>#VALUE!</v>
      </c>
      <c r="IT26" t="e">
        <f>AND(Sheet1!C351,"AAAAAHPz3/0=")</f>
        <v>#VALUE!</v>
      </c>
      <c r="IU26" t="e">
        <f>AND(Sheet1!D351,"AAAAAHPz3/4=")</f>
        <v>#VALUE!</v>
      </c>
      <c r="IV26" t="e">
        <f>AND(Sheet1!E351,"AAAAAHPz3/8=")</f>
        <v>#VALUE!</v>
      </c>
    </row>
    <row r="27" spans="1:256" x14ac:dyDescent="0.2">
      <c r="A27" t="e">
        <f>AND(Sheet1!F351,"AAAAAD2+/wA=")</f>
        <v>#VALUE!</v>
      </c>
      <c r="B27" t="e">
        <f>AND(Sheet1!G351,"AAAAAD2+/wE=")</f>
        <v>#VALUE!</v>
      </c>
      <c r="C27" t="e">
        <f>AND(Sheet1!H351,"AAAAAD2+/wI=")</f>
        <v>#VALUE!</v>
      </c>
      <c r="D27" t="e">
        <f>AND(Sheet1!I351,"AAAAAD2+/wM=")</f>
        <v>#VALUE!</v>
      </c>
      <c r="E27" t="e">
        <f>AND(Sheet1!J351,"AAAAAD2+/wQ=")</f>
        <v>#VALUE!</v>
      </c>
      <c r="F27" t="e">
        <f>AND(Sheet1!K351,"AAAAAD2+/wU=")</f>
        <v>#VALUE!</v>
      </c>
      <c r="G27" t="e">
        <f>AND(Sheet1!L351,"AAAAAD2+/wY=")</f>
        <v>#VALUE!</v>
      </c>
      <c r="H27" t="e">
        <f>AND(Sheet1!M351,"AAAAAD2+/wc=")</f>
        <v>#VALUE!</v>
      </c>
      <c r="I27" t="e">
        <f>AND(Sheet1!N351,"AAAAAD2+/wg=")</f>
        <v>#VALUE!</v>
      </c>
      <c r="J27" t="e">
        <f>AND(Sheet1!#REF!,"AAAAAD2+/wk=")</f>
        <v>#REF!</v>
      </c>
      <c r="K27" t="e">
        <f>AND(Sheet1!#REF!,"AAAAAD2+/wo=")</f>
        <v>#REF!</v>
      </c>
      <c r="L27" t="e">
        <f>AND(Sheet1!#REF!,"AAAAAD2+/ws=")</f>
        <v>#REF!</v>
      </c>
      <c r="M27" t="e">
        <f>AND(Sheet1!#REF!,"AAAAAD2+/ww=")</f>
        <v>#REF!</v>
      </c>
      <c r="N27" t="e">
        <f>IF(Sheet1!352:352,"AAAAAD2+/w0=",0)</f>
        <v>#VALUE!</v>
      </c>
      <c r="O27" t="e">
        <f>AND(Sheet1!A352,"AAAAAD2+/w4=")</f>
        <v>#VALUE!</v>
      </c>
      <c r="P27" t="e">
        <f>AND(Sheet1!B352,"AAAAAD2+/w8=")</f>
        <v>#VALUE!</v>
      </c>
      <c r="Q27" t="e">
        <f>AND(Sheet1!C352,"AAAAAD2+/xA=")</f>
        <v>#VALUE!</v>
      </c>
      <c r="R27" t="e">
        <f>AND(Sheet1!D352,"AAAAAD2+/xE=")</f>
        <v>#VALUE!</v>
      </c>
      <c r="S27" t="e">
        <f>AND(Sheet1!E352,"AAAAAD2+/xI=")</f>
        <v>#VALUE!</v>
      </c>
      <c r="T27" t="e">
        <f>AND(Sheet1!F352,"AAAAAD2+/xM=")</f>
        <v>#VALUE!</v>
      </c>
      <c r="U27" t="e">
        <f>AND(Sheet1!G352,"AAAAAD2+/xQ=")</f>
        <v>#VALUE!</v>
      </c>
      <c r="V27" t="e">
        <f>AND(Sheet1!H352,"AAAAAD2+/xU=")</f>
        <v>#VALUE!</v>
      </c>
      <c r="W27" t="e">
        <f>AND(Sheet1!I352,"AAAAAD2+/xY=")</f>
        <v>#VALUE!</v>
      </c>
      <c r="X27" t="e">
        <f>AND(Sheet1!J352,"AAAAAD2+/xc=")</f>
        <v>#VALUE!</v>
      </c>
      <c r="Y27" t="e">
        <f>AND(Sheet1!K352,"AAAAAD2+/xg=")</f>
        <v>#VALUE!</v>
      </c>
      <c r="Z27" t="e">
        <f>AND(Sheet1!L352,"AAAAAD2+/xk=")</f>
        <v>#VALUE!</v>
      </c>
      <c r="AA27" t="e">
        <f>AND(Sheet1!M352,"AAAAAD2+/xo=")</f>
        <v>#VALUE!</v>
      </c>
      <c r="AB27" t="e">
        <f>AND(Sheet1!N352,"AAAAAD2+/xs=")</f>
        <v>#VALUE!</v>
      </c>
      <c r="AC27" t="e">
        <f>AND(Sheet1!#REF!,"AAAAAD2+/xw=")</f>
        <v>#REF!</v>
      </c>
      <c r="AD27" t="e">
        <f>AND(Sheet1!#REF!,"AAAAAD2+/x0=")</f>
        <v>#REF!</v>
      </c>
      <c r="AE27" t="e">
        <f>AND(Sheet1!#REF!,"AAAAAD2+/x4=")</f>
        <v>#REF!</v>
      </c>
      <c r="AF27" t="e">
        <f>AND(Sheet1!#REF!,"AAAAAD2+/x8=")</f>
        <v>#REF!</v>
      </c>
      <c r="AG27">
        <f>IF(Sheet1!353:353,"AAAAAD2+/yA=",0)</f>
        <v>0</v>
      </c>
      <c r="AH27" t="e">
        <f>AND(Sheet1!A353,"AAAAAD2+/yE=")</f>
        <v>#VALUE!</v>
      </c>
      <c r="AI27" t="e">
        <f>AND(Sheet1!B353,"AAAAAD2+/yI=")</f>
        <v>#VALUE!</v>
      </c>
      <c r="AJ27" t="e">
        <f>AND(Sheet1!C353,"AAAAAD2+/yM=")</f>
        <v>#VALUE!</v>
      </c>
      <c r="AK27" t="e">
        <f>AND(Sheet1!D353,"AAAAAD2+/yQ=")</f>
        <v>#VALUE!</v>
      </c>
      <c r="AL27" t="e">
        <f>AND(Sheet1!E353,"AAAAAD2+/yU=")</f>
        <v>#VALUE!</v>
      </c>
      <c r="AM27" t="e">
        <f>AND(Sheet1!F353,"AAAAAD2+/yY=")</f>
        <v>#VALUE!</v>
      </c>
      <c r="AN27" t="e">
        <f>AND(Sheet1!G353,"AAAAAD2+/yc=")</f>
        <v>#VALUE!</v>
      </c>
      <c r="AO27" t="e">
        <f>AND(Sheet1!H353,"AAAAAD2+/yg=")</f>
        <v>#VALUE!</v>
      </c>
      <c r="AP27" t="e">
        <f>AND(Sheet1!I353,"AAAAAD2+/yk=")</f>
        <v>#VALUE!</v>
      </c>
      <c r="AQ27" t="e">
        <f>AND(Sheet1!J353,"AAAAAD2+/yo=")</f>
        <v>#VALUE!</v>
      </c>
      <c r="AR27" t="e">
        <f>AND(Sheet1!K353,"AAAAAD2+/ys=")</f>
        <v>#VALUE!</v>
      </c>
      <c r="AS27" t="e">
        <f>AND(Sheet1!L353,"AAAAAD2+/yw=")</f>
        <v>#VALUE!</v>
      </c>
      <c r="AT27" t="e">
        <f>AND(Sheet1!M353,"AAAAAD2+/y0=")</f>
        <v>#VALUE!</v>
      </c>
      <c r="AU27" t="e">
        <f>AND(Sheet1!N353,"AAAAAD2+/y4=")</f>
        <v>#VALUE!</v>
      </c>
      <c r="AV27" t="e">
        <f>AND(Sheet1!#REF!,"AAAAAD2+/y8=")</f>
        <v>#REF!</v>
      </c>
      <c r="AW27" t="e">
        <f>AND(Sheet1!#REF!,"AAAAAD2+/zA=")</f>
        <v>#REF!</v>
      </c>
      <c r="AX27" t="e">
        <f>AND(Sheet1!#REF!,"AAAAAD2+/zE=")</f>
        <v>#REF!</v>
      </c>
      <c r="AY27" t="e">
        <f>AND(Sheet1!#REF!,"AAAAAD2+/zI=")</f>
        <v>#REF!</v>
      </c>
      <c r="AZ27">
        <f>IF(Sheet1!354:354,"AAAAAD2+/zM=",0)</f>
        <v>0</v>
      </c>
      <c r="BA27" t="e">
        <f>AND(Sheet1!A354,"AAAAAD2+/zQ=")</f>
        <v>#VALUE!</v>
      </c>
      <c r="BB27" t="e">
        <f>AND(Sheet1!B354,"AAAAAD2+/zU=")</f>
        <v>#VALUE!</v>
      </c>
      <c r="BC27" t="e">
        <f>AND(Sheet1!C354,"AAAAAD2+/zY=")</f>
        <v>#VALUE!</v>
      </c>
      <c r="BD27" t="e">
        <f>AND(Sheet1!D354,"AAAAAD2+/zc=")</f>
        <v>#VALUE!</v>
      </c>
      <c r="BE27" t="e">
        <f>AND(Sheet1!E354,"AAAAAD2+/zg=")</f>
        <v>#VALUE!</v>
      </c>
      <c r="BF27" t="e">
        <f>AND(Sheet1!F354,"AAAAAD2+/zk=")</f>
        <v>#VALUE!</v>
      </c>
      <c r="BG27" t="e">
        <f>AND(Sheet1!G354,"AAAAAD2+/zo=")</f>
        <v>#VALUE!</v>
      </c>
      <c r="BH27" t="e">
        <f>AND(Sheet1!H354,"AAAAAD2+/zs=")</f>
        <v>#VALUE!</v>
      </c>
      <c r="BI27" t="e">
        <f>AND(Sheet1!I354,"AAAAAD2+/zw=")</f>
        <v>#VALUE!</v>
      </c>
      <c r="BJ27" t="e">
        <f>AND(Sheet1!J354,"AAAAAD2+/z0=")</f>
        <v>#VALUE!</v>
      </c>
      <c r="BK27" t="e">
        <f>AND(Sheet1!K354,"AAAAAD2+/z4=")</f>
        <v>#VALUE!</v>
      </c>
      <c r="BL27" t="e">
        <f>AND(Sheet1!L354,"AAAAAD2+/z8=")</f>
        <v>#VALUE!</v>
      </c>
      <c r="BM27" t="e">
        <f>AND(Sheet1!M354,"AAAAAD2+/0A=")</f>
        <v>#VALUE!</v>
      </c>
      <c r="BN27" t="e">
        <f>AND(Sheet1!N354,"AAAAAD2+/0E=")</f>
        <v>#VALUE!</v>
      </c>
      <c r="BO27" t="e">
        <f>AND(Sheet1!#REF!,"AAAAAD2+/0I=")</f>
        <v>#REF!</v>
      </c>
      <c r="BP27" t="e">
        <f>AND(Sheet1!#REF!,"AAAAAD2+/0M=")</f>
        <v>#REF!</v>
      </c>
      <c r="BQ27" t="e">
        <f>AND(Sheet1!#REF!,"AAAAAD2+/0Q=")</f>
        <v>#REF!</v>
      </c>
      <c r="BR27" t="e">
        <f>AND(Sheet1!#REF!,"AAAAAD2+/0U=")</f>
        <v>#REF!</v>
      </c>
      <c r="BS27">
        <f>IF(Sheet1!355:355,"AAAAAD2+/0Y=",0)</f>
        <v>0</v>
      </c>
      <c r="BT27" t="e">
        <f>AND(Sheet1!A355,"AAAAAD2+/0c=")</f>
        <v>#VALUE!</v>
      </c>
      <c r="BU27" t="e">
        <f>AND(Sheet1!B355,"AAAAAD2+/0g=")</f>
        <v>#VALUE!</v>
      </c>
      <c r="BV27" t="e">
        <f>AND(Sheet1!C355,"AAAAAD2+/0k=")</f>
        <v>#VALUE!</v>
      </c>
      <c r="BW27" t="e">
        <f>AND(Sheet1!D355,"AAAAAD2+/0o=")</f>
        <v>#VALUE!</v>
      </c>
      <c r="BX27" t="e">
        <f>AND(Sheet1!E355,"AAAAAD2+/0s=")</f>
        <v>#VALUE!</v>
      </c>
      <c r="BY27" t="e">
        <f>AND(Sheet1!F355,"AAAAAD2+/0w=")</f>
        <v>#VALUE!</v>
      </c>
      <c r="BZ27" t="e">
        <f>AND(Sheet1!G355,"AAAAAD2+/00=")</f>
        <v>#VALUE!</v>
      </c>
      <c r="CA27" t="e">
        <f>AND(Sheet1!H355,"AAAAAD2+/04=")</f>
        <v>#VALUE!</v>
      </c>
      <c r="CB27" t="e">
        <f>AND(Sheet1!I355,"AAAAAD2+/08=")</f>
        <v>#VALUE!</v>
      </c>
      <c r="CC27" t="e">
        <f>AND(Sheet1!J355,"AAAAAD2+/1A=")</f>
        <v>#VALUE!</v>
      </c>
      <c r="CD27" t="e">
        <f>AND(Sheet1!K355,"AAAAAD2+/1E=")</f>
        <v>#VALUE!</v>
      </c>
      <c r="CE27" t="e">
        <f>AND(Sheet1!L355,"AAAAAD2+/1I=")</f>
        <v>#VALUE!</v>
      </c>
      <c r="CF27" t="e">
        <f>AND(Sheet1!M355,"AAAAAD2+/1M=")</f>
        <v>#VALUE!</v>
      </c>
      <c r="CG27" t="e">
        <f>AND(Sheet1!N355,"AAAAAD2+/1Q=")</f>
        <v>#VALUE!</v>
      </c>
      <c r="CH27" t="e">
        <f>AND(Sheet1!#REF!,"AAAAAD2+/1U=")</f>
        <v>#REF!</v>
      </c>
      <c r="CI27" t="e">
        <f>AND(Sheet1!#REF!,"AAAAAD2+/1Y=")</f>
        <v>#REF!</v>
      </c>
      <c r="CJ27" t="e">
        <f>AND(Sheet1!#REF!,"AAAAAD2+/1c=")</f>
        <v>#REF!</v>
      </c>
      <c r="CK27" t="e">
        <f>AND(Sheet1!#REF!,"AAAAAD2+/1g=")</f>
        <v>#REF!</v>
      </c>
      <c r="CL27">
        <f>IF(Sheet1!356:356,"AAAAAD2+/1k=",0)</f>
        <v>0</v>
      </c>
      <c r="CM27" t="e">
        <f>AND(Sheet1!A356,"AAAAAD2+/1o=")</f>
        <v>#VALUE!</v>
      </c>
      <c r="CN27" t="e">
        <f>AND(Sheet1!B356,"AAAAAD2+/1s=")</f>
        <v>#VALUE!</v>
      </c>
      <c r="CO27" t="e">
        <f>AND(Sheet1!C356,"AAAAAD2+/1w=")</f>
        <v>#VALUE!</v>
      </c>
      <c r="CP27" t="e">
        <f>AND(Sheet1!D356,"AAAAAD2+/10=")</f>
        <v>#VALUE!</v>
      </c>
      <c r="CQ27" t="e">
        <f>AND(Sheet1!E356,"AAAAAD2+/14=")</f>
        <v>#VALUE!</v>
      </c>
      <c r="CR27" t="e">
        <f>AND(Sheet1!F356,"AAAAAD2+/18=")</f>
        <v>#VALUE!</v>
      </c>
      <c r="CS27" t="e">
        <f>AND(Sheet1!G356,"AAAAAD2+/2A=")</f>
        <v>#VALUE!</v>
      </c>
      <c r="CT27" t="e">
        <f>AND(Sheet1!H356,"AAAAAD2+/2E=")</f>
        <v>#VALUE!</v>
      </c>
      <c r="CU27" t="e">
        <f>AND(Sheet1!I356,"AAAAAD2+/2I=")</f>
        <v>#VALUE!</v>
      </c>
      <c r="CV27" t="e">
        <f>AND(Sheet1!J356,"AAAAAD2+/2M=")</f>
        <v>#VALUE!</v>
      </c>
      <c r="CW27" t="e">
        <f>AND(Sheet1!K356,"AAAAAD2+/2Q=")</f>
        <v>#VALUE!</v>
      </c>
      <c r="CX27" t="e">
        <f>AND(Sheet1!L356,"AAAAAD2+/2U=")</f>
        <v>#VALUE!</v>
      </c>
      <c r="CY27" t="e">
        <f>AND(Sheet1!M356,"AAAAAD2+/2Y=")</f>
        <v>#VALUE!</v>
      </c>
      <c r="CZ27" t="e">
        <f>AND(Sheet1!N356,"AAAAAD2+/2c=")</f>
        <v>#VALUE!</v>
      </c>
      <c r="DA27" t="e">
        <f>AND(Sheet1!#REF!,"AAAAAD2+/2g=")</f>
        <v>#REF!</v>
      </c>
      <c r="DB27" t="e">
        <f>AND(Sheet1!#REF!,"AAAAAD2+/2k=")</f>
        <v>#REF!</v>
      </c>
      <c r="DC27" t="e">
        <f>AND(Sheet1!#REF!,"AAAAAD2+/2o=")</f>
        <v>#REF!</v>
      </c>
      <c r="DD27" t="e">
        <f>AND(Sheet1!#REF!,"AAAAAD2+/2s=")</f>
        <v>#REF!</v>
      </c>
      <c r="DE27">
        <f>IF(Sheet1!357:357,"AAAAAD2+/2w=",0)</f>
        <v>0</v>
      </c>
      <c r="DF27" t="e">
        <f>AND(Sheet1!A357,"AAAAAD2+/20=")</f>
        <v>#VALUE!</v>
      </c>
      <c r="DG27" t="e">
        <f>AND(Sheet1!B357,"AAAAAD2+/24=")</f>
        <v>#VALUE!</v>
      </c>
      <c r="DH27" t="e">
        <f>AND(Sheet1!C357,"AAAAAD2+/28=")</f>
        <v>#VALUE!</v>
      </c>
      <c r="DI27" t="e">
        <f>AND(Sheet1!D357,"AAAAAD2+/3A=")</f>
        <v>#VALUE!</v>
      </c>
      <c r="DJ27" t="e">
        <f>AND(Sheet1!E357,"AAAAAD2+/3E=")</f>
        <v>#VALUE!</v>
      </c>
      <c r="DK27" t="e">
        <f>AND(Sheet1!F357,"AAAAAD2+/3I=")</f>
        <v>#VALUE!</v>
      </c>
      <c r="DL27" t="e">
        <f>AND(Sheet1!G357,"AAAAAD2+/3M=")</f>
        <v>#VALUE!</v>
      </c>
      <c r="DM27" t="e">
        <f>AND(Sheet1!H357,"AAAAAD2+/3Q=")</f>
        <v>#VALUE!</v>
      </c>
      <c r="DN27" t="e">
        <f>AND(Sheet1!I357,"AAAAAD2+/3U=")</f>
        <v>#VALUE!</v>
      </c>
      <c r="DO27" t="e">
        <f>AND(Sheet1!J357,"AAAAAD2+/3Y=")</f>
        <v>#VALUE!</v>
      </c>
      <c r="DP27" t="e">
        <f>AND(Sheet1!K357,"AAAAAD2+/3c=")</f>
        <v>#VALUE!</v>
      </c>
      <c r="DQ27" t="e">
        <f>AND(Sheet1!L357,"AAAAAD2+/3g=")</f>
        <v>#VALUE!</v>
      </c>
      <c r="DR27" t="e">
        <f>AND(Sheet1!M357,"AAAAAD2+/3k=")</f>
        <v>#VALUE!</v>
      </c>
      <c r="DS27" t="e">
        <f>AND(Sheet1!N357,"AAAAAD2+/3o=")</f>
        <v>#VALUE!</v>
      </c>
      <c r="DT27" t="e">
        <f>AND(Sheet1!#REF!,"AAAAAD2+/3s=")</f>
        <v>#REF!</v>
      </c>
      <c r="DU27" t="e">
        <f>AND(Sheet1!#REF!,"AAAAAD2+/3w=")</f>
        <v>#REF!</v>
      </c>
      <c r="DV27" t="e">
        <f>AND(Sheet1!#REF!,"AAAAAD2+/30=")</f>
        <v>#REF!</v>
      </c>
      <c r="DW27" t="e">
        <f>AND(Sheet1!#REF!,"AAAAAD2+/34=")</f>
        <v>#REF!</v>
      </c>
      <c r="DX27">
        <f>IF(Sheet1!358:358,"AAAAAD2+/38=",0)</f>
        <v>0</v>
      </c>
      <c r="DY27" t="e">
        <f>AND(Sheet1!A358,"AAAAAD2+/4A=")</f>
        <v>#VALUE!</v>
      </c>
      <c r="DZ27" t="e">
        <f>AND(Sheet1!B358,"AAAAAD2+/4E=")</f>
        <v>#VALUE!</v>
      </c>
      <c r="EA27" t="e">
        <f>AND(Sheet1!C358,"AAAAAD2+/4I=")</f>
        <v>#VALUE!</v>
      </c>
      <c r="EB27" t="e">
        <f>AND(Sheet1!D358,"AAAAAD2+/4M=")</f>
        <v>#VALUE!</v>
      </c>
      <c r="EC27" t="e">
        <f>AND(Sheet1!E358,"AAAAAD2+/4Q=")</f>
        <v>#VALUE!</v>
      </c>
      <c r="ED27" t="e">
        <f>AND(Sheet1!F358,"AAAAAD2+/4U=")</f>
        <v>#VALUE!</v>
      </c>
      <c r="EE27" t="e">
        <f>AND(Sheet1!G358,"AAAAAD2+/4Y=")</f>
        <v>#VALUE!</v>
      </c>
      <c r="EF27" t="e">
        <f>AND(Sheet1!H358,"AAAAAD2+/4c=")</f>
        <v>#VALUE!</v>
      </c>
      <c r="EG27" t="e">
        <f>AND(Sheet1!I358,"AAAAAD2+/4g=")</f>
        <v>#VALUE!</v>
      </c>
      <c r="EH27" t="e">
        <f>AND(Sheet1!J358,"AAAAAD2+/4k=")</f>
        <v>#VALUE!</v>
      </c>
      <c r="EI27" t="e">
        <f>AND(Sheet1!K358,"AAAAAD2+/4o=")</f>
        <v>#VALUE!</v>
      </c>
      <c r="EJ27" t="e">
        <f>AND(Sheet1!L358,"AAAAAD2+/4s=")</f>
        <v>#VALUE!</v>
      </c>
      <c r="EK27" t="e">
        <f>AND(Sheet1!M358,"AAAAAD2+/4w=")</f>
        <v>#VALUE!</v>
      </c>
      <c r="EL27" t="e">
        <f>AND(Sheet1!N358,"AAAAAD2+/40=")</f>
        <v>#VALUE!</v>
      </c>
      <c r="EM27" t="e">
        <f>AND(Sheet1!#REF!,"AAAAAD2+/44=")</f>
        <v>#REF!</v>
      </c>
      <c r="EN27" t="e">
        <f>AND(Sheet1!#REF!,"AAAAAD2+/48=")</f>
        <v>#REF!</v>
      </c>
      <c r="EO27" t="e">
        <f>AND(Sheet1!#REF!,"AAAAAD2+/5A=")</f>
        <v>#REF!</v>
      </c>
      <c r="EP27" t="e">
        <f>AND(Sheet1!#REF!,"AAAAAD2+/5E=")</f>
        <v>#REF!</v>
      </c>
      <c r="EQ27">
        <f>IF(Sheet1!359:359,"AAAAAD2+/5I=",0)</f>
        <v>0</v>
      </c>
      <c r="ER27" t="e">
        <f>AND(Sheet1!A359,"AAAAAD2+/5M=")</f>
        <v>#VALUE!</v>
      </c>
      <c r="ES27" t="e">
        <f>AND(Sheet1!B359,"AAAAAD2+/5Q=")</f>
        <v>#VALUE!</v>
      </c>
      <c r="ET27" t="e">
        <f>AND(Sheet1!C359,"AAAAAD2+/5U=")</f>
        <v>#VALUE!</v>
      </c>
      <c r="EU27" t="e">
        <f>AND(Sheet1!D359,"AAAAAD2+/5Y=")</f>
        <v>#VALUE!</v>
      </c>
      <c r="EV27" t="e">
        <f>AND(Sheet1!E359,"AAAAAD2+/5c=")</f>
        <v>#VALUE!</v>
      </c>
      <c r="EW27" t="e">
        <f>AND(Sheet1!F359,"AAAAAD2+/5g=")</f>
        <v>#VALUE!</v>
      </c>
      <c r="EX27" t="e">
        <f>AND(Sheet1!G359,"AAAAAD2+/5k=")</f>
        <v>#VALUE!</v>
      </c>
      <c r="EY27" t="e">
        <f>AND(Sheet1!H359,"AAAAAD2+/5o=")</f>
        <v>#VALUE!</v>
      </c>
      <c r="EZ27" t="e">
        <f>AND(Sheet1!I359,"AAAAAD2+/5s=")</f>
        <v>#VALUE!</v>
      </c>
      <c r="FA27" t="e">
        <f>AND(Sheet1!J359,"AAAAAD2+/5w=")</f>
        <v>#VALUE!</v>
      </c>
      <c r="FB27" t="e">
        <f>AND(Sheet1!K359,"AAAAAD2+/50=")</f>
        <v>#VALUE!</v>
      </c>
      <c r="FC27" t="e">
        <f>AND(Sheet1!L359,"AAAAAD2+/54=")</f>
        <v>#VALUE!</v>
      </c>
      <c r="FD27" t="e">
        <f>AND(Sheet1!M359,"AAAAAD2+/58=")</f>
        <v>#VALUE!</v>
      </c>
      <c r="FE27" t="e">
        <f>AND(Sheet1!N359,"AAAAAD2+/6A=")</f>
        <v>#VALUE!</v>
      </c>
      <c r="FF27" t="e">
        <f>AND(Sheet1!#REF!,"AAAAAD2+/6E=")</f>
        <v>#REF!</v>
      </c>
      <c r="FG27" t="e">
        <f>AND(Sheet1!#REF!,"AAAAAD2+/6I=")</f>
        <v>#REF!</v>
      </c>
      <c r="FH27" t="e">
        <f>AND(Sheet1!#REF!,"AAAAAD2+/6M=")</f>
        <v>#REF!</v>
      </c>
      <c r="FI27" t="e">
        <f>AND(Sheet1!#REF!,"AAAAAD2+/6Q=")</f>
        <v>#REF!</v>
      </c>
      <c r="FJ27">
        <f>IF(Sheet1!360:360,"AAAAAD2+/6U=",0)</f>
        <v>0</v>
      </c>
      <c r="FK27" t="e">
        <f>AND(Sheet1!A360,"AAAAAD2+/6Y=")</f>
        <v>#VALUE!</v>
      </c>
      <c r="FL27" t="e">
        <f>AND(Sheet1!B360,"AAAAAD2+/6c=")</f>
        <v>#VALUE!</v>
      </c>
      <c r="FM27" t="e">
        <f>AND(Sheet1!C360,"AAAAAD2+/6g=")</f>
        <v>#VALUE!</v>
      </c>
      <c r="FN27" t="e">
        <f>AND(Sheet1!D360,"AAAAAD2+/6k=")</f>
        <v>#VALUE!</v>
      </c>
      <c r="FO27" t="e">
        <f>AND(Sheet1!E360,"AAAAAD2+/6o=")</f>
        <v>#VALUE!</v>
      </c>
      <c r="FP27" t="e">
        <f>AND(Sheet1!F360,"AAAAAD2+/6s=")</f>
        <v>#VALUE!</v>
      </c>
      <c r="FQ27" t="e">
        <f>AND(Sheet1!G360,"AAAAAD2+/6w=")</f>
        <v>#VALUE!</v>
      </c>
      <c r="FR27" t="e">
        <f>AND(Sheet1!H360,"AAAAAD2+/60=")</f>
        <v>#VALUE!</v>
      </c>
      <c r="FS27" t="e">
        <f>AND(Sheet1!I360,"AAAAAD2+/64=")</f>
        <v>#VALUE!</v>
      </c>
      <c r="FT27" t="e">
        <f>AND(Sheet1!J360,"AAAAAD2+/68=")</f>
        <v>#VALUE!</v>
      </c>
      <c r="FU27" t="e">
        <f>AND(Sheet1!K360,"AAAAAD2+/7A=")</f>
        <v>#VALUE!</v>
      </c>
      <c r="FV27" t="e">
        <f>AND(Sheet1!L360,"AAAAAD2+/7E=")</f>
        <v>#VALUE!</v>
      </c>
      <c r="FW27" t="e">
        <f>AND(Sheet1!M360,"AAAAAD2+/7I=")</f>
        <v>#VALUE!</v>
      </c>
      <c r="FX27" t="e">
        <f>AND(Sheet1!N360,"AAAAAD2+/7M=")</f>
        <v>#VALUE!</v>
      </c>
      <c r="FY27" t="e">
        <f>AND(Sheet1!#REF!,"AAAAAD2+/7Q=")</f>
        <v>#REF!</v>
      </c>
      <c r="FZ27" t="e">
        <f>AND(Sheet1!#REF!,"AAAAAD2+/7U=")</f>
        <v>#REF!</v>
      </c>
      <c r="GA27" t="e">
        <f>AND(Sheet1!#REF!,"AAAAAD2+/7Y=")</f>
        <v>#REF!</v>
      </c>
      <c r="GB27" t="e">
        <f>AND(Sheet1!#REF!,"AAAAAD2+/7c=")</f>
        <v>#REF!</v>
      </c>
      <c r="GC27">
        <f>IF(Sheet1!361:361,"AAAAAD2+/7g=",0)</f>
        <v>0</v>
      </c>
      <c r="GD27" t="e">
        <f>AND(Sheet1!A361,"AAAAAD2+/7k=")</f>
        <v>#VALUE!</v>
      </c>
      <c r="GE27" t="e">
        <f>AND(Sheet1!B361,"AAAAAD2+/7o=")</f>
        <v>#VALUE!</v>
      </c>
      <c r="GF27" t="e">
        <f>AND(Sheet1!C361,"AAAAAD2+/7s=")</f>
        <v>#VALUE!</v>
      </c>
      <c r="GG27" t="e">
        <f>AND(Sheet1!D361,"AAAAAD2+/7w=")</f>
        <v>#VALUE!</v>
      </c>
      <c r="GH27" t="e">
        <f>AND(Sheet1!E361,"AAAAAD2+/70=")</f>
        <v>#VALUE!</v>
      </c>
      <c r="GI27" t="e">
        <f>AND(Sheet1!F361,"AAAAAD2+/74=")</f>
        <v>#VALUE!</v>
      </c>
      <c r="GJ27" t="e">
        <f>AND(Sheet1!G361,"AAAAAD2+/78=")</f>
        <v>#VALUE!</v>
      </c>
      <c r="GK27" t="e">
        <f>AND(Sheet1!H361,"AAAAAD2+/8A=")</f>
        <v>#VALUE!</v>
      </c>
      <c r="GL27" t="e">
        <f>AND(Sheet1!I361,"AAAAAD2+/8E=")</f>
        <v>#VALUE!</v>
      </c>
      <c r="GM27" t="e">
        <f>AND(Sheet1!J361,"AAAAAD2+/8I=")</f>
        <v>#VALUE!</v>
      </c>
      <c r="GN27" t="e">
        <f>AND(Sheet1!K361,"AAAAAD2+/8M=")</f>
        <v>#VALUE!</v>
      </c>
      <c r="GO27" t="e">
        <f>AND(Sheet1!L361,"AAAAAD2+/8Q=")</f>
        <v>#VALUE!</v>
      </c>
      <c r="GP27" t="e">
        <f>AND(Sheet1!M361,"AAAAAD2+/8U=")</f>
        <v>#VALUE!</v>
      </c>
      <c r="GQ27" t="e">
        <f>AND(Sheet1!N361,"AAAAAD2+/8Y=")</f>
        <v>#VALUE!</v>
      </c>
      <c r="GR27" t="e">
        <f>AND(Sheet1!#REF!,"AAAAAD2+/8c=")</f>
        <v>#REF!</v>
      </c>
      <c r="GS27" t="e">
        <f>AND(Sheet1!#REF!,"AAAAAD2+/8g=")</f>
        <v>#REF!</v>
      </c>
      <c r="GT27" t="e">
        <f>AND(Sheet1!#REF!,"AAAAAD2+/8k=")</f>
        <v>#REF!</v>
      </c>
      <c r="GU27" t="e">
        <f>AND(Sheet1!#REF!,"AAAAAD2+/8o=")</f>
        <v>#REF!</v>
      </c>
      <c r="GV27">
        <f>IF(Sheet1!362:362,"AAAAAD2+/8s=",0)</f>
        <v>0</v>
      </c>
      <c r="GW27" t="e">
        <f>AND(Sheet1!A362,"AAAAAD2+/8w=")</f>
        <v>#VALUE!</v>
      </c>
      <c r="GX27" t="e">
        <f>AND(Sheet1!B362,"AAAAAD2+/80=")</f>
        <v>#VALUE!</v>
      </c>
      <c r="GY27" t="e">
        <f>AND(Sheet1!C362,"AAAAAD2+/84=")</f>
        <v>#VALUE!</v>
      </c>
      <c r="GZ27" t="e">
        <f>AND(Sheet1!D362,"AAAAAD2+/88=")</f>
        <v>#VALUE!</v>
      </c>
      <c r="HA27" t="e">
        <f>AND(Sheet1!E362,"AAAAAD2+/9A=")</f>
        <v>#VALUE!</v>
      </c>
      <c r="HB27" t="e">
        <f>AND(Sheet1!F362,"AAAAAD2+/9E=")</f>
        <v>#VALUE!</v>
      </c>
      <c r="HC27" t="e">
        <f>AND(Sheet1!G362,"AAAAAD2+/9I=")</f>
        <v>#VALUE!</v>
      </c>
      <c r="HD27" t="e">
        <f>AND(Sheet1!H362,"AAAAAD2+/9M=")</f>
        <v>#VALUE!</v>
      </c>
      <c r="HE27" t="e">
        <f>AND(Sheet1!I362,"AAAAAD2+/9Q=")</f>
        <v>#VALUE!</v>
      </c>
      <c r="HF27" t="e">
        <f>AND(Sheet1!J362,"AAAAAD2+/9U=")</f>
        <v>#VALUE!</v>
      </c>
      <c r="HG27" t="e">
        <f>AND(Sheet1!K362,"AAAAAD2+/9Y=")</f>
        <v>#VALUE!</v>
      </c>
      <c r="HH27" t="e">
        <f>AND(Sheet1!L362,"AAAAAD2+/9c=")</f>
        <v>#VALUE!</v>
      </c>
      <c r="HI27" t="e">
        <f>AND(Sheet1!M362,"AAAAAD2+/9g=")</f>
        <v>#VALUE!</v>
      </c>
      <c r="HJ27" t="e">
        <f>AND(Sheet1!N362,"AAAAAD2+/9k=")</f>
        <v>#VALUE!</v>
      </c>
      <c r="HK27" t="e">
        <f>AND(Sheet1!#REF!,"AAAAAD2+/9o=")</f>
        <v>#REF!</v>
      </c>
      <c r="HL27" t="e">
        <f>AND(Sheet1!#REF!,"AAAAAD2+/9s=")</f>
        <v>#REF!</v>
      </c>
      <c r="HM27" t="e">
        <f>AND(Sheet1!#REF!,"AAAAAD2+/9w=")</f>
        <v>#REF!</v>
      </c>
      <c r="HN27" t="e">
        <f>AND(Sheet1!#REF!,"AAAAAD2+/90=")</f>
        <v>#REF!</v>
      </c>
      <c r="HO27">
        <f>IF(Sheet1!363:363,"AAAAAD2+/94=",0)</f>
        <v>0</v>
      </c>
      <c r="HP27" t="e">
        <f>AND(Sheet1!A363,"AAAAAD2+/98=")</f>
        <v>#VALUE!</v>
      </c>
      <c r="HQ27" t="e">
        <f>AND(Sheet1!B363,"AAAAAD2+/+A=")</f>
        <v>#VALUE!</v>
      </c>
      <c r="HR27" t="e">
        <f>AND(Sheet1!C363,"AAAAAD2+/+E=")</f>
        <v>#VALUE!</v>
      </c>
      <c r="HS27" t="e">
        <f>AND(Sheet1!D363,"AAAAAD2+/+I=")</f>
        <v>#VALUE!</v>
      </c>
      <c r="HT27" t="e">
        <f>AND(Sheet1!E363,"AAAAAD2+/+M=")</f>
        <v>#VALUE!</v>
      </c>
      <c r="HU27" t="e">
        <f>AND(Sheet1!F363,"AAAAAD2+/+Q=")</f>
        <v>#VALUE!</v>
      </c>
      <c r="HV27" t="e">
        <f>AND(Sheet1!G363,"AAAAAD2+/+U=")</f>
        <v>#VALUE!</v>
      </c>
      <c r="HW27" t="e">
        <f>AND(Sheet1!H363,"AAAAAD2+/+Y=")</f>
        <v>#VALUE!</v>
      </c>
      <c r="HX27" t="e">
        <f>AND(Sheet1!I363,"AAAAAD2+/+c=")</f>
        <v>#VALUE!</v>
      </c>
      <c r="HY27" t="e">
        <f>AND(Sheet1!J363,"AAAAAD2+/+g=")</f>
        <v>#VALUE!</v>
      </c>
      <c r="HZ27" t="e">
        <f>AND(Sheet1!K363,"AAAAAD2+/+k=")</f>
        <v>#VALUE!</v>
      </c>
      <c r="IA27" t="e">
        <f>AND(Sheet1!L363,"AAAAAD2+/+o=")</f>
        <v>#VALUE!</v>
      </c>
      <c r="IB27" t="e">
        <f>AND(Sheet1!M363,"AAAAAD2+/+s=")</f>
        <v>#VALUE!</v>
      </c>
      <c r="IC27" t="e">
        <f>AND(Sheet1!N363,"AAAAAD2+/+w=")</f>
        <v>#VALUE!</v>
      </c>
      <c r="ID27" t="e">
        <f>AND(Sheet1!#REF!,"AAAAAD2+/+0=")</f>
        <v>#REF!</v>
      </c>
      <c r="IE27" t="e">
        <f>AND(Sheet1!#REF!,"AAAAAD2+/+4=")</f>
        <v>#REF!</v>
      </c>
      <c r="IF27" t="e">
        <f>AND(Sheet1!#REF!,"AAAAAD2+/+8=")</f>
        <v>#REF!</v>
      </c>
      <c r="IG27" t="e">
        <f>AND(Sheet1!#REF!,"AAAAAD2+//A=")</f>
        <v>#REF!</v>
      </c>
      <c r="IH27">
        <f>IF(Sheet1!364:364,"AAAAAD2+//E=",0)</f>
        <v>0</v>
      </c>
      <c r="II27" t="e">
        <f>AND(Sheet1!A364,"AAAAAD2+//I=")</f>
        <v>#VALUE!</v>
      </c>
      <c r="IJ27" t="e">
        <f>AND(Sheet1!B364,"AAAAAD2+//M=")</f>
        <v>#VALUE!</v>
      </c>
      <c r="IK27" t="e">
        <f>AND(Sheet1!C364,"AAAAAD2+//Q=")</f>
        <v>#VALUE!</v>
      </c>
      <c r="IL27" t="e">
        <f>AND(Sheet1!D364,"AAAAAD2+//U=")</f>
        <v>#VALUE!</v>
      </c>
      <c r="IM27" t="e">
        <f>AND(Sheet1!E364,"AAAAAD2+//Y=")</f>
        <v>#VALUE!</v>
      </c>
      <c r="IN27" t="e">
        <f>AND(Sheet1!F364,"AAAAAD2+//c=")</f>
        <v>#VALUE!</v>
      </c>
      <c r="IO27" t="e">
        <f>AND(Sheet1!G364,"AAAAAD2+//g=")</f>
        <v>#VALUE!</v>
      </c>
      <c r="IP27" t="e">
        <f>AND(Sheet1!H364,"AAAAAD2+//k=")</f>
        <v>#VALUE!</v>
      </c>
      <c r="IQ27" t="e">
        <f>AND(Sheet1!I364,"AAAAAD2+//o=")</f>
        <v>#VALUE!</v>
      </c>
      <c r="IR27" t="e">
        <f>AND(Sheet1!J364,"AAAAAD2+//s=")</f>
        <v>#VALUE!</v>
      </c>
      <c r="IS27" t="e">
        <f>AND(Sheet1!K364,"AAAAAD2+//w=")</f>
        <v>#VALUE!</v>
      </c>
      <c r="IT27" t="e">
        <f>AND(Sheet1!L364,"AAAAAD2+//0=")</f>
        <v>#VALUE!</v>
      </c>
      <c r="IU27" t="e">
        <f>AND(Sheet1!M364,"AAAAAD2+//4=")</f>
        <v>#VALUE!</v>
      </c>
      <c r="IV27" t="e">
        <f>AND(Sheet1!N364,"AAAAAD2+//8=")</f>
        <v>#VALUE!</v>
      </c>
    </row>
    <row r="28" spans="1:256" x14ac:dyDescent="0.2">
      <c r="A28" t="e">
        <f>AND(Sheet1!#REF!,"AAAAAGvuvwA=")</f>
        <v>#REF!</v>
      </c>
      <c r="B28" t="e">
        <f>AND(Sheet1!#REF!,"AAAAAGvuvwE=")</f>
        <v>#REF!</v>
      </c>
      <c r="C28" t="e">
        <f>AND(Sheet1!#REF!,"AAAAAGvuvwI=")</f>
        <v>#REF!</v>
      </c>
      <c r="D28" t="e">
        <f>AND(Sheet1!#REF!,"AAAAAGvuvwM=")</f>
        <v>#REF!</v>
      </c>
      <c r="E28" t="e">
        <f>IF(Sheet1!365:365,"AAAAAGvuvwQ=",0)</f>
        <v>#VALUE!</v>
      </c>
      <c r="F28" t="e">
        <f>AND(Sheet1!A365,"AAAAAGvuvwU=")</f>
        <v>#VALUE!</v>
      </c>
      <c r="G28" t="e">
        <f>AND(Sheet1!B365,"AAAAAGvuvwY=")</f>
        <v>#VALUE!</v>
      </c>
      <c r="H28" t="e">
        <f>AND(Sheet1!C365,"AAAAAGvuvwc=")</f>
        <v>#VALUE!</v>
      </c>
      <c r="I28" t="e">
        <f>AND(Sheet1!D365,"AAAAAGvuvwg=")</f>
        <v>#VALUE!</v>
      </c>
      <c r="J28" t="e">
        <f>AND(Sheet1!E365,"AAAAAGvuvwk=")</f>
        <v>#VALUE!</v>
      </c>
      <c r="K28" t="e">
        <f>AND(Sheet1!F365,"AAAAAGvuvwo=")</f>
        <v>#VALUE!</v>
      </c>
      <c r="L28" t="e">
        <f>AND(Sheet1!G365,"AAAAAGvuvws=")</f>
        <v>#VALUE!</v>
      </c>
      <c r="M28" t="e">
        <f>AND(Sheet1!H365,"AAAAAGvuvww=")</f>
        <v>#VALUE!</v>
      </c>
      <c r="N28" t="e">
        <f>AND(Sheet1!I365,"AAAAAGvuvw0=")</f>
        <v>#VALUE!</v>
      </c>
      <c r="O28" t="e">
        <f>AND(Sheet1!J365,"AAAAAGvuvw4=")</f>
        <v>#VALUE!</v>
      </c>
      <c r="P28" t="e">
        <f>AND(Sheet1!K365,"AAAAAGvuvw8=")</f>
        <v>#VALUE!</v>
      </c>
      <c r="Q28" t="e">
        <f>AND(Sheet1!L365,"AAAAAGvuvxA=")</f>
        <v>#VALUE!</v>
      </c>
      <c r="R28" t="e">
        <f>AND(Sheet1!M365,"AAAAAGvuvxE=")</f>
        <v>#VALUE!</v>
      </c>
      <c r="S28" t="e">
        <f>AND(Sheet1!N365,"AAAAAGvuvxI=")</f>
        <v>#VALUE!</v>
      </c>
      <c r="T28" t="e">
        <f>AND(Sheet1!#REF!,"AAAAAGvuvxM=")</f>
        <v>#REF!</v>
      </c>
      <c r="U28" t="e">
        <f>AND(Sheet1!#REF!,"AAAAAGvuvxQ=")</f>
        <v>#REF!</v>
      </c>
      <c r="V28" t="e">
        <f>AND(Sheet1!#REF!,"AAAAAGvuvxU=")</f>
        <v>#REF!</v>
      </c>
      <c r="W28" t="e">
        <f>AND(Sheet1!#REF!,"AAAAAGvuvxY=")</f>
        <v>#REF!</v>
      </c>
      <c r="X28">
        <f>IF(Sheet1!366:366,"AAAAAGvuvxc=",0)</f>
        <v>0</v>
      </c>
      <c r="Y28" t="e">
        <f>AND(Sheet1!A366,"AAAAAGvuvxg=")</f>
        <v>#VALUE!</v>
      </c>
      <c r="Z28" t="e">
        <f>AND(Sheet1!B366,"AAAAAGvuvxk=")</f>
        <v>#VALUE!</v>
      </c>
      <c r="AA28" t="e">
        <f>AND(Sheet1!C366,"AAAAAGvuvxo=")</f>
        <v>#VALUE!</v>
      </c>
      <c r="AB28" t="e">
        <f>AND(Sheet1!D366,"AAAAAGvuvxs=")</f>
        <v>#VALUE!</v>
      </c>
      <c r="AC28" t="e">
        <f>AND(Sheet1!E366,"AAAAAGvuvxw=")</f>
        <v>#VALUE!</v>
      </c>
      <c r="AD28" t="e">
        <f>AND(Sheet1!F366,"AAAAAGvuvx0=")</f>
        <v>#VALUE!</v>
      </c>
      <c r="AE28" t="e">
        <f>AND(Sheet1!G366,"AAAAAGvuvx4=")</f>
        <v>#VALUE!</v>
      </c>
      <c r="AF28" t="e">
        <f>AND(Sheet1!H366,"AAAAAGvuvx8=")</f>
        <v>#VALUE!</v>
      </c>
      <c r="AG28" t="e">
        <f>AND(Sheet1!I366,"AAAAAGvuvyA=")</f>
        <v>#VALUE!</v>
      </c>
      <c r="AH28" t="e">
        <f>AND(Sheet1!J366,"AAAAAGvuvyE=")</f>
        <v>#VALUE!</v>
      </c>
      <c r="AI28" t="e">
        <f>AND(Sheet1!K366,"AAAAAGvuvyI=")</f>
        <v>#VALUE!</v>
      </c>
      <c r="AJ28" t="e">
        <f>AND(Sheet1!L366,"AAAAAGvuvyM=")</f>
        <v>#VALUE!</v>
      </c>
      <c r="AK28" t="e">
        <f>AND(Sheet1!M366,"AAAAAGvuvyQ=")</f>
        <v>#VALUE!</v>
      </c>
      <c r="AL28" t="e">
        <f>AND(Sheet1!N366,"AAAAAGvuvyU=")</f>
        <v>#VALUE!</v>
      </c>
      <c r="AM28" t="e">
        <f>AND(Sheet1!#REF!,"AAAAAGvuvyY=")</f>
        <v>#REF!</v>
      </c>
      <c r="AN28" t="e">
        <f>AND(Sheet1!#REF!,"AAAAAGvuvyc=")</f>
        <v>#REF!</v>
      </c>
      <c r="AO28" t="e">
        <f>AND(Sheet1!#REF!,"AAAAAGvuvyg=")</f>
        <v>#REF!</v>
      </c>
      <c r="AP28" t="e">
        <f>AND(Sheet1!#REF!,"AAAAAGvuvyk=")</f>
        <v>#REF!</v>
      </c>
      <c r="AQ28">
        <f>IF(Sheet1!367:367,"AAAAAGvuvyo=",0)</f>
        <v>0</v>
      </c>
      <c r="AR28" t="e">
        <f>AND(Sheet1!A367,"AAAAAGvuvys=")</f>
        <v>#VALUE!</v>
      </c>
      <c r="AS28" t="e">
        <f>AND(Sheet1!B367,"AAAAAGvuvyw=")</f>
        <v>#VALUE!</v>
      </c>
      <c r="AT28" t="e">
        <f>AND(Sheet1!C367,"AAAAAGvuvy0=")</f>
        <v>#VALUE!</v>
      </c>
      <c r="AU28" t="e">
        <f>AND(Sheet1!D367,"AAAAAGvuvy4=")</f>
        <v>#VALUE!</v>
      </c>
      <c r="AV28" t="e">
        <f>AND(Sheet1!E367,"AAAAAGvuvy8=")</f>
        <v>#VALUE!</v>
      </c>
      <c r="AW28" t="e">
        <f>AND(Sheet1!F367,"AAAAAGvuvzA=")</f>
        <v>#VALUE!</v>
      </c>
      <c r="AX28" t="e">
        <f>AND(Sheet1!G367,"AAAAAGvuvzE=")</f>
        <v>#VALUE!</v>
      </c>
      <c r="AY28" t="e">
        <f>AND(Sheet1!H367,"AAAAAGvuvzI=")</f>
        <v>#VALUE!</v>
      </c>
      <c r="AZ28" t="e">
        <f>AND(Sheet1!I367,"AAAAAGvuvzM=")</f>
        <v>#VALUE!</v>
      </c>
      <c r="BA28" t="e">
        <f>AND(Sheet1!J367,"AAAAAGvuvzQ=")</f>
        <v>#VALUE!</v>
      </c>
      <c r="BB28" t="e">
        <f>AND(Sheet1!K367,"AAAAAGvuvzU=")</f>
        <v>#VALUE!</v>
      </c>
      <c r="BC28" t="e">
        <f>AND(Sheet1!L367,"AAAAAGvuvzY=")</f>
        <v>#VALUE!</v>
      </c>
      <c r="BD28" t="e">
        <f>AND(Sheet1!M367,"AAAAAGvuvzc=")</f>
        <v>#VALUE!</v>
      </c>
      <c r="BE28" t="e">
        <f>AND(Sheet1!N367,"AAAAAGvuvzg=")</f>
        <v>#VALUE!</v>
      </c>
      <c r="BF28" t="e">
        <f>AND(Sheet1!#REF!,"AAAAAGvuvzk=")</f>
        <v>#REF!</v>
      </c>
      <c r="BG28" t="e">
        <f>AND(Sheet1!#REF!,"AAAAAGvuvzo=")</f>
        <v>#REF!</v>
      </c>
      <c r="BH28" t="e">
        <f>AND(Sheet1!#REF!,"AAAAAGvuvzs=")</f>
        <v>#REF!</v>
      </c>
      <c r="BI28" t="e">
        <f>AND(Sheet1!#REF!,"AAAAAGvuvzw=")</f>
        <v>#REF!</v>
      </c>
      <c r="BJ28">
        <f>IF(Sheet1!368:368,"AAAAAGvuvz0=",0)</f>
        <v>0</v>
      </c>
      <c r="BK28" t="e">
        <f>AND(Sheet1!A368,"AAAAAGvuvz4=")</f>
        <v>#VALUE!</v>
      </c>
      <c r="BL28" t="e">
        <f>AND(Sheet1!B368,"AAAAAGvuvz8=")</f>
        <v>#VALUE!</v>
      </c>
      <c r="BM28" t="e">
        <f>AND(Sheet1!C368,"AAAAAGvuv0A=")</f>
        <v>#VALUE!</v>
      </c>
      <c r="BN28" t="e">
        <f>AND(Sheet1!D368,"AAAAAGvuv0E=")</f>
        <v>#VALUE!</v>
      </c>
      <c r="BO28" t="e">
        <f>AND(Sheet1!E368,"AAAAAGvuv0I=")</f>
        <v>#VALUE!</v>
      </c>
      <c r="BP28" t="e">
        <f>AND(Sheet1!F368,"AAAAAGvuv0M=")</f>
        <v>#VALUE!</v>
      </c>
      <c r="BQ28" t="e">
        <f>AND(Sheet1!G368,"AAAAAGvuv0Q=")</f>
        <v>#VALUE!</v>
      </c>
      <c r="BR28" t="e">
        <f>AND(Sheet1!H368,"AAAAAGvuv0U=")</f>
        <v>#VALUE!</v>
      </c>
      <c r="BS28" t="e">
        <f>AND(Sheet1!I368,"AAAAAGvuv0Y=")</f>
        <v>#VALUE!</v>
      </c>
      <c r="BT28" t="e">
        <f>AND(Sheet1!J368,"AAAAAGvuv0c=")</f>
        <v>#VALUE!</v>
      </c>
      <c r="BU28" t="e">
        <f>AND(Sheet1!K368,"AAAAAGvuv0g=")</f>
        <v>#VALUE!</v>
      </c>
      <c r="BV28" t="e">
        <f>AND(Sheet1!L368,"AAAAAGvuv0k=")</f>
        <v>#VALUE!</v>
      </c>
      <c r="BW28" t="e">
        <f>AND(Sheet1!M368,"AAAAAGvuv0o=")</f>
        <v>#VALUE!</v>
      </c>
      <c r="BX28" t="e">
        <f>AND(Sheet1!N368,"AAAAAGvuv0s=")</f>
        <v>#VALUE!</v>
      </c>
      <c r="BY28" t="e">
        <f>AND(Sheet1!#REF!,"AAAAAGvuv0w=")</f>
        <v>#REF!</v>
      </c>
      <c r="BZ28" t="e">
        <f>AND(Sheet1!#REF!,"AAAAAGvuv00=")</f>
        <v>#REF!</v>
      </c>
      <c r="CA28" t="e">
        <f>AND(Sheet1!#REF!,"AAAAAGvuv04=")</f>
        <v>#REF!</v>
      </c>
      <c r="CB28" t="e">
        <f>AND(Sheet1!#REF!,"AAAAAGvuv08=")</f>
        <v>#REF!</v>
      </c>
      <c r="CC28">
        <f>IF(Sheet1!369:369,"AAAAAGvuv1A=",0)</f>
        <v>0</v>
      </c>
      <c r="CD28" t="e">
        <f>AND(Sheet1!A369,"AAAAAGvuv1E=")</f>
        <v>#VALUE!</v>
      </c>
      <c r="CE28" t="e">
        <f>AND(Sheet1!B369,"AAAAAGvuv1I=")</f>
        <v>#VALUE!</v>
      </c>
      <c r="CF28" t="e">
        <f>AND(Sheet1!C369,"AAAAAGvuv1M=")</f>
        <v>#VALUE!</v>
      </c>
      <c r="CG28" t="e">
        <f>AND(Sheet1!D369,"AAAAAGvuv1Q=")</f>
        <v>#VALUE!</v>
      </c>
      <c r="CH28" t="e">
        <f>AND(Sheet1!E369,"AAAAAGvuv1U=")</f>
        <v>#VALUE!</v>
      </c>
      <c r="CI28" t="e">
        <f>AND(Sheet1!F369,"AAAAAGvuv1Y=")</f>
        <v>#VALUE!</v>
      </c>
      <c r="CJ28" t="e">
        <f>AND(Sheet1!G369,"AAAAAGvuv1c=")</f>
        <v>#VALUE!</v>
      </c>
      <c r="CK28" t="e">
        <f>AND(Sheet1!H369,"AAAAAGvuv1g=")</f>
        <v>#VALUE!</v>
      </c>
      <c r="CL28" t="e">
        <f>AND(Sheet1!I369,"AAAAAGvuv1k=")</f>
        <v>#VALUE!</v>
      </c>
      <c r="CM28" t="e">
        <f>AND(Sheet1!J369,"AAAAAGvuv1o=")</f>
        <v>#VALUE!</v>
      </c>
      <c r="CN28" t="e">
        <f>AND(Sheet1!K369,"AAAAAGvuv1s=")</f>
        <v>#VALUE!</v>
      </c>
      <c r="CO28" t="e">
        <f>AND(Sheet1!L369,"AAAAAGvuv1w=")</f>
        <v>#VALUE!</v>
      </c>
      <c r="CP28" t="e">
        <f>AND(Sheet1!M369,"AAAAAGvuv10=")</f>
        <v>#VALUE!</v>
      </c>
      <c r="CQ28" t="e">
        <f>AND(Sheet1!N369,"AAAAAGvuv14=")</f>
        <v>#VALUE!</v>
      </c>
      <c r="CR28" t="e">
        <f>AND(Sheet1!#REF!,"AAAAAGvuv18=")</f>
        <v>#REF!</v>
      </c>
      <c r="CS28" t="e">
        <f>AND(Sheet1!#REF!,"AAAAAGvuv2A=")</f>
        <v>#REF!</v>
      </c>
      <c r="CT28" t="e">
        <f>AND(Sheet1!#REF!,"AAAAAGvuv2E=")</f>
        <v>#REF!</v>
      </c>
      <c r="CU28" t="e">
        <f>AND(Sheet1!#REF!,"AAAAAGvuv2I=")</f>
        <v>#REF!</v>
      </c>
      <c r="CV28">
        <f>IF(Sheet1!370:370,"AAAAAGvuv2M=",0)</f>
        <v>0</v>
      </c>
      <c r="CW28" t="e">
        <f>AND(Sheet1!A370,"AAAAAGvuv2Q=")</f>
        <v>#VALUE!</v>
      </c>
      <c r="CX28" t="e">
        <f>AND(Sheet1!B370,"AAAAAGvuv2U=")</f>
        <v>#VALUE!</v>
      </c>
      <c r="CY28" t="e">
        <f>AND(Sheet1!C370,"AAAAAGvuv2Y=")</f>
        <v>#VALUE!</v>
      </c>
      <c r="CZ28" t="e">
        <f>AND(Sheet1!D370,"AAAAAGvuv2c=")</f>
        <v>#VALUE!</v>
      </c>
      <c r="DA28" t="e">
        <f>AND(Sheet1!E370,"AAAAAGvuv2g=")</f>
        <v>#VALUE!</v>
      </c>
      <c r="DB28" t="e">
        <f>AND(Sheet1!F370,"AAAAAGvuv2k=")</f>
        <v>#VALUE!</v>
      </c>
      <c r="DC28" t="e">
        <f>AND(Sheet1!G370,"AAAAAGvuv2o=")</f>
        <v>#VALUE!</v>
      </c>
      <c r="DD28" t="e">
        <f>AND(Sheet1!H370,"AAAAAGvuv2s=")</f>
        <v>#VALUE!</v>
      </c>
      <c r="DE28" t="e">
        <f>AND(Sheet1!I370,"AAAAAGvuv2w=")</f>
        <v>#VALUE!</v>
      </c>
      <c r="DF28" t="e">
        <f>AND(Sheet1!J370,"AAAAAGvuv20=")</f>
        <v>#VALUE!</v>
      </c>
      <c r="DG28" t="e">
        <f>AND(Sheet1!K370,"AAAAAGvuv24=")</f>
        <v>#VALUE!</v>
      </c>
      <c r="DH28" t="e">
        <f>AND(Sheet1!L370,"AAAAAGvuv28=")</f>
        <v>#VALUE!</v>
      </c>
      <c r="DI28" t="e">
        <f>AND(Sheet1!M370,"AAAAAGvuv3A=")</f>
        <v>#VALUE!</v>
      </c>
      <c r="DJ28" t="e">
        <f>AND(Sheet1!N370,"AAAAAGvuv3E=")</f>
        <v>#VALUE!</v>
      </c>
      <c r="DK28" t="e">
        <f>AND(Sheet1!#REF!,"AAAAAGvuv3I=")</f>
        <v>#REF!</v>
      </c>
      <c r="DL28" t="e">
        <f>AND(Sheet1!#REF!,"AAAAAGvuv3M=")</f>
        <v>#REF!</v>
      </c>
      <c r="DM28" t="e">
        <f>AND(Sheet1!#REF!,"AAAAAGvuv3Q=")</f>
        <v>#REF!</v>
      </c>
      <c r="DN28" t="e">
        <f>AND(Sheet1!#REF!,"AAAAAGvuv3U=")</f>
        <v>#REF!</v>
      </c>
      <c r="DO28">
        <f>IF(Sheet1!371:371,"AAAAAGvuv3Y=",0)</f>
        <v>0</v>
      </c>
      <c r="DP28" t="e">
        <f>AND(Sheet1!A371,"AAAAAGvuv3c=")</f>
        <v>#VALUE!</v>
      </c>
      <c r="DQ28" t="e">
        <f>AND(Sheet1!B371,"AAAAAGvuv3g=")</f>
        <v>#VALUE!</v>
      </c>
      <c r="DR28" t="e">
        <f>AND(Sheet1!C371,"AAAAAGvuv3k=")</f>
        <v>#VALUE!</v>
      </c>
      <c r="DS28" t="e">
        <f>AND(Sheet1!D371,"AAAAAGvuv3o=")</f>
        <v>#VALUE!</v>
      </c>
      <c r="DT28" t="e">
        <f>AND(Sheet1!E371,"AAAAAGvuv3s=")</f>
        <v>#VALUE!</v>
      </c>
      <c r="DU28" t="e">
        <f>AND(Sheet1!F371,"AAAAAGvuv3w=")</f>
        <v>#VALUE!</v>
      </c>
      <c r="DV28" t="e">
        <f>AND(Sheet1!G371,"AAAAAGvuv30=")</f>
        <v>#VALUE!</v>
      </c>
      <c r="DW28" t="e">
        <f>AND(Sheet1!H371,"AAAAAGvuv34=")</f>
        <v>#VALUE!</v>
      </c>
      <c r="DX28" t="e">
        <f>AND(Sheet1!I371,"AAAAAGvuv38=")</f>
        <v>#VALUE!</v>
      </c>
      <c r="DY28" t="e">
        <f>AND(Sheet1!J371,"AAAAAGvuv4A=")</f>
        <v>#VALUE!</v>
      </c>
      <c r="DZ28" t="e">
        <f>AND(Sheet1!K371,"AAAAAGvuv4E=")</f>
        <v>#VALUE!</v>
      </c>
      <c r="EA28" t="e">
        <f>AND(Sheet1!L371,"AAAAAGvuv4I=")</f>
        <v>#VALUE!</v>
      </c>
      <c r="EB28" t="e">
        <f>AND(Sheet1!M371,"AAAAAGvuv4M=")</f>
        <v>#VALUE!</v>
      </c>
      <c r="EC28" t="e">
        <f>AND(Sheet1!N371,"AAAAAGvuv4Q=")</f>
        <v>#VALUE!</v>
      </c>
      <c r="ED28" t="e">
        <f>AND(Sheet1!#REF!,"AAAAAGvuv4U=")</f>
        <v>#REF!</v>
      </c>
      <c r="EE28" t="e">
        <f>AND(Sheet1!#REF!,"AAAAAGvuv4Y=")</f>
        <v>#REF!</v>
      </c>
      <c r="EF28" t="e">
        <f>AND(Sheet1!#REF!,"AAAAAGvuv4c=")</f>
        <v>#REF!</v>
      </c>
      <c r="EG28" t="e">
        <f>AND(Sheet1!#REF!,"AAAAAGvuv4g=")</f>
        <v>#REF!</v>
      </c>
      <c r="EH28">
        <f>IF(Sheet1!372:372,"AAAAAGvuv4k=",0)</f>
        <v>0</v>
      </c>
      <c r="EI28" t="e">
        <f>AND(Sheet1!A372,"AAAAAGvuv4o=")</f>
        <v>#VALUE!</v>
      </c>
      <c r="EJ28" t="e">
        <f>AND(Sheet1!B372,"AAAAAGvuv4s=")</f>
        <v>#VALUE!</v>
      </c>
      <c r="EK28" t="e">
        <f>AND(Sheet1!C372,"AAAAAGvuv4w=")</f>
        <v>#VALUE!</v>
      </c>
      <c r="EL28" t="e">
        <f>AND(Sheet1!D372,"AAAAAGvuv40=")</f>
        <v>#VALUE!</v>
      </c>
      <c r="EM28" t="e">
        <f>AND(Sheet1!E372,"AAAAAGvuv44=")</f>
        <v>#VALUE!</v>
      </c>
      <c r="EN28" t="e">
        <f>AND(Sheet1!F372,"AAAAAGvuv48=")</f>
        <v>#VALUE!</v>
      </c>
      <c r="EO28" t="e">
        <f>AND(Sheet1!G372,"AAAAAGvuv5A=")</f>
        <v>#VALUE!</v>
      </c>
      <c r="EP28" t="e">
        <f>AND(Sheet1!H372,"AAAAAGvuv5E=")</f>
        <v>#VALUE!</v>
      </c>
      <c r="EQ28" t="e">
        <f>AND(Sheet1!I372,"AAAAAGvuv5I=")</f>
        <v>#VALUE!</v>
      </c>
      <c r="ER28" t="e">
        <f>AND(Sheet1!J372,"AAAAAGvuv5M=")</f>
        <v>#VALUE!</v>
      </c>
      <c r="ES28" t="e">
        <f>AND(Sheet1!K372,"AAAAAGvuv5Q=")</f>
        <v>#VALUE!</v>
      </c>
      <c r="ET28" t="e">
        <f>AND(Sheet1!L372,"AAAAAGvuv5U=")</f>
        <v>#VALUE!</v>
      </c>
      <c r="EU28" t="e">
        <f>AND(Sheet1!M372,"AAAAAGvuv5Y=")</f>
        <v>#VALUE!</v>
      </c>
      <c r="EV28" t="e">
        <f>AND(Sheet1!N372,"AAAAAGvuv5c=")</f>
        <v>#VALUE!</v>
      </c>
      <c r="EW28" t="e">
        <f>AND(Sheet1!#REF!,"AAAAAGvuv5g=")</f>
        <v>#REF!</v>
      </c>
      <c r="EX28" t="e">
        <f>AND(Sheet1!#REF!,"AAAAAGvuv5k=")</f>
        <v>#REF!</v>
      </c>
      <c r="EY28" t="e">
        <f>AND(Sheet1!#REF!,"AAAAAGvuv5o=")</f>
        <v>#REF!</v>
      </c>
      <c r="EZ28" t="e">
        <f>AND(Sheet1!#REF!,"AAAAAGvuv5s=")</f>
        <v>#REF!</v>
      </c>
      <c r="FA28">
        <f>IF(Sheet1!373:373,"AAAAAGvuv5w=",0)</f>
        <v>0</v>
      </c>
      <c r="FB28" t="e">
        <f>AND(Sheet1!A373,"AAAAAGvuv50=")</f>
        <v>#VALUE!</v>
      </c>
      <c r="FC28" t="e">
        <f>AND(Sheet1!B373,"AAAAAGvuv54=")</f>
        <v>#VALUE!</v>
      </c>
      <c r="FD28" t="e">
        <f>AND(Sheet1!C373,"AAAAAGvuv58=")</f>
        <v>#VALUE!</v>
      </c>
      <c r="FE28" t="e">
        <f>AND(Sheet1!D373,"AAAAAGvuv6A=")</f>
        <v>#VALUE!</v>
      </c>
      <c r="FF28" t="e">
        <f>AND(Sheet1!E373,"AAAAAGvuv6E=")</f>
        <v>#VALUE!</v>
      </c>
      <c r="FG28" t="e">
        <f>AND(Sheet1!F373,"AAAAAGvuv6I=")</f>
        <v>#VALUE!</v>
      </c>
      <c r="FH28" t="e">
        <f>AND(Sheet1!G373,"AAAAAGvuv6M=")</f>
        <v>#VALUE!</v>
      </c>
      <c r="FI28" t="e">
        <f>AND(Sheet1!H373,"AAAAAGvuv6Q=")</f>
        <v>#VALUE!</v>
      </c>
      <c r="FJ28" t="e">
        <f>AND(Sheet1!I373,"AAAAAGvuv6U=")</f>
        <v>#VALUE!</v>
      </c>
      <c r="FK28" t="e">
        <f>AND(Sheet1!J373,"AAAAAGvuv6Y=")</f>
        <v>#VALUE!</v>
      </c>
      <c r="FL28" t="e">
        <f>AND(Sheet1!K373,"AAAAAGvuv6c=")</f>
        <v>#VALUE!</v>
      </c>
      <c r="FM28" t="e">
        <f>AND(Sheet1!L373,"AAAAAGvuv6g=")</f>
        <v>#VALUE!</v>
      </c>
      <c r="FN28" t="e">
        <f>AND(Sheet1!M373,"AAAAAGvuv6k=")</f>
        <v>#VALUE!</v>
      </c>
      <c r="FO28" t="e">
        <f>AND(Sheet1!N373,"AAAAAGvuv6o=")</f>
        <v>#VALUE!</v>
      </c>
      <c r="FP28" t="e">
        <f>AND(Sheet1!#REF!,"AAAAAGvuv6s=")</f>
        <v>#REF!</v>
      </c>
      <c r="FQ28" t="e">
        <f>AND(Sheet1!#REF!,"AAAAAGvuv6w=")</f>
        <v>#REF!</v>
      </c>
      <c r="FR28" t="e">
        <f>AND(Sheet1!#REF!,"AAAAAGvuv60=")</f>
        <v>#REF!</v>
      </c>
      <c r="FS28" t="e">
        <f>AND(Sheet1!#REF!,"AAAAAGvuv64=")</f>
        <v>#REF!</v>
      </c>
      <c r="FT28">
        <f>IF(Sheet1!374:374,"AAAAAGvuv68=",0)</f>
        <v>0</v>
      </c>
      <c r="FU28" t="e">
        <f>AND(Sheet1!A374,"AAAAAGvuv7A=")</f>
        <v>#VALUE!</v>
      </c>
      <c r="FV28" t="e">
        <f>AND(Sheet1!B374,"AAAAAGvuv7E=")</f>
        <v>#VALUE!</v>
      </c>
      <c r="FW28" t="e">
        <f>AND(Sheet1!C374,"AAAAAGvuv7I=")</f>
        <v>#VALUE!</v>
      </c>
      <c r="FX28" t="e">
        <f>AND(Sheet1!D374,"AAAAAGvuv7M=")</f>
        <v>#VALUE!</v>
      </c>
      <c r="FY28" t="e">
        <f>AND(Sheet1!E374,"AAAAAGvuv7Q=")</f>
        <v>#VALUE!</v>
      </c>
      <c r="FZ28" t="e">
        <f>AND(Sheet1!F374,"AAAAAGvuv7U=")</f>
        <v>#VALUE!</v>
      </c>
      <c r="GA28" t="e">
        <f>AND(Sheet1!G374,"AAAAAGvuv7Y=")</f>
        <v>#VALUE!</v>
      </c>
      <c r="GB28" t="e">
        <f>AND(Sheet1!H374,"AAAAAGvuv7c=")</f>
        <v>#VALUE!</v>
      </c>
      <c r="GC28" t="e">
        <f>AND(Sheet1!I374,"AAAAAGvuv7g=")</f>
        <v>#VALUE!</v>
      </c>
      <c r="GD28" t="e">
        <f>AND(Sheet1!J374,"AAAAAGvuv7k=")</f>
        <v>#VALUE!</v>
      </c>
      <c r="GE28" t="e">
        <f>AND(Sheet1!K374,"AAAAAGvuv7o=")</f>
        <v>#VALUE!</v>
      </c>
      <c r="GF28" t="e">
        <f>AND(Sheet1!L374,"AAAAAGvuv7s=")</f>
        <v>#VALUE!</v>
      </c>
      <c r="GG28" t="e">
        <f>AND(Sheet1!M374,"AAAAAGvuv7w=")</f>
        <v>#VALUE!</v>
      </c>
      <c r="GH28" t="e">
        <f>AND(Sheet1!N374,"AAAAAGvuv70=")</f>
        <v>#VALUE!</v>
      </c>
      <c r="GI28" t="e">
        <f>AND(Sheet1!#REF!,"AAAAAGvuv74=")</f>
        <v>#REF!</v>
      </c>
      <c r="GJ28" t="e">
        <f>AND(Sheet1!#REF!,"AAAAAGvuv78=")</f>
        <v>#REF!</v>
      </c>
      <c r="GK28" t="e">
        <f>AND(Sheet1!#REF!,"AAAAAGvuv8A=")</f>
        <v>#REF!</v>
      </c>
      <c r="GL28" t="e">
        <f>AND(Sheet1!#REF!,"AAAAAGvuv8E=")</f>
        <v>#REF!</v>
      </c>
      <c r="GM28">
        <f>IF(Sheet1!375:375,"AAAAAGvuv8I=",0)</f>
        <v>0</v>
      </c>
      <c r="GN28" t="e">
        <f>AND(Sheet1!A375,"AAAAAGvuv8M=")</f>
        <v>#VALUE!</v>
      </c>
      <c r="GO28" t="e">
        <f>AND(Sheet1!B375,"AAAAAGvuv8Q=")</f>
        <v>#VALUE!</v>
      </c>
      <c r="GP28" t="e">
        <f>AND(Sheet1!C375,"AAAAAGvuv8U=")</f>
        <v>#VALUE!</v>
      </c>
      <c r="GQ28" t="e">
        <f>AND(Sheet1!D375,"AAAAAGvuv8Y=")</f>
        <v>#VALUE!</v>
      </c>
      <c r="GR28" t="e">
        <f>AND(Sheet1!E375,"AAAAAGvuv8c=")</f>
        <v>#VALUE!</v>
      </c>
      <c r="GS28" t="e">
        <f>AND(Sheet1!F375,"AAAAAGvuv8g=")</f>
        <v>#VALUE!</v>
      </c>
      <c r="GT28" t="e">
        <f>AND(Sheet1!G375,"AAAAAGvuv8k=")</f>
        <v>#VALUE!</v>
      </c>
      <c r="GU28" t="e">
        <f>AND(Sheet1!H375,"AAAAAGvuv8o=")</f>
        <v>#VALUE!</v>
      </c>
      <c r="GV28" t="e">
        <f>AND(Sheet1!I375,"AAAAAGvuv8s=")</f>
        <v>#VALUE!</v>
      </c>
      <c r="GW28" t="e">
        <f>AND(Sheet1!J375,"AAAAAGvuv8w=")</f>
        <v>#VALUE!</v>
      </c>
      <c r="GX28" t="e">
        <f>AND(Sheet1!K375,"AAAAAGvuv80=")</f>
        <v>#VALUE!</v>
      </c>
      <c r="GY28" t="e">
        <f>AND(Sheet1!L375,"AAAAAGvuv84=")</f>
        <v>#VALUE!</v>
      </c>
      <c r="GZ28" t="e">
        <f>AND(Sheet1!M375,"AAAAAGvuv88=")</f>
        <v>#VALUE!</v>
      </c>
      <c r="HA28" t="e">
        <f>AND(Sheet1!N375,"AAAAAGvuv9A=")</f>
        <v>#VALUE!</v>
      </c>
      <c r="HB28" t="e">
        <f>AND(Sheet1!#REF!,"AAAAAGvuv9E=")</f>
        <v>#REF!</v>
      </c>
      <c r="HC28" t="e">
        <f>AND(Sheet1!#REF!,"AAAAAGvuv9I=")</f>
        <v>#REF!</v>
      </c>
      <c r="HD28" t="e">
        <f>AND(Sheet1!#REF!,"AAAAAGvuv9M=")</f>
        <v>#REF!</v>
      </c>
      <c r="HE28" t="e">
        <f>AND(Sheet1!#REF!,"AAAAAGvuv9Q=")</f>
        <v>#REF!</v>
      </c>
      <c r="HF28">
        <f>IF(Sheet1!376:376,"AAAAAGvuv9U=",0)</f>
        <v>0</v>
      </c>
      <c r="HG28" t="e">
        <f>AND(Sheet1!A376,"AAAAAGvuv9Y=")</f>
        <v>#VALUE!</v>
      </c>
      <c r="HH28" t="e">
        <f>AND(Sheet1!B376,"AAAAAGvuv9c=")</f>
        <v>#VALUE!</v>
      </c>
      <c r="HI28" t="e">
        <f>AND(Sheet1!C376,"AAAAAGvuv9g=")</f>
        <v>#VALUE!</v>
      </c>
      <c r="HJ28" t="e">
        <f>AND(Sheet1!D376,"AAAAAGvuv9k=")</f>
        <v>#VALUE!</v>
      </c>
      <c r="HK28" t="e">
        <f>AND(Sheet1!E376,"AAAAAGvuv9o=")</f>
        <v>#VALUE!</v>
      </c>
      <c r="HL28" t="e">
        <f>AND(Sheet1!F376,"AAAAAGvuv9s=")</f>
        <v>#VALUE!</v>
      </c>
      <c r="HM28" t="e">
        <f>AND(Sheet1!G376,"AAAAAGvuv9w=")</f>
        <v>#VALUE!</v>
      </c>
      <c r="HN28" t="e">
        <f>AND(Sheet1!H376,"AAAAAGvuv90=")</f>
        <v>#VALUE!</v>
      </c>
      <c r="HO28" t="e">
        <f>AND(Sheet1!I376,"AAAAAGvuv94=")</f>
        <v>#VALUE!</v>
      </c>
      <c r="HP28" t="e">
        <f>AND(Sheet1!J376,"AAAAAGvuv98=")</f>
        <v>#VALUE!</v>
      </c>
      <c r="HQ28" t="e">
        <f>AND(Sheet1!K376,"AAAAAGvuv+A=")</f>
        <v>#VALUE!</v>
      </c>
      <c r="HR28" t="e">
        <f>AND(Sheet1!L376,"AAAAAGvuv+E=")</f>
        <v>#VALUE!</v>
      </c>
      <c r="HS28" t="e">
        <f>AND(Sheet1!M376,"AAAAAGvuv+I=")</f>
        <v>#VALUE!</v>
      </c>
      <c r="HT28" t="e">
        <f>AND(Sheet1!N376,"AAAAAGvuv+M=")</f>
        <v>#VALUE!</v>
      </c>
      <c r="HU28" t="e">
        <f>AND(Sheet1!#REF!,"AAAAAGvuv+Q=")</f>
        <v>#REF!</v>
      </c>
      <c r="HV28" t="e">
        <f>AND(Sheet1!#REF!,"AAAAAGvuv+U=")</f>
        <v>#REF!</v>
      </c>
      <c r="HW28" t="e">
        <f>AND(Sheet1!#REF!,"AAAAAGvuv+Y=")</f>
        <v>#REF!</v>
      </c>
      <c r="HX28" t="e">
        <f>AND(Sheet1!#REF!,"AAAAAGvuv+c=")</f>
        <v>#REF!</v>
      </c>
      <c r="HY28">
        <f>IF(Sheet1!377:377,"AAAAAGvuv+g=",0)</f>
        <v>0</v>
      </c>
      <c r="HZ28" t="e">
        <f>AND(Sheet1!A377,"AAAAAGvuv+k=")</f>
        <v>#VALUE!</v>
      </c>
      <c r="IA28" t="e">
        <f>AND(Sheet1!B377,"AAAAAGvuv+o=")</f>
        <v>#VALUE!</v>
      </c>
      <c r="IB28" t="e">
        <f>AND(Sheet1!C377,"AAAAAGvuv+s=")</f>
        <v>#VALUE!</v>
      </c>
      <c r="IC28" t="e">
        <f>AND(Sheet1!D377,"AAAAAGvuv+w=")</f>
        <v>#VALUE!</v>
      </c>
      <c r="ID28" t="e">
        <f>AND(Sheet1!E377,"AAAAAGvuv+0=")</f>
        <v>#VALUE!</v>
      </c>
      <c r="IE28" t="e">
        <f>AND(Sheet1!F377,"AAAAAGvuv+4=")</f>
        <v>#VALUE!</v>
      </c>
      <c r="IF28" t="e">
        <f>AND(Sheet1!G377,"AAAAAGvuv+8=")</f>
        <v>#VALUE!</v>
      </c>
      <c r="IG28" t="e">
        <f>AND(Sheet1!H377,"AAAAAGvuv/A=")</f>
        <v>#VALUE!</v>
      </c>
      <c r="IH28" t="e">
        <f>AND(Sheet1!I377,"AAAAAGvuv/E=")</f>
        <v>#VALUE!</v>
      </c>
      <c r="II28" t="e">
        <f>AND(Sheet1!J377,"AAAAAGvuv/I=")</f>
        <v>#VALUE!</v>
      </c>
      <c r="IJ28" t="e">
        <f>AND(Sheet1!K377,"AAAAAGvuv/M=")</f>
        <v>#VALUE!</v>
      </c>
      <c r="IK28" t="e">
        <f>AND(Sheet1!L377,"AAAAAGvuv/Q=")</f>
        <v>#VALUE!</v>
      </c>
      <c r="IL28" t="e">
        <f>AND(Sheet1!M377,"AAAAAGvuv/U=")</f>
        <v>#VALUE!</v>
      </c>
      <c r="IM28" t="e">
        <f>AND(Sheet1!N377,"AAAAAGvuv/Y=")</f>
        <v>#VALUE!</v>
      </c>
      <c r="IN28" t="e">
        <f>AND(Sheet1!#REF!,"AAAAAGvuv/c=")</f>
        <v>#REF!</v>
      </c>
      <c r="IO28" t="e">
        <f>AND(Sheet1!#REF!,"AAAAAGvuv/g=")</f>
        <v>#REF!</v>
      </c>
      <c r="IP28" t="e">
        <f>AND(Sheet1!#REF!,"AAAAAGvuv/k=")</f>
        <v>#REF!</v>
      </c>
      <c r="IQ28" t="e">
        <f>AND(Sheet1!#REF!,"AAAAAGvuv/o=")</f>
        <v>#REF!</v>
      </c>
      <c r="IR28">
        <f>IF(Sheet1!378:378,"AAAAAGvuv/s=",0)</f>
        <v>0</v>
      </c>
      <c r="IS28" t="e">
        <f>AND(Sheet1!A378,"AAAAAGvuv/w=")</f>
        <v>#VALUE!</v>
      </c>
      <c r="IT28" t="e">
        <f>AND(Sheet1!B378,"AAAAAGvuv/0=")</f>
        <v>#VALUE!</v>
      </c>
      <c r="IU28" t="e">
        <f>AND(Sheet1!C378,"AAAAAGvuv/4=")</f>
        <v>#VALUE!</v>
      </c>
      <c r="IV28" t="e">
        <f>AND(Sheet1!D378,"AAAAAGvuv/8=")</f>
        <v>#VALUE!</v>
      </c>
    </row>
    <row r="29" spans="1:256" x14ac:dyDescent="0.2">
      <c r="A29" t="e">
        <f>AND(Sheet1!E378,"AAAAAGf/3QA=")</f>
        <v>#VALUE!</v>
      </c>
      <c r="B29" t="e">
        <f>AND(Sheet1!F378,"AAAAAGf/3QE=")</f>
        <v>#VALUE!</v>
      </c>
      <c r="C29" t="e">
        <f>AND(Sheet1!G378,"AAAAAGf/3QI=")</f>
        <v>#VALUE!</v>
      </c>
      <c r="D29" t="e">
        <f>AND(Sheet1!H378,"AAAAAGf/3QM=")</f>
        <v>#VALUE!</v>
      </c>
      <c r="E29" t="e">
        <f>AND(Sheet1!I378,"AAAAAGf/3QQ=")</f>
        <v>#VALUE!</v>
      </c>
      <c r="F29" t="e">
        <f>AND(Sheet1!J378,"AAAAAGf/3QU=")</f>
        <v>#VALUE!</v>
      </c>
      <c r="G29" t="e">
        <f>AND(Sheet1!K378,"AAAAAGf/3QY=")</f>
        <v>#VALUE!</v>
      </c>
      <c r="H29" t="e">
        <f>AND(Sheet1!L378,"AAAAAGf/3Qc=")</f>
        <v>#VALUE!</v>
      </c>
      <c r="I29" t="e">
        <f>AND(Sheet1!M378,"AAAAAGf/3Qg=")</f>
        <v>#VALUE!</v>
      </c>
      <c r="J29" t="e">
        <f>AND(Sheet1!N378,"AAAAAGf/3Qk=")</f>
        <v>#VALUE!</v>
      </c>
      <c r="K29" t="e">
        <f>AND(Sheet1!#REF!,"AAAAAGf/3Qo=")</f>
        <v>#REF!</v>
      </c>
      <c r="L29" t="e">
        <f>AND(Sheet1!#REF!,"AAAAAGf/3Qs=")</f>
        <v>#REF!</v>
      </c>
      <c r="M29" t="e">
        <f>AND(Sheet1!#REF!,"AAAAAGf/3Qw=")</f>
        <v>#REF!</v>
      </c>
      <c r="N29" t="e">
        <f>AND(Sheet1!#REF!,"AAAAAGf/3Q0=")</f>
        <v>#REF!</v>
      </c>
      <c r="O29">
        <f>IF(Sheet1!379:379,"AAAAAGf/3Q4=",0)</f>
        <v>0</v>
      </c>
      <c r="P29" t="e">
        <f>AND(Sheet1!A379,"AAAAAGf/3Q8=")</f>
        <v>#VALUE!</v>
      </c>
      <c r="Q29" t="e">
        <f>AND(Sheet1!B379,"AAAAAGf/3RA=")</f>
        <v>#VALUE!</v>
      </c>
      <c r="R29" t="e">
        <f>AND(Sheet1!C379,"AAAAAGf/3RE=")</f>
        <v>#VALUE!</v>
      </c>
      <c r="S29" t="e">
        <f>AND(Sheet1!D379,"AAAAAGf/3RI=")</f>
        <v>#VALUE!</v>
      </c>
      <c r="T29" t="e">
        <f>AND(Sheet1!E379,"AAAAAGf/3RM=")</f>
        <v>#VALUE!</v>
      </c>
      <c r="U29" t="e">
        <f>AND(Sheet1!F379,"AAAAAGf/3RQ=")</f>
        <v>#VALUE!</v>
      </c>
      <c r="V29" t="e">
        <f>AND(Sheet1!G379,"AAAAAGf/3RU=")</f>
        <v>#VALUE!</v>
      </c>
      <c r="W29" t="e">
        <f>AND(Sheet1!H379,"AAAAAGf/3RY=")</f>
        <v>#VALUE!</v>
      </c>
      <c r="X29" t="e">
        <f>AND(Sheet1!I379,"AAAAAGf/3Rc=")</f>
        <v>#VALUE!</v>
      </c>
      <c r="Y29" t="e">
        <f>AND(Sheet1!J379,"AAAAAGf/3Rg=")</f>
        <v>#VALUE!</v>
      </c>
      <c r="Z29" t="e">
        <f>AND(Sheet1!K379,"AAAAAGf/3Rk=")</f>
        <v>#VALUE!</v>
      </c>
      <c r="AA29" t="e">
        <f>AND(Sheet1!L379,"AAAAAGf/3Ro=")</f>
        <v>#VALUE!</v>
      </c>
      <c r="AB29" t="e">
        <f>AND(Sheet1!M379,"AAAAAGf/3Rs=")</f>
        <v>#VALUE!</v>
      </c>
      <c r="AC29" t="e">
        <f>AND(Sheet1!N379,"AAAAAGf/3Rw=")</f>
        <v>#VALUE!</v>
      </c>
      <c r="AD29" t="e">
        <f>AND(Sheet1!#REF!,"AAAAAGf/3R0=")</f>
        <v>#REF!</v>
      </c>
      <c r="AE29" t="e">
        <f>AND(Sheet1!#REF!,"AAAAAGf/3R4=")</f>
        <v>#REF!</v>
      </c>
      <c r="AF29" t="e">
        <f>AND(Sheet1!#REF!,"AAAAAGf/3R8=")</f>
        <v>#REF!</v>
      </c>
      <c r="AG29" t="e">
        <f>AND(Sheet1!#REF!,"AAAAAGf/3SA=")</f>
        <v>#REF!</v>
      </c>
      <c r="AH29">
        <f>IF(Sheet1!380:380,"AAAAAGf/3SE=",0)</f>
        <v>0</v>
      </c>
      <c r="AI29" t="e">
        <f>AND(Sheet1!A380,"AAAAAGf/3SI=")</f>
        <v>#VALUE!</v>
      </c>
      <c r="AJ29" t="e">
        <f>AND(Sheet1!B380,"AAAAAGf/3SM=")</f>
        <v>#VALUE!</v>
      </c>
      <c r="AK29" t="e">
        <f>AND(Sheet1!C380,"AAAAAGf/3SQ=")</f>
        <v>#VALUE!</v>
      </c>
      <c r="AL29" t="e">
        <f>AND(Sheet1!D380,"AAAAAGf/3SU=")</f>
        <v>#VALUE!</v>
      </c>
      <c r="AM29" t="e">
        <f>AND(Sheet1!E380,"AAAAAGf/3SY=")</f>
        <v>#VALUE!</v>
      </c>
      <c r="AN29" t="e">
        <f>AND(Sheet1!F380,"AAAAAGf/3Sc=")</f>
        <v>#VALUE!</v>
      </c>
      <c r="AO29" t="e">
        <f>AND(Sheet1!G380,"AAAAAGf/3Sg=")</f>
        <v>#VALUE!</v>
      </c>
      <c r="AP29" t="e">
        <f>AND(Sheet1!H380,"AAAAAGf/3Sk=")</f>
        <v>#VALUE!</v>
      </c>
      <c r="AQ29" t="e">
        <f>AND(Sheet1!I380,"AAAAAGf/3So=")</f>
        <v>#VALUE!</v>
      </c>
      <c r="AR29" t="e">
        <f>AND(Sheet1!J380,"AAAAAGf/3Ss=")</f>
        <v>#VALUE!</v>
      </c>
      <c r="AS29" t="e">
        <f>AND(Sheet1!K380,"AAAAAGf/3Sw=")</f>
        <v>#VALUE!</v>
      </c>
      <c r="AT29" t="e">
        <f>AND(Sheet1!L380,"AAAAAGf/3S0=")</f>
        <v>#VALUE!</v>
      </c>
      <c r="AU29" t="e">
        <f>AND(Sheet1!M380,"AAAAAGf/3S4=")</f>
        <v>#VALUE!</v>
      </c>
      <c r="AV29" t="e">
        <f>AND(Sheet1!N380,"AAAAAGf/3S8=")</f>
        <v>#VALUE!</v>
      </c>
      <c r="AW29" t="e">
        <f>AND(Sheet1!#REF!,"AAAAAGf/3TA=")</f>
        <v>#REF!</v>
      </c>
      <c r="AX29" t="e">
        <f>AND(Sheet1!#REF!,"AAAAAGf/3TE=")</f>
        <v>#REF!</v>
      </c>
      <c r="AY29" t="e">
        <f>AND(Sheet1!#REF!,"AAAAAGf/3TI=")</f>
        <v>#REF!</v>
      </c>
      <c r="AZ29" t="e">
        <f>AND(Sheet1!#REF!,"AAAAAGf/3TM=")</f>
        <v>#REF!</v>
      </c>
      <c r="BA29">
        <f>IF(Sheet1!381:381,"AAAAAGf/3TQ=",0)</f>
        <v>0</v>
      </c>
      <c r="BB29" t="e">
        <f>AND(Sheet1!A381,"AAAAAGf/3TU=")</f>
        <v>#VALUE!</v>
      </c>
      <c r="BC29" t="e">
        <f>AND(Sheet1!B381,"AAAAAGf/3TY=")</f>
        <v>#VALUE!</v>
      </c>
      <c r="BD29" t="e">
        <f>AND(Sheet1!C381,"AAAAAGf/3Tc=")</f>
        <v>#VALUE!</v>
      </c>
      <c r="BE29" t="e">
        <f>AND(Sheet1!D381,"AAAAAGf/3Tg=")</f>
        <v>#VALUE!</v>
      </c>
      <c r="BF29" t="e">
        <f>AND(Sheet1!E381,"AAAAAGf/3Tk=")</f>
        <v>#VALUE!</v>
      </c>
      <c r="BG29" t="e">
        <f>AND(Sheet1!F381,"AAAAAGf/3To=")</f>
        <v>#VALUE!</v>
      </c>
      <c r="BH29" t="e">
        <f>AND(Sheet1!G381,"AAAAAGf/3Ts=")</f>
        <v>#VALUE!</v>
      </c>
      <c r="BI29" t="e">
        <f>AND(Sheet1!H381,"AAAAAGf/3Tw=")</f>
        <v>#VALUE!</v>
      </c>
      <c r="BJ29" t="e">
        <f>AND(Sheet1!I381,"AAAAAGf/3T0=")</f>
        <v>#VALUE!</v>
      </c>
      <c r="BK29" t="e">
        <f>AND(Sheet1!J381,"AAAAAGf/3T4=")</f>
        <v>#VALUE!</v>
      </c>
      <c r="BL29" t="e">
        <f>AND(Sheet1!K381,"AAAAAGf/3T8=")</f>
        <v>#VALUE!</v>
      </c>
      <c r="BM29" t="e">
        <f>AND(Sheet1!L381,"AAAAAGf/3UA=")</f>
        <v>#VALUE!</v>
      </c>
      <c r="BN29" t="e">
        <f>AND(Sheet1!M381,"AAAAAGf/3UE=")</f>
        <v>#VALUE!</v>
      </c>
      <c r="BO29" t="e">
        <f>AND(Sheet1!N381,"AAAAAGf/3UI=")</f>
        <v>#VALUE!</v>
      </c>
      <c r="BP29" t="e">
        <f>AND(Sheet1!#REF!,"AAAAAGf/3UM=")</f>
        <v>#REF!</v>
      </c>
      <c r="BQ29" t="e">
        <f>AND(Sheet1!#REF!,"AAAAAGf/3UQ=")</f>
        <v>#REF!</v>
      </c>
      <c r="BR29" t="e">
        <f>AND(Sheet1!#REF!,"AAAAAGf/3UU=")</f>
        <v>#REF!</v>
      </c>
      <c r="BS29" t="e">
        <f>AND(Sheet1!#REF!,"AAAAAGf/3UY=")</f>
        <v>#REF!</v>
      </c>
      <c r="BT29">
        <f>IF(Sheet1!382:382,"AAAAAGf/3Uc=",0)</f>
        <v>0</v>
      </c>
      <c r="BU29" t="e">
        <f>AND(Sheet1!A382,"AAAAAGf/3Ug=")</f>
        <v>#VALUE!</v>
      </c>
      <c r="BV29" t="e">
        <f>AND(Sheet1!B382,"AAAAAGf/3Uk=")</f>
        <v>#VALUE!</v>
      </c>
      <c r="BW29" t="e">
        <f>AND(Sheet1!C382,"AAAAAGf/3Uo=")</f>
        <v>#VALUE!</v>
      </c>
      <c r="BX29" t="e">
        <f>AND(Sheet1!D382,"AAAAAGf/3Us=")</f>
        <v>#VALUE!</v>
      </c>
      <c r="BY29" t="e">
        <f>AND(Sheet1!E382,"AAAAAGf/3Uw=")</f>
        <v>#VALUE!</v>
      </c>
      <c r="BZ29" t="e">
        <f>AND(Sheet1!F382,"AAAAAGf/3U0=")</f>
        <v>#VALUE!</v>
      </c>
      <c r="CA29" t="e">
        <f>AND(Sheet1!G382,"AAAAAGf/3U4=")</f>
        <v>#VALUE!</v>
      </c>
      <c r="CB29" t="e">
        <f>AND(Sheet1!H382,"AAAAAGf/3U8=")</f>
        <v>#VALUE!</v>
      </c>
      <c r="CC29" t="e">
        <f>AND(Sheet1!I382,"AAAAAGf/3VA=")</f>
        <v>#VALUE!</v>
      </c>
      <c r="CD29" t="e">
        <f>AND(Sheet1!J382,"AAAAAGf/3VE=")</f>
        <v>#VALUE!</v>
      </c>
      <c r="CE29" t="e">
        <f>AND(Sheet1!K382,"AAAAAGf/3VI=")</f>
        <v>#VALUE!</v>
      </c>
      <c r="CF29" t="e">
        <f>AND(Sheet1!L382,"AAAAAGf/3VM=")</f>
        <v>#VALUE!</v>
      </c>
      <c r="CG29" t="e">
        <f>AND(Sheet1!M382,"AAAAAGf/3VQ=")</f>
        <v>#VALUE!</v>
      </c>
      <c r="CH29" t="e">
        <f>AND(Sheet1!N382,"AAAAAGf/3VU=")</f>
        <v>#VALUE!</v>
      </c>
      <c r="CI29" t="e">
        <f>AND(Sheet1!#REF!,"AAAAAGf/3VY=")</f>
        <v>#REF!</v>
      </c>
      <c r="CJ29" t="e">
        <f>AND(Sheet1!#REF!,"AAAAAGf/3Vc=")</f>
        <v>#REF!</v>
      </c>
      <c r="CK29" t="e">
        <f>AND(Sheet1!#REF!,"AAAAAGf/3Vg=")</f>
        <v>#REF!</v>
      </c>
      <c r="CL29" t="e">
        <f>AND(Sheet1!#REF!,"AAAAAGf/3Vk=")</f>
        <v>#REF!</v>
      </c>
      <c r="CM29">
        <f>IF(Sheet1!383:383,"AAAAAGf/3Vo=",0)</f>
        <v>0</v>
      </c>
      <c r="CN29" t="e">
        <f>AND(Sheet1!A383,"AAAAAGf/3Vs=")</f>
        <v>#VALUE!</v>
      </c>
      <c r="CO29" t="e">
        <f>AND(Sheet1!B383,"AAAAAGf/3Vw=")</f>
        <v>#VALUE!</v>
      </c>
      <c r="CP29" t="e">
        <f>AND(Sheet1!C383,"AAAAAGf/3V0=")</f>
        <v>#VALUE!</v>
      </c>
      <c r="CQ29" t="e">
        <f>AND(Sheet1!D383,"AAAAAGf/3V4=")</f>
        <v>#VALUE!</v>
      </c>
      <c r="CR29" t="e">
        <f>AND(Sheet1!E383,"AAAAAGf/3V8=")</f>
        <v>#VALUE!</v>
      </c>
      <c r="CS29" t="e">
        <f>AND(Sheet1!F383,"AAAAAGf/3WA=")</f>
        <v>#VALUE!</v>
      </c>
      <c r="CT29" t="e">
        <f>AND(Sheet1!G383,"AAAAAGf/3WE=")</f>
        <v>#VALUE!</v>
      </c>
      <c r="CU29" t="e">
        <f>AND(Sheet1!H383,"AAAAAGf/3WI=")</f>
        <v>#VALUE!</v>
      </c>
      <c r="CV29" t="e">
        <f>AND(Sheet1!I383,"AAAAAGf/3WM=")</f>
        <v>#VALUE!</v>
      </c>
      <c r="CW29" t="e">
        <f>AND(Sheet1!J383,"AAAAAGf/3WQ=")</f>
        <v>#VALUE!</v>
      </c>
      <c r="CX29" t="e">
        <f>AND(Sheet1!K383,"AAAAAGf/3WU=")</f>
        <v>#VALUE!</v>
      </c>
      <c r="CY29" t="e">
        <f>AND(Sheet1!L383,"AAAAAGf/3WY=")</f>
        <v>#VALUE!</v>
      </c>
      <c r="CZ29" t="e">
        <f>AND(Sheet1!M383,"AAAAAGf/3Wc=")</f>
        <v>#VALUE!</v>
      </c>
      <c r="DA29" t="e">
        <f>AND(Sheet1!N383,"AAAAAGf/3Wg=")</f>
        <v>#VALUE!</v>
      </c>
      <c r="DB29" t="e">
        <f>AND(Sheet1!#REF!,"AAAAAGf/3Wk=")</f>
        <v>#REF!</v>
      </c>
      <c r="DC29" t="e">
        <f>AND(Sheet1!#REF!,"AAAAAGf/3Wo=")</f>
        <v>#REF!</v>
      </c>
      <c r="DD29" t="e">
        <f>AND(Sheet1!#REF!,"AAAAAGf/3Ws=")</f>
        <v>#REF!</v>
      </c>
      <c r="DE29" t="e">
        <f>AND(Sheet1!#REF!,"AAAAAGf/3Ww=")</f>
        <v>#REF!</v>
      </c>
      <c r="DF29">
        <f>IF(Sheet1!384:384,"AAAAAGf/3W0=",0)</f>
        <v>0</v>
      </c>
      <c r="DG29" t="e">
        <f>AND(Sheet1!A384,"AAAAAGf/3W4=")</f>
        <v>#VALUE!</v>
      </c>
      <c r="DH29" t="e">
        <f>AND(Sheet1!B384,"AAAAAGf/3W8=")</f>
        <v>#VALUE!</v>
      </c>
      <c r="DI29" t="e">
        <f>AND(Sheet1!C384,"AAAAAGf/3XA=")</f>
        <v>#VALUE!</v>
      </c>
      <c r="DJ29" t="e">
        <f>AND(Sheet1!D384,"AAAAAGf/3XE=")</f>
        <v>#VALUE!</v>
      </c>
      <c r="DK29" t="e">
        <f>AND(Sheet1!E384,"AAAAAGf/3XI=")</f>
        <v>#VALUE!</v>
      </c>
      <c r="DL29" t="e">
        <f>AND(Sheet1!F384,"AAAAAGf/3XM=")</f>
        <v>#VALUE!</v>
      </c>
      <c r="DM29" t="e">
        <f>AND(Sheet1!G384,"AAAAAGf/3XQ=")</f>
        <v>#VALUE!</v>
      </c>
      <c r="DN29" t="e">
        <f>AND(Sheet1!H384,"AAAAAGf/3XU=")</f>
        <v>#VALUE!</v>
      </c>
      <c r="DO29" t="e">
        <f>AND(Sheet1!I384,"AAAAAGf/3XY=")</f>
        <v>#VALUE!</v>
      </c>
      <c r="DP29" t="e">
        <f>AND(Sheet1!J384,"AAAAAGf/3Xc=")</f>
        <v>#VALUE!</v>
      </c>
      <c r="DQ29" t="e">
        <f>AND(Sheet1!K384,"AAAAAGf/3Xg=")</f>
        <v>#VALUE!</v>
      </c>
      <c r="DR29" t="e">
        <f>AND(Sheet1!L384,"AAAAAGf/3Xk=")</f>
        <v>#VALUE!</v>
      </c>
      <c r="DS29" t="e">
        <f>AND(Sheet1!M384,"AAAAAGf/3Xo=")</f>
        <v>#VALUE!</v>
      </c>
      <c r="DT29" t="e">
        <f>AND(Sheet1!N384,"AAAAAGf/3Xs=")</f>
        <v>#VALUE!</v>
      </c>
      <c r="DU29" t="e">
        <f>AND(Sheet1!#REF!,"AAAAAGf/3Xw=")</f>
        <v>#REF!</v>
      </c>
      <c r="DV29" t="e">
        <f>AND(Sheet1!#REF!,"AAAAAGf/3X0=")</f>
        <v>#REF!</v>
      </c>
      <c r="DW29" t="e">
        <f>AND(Sheet1!#REF!,"AAAAAGf/3X4=")</f>
        <v>#REF!</v>
      </c>
      <c r="DX29" t="e">
        <f>AND(Sheet1!#REF!,"AAAAAGf/3X8=")</f>
        <v>#REF!</v>
      </c>
      <c r="DY29">
        <f>IF(Sheet1!385:385,"AAAAAGf/3YA=",0)</f>
        <v>0</v>
      </c>
      <c r="DZ29" t="e">
        <f>AND(Sheet1!A385,"AAAAAGf/3YE=")</f>
        <v>#VALUE!</v>
      </c>
      <c r="EA29" t="e">
        <f>AND(Sheet1!B385,"AAAAAGf/3YI=")</f>
        <v>#VALUE!</v>
      </c>
      <c r="EB29" t="e">
        <f>AND(Sheet1!C385,"AAAAAGf/3YM=")</f>
        <v>#VALUE!</v>
      </c>
      <c r="EC29" t="e">
        <f>AND(Sheet1!D385,"AAAAAGf/3YQ=")</f>
        <v>#VALUE!</v>
      </c>
      <c r="ED29" t="e">
        <f>AND(Sheet1!E385,"AAAAAGf/3YU=")</f>
        <v>#VALUE!</v>
      </c>
      <c r="EE29" t="e">
        <f>AND(Sheet1!F385,"AAAAAGf/3YY=")</f>
        <v>#VALUE!</v>
      </c>
      <c r="EF29" t="e">
        <f>AND(Sheet1!G385,"AAAAAGf/3Yc=")</f>
        <v>#VALUE!</v>
      </c>
      <c r="EG29" t="e">
        <f>AND(Sheet1!H385,"AAAAAGf/3Yg=")</f>
        <v>#VALUE!</v>
      </c>
      <c r="EH29" t="e">
        <f>AND(Sheet1!I385,"AAAAAGf/3Yk=")</f>
        <v>#VALUE!</v>
      </c>
      <c r="EI29" t="e">
        <f>AND(Sheet1!J385,"AAAAAGf/3Yo=")</f>
        <v>#VALUE!</v>
      </c>
      <c r="EJ29" t="e">
        <f>AND(Sheet1!K385,"AAAAAGf/3Ys=")</f>
        <v>#VALUE!</v>
      </c>
      <c r="EK29" t="e">
        <f>AND(Sheet1!L385,"AAAAAGf/3Yw=")</f>
        <v>#VALUE!</v>
      </c>
      <c r="EL29" t="e">
        <f>AND(Sheet1!M385,"AAAAAGf/3Y0=")</f>
        <v>#VALUE!</v>
      </c>
      <c r="EM29" t="e">
        <f>AND(Sheet1!N385,"AAAAAGf/3Y4=")</f>
        <v>#VALUE!</v>
      </c>
      <c r="EN29" t="e">
        <f>AND(Sheet1!#REF!,"AAAAAGf/3Y8=")</f>
        <v>#REF!</v>
      </c>
      <c r="EO29" t="e">
        <f>AND(Sheet1!#REF!,"AAAAAGf/3ZA=")</f>
        <v>#REF!</v>
      </c>
      <c r="EP29" t="e">
        <f>AND(Sheet1!#REF!,"AAAAAGf/3ZE=")</f>
        <v>#REF!</v>
      </c>
      <c r="EQ29" t="e">
        <f>AND(Sheet1!#REF!,"AAAAAGf/3ZI=")</f>
        <v>#REF!</v>
      </c>
      <c r="ER29">
        <f>IF(Sheet1!386:386,"AAAAAGf/3ZM=",0)</f>
        <v>0</v>
      </c>
      <c r="ES29" t="e">
        <f>AND(Sheet1!A386,"AAAAAGf/3ZQ=")</f>
        <v>#VALUE!</v>
      </c>
      <c r="ET29" t="e">
        <f>AND(Sheet1!B386,"AAAAAGf/3ZU=")</f>
        <v>#VALUE!</v>
      </c>
      <c r="EU29" t="e">
        <f>AND(Sheet1!C386,"AAAAAGf/3ZY=")</f>
        <v>#VALUE!</v>
      </c>
      <c r="EV29" t="e">
        <f>AND(Sheet1!D386,"AAAAAGf/3Zc=")</f>
        <v>#VALUE!</v>
      </c>
      <c r="EW29" t="e">
        <f>AND(Sheet1!E386,"AAAAAGf/3Zg=")</f>
        <v>#VALUE!</v>
      </c>
      <c r="EX29" t="e">
        <f>AND(Sheet1!F386,"AAAAAGf/3Zk=")</f>
        <v>#VALUE!</v>
      </c>
      <c r="EY29" t="e">
        <f>AND(Sheet1!G386,"AAAAAGf/3Zo=")</f>
        <v>#VALUE!</v>
      </c>
      <c r="EZ29" t="e">
        <f>AND(Sheet1!H386,"AAAAAGf/3Zs=")</f>
        <v>#VALUE!</v>
      </c>
      <c r="FA29" t="e">
        <f>AND(Sheet1!I386,"AAAAAGf/3Zw=")</f>
        <v>#VALUE!</v>
      </c>
      <c r="FB29" t="e">
        <f>AND(Sheet1!J386,"AAAAAGf/3Z0=")</f>
        <v>#VALUE!</v>
      </c>
      <c r="FC29" t="e">
        <f>AND(Sheet1!K386,"AAAAAGf/3Z4=")</f>
        <v>#VALUE!</v>
      </c>
      <c r="FD29" t="e">
        <f>AND(Sheet1!L386,"AAAAAGf/3Z8=")</f>
        <v>#VALUE!</v>
      </c>
      <c r="FE29" t="e">
        <f>AND(Sheet1!M386,"AAAAAGf/3aA=")</f>
        <v>#VALUE!</v>
      </c>
      <c r="FF29" t="e">
        <f>AND(Sheet1!N386,"AAAAAGf/3aE=")</f>
        <v>#VALUE!</v>
      </c>
      <c r="FG29" t="e">
        <f>AND(Sheet1!#REF!,"AAAAAGf/3aI=")</f>
        <v>#REF!</v>
      </c>
      <c r="FH29" t="e">
        <f>AND(Sheet1!#REF!,"AAAAAGf/3aM=")</f>
        <v>#REF!</v>
      </c>
      <c r="FI29" t="e">
        <f>AND(Sheet1!#REF!,"AAAAAGf/3aQ=")</f>
        <v>#REF!</v>
      </c>
      <c r="FJ29" t="e">
        <f>AND(Sheet1!#REF!,"AAAAAGf/3aU=")</f>
        <v>#REF!</v>
      </c>
      <c r="FK29">
        <f>IF(Sheet1!387:387,"AAAAAGf/3aY=",0)</f>
        <v>0</v>
      </c>
      <c r="FL29" t="e">
        <f>AND(Sheet1!A387,"AAAAAGf/3ac=")</f>
        <v>#VALUE!</v>
      </c>
      <c r="FM29" t="e">
        <f>AND(Sheet1!B387,"AAAAAGf/3ag=")</f>
        <v>#VALUE!</v>
      </c>
      <c r="FN29" t="e">
        <f>AND(Sheet1!C387,"AAAAAGf/3ak=")</f>
        <v>#VALUE!</v>
      </c>
      <c r="FO29" t="e">
        <f>AND(Sheet1!D387,"AAAAAGf/3ao=")</f>
        <v>#VALUE!</v>
      </c>
      <c r="FP29" t="e">
        <f>AND(Sheet1!E387,"AAAAAGf/3as=")</f>
        <v>#VALUE!</v>
      </c>
      <c r="FQ29" t="e">
        <f>AND(Sheet1!F387,"AAAAAGf/3aw=")</f>
        <v>#VALUE!</v>
      </c>
      <c r="FR29" t="e">
        <f>AND(Sheet1!G387,"AAAAAGf/3a0=")</f>
        <v>#VALUE!</v>
      </c>
      <c r="FS29" t="e">
        <f>AND(Sheet1!H387,"AAAAAGf/3a4=")</f>
        <v>#VALUE!</v>
      </c>
      <c r="FT29" t="e">
        <f>AND(Sheet1!I387,"AAAAAGf/3a8=")</f>
        <v>#VALUE!</v>
      </c>
      <c r="FU29" t="e">
        <f>AND(Sheet1!J387,"AAAAAGf/3bA=")</f>
        <v>#VALUE!</v>
      </c>
      <c r="FV29" t="e">
        <f>AND(Sheet1!K387,"AAAAAGf/3bE=")</f>
        <v>#VALUE!</v>
      </c>
      <c r="FW29" t="e">
        <f>AND(Sheet1!L387,"AAAAAGf/3bI=")</f>
        <v>#VALUE!</v>
      </c>
      <c r="FX29" t="e">
        <f>AND(Sheet1!M387,"AAAAAGf/3bM=")</f>
        <v>#VALUE!</v>
      </c>
      <c r="FY29" t="e">
        <f>AND(Sheet1!N387,"AAAAAGf/3bQ=")</f>
        <v>#VALUE!</v>
      </c>
      <c r="FZ29" t="e">
        <f>AND(Sheet1!#REF!,"AAAAAGf/3bU=")</f>
        <v>#REF!</v>
      </c>
      <c r="GA29" t="e">
        <f>AND(Sheet1!#REF!,"AAAAAGf/3bY=")</f>
        <v>#REF!</v>
      </c>
      <c r="GB29" t="e">
        <f>AND(Sheet1!#REF!,"AAAAAGf/3bc=")</f>
        <v>#REF!</v>
      </c>
      <c r="GC29" t="e">
        <f>AND(Sheet1!#REF!,"AAAAAGf/3bg=")</f>
        <v>#REF!</v>
      </c>
      <c r="GD29">
        <f>IF(Sheet1!388:388,"AAAAAGf/3bk=",0)</f>
        <v>0</v>
      </c>
      <c r="GE29" t="e">
        <f>AND(Sheet1!A388,"AAAAAGf/3bo=")</f>
        <v>#VALUE!</v>
      </c>
      <c r="GF29" t="e">
        <f>AND(Sheet1!B388,"AAAAAGf/3bs=")</f>
        <v>#VALUE!</v>
      </c>
      <c r="GG29" t="e">
        <f>AND(Sheet1!C388,"AAAAAGf/3bw=")</f>
        <v>#VALUE!</v>
      </c>
      <c r="GH29" t="e">
        <f>AND(Sheet1!D388,"AAAAAGf/3b0=")</f>
        <v>#VALUE!</v>
      </c>
      <c r="GI29" t="e">
        <f>AND(Sheet1!E388,"AAAAAGf/3b4=")</f>
        <v>#VALUE!</v>
      </c>
      <c r="GJ29" t="e">
        <f>AND(Sheet1!F388,"AAAAAGf/3b8=")</f>
        <v>#VALUE!</v>
      </c>
      <c r="GK29" t="e">
        <f>AND(Sheet1!G388,"AAAAAGf/3cA=")</f>
        <v>#VALUE!</v>
      </c>
      <c r="GL29" t="e">
        <f>AND(Sheet1!H388,"AAAAAGf/3cE=")</f>
        <v>#VALUE!</v>
      </c>
      <c r="GM29" t="e">
        <f>AND(Sheet1!I388,"AAAAAGf/3cI=")</f>
        <v>#VALUE!</v>
      </c>
      <c r="GN29" t="e">
        <f>AND(Sheet1!J388,"AAAAAGf/3cM=")</f>
        <v>#VALUE!</v>
      </c>
      <c r="GO29" t="e">
        <f>AND(Sheet1!K388,"AAAAAGf/3cQ=")</f>
        <v>#VALUE!</v>
      </c>
      <c r="GP29" t="e">
        <f>AND(Sheet1!L388,"AAAAAGf/3cU=")</f>
        <v>#VALUE!</v>
      </c>
      <c r="GQ29" t="e">
        <f>AND(Sheet1!M388,"AAAAAGf/3cY=")</f>
        <v>#VALUE!</v>
      </c>
      <c r="GR29" t="e">
        <f>AND(Sheet1!N388,"AAAAAGf/3cc=")</f>
        <v>#VALUE!</v>
      </c>
      <c r="GS29" t="e">
        <f>AND(Sheet1!#REF!,"AAAAAGf/3cg=")</f>
        <v>#REF!</v>
      </c>
      <c r="GT29" t="e">
        <f>AND(Sheet1!#REF!,"AAAAAGf/3ck=")</f>
        <v>#REF!</v>
      </c>
      <c r="GU29" t="e">
        <f>AND(Sheet1!#REF!,"AAAAAGf/3co=")</f>
        <v>#REF!</v>
      </c>
      <c r="GV29" t="e">
        <f>AND(Sheet1!#REF!,"AAAAAGf/3cs=")</f>
        <v>#REF!</v>
      </c>
      <c r="GW29">
        <f>IF(Sheet1!389:389,"AAAAAGf/3cw=",0)</f>
        <v>0</v>
      </c>
      <c r="GX29" t="e">
        <f>AND(Sheet1!A389,"AAAAAGf/3c0=")</f>
        <v>#VALUE!</v>
      </c>
      <c r="GY29" t="e">
        <f>AND(Sheet1!B389,"AAAAAGf/3c4=")</f>
        <v>#VALUE!</v>
      </c>
      <c r="GZ29" t="e">
        <f>AND(Sheet1!C389,"AAAAAGf/3c8=")</f>
        <v>#VALUE!</v>
      </c>
      <c r="HA29" t="e">
        <f>AND(Sheet1!D389,"AAAAAGf/3dA=")</f>
        <v>#VALUE!</v>
      </c>
      <c r="HB29" t="e">
        <f>AND(Sheet1!E389,"AAAAAGf/3dE=")</f>
        <v>#VALUE!</v>
      </c>
      <c r="HC29" t="e">
        <f>AND(Sheet1!F389,"AAAAAGf/3dI=")</f>
        <v>#VALUE!</v>
      </c>
      <c r="HD29" t="e">
        <f>AND(Sheet1!G389,"AAAAAGf/3dM=")</f>
        <v>#VALUE!</v>
      </c>
      <c r="HE29" t="e">
        <f>AND(Sheet1!H389,"AAAAAGf/3dQ=")</f>
        <v>#VALUE!</v>
      </c>
      <c r="HF29" t="e">
        <f>AND(Sheet1!I389,"AAAAAGf/3dU=")</f>
        <v>#VALUE!</v>
      </c>
      <c r="HG29" t="e">
        <f>AND(Sheet1!J389,"AAAAAGf/3dY=")</f>
        <v>#VALUE!</v>
      </c>
      <c r="HH29" t="e">
        <f>AND(Sheet1!K389,"AAAAAGf/3dc=")</f>
        <v>#VALUE!</v>
      </c>
      <c r="HI29" t="e">
        <f>AND(Sheet1!L389,"AAAAAGf/3dg=")</f>
        <v>#VALUE!</v>
      </c>
      <c r="HJ29" t="e">
        <f>AND(Sheet1!M389,"AAAAAGf/3dk=")</f>
        <v>#VALUE!</v>
      </c>
      <c r="HK29" t="e">
        <f>AND(Sheet1!N389,"AAAAAGf/3do=")</f>
        <v>#VALUE!</v>
      </c>
      <c r="HL29" t="e">
        <f>AND(Sheet1!#REF!,"AAAAAGf/3ds=")</f>
        <v>#REF!</v>
      </c>
      <c r="HM29" t="e">
        <f>AND(Sheet1!#REF!,"AAAAAGf/3dw=")</f>
        <v>#REF!</v>
      </c>
      <c r="HN29" t="e">
        <f>AND(Sheet1!#REF!,"AAAAAGf/3d0=")</f>
        <v>#REF!</v>
      </c>
      <c r="HO29" t="e">
        <f>AND(Sheet1!#REF!,"AAAAAGf/3d4=")</f>
        <v>#REF!</v>
      </c>
      <c r="HP29">
        <f>IF(Sheet1!390:390,"AAAAAGf/3d8=",0)</f>
        <v>0</v>
      </c>
      <c r="HQ29" t="e">
        <f>AND(Sheet1!A390,"AAAAAGf/3eA=")</f>
        <v>#VALUE!</v>
      </c>
      <c r="HR29" t="e">
        <f>AND(Sheet1!B390,"AAAAAGf/3eE=")</f>
        <v>#VALUE!</v>
      </c>
      <c r="HS29" t="e">
        <f>AND(Sheet1!C390,"AAAAAGf/3eI=")</f>
        <v>#VALUE!</v>
      </c>
      <c r="HT29" t="e">
        <f>AND(Sheet1!D390,"AAAAAGf/3eM=")</f>
        <v>#VALUE!</v>
      </c>
      <c r="HU29" t="e">
        <f>AND(Sheet1!E390,"AAAAAGf/3eQ=")</f>
        <v>#VALUE!</v>
      </c>
      <c r="HV29" t="e">
        <f>AND(Sheet1!F390,"AAAAAGf/3eU=")</f>
        <v>#VALUE!</v>
      </c>
      <c r="HW29" t="e">
        <f>AND(Sheet1!G390,"AAAAAGf/3eY=")</f>
        <v>#VALUE!</v>
      </c>
      <c r="HX29" t="e">
        <f>AND(Sheet1!H390,"AAAAAGf/3ec=")</f>
        <v>#VALUE!</v>
      </c>
      <c r="HY29" t="e">
        <f>AND(Sheet1!I390,"AAAAAGf/3eg=")</f>
        <v>#VALUE!</v>
      </c>
      <c r="HZ29" t="e">
        <f>AND(Sheet1!J390,"AAAAAGf/3ek=")</f>
        <v>#VALUE!</v>
      </c>
      <c r="IA29" t="e">
        <f>AND(Sheet1!K390,"AAAAAGf/3eo=")</f>
        <v>#VALUE!</v>
      </c>
      <c r="IB29" t="e">
        <f>AND(Sheet1!L390,"AAAAAGf/3es=")</f>
        <v>#VALUE!</v>
      </c>
      <c r="IC29" t="e">
        <f>AND(Sheet1!M390,"AAAAAGf/3ew=")</f>
        <v>#VALUE!</v>
      </c>
      <c r="ID29" t="e">
        <f>AND(Sheet1!N390,"AAAAAGf/3e0=")</f>
        <v>#VALUE!</v>
      </c>
      <c r="IE29" t="e">
        <f>AND(Sheet1!#REF!,"AAAAAGf/3e4=")</f>
        <v>#REF!</v>
      </c>
      <c r="IF29" t="e">
        <f>AND(Sheet1!#REF!,"AAAAAGf/3e8=")</f>
        <v>#REF!</v>
      </c>
      <c r="IG29" t="e">
        <f>AND(Sheet1!#REF!,"AAAAAGf/3fA=")</f>
        <v>#REF!</v>
      </c>
      <c r="IH29" t="e">
        <f>AND(Sheet1!#REF!,"AAAAAGf/3fE=")</f>
        <v>#REF!</v>
      </c>
      <c r="II29">
        <f>IF(Sheet1!391:391,"AAAAAGf/3fI=",0)</f>
        <v>0</v>
      </c>
      <c r="IJ29" t="e">
        <f>AND(Sheet1!A391,"AAAAAGf/3fM=")</f>
        <v>#VALUE!</v>
      </c>
      <c r="IK29" t="e">
        <f>AND(Sheet1!B391,"AAAAAGf/3fQ=")</f>
        <v>#VALUE!</v>
      </c>
      <c r="IL29" t="e">
        <f>AND(Sheet1!C391,"AAAAAGf/3fU=")</f>
        <v>#VALUE!</v>
      </c>
      <c r="IM29" t="e">
        <f>AND(Sheet1!D391,"AAAAAGf/3fY=")</f>
        <v>#VALUE!</v>
      </c>
      <c r="IN29" t="e">
        <f>AND(Sheet1!E391,"AAAAAGf/3fc=")</f>
        <v>#VALUE!</v>
      </c>
      <c r="IO29" t="e">
        <f>AND(Sheet1!F391,"AAAAAGf/3fg=")</f>
        <v>#VALUE!</v>
      </c>
      <c r="IP29" t="e">
        <f>AND(Sheet1!G391,"AAAAAGf/3fk=")</f>
        <v>#VALUE!</v>
      </c>
      <c r="IQ29" t="e">
        <f>AND(Sheet1!H391,"AAAAAGf/3fo=")</f>
        <v>#VALUE!</v>
      </c>
      <c r="IR29" t="e">
        <f>AND(Sheet1!I391,"AAAAAGf/3fs=")</f>
        <v>#VALUE!</v>
      </c>
      <c r="IS29" t="e">
        <f>AND(Sheet1!J391,"AAAAAGf/3fw=")</f>
        <v>#VALUE!</v>
      </c>
      <c r="IT29" t="e">
        <f>AND(Sheet1!K391,"AAAAAGf/3f0=")</f>
        <v>#VALUE!</v>
      </c>
      <c r="IU29" t="e">
        <f>AND(Sheet1!L391,"AAAAAGf/3f4=")</f>
        <v>#VALUE!</v>
      </c>
      <c r="IV29" t="e">
        <f>AND(Sheet1!M391,"AAAAAGf/3f8=")</f>
        <v>#VALUE!</v>
      </c>
    </row>
    <row r="30" spans="1:256" x14ac:dyDescent="0.2">
      <c r="A30" t="e">
        <f>AND(Sheet1!N391,"AAAAAG1vXwA=")</f>
        <v>#VALUE!</v>
      </c>
      <c r="B30" t="e">
        <f>AND(Sheet1!#REF!,"AAAAAG1vXwE=")</f>
        <v>#REF!</v>
      </c>
      <c r="C30" t="e">
        <f>AND(Sheet1!#REF!,"AAAAAG1vXwI=")</f>
        <v>#REF!</v>
      </c>
      <c r="D30" t="e">
        <f>AND(Sheet1!#REF!,"AAAAAG1vXwM=")</f>
        <v>#REF!</v>
      </c>
      <c r="E30" t="e">
        <f>AND(Sheet1!#REF!,"AAAAAG1vXwQ=")</f>
        <v>#REF!</v>
      </c>
      <c r="F30" t="e">
        <f>IF(Sheet1!392:392,"AAAAAG1vXwU=",0)</f>
        <v>#VALUE!</v>
      </c>
      <c r="G30" t="e">
        <f>AND(Sheet1!A392,"AAAAAG1vXwY=")</f>
        <v>#VALUE!</v>
      </c>
      <c r="H30" t="e">
        <f>AND(Sheet1!B392,"AAAAAG1vXwc=")</f>
        <v>#VALUE!</v>
      </c>
      <c r="I30" t="e">
        <f>AND(Sheet1!C392,"AAAAAG1vXwg=")</f>
        <v>#VALUE!</v>
      </c>
      <c r="J30" t="e">
        <f>AND(Sheet1!D392,"AAAAAG1vXwk=")</f>
        <v>#VALUE!</v>
      </c>
      <c r="K30" t="e">
        <f>AND(Sheet1!E392,"AAAAAG1vXwo=")</f>
        <v>#VALUE!</v>
      </c>
      <c r="L30" t="e">
        <f>AND(Sheet1!F392,"AAAAAG1vXws=")</f>
        <v>#VALUE!</v>
      </c>
      <c r="M30" t="e">
        <f>AND(Sheet1!G392,"AAAAAG1vXww=")</f>
        <v>#VALUE!</v>
      </c>
      <c r="N30" t="e">
        <f>AND(Sheet1!H392,"AAAAAG1vXw0=")</f>
        <v>#VALUE!</v>
      </c>
      <c r="O30" t="e">
        <f>AND(Sheet1!I392,"AAAAAG1vXw4=")</f>
        <v>#VALUE!</v>
      </c>
      <c r="P30" t="e">
        <f>AND(Sheet1!J392,"AAAAAG1vXw8=")</f>
        <v>#VALUE!</v>
      </c>
      <c r="Q30" t="e">
        <f>AND(Sheet1!K392,"AAAAAG1vXxA=")</f>
        <v>#VALUE!</v>
      </c>
      <c r="R30" t="e">
        <f>AND(Sheet1!L392,"AAAAAG1vXxE=")</f>
        <v>#VALUE!</v>
      </c>
      <c r="S30" t="e">
        <f>AND(Sheet1!M392,"AAAAAG1vXxI=")</f>
        <v>#VALUE!</v>
      </c>
      <c r="T30" t="e">
        <f>AND(Sheet1!N392,"AAAAAG1vXxM=")</f>
        <v>#VALUE!</v>
      </c>
      <c r="U30" t="e">
        <f>AND(Sheet1!#REF!,"AAAAAG1vXxQ=")</f>
        <v>#REF!</v>
      </c>
      <c r="V30" t="e">
        <f>AND(Sheet1!#REF!,"AAAAAG1vXxU=")</f>
        <v>#REF!</v>
      </c>
      <c r="W30" t="e">
        <f>AND(Sheet1!#REF!,"AAAAAG1vXxY=")</f>
        <v>#REF!</v>
      </c>
      <c r="X30" t="e">
        <f>AND(Sheet1!#REF!,"AAAAAG1vXxc=")</f>
        <v>#REF!</v>
      </c>
      <c r="Y30">
        <f>IF(Sheet1!393:393,"AAAAAG1vXxg=",0)</f>
        <v>0</v>
      </c>
      <c r="Z30" t="e">
        <f>AND(Sheet1!A393,"AAAAAG1vXxk=")</f>
        <v>#VALUE!</v>
      </c>
      <c r="AA30" t="e">
        <f>AND(Sheet1!B393,"AAAAAG1vXxo=")</f>
        <v>#VALUE!</v>
      </c>
      <c r="AB30" t="e">
        <f>AND(Sheet1!C393,"AAAAAG1vXxs=")</f>
        <v>#VALUE!</v>
      </c>
      <c r="AC30" t="e">
        <f>AND(Sheet1!D393,"AAAAAG1vXxw=")</f>
        <v>#VALUE!</v>
      </c>
      <c r="AD30" t="e">
        <f>AND(Sheet1!E393,"AAAAAG1vXx0=")</f>
        <v>#VALUE!</v>
      </c>
      <c r="AE30" t="e">
        <f>AND(Sheet1!F393,"AAAAAG1vXx4=")</f>
        <v>#VALUE!</v>
      </c>
      <c r="AF30" t="e">
        <f>AND(Sheet1!G393,"AAAAAG1vXx8=")</f>
        <v>#VALUE!</v>
      </c>
      <c r="AG30" t="e">
        <f>AND(Sheet1!H393,"AAAAAG1vXyA=")</f>
        <v>#VALUE!</v>
      </c>
      <c r="AH30" t="e">
        <f>AND(Sheet1!I393,"AAAAAG1vXyE=")</f>
        <v>#VALUE!</v>
      </c>
      <c r="AI30" t="e">
        <f>AND(Sheet1!J393,"AAAAAG1vXyI=")</f>
        <v>#VALUE!</v>
      </c>
      <c r="AJ30" t="e">
        <f>AND(Sheet1!K393,"AAAAAG1vXyM=")</f>
        <v>#VALUE!</v>
      </c>
      <c r="AK30" t="e">
        <f>AND(Sheet1!L393,"AAAAAG1vXyQ=")</f>
        <v>#VALUE!</v>
      </c>
      <c r="AL30" t="e">
        <f>AND(Sheet1!M393,"AAAAAG1vXyU=")</f>
        <v>#VALUE!</v>
      </c>
      <c r="AM30" t="e">
        <f>AND(Sheet1!N393,"AAAAAG1vXyY=")</f>
        <v>#VALUE!</v>
      </c>
      <c r="AN30" t="e">
        <f>AND(Sheet1!#REF!,"AAAAAG1vXyc=")</f>
        <v>#REF!</v>
      </c>
      <c r="AO30" t="e">
        <f>AND(Sheet1!#REF!,"AAAAAG1vXyg=")</f>
        <v>#REF!</v>
      </c>
      <c r="AP30" t="e">
        <f>AND(Sheet1!#REF!,"AAAAAG1vXyk=")</f>
        <v>#REF!</v>
      </c>
      <c r="AQ30" t="e">
        <f>AND(Sheet1!#REF!,"AAAAAG1vXyo=")</f>
        <v>#REF!</v>
      </c>
      <c r="AR30">
        <f>IF(Sheet1!394:394,"AAAAAG1vXys=",0)</f>
        <v>0</v>
      </c>
      <c r="AS30" t="e">
        <f>AND(Sheet1!A394,"AAAAAG1vXyw=")</f>
        <v>#VALUE!</v>
      </c>
      <c r="AT30" t="e">
        <f>AND(Sheet1!B394,"AAAAAG1vXy0=")</f>
        <v>#VALUE!</v>
      </c>
      <c r="AU30" t="e">
        <f>AND(Sheet1!C394,"AAAAAG1vXy4=")</f>
        <v>#VALUE!</v>
      </c>
      <c r="AV30" t="e">
        <f>AND(Sheet1!D394,"AAAAAG1vXy8=")</f>
        <v>#VALUE!</v>
      </c>
      <c r="AW30" t="e">
        <f>AND(Sheet1!E394,"AAAAAG1vXzA=")</f>
        <v>#VALUE!</v>
      </c>
      <c r="AX30" t="e">
        <f>AND(Sheet1!F394,"AAAAAG1vXzE=")</f>
        <v>#VALUE!</v>
      </c>
      <c r="AY30" t="e">
        <f>AND(Sheet1!G394,"AAAAAG1vXzI=")</f>
        <v>#VALUE!</v>
      </c>
      <c r="AZ30" t="e">
        <f>AND(Sheet1!H394,"AAAAAG1vXzM=")</f>
        <v>#VALUE!</v>
      </c>
      <c r="BA30" t="e">
        <f>AND(Sheet1!I394,"AAAAAG1vXzQ=")</f>
        <v>#VALUE!</v>
      </c>
      <c r="BB30" t="e">
        <f>AND(Sheet1!J394,"AAAAAG1vXzU=")</f>
        <v>#VALUE!</v>
      </c>
      <c r="BC30" t="e">
        <f>AND(Sheet1!K394,"AAAAAG1vXzY=")</f>
        <v>#VALUE!</v>
      </c>
      <c r="BD30" t="e">
        <f>AND(Sheet1!L394,"AAAAAG1vXzc=")</f>
        <v>#VALUE!</v>
      </c>
      <c r="BE30" t="e">
        <f>AND(Sheet1!M394,"AAAAAG1vXzg=")</f>
        <v>#VALUE!</v>
      </c>
      <c r="BF30" t="e">
        <f>AND(Sheet1!N394,"AAAAAG1vXzk=")</f>
        <v>#VALUE!</v>
      </c>
      <c r="BG30" t="e">
        <f>AND(Sheet1!#REF!,"AAAAAG1vXzo=")</f>
        <v>#REF!</v>
      </c>
      <c r="BH30" t="e">
        <f>AND(Sheet1!#REF!,"AAAAAG1vXzs=")</f>
        <v>#REF!</v>
      </c>
      <c r="BI30" t="e">
        <f>AND(Sheet1!#REF!,"AAAAAG1vXzw=")</f>
        <v>#REF!</v>
      </c>
      <c r="BJ30" t="e">
        <f>AND(Sheet1!#REF!,"AAAAAG1vXz0=")</f>
        <v>#REF!</v>
      </c>
      <c r="BK30">
        <f>IF(Sheet1!395:395,"AAAAAG1vXz4=",0)</f>
        <v>0</v>
      </c>
      <c r="BL30" t="e">
        <f>AND(Sheet1!A395,"AAAAAG1vXz8=")</f>
        <v>#VALUE!</v>
      </c>
      <c r="BM30" t="e">
        <f>AND(Sheet1!B395,"AAAAAG1vX0A=")</f>
        <v>#VALUE!</v>
      </c>
      <c r="BN30" t="e">
        <f>AND(Sheet1!C395,"AAAAAG1vX0E=")</f>
        <v>#VALUE!</v>
      </c>
      <c r="BO30" t="e">
        <f>AND(Sheet1!D395,"AAAAAG1vX0I=")</f>
        <v>#VALUE!</v>
      </c>
      <c r="BP30" t="e">
        <f>AND(Sheet1!E395,"AAAAAG1vX0M=")</f>
        <v>#VALUE!</v>
      </c>
      <c r="BQ30" t="e">
        <f>AND(Sheet1!F395,"AAAAAG1vX0Q=")</f>
        <v>#VALUE!</v>
      </c>
      <c r="BR30" t="e">
        <f>AND(Sheet1!G395,"AAAAAG1vX0U=")</f>
        <v>#VALUE!</v>
      </c>
      <c r="BS30" t="e">
        <f>AND(Sheet1!H395,"AAAAAG1vX0Y=")</f>
        <v>#VALUE!</v>
      </c>
      <c r="BT30" t="e">
        <f>AND(Sheet1!I395,"AAAAAG1vX0c=")</f>
        <v>#VALUE!</v>
      </c>
      <c r="BU30" t="e">
        <f>AND(Sheet1!J395,"AAAAAG1vX0g=")</f>
        <v>#VALUE!</v>
      </c>
      <c r="BV30" t="e">
        <f>AND(Sheet1!K395,"AAAAAG1vX0k=")</f>
        <v>#VALUE!</v>
      </c>
      <c r="BW30" t="e">
        <f>AND(Sheet1!L395,"AAAAAG1vX0o=")</f>
        <v>#VALUE!</v>
      </c>
      <c r="BX30" t="e">
        <f>AND(Sheet1!M395,"AAAAAG1vX0s=")</f>
        <v>#VALUE!</v>
      </c>
      <c r="BY30" t="e">
        <f>AND(Sheet1!N395,"AAAAAG1vX0w=")</f>
        <v>#VALUE!</v>
      </c>
      <c r="BZ30" t="e">
        <f>AND(Sheet1!#REF!,"AAAAAG1vX00=")</f>
        <v>#REF!</v>
      </c>
      <c r="CA30" t="e">
        <f>AND(Sheet1!#REF!,"AAAAAG1vX04=")</f>
        <v>#REF!</v>
      </c>
      <c r="CB30" t="e">
        <f>AND(Sheet1!#REF!,"AAAAAG1vX08=")</f>
        <v>#REF!</v>
      </c>
      <c r="CC30" t="e">
        <f>AND(Sheet1!#REF!,"AAAAAG1vX1A=")</f>
        <v>#REF!</v>
      </c>
      <c r="CD30">
        <f>IF(Sheet1!396:396,"AAAAAG1vX1E=",0)</f>
        <v>0</v>
      </c>
      <c r="CE30" t="e">
        <f>AND(Sheet1!A396,"AAAAAG1vX1I=")</f>
        <v>#VALUE!</v>
      </c>
      <c r="CF30" t="e">
        <f>AND(Sheet1!B396,"AAAAAG1vX1M=")</f>
        <v>#VALUE!</v>
      </c>
      <c r="CG30" t="e">
        <f>AND(Sheet1!C396,"AAAAAG1vX1Q=")</f>
        <v>#VALUE!</v>
      </c>
      <c r="CH30" t="e">
        <f>AND(Sheet1!D396,"AAAAAG1vX1U=")</f>
        <v>#VALUE!</v>
      </c>
      <c r="CI30" t="e">
        <f>AND(Sheet1!E396,"AAAAAG1vX1Y=")</f>
        <v>#VALUE!</v>
      </c>
      <c r="CJ30" t="e">
        <f>AND(Sheet1!F396,"AAAAAG1vX1c=")</f>
        <v>#VALUE!</v>
      </c>
      <c r="CK30" t="e">
        <f>AND(Sheet1!G396,"AAAAAG1vX1g=")</f>
        <v>#VALUE!</v>
      </c>
      <c r="CL30" t="e">
        <f>AND(Sheet1!H396,"AAAAAG1vX1k=")</f>
        <v>#VALUE!</v>
      </c>
      <c r="CM30" t="e">
        <f>AND(Sheet1!I396,"AAAAAG1vX1o=")</f>
        <v>#VALUE!</v>
      </c>
      <c r="CN30" t="e">
        <f>AND(Sheet1!J396,"AAAAAG1vX1s=")</f>
        <v>#VALUE!</v>
      </c>
      <c r="CO30" t="e">
        <f>AND(Sheet1!K396,"AAAAAG1vX1w=")</f>
        <v>#VALUE!</v>
      </c>
      <c r="CP30" t="e">
        <f>AND(Sheet1!L396,"AAAAAG1vX10=")</f>
        <v>#VALUE!</v>
      </c>
      <c r="CQ30" t="e">
        <f>AND(Sheet1!M396,"AAAAAG1vX14=")</f>
        <v>#VALUE!</v>
      </c>
      <c r="CR30" t="e">
        <f>AND(Sheet1!N396,"AAAAAG1vX18=")</f>
        <v>#VALUE!</v>
      </c>
      <c r="CS30" t="e">
        <f>AND(Sheet1!#REF!,"AAAAAG1vX2A=")</f>
        <v>#REF!</v>
      </c>
      <c r="CT30" t="e">
        <f>AND(Sheet1!#REF!,"AAAAAG1vX2E=")</f>
        <v>#REF!</v>
      </c>
      <c r="CU30" t="e">
        <f>AND(Sheet1!#REF!,"AAAAAG1vX2I=")</f>
        <v>#REF!</v>
      </c>
      <c r="CV30" t="e">
        <f>AND(Sheet1!#REF!,"AAAAAG1vX2M=")</f>
        <v>#REF!</v>
      </c>
      <c r="CW30">
        <f>IF(Sheet1!397:397,"AAAAAG1vX2Q=",0)</f>
        <v>0</v>
      </c>
      <c r="CX30" t="e">
        <f>AND(Sheet1!A397,"AAAAAG1vX2U=")</f>
        <v>#VALUE!</v>
      </c>
      <c r="CY30" t="e">
        <f>AND(Sheet1!B397,"AAAAAG1vX2Y=")</f>
        <v>#VALUE!</v>
      </c>
      <c r="CZ30" t="e">
        <f>AND(Sheet1!C397,"AAAAAG1vX2c=")</f>
        <v>#VALUE!</v>
      </c>
      <c r="DA30" t="e">
        <f>AND(Sheet1!D397,"AAAAAG1vX2g=")</f>
        <v>#VALUE!</v>
      </c>
      <c r="DB30" t="e">
        <f>AND(Sheet1!E397,"AAAAAG1vX2k=")</f>
        <v>#VALUE!</v>
      </c>
      <c r="DC30" t="e">
        <f>AND(Sheet1!F397,"AAAAAG1vX2o=")</f>
        <v>#VALUE!</v>
      </c>
      <c r="DD30" t="e">
        <f>AND(Sheet1!G397,"AAAAAG1vX2s=")</f>
        <v>#VALUE!</v>
      </c>
      <c r="DE30" t="e">
        <f>AND(Sheet1!H397,"AAAAAG1vX2w=")</f>
        <v>#VALUE!</v>
      </c>
      <c r="DF30" t="e">
        <f>AND(Sheet1!I397,"AAAAAG1vX20=")</f>
        <v>#VALUE!</v>
      </c>
      <c r="DG30" t="e">
        <f>AND(Sheet1!J397,"AAAAAG1vX24=")</f>
        <v>#VALUE!</v>
      </c>
      <c r="DH30" t="e">
        <f>AND(Sheet1!K397,"AAAAAG1vX28=")</f>
        <v>#VALUE!</v>
      </c>
      <c r="DI30" t="e">
        <f>AND(Sheet1!L397,"AAAAAG1vX3A=")</f>
        <v>#VALUE!</v>
      </c>
      <c r="DJ30" t="e">
        <f>AND(Sheet1!M397,"AAAAAG1vX3E=")</f>
        <v>#VALUE!</v>
      </c>
      <c r="DK30" t="e">
        <f>AND(Sheet1!N397,"AAAAAG1vX3I=")</f>
        <v>#VALUE!</v>
      </c>
      <c r="DL30" t="e">
        <f>AND(Sheet1!#REF!,"AAAAAG1vX3M=")</f>
        <v>#REF!</v>
      </c>
      <c r="DM30" t="e">
        <f>AND(Sheet1!#REF!,"AAAAAG1vX3Q=")</f>
        <v>#REF!</v>
      </c>
      <c r="DN30" t="e">
        <f>AND(Sheet1!#REF!,"AAAAAG1vX3U=")</f>
        <v>#REF!</v>
      </c>
      <c r="DO30" t="e">
        <f>AND(Sheet1!#REF!,"AAAAAG1vX3Y=")</f>
        <v>#REF!</v>
      </c>
      <c r="DP30">
        <f>IF(Sheet1!398:398,"AAAAAG1vX3c=",0)</f>
        <v>0</v>
      </c>
      <c r="DQ30" t="e">
        <f>AND(Sheet1!A398,"AAAAAG1vX3g=")</f>
        <v>#VALUE!</v>
      </c>
      <c r="DR30" t="e">
        <f>AND(Sheet1!B398,"AAAAAG1vX3k=")</f>
        <v>#VALUE!</v>
      </c>
      <c r="DS30" t="e">
        <f>AND(Sheet1!C398,"AAAAAG1vX3o=")</f>
        <v>#VALUE!</v>
      </c>
      <c r="DT30" t="e">
        <f>AND(Sheet1!D398,"AAAAAG1vX3s=")</f>
        <v>#VALUE!</v>
      </c>
      <c r="DU30" t="e">
        <f>AND(Sheet1!E398,"AAAAAG1vX3w=")</f>
        <v>#VALUE!</v>
      </c>
      <c r="DV30" t="e">
        <f>AND(Sheet1!F398,"AAAAAG1vX30=")</f>
        <v>#VALUE!</v>
      </c>
      <c r="DW30" t="e">
        <f>AND(Sheet1!G398,"AAAAAG1vX34=")</f>
        <v>#VALUE!</v>
      </c>
      <c r="DX30" t="e">
        <f>AND(Sheet1!H398,"AAAAAG1vX38=")</f>
        <v>#VALUE!</v>
      </c>
      <c r="DY30" t="e">
        <f>AND(Sheet1!I398,"AAAAAG1vX4A=")</f>
        <v>#VALUE!</v>
      </c>
      <c r="DZ30" t="e">
        <f>AND(Sheet1!J398,"AAAAAG1vX4E=")</f>
        <v>#VALUE!</v>
      </c>
      <c r="EA30" t="e">
        <f>AND(Sheet1!K398,"AAAAAG1vX4I=")</f>
        <v>#VALUE!</v>
      </c>
      <c r="EB30" t="e">
        <f>AND(Sheet1!L398,"AAAAAG1vX4M=")</f>
        <v>#VALUE!</v>
      </c>
      <c r="EC30" t="e">
        <f>AND(Sheet1!M398,"AAAAAG1vX4Q=")</f>
        <v>#VALUE!</v>
      </c>
      <c r="ED30" t="e">
        <f>AND(Sheet1!N398,"AAAAAG1vX4U=")</f>
        <v>#VALUE!</v>
      </c>
      <c r="EE30" t="e">
        <f>AND(Sheet1!#REF!,"AAAAAG1vX4Y=")</f>
        <v>#REF!</v>
      </c>
      <c r="EF30" t="e">
        <f>AND(Sheet1!#REF!,"AAAAAG1vX4c=")</f>
        <v>#REF!</v>
      </c>
      <c r="EG30" t="e">
        <f>AND(Sheet1!#REF!,"AAAAAG1vX4g=")</f>
        <v>#REF!</v>
      </c>
      <c r="EH30" t="e">
        <f>AND(Sheet1!#REF!,"AAAAAG1vX4k=")</f>
        <v>#REF!</v>
      </c>
      <c r="EI30">
        <f>IF(Sheet1!399:399,"AAAAAG1vX4o=",0)</f>
        <v>0</v>
      </c>
      <c r="EJ30" t="e">
        <f>AND(Sheet1!A399,"AAAAAG1vX4s=")</f>
        <v>#VALUE!</v>
      </c>
      <c r="EK30" t="e">
        <f>AND(Sheet1!B399,"AAAAAG1vX4w=")</f>
        <v>#VALUE!</v>
      </c>
      <c r="EL30" t="e">
        <f>AND(Sheet1!C399,"AAAAAG1vX40=")</f>
        <v>#VALUE!</v>
      </c>
      <c r="EM30" t="e">
        <f>AND(Sheet1!D399,"AAAAAG1vX44=")</f>
        <v>#VALUE!</v>
      </c>
      <c r="EN30" t="e">
        <f>AND(Sheet1!E399,"AAAAAG1vX48=")</f>
        <v>#VALUE!</v>
      </c>
      <c r="EO30" t="e">
        <f>AND(Sheet1!F399,"AAAAAG1vX5A=")</f>
        <v>#VALUE!</v>
      </c>
      <c r="EP30" t="e">
        <f>AND(Sheet1!G399,"AAAAAG1vX5E=")</f>
        <v>#VALUE!</v>
      </c>
      <c r="EQ30" t="e">
        <f>AND(Sheet1!H399,"AAAAAG1vX5I=")</f>
        <v>#VALUE!</v>
      </c>
      <c r="ER30" t="e">
        <f>AND(Sheet1!I399,"AAAAAG1vX5M=")</f>
        <v>#VALUE!</v>
      </c>
      <c r="ES30" t="e">
        <f>AND(Sheet1!J399,"AAAAAG1vX5Q=")</f>
        <v>#VALUE!</v>
      </c>
      <c r="ET30" t="e">
        <f>AND(Sheet1!K399,"AAAAAG1vX5U=")</f>
        <v>#VALUE!</v>
      </c>
      <c r="EU30" t="e">
        <f>AND(Sheet1!L399,"AAAAAG1vX5Y=")</f>
        <v>#VALUE!</v>
      </c>
      <c r="EV30" t="e">
        <f>AND(Sheet1!M399,"AAAAAG1vX5c=")</f>
        <v>#VALUE!</v>
      </c>
      <c r="EW30" t="e">
        <f>AND(Sheet1!N399,"AAAAAG1vX5g=")</f>
        <v>#VALUE!</v>
      </c>
      <c r="EX30" t="e">
        <f>AND(Sheet1!#REF!,"AAAAAG1vX5k=")</f>
        <v>#REF!</v>
      </c>
      <c r="EY30" t="e">
        <f>AND(Sheet1!#REF!,"AAAAAG1vX5o=")</f>
        <v>#REF!</v>
      </c>
      <c r="EZ30" t="e">
        <f>AND(Sheet1!#REF!,"AAAAAG1vX5s=")</f>
        <v>#REF!</v>
      </c>
      <c r="FA30" t="e">
        <f>AND(Sheet1!#REF!,"AAAAAG1vX5w=")</f>
        <v>#REF!</v>
      </c>
      <c r="FB30">
        <f>IF(Sheet1!400:400,"AAAAAG1vX50=",0)</f>
        <v>0</v>
      </c>
      <c r="FC30" t="e">
        <f>AND(Sheet1!A400,"AAAAAG1vX54=")</f>
        <v>#VALUE!</v>
      </c>
      <c r="FD30" t="e">
        <f>AND(Sheet1!B400,"AAAAAG1vX58=")</f>
        <v>#VALUE!</v>
      </c>
      <c r="FE30" t="e">
        <f>AND(Sheet1!C400,"AAAAAG1vX6A=")</f>
        <v>#VALUE!</v>
      </c>
      <c r="FF30" t="e">
        <f>AND(Sheet1!D400,"AAAAAG1vX6E=")</f>
        <v>#VALUE!</v>
      </c>
      <c r="FG30" t="e">
        <f>AND(Sheet1!E400,"AAAAAG1vX6I=")</f>
        <v>#VALUE!</v>
      </c>
      <c r="FH30" t="e">
        <f>AND(Sheet1!F400,"AAAAAG1vX6M=")</f>
        <v>#VALUE!</v>
      </c>
      <c r="FI30" t="e">
        <f>AND(Sheet1!G400,"AAAAAG1vX6Q=")</f>
        <v>#VALUE!</v>
      </c>
      <c r="FJ30" t="e">
        <f>AND(Sheet1!H400,"AAAAAG1vX6U=")</f>
        <v>#VALUE!</v>
      </c>
      <c r="FK30" t="e">
        <f>AND(Sheet1!I400,"AAAAAG1vX6Y=")</f>
        <v>#VALUE!</v>
      </c>
      <c r="FL30" t="e">
        <f>AND(Sheet1!J400,"AAAAAG1vX6c=")</f>
        <v>#VALUE!</v>
      </c>
      <c r="FM30" t="e">
        <f>AND(Sheet1!K400,"AAAAAG1vX6g=")</f>
        <v>#VALUE!</v>
      </c>
      <c r="FN30" t="e">
        <f>AND(Sheet1!L400,"AAAAAG1vX6k=")</f>
        <v>#VALUE!</v>
      </c>
      <c r="FO30" t="e">
        <f>AND(Sheet1!M400,"AAAAAG1vX6o=")</f>
        <v>#VALUE!</v>
      </c>
      <c r="FP30" t="e">
        <f>AND(Sheet1!N400,"AAAAAG1vX6s=")</f>
        <v>#VALUE!</v>
      </c>
      <c r="FQ30" t="e">
        <f>AND(Sheet1!#REF!,"AAAAAG1vX6w=")</f>
        <v>#REF!</v>
      </c>
      <c r="FR30" t="e">
        <f>AND(Sheet1!#REF!,"AAAAAG1vX60=")</f>
        <v>#REF!</v>
      </c>
      <c r="FS30" t="e">
        <f>AND(Sheet1!#REF!,"AAAAAG1vX64=")</f>
        <v>#REF!</v>
      </c>
      <c r="FT30" t="e">
        <f>AND(Sheet1!#REF!,"AAAAAG1vX68=")</f>
        <v>#REF!</v>
      </c>
      <c r="FU30">
        <f>IF(Sheet1!401:401,"AAAAAG1vX7A=",0)</f>
        <v>0</v>
      </c>
      <c r="FV30" t="e">
        <f>AND(Sheet1!A401,"AAAAAG1vX7E=")</f>
        <v>#VALUE!</v>
      </c>
      <c r="FW30" t="e">
        <f>AND(Sheet1!B401,"AAAAAG1vX7I=")</f>
        <v>#VALUE!</v>
      </c>
      <c r="FX30" t="e">
        <f>AND(Sheet1!C401,"AAAAAG1vX7M=")</f>
        <v>#VALUE!</v>
      </c>
      <c r="FY30" t="e">
        <f>AND(Sheet1!D401,"AAAAAG1vX7Q=")</f>
        <v>#VALUE!</v>
      </c>
      <c r="FZ30" t="e">
        <f>AND(Sheet1!E401,"AAAAAG1vX7U=")</f>
        <v>#VALUE!</v>
      </c>
      <c r="GA30" t="e">
        <f>AND(Sheet1!F401,"AAAAAG1vX7Y=")</f>
        <v>#VALUE!</v>
      </c>
      <c r="GB30" t="e">
        <f>AND(Sheet1!G401,"AAAAAG1vX7c=")</f>
        <v>#VALUE!</v>
      </c>
      <c r="GC30" t="e">
        <f>AND(Sheet1!H401,"AAAAAG1vX7g=")</f>
        <v>#VALUE!</v>
      </c>
      <c r="GD30" t="e">
        <f>AND(Sheet1!I401,"AAAAAG1vX7k=")</f>
        <v>#VALUE!</v>
      </c>
      <c r="GE30" t="e">
        <f>AND(Sheet1!J401,"AAAAAG1vX7o=")</f>
        <v>#VALUE!</v>
      </c>
      <c r="GF30" t="e">
        <f>AND(Sheet1!K401,"AAAAAG1vX7s=")</f>
        <v>#VALUE!</v>
      </c>
      <c r="GG30" t="e">
        <f>AND(Sheet1!L401,"AAAAAG1vX7w=")</f>
        <v>#VALUE!</v>
      </c>
      <c r="GH30" t="e">
        <f>AND(Sheet1!M401,"AAAAAG1vX70=")</f>
        <v>#VALUE!</v>
      </c>
      <c r="GI30" t="e">
        <f>AND(Sheet1!N401,"AAAAAG1vX74=")</f>
        <v>#VALUE!</v>
      </c>
      <c r="GJ30" t="e">
        <f>AND(Sheet1!#REF!,"AAAAAG1vX78=")</f>
        <v>#REF!</v>
      </c>
      <c r="GK30" t="e">
        <f>AND(Sheet1!#REF!,"AAAAAG1vX8A=")</f>
        <v>#REF!</v>
      </c>
      <c r="GL30" t="e">
        <f>AND(Sheet1!#REF!,"AAAAAG1vX8E=")</f>
        <v>#REF!</v>
      </c>
      <c r="GM30" t="e">
        <f>AND(Sheet1!#REF!,"AAAAAG1vX8I=")</f>
        <v>#REF!</v>
      </c>
      <c r="GN30">
        <f>IF(Sheet1!402:402,"AAAAAG1vX8M=",0)</f>
        <v>0</v>
      </c>
      <c r="GO30" t="e">
        <f>AND(Sheet1!A402,"AAAAAG1vX8Q=")</f>
        <v>#VALUE!</v>
      </c>
      <c r="GP30" t="e">
        <f>AND(Sheet1!B402,"AAAAAG1vX8U=")</f>
        <v>#VALUE!</v>
      </c>
      <c r="GQ30" t="e">
        <f>AND(Sheet1!C402,"AAAAAG1vX8Y=")</f>
        <v>#VALUE!</v>
      </c>
      <c r="GR30" t="e">
        <f>AND(Sheet1!D402,"AAAAAG1vX8c=")</f>
        <v>#VALUE!</v>
      </c>
      <c r="GS30" t="e">
        <f>AND(Sheet1!E402,"AAAAAG1vX8g=")</f>
        <v>#VALUE!</v>
      </c>
      <c r="GT30" t="e">
        <f>AND(Sheet1!F402,"AAAAAG1vX8k=")</f>
        <v>#VALUE!</v>
      </c>
      <c r="GU30" t="e">
        <f>AND(Sheet1!G402,"AAAAAG1vX8o=")</f>
        <v>#VALUE!</v>
      </c>
      <c r="GV30" t="e">
        <f>AND(Sheet1!H402,"AAAAAG1vX8s=")</f>
        <v>#VALUE!</v>
      </c>
      <c r="GW30" t="e">
        <f>AND(Sheet1!I402,"AAAAAG1vX8w=")</f>
        <v>#VALUE!</v>
      </c>
      <c r="GX30" t="e">
        <f>AND(Sheet1!J402,"AAAAAG1vX80=")</f>
        <v>#VALUE!</v>
      </c>
      <c r="GY30" t="e">
        <f>AND(Sheet1!K402,"AAAAAG1vX84=")</f>
        <v>#VALUE!</v>
      </c>
      <c r="GZ30" t="e">
        <f>AND(Sheet1!L402,"AAAAAG1vX88=")</f>
        <v>#VALUE!</v>
      </c>
      <c r="HA30" t="e">
        <f>AND(Sheet1!M402,"AAAAAG1vX9A=")</f>
        <v>#VALUE!</v>
      </c>
      <c r="HB30" t="e">
        <f>AND(Sheet1!N402,"AAAAAG1vX9E=")</f>
        <v>#VALUE!</v>
      </c>
      <c r="HC30" t="e">
        <f>AND(Sheet1!#REF!,"AAAAAG1vX9I=")</f>
        <v>#REF!</v>
      </c>
      <c r="HD30" t="e">
        <f>AND(Sheet1!#REF!,"AAAAAG1vX9M=")</f>
        <v>#REF!</v>
      </c>
      <c r="HE30" t="e">
        <f>AND(Sheet1!#REF!,"AAAAAG1vX9Q=")</f>
        <v>#REF!</v>
      </c>
      <c r="HF30" t="e">
        <f>AND(Sheet1!#REF!,"AAAAAG1vX9U=")</f>
        <v>#REF!</v>
      </c>
      <c r="HG30">
        <f>IF(Sheet1!403:403,"AAAAAG1vX9Y=",0)</f>
        <v>0</v>
      </c>
      <c r="HH30" t="e">
        <f>AND(Sheet1!A403,"AAAAAG1vX9c=")</f>
        <v>#VALUE!</v>
      </c>
      <c r="HI30" t="e">
        <f>AND(Sheet1!B403,"AAAAAG1vX9g=")</f>
        <v>#VALUE!</v>
      </c>
      <c r="HJ30" t="e">
        <f>AND(Sheet1!C403,"AAAAAG1vX9k=")</f>
        <v>#VALUE!</v>
      </c>
      <c r="HK30" t="e">
        <f>AND(Sheet1!D403,"AAAAAG1vX9o=")</f>
        <v>#VALUE!</v>
      </c>
      <c r="HL30" t="e">
        <f>AND(Sheet1!E403,"AAAAAG1vX9s=")</f>
        <v>#VALUE!</v>
      </c>
      <c r="HM30" t="e">
        <f>AND(Sheet1!F403,"AAAAAG1vX9w=")</f>
        <v>#VALUE!</v>
      </c>
      <c r="HN30" t="e">
        <f>AND(Sheet1!G403,"AAAAAG1vX90=")</f>
        <v>#VALUE!</v>
      </c>
      <c r="HO30" t="e">
        <f>AND(Sheet1!H403,"AAAAAG1vX94=")</f>
        <v>#VALUE!</v>
      </c>
      <c r="HP30" t="e">
        <f>AND(Sheet1!I403,"AAAAAG1vX98=")</f>
        <v>#VALUE!</v>
      </c>
      <c r="HQ30" t="e">
        <f>AND(Sheet1!J403,"AAAAAG1vX+A=")</f>
        <v>#VALUE!</v>
      </c>
      <c r="HR30" t="e">
        <f>AND(Sheet1!K403,"AAAAAG1vX+E=")</f>
        <v>#VALUE!</v>
      </c>
      <c r="HS30" t="e">
        <f>AND(Sheet1!L403,"AAAAAG1vX+I=")</f>
        <v>#VALUE!</v>
      </c>
      <c r="HT30" t="e">
        <f>AND(Sheet1!M403,"AAAAAG1vX+M=")</f>
        <v>#VALUE!</v>
      </c>
      <c r="HU30" t="e">
        <f>AND(Sheet1!N403,"AAAAAG1vX+Q=")</f>
        <v>#VALUE!</v>
      </c>
      <c r="HV30" t="e">
        <f>AND(Sheet1!#REF!,"AAAAAG1vX+U=")</f>
        <v>#REF!</v>
      </c>
      <c r="HW30" t="e">
        <f>AND(Sheet1!#REF!,"AAAAAG1vX+Y=")</f>
        <v>#REF!</v>
      </c>
      <c r="HX30" t="e">
        <f>AND(Sheet1!#REF!,"AAAAAG1vX+c=")</f>
        <v>#REF!</v>
      </c>
      <c r="HY30" t="e">
        <f>AND(Sheet1!#REF!,"AAAAAG1vX+g=")</f>
        <v>#REF!</v>
      </c>
      <c r="HZ30">
        <f>IF(Sheet1!404:404,"AAAAAG1vX+k=",0)</f>
        <v>0</v>
      </c>
      <c r="IA30" t="e">
        <f>AND(Sheet1!A404,"AAAAAG1vX+o=")</f>
        <v>#VALUE!</v>
      </c>
      <c r="IB30" t="e">
        <f>AND(Sheet1!B404,"AAAAAG1vX+s=")</f>
        <v>#VALUE!</v>
      </c>
      <c r="IC30" t="e">
        <f>AND(Sheet1!C404,"AAAAAG1vX+w=")</f>
        <v>#VALUE!</v>
      </c>
      <c r="ID30" t="e">
        <f>AND(Sheet1!D404,"AAAAAG1vX+0=")</f>
        <v>#VALUE!</v>
      </c>
      <c r="IE30" t="e">
        <f>AND(Sheet1!E404,"AAAAAG1vX+4=")</f>
        <v>#VALUE!</v>
      </c>
      <c r="IF30" t="e">
        <f>AND(Sheet1!F404,"AAAAAG1vX+8=")</f>
        <v>#VALUE!</v>
      </c>
      <c r="IG30" t="e">
        <f>AND(Sheet1!G404,"AAAAAG1vX/A=")</f>
        <v>#VALUE!</v>
      </c>
      <c r="IH30" t="e">
        <f>AND(Sheet1!H404,"AAAAAG1vX/E=")</f>
        <v>#VALUE!</v>
      </c>
      <c r="II30" t="e">
        <f>AND(Sheet1!I404,"AAAAAG1vX/I=")</f>
        <v>#VALUE!</v>
      </c>
      <c r="IJ30" t="e">
        <f>AND(Sheet1!J404,"AAAAAG1vX/M=")</f>
        <v>#VALUE!</v>
      </c>
      <c r="IK30" t="e">
        <f>AND(Sheet1!K404,"AAAAAG1vX/Q=")</f>
        <v>#VALUE!</v>
      </c>
      <c r="IL30" t="e">
        <f>AND(Sheet1!L404,"AAAAAG1vX/U=")</f>
        <v>#VALUE!</v>
      </c>
      <c r="IM30" t="e">
        <f>AND(Sheet1!M404,"AAAAAG1vX/Y=")</f>
        <v>#VALUE!</v>
      </c>
      <c r="IN30" t="e">
        <f>AND(Sheet1!N404,"AAAAAG1vX/c=")</f>
        <v>#VALUE!</v>
      </c>
      <c r="IO30" t="e">
        <f>AND(Sheet1!#REF!,"AAAAAG1vX/g=")</f>
        <v>#REF!</v>
      </c>
      <c r="IP30" t="e">
        <f>AND(Sheet1!#REF!,"AAAAAG1vX/k=")</f>
        <v>#REF!</v>
      </c>
      <c r="IQ30" t="e">
        <f>AND(Sheet1!#REF!,"AAAAAG1vX/o=")</f>
        <v>#REF!</v>
      </c>
      <c r="IR30" t="e">
        <f>AND(Sheet1!#REF!,"AAAAAG1vX/s=")</f>
        <v>#REF!</v>
      </c>
      <c r="IS30">
        <f>IF(Sheet1!405:405,"AAAAAG1vX/w=",0)</f>
        <v>0</v>
      </c>
      <c r="IT30" t="e">
        <f>AND(Sheet1!A405,"AAAAAG1vX/0=")</f>
        <v>#VALUE!</v>
      </c>
      <c r="IU30" t="e">
        <f>AND(Sheet1!B405,"AAAAAG1vX/4=")</f>
        <v>#VALUE!</v>
      </c>
      <c r="IV30" t="e">
        <f>AND(Sheet1!C405,"AAAAAG1vX/8=")</f>
        <v>#VALUE!</v>
      </c>
    </row>
    <row r="31" spans="1:256" x14ac:dyDescent="0.2">
      <c r="A31" t="e">
        <f>AND(Sheet1!D405,"AAAAAG/hbgA=")</f>
        <v>#VALUE!</v>
      </c>
      <c r="B31" t="e">
        <f>AND(Sheet1!E405,"AAAAAG/hbgE=")</f>
        <v>#VALUE!</v>
      </c>
      <c r="C31" t="e">
        <f>AND(Sheet1!F405,"AAAAAG/hbgI=")</f>
        <v>#VALUE!</v>
      </c>
      <c r="D31" t="e">
        <f>AND(Sheet1!G405,"AAAAAG/hbgM=")</f>
        <v>#VALUE!</v>
      </c>
      <c r="E31" t="e">
        <f>AND(Sheet1!H405,"AAAAAG/hbgQ=")</f>
        <v>#VALUE!</v>
      </c>
      <c r="F31" t="e">
        <f>AND(Sheet1!I405,"AAAAAG/hbgU=")</f>
        <v>#VALUE!</v>
      </c>
      <c r="G31" t="e">
        <f>AND(Sheet1!J405,"AAAAAG/hbgY=")</f>
        <v>#VALUE!</v>
      </c>
      <c r="H31" t="e">
        <f>AND(Sheet1!K405,"AAAAAG/hbgc=")</f>
        <v>#VALUE!</v>
      </c>
      <c r="I31" t="e">
        <f>AND(Sheet1!L405,"AAAAAG/hbgg=")</f>
        <v>#VALUE!</v>
      </c>
      <c r="J31" t="e">
        <f>AND(Sheet1!M405,"AAAAAG/hbgk=")</f>
        <v>#VALUE!</v>
      </c>
      <c r="K31" t="e">
        <f>AND(Sheet1!N405,"AAAAAG/hbgo=")</f>
        <v>#VALUE!</v>
      </c>
      <c r="L31" t="e">
        <f>AND(Sheet1!#REF!,"AAAAAG/hbgs=")</f>
        <v>#REF!</v>
      </c>
      <c r="M31" t="e">
        <f>AND(Sheet1!#REF!,"AAAAAG/hbgw=")</f>
        <v>#REF!</v>
      </c>
      <c r="N31" t="e">
        <f>AND(Sheet1!#REF!,"AAAAAG/hbg0=")</f>
        <v>#REF!</v>
      </c>
      <c r="O31" t="e">
        <f>AND(Sheet1!#REF!,"AAAAAG/hbg4=")</f>
        <v>#REF!</v>
      </c>
      <c r="P31">
        <f>IF(Sheet1!406:406,"AAAAAG/hbg8=",0)</f>
        <v>0</v>
      </c>
      <c r="Q31" t="e">
        <f>AND(Sheet1!A406,"AAAAAG/hbhA=")</f>
        <v>#VALUE!</v>
      </c>
      <c r="R31" t="e">
        <f>AND(Sheet1!B406,"AAAAAG/hbhE=")</f>
        <v>#VALUE!</v>
      </c>
      <c r="S31" t="e">
        <f>AND(Sheet1!C406,"AAAAAG/hbhI=")</f>
        <v>#VALUE!</v>
      </c>
      <c r="T31" t="e">
        <f>AND(Sheet1!D406,"AAAAAG/hbhM=")</f>
        <v>#VALUE!</v>
      </c>
      <c r="U31" t="e">
        <f>AND(Sheet1!E406,"AAAAAG/hbhQ=")</f>
        <v>#VALUE!</v>
      </c>
      <c r="V31" t="e">
        <f>AND(Sheet1!F406,"AAAAAG/hbhU=")</f>
        <v>#VALUE!</v>
      </c>
      <c r="W31" t="e">
        <f>AND(Sheet1!G406,"AAAAAG/hbhY=")</f>
        <v>#VALUE!</v>
      </c>
      <c r="X31" t="e">
        <f>AND(Sheet1!H406,"AAAAAG/hbhc=")</f>
        <v>#VALUE!</v>
      </c>
      <c r="Y31" t="e">
        <f>AND(Sheet1!I406,"AAAAAG/hbhg=")</f>
        <v>#VALUE!</v>
      </c>
      <c r="Z31" t="e">
        <f>AND(Sheet1!J406,"AAAAAG/hbhk=")</f>
        <v>#VALUE!</v>
      </c>
      <c r="AA31" t="e">
        <f>AND(Sheet1!K406,"AAAAAG/hbho=")</f>
        <v>#VALUE!</v>
      </c>
      <c r="AB31" t="e">
        <f>AND(Sheet1!L406,"AAAAAG/hbhs=")</f>
        <v>#VALUE!</v>
      </c>
      <c r="AC31" t="e">
        <f>AND(Sheet1!M406,"AAAAAG/hbhw=")</f>
        <v>#VALUE!</v>
      </c>
      <c r="AD31" t="e">
        <f>AND(Sheet1!N406,"AAAAAG/hbh0=")</f>
        <v>#VALUE!</v>
      </c>
      <c r="AE31" t="e">
        <f>AND(Sheet1!#REF!,"AAAAAG/hbh4=")</f>
        <v>#REF!</v>
      </c>
      <c r="AF31" t="e">
        <f>AND(Sheet1!#REF!,"AAAAAG/hbh8=")</f>
        <v>#REF!</v>
      </c>
      <c r="AG31" t="e">
        <f>AND(Sheet1!#REF!,"AAAAAG/hbiA=")</f>
        <v>#REF!</v>
      </c>
      <c r="AH31" t="e">
        <f>AND(Sheet1!#REF!,"AAAAAG/hbiE=")</f>
        <v>#REF!</v>
      </c>
      <c r="AI31">
        <f>IF(Sheet1!407:407,"AAAAAG/hbiI=",0)</f>
        <v>0</v>
      </c>
      <c r="AJ31" t="e">
        <f>AND(Sheet1!A407,"AAAAAG/hbiM=")</f>
        <v>#VALUE!</v>
      </c>
      <c r="AK31" t="e">
        <f>AND(Sheet1!B407,"AAAAAG/hbiQ=")</f>
        <v>#VALUE!</v>
      </c>
      <c r="AL31" t="e">
        <f>AND(Sheet1!C407,"AAAAAG/hbiU=")</f>
        <v>#VALUE!</v>
      </c>
      <c r="AM31" t="e">
        <f>AND(Sheet1!D407,"AAAAAG/hbiY=")</f>
        <v>#VALUE!</v>
      </c>
      <c r="AN31" t="e">
        <f>AND(Sheet1!E407,"AAAAAG/hbic=")</f>
        <v>#VALUE!</v>
      </c>
      <c r="AO31" t="e">
        <f>AND(Sheet1!F407,"AAAAAG/hbig=")</f>
        <v>#VALUE!</v>
      </c>
      <c r="AP31" t="e">
        <f>AND(Sheet1!G407,"AAAAAG/hbik=")</f>
        <v>#VALUE!</v>
      </c>
      <c r="AQ31" t="e">
        <f>AND(Sheet1!H407,"AAAAAG/hbio=")</f>
        <v>#VALUE!</v>
      </c>
      <c r="AR31" t="e">
        <f>AND(Sheet1!I407,"AAAAAG/hbis=")</f>
        <v>#VALUE!</v>
      </c>
      <c r="AS31" t="e">
        <f>AND(Sheet1!J407,"AAAAAG/hbiw=")</f>
        <v>#VALUE!</v>
      </c>
      <c r="AT31" t="e">
        <f>AND(Sheet1!K407,"AAAAAG/hbi0=")</f>
        <v>#VALUE!</v>
      </c>
      <c r="AU31" t="e">
        <f>AND(Sheet1!L407,"AAAAAG/hbi4=")</f>
        <v>#VALUE!</v>
      </c>
      <c r="AV31" t="e">
        <f>AND(Sheet1!M407,"AAAAAG/hbi8=")</f>
        <v>#VALUE!</v>
      </c>
      <c r="AW31" t="e">
        <f>AND(Sheet1!N407,"AAAAAG/hbjA=")</f>
        <v>#VALUE!</v>
      </c>
      <c r="AX31" t="e">
        <f>AND(Sheet1!#REF!,"AAAAAG/hbjE=")</f>
        <v>#REF!</v>
      </c>
      <c r="AY31" t="e">
        <f>AND(Sheet1!#REF!,"AAAAAG/hbjI=")</f>
        <v>#REF!</v>
      </c>
      <c r="AZ31" t="e">
        <f>AND(Sheet1!#REF!,"AAAAAG/hbjM=")</f>
        <v>#REF!</v>
      </c>
      <c r="BA31" t="e">
        <f>AND(Sheet1!#REF!,"AAAAAG/hbjQ=")</f>
        <v>#REF!</v>
      </c>
      <c r="BB31">
        <f>IF(Sheet1!408:408,"AAAAAG/hbjU=",0)</f>
        <v>0</v>
      </c>
      <c r="BC31" t="e">
        <f>AND(Sheet1!A408,"AAAAAG/hbjY=")</f>
        <v>#VALUE!</v>
      </c>
      <c r="BD31" t="e">
        <f>AND(Sheet1!B408,"AAAAAG/hbjc=")</f>
        <v>#VALUE!</v>
      </c>
      <c r="BE31" t="e">
        <f>AND(Sheet1!C408,"AAAAAG/hbjg=")</f>
        <v>#VALUE!</v>
      </c>
      <c r="BF31" t="e">
        <f>AND(Sheet1!D408,"AAAAAG/hbjk=")</f>
        <v>#VALUE!</v>
      </c>
      <c r="BG31" t="e">
        <f>AND(Sheet1!E408,"AAAAAG/hbjo=")</f>
        <v>#VALUE!</v>
      </c>
      <c r="BH31" t="e">
        <f>AND(Sheet1!F408,"AAAAAG/hbjs=")</f>
        <v>#VALUE!</v>
      </c>
      <c r="BI31" t="e">
        <f>AND(Sheet1!G408,"AAAAAG/hbjw=")</f>
        <v>#VALUE!</v>
      </c>
      <c r="BJ31" t="e">
        <f>AND(Sheet1!H408,"AAAAAG/hbj0=")</f>
        <v>#VALUE!</v>
      </c>
      <c r="BK31" t="e">
        <f>AND(Sheet1!I408,"AAAAAG/hbj4=")</f>
        <v>#VALUE!</v>
      </c>
      <c r="BL31" t="e">
        <f>AND(Sheet1!J408,"AAAAAG/hbj8=")</f>
        <v>#VALUE!</v>
      </c>
      <c r="BM31" t="e">
        <f>AND(Sheet1!K408,"AAAAAG/hbkA=")</f>
        <v>#VALUE!</v>
      </c>
      <c r="BN31" t="e">
        <f>AND(Sheet1!L408,"AAAAAG/hbkE=")</f>
        <v>#VALUE!</v>
      </c>
      <c r="BO31" t="e">
        <f>AND(Sheet1!M408,"AAAAAG/hbkI=")</f>
        <v>#VALUE!</v>
      </c>
      <c r="BP31" t="e">
        <f>AND(Sheet1!N408,"AAAAAG/hbkM=")</f>
        <v>#VALUE!</v>
      </c>
      <c r="BQ31" t="e">
        <f>AND(Sheet1!#REF!,"AAAAAG/hbkQ=")</f>
        <v>#REF!</v>
      </c>
      <c r="BR31" t="e">
        <f>AND(Sheet1!#REF!,"AAAAAG/hbkU=")</f>
        <v>#REF!</v>
      </c>
      <c r="BS31" t="e">
        <f>AND(Sheet1!#REF!,"AAAAAG/hbkY=")</f>
        <v>#REF!</v>
      </c>
      <c r="BT31" t="e">
        <f>AND(Sheet1!#REF!,"AAAAAG/hbkc=")</f>
        <v>#REF!</v>
      </c>
      <c r="BU31">
        <f>IF(Sheet1!409:409,"AAAAAG/hbkg=",0)</f>
        <v>0</v>
      </c>
      <c r="BV31" t="e">
        <f>AND(Sheet1!A409,"AAAAAG/hbkk=")</f>
        <v>#VALUE!</v>
      </c>
      <c r="BW31" t="e">
        <f>AND(Sheet1!B409,"AAAAAG/hbko=")</f>
        <v>#VALUE!</v>
      </c>
      <c r="BX31" t="e">
        <f>AND(Sheet1!C409,"AAAAAG/hbks=")</f>
        <v>#VALUE!</v>
      </c>
      <c r="BY31" t="e">
        <f>AND(Sheet1!D409,"AAAAAG/hbkw=")</f>
        <v>#VALUE!</v>
      </c>
      <c r="BZ31" t="e">
        <f>AND(Sheet1!E409,"AAAAAG/hbk0=")</f>
        <v>#VALUE!</v>
      </c>
      <c r="CA31" t="e">
        <f>AND(Sheet1!F409,"AAAAAG/hbk4=")</f>
        <v>#VALUE!</v>
      </c>
      <c r="CB31" t="e">
        <f>AND(Sheet1!G409,"AAAAAG/hbk8=")</f>
        <v>#VALUE!</v>
      </c>
      <c r="CC31" t="e">
        <f>AND(Sheet1!H409,"AAAAAG/hblA=")</f>
        <v>#VALUE!</v>
      </c>
      <c r="CD31" t="e">
        <f>AND(Sheet1!I409,"AAAAAG/hblE=")</f>
        <v>#VALUE!</v>
      </c>
      <c r="CE31" t="e">
        <f>AND(Sheet1!J409,"AAAAAG/hblI=")</f>
        <v>#VALUE!</v>
      </c>
      <c r="CF31" t="e">
        <f>AND(Sheet1!K409,"AAAAAG/hblM=")</f>
        <v>#VALUE!</v>
      </c>
      <c r="CG31" t="e">
        <f>AND(Sheet1!L409,"AAAAAG/hblQ=")</f>
        <v>#VALUE!</v>
      </c>
      <c r="CH31" t="e">
        <f>AND(Sheet1!M409,"AAAAAG/hblU=")</f>
        <v>#VALUE!</v>
      </c>
      <c r="CI31" t="e">
        <f>AND(Sheet1!N409,"AAAAAG/hblY=")</f>
        <v>#VALUE!</v>
      </c>
      <c r="CJ31" t="e">
        <f>AND(Sheet1!#REF!,"AAAAAG/hblc=")</f>
        <v>#REF!</v>
      </c>
      <c r="CK31" t="e">
        <f>AND(Sheet1!#REF!,"AAAAAG/hblg=")</f>
        <v>#REF!</v>
      </c>
      <c r="CL31" t="e">
        <f>AND(Sheet1!#REF!,"AAAAAG/hblk=")</f>
        <v>#REF!</v>
      </c>
      <c r="CM31" t="e">
        <f>AND(Sheet1!#REF!,"AAAAAG/hblo=")</f>
        <v>#REF!</v>
      </c>
      <c r="CN31">
        <f>IF(Sheet1!410:410,"AAAAAG/hbls=",0)</f>
        <v>0</v>
      </c>
      <c r="CO31" t="e">
        <f>AND(Sheet1!A410,"AAAAAG/hblw=")</f>
        <v>#VALUE!</v>
      </c>
      <c r="CP31" t="e">
        <f>AND(Sheet1!B410,"AAAAAG/hbl0=")</f>
        <v>#VALUE!</v>
      </c>
      <c r="CQ31" t="e">
        <f>AND(Sheet1!C410,"AAAAAG/hbl4=")</f>
        <v>#VALUE!</v>
      </c>
      <c r="CR31" t="e">
        <f>AND(Sheet1!D410,"AAAAAG/hbl8=")</f>
        <v>#VALUE!</v>
      </c>
      <c r="CS31" t="e">
        <f>AND(Sheet1!E410,"AAAAAG/hbmA=")</f>
        <v>#VALUE!</v>
      </c>
      <c r="CT31" t="e">
        <f>AND(Sheet1!F410,"AAAAAG/hbmE=")</f>
        <v>#VALUE!</v>
      </c>
      <c r="CU31" t="e">
        <f>AND(Sheet1!G410,"AAAAAG/hbmI=")</f>
        <v>#VALUE!</v>
      </c>
      <c r="CV31" t="e">
        <f>AND(Sheet1!H410,"AAAAAG/hbmM=")</f>
        <v>#VALUE!</v>
      </c>
      <c r="CW31" t="e">
        <f>AND(Sheet1!I410,"AAAAAG/hbmQ=")</f>
        <v>#VALUE!</v>
      </c>
      <c r="CX31" t="e">
        <f>AND(Sheet1!J410,"AAAAAG/hbmU=")</f>
        <v>#VALUE!</v>
      </c>
      <c r="CY31" t="e">
        <f>AND(Sheet1!K410,"AAAAAG/hbmY=")</f>
        <v>#VALUE!</v>
      </c>
      <c r="CZ31" t="e">
        <f>AND(Sheet1!L410,"AAAAAG/hbmc=")</f>
        <v>#VALUE!</v>
      </c>
      <c r="DA31" t="e">
        <f>AND(Sheet1!M410,"AAAAAG/hbmg=")</f>
        <v>#VALUE!</v>
      </c>
      <c r="DB31" t="e">
        <f>AND(Sheet1!N410,"AAAAAG/hbmk=")</f>
        <v>#VALUE!</v>
      </c>
      <c r="DC31" t="e">
        <f>AND(Sheet1!#REF!,"AAAAAG/hbmo=")</f>
        <v>#REF!</v>
      </c>
      <c r="DD31" t="e">
        <f>AND(Sheet1!#REF!,"AAAAAG/hbms=")</f>
        <v>#REF!</v>
      </c>
      <c r="DE31" t="e">
        <f>AND(Sheet1!#REF!,"AAAAAG/hbmw=")</f>
        <v>#REF!</v>
      </c>
      <c r="DF31" t="e">
        <f>AND(Sheet1!#REF!,"AAAAAG/hbm0=")</f>
        <v>#REF!</v>
      </c>
      <c r="DG31">
        <f>IF(Sheet1!411:411,"AAAAAG/hbm4=",0)</f>
        <v>0</v>
      </c>
      <c r="DH31" t="e">
        <f>AND(Sheet1!A411,"AAAAAG/hbm8=")</f>
        <v>#VALUE!</v>
      </c>
      <c r="DI31" t="e">
        <f>AND(Sheet1!B411,"AAAAAG/hbnA=")</f>
        <v>#VALUE!</v>
      </c>
      <c r="DJ31" t="e">
        <f>AND(Sheet1!C411,"AAAAAG/hbnE=")</f>
        <v>#VALUE!</v>
      </c>
      <c r="DK31" t="e">
        <f>AND(Sheet1!D411,"AAAAAG/hbnI=")</f>
        <v>#VALUE!</v>
      </c>
      <c r="DL31" t="e">
        <f>AND(Sheet1!E411,"AAAAAG/hbnM=")</f>
        <v>#VALUE!</v>
      </c>
      <c r="DM31" t="e">
        <f>AND(Sheet1!F411,"AAAAAG/hbnQ=")</f>
        <v>#VALUE!</v>
      </c>
      <c r="DN31" t="e">
        <f>AND(Sheet1!G411,"AAAAAG/hbnU=")</f>
        <v>#VALUE!</v>
      </c>
      <c r="DO31" t="e">
        <f>AND(Sheet1!H411,"AAAAAG/hbnY=")</f>
        <v>#VALUE!</v>
      </c>
      <c r="DP31" t="e">
        <f>AND(Sheet1!I411,"AAAAAG/hbnc=")</f>
        <v>#VALUE!</v>
      </c>
      <c r="DQ31" t="e">
        <f>AND(Sheet1!J411,"AAAAAG/hbng=")</f>
        <v>#VALUE!</v>
      </c>
      <c r="DR31" t="e">
        <f>AND(Sheet1!K411,"AAAAAG/hbnk=")</f>
        <v>#VALUE!</v>
      </c>
      <c r="DS31" t="e">
        <f>AND(Sheet1!L411,"AAAAAG/hbno=")</f>
        <v>#VALUE!</v>
      </c>
      <c r="DT31" t="e">
        <f>AND(Sheet1!M411,"AAAAAG/hbns=")</f>
        <v>#VALUE!</v>
      </c>
      <c r="DU31" t="e">
        <f>AND(Sheet1!N411,"AAAAAG/hbnw=")</f>
        <v>#VALUE!</v>
      </c>
      <c r="DV31" t="e">
        <f>AND(Sheet1!#REF!,"AAAAAG/hbn0=")</f>
        <v>#REF!</v>
      </c>
      <c r="DW31" t="e">
        <f>AND(Sheet1!#REF!,"AAAAAG/hbn4=")</f>
        <v>#REF!</v>
      </c>
      <c r="DX31" t="e">
        <f>AND(Sheet1!#REF!,"AAAAAG/hbn8=")</f>
        <v>#REF!</v>
      </c>
      <c r="DY31" t="e">
        <f>AND(Sheet1!#REF!,"AAAAAG/hboA=")</f>
        <v>#REF!</v>
      </c>
      <c r="DZ31">
        <f>IF(Sheet1!412:412,"AAAAAG/hboE=",0)</f>
        <v>0</v>
      </c>
      <c r="EA31" t="e">
        <f>AND(Sheet1!A412,"AAAAAG/hboI=")</f>
        <v>#VALUE!</v>
      </c>
      <c r="EB31" t="e">
        <f>AND(Sheet1!B412,"AAAAAG/hboM=")</f>
        <v>#VALUE!</v>
      </c>
      <c r="EC31" t="e">
        <f>AND(Sheet1!C412,"AAAAAG/hboQ=")</f>
        <v>#VALUE!</v>
      </c>
      <c r="ED31" t="e">
        <f>AND(Sheet1!D412,"AAAAAG/hboU=")</f>
        <v>#VALUE!</v>
      </c>
      <c r="EE31" t="e">
        <f>AND(Sheet1!E412,"AAAAAG/hboY=")</f>
        <v>#VALUE!</v>
      </c>
      <c r="EF31" t="e">
        <f>AND(Sheet1!F412,"AAAAAG/hboc=")</f>
        <v>#VALUE!</v>
      </c>
      <c r="EG31" t="e">
        <f>AND(Sheet1!G412,"AAAAAG/hbog=")</f>
        <v>#VALUE!</v>
      </c>
      <c r="EH31" t="e">
        <f>AND(Sheet1!H412,"AAAAAG/hbok=")</f>
        <v>#VALUE!</v>
      </c>
      <c r="EI31" t="e">
        <f>AND(Sheet1!I412,"AAAAAG/hboo=")</f>
        <v>#VALUE!</v>
      </c>
      <c r="EJ31" t="e">
        <f>AND(Sheet1!J412,"AAAAAG/hbos=")</f>
        <v>#VALUE!</v>
      </c>
      <c r="EK31" t="e">
        <f>AND(Sheet1!K412,"AAAAAG/hbow=")</f>
        <v>#VALUE!</v>
      </c>
      <c r="EL31" t="e">
        <f>AND(Sheet1!L412,"AAAAAG/hbo0=")</f>
        <v>#VALUE!</v>
      </c>
      <c r="EM31" t="e">
        <f>AND(Sheet1!M412,"AAAAAG/hbo4=")</f>
        <v>#VALUE!</v>
      </c>
      <c r="EN31" t="e">
        <f>AND(Sheet1!N412,"AAAAAG/hbo8=")</f>
        <v>#VALUE!</v>
      </c>
      <c r="EO31" t="e">
        <f>AND(Sheet1!#REF!,"AAAAAG/hbpA=")</f>
        <v>#REF!</v>
      </c>
      <c r="EP31" t="e">
        <f>AND(Sheet1!#REF!,"AAAAAG/hbpE=")</f>
        <v>#REF!</v>
      </c>
      <c r="EQ31" t="e">
        <f>AND(Sheet1!#REF!,"AAAAAG/hbpI=")</f>
        <v>#REF!</v>
      </c>
      <c r="ER31" t="e">
        <f>AND(Sheet1!#REF!,"AAAAAG/hbpM=")</f>
        <v>#REF!</v>
      </c>
      <c r="ES31">
        <f>IF(Sheet1!413:413,"AAAAAG/hbpQ=",0)</f>
        <v>0</v>
      </c>
      <c r="ET31" t="e">
        <f>AND(Sheet1!A413,"AAAAAG/hbpU=")</f>
        <v>#VALUE!</v>
      </c>
      <c r="EU31" t="e">
        <f>AND(Sheet1!B413,"AAAAAG/hbpY=")</f>
        <v>#VALUE!</v>
      </c>
      <c r="EV31" t="e">
        <f>AND(Sheet1!C413,"AAAAAG/hbpc=")</f>
        <v>#VALUE!</v>
      </c>
      <c r="EW31" t="e">
        <f>AND(Sheet1!D413,"AAAAAG/hbpg=")</f>
        <v>#VALUE!</v>
      </c>
      <c r="EX31" t="e">
        <f>AND(Sheet1!E413,"AAAAAG/hbpk=")</f>
        <v>#VALUE!</v>
      </c>
      <c r="EY31" t="e">
        <f>AND(Sheet1!F413,"AAAAAG/hbpo=")</f>
        <v>#VALUE!</v>
      </c>
      <c r="EZ31" t="e">
        <f>AND(Sheet1!G413,"AAAAAG/hbps=")</f>
        <v>#VALUE!</v>
      </c>
      <c r="FA31" t="e">
        <f>AND(Sheet1!H413,"AAAAAG/hbpw=")</f>
        <v>#VALUE!</v>
      </c>
      <c r="FB31" t="e">
        <f>AND(Sheet1!I413,"AAAAAG/hbp0=")</f>
        <v>#VALUE!</v>
      </c>
      <c r="FC31" t="e">
        <f>AND(Sheet1!J413,"AAAAAG/hbp4=")</f>
        <v>#VALUE!</v>
      </c>
      <c r="FD31" t="e">
        <f>AND(Sheet1!K413,"AAAAAG/hbp8=")</f>
        <v>#VALUE!</v>
      </c>
      <c r="FE31" t="e">
        <f>AND(Sheet1!L413,"AAAAAG/hbqA=")</f>
        <v>#VALUE!</v>
      </c>
      <c r="FF31" t="e">
        <f>AND(Sheet1!M413,"AAAAAG/hbqE=")</f>
        <v>#VALUE!</v>
      </c>
      <c r="FG31" t="e">
        <f>AND(Sheet1!N413,"AAAAAG/hbqI=")</f>
        <v>#VALUE!</v>
      </c>
      <c r="FH31" t="e">
        <f>AND(Sheet1!#REF!,"AAAAAG/hbqM=")</f>
        <v>#REF!</v>
      </c>
      <c r="FI31" t="e">
        <f>AND(Sheet1!#REF!,"AAAAAG/hbqQ=")</f>
        <v>#REF!</v>
      </c>
      <c r="FJ31" t="e">
        <f>AND(Sheet1!#REF!,"AAAAAG/hbqU=")</f>
        <v>#REF!</v>
      </c>
      <c r="FK31" t="e">
        <f>AND(Sheet1!#REF!,"AAAAAG/hbqY=")</f>
        <v>#REF!</v>
      </c>
      <c r="FL31">
        <f>IF(Sheet1!414:414,"AAAAAG/hbqc=",0)</f>
        <v>0</v>
      </c>
      <c r="FM31" t="e">
        <f>AND(Sheet1!A414,"AAAAAG/hbqg=")</f>
        <v>#VALUE!</v>
      </c>
      <c r="FN31" t="e">
        <f>AND(Sheet1!B414,"AAAAAG/hbqk=")</f>
        <v>#VALUE!</v>
      </c>
      <c r="FO31" t="e">
        <f>AND(Sheet1!C414,"AAAAAG/hbqo=")</f>
        <v>#VALUE!</v>
      </c>
      <c r="FP31" t="e">
        <f>AND(Sheet1!D414,"AAAAAG/hbqs=")</f>
        <v>#VALUE!</v>
      </c>
      <c r="FQ31" t="e">
        <f>AND(Sheet1!E414,"AAAAAG/hbqw=")</f>
        <v>#VALUE!</v>
      </c>
      <c r="FR31" t="e">
        <f>AND(Sheet1!F414,"AAAAAG/hbq0=")</f>
        <v>#VALUE!</v>
      </c>
      <c r="FS31" t="e">
        <f>AND(Sheet1!G414,"AAAAAG/hbq4=")</f>
        <v>#VALUE!</v>
      </c>
      <c r="FT31" t="e">
        <f>AND(Sheet1!H414,"AAAAAG/hbq8=")</f>
        <v>#VALUE!</v>
      </c>
      <c r="FU31" t="e">
        <f>AND(Sheet1!I414,"AAAAAG/hbrA=")</f>
        <v>#VALUE!</v>
      </c>
      <c r="FV31" t="e">
        <f>AND(Sheet1!J414,"AAAAAG/hbrE=")</f>
        <v>#VALUE!</v>
      </c>
      <c r="FW31" t="e">
        <f>AND(Sheet1!K414,"AAAAAG/hbrI=")</f>
        <v>#VALUE!</v>
      </c>
      <c r="FX31" t="e">
        <f>AND(Sheet1!L414,"AAAAAG/hbrM=")</f>
        <v>#VALUE!</v>
      </c>
      <c r="FY31" t="e">
        <f>AND(Sheet1!M414,"AAAAAG/hbrQ=")</f>
        <v>#VALUE!</v>
      </c>
      <c r="FZ31" t="e">
        <f>AND(Sheet1!N414,"AAAAAG/hbrU=")</f>
        <v>#VALUE!</v>
      </c>
      <c r="GA31" t="e">
        <f>AND(Sheet1!#REF!,"AAAAAG/hbrY=")</f>
        <v>#REF!</v>
      </c>
      <c r="GB31" t="e">
        <f>AND(Sheet1!#REF!,"AAAAAG/hbrc=")</f>
        <v>#REF!</v>
      </c>
      <c r="GC31" t="e">
        <f>AND(Sheet1!#REF!,"AAAAAG/hbrg=")</f>
        <v>#REF!</v>
      </c>
      <c r="GD31" t="e">
        <f>AND(Sheet1!#REF!,"AAAAAG/hbrk=")</f>
        <v>#REF!</v>
      </c>
      <c r="GE31">
        <f>IF(Sheet1!415:415,"AAAAAG/hbro=",0)</f>
        <v>0</v>
      </c>
      <c r="GF31" t="e">
        <f>AND(Sheet1!A415,"AAAAAG/hbrs=")</f>
        <v>#VALUE!</v>
      </c>
      <c r="GG31" t="e">
        <f>AND(Sheet1!B415,"AAAAAG/hbrw=")</f>
        <v>#VALUE!</v>
      </c>
      <c r="GH31" t="e">
        <f>AND(Sheet1!C415,"AAAAAG/hbr0=")</f>
        <v>#VALUE!</v>
      </c>
      <c r="GI31" t="e">
        <f>AND(Sheet1!D415,"AAAAAG/hbr4=")</f>
        <v>#VALUE!</v>
      </c>
      <c r="GJ31" t="e">
        <f>AND(Sheet1!E415,"AAAAAG/hbr8=")</f>
        <v>#VALUE!</v>
      </c>
      <c r="GK31" t="e">
        <f>AND(Sheet1!F415,"AAAAAG/hbsA=")</f>
        <v>#VALUE!</v>
      </c>
      <c r="GL31" t="e">
        <f>AND(Sheet1!G415,"AAAAAG/hbsE=")</f>
        <v>#VALUE!</v>
      </c>
      <c r="GM31" t="e">
        <f>AND(Sheet1!H415,"AAAAAG/hbsI=")</f>
        <v>#VALUE!</v>
      </c>
      <c r="GN31" t="e">
        <f>AND(Sheet1!I415,"AAAAAG/hbsM=")</f>
        <v>#VALUE!</v>
      </c>
      <c r="GO31" t="e">
        <f>AND(Sheet1!J415,"AAAAAG/hbsQ=")</f>
        <v>#VALUE!</v>
      </c>
      <c r="GP31" t="e">
        <f>AND(Sheet1!K415,"AAAAAG/hbsU=")</f>
        <v>#VALUE!</v>
      </c>
      <c r="GQ31" t="e">
        <f>AND(Sheet1!L415,"AAAAAG/hbsY=")</f>
        <v>#VALUE!</v>
      </c>
      <c r="GR31" t="e">
        <f>AND(Sheet1!M415,"AAAAAG/hbsc=")</f>
        <v>#VALUE!</v>
      </c>
      <c r="GS31" t="e">
        <f>AND(Sheet1!N415,"AAAAAG/hbsg=")</f>
        <v>#VALUE!</v>
      </c>
      <c r="GT31" t="e">
        <f>AND(Sheet1!#REF!,"AAAAAG/hbsk=")</f>
        <v>#REF!</v>
      </c>
      <c r="GU31" t="e">
        <f>AND(Sheet1!#REF!,"AAAAAG/hbso=")</f>
        <v>#REF!</v>
      </c>
      <c r="GV31" t="e">
        <f>AND(Sheet1!#REF!,"AAAAAG/hbss=")</f>
        <v>#REF!</v>
      </c>
      <c r="GW31" t="e">
        <f>AND(Sheet1!#REF!,"AAAAAG/hbsw=")</f>
        <v>#REF!</v>
      </c>
      <c r="GX31">
        <f>IF(Sheet1!416:416,"AAAAAG/hbs0=",0)</f>
        <v>0</v>
      </c>
      <c r="GY31" t="e">
        <f>AND(Sheet1!A416,"AAAAAG/hbs4=")</f>
        <v>#VALUE!</v>
      </c>
      <c r="GZ31" t="e">
        <f>AND(Sheet1!B416,"AAAAAG/hbs8=")</f>
        <v>#VALUE!</v>
      </c>
      <c r="HA31" t="e">
        <f>AND(Sheet1!C416,"AAAAAG/hbtA=")</f>
        <v>#VALUE!</v>
      </c>
      <c r="HB31" t="e">
        <f>AND(Sheet1!D416,"AAAAAG/hbtE=")</f>
        <v>#VALUE!</v>
      </c>
      <c r="HC31" t="e">
        <f>AND(Sheet1!E416,"AAAAAG/hbtI=")</f>
        <v>#VALUE!</v>
      </c>
      <c r="HD31" t="e">
        <f>AND(Sheet1!F416,"AAAAAG/hbtM=")</f>
        <v>#VALUE!</v>
      </c>
      <c r="HE31" t="e">
        <f>AND(Sheet1!G416,"AAAAAG/hbtQ=")</f>
        <v>#VALUE!</v>
      </c>
      <c r="HF31" t="e">
        <f>AND(Sheet1!H416,"AAAAAG/hbtU=")</f>
        <v>#VALUE!</v>
      </c>
      <c r="HG31" t="e">
        <f>AND(Sheet1!I416,"AAAAAG/hbtY=")</f>
        <v>#VALUE!</v>
      </c>
      <c r="HH31" t="e">
        <f>AND(Sheet1!J416,"AAAAAG/hbtc=")</f>
        <v>#VALUE!</v>
      </c>
      <c r="HI31" t="e">
        <f>AND(Sheet1!K416,"AAAAAG/hbtg=")</f>
        <v>#VALUE!</v>
      </c>
      <c r="HJ31" t="e">
        <f>AND(Sheet1!L416,"AAAAAG/hbtk=")</f>
        <v>#VALUE!</v>
      </c>
      <c r="HK31" t="e">
        <f>AND(Sheet1!M416,"AAAAAG/hbto=")</f>
        <v>#VALUE!</v>
      </c>
      <c r="HL31" t="e">
        <f>AND(Sheet1!N416,"AAAAAG/hbts=")</f>
        <v>#VALUE!</v>
      </c>
      <c r="HM31" t="e">
        <f>AND(Sheet1!#REF!,"AAAAAG/hbtw=")</f>
        <v>#REF!</v>
      </c>
      <c r="HN31" t="e">
        <f>AND(Sheet1!#REF!,"AAAAAG/hbt0=")</f>
        <v>#REF!</v>
      </c>
      <c r="HO31" t="e">
        <f>AND(Sheet1!#REF!,"AAAAAG/hbt4=")</f>
        <v>#REF!</v>
      </c>
      <c r="HP31" t="e">
        <f>AND(Sheet1!#REF!,"AAAAAG/hbt8=")</f>
        <v>#REF!</v>
      </c>
      <c r="HQ31">
        <f>IF(Sheet1!417:417,"AAAAAG/hbuA=",0)</f>
        <v>0</v>
      </c>
      <c r="HR31" t="e">
        <f>AND(Sheet1!A417,"AAAAAG/hbuE=")</f>
        <v>#VALUE!</v>
      </c>
      <c r="HS31" t="e">
        <f>AND(Sheet1!B417,"AAAAAG/hbuI=")</f>
        <v>#VALUE!</v>
      </c>
      <c r="HT31" t="e">
        <f>AND(Sheet1!C417,"AAAAAG/hbuM=")</f>
        <v>#VALUE!</v>
      </c>
      <c r="HU31" t="e">
        <f>AND(Sheet1!D417,"AAAAAG/hbuQ=")</f>
        <v>#VALUE!</v>
      </c>
      <c r="HV31" t="e">
        <f>AND(Sheet1!E417,"AAAAAG/hbuU=")</f>
        <v>#VALUE!</v>
      </c>
      <c r="HW31" t="e">
        <f>AND(Sheet1!F417,"AAAAAG/hbuY=")</f>
        <v>#VALUE!</v>
      </c>
      <c r="HX31" t="e">
        <f>AND(Sheet1!G417,"AAAAAG/hbuc=")</f>
        <v>#VALUE!</v>
      </c>
      <c r="HY31" t="e">
        <f>AND(Sheet1!H417,"AAAAAG/hbug=")</f>
        <v>#VALUE!</v>
      </c>
      <c r="HZ31" t="e">
        <f>AND(Sheet1!I417,"AAAAAG/hbuk=")</f>
        <v>#VALUE!</v>
      </c>
      <c r="IA31" t="e">
        <f>AND(Sheet1!J417,"AAAAAG/hbuo=")</f>
        <v>#VALUE!</v>
      </c>
      <c r="IB31" t="e">
        <f>AND(Sheet1!K417,"AAAAAG/hbus=")</f>
        <v>#VALUE!</v>
      </c>
      <c r="IC31" t="e">
        <f>AND(Sheet1!L417,"AAAAAG/hbuw=")</f>
        <v>#VALUE!</v>
      </c>
      <c r="ID31" t="e">
        <f>AND(Sheet1!M417,"AAAAAG/hbu0=")</f>
        <v>#VALUE!</v>
      </c>
      <c r="IE31" t="e">
        <f>AND(Sheet1!N417,"AAAAAG/hbu4=")</f>
        <v>#VALUE!</v>
      </c>
      <c r="IF31" t="e">
        <f>AND(Sheet1!#REF!,"AAAAAG/hbu8=")</f>
        <v>#REF!</v>
      </c>
      <c r="IG31" t="e">
        <f>AND(Sheet1!#REF!,"AAAAAG/hbvA=")</f>
        <v>#REF!</v>
      </c>
      <c r="IH31" t="e">
        <f>AND(Sheet1!#REF!,"AAAAAG/hbvE=")</f>
        <v>#REF!</v>
      </c>
      <c r="II31" t="e">
        <f>AND(Sheet1!#REF!,"AAAAAG/hbvI=")</f>
        <v>#REF!</v>
      </c>
      <c r="IJ31">
        <f>IF(Sheet1!418:418,"AAAAAG/hbvM=",0)</f>
        <v>0</v>
      </c>
      <c r="IK31" t="e">
        <f>AND(Sheet1!A418,"AAAAAG/hbvQ=")</f>
        <v>#VALUE!</v>
      </c>
      <c r="IL31" t="e">
        <f>AND(Sheet1!B418,"AAAAAG/hbvU=")</f>
        <v>#VALUE!</v>
      </c>
      <c r="IM31" t="e">
        <f>AND(Sheet1!C418,"AAAAAG/hbvY=")</f>
        <v>#VALUE!</v>
      </c>
      <c r="IN31" t="e">
        <f>AND(Sheet1!D418,"AAAAAG/hbvc=")</f>
        <v>#VALUE!</v>
      </c>
      <c r="IO31" t="e">
        <f>AND(Sheet1!E418,"AAAAAG/hbvg=")</f>
        <v>#VALUE!</v>
      </c>
      <c r="IP31" t="e">
        <f>AND(Sheet1!F418,"AAAAAG/hbvk=")</f>
        <v>#VALUE!</v>
      </c>
      <c r="IQ31" t="e">
        <f>AND(Sheet1!G418,"AAAAAG/hbvo=")</f>
        <v>#VALUE!</v>
      </c>
      <c r="IR31" t="e">
        <f>AND(Sheet1!H418,"AAAAAG/hbvs=")</f>
        <v>#VALUE!</v>
      </c>
      <c r="IS31" t="e">
        <f>AND(Sheet1!I418,"AAAAAG/hbvw=")</f>
        <v>#VALUE!</v>
      </c>
      <c r="IT31" t="e">
        <f>AND(Sheet1!J418,"AAAAAG/hbv0=")</f>
        <v>#VALUE!</v>
      </c>
      <c r="IU31" t="e">
        <f>AND(Sheet1!K418,"AAAAAG/hbv4=")</f>
        <v>#VALUE!</v>
      </c>
      <c r="IV31" t="e">
        <f>AND(Sheet1!L418,"AAAAAG/hbv8=")</f>
        <v>#VALUE!</v>
      </c>
    </row>
    <row r="32" spans="1:256" x14ac:dyDescent="0.2">
      <c r="A32" t="e">
        <f>AND(Sheet1!M418,"AAAAAHrrfwA=")</f>
        <v>#VALUE!</v>
      </c>
      <c r="B32" t="e">
        <f>AND(Sheet1!N418,"AAAAAHrrfwE=")</f>
        <v>#VALUE!</v>
      </c>
      <c r="C32" t="e">
        <f>AND(Sheet1!#REF!,"AAAAAHrrfwI=")</f>
        <v>#REF!</v>
      </c>
      <c r="D32" t="e">
        <f>AND(Sheet1!#REF!,"AAAAAHrrfwM=")</f>
        <v>#REF!</v>
      </c>
      <c r="E32" t="e">
        <f>AND(Sheet1!#REF!,"AAAAAHrrfwQ=")</f>
        <v>#REF!</v>
      </c>
      <c r="F32" t="e">
        <f>AND(Sheet1!#REF!,"AAAAAHrrfwU=")</f>
        <v>#REF!</v>
      </c>
      <c r="G32" t="str">
        <f>IF(Sheet1!419:419,"AAAAAHrrfwY=",0)</f>
        <v>AAAAAHrrfwY=</v>
      </c>
      <c r="H32" t="e">
        <f>AND(Sheet1!A419,"AAAAAHrrfwc=")</f>
        <v>#VALUE!</v>
      </c>
      <c r="I32" t="e">
        <f>AND(Sheet1!B419,"AAAAAHrrfwg=")</f>
        <v>#VALUE!</v>
      </c>
      <c r="J32" t="e">
        <f>AND(Sheet1!C419,"AAAAAHrrfwk=")</f>
        <v>#VALUE!</v>
      </c>
      <c r="K32" t="e">
        <f>AND(Sheet1!D419,"AAAAAHrrfwo=")</f>
        <v>#VALUE!</v>
      </c>
      <c r="L32" t="e">
        <f>AND(Sheet1!E419,"AAAAAHrrfws=")</f>
        <v>#VALUE!</v>
      </c>
      <c r="M32" t="e">
        <f>AND(Sheet1!F419,"AAAAAHrrfww=")</f>
        <v>#VALUE!</v>
      </c>
      <c r="N32" t="e">
        <f>AND(Sheet1!G419,"AAAAAHrrfw0=")</f>
        <v>#VALUE!</v>
      </c>
      <c r="O32" t="e">
        <f>AND(Sheet1!H419,"AAAAAHrrfw4=")</f>
        <v>#VALUE!</v>
      </c>
      <c r="P32" t="e">
        <f>AND(Sheet1!I419,"AAAAAHrrfw8=")</f>
        <v>#VALUE!</v>
      </c>
      <c r="Q32" t="e">
        <f>AND(Sheet1!J419,"AAAAAHrrfxA=")</f>
        <v>#VALUE!</v>
      </c>
      <c r="R32" t="e">
        <f>AND(Sheet1!K419,"AAAAAHrrfxE=")</f>
        <v>#VALUE!</v>
      </c>
      <c r="S32" t="e">
        <f>AND(Sheet1!L419,"AAAAAHrrfxI=")</f>
        <v>#VALUE!</v>
      </c>
      <c r="T32" t="e">
        <f>AND(Sheet1!M419,"AAAAAHrrfxM=")</f>
        <v>#VALUE!</v>
      </c>
      <c r="U32" t="e">
        <f>AND(Sheet1!N419,"AAAAAHrrfxQ=")</f>
        <v>#VALUE!</v>
      </c>
      <c r="V32" t="e">
        <f>AND(Sheet1!#REF!,"AAAAAHrrfxU=")</f>
        <v>#REF!</v>
      </c>
      <c r="W32" t="e">
        <f>AND(Sheet1!#REF!,"AAAAAHrrfxY=")</f>
        <v>#REF!</v>
      </c>
      <c r="X32" t="e">
        <f>AND(Sheet1!#REF!,"AAAAAHrrfxc=")</f>
        <v>#REF!</v>
      </c>
      <c r="Y32" t="e">
        <f>AND(Sheet1!#REF!,"AAAAAHrrfxg=")</f>
        <v>#REF!</v>
      </c>
      <c r="Z32">
        <f>IF(Sheet1!420:420,"AAAAAHrrfxk=",0)</f>
        <v>0</v>
      </c>
      <c r="AA32" t="e">
        <f>AND(Sheet1!A420,"AAAAAHrrfxo=")</f>
        <v>#VALUE!</v>
      </c>
      <c r="AB32" t="e">
        <f>AND(Sheet1!B420,"AAAAAHrrfxs=")</f>
        <v>#VALUE!</v>
      </c>
      <c r="AC32" t="e">
        <f>AND(Sheet1!C420,"AAAAAHrrfxw=")</f>
        <v>#VALUE!</v>
      </c>
      <c r="AD32" t="e">
        <f>AND(Sheet1!D420,"AAAAAHrrfx0=")</f>
        <v>#VALUE!</v>
      </c>
      <c r="AE32" t="e">
        <f>AND(Sheet1!E420,"AAAAAHrrfx4=")</f>
        <v>#VALUE!</v>
      </c>
      <c r="AF32" t="e">
        <f>AND(Sheet1!F420,"AAAAAHrrfx8=")</f>
        <v>#VALUE!</v>
      </c>
      <c r="AG32" t="e">
        <f>AND(Sheet1!G420,"AAAAAHrrfyA=")</f>
        <v>#VALUE!</v>
      </c>
      <c r="AH32" t="e">
        <f>AND(Sheet1!H420,"AAAAAHrrfyE=")</f>
        <v>#VALUE!</v>
      </c>
      <c r="AI32" t="e">
        <f>AND(Sheet1!I420,"AAAAAHrrfyI=")</f>
        <v>#VALUE!</v>
      </c>
      <c r="AJ32" t="e">
        <f>AND(Sheet1!J420,"AAAAAHrrfyM=")</f>
        <v>#VALUE!</v>
      </c>
      <c r="AK32" t="e">
        <f>AND(Sheet1!K420,"AAAAAHrrfyQ=")</f>
        <v>#VALUE!</v>
      </c>
      <c r="AL32" t="e">
        <f>AND(Sheet1!L420,"AAAAAHrrfyU=")</f>
        <v>#VALUE!</v>
      </c>
      <c r="AM32" t="e">
        <f>AND(Sheet1!M420,"AAAAAHrrfyY=")</f>
        <v>#VALUE!</v>
      </c>
      <c r="AN32" t="e">
        <f>AND(Sheet1!N420,"AAAAAHrrfyc=")</f>
        <v>#VALUE!</v>
      </c>
      <c r="AO32" t="e">
        <f>AND(Sheet1!#REF!,"AAAAAHrrfyg=")</f>
        <v>#REF!</v>
      </c>
      <c r="AP32" t="e">
        <f>AND(Sheet1!#REF!,"AAAAAHrrfyk=")</f>
        <v>#REF!</v>
      </c>
      <c r="AQ32" t="e">
        <f>AND(Sheet1!#REF!,"AAAAAHrrfyo=")</f>
        <v>#REF!</v>
      </c>
      <c r="AR32" t="e">
        <f>AND(Sheet1!#REF!,"AAAAAHrrfys=")</f>
        <v>#REF!</v>
      </c>
      <c r="AS32">
        <f>IF(Sheet1!421:421,"AAAAAHrrfyw=",0)</f>
        <v>0</v>
      </c>
      <c r="AT32" t="e">
        <f>AND(Sheet1!A421,"AAAAAHrrfy0=")</f>
        <v>#VALUE!</v>
      </c>
      <c r="AU32" t="e">
        <f>AND(Sheet1!B421,"AAAAAHrrfy4=")</f>
        <v>#VALUE!</v>
      </c>
      <c r="AV32" t="e">
        <f>AND(Sheet1!C421,"AAAAAHrrfy8=")</f>
        <v>#VALUE!</v>
      </c>
      <c r="AW32" t="e">
        <f>AND(Sheet1!D421,"AAAAAHrrfzA=")</f>
        <v>#VALUE!</v>
      </c>
      <c r="AX32" t="e">
        <f>AND(Sheet1!E421,"AAAAAHrrfzE=")</f>
        <v>#VALUE!</v>
      </c>
      <c r="AY32" t="e">
        <f>AND(Sheet1!F421,"AAAAAHrrfzI=")</f>
        <v>#VALUE!</v>
      </c>
      <c r="AZ32" t="e">
        <f>AND(Sheet1!G421,"AAAAAHrrfzM=")</f>
        <v>#VALUE!</v>
      </c>
      <c r="BA32" t="e">
        <f>AND(Sheet1!H421,"AAAAAHrrfzQ=")</f>
        <v>#VALUE!</v>
      </c>
      <c r="BB32" t="e">
        <f>AND(Sheet1!I421,"AAAAAHrrfzU=")</f>
        <v>#VALUE!</v>
      </c>
      <c r="BC32" t="e">
        <f>AND(Sheet1!J421,"AAAAAHrrfzY=")</f>
        <v>#VALUE!</v>
      </c>
      <c r="BD32" t="e">
        <f>AND(Sheet1!K421,"AAAAAHrrfzc=")</f>
        <v>#VALUE!</v>
      </c>
      <c r="BE32" t="e">
        <f>AND(Sheet1!L421,"AAAAAHrrfzg=")</f>
        <v>#VALUE!</v>
      </c>
      <c r="BF32" t="e">
        <f>AND(Sheet1!M421,"AAAAAHrrfzk=")</f>
        <v>#VALUE!</v>
      </c>
      <c r="BG32" t="e">
        <f>AND(Sheet1!N421,"AAAAAHrrfzo=")</f>
        <v>#VALUE!</v>
      </c>
      <c r="BH32" t="e">
        <f>AND(Sheet1!#REF!,"AAAAAHrrfzs=")</f>
        <v>#REF!</v>
      </c>
      <c r="BI32" t="e">
        <f>AND(Sheet1!#REF!,"AAAAAHrrfzw=")</f>
        <v>#REF!</v>
      </c>
      <c r="BJ32" t="e">
        <f>AND(Sheet1!#REF!,"AAAAAHrrfz0=")</f>
        <v>#REF!</v>
      </c>
      <c r="BK32" t="e">
        <f>AND(Sheet1!#REF!,"AAAAAHrrfz4=")</f>
        <v>#REF!</v>
      </c>
      <c r="BL32">
        <f>IF(Sheet1!422:422,"AAAAAHrrfz8=",0)</f>
        <v>0</v>
      </c>
      <c r="BM32" t="e">
        <f>AND(Sheet1!A422,"AAAAAHrrf0A=")</f>
        <v>#VALUE!</v>
      </c>
      <c r="BN32" t="e">
        <f>AND(Sheet1!B422,"AAAAAHrrf0E=")</f>
        <v>#VALUE!</v>
      </c>
      <c r="BO32" t="e">
        <f>AND(Sheet1!C422,"AAAAAHrrf0I=")</f>
        <v>#VALUE!</v>
      </c>
      <c r="BP32" t="e">
        <f>AND(Sheet1!D422,"AAAAAHrrf0M=")</f>
        <v>#VALUE!</v>
      </c>
      <c r="BQ32" t="e">
        <f>AND(Sheet1!E422,"AAAAAHrrf0Q=")</f>
        <v>#VALUE!</v>
      </c>
      <c r="BR32" t="e">
        <f>AND(Sheet1!F422,"AAAAAHrrf0U=")</f>
        <v>#VALUE!</v>
      </c>
      <c r="BS32" t="e">
        <f>AND(Sheet1!G422,"AAAAAHrrf0Y=")</f>
        <v>#VALUE!</v>
      </c>
      <c r="BT32" t="e">
        <f>AND(Sheet1!H422,"AAAAAHrrf0c=")</f>
        <v>#VALUE!</v>
      </c>
      <c r="BU32" t="e">
        <f>AND(Sheet1!I422,"AAAAAHrrf0g=")</f>
        <v>#VALUE!</v>
      </c>
      <c r="BV32" t="e">
        <f>AND(Sheet1!J422,"AAAAAHrrf0k=")</f>
        <v>#VALUE!</v>
      </c>
      <c r="BW32" t="e">
        <f>AND(Sheet1!K422,"AAAAAHrrf0o=")</f>
        <v>#VALUE!</v>
      </c>
      <c r="BX32" t="e">
        <f>AND(Sheet1!L422,"AAAAAHrrf0s=")</f>
        <v>#VALUE!</v>
      </c>
      <c r="BY32" t="e">
        <f>AND(Sheet1!M422,"AAAAAHrrf0w=")</f>
        <v>#VALUE!</v>
      </c>
      <c r="BZ32" t="e">
        <f>AND(Sheet1!N422,"AAAAAHrrf00=")</f>
        <v>#VALUE!</v>
      </c>
      <c r="CA32" t="e">
        <f>AND(Sheet1!#REF!,"AAAAAHrrf04=")</f>
        <v>#REF!</v>
      </c>
      <c r="CB32" t="e">
        <f>AND(Sheet1!#REF!,"AAAAAHrrf08=")</f>
        <v>#REF!</v>
      </c>
      <c r="CC32" t="e">
        <f>AND(Sheet1!#REF!,"AAAAAHrrf1A=")</f>
        <v>#REF!</v>
      </c>
      <c r="CD32" t="e">
        <f>AND(Sheet1!#REF!,"AAAAAHrrf1E=")</f>
        <v>#REF!</v>
      </c>
      <c r="CE32">
        <f>IF(Sheet1!423:423,"AAAAAHrrf1I=",0)</f>
        <v>0</v>
      </c>
      <c r="CF32" t="e">
        <f>AND(Sheet1!A423,"AAAAAHrrf1M=")</f>
        <v>#VALUE!</v>
      </c>
      <c r="CG32" t="e">
        <f>AND(Sheet1!B423,"AAAAAHrrf1Q=")</f>
        <v>#VALUE!</v>
      </c>
      <c r="CH32" t="e">
        <f>AND(Sheet1!C423,"AAAAAHrrf1U=")</f>
        <v>#VALUE!</v>
      </c>
      <c r="CI32" t="e">
        <f>AND(Sheet1!D423,"AAAAAHrrf1Y=")</f>
        <v>#VALUE!</v>
      </c>
      <c r="CJ32" t="e">
        <f>AND(Sheet1!E423,"AAAAAHrrf1c=")</f>
        <v>#VALUE!</v>
      </c>
      <c r="CK32" t="e">
        <f>AND(Sheet1!F423,"AAAAAHrrf1g=")</f>
        <v>#VALUE!</v>
      </c>
      <c r="CL32" t="e">
        <f>AND(Sheet1!G423,"AAAAAHrrf1k=")</f>
        <v>#VALUE!</v>
      </c>
      <c r="CM32" t="e">
        <f>AND(Sheet1!H423,"AAAAAHrrf1o=")</f>
        <v>#VALUE!</v>
      </c>
      <c r="CN32" t="e">
        <f>AND(Sheet1!I423,"AAAAAHrrf1s=")</f>
        <v>#VALUE!</v>
      </c>
      <c r="CO32" t="e">
        <f>AND(Sheet1!J423,"AAAAAHrrf1w=")</f>
        <v>#VALUE!</v>
      </c>
      <c r="CP32" t="e">
        <f>AND(Sheet1!K423,"AAAAAHrrf10=")</f>
        <v>#VALUE!</v>
      </c>
      <c r="CQ32" t="e">
        <f>AND(Sheet1!L423,"AAAAAHrrf14=")</f>
        <v>#VALUE!</v>
      </c>
      <c r="CR32" t="e">
        <f>AND(Sheet1!M423,"AAAAAHrrf18=")</f>
        <v>#VALUE!</v>
      </c>
      <c r="CS32" t="e">
        <f>AND(Sheet1!N423,"AAAAAHrrf2A=")</f>
        <v>#VALUE!</v>
      </c>
      <c r="CT32" t="e">
        <f>AND(Sheet1!#REF!,"AAAAAHrrf2E=")</f>
        <v>#REF!</v>
      </c>
      <c r="CU32" t="e">
        <f>AND(Sheet1!#REF!,"AAAAAHrrf2I=")</f>
        <v>#REF!</v>
      </c>
      <c r="CV32" t="e">
        <f>AND(Sheet1!#REF!,"AAAAAHrrf2M=")</f>
        <v>#REF!</v>
      </c>
      <c r="CW32" t="e">
        <f>AND(Sheet1!#REF!,"AAAAAHrrf2Q=")</f>
        <v>#REF!</v>
      </c>
      <c r="CX32">
        <f>IF(Sheet1!424:424,"AAAAAHrrf2U=",0)</f>
        <v>0</v>
      </c>
      <c r="CY32" t="e">
        <f>AND(Sheet1!A424,"AAAAAHrrf2Y=")</f>
        <v>#VALUE!</v>
      </c>
      <c r="CZ32" t="e">
        <f>AND(Sheet1!B424,"AAAAAHrrf2c=")</f>
        <v>#VALUE!</v>
      </c>
      <c r="DA32" t="e">
        <f>AND(Sheet1!C424,"AAAAAHrrf2g=")</f>
        <v>#VALUE!</v>
      </c>
      <c r="DB32" t="e">
        <f>AND(Sheet1!D424,"AAAAAHrrf2k=")</f>
        <v>#VALUE!</v>
      </c>
      <c r="DC32" t="e">
        <f>AND(Sheet1!E424,"AAAAAHrrf2o=")</f>
        <v>#VALUE!</v>
      </c>
      <c r="DD32" t="e">
        <f>AND(Sheet1!F424,"AAAAAHrrf2s=")</f>
        <v>#VALUE!</v>
      </c>
      <c r="DE32" t="e">
        <f>AND(Sheet1!G424,"AAAAAHrrf2w=")</f>
        <v>#VALUE!</v>
      </c>
      <c r="DF32" t="e">
        <f>AND(Sheet1!H424,"AAAAAHrrf20=")</f>
        <v>#VALUE!</v>
      </c>
      <c r="DG32" t="e">
        <f>AND(Sheet1!I424,"AAAAAHrrf24=")</f>
        <v>#VALUE!</v>
      </c>
      <c r="DH32" t="e">
        <f>AND(Sheet1!J424,"AAAAAHrrf28=")</f>
        <v>#VALUE!</v>
      </c>
      <c r="DI32" t="e">
        <f>AND(Sheet1!K424,"AAAAAHrrf3A=")</f>
        <v>#VALUE!</v>
      </c>
      <c r="DJ32" t="e">
        <f>AND(Sheet1!L424,"AAAAAHrrf3E=")</f>
        <v>#VALUE!</v>
      </c>
      <c r="DK32" t="e">
        <f>AND(Sheet1!M424,"AAAAAHrrf3I=")</f>
        <v>#VALUE!</v>
      </c>
      <c r="DL32" t="e">
        <f>AND(Sheet1!N424,"AAAAAHrrf3M=")</f>
        <v>#VALUE!</v>
      </c>
      <c r="DM32" t="e">
        <f>AND(Sheet1!#REF!,"AAAAAHrrf3Q=")</f>
        <v>#REF!</v>
      </c>
      <c r="DN32" t="e">
        <f>AND(Sheet1!#REF!,"AAAAAHrrf3U=")</f>
        <v>#REF!</v>
      </c>
      <c r="DO32" t="e">
        <f>AND(Sheet1!#REF!,"AAAAAHrrf3Y=")</f>
        <v>#REF!</v>
      </c>
      <c r="DP32" t="e">
        <f>AND(Sheet1!#REF!,"AAAAAHrrf3c=")</f>
        <v>#REF!</v>
      </c>
      <c r="DQ32">
        <f>IF(Sheet1!425:425,"AAAAAHrrf3g=",0)</f>
        <v>0</v>
      </c>
      <c r="DR32" t="e">
        <f>AND(Sheet1!A425,"AAAAAHrrf3k=")</f>
        <v>#VALUE!</v>
      </c>
      <c r="DS32" t="e">
        <f>AND(Sheet1!B425,"AAAAAHrrf3o=")</f>
        <v>#VALUE!</v>
      </c>
      <c r="DT32" t="e">
        <f>AND(Sheet1!C425,"AAAAAHrrf3s=")</f>
        <v>#VALUE!</v>
      </c>
      <c r="DU32" t="e">
        <f>AND(Sheet1!D425,"AAAAAHrrf3w=")</f>
        <v>#VALUE!</v>
      </c>
      <c r="DV32" t="e">
        <f>AND(Sheet1!E425,"AAAAAHrrf30=")</f>
        <v>#VALUE!</v>
      </c>
      <c r="DW32" t="e">
        <f>AND(Sheet1!F425,"AAAAAHrrf34=")</f>
        <v>#VALUE!</v>
      </c>
      <c r="DX32" t="e">
        <f>AND(Sheet1!G425,"AAAAAHrrf38=")</f>
        <v>#VALUE!</v>
      </c>
      <c r="DY32" t="e">
        <f>AND(Sheet1!H425,"AAAAAHrrf4A=")</f>
        <v>#VALUE!</v>
      </c>
      <c r="DZ32" t="e">
        <f>AND(Sheet1!I425,"AAAAAHrrf4E=")</f>
        <v>#VALUE!</v>
      </c>
      <c r="EA32" t="e">
        <f>AND(Sheet1!J425,"AAAAAHrrf4I=")</f>
        <v>#VALUE!</v>
      </c>
      <c r="EB32" t="e">
        <f>AND(Sheet1!K425,"AAAAAHrrf4M=")</f>
        <v>#VALUE!</v>
      </c>
      <c r="EC32" t="e">
        <f>AND(Sheet1!L425,"AAAAAHrrf4Q=")</f>
        <v>#VALUE!</v>
      </c>
      <c r="ED32" t="e">
        <f>AND(Sheet1!M425,"AAAAAHrrf4U=")</f>
        <v>#VALUE!</v>
      </c>
      <c r="EE32" t="e">
        <f>AND(Sheet1!N425,"AAAAAHrrf4Y=")</f>
        <v>#VALUE!</v>
      </c>
      <c r="EF32" t="e">
        <f>AND(Sheet1!#REF!,"AAAAAHrrf4c=")</f>
        <v>#REF!</v>
      </c>
      <c r="EG32" t="e">
        <f>AND(Sheet1!#REF!,"AAAAAHrrf4g=")</f>
        <v>#REF!</v>
      </c>
      <c r="EH32" t="e">
        <f>AND(Sheet1!#REF!,"AAAAAHrrf4k=")</f>
        <v>#REF!</v>
      </c>
      <c r="EI32" t="e">
        <f>AND(Sheet1!#REF!,"AAAAAHrrf4o=")</f>
        <v>#REF!</v>
      </c>
      <c r="EJ32">
        <f>IF(Sheet1!426:426,"AAAAAHrrf4s=",0)</f>
        <v>0</v>
      </c>
      <c r="EK32" t="e">
        <f>AND(Sheet1!A426,"AAAAAHrrf4w=")</f>
        <v>#VALUE!</v>
      </c>
      <c r="EL32" t="e">
        <f>AND(Sheet1!B426,"AAAAAHrrf40=")</f>
        <v>#VALUE!</v>
      </c>
      <c r="EM32" t="e">
        <f>AND(Sheet1!C426,"AAAAAHrrf44=")</f>
        <v>#VALUE!</v>
      </c>
      <c r="EN32" t="e">
        <f>AND(Sheet1!D426,"AAAAAHrrf48=")</f>
        <v>#VALUE!</v>
      </c>
      <c r="EO32" t="e">
        <f>AND(Sheet1!E426,"AAAAAHrrf5A=")</f>
        <v>#VALUE!</v>
      </c>
      <c r="EP32" t="e">
        <f>AND(Sheet1!F426,"AAAAAHrrf5E=")</f>
        <v>#VALUE!</v>
      </c>
      <c r="EQ32" t="e">
        <f>AND(Sheet1!G426,"AAAAAHrrf5I=")</f>
        <v>#VALUE!</v>
      </c>
      <c r="ER32" t="e">
        <f>AND(Sheet1!H426,"AAAAAHrrf5M=")</f>
        <v>#VALUE!</v>
      </c>
      <c r="ES32" t="e">
        <f>AND(Sheet1!I426,"AAAAAHrrf5Q=")</f>
        <v>#VALUE!</v>
      </c>
      <c r="ET32" t="e">
        <f>AND(Sheet1!J426,"AAAAAHrrf5U=")</f>
        <v>#VALUE!</v>
      </c>
      <c r="EU32" t="e">
        <f>AND(Sheet1!K426,"AAAAAHrrf5Y=")</f>
        <v>#VALUE!</v>
      </c>
      <c r="EV32" t="e">
        <f>AND(Sheet1!L426,"AAAAAHrrf5c=")</f>
        <v>#VALUE!</v>
      </c>
      <c r="EW32" t="e">
        <f>AND(Sheet1!M426,"AAAAAHrrf5g=")</f>
        <v>#VALUE!</v>
      </c>
      <c r="EX32" t="e">
        <f>AND(Sheet1!N426,"AAAAAHrrf5k=")</f>
        <v>#VALUE!</v>
      </c>
      <c r="EY32" t="e">
        <f>AND(Sheet1!#REF!,"AAAAAHrrf5o=")</f>
        <v>#REF!</v>
      </c>
      <c r="EZ32" t="e">
        <f>AND(Sheet1!#REF!,"AAAAAHrrf5s=")</f>
        <v>#REF!</v>
      </c>
      <c r="FA32" t="e">
        <f>AND(Sheet1!#REF!,"AAAAAHrrf5w=")</f>
        <v>#REF!</v>
      </c>
      <c r="FB32" t="e">
        <f>AND(Sheet1!#REF!,"AAAAAHrrf50=")</f>
        <v>#REF!</v>
      </c>
      <c r="FC32">
        <f>IF(Sheet1!427:427,"AAAAAHrrf54=",0)</f>
        <v>0</v>
      </c>
      <c r="FD32" t="e">
        <f>AND(Sheet1!A427,"AAAAAHrrf58=")</f>
        <v>#VALUE!</v>
      </c>
      <c r="FE32" t="e">
        <f>AND(Sheet1!B427,"AAAAAHrrf6A=")</f>
        <v>#VALUE!</v>
      </c>
      <c r="FF32" t="e">
        <f>AND(Sheet1!C427,"AAAAAHrrf6E=")</f>
        <v>#VALUE!</v>
      </c>
      <c r="FG32" t="e">
        <f>AND(Sheet1!D427,"AAAAAHrrf6I=")</f>
        <v>#VALUE!</v>
      </c>
      <c r="FH32" t="e">
        <f>AND(Sheet1!E427,"AAAAAHrrf6M=")</f>
        <v>#VALUE!</v>
      </c>
      <c r="FI32" t="e">
        <f>AND(Sheet1!F427,"AAAAAHrrf6Q=")</f>
        <v>#VALUE!</v>
      </c>
      <c r="FJ32" t="e">
        <f>AND(Sheet1!G427,"AAAAAHrrf6U=")</f>
        <v>#VALUE!</v>
      </c>
      <c r="FK32" t="e">
        <f>AND(Sheet1!H427,"AAAAAHrrf6Y=")</f>
        <v>#VALUE!</v>
      </c>
      <c r="FL32" t="e">
        <f>AND(Sheet1!I427,"AAAAAHrrf6c=")</f>
        <v>#VALUE!</v>
      </c>
      <c r="FM32" t="e">
        <f>AND(Sheet1!J427,"AAAAAHrrf6g=")</f>
        <v>#VALUE!</v>
      </c>
      <c r="FN32" t="e">
        <f>AND(Sheet1!K427,"AAAAAHrrf6k=")</f>
        <v>#VALUE!</v>
      </c>
      <c r="FO32" t="e">
        <f>AND(Sheet1!L427,"AAAAAHrrf6o=")</f>
        <v>#VALUE!</v>
      </c>
      <c r="FP32" t="e">
        <f>AND(Sheet1!M427,"AAAAAHrrf6s=")</f>
        <v>#VALUE!</v>
      </c>
      <c r="FQ32" t="e">
        <f>AND(Sheet1!N427,"AAAAAHrrf6w=")</f>
        <v>#VALUE!</v>
      </c>
      <c r="FR32" t="e">
        <f>AND(Sheet1!#REF!,"AAAAAHrrf60=")</f>
        <v>#REF!</v>
      </c>
      <c r="FS32" t="e">
        <f>AND(Sheet1!#REF!,"AAAAAHrrf64=")</f>
        <v>#REF!</v>
      </c>
      <c r="FT32" t="e">
        <f>AND(Sheet1!#REF!,"AAAAAHrrf68=")</f>
        <v>#REF!</v>
      </c>
      <c r="FU32" t="e">
        <f>AND(Sheet1!#REF!,"AAAAAHrrf7A=")</f>
        <v>#REF!</v>
      </c>
      <c r="FV32">
        <f>IF(Sheet1!428:428,"AAAAAHrrf7E=",0)</f>
        <v>0</v>
      </c>
      <c r="FW32" t="e">
        <f>AND(Sheet1!A428,"AAAAAHrrf7I=")</f>
        <v>#VALUE!</v>
      </c>
      <c r="FX32" t="e">
        <f>AND(Sheet1!B428,"AAAAAHrrf7M=")</f>
        <v>#VALUE!</v>
      </c>
      <c r="FY32" t="e">
        <f>AND(Sheet1!C428,"AAAAAHrrf7Q=")</f>
        <v>#VALUE!</v>
      </c>
      <c r="FZ32" t="e">
        <f>AND(Sheet1!D428,"AAAAAHrrf7U=")</f>
        <v>#VALUE!</v>
      </c>
      <c r="GA32" t="e">
        <f>AND(Sheet1!E428,"AAAAAHrrf7Y=")</f>
        <v>#VALUE!</v>
      </c>
      <c r="GB32" t="e">
        <f>AND(Sheet1!F428,"AAAAAHrrf7c=")</f>
        <v>#VALUE!</v>
      </c>
      <c r="GC32" t="e">
        <f>AND(Sheet1!G428,"AAAAAHrrf7g=")</f>
        <v>#VALUE!</v>
      </c>
      <c r="GD32" t="e">
        <f>AND(Sheet1!H428,"AAAAAHrrf7k=")</f>
        <v>#VALUE!</v>
      </c>
      <c r="GE32" t="e">
        <f>AND(Sheet1!I428,"AAAAAHrrf7o=")</f>
        <v>#VALUE!</v>
      </c>
      <c r="GF32" t="e">
        <f>AND(Sheet1!J428,"AAAAAHrrf7s=")</f>
        <v>#VALUE!</v>
      </c>
      <c r="GG32" t="e">
        <f>AND(Sheet1!K428,"AAAAAHrrf7w=")</f>
        <v>#VALUE!</v>
      </c>
      <c r="GH32" t="e">
        <f>AND(Sheet1!L428,"AAAAAHrrf70=")</f>
        <v>#VALUE!</v>
      </c>
      <c r="GI32" t="e">
        <f>AND(Sheet1!M428,"AAAAAHrrf74=")</f>
        <v>#VALUE!</v>
      </c>
      <c r="GJ32" t="e">
        <f>AND(Sheet1!N428,"AAAAAHrrf78=")</f>
        <v>#VALUE!</v>
      </c>
      <c r="GK32" t="e">
        <f>AND(Sheet1!#REF!,"AAAAAHrrf8A=")</f>
        <v>#REF!</v>
      </c>
      <c r="GL32" t="e">
        <f>AND(Sheet1!#REF!,"AAAAAHrrf8E=")</f>
        <v>#REF!</v>
      </c>
      <c r="GM32" t="e">
        <f>AND(Sheet1!#REF!,"AAAAAHrrf8I=")</f>
        <v>#REF!</v>
      </c>
      <c r="GN32" t="e">
        <f>AND(Sheet1!#REF!,"AAAAAHrrf8M=")</f>
        <v>#REF!</v>
      </c>
      <c r="GO32">
        <f>IF(Sheet1!429:429,"AAAAAHrrf8Q=",0)</f>
        <v>0</v>
      </c>
      <c r="GP32" t="e">
        <f>AND(Sheet1!A429,"AAAAAHrrf8U=")</f>
        <v>#VALUE!</v>
      </c>
      <c r="GQ32" t="e">
        <f>AND(Sheet1!B429,"AAAAAHrrf8Y=")</f>
        <v>#VALUE!</v>
      </c>
      <c r="GR32" t="e">
        <f>AND(Sheet1!C429,"AAAAAHrrf8c=")</f>
        <v>#VALUE!</v>
      </c>
      <c r="GS32" t="e">
        <f>AND(Sheet1!D429,"AAAAAHrrf8g=")</f>
        <v>#VALUE!</v>
      </c>
      <c r="GT32" t="e">
        <f>AND(Sheet1!E429,"AAAAAHrrf8k=")</f>
        <v>#VALUE!</v>
      </c>
      <c r="GU32" t="e">
        <f>AND(Sheet1!F429,"AAAAAHrrf8o=")</f>
        <v>#VALUE!</v>
      </c>
      <c r="GV32" t="e">
        <f>AND(Sheet1!G429,"AAAAAHrrf8s=")</f>
        <v>#VALUE!</v>
      </c>
      <c r="GW32" t="e">
        <f>AND(Sheet1!H429,"AAAAAHrrf8w=")</f>
        <v>#VALUE!</v>
      </c>
      <c r="GX32" t="e">
        <f>AND(Sheet1!I429,"AAAAAHrrf80=")</f>
        <v>#VALUE!</v>
      </c>
      <c r="GY32" t="e">
        <f>AND(Sheet1!J429,"AAAAAHrrf84=")</f>
        <v>#VALUE!</v>
      </c>
      <c r="GZ32" t="e">
        <f>AND(Sheet1!K429,"AAAAAHrrf88=")</f>
        <v>#VALUE!</v>
      </c>
      <c r="HA32" t="e">
        <f>AND(Sheet1!L429,"AAAAAHrrf9A=")</f>
        <v>#VALUE!</v>
      </c>
      <c r="HB32" t="e">
        <f>AND(Sheet1!M429,"AAAAAHrrf9E=")</f>
        <v>#VALUE!</v>
      </c>
      <c r="HC32" t="e">
        <f>AND(Sheet1!N429,"AAAAAHrrf9I=")</f>
        <v>#VALUE!</v>
      </c>
      <c r="HD32" t="e">
        <f>AND(Sheet1!#REF!,"AAAAAHrrf9M=")</f>
        <v>#REF!</v>
      </c>
      <c r="HE32" t="e">
        <f>AND(Sheet1!#REF!,"AAAAAHrrf9Q=")</f>
        <v>#REF!</v>
      </c>
      <c r="HF32" t="e">
        <f>AND(Sheet1!#REF!,"AAAAAHrrf9U=")</f>
        <v>#REF!</v>
      </c>
      <c r="HG32" t="e">
        <f>AND(Sheet1!#REF!,"AAAAAHrrf9Y=")</f>
        <v>#REF!</v>
      </c>
      <c r="HH32">
        <f>IF(Sheet1!430:430,"AAAAAHrrf9c=",0)</f>
        <v>0</v>
      </c>
      <c r="HI32" t="e">
        <f>AND(Sheet1!A430,"AAAAAHrrf9g=")</f>
        <v>#VALUE!</v>
      </c>
      <c r="HJ32" t="e">
        <f>AND(Sheet1!B430,"AAAAAHrrf9k=")</f>
        <v>#VALUE!</v>
      </c>
      <c r="HK32" t="e">
        <f>AND(Sheet1!C430,"AAAAAHrrf9o=")</f>
        <v>#VALUE!</v>
      </c>
      <c r="HL32" t="e">
        <f>AND(Sheet1!D430,"AAAAAHrrf9s=")</f>
        <v>#VALUE!</v>
      </c>
      <c r="HM32" t="e">
        <f>AND(Sheet1!E430,"AAAAAHrrf9w=")</f>
        <v>#VALUE!</v>
      </c>
      <c r="HN32" t="e">
        <f>AND(Sheet1!F430,"AAAAAHrrf90=")</f>
        <v>#VALUE!</v>
      </c>
      <c r="HO32" t="e">
        <f>AND(Sheet1!G430,"AAAAAHrrf94=")</f>
        <v>#VALUE!</v>
      </c>
      <c r="HP32" t="e">
        <f>AND(Sheet1!H430,"AAAAAHrrf98=")</f>
        <v>#VALUE!</v>
      </c>
      <c r="HQ32" t="e">
        <f>AND(Sheet1!I430,"AAAAAHrrf+A=")</f>
        <v>#VALUE!</v>
      </c>
      <c r="HR32" t="e">
        <f>AND(Sheet1!J430,"AAAAAHrrf+E=")</f>
        <v>#VALUE!</v>
      </c>
      <c r="HS32" t="e">
        <f>AND(Sheet1!K430,"AAAAAHrrf+I=")</f>
        <v>#VALUE!</v>
      </c>
      <c r="HT32" t="e">
        <f>AND(Sheet1!L430,"AAAAAHrrf+M=")</f>
        <v>#VALUE!</v>
      </c>
      <c r="HU32" t="e">
        <f>AND(Sheet1!M430,"AAAAAHrrf+Q=")</f>
        <v>#VALUE!</v>
      </c>
      <c r="HV32" t="e">
        <f>AND(Sheet1!N430,"AAAAAHrrf+U=")</f>
        <v>#VALUE!</v>
      </c>
      <c r="HW32" t="e">
        <f>AND(Sheet1!#REF!,"AAAAAHrrf+Y=")</f>
        <v>#REF!</v>
      </c>
      <c r="HX32" t="e">
        <f>AND(Sheet1!#REF!,"AAAAAHrrf+c=")</f>
        <v>#REF!</v>
      </c>
      <c r="HY32" t="e">
        <f>AND(Sheet1!#REF!,"AAAAAHrrf+g=")</f>
        <v>#REF!</v>
      </c>
      <c r="HZ32" t="e">
        <f>AND(Sheet1!#REF!,"AAAAAHrrf+k=")</f>
        <v>#REF!</v>
      </c>
      <c r="IA32">
        <f>IF(Sheet1!431:431,"AAAAAHrrf+o=",0)</f>
        <v>0</v>
      </c>
      <c r="IB32" t="e">
        <f>AND(Sheet1!A431,"AAAAAHrrf+s=")</f>
        <v>#VALUE!</v>
      </c>
      <c r="IC32" t="e">
        <f>AND(Sheet1!B431,"AAAAAHrrf+w=")</f>
        <v>#VALUE!</v>
      </c>
      <c r="ID32" t="e">
        <f>AND(Sheet1!C431,"AAAAAHrrf+0=")</f>
        <v>#VALUE!</v>
      </c>
      <c r="IE32" t="e">
        <f>AND(Sheet1!D431,"AAAAAHrrf+4=")</f>
        <v>#VALUE!</v>
      </c>
      <c r="IF32" t="e">
        <f>AND(Sheet1!E431,"AAAAAHrrf+8=")</f>
        <v>#VALUE!</v>
      </c>
      <c r="IG32" t="e">
        <f>AND(Sheet1!F431,"AAAAAHrrf/A=")</f>
        <v>#VALUE!</v>
      </c>
      <c r="IH32" t="e">
        <f>AND(Sheet1!G431,"AAAAAHrrf/E=")</f>
        <v>#VALUE!</v>
      </c>
      <c r="II32" t="e">
        <f>AND(Sheet1!H431,"AAAAAHrrf/I=")</f>
        <v>#VALUE!</v>
      </c>
      <c r="IJ32" t="e">
        <f>AND(Sheet1!I431,"AAAAAHrrf/M=")</f>
        <v>#VALUE!</v>
      </c>
      <c r="IK32" t="e">
        <f>AND(Sheet1!J431,"AAAAAHrrf/Q=")</f>
        <v>#VALUE!</v>
      </c>
      <c r="IL32" t="e">
        <f>AND(Sheet1!K431,"AAAAAHrrf/U=")</f>
        <v>#VALUE!</v>
      </c>
      <c r="IM32" t="e">
        <f>AND(Sheet1!L431,"AAAAAHrrf/Y=")</f>
        <v>#VALUE!</v>
      </c>
      <c r="IN32" t="e">
        <f>AND(Sheet1!M431,"AAAAAHrrf/c=")</f>
        <v>#VALUE!</v>
      </c>
      <c r="IO32" t="e">
        <f>AND(Sheet1!N431,"AAAAAHrrf/g=")</f>
        <v>#VALUE!</v>
      </c>
      <c r="IP32" t="e">
        <f>AND(Sheet1!#REF!,"AAAAAHrrf/k=")</f>
        <v>#REF!</v>
      </c>
      <c r="IQ32" t="e">
        <f>AND(Sheet1!#REF!,"AAAAAHrrf/o=")</f>
        <v>#REF!</v>
      </c>
      <c r="IR32" t="e">
        <f>AND(Sheet1!#REF!,"AAAAAHrrf/s=")</f>
        <v>#REF!</v>
      </c>
      <c r="IS32" t="e">
        <f>AND(Sheet1!#REF!,"AAAAAHrrf/w=")</f>
        <v>#REF!</v>
      </c>
      <c r="IT32">
        <f>IF(Sheet1!432:432,"AAAAAHrrf/0=",0)</f>
        <v>0</v>
      </c>
      <c r="IU32" t="e">
        <f>AND(Sheet1!A432,"AAAAAHrrf/4=")</f>
        <v>#VALUE!</v>
      </c>
      <c r="IV32" t="e">
        <f>AND(Sheet1!B432,"AAAAAHrrf/8=")</f>
        <v>#VALUE!</v>
      </c>
    </row>
    <row r="33" spans="1:256" x14ac:dyDescent="0.2">
      <c r="A33" t="e">
        <f>AND(Sheet1!C432,"AAAAAGwh7wA=")</f>
        <v>#VALUE!</v>
      </c>
      <c r="B33" t="e">
        <f>AND(Sheet1!D432,"AAAAAGwh7wE=")</f>
        <v>#VALUE!</v>
      </c>
      <c r="C33" t="e">
        <f>AND(Sheet1!E432,"AAAAAGwh7wI=")</f>
        <v>#VALUE!</v>
      </c>
      <c r="D33" t="e">
        <f>AND(Sheet1!F432,"AAAAAGwh7wM=")</f>
        <v>#VALUE!</v>
      </c>
      <c r="E33" t="e">
        <f>AND(Sheet1!G432,"AAAAAGwh7wQ=")</f>
        <v>#VALUE!</v>
      </c>
      <c r="F33" t="e">
        <f>AND(Sheet1!H432,"AAAAAGwh7wU=")</f>
        <v>#VALUE!</v>
      </c>
      <c r="G33" t="e">
        <f>AND(Sheet1!I432,"AAAAAGwh7wY=")</f>
        <v>#VALUE!</v>
      </c>
      <c r="H33" t="e">
        <f>AND(Sheet1!J432,"AAAAAGwh7wc=")</f>
        <v>#VALUE!</v>
      </c>
      <c r="I33" t="e">
        <f>AND(Sheet1!K432,"AAAAAGwh7wg=")</f>
        <v>#VALUE!</v>
      </c>
      <c r="J33" t="e">
        <f>AND(Sheet1!L432,"AAAAAGwh7wk=")</f>
        <v>#VALUE!</v>
      </c>
      <c r="K33" t="e">
        <f>AND(Sheet1!M432,"AAAAAGwh7wo=")</f>
        <v>#VALUE!</v>
      </c>
      <c r="L33" t="e">
        <f>AND(Sheet1!N432,"AAAAAGwh7ws=")</f>
        <v>#VALUE!</v>
      </c>
      <c r="M33" t="e">
        <f>AND(Sheet1!#REF!,"AAAAAGwh7ww=")</f>
        <v>#REF!</v>
      </c>
      <c r="N33" t="e">
        <f>AND(Sheet1!#REF!,"AAAAAGwh7w0=")</f>
        <v>#REF!</v>
      </c>
      <c r="O33" t="e">
        <f>AND(Sheet1!#REF!,"AAAAAGwh7w4=")</f>
        <v>#REF!</v>
      </c>
      <c r="P33" t="e">
        <f>AND(Sheet1!#REF!,"AAAAAGwh7w8=")</f>
        <v>#REF!</v>
      </c>
      <c r="Q33">
        <f>IF(Sheet1!433:433,"AAAAAGwh7xA=",0)</f>
        <v>0</v>
      </c>
      <c r="R33" t="e">
        <f>AND(Sheet1!A433,"AAAAAGwh7xE=")</f>
        <v>#VALUE!</v>
      </c>
      <c r="S33" t="e">
        <f>AND(Sheet1!B433,"AAAAAGwh7xI=")</f>
        <v>#VALUE!</v>
      </c>
      <c r="T33" t="e">
        <f>AND(Sheet1!C433,"AAAAAGwh7xM=")</f>
        <v>#VALUE!</v>
      </c>
      <c r="U33" t="e">
        <f>AND(Sheet1!D433,"AAAAAGwh7xQ=")</f>
        <v>#VALUE!</v>
      </c>
      <c r="V33" t="e">
        <f>AND(Sheet1!E433,"AAAAAGwh7xU=")</f>
        <v>#VALUE!</v>
      </c>
      <c r="W33" t="e">
        <f>AND(Sheet1!F433,"AAAAAGwh7xY=")</f>
        <v>#VALUE!</v>
      </c>
      <c r="X33" t="e">
        <f>AND(Sheet1!G433,"AAAAAGwh7xc=")</f>
        <v>#VALUE!</v>
      </c>
      <c r="Y33" t="e">
        <f>AND(Sheet1!H433,"AAAAAGwh7xg=")</f>
        <v>#VALUE!</v>
      </c>
      <c r="Z33" t="e">
        <f>AND(Sheet1!I433,"AAAAAGwh7xk=")</f>
        <v>#VALUE!</v>
      </c>
      <c r="AA33" t="e">
        <f>AND(Sheet1!J433,"AAAAAGwh7xo=")</f>
        <v>#VALUE!</v>
      </c>
      <c r="AB33" t="e">
        <f>AND(Sheet1!K433,"AAAAAGwh7xs=")</f>
        <v>#VALUE!</v>
      </c>
      <c r="AC33" t="e">
        <f>AND(Sheet1!L433,"AAAAAGwh7xw=")</f>
        <v>#VALUE!</v>
      </c>
      <c r="AD33" t="e">
        <f>AND(Sheet1!M433,"AAAAAGwh7x0=")</f>
        <v>#VALUE!</v>
      </c>
      <c r="AE33" t="e">
        <f>AND(Sheet1!N433,"AAAAAGwh7x4=")</f>
        <v>#VALUE!</v>
      </c>
      <c r="AF33" t="e">
        <f>AND(Sheet1!#REF!,"AAAAAGwh7x8=")</f>
        <v>#REF!</v>
      </c>
      <c r="AG33" t="e">
        <f>AND(Sheet1!#REF!,"AAAAAGwh7yA=")</f>
        <v>#REF!</v>
      </c>
      <c r="AH33" t="e">
        <f>AND(Sheet1!#REF!,"AAAAAGwh7yE=")</f>
        <v>#REF!</v>
      </c>
      <c r="AI33" t="e">
        <f>AND(Sheet1!#REF!,"AAAAAGwh7yI=")</f>
        <v>#REF!</v>
      </c>
      <c r="AJ33">
        <f>IF(Sheet1!434:434,"AAAAAGwh7yM=",0)</f>
        <v>0</v>
      </c>
      <c r="AK33" t="e">
        <f>AND(Sheet1!A434,"AAAAAGwh7yQ=")</f>
        <v>#VALUE!</v>
      </c>
      <c r="AL33" t="e">
        <f>AND(Sheet1!B434,"AAAAAGwh7yU=")</f>
        <v>#VALUE!</v>
      </c>
      <c r="AM33" t="e">
        <f>AND(Sheet1!C434,"AAAAAGwh7yY=")</f>
        <v>#VALUE!</v>
      </c>
      <c r="AN33" t="e">
        <f>AND(Sheet1!D434,"AAAAAGwh7yc=")</f>
        <v>#VALUE!</v>
      </c>
      <c r="AO33" t="e">
        <f>AND(Sheet1!E434,"AAAAAGwh7yg=")</f>
        <v>#VALUE!</v>
      </c>
      <c r="AP33" t="e">
        <f>AND(Sheet1!F434,"AAAAAGwh7yk=")</f>
        <v>#VALUE!</v>
      </c>
      <c r="AQ33" t="e">
        <f>AND(Sheet1!G434,"AAAAAGwh7yo=")</f>
        <v>#VALUE!</v>
      </c>
      <c r="AR33" t="e">
        <f>AND(Sheet1!H434,"AAAAAGwh7ys=")</f>
        <v>#VALUE!</v>
      </c>
      <c r="AS33" t="e">
        <f>AND(Sheet1!I434,"AAAAAGwh7yw=")</f>
        <v>#VALUE!</v>
      </c>
      <c r="AT33" t="e">
        <f>AND(Sheet1!J434,"AAAAAGwh7y0=")</f>
        <v>#VALUE!</v>
      </c>
      <c r="AU33" t="e">
        <f>AND(Sheet1!K434,"AAAAAGwh7y4=")</f>
        <v>#VALUE!</v>
      </c>
      <c r="AV33" t="e">
        <f>AND(Sheet1!L434,"AAAAAGwh7y8=")</f>
        <v>#VALUE!</v>
      </c>
      <c r="AW33" t="e">
        <f>AND(Sheet1!M434,"AAAAAGwh7zA=")</f>
        <v>#VALUE!</v>
      </c>
      <c r="AX33" t="e">
        <f>AND(Sheet1!N434,"AAAAAGwh7zE=")</f>
        <v>#VALUE!</v>
      </c>
      <c r="AY33" t="e">
        <f>AND(Sheet1!#REF!,"AAAAAGwh7zI=")</f>
        <v>#REF!</v>
      </c>
      <c r="AZ33" t="e">
        <f>AND(Sheet1!#REF!,"AAAAAGwh7zM=")</f>
        <v>#REF!</v>
      </c>
      <c r="BA33" t="e">
        <f>AND(Sheet1!#REF!,"AAAAAGwh7zQ=")</f>
        <v>#REF!</v>
      </c>
      <c r="BB33" t="e">
        <f>AND(Sheet1!#REF!,"AAAAAGwh7zU=")</f>
        <v>#REF!</v>
      </c>
      <c r="BC33">
        <f>IF(Sheet1!435:435,"AAAAAGwh7zY=",0)</f>
        <v>0</v>
      </c>
      <c r="BD33" t="e">
        <f>AND(Sheet1!A435,"AAAAAGwh7zc=")</f>
        <v>#VALUE!</v>
      </c>
      <c r="BE33" t="e">
        <f>AND(Sheet1!B435,"AAAAAGwh7zg=")</f>
        <v>#VALUE!</v>
      </c>
      <c r="BF33" t="e">
        <f>AND(Sheet1!C435,"AAAAAGwh7zk=")</f>
        <v>#VALUE!</v>
      </c>
      <c r="BG33" t="e">
        <f>AND(Sheet1!D435,"AAAAAGwh7zo=")</f>
        <v>#VALUE!</v>
      </c>
      <c r="BH33" t="e">
        <f>AND(Sheet1!E435,"AAAAAGwh7zs=")</f>
        <v>#VALUE!</v>
      </c>
      <c r="BI33" t="e">
        <f>AND(Sheet1!F435,"AAAAAGwh7zw=")</f>
        <v>#VALUE!</v>
      </c>
      <c r="BJ33" t="e">
        <f>AND(Sheet1!G435,"AAAAAGwh7z0=")</f>
        <v>#VALUE!</v>
      </c>
      <c r="BK33" t="e">
        <f>AND(Sheet1!H435,"AAAAAGwh7z4=")</f>
        <v>#VALUE!</v>
      </c>
      <c r="BL33" t="e">
        <f>AND(Sheet1!I435,"AAAAAGwh7z8=")</f>
        <v>#VALUE!</v>
      </c>
      <c r="BM33" t="e">
        <f>AND(Sheet1!J435,"AAAAAGwh70A=")</f>
        <v>#VALUE!</v>
      </c>
      <c r="BN33" t="e">
        <f>AND(Sheet1!K435,"AAAAAGwh70E=")</f>
        <v>#VALUE!</v>
      </c>
      <c r="BO33" t="e">
        <f>AND(Sheet1!L435,"AAAAAGwh70I=")</f>
        <v>#VALUE!</v>
      </c>
      <c r="BP33" t="e">
        <f>AND(Sheet1!M435,"AAAAAGwh70M=")</f>
        <v>#VALUE!</v>
      </c>
      <c r="BQ33" t="e">
        <f>AND(Sheet1!N435,"AAAAAGwh70Q=")</f>
        <v>#VALUE!</v>
      </c>
      <c r="BR33" t="e">
        <f>AND(Sheet1!#REF!,"AAAAAGwh70U=")</f>
        <v>#REF!</v>
      </c>
      <c r="BS33" t="e">
        <f>AND(Sheet1!#REF!,"AAAAAGwh70Y=")</f>
        <v>#REF!</v>
      </c>
      <c r="BT33" t="e">
        <f>AND(Sheet1!#REF!,"AAAAAGwh70c=")</f>
        <v>#REF!</v>
      </c>
      <c r="BU33" t="e">
        <f>AND(Sheet1!#REF!,"AAAAAGwh70g=")</f>
        <v>#REF!</v>
      </c>
      <c r="BV33">
        <f>IF(Sheet1!436:436,"AAAAAGwh70k=",0)</f>
        <v>0</v>
      </c>
      <c r="BW33" t="e">
        <f>AND(Sheet1!A436,"AAAAAGwh70o=")</f>
        <v>#VALUE!</v>
      </c>
      <c r="BX33" t="e">
        <f>AND(Sheet1!B436,"AAAAAGwh70s=")</f>
        <v>#VALUE!</v>
      </c>
      <c r="BY33" t="e">
        <f>AND(Sheet1!C436,"AAAAAGwh70w=")</f>
        <v>#VALUE!</v>
      </c>
      <c r="BZ33" t="e">
        <f>AND(Sheet1!D436,"AAAAAGwh700=")</f>
        <v>#VALUE!</v>
      </c>
      <c r="CA33" t="e">
        <f>AND(Sheet1!E436,"AAAAAGwh704=")</f>
        <v>#VALUE!</v>
      </c>
      <c r="CB33" t="e">
        <f>AND(Sheet1!F436,"AAAAAGwh708=")</f>
        <v>#VALUE!</v>
      </c>
      <c r="CC33" t="e">
        <f>AND(Sheet1!G436,"AAAAAGwh71A=")</f>
        <v>#VALUE!</v>
      </c>
      <c r="CD33" t="e">
        <f>AND(Sheet1!H436,"AAAAAGwh71E=")</f>
        <v>#VALUE!</v>
      </c>
      <c r="CE33" t="e">
        <f>AND(Sheet1!I436,"AAAAAGwh71I=")</f>
        <v>#VALUE!</v>
      </c>
      <c r="CF33" t="e">
        <f>AND(Sheet1!J436,"AAAAAGwh71M=")</f>
        <v>#VALUE!</v>
      </c>
      <c r="CG33" t="e">
        <f>AND(Sheet1!K436,"AAAAAGwh71Q=")</f>
        <v>#VALUE!</v>
      </c>
      <c r="CH33" t="e">
        <f>AND(Sheet1!L436,"AAAAAGwh71U=")</f>
        <v>#VALUE!</v>
      </c>
      <c r="CI33" t="e">
        <f>AND(Sheet1!M436,"AAAAAGwh71Y=")</f>
        <v>#VALUE!</v>
      </c>
      <c r="CJ33" t="e">
        <f>AND(Sheet1!N436,"AAAAAGwh71c=")</f>
        <v>#VALUE!</v>
      </c>
      <c r="CK33" t="e">
        <f>AND(Sheet1!#REF!,"AAAAAGwh71g=")</f>
        <v>#REF!</v>
      </c>
      <c r="CL33" t="e">
        <f>AND(Sheet1!#REF!,"AAAAAGwh71k=")</f>
        <v>#REF!</v>
      </c>
      <c r="CM33" t="e">
        <f>AND(Sheet1!#REF!,"AAAAAGwh71o=")</f>
        <v>#REF!</v>
      </c>
      <c r="CN33" t="e">
        <f>AND(Sheet1!#REF!,"AAAAAGwh71s=")</f>
        <v>#REF!</v>
      </c>
      <c r="CO33">
        <f>IF(Sheet1!437:437,"AAAAAGwh71w=",0)</f>
        <v>0</v>
      </c>
      <c r="CP33" t="e">
        <f>AND(Sheet1!A437,"AAAAAGwh710=")</f>
        <v>#VALUE!</v>
      </c>
      <c r="CQ33" t="e">
        <f>AND(Sheet1!B437,"AAAAAGwh714=")</f>
        <v>#VALUE!</v>
      </c>
      <c r="CR33" t="e">
        <f>AND(Sheet1!C437,"AAAAAGwh718=")</f>
        <v>#VALUE!</v>
      </c>
      <c r="CS33" t="e">
        <f>AND(Sheet1!D437,"AAAAAGwh72A=")</f>
        <v>#VALUE!</v>
      </c>
      <c r="CT33" t="e">
        <f>AND(Sheet1!E437,"AAAAAGwh72E=")</f>
        <v>#VALUE!</v>
      </c>
      <c r="CU33" t="e">
        <f>AND(Sheet1!F437,"AAAAAGwh72I=")</f>
        <v>#VALUE!</v>
      </c>
      <c r="CV33" t="e">
        <f>AND(Sheet1!G437,"AAAAAGwh72M=")</f>
        <v>#VALUE!</v>
      </c>
      <c r="CW33" t="e">
        <f>AND(Sheet1!H437,"AAAAAGwh72Q=")</f>
        <v>#VALUE!</v>
      </c>
      <c r="CX33" t="e">
        <f>AND(Sheet1!I437,"AAAAAGwh72U=")</f>
        <v>#VALUE!</v>
      </c>
      <c r="CY33" t="e">
        <f>AND(Sheet1!J437,"AAAAAGwh72Y=")</f>
        <v>#VALUE!</v>
      </c>
      <c r="CZ33" t="e">
        <f>AND(Sheet1!K437,"AAAAAGwh72c=")</f>
        <v>#VALUE!</v>
      </c>
      <c r="DA33" t="e">
        <f>AND(Sheet1!L437,"AAAAAGwh72g=")</f>
        <v>#VALUE!</v>
      </c>
      <c r="DB33" t="e">
        <f>AND(Sheet1!M437,"AAAAAGwh72k=")</f>
        <v>#VALUE!</v>
      </c>
      <c r="DC33" t="e">
        <f>AND(Sheet1!N437,"AAAAAGwh72o=")</f>
        <v>#VALUE!</v>
      </c>
      <c r="DD33" t="e">
        <f>AND(Sheet1!#REF!,"AAAAAGwh72s=")</f>
        <v>#REF!</v>
      </c>
      <c r="DE33" t="e">
        <f>AND(Sheet1!#REF!,"AAAAAGwh72w=")</f>
        <v>#REF!</v>
      </c>
      <c r="DF33" t="e">
        <f>AND(Sheet1!#REF!,"AAAAAGwh720=")</f>
        <v>#REF!</v>
      </c>
      <c r="DG33" t="e">
        <f>AND(Sheet1!#REF!,"AAAAAGwh724=")</f>
        <v>#REF!</v>
      </c>
      <c r="DH33">
        <f>IF(Sheet1!438:438,"AAAAAGwh728=",0)</f>
        <v>0</v>
      </c>
      <c r="DI33" t="e">
        <f>AND(Sheet1!A438,"AAAAAGwh73A=")</f>
        <v>#VALUE!</v>
      </c>
      <c r="DJ33" t="e">
        <f>AND(Sheet1!B438,"AAAAAGwh73E=")</f>
        <v>#VALUE!</v>
      </c>
      <c r="DK33" t="e">
        <f>AND(Sheet1!C438,"AAAAAGwh73I=")</f>
        <v>#VALUE!</v>
      </c>
      <c r="DL33" t="e">
        <f>AND(Sheet1!D438,"AAAAAGwh73M=")</f>
        <v>#VALUE!</v>
      </c>
      <c r="DM33" t="e">
        <f>AND(Sheet1!E438,"AAAAAGwh73Q=")</f>
        <v>#VALUE!</v>
      </c>
      <c r="DN33" t="e">
        <f>AND(Sheet1!F438,"AAAAAGwh73U=")</f>
        <v>#VALUE!</v>
      </c>
      <c r="DO33" t="e">
        <f>AND(Sheet1!G438,"AAAAAGwh73Y=")</f>
        <v>#VALUE!</v>
      </c>
      <c r="DP33" t="e">
        <f>AND(Sheet1!H438,"AAAAAGwh73c=")</f>
        <v>#VALUE!</v>
      </c>
      <c r="DQ33" t="e">
        <f>AND(Sheet1!I438,"AAAAAGwh73g=")</f>
        <v>#VALUE!</v>
      </c>
      <c r="DR33" t="e">
        <f>AND(Sheet1!J438,"AAAAAGwh73k=")</f>
        <v>#VALUE!</v>
      </c>
      <c r="DS33" t="e">
        <f>AND(Sheet1!K438,"AAAAAGwh73o=")</f>
        <v>#VALUE!</v>
      </c>
      <c r="DT33" t="e">
        <f>AND(Sheet1!L438,"AAAAAGwh73s=")</f>
        <v>#VALUE!</v>
      </c>
      <c r="DU33" t="e">
        <f>AND(Sheet1!M438,"AAAAAGwh73w=")</f>
        <v>#VALUE!</v>
      </c>
      <c r="DV33" t="e">
        <f>AND(Sheet1!N438,"AAAAAGwh730=")</f>
        <v>#VALUE!</v>
      </c>
      <c r="DW33" t="e">
        <f>AND(Sheet1!#REF!,"AAAAAGwh734=")</f>
        <v>#REF!</v>
      </c>
      <c r="DX33" t="e">
        <f>AND(Sheet1!#REF!,"AAAAAGwh738=")</f>
        <v>#REF!</v>
      </c>
      <c r="DY33" t="e">
        <f>AND(Sheet1!#REF!,"AAAAAGwh74A=")</f>
        <v>#REF!</v>
      </c>
      <c r="DZ33" t="e">
        <f>AND(Sheet1!#REF!,"AAAAAGwh74E=")</f>
        <v>#REF!</v>
      </c>
      <c r="EA33">
        <f>IF(Sheet1!439:439,"AAAAAGwh74I=",0)</f>
        <v>0</v>
      </c>
      <c r="EB33" t="e">
        <f>AND(Sheet1!A439,"AAAAAGwh74M=")</f>
        <v>#VALUE!</v>
      </c>
      <c r="EC33" t="e">
        <f>AND(Sheet1!B439,"AAAAAGwh74Q=")</f>
        <v>#VALUE!</v>
      </c>
      <c r="ED33" t="e">
        <f>AND(Sheet1!C439,"AAAAAGwh74U=")</f>
        <v>#VALUE!</v>
      </c>
      <c r="EE33" t="e">
        <f>AND(Sheet1!D439,"AAAAAGwh74Y=")</f>
        <v>#VALUE!</v>
      </c>
      <c r="EF33" t="e">
        <f>AND(Sheet1!E439,"AAAAAGwh74c=")</f>
        <v>#VALUE!</v>
      </c>
      <c r="EG33" t="e">
        <f>AND(Sheet1!F439,"AAAAAGwh74g=")</f>
        <v>#VALUE!</v>
      </c>
      <c r="EH33" t="e">
        <f>AND(Sheet1!G439,"AAAAAGwh74k=")</f>
        <v>#VALUE!</v>
      </c>
      <c r="EI33" t="e">
        <f>AND(Sheet1!H439,"AAAAAGwh74o=")</f>
        <v>#VALUE!</v>
      </c>
      <c r="EJ33" t="e">
        <f>AND(Sheet1!I439,"AAAAAGwh74s=")</f>
        <v>#VALUE!</v>
      </c>
      <c r="EK33" t="e">
        <f>AND(Sheet1!J439,"AAAAAGwh74w=")</f>
        <v>#VALUE!</v>
      </c>
      <c r="EL33" t="e">
        <f>AND(Sheet1!K439,"AAAAAGwh740=")</f>
        <v>#VALUE!</v>
      </c>
      <c r="EM33" t="e">
        <f>AND(Sheet1!L439,"AAAAAGwh744=")</f>
        <v>#VALUE!</v>
      </c>
      <c r="EN33" t="e">
        <f>AND(Sheet1!M439,"AAAAAGwh748=")</f>
        <v>#VALUE!</v>
      </c>
      <c r="EO33" t="e">
        <f>AND(Sheet1!N439,"AAAAAGwh75A=")</f>
        <v>#VALUE!</v>
      </c>
      <c r="EP33" t="e">
        <f>AND(Sheet1!#REF!,"AAAAAGwh75E=")</f>
        <v>#REF!</v>
      </c>
      <c r="EQ33" t="e">
        <f>AND(Sheet1!#REF!,"AAAAAGwh75I=")</f>
        <v>#REF!</v>
      </c>
      <c r="ER33" t="e">
        <f>AND(Sheet1!#REF!,"AAAAAGwh75M=")</f>
        <v>#REF!</v>
      </c>
      <c r="ES33" t="e">
        <f>AND(Sheet1!#REF!,"AAAAAGwh75Q=")</f>
        <v>#REF!</v>
      </c>
      <c r="ET33">
        <f>IF(Sheet1!440:440,"AAAAAGwh75U=",0)</f>
        <v>0</v>
      </c>
      <c r="EU33" t="e">
        <f>AND(Sheet1!A440,"AAAAAGwh75Y=")</f>
        <v>#VALUE!</v>
      </c>
      <c r="EV33" t="e">
        <f>AND(Sheet1!B440,"AAAAAGwh75c=")</f>
        <v>#VALUE!</v>
      </c>
      <c r="EW33" t="e">
        <f>AND(Sheet1!C440,"AAAAAGwh75g=")</f>
        <v>#VALUE!</v>
      </c>
      <c r="EX33" t="e">
        <f>AND(Sheet1!D440,"AAAAAGwh75k=")</f>
        <v>#VALUE!</v>
      </c>
      <c r="EY33" t="e">
        <f>AND(Sheet1!E440,"AAAAAGwh75o=")</f>
        <v>#VALUE!</v>
      </c>
      <c r="EZ33" t="e">
        <f>AND(Sheet1!F440,"AAAAAGwh75s=")</f>
        <v>#VALUE!</v>
      </c>
      <c r="FA33" t="e">
        <f>AND(Sheet1!G440,"AAAAAGwh75w=")</f>
        <v>#VALUE!</v>
      </c>
      <c r="FB33" t="e">
        <f>AND(Sheet1!H440,"AAAAAGwh750=")</f>
        <v>#VALUE!</v>
      </c>
      <c r="FC33" t="e">
        <f>AND(Sheet1!I440,"AAAAAGwh754=")</f>
        <v>#VALUE!</v>
      </c>
      <c r="FD33" t="e">
        <f>AND(Sheet1!J440,"AAAAAGwh758=")</f>
        <v>#VALUE!</v>
      </c>
      <c r="FE33" t="e">
        <f>AND(Sheet1!K440,"AAAAAGwh76A=")</f>
        <v>#VALUE!</v>
      </c>
      <c r="FF33" t="e">
        <f>AND(Sheet1!L440,"AAAAAGwh76E=")</f>
        <v>#VALUE!</v>
      </c>
      <c r="FG33" t="e">
        <f>AND(Sheet1!M440,"AAAAAGwh76I=")</f>
        <v>#VALUE!</v>
      </c>
      <c r="FH33" t="e">
        <f>AND(Sheet1!N440,"AAAAAGwh76M=")</f>
        <v>#VALUE!</v>
      </c>
      <c r="FI33" t="e">
        <f>AND(Sheet1!#REF!,"AAAAAGwh76Q=")</f>
        <v>#REF!</v>
      </c>
      <c r="FJ33" t="e">
        <f>AND(Sheet1!#REF!,"AAAAAGwh76U=")</f>
        <v>#REF!</v>
      </c>
      <c r="FK33" t="e">
        <f>AND(Sheet1!#REF!,"AAAAAGwh76Y=")</f>
        <v>#REF!</v>
      </c>
      <c r="FL33" t="e">
        <f>AND(Sheet1!#REF!,"AAAAAGwh76c=")</f>
        <v>#REF!</v>
      </c>
      <c r="FM33">
        <f>IF(Sheet1!441:441,"AAAAAGwh76g=",0)</f>
        <v>0</v>
      </c>
      <c r="FN33" t="e">
        <f>AND(Sheet1!A441,"AAAAAGwh76k=")</f>
        <v>#VALUE!</v>
      </c>
      <c r="FO33" t="e">
        <f>AND(Sheet1!B441,"AAAAAGwh76o=")</f>
        <v>#VALUE!</v>
      </c>
      <c r="FP33" t="e">
        <f>AND(Sheet1!C441,"AAAAAGwh76s=")</f>
        <v>#VALUE!</v>
      </c>
      <c r="FQ33" t="e">
        <f>AND(Sheet1!D441,"AAAAAGwh76w=")</f>
        <v>#VALUE!</v>
      </c>
      <c r="FR33" t="e">
        <f>AND(Sheet1!E441,"AAAAAGwh760=")</f>
        <v>#VALUE!</v>
      </c>
      <c r="FS33" t="e">
        <f>AND(Sheet1!F441,"AAAAAGwh764=")</f>
        <v>#VALUE!</v>
      </c>
      <c r="FT33" t="e">
        <f>AND(Sheet1!G441,"AAAAAGwh768=")</f>
        <v>#VALUE!</v>
      </c>
      <c r="FU33" t="e">
        <f>AND(Sheet1!H441,"AAAAAGwh77A=")</f>
        <v>#VALUE!</v>
      </c>
      <c r="FV33" t="e">
        <f>AND(Sheet1!I441,"AAAAAGwh77E=")</f>
        <v>#VALUE!</v>
      </c>
      <c r="FW33" t="e">
        <f>AND(Sheet1!J441,"AAAAAGwh77I=")</f>
        <v>#VALUE!</v>
      </c>
      <c r="FX33" t="e">
        <f>AND(Sheet1!K441,"AAAAAGwh77M=")</f>
        <v>#VALUE!</v>
      </c>
      <c r="FY33" t="e">
        <f>AND(Sheet1!L441,"AAAAAGwh77Q=")</f>
        <v>#VALUE!</v>
      </c>
      <c r="FZ33" t="e">
        <f>AND(Sheet1!M441,"AAAAAGwh77U=")</f>
        <v>#VALUE!</v>
      </c>
      <c r="GA33" t="e">
        <f>AND(Sheet1!N441,"AAAAAGwh77Y=")</f>
        <v>#VALUE!</v>
      </c>
      <c r="GB33" t="e">
        <f>AND(Sheet1!#REF!,"AAAAAGwh77c=")</f>
        <v>#REF!</v>
      </c>
      <c r="GC33" t="e">
        <f>AND(Sheet1!#REF!,"AAAAAGwh77g=")</f>
        <v>#REF!</v>
      </c>
      <c r="GD33" t="e">
        <f>AND(Sheet1!#REF!,"AAAAAGwh77k=")</f>
        <v>#REF!</v>
      </c>
      <c r="GE33" t="e">
        <f>AND(Sheet1!#REF!,"AAAAAGwh77o=")</f>
        <v>#REF!</v>
      </c>
      <c r="GF33">
        <f>IF(Sheet1!442:442,"AAAAAGwh77s=",0)</f>
        <v>0</v>
      </c>
      <c r="GG33" t="e">
        <f>AND(Sheet1!A442,"AAAAAGwh77w=")</f>
        <v>#VALUE!</v>
      </c>
      <c r="GH33" t="e">
        <f>AND(Sheet1!B442,"AAAAAGwh770=")</f>
        <v>#VALUE!</v>
      </c>
      <c r="GI33" t="e">
        <f>AND(Sheet1!C442,"AAAAAGwh774=")</f>
        <v>#VALUE!</v>
      </c>
      <c r="GJ33" t="e">
        <f>AND(Sheet1!D442,"AAAAAGwh778=")</f>
        <v>#VALUE!</v>
      </c>
      <c r="GK33" t="e">
        <f>AND(Sheet1!E442,"AAAAAGwh78A=")</f>
        <v>#VALUE!</v>
      </c>
      <c r="GL33" t="e">
        <f>AND(Sheet1!F442,"AAAAAGwh78E=")</f>
        <v>#VALUE!</v>
      </c>
      <c r="GM33" t="e">
        <f>AND(Sheet1!G442,"AAAAAGwh78I=")</f>
        <v>#VALUE!</v>
      </c>
      <c r="GN33" t="e">
        <f>AND(Sheet1!H442,"AAAAAGwh78M=")</f>
        <v>#VALUE!</v>
      </c>
      <c r="GO33" t="e">
        <f>AND(Sheet1!I442,"AAAAAGwh78Q=")</f>
        <v>#VALUE!</v>
      </c>
      <c r="GP33" t="e">
        <f>AND(Sheet1!J442,"AAAAAGwh78U=")</f>
        <v>#VALUE!</v>
      </c>
      <c r="GQ33" t="e">
        <f>AND(Sheet1!K442,"AAAAAGwh78Y=")</f>
        <v>#VALUE!</v>
      </c>
      <c r="GR33" t="e">
        <f>AND(Sheet1!L442,"AAAAAGwh78c=")</f>
        <v>#VALUE!</v>
      </c>
      <c r="GS33" t="e">
        <f>AND(Sheet1!M442,"AAAAAGwh78g=")</f>
        <v>#VALUE!</v>
      </c>
      <c r="GT33" t="e">
        <f>AND(Sheet1!N442,"AAAAAGwh78k=")</f>
        <v>#VALUE!</v>
      </c>
      <c r="GU33" t="e">
        <f>AND(Sheet1!#REF!,"AAAAAGwh78o=")</f>
        <v>#REF!</v>
      </c>
      <c r="GV33" t="e">
        <f>AND(Sheet1!#REF!,"AAAAAGwh78s=")</f>
        <v>#REF!</v>
      </c>
      <c r="GW33" t="e">
        <f>AND(Sheet1!#REF!,"AAAAAGwh78w=")</f>
        <v>#REF!</v>
      </c>
      <c r="GX33" t="e">
        <f>AND(Sheet1!#REF!,"AAAAAGwh780=")</f>
        <v>#REF!</v>
      </c>
      <c r="GY33">
        <f>IF(Sheet1!443:443,"AAAAAGwh784=",0)</f>
        <v>0</v>
      </c>
      <c r="GZ33" t="e">
        <f>AND(Sheet1!A443,"AAAAAGwh788=")</f>
        <v>#VALUE!</v>
      </c>
      <c r="HA33" t="e">
        <f>AND(Sheet1!B443,"AAAAAGwh79A=")</f>
        <v>#VALUE!</v>
      </c>
      <c r="HB33" t="e">
        <f>AND(Sheet1!C443,"AAAAAGwh79E=")</f>
        <v>#VALUE!</v>
      </c>
      <c r="HC33" t="e">
        <f>AND(Sheet1!D443,"AAAAAGwh79I=")</f>
        <v>#VALUE!</v>
      </c>
      <c r="HD33" t="e">
        <f>AND(Sheet1!E443,"AAAAAGwh79M=")</f>
        <v>#VALUE!</v>
      </c>
      <c r="HE33" t="e">
        <f>AND(Sheet1!F443,"AAAAAGwh79Q=")</f>
        <v>#VALUE!</v>
      </c>
      <c r="HF33" t="e">
        <f>AND(Sheet1!G443,"AAAAAGwh79U=")</f>
        <v>#VALUE!</v>
      </c>
      <c r="HG33" t="e">
        <f>AND(Sheet1!H443,"AAAAAGwh79Y=")</f>
        <v>#VALUE!</v>
      </c>
      <c r="HH33" t="e">
        <f>AND(Sheet1!I443,"AAAAAGwh79c=")</f>
        <v>#VALUE!</v>
      </c>
      <c r="HI33" t="e">
        <f>AND(Sheet1!J443,"AAAAAGwh79g=")</f>
        <v>#VALUE!</v>
      </c>
      <c r="HJ33" t="e">
        <f>AND(Sheet1!K443,"AAAAAGwh79k=")</f>
        <v>#VALUE!</v>
      </c>
      <c r="HK33" t="e">
        <f>AND(Sheet1!L443,"AAAAAGwh79o=")</f>
        <v>#VALUE!</v>
      </c>
      <c r="HL33" t="e">
        <f>AND(Sheet1!M443,"AAAAAGwh79s=")</f>
        <v>#VALUE!</v>
      </c>
      <c r="HM33" t="e">
        <f>AND(Sheet1!N443,"AAAAAGwh79w=")</f>
        <v>#VALUE!</v>
      </c>
      <c r="HN33" t="e">
        <f>AND(Sheet1!#REF!,"AAAAAGwh790=")</f>
        <v>#REF!</v>
      </c>
      <c r="HO33" t="e">
        <f>AND(Sheet1!#REF!,"AAAAAGwh794=")</f>
        <v>#REF!</v>
      </c>
      <c r="HP33" t="e">
        <f>AND(Sheet1!#REF!,"AAAAAGwh798=")</f>
        <v>#REF!</v>
      </c>
      <c r="HQ33" t="e">
        <f>AND(Sheet1!#REF!,"AAAAAGwh7+A=")</f>
        <v>#REF!</v>
      </c>
      <c r="HR33">
        <f>IF(Sheet1!444:444,"AAAAAGwh7+E=",0)</f>
        <v>0</v>
      </c>
      <c r="HS33" t="e">
        <f>AND(Sheet1!A444,"AAAAAGwh7+I=")</f>
        <v>#VALUE!</v>
      </c>
      <c r="HT33" t="e">
        <f>AND(Sheet1!B444,"AAAAAGwh7+M=")</f>
        <v>#VALUE!</v>
      </c>
      <c r="HU33" t="e">
        <f>AND(Sheet1!C444,"AAAAAGwh7+Q=")</f>
        <v>#VALUE!</v>
      </c>
      <c r="HV33" t="e">
        <f>AND(Sheet1!D444,"AAAAAGwh7+U=")</f>
        <v>#VALUE!</v>
      </c>
      <c r="HW33" t="e">
        <f>AND(Sheet1!E444,"AAAAAGwh7+Y=")</f>
        <v>#VALUE!</v>
      </c>
      <c r="HX33" t="e">
        <f>AND(Sheet1!F444,"AAAAAGwh7+c=")</f>
        <v>#VALUE!</v>
      </c>
      <c r="HY33" t="e">
        <f>AND(Sheet1!G444,"AAAAAGwh7+g=")</f>
        <v>#VALUE!</v>
      </c>
      <c r="HZ33" t="e">
        <f>AND(Sheet1!H444,"AAAAAGwh7+k=")</f>
        <v>#VALUE!</v>
      </c>
      <c r="IA33" t="e">
        <f>AND(Sheet1!I444,"AAAAAGwh7+o=")</f>
        <v>#VALUE!</v>
      </c>
      <c r="IB33" t="e">
        <f>AND(Sheet1!J444,"AAAAAGwh7+s=")</f>
        <v>#VALUE!</v>
      </c>
      <c r="IC33" t="e">
        <f>AND(Sheet1!K444,"AAAAAGwh7+w=")</f>
        <v>#VALUE!</v>
      </c>
      <c r="ID33" t="e">
        <f>AND(Sheet1!L444,"AAAAAGwh7+0=")</f>
        <v>#VALUE!</v>
      </c>
      <c r="IE33" t="e">
        <f>AND(Sheet1!M444,"AAAAAGwh7+4=")</f>
        <v>#VALUE!</v>
      </c>
      <c r="IF33" t="e">
        <f>AND(Sheet1!N444,"AAAAAGwh7+8=")</f>
        <v>#VALUE!</v>
      </c>
      <c r="IG33" t="e">
        <f>AND(Sheet1!#REF!,"AAAAAGwh7/A=")</f>
        <v>#REF!</v>
      </c>
      <c r="IH33" t="e">
        <f>AND(Sheet1!#REF!,"AAAAAGwh7/E=")</f>
        <v>#REF!</v>
      </c>
      <c r="II33" t="e">
        <f>AND(Sheet1!#REF!,"AAAAAGwh7/I=")</f>
        <v>#REF!</v>
      </c>
      <c r="IJ33" t="e">
        <f>AND(Sheet1!#REF!,"AAAAAGwh7/M=")</f>
        <v>#REF!</v>
      </c>
      <c r="IK33">
        <f>IF(Sheet1!445:445,"AAAAAGwh7/Q=",0)</f>
        <v>0</v>
      </c>
      <c r="IL33" t="e">
        <f>AND(Sheet1!A445,"AAAAAGwh7/U=")</f>
        <v>#VALUE!</v>
      </c>
      <c r="IM33" t="e">
        <f>AND(Sheet1!B445,"AAAAAGwh7/Y=")</f>
        <v>#VALUE!</v>
      </c>
      <c r="IN33" t="e">
        <f>AND(Sheet1!C445,"AAAAAGwh7/c=")</f>
        <v>#VALUE!</v>
      </c>
      <c r="IO33" t="e">
        <f>AND(Sheet1!D445,"AAAAAGwh7/g=")</f>
        <v>#VALUE!</v>
      </c>
      <c r="IP33" t="e">
        <f>AND(Sheet1!E445,"AAAAAGwh7/k=")</f>
        <v>#VALUE!</v>
      </c>
      <c r="IQ33" t="e">
        <f>AND(Sheet1!F445,"AAAAAGwh7/o=")</f>
        <v>#VALUE!</v>
      </c>
      <c r="IR33" t="e">
        <f>AND(Sheet1!G445,"AAAAAGwh7/s=")</f>
        <v>#VALUE!</v>
      </c>
      <c r="IS33" t="e">
        <f>AND(Sheet1!H445,"AAAAAGwh7/w=")</f>
        <v>#VALUE!</v>
      </c>
      <c r="IT33" t="e">
        <f>AND(Sheet1!I445,"AAAAAGwh7/0=")</f>
        <v>#VALUE!</v>
      </c>
      <c r="IU33" t="e">
        <f>AND(Sheet1!J445,"AAAAAGwh7/4=")</f>
        <v>#VALUE!</v>
      </c>
      <c r="IV33" t="e">
        <f>AND(Sheet1!K445,"AAAAAGwh7/8=")</f>
        <v>#VALUE!</v>
      </c>
    </row>
    <row r="34" spans="1:256" x14ac:dyDescent="0.2">
      <c r="A34" t="e">
        <f>AND(Sheet1!L445,"AAAAAHufpwA=")</f>
        <v>#VALUE!</v>
      </c>
      <c r="B34" t="e">
        <f>AND(Sheet1!M445,"AAAAAHufpwE=")</f>
        <v>#VALUE!</v>
      </c>
      <c r="C34" t="e">
        <f>AND(Sheet1!N445,"AAAAAHufpwI=")</f>
        <v>#VALUE!</v>
      </c>
      <c r="D34" t="e">
        <f>AND(Sheet1!#REF!,"AAAAAHufpwM=")</f>
        <v>#REF!</v>
      </c>
      <c r="E34" t="e">
        <f>AND(Sheet1!#REF!,"AAAAAHufpwQ=")</f>
        <v>#REF!</v>
      </c>
      <c r="F34" t="e">
        <f>AND(Sheet1!#REF!,"AAAAAHufpwU=")</f>
        <v>#REF!</v>
      </c>
      <c r="G34" t="e">
        <f>AND(Sheet1!#REF!,"AAAAAHufpwY=")</f>
        <v>#REF!</v>
      </c>
      <c r="H34">
        <f>IF(Sheet1!446:446,"AAAAAHufpwc=",0)</f>
        <v>0</v>
      </c>
      <c r="I34" t="e">
        <f>AND(Sheet1!A446,"AAAAAHufpwg=")</f>
        <v>#VALUE!</v>
      </c>
      <c r="J34" t="e">
        <f>AND(Sheet1!B446,"AAAAAHufpwk=")</f>
        <v>#VALUE!</v>
      </c>
      <c r="K34" t="e">
        <f>AND(Sheet1!C446,"AAAAAHufpwo=")</f>
        <v>#VALUE!</v>
      </c>
      <c r="L34" t="e">
        <f>AND(Sheet1!D446,"AAAAAHufpws=")</f>
        <v>#VALUE!</v>
      </c>
      <c r="M34" t="e">
        <f>AND(Sheet1!E446,"AAAAAHufpww=")</f>
        <v>#VALUE!</v>
      </c>
      <c r="N34" t="e">
        <f>AND(Sheet1!F446,"AAAAAHufpw0=")</f>
        <v>#VALUE!</v>
      </c>
      <c r="O34" t="e">
        <f>AND(Sheet1!G446,"AAAAAHufpw4=")</f>
        <v>#VALUE!</v>
      </c>
      <c r="P34" t="e">
        <f>AND(Sheet1!H446,"AAAAAHufpw8=")</f>
        <v>#VALUE!</v>
      </c>
      <c r="Q34" t="e">
        <f>AND(Sheet1!I446,"AAAAAHufpxA=")</f>
        <v>#VALUE!</v>
      </c>
      <c r="R34" t="e">
        <f>AND(Sheet1!J446,"AAAAAHufpxE=")</f>
        <v>#VALUE!</v>
      </c>
      <c r="S34" t="e">
        <f>AND(Sheet1!K446,"AAAAAHufpxI=")</f>
        <v>#VALUE!</v>
      </c>
      <c r="T34" t="e">
        <f>AND(Sheet1!L446,"AAAAAHufpxM=")</f>
        <v>#VALUE!</v>
      </c>
      <c r="U34" t="e">
        <f>AND(Sheet1!M446,"AAAAAHufpxQ=")</f>
        <v>#VALUE!</v>
      </c>
      <c r="V34" t="e">
        <f>AND(Sheet1!N446,"AAAAAHufpxU=")</f>
        <v>#VALUE!</v>
      </c>
      <c r="W34" t="e">
        <f>AND(Sheet1!#REF!,"AAAAAHufpxY=")</f>
        <v>#REF!</v>
      </c>
      <c r="X34" t="e">
        <f>AND(Sheet1!#REF!,"AAAAAHufpxc=")</f>
        <v>#REF!</v>
      </c>
      <c r="Y34" t="e">
        <f>AND(Sheet1!#REF!,"AAAAAHufpxg=")</f>
        <v>#REF!</v>
      </c>
      <c r="Z34" t="e">
        <f>AND(Sheet1!#REF!,"AAAAAHufpxk=")</f>
        <v>#REF!</v>
      </c>
      <c r="AA34">
        <f>IF(Sheet1!447:447,"AAAAAHufpxo=",0)</f>
        <v>0</v>
      </c>
      <c r="AB34" t="e">
        <f>AND(Sheet1!A447,"AAAAAHufpxs=")</f>
        <v>#VALUE!</v>
      </c>
      <c r="AC34" t="e">
        <f>AND(Sheet1!B447,"AAAAAHufpxw=")</f>
        <v>#VALUE!</v>
      </c>
      <c r="AD34" t="e">
        <f>AND(Sheet1!C447,"AAAAAHufpx0=")</f>
        <v>#VALUE!</v>
      </c>
      <c r="AE34" t="e">
        <f>AND(Sheet1!D447,"AAAAAHufpx4=")</f>
        <v>#VALUE!</v>
      </c>
      <c r="AF34" t="e">
        <f>AND(Sheet1!E447,"AAAAAHufpx8=")</f>
        <v>#VALUE!</v>
      </c>
      <c r="AG34" t="e">
        <f>AND(Sheet1!F447,"AAAAAHufpyA=")</f>
        <v>#VALUE!</v>
      </c>
      <c r="AH34" t="e">
        <f>AND(Sheet1!G447,"AAAAAHufpyE=")</f>
        <v>#VALUE!</v>
      </c>
      <c r="AI34" t="e">
        <f>AND(Sheet1!H447,"AAAAAHufpyI=")</f>
        <v>#VALUE!</v>
      </c>
      <c r="AJ34" t="e">
        <f>AND(Sheet1!I447,"AAAAAHufpyM=")</f>
        <v>#VALUE!</v>
      </c>
      <c r="AK34" t="e">
        <f>AND(Sheet1!J447,"AAAAAHufpyQ=")</f>
        <v>#VALUE!</v>
      </c>
      <c r="AL34" t="e">
        <f>AND(Sheet1!K447,"AAAAAHufpyU=")</f>
        <v>#VALUE!</v>
      </c>
      <c r="AM34" t="e">
        <f>AND(Sheet1!L447,"AAAAAHufpyY=")</f>
        <v>#VALUE!</v>
      </c>
      <c r="AN34" t="e">
        <f>AND(Sheet1!M447,"AAAAAHufpyc=")</f>
        <v>#VALUE!</v>
      </c>
      <c r="AO34" t="e">
        <f>AND(Sheet1!N447,"AAAAAHufpyg=")</f>
        <v>#VALUE!</v>
      </c>
      <c r="AP34" t="e">
        <f>AND(Sheet1!#REF!,"AAAAAHufpyk=")</f>
        <v>#REF!</v>
      </c>
      <c r="AQ34" t="e">
        <f>AND(Sheet1!#REF!,"AAAAAHufpyo=")</f>
        <v>#REF!</v>
      </c>
      <c r="AR34" t="e">
        <f>AND(Sheet1!#REF!,"AAAAAHufpys=")</f>
        <v>#REF!</v>
      </c>
      <c r="AS34" t="e">
        <f>AND(Sheet1!#REF!,"AAAAAHufpyw=")</f>
        <v>#REF!</v>
      </c>
      <c r="AT34">
        <f>IF(Sheet1!448:448,"AAAAAHufpy0=",0)</f>
        <v>0</v>
      </c>
      <c r="AU34" t="e">
        <f>AND(Sheet1!A448,"AAAAAHufpy4=")</f>
        <v>#VALUE!</v>
      </c>
      <c r="AV34" t="e">
        <f>AND(Sheet1!B448,"AAAAAHufpy8=")</f>
        <v>#VALUE!</v>
      </c>
      <c r="AW34" t="e">
        <f>AND(Sheet1!C448,"AAAAAHufpzA=")</f>
        <v>#VALUE!</v>
      </c>
      <c r="AX34" t="e">
        <f>AND(Sheet1!D448,"AAAAAHufpzE=")</f>
        <v>#VALUE!</v>
      </c>
      <c r="AY34" t="e">
        <f>AND(Sheet1!E448,"AAAAAHufpzI=")</f>
        <v>#VALUE!</v>
      </c>
      <c r="AZ34" t="e">
        <f>AND(Sheet1!F448,"AAAAAHufpzM=")</f>
        <v>#VALUE!</v>
      </c>
      <c r="BA34" t="e">
        <f>AND(Sheet1!G448,"AAAAAHufpzQ=")</f>
        <v>#VALUE!</v>
      </c>
      <c r="BB34" t="e">
        <f>AND(Sheet1!H448,"AAAAAHufpzU=")</f>
        <v>#VALUE!</v>
      </c>
      <c r="BC34" t="e">
        <f>AND(Sheet1!I448,"AAAAAHufpzY=")</f>
        <v>#VALUE!</v>
      </c>
      <c r="BD34" t="e">
        <f>AND(Sheet1!J448,"AAAAAHufpzc=")</f>
        <v>#VALUE!</v>
      </c>
      <c r="BE34" t="e">
        <f>AND(Sheet1!K448,"AAAAAHufpzg=")</f>
        <v>#VALUE!</v>
      </c>
      <c r="BF34" t="e">
        <f>AND(Sheet1!L448,"AAAAAHufpzk=")</f>
        <v>#VALUE!</v>
      </c>
      <c r="BG34" t="e">
        <f>AND(Sheet1!M448,"AAAAAHufpzo=")</f>
        <v>#VALUE!</v>
      </c>
      <c r="BH34" t="e">
        <f>AND(Sheet1!N448,"AAAAAHufpzs=")</f>
        <v>#VALUE!</v>
      </c>
      <c r="BI34" t="e">
        <f>AND(Sheet1!#REF!,"AAAAAHufpzw=")</f>
        <v>#REF!</v>
      </c>
      <c r="BJ34" t="e">
        <f>AND(Sheet1!#REF!,"AAAAAHufpz0=")</f>
        <v>#REF!</v>
      </c>
      <c r="BK34" t="e">
        <f>AND(Sheet1!#REF!,"AAAAAHufpz4=")</f>
        <v>#REF!</v>
      </c>
      <c r="BL34" t="e">
        <f>AND(Sheet1!#REF!,"AAAAAHufpz8=")</f>
        <v>#REF!</v>
      </c>
      <c r="BM34">
        <f>IF(Sheet1!449:449,"AAAAAHufp0A=",0)</f>
        <v>0</v>
      </c>
      <c r="BN34" t="e">
        <f>AND(Sheet1!A449,"AAAAAHufp0E=")</f>
        <v>#VALUE!</v>
      </c>
      <c r="BO34" t="e">
        <f>AND(Sheet1!B449,"AAAAAHufp0I=")</f>
        <v>#VALUE!</v>
      </c>
      <c r="BP34" t="e">
        <f>AND(Sheet1!C449,"AAAAAHufp0M=")</f>
        <v>#VALUE!</v>
      </c>
      <c r="BQ34" t="e">
        <f>AND(Sheet1!D449,"AAAAAHufp0Q=")</f>
        <v>#VALUE!</v>
      </c>
      <c r="BR34" t="e">
        <f>AND(Sheet1!E449,"AAAAAHufp0U=")</f>
        <v>#VALUE!</v>
      </c>
      <c r="BS34" t="e">
        <f>AND(Sheet1!F449,"AAAAAHufp0Y=")</f>
        <v>#VALUE!</v>
      </c>
      <c r="BT34" t="e">
        <f>AND(Sheet1!G449,"AAAAAHufp0c=")</f>
        <v>#VALUE!</v>
      </c>
      <c r="BU34" t="e">
        <f>AND(Sheet1!H449,"AAAAAHufp0g=")</f>
        <v>#VALUE!</v>
      </c>
      <c r="BV34" t="e">
        <f>AND(Sheet1!I449,"AAAAAHufp0k=")</f>
        <v>#VALUE!</v>
      </c>
      <c r="BW34" t="e">
        <f>AND(Sheet1!J449,"AAAAAHufp0o=")</f>
        <v>#VALUE!</v>
      </c>
      <c r="BX34" t="e">
        <f>AND(Sheet1!K449,"AAAAAHufp0s=")</f>
        <v>#VALUE!</v>
      </c>
      <c r="BY34" t="e">
        <f>AND(Sheet1!L449,"AAAAAHufp0w=")</f>
        <v>#VALUE!</v>
      </c>
      <c r="BZ34" t="e">
        <f>AND(Sheet1!M449,"AAAAAHufp00=")</f>
        <v>#VALUE!</v>
      </c>
      <c r="CA34" t="e">
        <f>AND(Sheet1!N449,"AAAAAHufp04=")</f>
        <v>#VALUE!</v>
      </c>
      <c r="CB34" t="e">
        <f>AND(Sheet1!#REF!,"AAAAAHufp08=")</f>
        <v>#REF!</v>
      </c>
      <c r="CC34" t="e">
        <f>AND(Sheet1!#REF!,"AAAAAHufp1A=")</f>
        <v>#REF!</v>
      </c>
      <c r="CD34" t="e">
        <f>AND(Sheet1!#REF!,"AAAAAHufp1E=")</f>
        <v>#REF!</v>
      </c>
      <c r="CE34" t="e">
        <f>AND(Sheet1!#REF!,"AAAAAHufp1I=")</f>
        <v>#REF!</v>
      </c>
      <c r="CF34">
        <f>IF(Sheet1!450:450,"AAAAAHufp1M=",0)</f>
        <v>0</v>
      </c>
      <c r="CG34" t="e">
        <f>AND(Sheet1!A450,"AAAAAHufp1Q=")</f>
        <v>#VALUE!</v>
      </c>
      <c r="CH34" t="e">
        <f>AND(Sheet1!B450,"AAAAAHufp1U=")</f>
        <v>#VALUE!</v>
      </c>
      <c r="CI34" t="e">
        <f>AND(Sheet1!C450,"AAAAAHufp1Y=")</f>
        <v>#VALUE!</v>
      </c>
      <c r="CJ34" t="e">
        <f>AND(Sheet1!D450,"AAAAAHufp1c=")</f>
        <v>#VALUE!</v>
      </c>
      <c r="CK34" t="e">
        <f>AND(Sheet1!E450,"AAAAAHufp1g=")</f>
        <v>#VALUE!</v>
      </c>
      <c r="CL34" t="e">
        <f>AND(Sheet1!F450,"AAAAAHufp1k=")</f>
        <v>#VALUE!</v>
      </c>
      <c r="CM34" t="e">
        <f>AND(Sheet1!G450,"AAAAAHufp1o=")</f>
        <v>#VALUE!</v>
      </c>
      <c r="CN34" t="e">
        <f>AND(Sheet1!H450,"AAAAAHufp1s=")</f>
        <v>#VALUE!</v>
      </c>
      <c r="CO34" t="e">
        <f>AND(Sheet1!I450,"AAAAAHufp1w=")</f>
        <v>#VALUE!</v>
      </c>
      <c r="CP34" t="e">
        <f>AND(Sheet1!J450,"AAAAAHufp10=")</f>
        <v>#VALUE!</v>
      </c>
      <c r="CQ34" t="e">
        <f>AND(Sheet1!K450,"AAAAAHufp14=")</f>
        <v>#VALUE!</v>
      </c>
      <c r="CR34" t="e">
        <f>AND(Sheet1!L450,"AAAAAHufp18=")</f>
        <v>#VALUE!</v>
      </c>
      <c r="CS34" t="e">
        <f>AND(Sheet1!M450,"AAAAAHufp2A=")</f>
        <v>#VALUE!</v>
      </c>
      <c r="CT34" t="e">
        <f>AND(Sheet1!N450,"AAAAAHufp2E=")</f>
        <v>#VALUE!</v>
      </c>
      <c r="CU34" t="e">
        <f>AND(Sheet1!#REF!,"AAAAAHufp2I=")</f>
        <v>#REF!</v>
      </c>
      <c r="CV34" t="e">
        <f>AND(Sheet1!#REF!,"AAAAAHufp2M=")</f>
        <v>#REF!</v>
      </c>
      <c r="CW34" t="e">
        <f>AND(Sheet1!#REF!,"AAAAAHufp2Q=")</f>
        <v>#REF!</v>
      </c>
      <c r="CX34" t="e">
        <f>AND(Sheet1!#REF!,"AAAAAHufp2U=")</f>
        <v>#REF!</v>
      </c>
      <c r="CY34">
        <f>IF(Sheet1!451:451,"AAAAAHufp2Y=",0)</f>
        <v>0</v>
      </c>
      <c r="CZ34" t="e">
        <f>AND(Sheet1!A451,"AAAAAHufp2c=")</f>
        <v>#VALUE!</v>
      </c>
      <c r="DA34" t="e">
        <f>AND(Sheet1!B451,"AAAAAHufp2g=")</f>
        <v>#VALUE!</v>
      </c>
      <c r="DB34" t="e">
        <f>AND(Sheet1!C451,"AAAAAHufp2k=")</f>
        <v>#VALUE!</v>
      </c>
      <c r="DC34" t="e">
        <f>AND(Sheet1!D451,"AAAAAHufp2o=")</f>
        <v>#VALUE!</v>
      </c>
      <c r="DD34" t="e">
        <f>AND(Sheet1!E451,"AAAAAHufp2s=")</f>
        <v>#VALUE!</v>
      </c>
      <c r="DE34" t="e">
        <f>AND(Sheet1!F451,"AAAAAHufp2w=")</f>
        <v>#VALUE!</v>
      </c>
      <c r="DF34" t="e">
        <f>AND(Sheet1!G451,"AAAAAHufp20=")</f>
        <v>#VALUE!</v>
      </c>
      <c r="DG34" t="e">
        <f>AND(Sheet1!H451,"AAAAAHufp24=")</f>
        <v>#VALUE!</v>
      </c>
      <c r="DH34" t="e">
        <f>AND(Sheet1!I451,"AAAAAHufp28=")</f>
        <v>#VALUE!</v>
      </c>
      <c r="DI34" t="e">
        <f>AND(Sheet1!J451,"AAAAAHufp3A=")</f>
        <v>#VALUE!</v>
      </c>
      <c r="DJ34" t="e">
        <f>AND(Sheet1!K451,"AAAAAHufp3E=")</f>
        <v>#VALUE!</v>
      </c>
      <c r="DK34" t="e">
        <f>AND(Sheet1!L451,"AAAAAHufp3I=")</f>
        <v>#VALUE!</v>
      </c>
      <c r="DL34" t="e">
        <f>AND(Sheet1!M451,"AAAAAHufp3M=")</f>
        <v>#VALUE!</v>
      </c>
      <c r="DM34" t="e">
        <f>AND(Sheet1!N451,"AAAAAHufp3Q=")</f>
        <v>#VALUE!</v>
      </c>
      <c r="DN34" t="e">
        <f>AND(Sheet1!#REF!,"AAAAAHufp3U=")</f>
        <v>#REF!</v>
      </c>
      <c r="DO34" t="e">
        <f>AND(Sheet1!#REF!,"AAAAAHufp3Y=")</f>
        <v>#REF!</v>
      </c>
      <c r="DP34" t="e">
        <f>AND(Sheet1!#REF!,"AAAAAHufp3c=")</f>
        <v>#REF!</v>
      </c>
      <c r="DQ34" t="e">
        <f>AND(Sheet1!#REF!,"AAAAAHufp3g=")</f>
        <v>#REF!</v>
      </c>
      <c r="DR34">
        <f>IF(Sheet1!452:452,"AAAAAHufp3k=",0)</f>
        <v>0</v>
      </c>
      <c r="DS34" t="e">
        <f>AND(Sheet1!A452,"AAAAAHufp3o=")</f>
        <v>#VALUE!</v>
      </c>
      <c r="DT34" t="e">
        <f>AND(Sheet1!B452,"AAAAAHufp3s=")</f>
        <v>#VALUE!</v>
      </c>
      <c r="DU34" t="e">
        <f>AND(Sheet1!C452,"AAAAAHufp3w=")</f>
        <v>#VALUE!</v>
      </c>
      <c r="DV34" t="e">
        <f>AND(Sheet1!D452,"AAAAAHufp30=")</f>
        <v>#VALUE!</v>
      </c>
      <c r="DW34" t="e">
        <f>AND(Sheet1!E452,"AAAAAHufp34=")</f>
        <v>#VALUE!</v>
      </c>
      <c r="DX34" t="e">
        <f>AND(Sheet1!F452,"AAAAAHufp38=")</f>
        <v>#VALUE!</v>
      </c>
      <c r="DY34" t="e">
        <f>AND(Sheet1!G452,"AAAAAHufp4A=")</f>
        <v>#VALUE!</v>
      </c>
      <c r="DZ34" t="e">
        <f>AND(Sheet1!H452,"AAAAAHufp4E=")</f>
        <v>#VALUE!</v>
      </c>
      <c r="EA34" t="e">
        <f>AND(Sheet1!I452,"AAAAAHufp4I=")</f>
        <v>#VALUE!</v>
      </c>
      <c r="EB34" t="e">
        <f>AND(Sheet1!J452,"AAAAAHufp4M=")</f>
        <v>#VALUE!</v>
      </c>
      <c r="EC34" t="e">
        <f>AND(Sheet1!K452,"AAAAAHufp4Q=")</f>
        <v>#VALUE!</v>
      </c>
      <c r="ED34" t="e">
        <f>AND(Sheet1!L452,"AAAAAHufp4U=")</f>
        <v>#VALUE!</v>
      </c>
      <c r="EE34" t="e">
        <f>AND(Sheet1!M452,"AAAAAHufp4Y=")</f>
        <v>#VALUE!</v>
      </c>
      <c r="EF34" t="e">
        <f>AND(Sheet1!N452,"AAAAAHufp4c=")</f>
        <v>#VALUE!</v>
      </c>
      <c r="EG34" t="e">
        <f>AND(Sheet1!#REF!,"AAAAAHufp4g=")</f>
        <v>#REF!</v>
      </c>
      <c r="EH34" t="e">
        <f>AND(Sheet1!#REF!,"AAAAAHufp4k=")</f>
        <v>#REF!</v>
      </c>
      <c r="EI34" t="e">
        <f>AND(Sheet1!#REF!,"AAAAAHufp4o=")</f>
        <v>#REF!</v>
      </c>
      <c r="EJ34" t="e">
        <f>AND(Sheet1!#REF!,"AAAAAHufp4s=")</f>
        <v>#REF!</v>
      </c>
      <c r="EK34">
        <f>IF(Sheet1!453:453,"AAAAAHufp4w=",0)</f>
        <v>0</v>
      </c>
      <c r="EL34" t="e">
        <f>AND(Sheet1!A453,"AAAAAHufp40=")</f>
        <v>#VALUE!</v>
      </c>
      <c r="EM34" t="e">
        <f>AND(Sheet1!B453,"AAAAAHufp44=")</f>
        <v>#VALUE!</v>
      </c>
      <c r="EN34" t="e">
        <f>AND(Sheet1!C453,"AAAAAHufp48=")</f>
        <v>#VALUE!</v>
      </c>
      <c r="EO34" t="e">
        <f>AND(Sheet1!D453,"AAAAAHufp5A=")</f>
        <v>#VALUE!</v>
      </c>
      <c r="EP34" t="e">
        <f>AND(Sheet1!E453,"AAAAAHufp5E=")</f>
        <v>#VALUE!</v>
      </c>
      <c r="EQ34" t="e">
        <f>AND(Sheet1!F453,"AAAAAHufp5I=")</f>
        <v>#VALUE!</v>
      </c>
      <c r="ER34" t="e">
        <f>AND(Sheet1!G453,"AAAAAHufp5M=")</f>
        <v>#VALUE!</v>
      </c>
      <c r="ES34" t="e">
        <f>AND(Sheet1!H453,"AAAAAHufp5Q=")</f>
        <v>#VALUE!</v>
      </c>
      <c r="ET34" t="e">
        <f>AND(Sheet1!I453,"AAAAAHufp5U=")</f>
        <v>#VALUE!</v>
      </c>
      <c r="EU34" t="e">
        <f>AND(Sheet1!J453,"AAAAAHufp5Y=")</f>
        <v>#VALUE!</v>
      </c>
      <c r="EV34" t="e">
        <f>AND(Sheet1!K453,"AAAAAHufp5c=")</f>
        <v>#VALUE!</v>
      </c>
      <c r="EW34" t="e">
        <f>AND(Sheet1!L453,"AAAAAHufp5g=")</f>
        <v>#VALUE!</v>
      </c>
      <c r="EX34" t="e">
        <f>AND(Sheet1!M453,"AAAAAHufp5k=")</f>
        <v>#VALUE!</v>
      </c>
      <c r="EY34" t="e">
        <f>AND(Sheet1!N453,"AAAAAHufp5o=")</f>
        <v>#VALUE!</v>
      </c>
      <c r="EZ34" t="e">
        <f>AND(Sheet1!#REF!,"AAAAAHufp5s=")</f>
        <v>#REF!</v>
      </c>
      <c r="FA34" t="e">
        <f>AND(Sheet1!#REF!,"AAAAAHufp5w=")</f>
        <v>#REF!</v>
      </c>
      <c r="FB34" t="e">
        <f>AND(Sheet1!#REF!,"AAAAAHufp50=")</f>
        <v>#REF!</v>
      </c>
      <c r="FC34" t="e">
        <f>AND(Sheet1!#REF!,"AAAAAHufp54=")</f>
        <v>#REF!</v>
      </c>
      <c r="FD34">
        <f>IF(Sheet1!454:454,"AAAAAHufp58=",0)</f>
        <v>0</v>
      </c>
      <c r="FE34" t="e">
        <f>AND(Sheet1!A454,"AAAAAHufp6A=")</f>
        <v>#VALUE!</v>
      </c>
      <c r="FF34" t="e">
        <f>AND(Sheet1!B454,"AAAAAHufp6E=")</f>
        <v>#VALUE!</v>
      </c>
      <c r="FG34" t="e">
        <f>AND(Sheet1!C454,"AAAAAHufp6I=")</f>
        <v>#VALUE!</v>
      </c>
      <c r="FH34" t="e">
        <f>AND(Sheet1!D454,"AAAAAHufp6M=")</f>
        <v>#VALUE!</v>
      </c>
      <c r="FI34" t="e">
        <f>AND(Sheet1!E454,"AAAAAHufp6Q=")</f>
        <v>#VALUE!</v>
      </c>
      <c r="FJ34" t="e">
        <f>AND(Sheet1!F454,"AAAAAHufp6U=")</f>
        <v>#VALUE!</v>
      </c>
      <c r="FK34" t="e">
        <f>AND(Sheet1!G454,"AAAAAHufp6Y=")</f>
        <v>#VALUE!</v>
      </c>
      <c r="FL34" t="e">
        <f>AND(Sheet1!H454,"AAAAAHufp6c=")</f>
        <v>#VALUE!</v>
      </c>
      <c r="FM34" t="e">
        <f>AND(Sheet1!I454,"AAAAAHufp6g=")</f>
        <v>#VALUE!</v>
      </c>
      <c r="FN34" t="e">
        <f>AND(Sheet1!J454,"AAAAAHufp6k=")</f>
        <v>#VALUE!</v>
      </c>
      <c r="FO34" t="e">
        <f>AND(Sheet1!K454,"AAAAAHufp6o=")</f>
        <v>#VALUE!</v>
      </c>
      <c r="FP34" t="e">
        <f>AND(Sheet1!L454,"AAAAAHufp6s=")</f>
        <v>#VALUE!</v>
      </c>
      <c r="FQ34" t="e">
        <f>AND(Sheet1!M454,"AAAAAHufp6w=")</f>
        <v>#VALUE!</v>
      </c>
      <c r="FR34" t="e">
        <f>AND(Sheet1!N454,"AAAAAHufp60=")</f>
        <v>#VALUE!</v>
      </c>
      <c r="FS34" t="e">
        <f>AND(Sheet1!#REF!,"AAAAAHufp64=")</f>
        <v>#REF!</v>
      </c>
      <c r="FT34" t="e">
        <f>AND(Sheet1!#REF!,"AAAAAHufp68=")</f>
        <v>#REF!</v>
      </c>
      <c r="FU34" t="e">
        <f>AND(Sheet1!#REF!,"AAAAAHufp7A=")</f>
        <v>#REF!</v>
      </c>
      <c r="FV34" t="e">
        <f>AND(Sheet1!#REF!,"AAAAAHufp7E=")</f>
        <v>#REF!</v>
      </c>
      <c r="FW34">
        <f>IF(Sheet1!455:455,"AAAAAHufp7I=",0)</f>
        <v>0</v>
      </c>
      <c r="FX34" t="e">
        <f>AND(Sheet1!A455,"AAAAAHufp7M=")</f>
        <v>#VALUE!</v>
      </c>
      <c r="FY34" t="e">
        <f>AND(Sheet1!B455,"AAAAAHufp7Q=")</f>
        <v>#VALUE!</v>
      </c>
      <c r="FZ34" t="e">
        <f>AND(Sheet1!C455,"AAAAAHufp7U=")</f>
        <v>#VALUE!</v>
      </c>
      <c r="GA34" t="e">
        <f>AND(Sheet1!D455,"AAAAAHufp7Y=")</f>
        <v>#VALUE!</v>
      </c>
      <c r="GB34" t="e">
        <f>AND(Sheet1!E455,"AAAAAHufp7c=")</f>
        <v>#VALUE!</v>
      </c>
      <c r="GC34" t="e">
        <f>AND(Sheet1!F455,"AAAAAHufp7g=")</f>
        <v>#VALUE!</v>
      </c>
      <c r="GD34" t="e">
        <f>AND(Sheet1!G455,"AAAAAHufp7k=")</f>
        <v>#VALUE!</v>
      </c>
      <c r="GE34" t="e">
        <f>AND(Sheet1!H455,"AAAAAHufp7o=")</f>
        <v>#VALUE!</v>
      </c>
      <c r="GF34" t="e">
        <f>AND(Sheet1!I455,"AAAAAHufp7s=")</f>
        <v>#VALUE!</v>
      </c>
      <c r="GG34" t="e">
        <f>AND(Sheet1!J455,"AAAAAHufp7w=")</f>
        <v>#VALUE!</v>
      </c>
      <c r="GH34" t="e">
        <f>AND(Sheet1!K455,"AAAAAHufp70=")</f>
        <v>#VALUE!</v>
      </c>
      <c r="GI34" t="e">
        <f>AND(Sheet1!L455,"AAAAAHufp74=")</f>
        <v>#VALUE!</v>
      </c>
      <c r="GJ34" t="e">
        <f>AND(Sheet1!M455,"AAAAAHufp78=")</f>
        <v>#VALUE!</v>
      </c>
      <c r="GK34" t="e">
        <f>AND(Sheet1!N455,"AAAAAHufp8A=")</f>
        <v>#VALUE!</v>
      </c>
      <c r="GL34" t="e">
        <f>AND(Sheet1!#REF!,"AAAAAHufp8E=")</f>
        <v>#REF!</v>
      </c>
      <c r="GM34" t="e">
        <f>AND(Sheet1!#REF!,"AAAAAHufp8I=")</f>
        <v>#REF!</v>
      </c>
      <c r="GN34" t="e">
        <f>AND(Sheet1!#REF!,"AAAAAHufp8M=")</f>
        <v>#REF!</v>
      </c>
      <c r="GO34" t="e">
        <f>AND(Sheet1!#REF!,"AAAAAHufp8Q=")</f>
        <v>#REF!</v>
      </c>
      <c r="GP34">
        <f>IF(Sheet1!456:456,"AAAAAHufp8U=",0)</f>
        <v>0</v>
      </c>
      <c r="GQ34" t="e">
        <f>AND(Sheet1!A456,"AAAAAHufp8Y=")</f>
        <v>#VALUE!</v>
      </c>
      <c r="GR34" t="e">
        <f>AND(Sheet1!B456,"AAAAAHufp8c=")</f>
        <v>#VALUE!</v>
      </c>
      <c r="GS34" t="e">
        <f>AND(Sheet1!C456,"AAAAAHufp8g=")</f>
        <v>#VALUE!</v>
      </c>
      <c r="GT34" t="e">
        <f>AND(Sheet1!D456,"AAAAAHufp8k=")</f>
        <v>#VALUE!</v>
      </c>
      <c r="GU34" t="e">
        <f>AND(Sheet1!E456,"AAAAAHufp8o=")</f>
        <v>#VALUE!</v>
      </c>
      <c r="GV34" t="e">
        <f>AND(Sheet1!F456,"AAAAAHufp8s=")</f>
        <v>#VALUE!</v>
      </c>
      <c r="GW34" t="e">
        <f>AND(Sheet1!G456,"AAAAAHufp8w=")</f>
        <v>#VALUE!</v>
      </c>
      <c r="GX34" t="e">
        <f>AND(Sheet1!H456,"AAAAAHufp80=")</f>
        <v>#VALUE!</v>
      </c>
      <c r="GY34" t="e">
        <f>AND(Sheet1!I456,"AAAAAHufp84=")</f>
        <v>#VALUE!</v>
      </c>
      <c r="GZ34" t="e">
        <f>AND(Sheet1!J456,"AAAAAHufp88=")</f>
        <v>#VALUE!</v>
      </c>
      <c r="HA34" t="e">
        <f>AND(Sheet1!K456,"AAAAAHufp9A=")</f>
        <v>#VALUE!</v>
      </c>
      <c r="HB34" t="e">
        <f>AND(Sheet1!L456,"AAAAAHufp9E=")</f>
        <v>#VALUE!</v>
      </c>
      <c r="HC34" t="e">
        <f>AND(Sheet1!M456,"AAAAAHufp9I=")</f>
        <v>#VALUE!</v>
      </c>
      <c r="HD34" t="e">
        <f>AND(Sheet1!N456,"AAAAAHufp9M=")</f>
        <v>#VALUE!</v>
      </c>
      <c r="HE34" t="e">
        <f>AND(Sheet1!#REF!,"AAAAAHufp9Q=")</f>
        <v>#REF!</v>
      </c>
      <c r="HF34" t="e">
        <f>AND(Sheet1!#REF!,"AAAAAHufp9U=")</f>
        <v>#REF!</v>
      </c>
      <c r="HG34" t="e">
        <f>AND(Sheet1!#REF!,"AAAAAHufp9Y=")</f>
        <v>#REF!</v>
      </c>
      <c r="HH34" t="e">
        <f>AND(Sheet1!#REF!,"AAAAAHufp9c=")</f>
        <v>#REF!</v>
      </c>
      <c r="HI34">
        <f>IF(Sheet1!457:457,"AAAAAHufp9g=",0)</f>
        <v>0</v>
      </c>
      <c r="HJ34" t="e">
        <f>AND(Sheet1!A457,"AAAAAHufp9k=")</f>
        <v>#VALUE!</v>
      </c>
      <c r="HK34" t="e">
        <f>AND(Sheet1!B457,"AAAAAHufp9o=")</f>
        <v>#VALUE!</v>
      </c>
      <c r="HL34" t="e">
        <f>AND(Sheet1!C457,"AAAAAHufp9s=")</f>
        <v>#VALUE!</v>
      </c>
      <c r="HM34" t="e">
        <f>AND(Sheet1!D457,"AAAAAHufp9w=")</f>
        <v>#VALUE!</v>
      </c>
      <c r="HN34" t="e">
        <f>AND(Sheet1!E457,"AAAAAHufp90=")</f>
        <v>#VALUE!</v>
      </c>
      <c r="HO34" t="e">
        <f>AND(Sheet1!F457,"AAAAAHufp94=")</f>
        <v>#VALUE!</v>
      </c>
      <c r="HP34" t="e">
        <f>AND(Sheet1!G457,"AAAAAHufp98=")</f>
        <v>#VALUE!</v>
      </c>
      <c r="HQ34" t="e">
        <f>AND(Sheet1!H457,"AAAAAHufp+A=")</f>
        <v>#VALUE!</v>
      </c>
      <c r="HR34" t="e">
        <f>AND(Sheet1!I457,"AAAAAHufp+E=")</f>
        <v>#VALUE!</v>
      </c>
      <c r="HS34" t="e">
        <f>AND(Sheet1!J457,"AAAAAHufp+I=")</f>
        <v>#VALUE!</v>
      </c>
      <c r="HT34" t="e">
        <f>AND(Sheet1!K457,"AAAAAHufp+M=")</f>
        <v>#VALUE!</v>
      </c>
      <c r="HU34" t="e">
        <f>AND(Sheet1!L457,"AAAAAHufp+Q=")</f>
        <v>#VALUE!</v>
      </c>
      <c r="HV34" t="e">
        <f>AND(Sheet1!M457,"AAAAAHufp+U=")</f>
        <v>#VALUE!</v>
      </c>
      <c r="HW34" t="e">
        <f>AND(Sheet1!N457,"AAAAAHufp+Y=")</f>
        <v>#VALUE!</v>
      </c>
      <c r="HX34" t="e">
        <f>AND(Sheet1!#REF!,"AAAAAHufp+c=")</f>
        <v>#REF!</v>
      </c>
      <c r="HY34" t="e">
        <f>AND(Sheet1!#REF!,"AAAAAHufp+g=")</f>
        <v>#REF!</v>
      </c>
      <c r="HZ34" t="e">
        <f>AND(Sheet1!#REF!,"AAAAAHufp+k=")</f>
        <v>#REF!</v>
      </c>
      <c r="IA34" t="e">
        <f>AND(Sheet1!#REF!,"AAAAAHufp+o=")</f>
        <v>#REF!</v>
      </c>
      <c r="IB34">
        <f>IF(Sheet1!458:458,"AAAAAHufp+s=",0)</f>
        <v>0</v>
      </c>
      <c r="IC34" t="e">
        <f>AND(Sheet1!A458,"AAAAAHufp+w=")</f>
        <v>#VALUE!</v>
      </c>
      <c r="ID34" t="e">
        <f>AND(Sheet1!B458,"AAAAAHufp+0=")</f>
        <v>#VALUE!</v>
      </c>
      <c r="IE34" t="e">
        <f>AND(Sheet1!C458,"AAAAAHufp+4=")</f>
        <v>#VALUE!</v>
      </c>
      <c r="IF34" t="e">
        <f>AND(Sheet1!D458,"AAAAAHufp+8=")</f>
        <v>#VALUE!</v>
      </c>
      <c r="IG34" t="e">
        <f>AND(Sheet1!E458,"AAAAAHufp/A=")</f>
        <v>#VALUE!</v>
      </c>
      <c r="IH34" t="e">
        <f>AND(Sheet1!F458,"AAAAAHufp/E=")</f>
        <v>#VALUE!</v>
      </c>
      <c r="II34" t="e">
        <f>AND(Sheet1!G458,"AAAAAHufp/I=")</f>
        <v>#VALUE!</v>
      </c>
      <c r="IJ34" t="e">
        <f>AND(Sheet1!H458,"AAAAAHufp/M=")</f>
        <v>#VALUE!</v>
      </c>
      <c r="IK34" t="e">
        <f>AND(Sheet1!I458,"AAAAAHufp/Q=")</f>
        <v>#VALUE!</v>
      </c>
      <c r="IL34" t="e">
        <f>AND(Sheet1!J458,"AAAAAHufp/U=")</f>
        <v>#VALUE!</v>
      </c>
      <c r="IM34" t="e">
        <f>AND(Sheet1!K458,"AAAAAHufp/Y=")</f>
        <v>#VALUE!</v>
      </c>
      <c r="IN34" t="e">
        <f>AND(Sheet1!L458,"AAAAAHufp/c=")</f>
        <v>#VALUE!</v>
      </c>
      <c r="IO34" t="e">
        <f>AND(Sheet1!M458,"AAAAAHufp/g=")</f>
        <v>#VALUE!</v>
      </c>
      <c r="IP34" t="e">
        <f>AND(Sheet1!N458,"AAAAAHufp/k=")</f>
        <v>#VALUE!</v>
      </c>
      <c r="IQ34" t="e">
        <f>AND(Sheet1!#REF!,"AAAAAHufp/o=")</f>
        <v>#REF!</v>
      </c>
      <c r="IR34" t="e">
        <f>AND(Sheet1!#REF!,"AAAAAHufp/s=")</f>
        <v>#REF!</v>
      </c>
      <c r="IS34" t="e">
        <f>AND(Sheet1!#REF!,"AAAAAHufp/w=")</f>
        <v>#REF!</v>
      </c>
      <c r="IT34" t="e">
        <f>AND(Sheet1!#REF!,"AAAAAHufp/0=")</f>
        <v>#REF!</v>
      </c>
      <c r="IU34">
        <f>IF(Sheet1!459:459,"AAAAAHufp/4=",0)</f>
        <v>0</v>
      </c>
      <c r="IV34" t="e">
        <f>AND(Sheet1!A459,"AAAAAHufp/8=")</f>
        <v>#VALUE!</v>
      </c>
    </row>
    <row r="35" spans="1:256" x14ac:dyDescent="0.2">
      <c r="A35" t="e">
        <f>AND(Sheet1!B459,"AAAAAG/+/wA=")</f>
        <v>#VALUE!</v>
      </c>
      <c r="B35" t="e">
        <f>AND(Sheet1!C459,"AAAAAG/+/wE=")</f>
        <v>#VALUE!</v>
      </c>
      <c r="C35" t="e">
        <f>AND(Sheet1!D459,"AAAAAG/+/wI=")</f>
        <v>#VALUE!</v>
      </c>
      <c r="D35" t="e">
        <f>AND(Sheet1!E459,"AAAAAG/+/wM=")</f>
        <v>#VALUE!</v>
      </c>
      <c r="E35" t="e">
        <f>AND(Sheet1!F459,"AAAAAG/+/wQ=")</f>
        <v>#VALUE!</v>
      </c>
      <c r="F35" t="e">
        <f>AND(Sheet1!G459,"AAAAAG/+/wU=")</f>
        <v>#VALUE!</v>
      </c>
      <c r="G35" t="e">
        <f>AND(Sheet1!H459,"AAAAAG/+/wY=")</f>
        <v>#VALUE!</v>
      </c>
      <c r="H35" t="e">
        <f>AND(Sheet1!I459,"AAAAAG/+/wc=")</f>
        <v>#VALUE!</v>
      </c>
      <c r="I35" t="e">
        <f>AND(Sheet1!J459,"AAAAAG/+/wg=")</f>
        <v>#VALUE!</v>
      </c>
      <c r="J35" t="e">
        <f>AND(Sheet1!K459,"AAAAAG/+/wk=")</f>
        <v>#VALUE!</v>
      </c>
      <c r="K35" t="e">
        <f>AND(Sheet1!L459,"AAAAAG/+/wo=")</f>
        <v>#VALUE!</v>
      </c>
      <c r="L35" t="e">
        <f>AND(Sheet1!M459,"AAAAAG/+/ws=")</f>
        <v>#VALUE!</v>
      </c>
      <c r="M35" t="e">
        <f>AND(Sheet1!N459,"AAAAAG/+/ww=")</f>
        <v>#VALUE!</v>
      </c>
      <c r="N35" t="e">
        <f>AND(Sheet1!#REF!,"AAAAAG/+/w0=")</f>
        <v>#REF!</v>
      </c>
      <c r="O35" t="e">
        <f>AND(Sheet1!#REF!,"AAAAAG/+/w4=")</f>
        <v>#REF!</v>
      </c>
      <c r="P35" t="e">
        <f>AND(Sheet1!#REF!,"AAAAAG/+/w8=")</f>
        <v>#REF!</v>
      </c>
      <c r="Q35" t="e">
        <f>AND(Sheet1!#REF!,"AAAAAG/+/xA=")</f>
        <v>#REF!</v>
      </c>
      <c r="R35">
        <f>IF(Sheet1!460:460,"AAAAAG/+/xE=",0)</f>
        <v>0</v>
      </c>
      <c r="S35" t="e">
        <f>AND(Sheet1!A460,"AAAAAG/+/xI=")</f>
        <v>#VALUE!</v>
      </c>
      <c r="T35" t="e">
        <f>AND(Sheet1!B460,"AAAAAG/+/xM=")</f>
        <v>#VALUE!</v>
      </c>
      <c r="U35" t="e">
        <f>AND(Sheet1!C460,"AAAAAG/+/xQ=")</f>
        <v>#VALUE!</v>
      </c>
      <c r="V35" t="e">
        <f>AND(Sheet1!D460,"AAAAAG/+/xU=")</f>
        <v>#VALUE!</v>
      </c>
      <c r="W35" t="e">
        <f>AND(Sheet1!E460,"AAAAAG/+/xY=")</f>
        <v>#VALUE!</v>
      </c>
      <c r="X35" t="e">
        <f>AND(Sheet1!F460,"AAAAAG/+/xc=")</f>
        <v>#VALUE!</v>
      </c>
      <c r="Y35" t="e">
        <f>AND(Sheet1!G460,"AAAAAG/+/xg=")</f>
        <v>#VALUE!</v>
      </c>
      <c r="Z35" t="e">
        <f>AND(Sheet1!H460,"AAAAAG/+/xk=")</f>
        <v>#VALUE!</v>
      </c>
      <c r="AA35" t="e">
        <f>AND(Sheet1!I460,"AAAAAG/+/xo=")</f>
        <v>#VALUE!</v>
      </c>
      <c r="AB35" t="e">
        <f>AND(Sheet1!J460,"AAAAAG/+/xs=")</f>
        <v>#VALUE!</v>
      </c>
      <c r="AC35" t="e">
        <f>AND(Sheet1!K460,"AAAAAG/+/xw=")</f>
        <v>#VALUE!</v>
      </c>
      <c r="AD35" t="e">
        <f>AND(Sheet1!L460,"AAAAAG/+/x0=")</f>
        <v>#VALUE!</v>
      </c>
      <c r="AE35" t="e">
        <f>AND(Sheet1!M460,"AAAAAG/+/x4=")</f>
        <v>#VALUE!</v>
      </c>
      <c r="AF35" t="e">
        <f>AND(Sheet1!N460,"AAAAAG/+/x8=")</f>
        <v>#VALUE!</v>
      </c>
      <c r="AG35" t="e">
        <f>AND(Sheet1!#REF!,"AAAAAG/+/yA=")</f>
        <v>#REF!</v>
      </c>
      <c r="AH35" t="e">
        <f>AND(Sheet1!#REF!,"AAAAAG/+/yE=")</f>
        <v>#REF!</v>
      </c>
      <c r="AI35" t="e">
        <f>AND(Sheet1!#REF!,"AAAAAG/+/yI=")</f>
        <v>#REF!</v>
      </c>
      <c r="AJ35" t="e">
        <f>AND(Sheet1!#REF!,"AAAAAG/+/yM=")</f>
        <v>#REF!</v>
      </c>
      <c r="AK35">
        <f>IF(Sheet1!461:461,"AAAAAG/+/yQ=",0)</f>
        <v>0</v>
      </c>
      <c r="AL35" t="e">
        <f>AND(Sheet1!A461,"AAAAAG/+/yU=")</f>
        <v>#VALUE!</v>
      </c>
      <c r="AM35" t="e">
        <f>AND(Sheet1!B461,"AAAAAG/+/yY=")</f>
        <v>#VALUE!</v>
      </c>
      <c r="AN35" t="e">
        <f>AND(Sheet1!C461,"AAAAAG/+/yc=")</f>
        <v>#VALUE!</v>
      </c>
      <c r="AO35" t="e">
        <f>AND(Sheet1!D461,"AAAAAG/+/yg=")</f>
        <v>#VALUE!</v>
      </c>
      <c r="AP35" t="e">
        <f>AND(Sheet1!E461,"AAAAAG/+/yk=")</f>
        <v>#VALUE!</v>
      </c>
      <c r="AQ35" t="e">
        <f>AND(Sheet1!F461,"AAAAAG/+/yo=")</f>
        <v>#VALUE!</v>
      </c>
      <c r="AR35" t="e">
        <f>AND(Sheet1!G461,"AAAAAG/+/ys=")</f>
        <v>#VALUE!</v>
      </c>
      <c r="AS35" t="e">
        <f>AND(Sheet1!H461,"AAAAAG/+/yw=")</f>
        <v>#VALUE!</v>
      </c>
      <c r="AT35" t="e">
        <f>AND(Sheet1!I461,"AAAAAG/+/y0=")</f>
        <v>#VALUE!</v>
      </c>
      <c r="AU35" t="e">
        <f>AND(Sheet1!J461,"AAAAAG/+/y4=")</f>
        <v>#VALUE!</v>
      </c>
      <c r="AV35" t="e">
        <f>AND(Sheet1!K461,"AAAAAG/+/y8=")</f>
        <v>#VALUE!</v>
      </c>
      <c r="AW35" t="e">
        <f>AND(Sheet1!L461,"AAAAAG/+/zA=")</f>
        <v>#VALUE!</v>
      </c>
      <c r="AX35" t="e">
        <f>AND(Sheet1!M461,"AAAAAG/+/zE=")</f>
        <v>#VALUE!</v>
      </c>
      <c r="AY35" t="e">
        <f>AND(Sheet1!N461,"AAAAAG/+/zI=")</f>
        <v>#VALUE!</v>
      </c>
      <c r="AZ35" t="e">
        <f>AND(Sheet1!#REF!,"AAAAAG/+/zM=")</f>
        <v>#REF!</v>
      </c>
      <c r="BA35" t="e">
        <f>AND(Sheet1!#REF!,"AAAAAG/+/zQ=")</f>
        <v>#REF!</v>
      </c>
      <c r="BB35" t="e">
        <f>AND(Sheet1!#REF!,"AAAAAG/+/zU=")</f>
        <v>#REF!</v>
      </c>
      <c r="BC35" t="e">
        <f>AND(Sheet1!#REF!,"AAAAAG/+/zY=")</f>
        <v>#REF!</v>
      </c>
      <c r="BD35">
        <f>IF(Sheet1!462:462,"AAAAAG/+/zc=",0)</f>
        <v>0</v>
      </c>
      <c r="BE35" t="e">
        <f>AND(Sheet1!A462,"AAAAAG/+/zg=")</f>
        <v>#VALUE!</v>
      </c>
      <c r="BF35" t="e">
        <f>AND(Sheet1!B462,"AAAAAG/+/zk=")</f>
        <v>#VALUE!</v>
      </c>
      <c r="BG35" t="e">
        <f>AND(Sheet1!C462,"AAAAAG/+/zo=")</f>
        <v>#VALUE!</v>
      </c>
      <c r="BH35" t="e">
        <f>AND(Sheet1!D462,"AAAAAG/+/zs=")</f>
        <v>#VALUE!</v>
      </c>
      <c r="BI35" t="e">
        <f>AND(Sheet1!E462,"AAAAAG/+/zw=")</f>
        <v>#VALUE!</v>
      </c>
      <c r="BJ35" t="e">
        <f>AND(Sheet1!F462,"AAAAAG/+/z0=")</f>
        <v>#VALUE!</v>
      </c>
      <c r="BK35" t="e">
        <f>AND(Sheet1!G462,"AAAAAG/+/z4=")</f>
        <v>#VALUE!</v>
      </c>
      <c r="BL35" t="e">
        <f>AND(Sheet1!H462,"AAAAAG/+/z8=")</f>
        <v>#VALUE!</v>
      </c>
      <c r="BM35" t="e">
        <f>AND(Sheet1!I462,"AAAAAG/+/0A=")</f>
        <v>#VALUE!</v>
      </c>
      <c r="BN35" t="e">
        <f>AND(Sheet1!J462,"AAAAAG/+/0E=")</f>
        <v>#VALUE!</v>
      </c>
      <c r="BO35" t="e">
        <f>AND(Sheet1!K462,"AAAAAG/+/0I=")</f>
        <v>#VALUE!</v>
      </c>
      <c r="BP35" t="e">
        <f>AND(Sheet1!L462,"AAAAAG/+/0M=")</f>
        <v>#VALUE!</v>
      </c>
      <c r="BQ35" t="e">
        <f>AND(Sheet1!M462,"AAAAAG/+/0Q=")</f>
        <v>#VALUE!</v>
      </c>
      <c r="BR35" t="e">
        <f>AND(Sheet1!N462,"AAAAAG/+/0U=")</f>
        <v>#VALUE!</v>
      </c>
      <c r="BS35" t="e">
        <f>AND(Sheet1!#REF!,"AAAAAG/+/0Y=")</f>
        <v>#REF!</v>
      </c>
      <c r="BT35" t="e">
        <f>AND(Sheet1!#REF!,"AAAAAG/+/0c=")</f>
        <v>#REF!</v>
      </c>
      <c r="BU35" t="e">
        <f>AND(Sheet1!#REF!,"AAAAAG/+/0g=")</f>
        <v>#REF!</v>
      </c>
      <c r="BV35" t="e">
        <f>AND(Sheet1!#REF!,"AAAAAG/+/0k=")</f>
        <v>#REF!</v>
      </c>
      <c r="BW35">
        <f>IF(Sheet1!463:463,"AAAAAG/+/0o=",0)</f>
        <v>0</v>
      </c>
      <c r="BX35" t="e">
        <f>AND(Sheet1!A463,"AAAAAG/+/0s=")</f>
        <v>#VALUE!</v>
      </c>
      <c r="BY35" t="e">
        <f>AND(Sheet1!B463,"AAAAAG/+/0w=")</f>
        <v>#VALUE!</v>
      </c>
      <c r="BZ35" t="e">
        <f>AND(Sheet1!C463,"AAAAAG/+/00=")</f>
        <v>#VALUE!</v>
      </c>
      <c r="CA35" t="e">
        <f>AND(Sheet1!D463,"AAAAAG/+/04=")</f>
        <v>#VALUE!</v>
      </c>
      <c r="CB35" t="e">
        <f>AND(Sheet1!E463,"AAAAAG/+/08=")</f>
        <v>#VALUE!</v>
      </c>
      <c r="CC35" t="e">
        <f>AND(Sheet1!F463,"AAAAAG/+/1A=")</f>
        <v>#VALUE!</v>
      </c>
      <c r="CD35" t="e">
        <f>AND(Sheet1!G463,"AAAAAG/+/1E=")</f>
        <v>#VALUE!</v>
      </c>
      <c r="CE35" t="e">
        <f>AND(Sheet1!H463,"AAAAAG/+/1I=")</f>
        <v>#VALUE!</v>
      </c>
      <c r="CF35" t="e">
        <f>AND(Sheet1!I463,"AAAAAG/+/1M=")</f>
        <v>#VALUE!</v>
      </c>
      <c r="CG35" t="e">
        <f>AND(Sheet1!J463,"AAAAAG/+/1Q=")</f>
        <v>#VALUE!</v>
      </c>
      <c r="CH35" t="e">
        <f>AND(Sheet1!K463,"AAAAAG/+/1U=")</f>
        <v>#VALUE!</v>
      </c>
      <c r="CI35" t="e">
        <f>AND(Sheet1!L463,"AAAAAG/+/1Y=")</f>
        <v>#VALUE!</v>
      </c>
      <c r="CJ35" t="e">
        <f>AND(Sheet1!M463,"AAAAAG/+/1c=")</f>
        <v>#VALUE!</v>
      </c>
      <c r="CK35" t="e">
        <f>AND(Sheet1!N463,"AAAAAG/+/1g=")</f>
        <v>#VALUE!</v>
      </c>
      <c r="CL35" t="e">
        <f>AND(Sheet1!#REF!,"AAAAAG/+/1k=")</f>
        <v>#REF!</v>
      </c>
      <c r="CM35" t="e">
        <f>AND(Sheet1!#REF!,"AAAAAG/+/1o=")</f>
        <v>#REF!</v>
      </c>
      <c r="CN35" t="e">
        <f>AND(Sheet1!#REF!,"AAAAAG/+/1s=")</f>
        <v>#REF!</v>
      </c>
      <c r="CO35" t="e">
        <f>AND(Sheet1!#REF!,"AAAAAG/+/1w=")</f>
        <v>#REF!</v>
      </c>
      <c r="CP35">
        <f>IF(Sheet1!464:464,"AAAAAG/+/10=",0)</f>
        <v>0</v>
      </c>
      <c r="CQ35" t="e">
        <f>AND(Sheet1!A464,"AAAAAG/+/14=")</f>
        <v>#VALUE!</v>
      </c>
      <c r="CR35" t="e">
        <f>AND(Sheet1!B464,"AAAAAG/+/18=")</f>
        <v>#VALUE!</v>
      </c>
      <c r="CS35" t="e">
        <f>AND(Sheet1!C464,"AAAAAG/+/2A=")</f>
        <v>#VALUE!</v>
      </c>
      <c r="CT35" t="e">
        <f>AND(Sheet1!D464,"AAAAAG/+/2E=")</f>
        <v>#VALUE!</v>
      </c>
      <c r="CU35" t="e">
        <f>AND(Sheet1!E464,"AAAAAG/+/2I=")</f>
        <v>#VALUE!</v>
      </c>
      <c r="CV35" t="e">
        <f>AND(Sheet1!F464,"AAAAAG/+/2M=")</f>
        <v>#VALUE!</v>
      </c>
      <c r="CW35" t="e">
        <f>AND(Sheet1!G464,"AAAAAG/+/2Q=")</f>
        <v>#VALUE!</v>
      </c>
      <c r="CX35" t="e">
        <f>AND(Sheet1!H464,"AAAAAG/+/2U=")</f>
        <v>#VALUE!</v>
      </c>
      <c r="CY35" t="e">
        <f>AND(Sheet1!I464,"AAAAAG/+/2Y=")</f>
        <v>#VALUE!</v>
      </c>
      <c r="CZ35" t="e">
        <f>AND(Sheet1!J464,"AAAAAG/+/2c=")</f>
        <v>#VALUE!</v>
      </c>
      <c r="DA35" t="e">
        <f>AND(Sheet1!K464,"AAAAAG/+/2g=")</f>
        <v>#VALUE!</v>
      </c>
      <c r="DB35" t="e">
        <f>AND(Sheet1!L464,"AAAAAG/+/2k=")</f>
        <v>#VALUE!</v>
      </c>
      <c r="DC35" t="e">
        <f>AND(Sheet1!M464,"AAAAAG/+/2o=")</f>
        <v>#VALUE!</v>
      </c>
      <c r="DD35" t="e">
        <f>AND(Sheet1!N464,"AAAAAG/+/2s=")</f>
        <v>#VALUE!</v>
      </c>
      <c r="DE35" t="e">
        <f>AND(Sheet1!#REF!,"AAAAAG/+/2w=")</f>
        <v>#REF!</v>
      </c>
      <c r="DF35" t="e">
        <f>AND(Sheet1!#REF!,"AAAAAG/+/20=")</f>
        <v>#REF!</v>
      </c>
      <c r="DG35" t="e">
        <f>AND(Sheet1!#REF!,"AAAAAG/+/24=")</f>
        <v>#REF!</v>
      </c>
      <c r="DH35" t="e">
        <f>AND(Sheet1!#REF!,"AAAAAG/+/28=")</f>
        <v>#REF!</v>
      </c>
      <c r="DI35">
        <f>IF(Sheet1!465:465,"AAAAAG/+/3A=",0)</f>
        <v>0</v>
      </c>
      <c r="DJ35" t="e">
        <f>AND(Sheet1!A465,"AAAAAG/+/3E=")</f>
        <v>#VALUE!</v>
      </c>
      <c r="DK35" t="e">
        <f>AND(Sheet1!B465,"AAAAAG/+/3I=")</f>
        <v>#VALUE!</v>
      </c>
      <c r="DL35" t="e">
        <f>AND(Sheet1!C465,"AAAAAG/+/3M=")</f>
        <v>#VALUE!</v>
      </c>
      <c r="DM35" t="e">
        <f>AND(Sheet1!D465,"AAAAAG/+/3Q=")</f>
        <v>#VALUE!</v>
      </c>
      <c r="DN35" t="e">
        <f>AND(Sheet1!E465,"AAAAAG/+/3U=")</f>
        <v>#VALUE!</v>
      </c>
      <c r="DO35" t="e">
        <f>AND(Sheet1!F465,"AAAAAG/+/3Y=")</f>
        <v>#VALUE!</v>
      </c>
      <c r="DP35" t="e">
        <f>AND(Sheet1!G465,"AAAAAG/+/3c=")</f>
        <v>#VALUE!</v>
      </c>
      <c r="DQ35" t="e">
        <f>AND(Sheet1!H465,"AAAAAG/+/3g=")</f>
        <v>#VALUE!</v>
      </c>
      <c r="DR35" t="e">
        <f>AND(Sheet1!I465,"AAAAAG/+/3k=")</f>
        <v>#VALUE!</v>
      </c>
      <c r="DS35" t="e">
        <f>AND(Sheet1!J465,"AAAAAG/+/3o=")</f>
        <v>#VALUE!</v>
      </c>
      <c r="DT35" t="e">
        <f>AND(Sheet1!K465,"AAAAAG/+/3s=")</f>
        <v>#VALUE!</v>
      </c>
      <c r="DU35" t="e">
        <f>AND(Sheet1!L465,"AAAAAG/+/3w=")</f>
        <v>#VALUE!</v>
      </c>
      <c r="DV35" t="e">
        <f>AND(Sheet1!M465,"AAAAAG/+/30=")</f>
        <v>#VALUE!</v>
      </c>
      <c r="DW35" t="e">
        <f>AND(Sheet1!N465,"AAAAAG/+/34=")</f>
        <v>#VALUE!</v>
      </c>
      <c r="DX35" t="e">
        <f>AND(Sheet1!#REF!,"AAAAAG/+/38=")</f>
        <v>#REF!</v>
      </c>
      <c r="DY35" t="e">
        <f>AND(Sheet1!#REF!,"AAAAAG/+/4A=")</f>
        <v>#REF!</v>
      </c>
      <c r="DZ35" t="e">
        <f>AND(Sheet1!#REF!,"AAAAAG/+/4E=")</f>
        <v>#REF!</v>
      </c>
      <c r="EA35" t="e">
        <f>AND(Sheet1!#REF!,"AAAAAG/+/4I=")</f>
        <v>#REF!</v>
      </c>
      <c r="EB35">
        <f>IF(Sheet1!466:466,"AAAAAG/+/4M=",0)</f>
        <v>0</v>
      </c>
      <c r="EC35" t="e">
        <f>AND(Sheet1!A466,"AAAAAG/+/4Q=")</f>
        <v>#VALUE!</v>
      </c>
      <c r="ED35" t="e">
        <f>AND(Sheet1!B466,"AAAAAG/+/4U=")</f>
        <v>#VALUE!</v>
      </c>
      <c r="EE35" t="e">
        <f>AND(Sheet1!C466,"AAAAAG/+/4Y=")</f>
        <v>#VALUE!</v>
      </c>
      <c r="EF35" t="e">
        <f>AND(Sheet1!D466,"AAAAAG/+/4c=")</f>
        <v>#VALUE!</v>
      </c>
      <c r="EG35" t="e">
        <f>AND(Sheet1!E466,"AAAAAG/+/4g=")</f>
        <v>#VALUE!</v>
      </c>
      <c r="EH35" t="e">
        <f>AND(Sheet1!F466,"AAAAAG/+/4k=")</f>
        <v>#VALUE!</v>
      </c>
      <c r="EI35" t="e">
        <f>AND(Sheet1!G466,"AAAAAG/+/4o=")</f>
        <v>#VALUE!</v>
      </c>
      <c r="EJ35" t="e">
        <f>AND(Sheet1!H466,"AAAAAG/+/4s=")</f>
        <v>#VALUE!</v>
      </c>
      <c r="EK35" t="e">
        <f>AND(Sheet1!I466,"AAAAAG/+/4w=")</f>
        <v>#VALUE!</v>
      </c>
      <c r="EL35" t="e">
        <f>AND(Sheet1!J466,"AAAAAG/+/40=")</f>
        <v>#VALUE!</v>
      </c>
      <c r="EM35" t="e">
        <f>AND(Sheet1!K466,"AAAAAG/+/44=")</f>
        <v>#VALUE!</v>
      </c>
      <c r="EN35" t="e">
        <f>AND(Sheet1!L466,"AAAAAG/+/48=")</f>
        <v>#VALUE!</v>
      </c>
      <c r="EO35" t="e">
        <f>AND(Sheet1!M466,"AAAAAG/+/5A=")</f>
        <v>#VALUE!</v>
      </c>
      <c r="EP35" t="e">
        <f>AND(Sheet1!N466,"AAAAAG/+/5E=")</f>
        <v>#VALUE!</v>
      </c>
      <c r="EQ35" t="e">
        <f>AND(Sheet1!#REF!,"AAAAAG/+/5I=")</f>
        <v>#REF!</v>
      </c>
      <c r="ER35" t="e">
        <f>AND(Sheet1!#REF!,"AAAAAG/+/5M=")</f>
        <v>#REF!</v>
      </c>
      <c r="ES35" t="e">
        <f>AND(Sheet1!#REF!,"AAAAAG/+/5Q=")</f>
        <v>#REF!</v>
      </c>
      <c r="ET35" t="e">
        <f>AND(Sheet1!#REF!,"AAAAAG/+/5U=")</f>
        <v>#REF!</v>
      </c>
      <c r="EU35">
        <f>IF(Sheet1!467:467,"AAAAAG/+/5Y=",0)</f>
        <v>0</v>
      </c>
      <c r="EV35" t="e">
        <f>AND(Sheet1!A467,"AAAAAG/+/5c=")</f>
        <v>#VALUE!</v>
      </c>
      <c r="EW35" t="e">
        <f>AND(Sheet1!B467,"AAAAAG/+/5g=")</f>
        <v>#VALUE!</v>
      </c>
      <c r="EX35" t="e">
        <f>AND(Sheet1!C467,"AAAAAG/+/5k=")</f>
        <v>#VALUE!</v>
      </c>
      <c r="EY35" t="e">
        <f>AND(Sheet1!D467,"AAAAAG/+/5o=")</f>
        <v>#VALUE!</v>
      </c>
      <c r="EZ35" t="e">
        <f>AND(Sheet1!E467,"AAAAAG/+/5s=")</f>
        <v>#VALUE!</v>
      </c>
      <c r="FA35" t="e">
        <f>AND(Sheet1!F467,"AAAAAG/+/5w=")</f>
        <v>#VALUE!</v>
      </c>
      <c r="FB35" t="e">
        <f>AND(Sheet1!G467,"AAAAAG/+/50=")</f>
        <v>#VALUE!</v>
      </c>
      <c r="FC35" t="e">
        <f>AND(Sheet1!H467,"AAAAAG/+/54=")</f>
        <v>#VALUE!</v>
      </c>
      <c r="FD35" t="e">
        <f>AND(Sheet1!I467,"AAAAAG/+/58=")</f>
        <v>#VALUE!</v>
      </c>
      <c r="FE35" t="e">
        <f>AND(Sheet1!J467,"AAAAAG/+/6A=")</f>
        <v>#VALUE!</v>
      </c>
      <c r="FF35" t="e">
        <f>AND(Sheet1!K467,"AAAAAG/+/6E=")</f>
        <v>#VALUE!</v>
      </c>
      <c r="FG35" t="e">
        <f>AND(Sheet1!L467,"AAAAAG/+/6I=")</f>
        <v>#VALUE!</v>
      </c>
      <c r="FH35" t="e">
        <f>AND(Sheet1!M467,"AAAAAG/+/6M=")</f>
        <v>#VALUE!</v>
      </c>
      <c r="FI35" t="e">
        <f>AND(Sheet1!N467,"AAAAAG/+/6Q=")</f>
        <v>#VALUE!</v>
      </c>
      <c r="FJ35" t="e">
        <f>AND(Sheet1!#REF!,"AAAAAG/+/6U=")</f>
        <v>#REF!</v>
      </c>
      <c r="FK35" t="e">
        <f>AND(Sheet1!#REF!,"AAAAAG/+/6Y=")</f>
        <v>#REF!</v>
      </c>
      <c r="FL35" t="e">
        <f>AND(Sheet1!#REF!,"AAAAAG/+/6c=")</f>
        <v>#REF!</v>
      </c>
      <c r="FM35" t="e">
        <f>AND(Sheet1!#REF!,"AAAAAG/+/6g=")</f>
        <v>#REF!</v>
      </c>
      <c r="FN35">
        <f>IF(Sheet1!468:468,"AAAAAG/+/6k=",0)</f>
        <v>0</v>
      </c>
      <c r="FO35" t="e">
        <f>AND(Sheet1!A468,"AAAAAG/+/6o=")</f>
        <v>#VALUE!</v>
      </c>
      <c r="FP35" t="e">
        <f>AND(Sheet1!B468,"AAAAAG/+/6s=")</f>
        <v>#VALUE!</v>
      </c>
      <c r="FQ35" t="e">
        <f>AND(Sheet1!C468,"AAAAAG/+/6w=")</f>
        <v>#VALUE!</v>
      </c>
      <c r="FR35" t="e">
        <f>AND(Sheet1!D468,"AAAAAG/+/60=")</f>
        <v>#VALUE!</v>
      </c>
      <c r="FS35" t="e">
        <f>AND(Sheet1!E468,"AAAAAG/+/64=")</f>
        <v>#VALUE!</v>
      </c>
      <c r="FT35" t="e">
        <f>AND(Sheet1!F468,"AAAAAG/+/68=")</f>
        <v>#VALUE!</v>
      </c>
      <c r="FU35" t="e">
        <f>AND(Sheet1!G468,"AAAAAG/+/7A=")</f>
        <v>#VALUE!</v>
      </c>
      <c r="FV35" t="e">
        <f>AND(Sheet1!H468,"AAAAAG/+/7E=")</f>
        <v>#VALUE!</v>
      </c>
      <c r="FW35" t="e">
        <f>AND(Sheet1!I468,"AAAAAG/+/7I=")</f>
        <v>#VALUE!</v>
      </c>
      <c r="FX35" t="e">
        <f>AND(Sheet1!J468,"AAAAAG/+/7M=")</f>
        <v>#VALUE!</v>
      </c>
      <c r="FY35" t="e">
        <f>AND(Sheet1!K468,"AAAAAG/+/7Q=")</f>
        <v>#VALUE!</v>
      </c>
      <c r="FZ35" t="e">
        <f>AND(Sheet1!L468,"AAAAAG/+/7U=")</f>
        <v>#VALUE!</v>
      </c>
      <c r="GA35" t="e">
        <f>AND(Sheet1!M468,"AAAAAG/+/7Y=")</f>
        <v>#VALUE!</v>
      </c>
      <c r="GB35" t="e">
        <f>AND(Sheet1!N468,"AAAAAG/+/7c=")</f>
        <v>#VALUE!</v>
      </c>
      <c r="GC35" t="e">
        <f>AND(Sheet1!#REF!,"AAAAAG/+/7g=")</f>
        <v>#REF!</v>
      </c>
      <c r="GD35" t="e">
        <f>AND(Sheet1!#REF!,"AAAAAG/+/7k=")</f>
        <v>#REF!</v>
      </c>
      <c r="GE35" t="e">
        <f>AND(Sheet1!#REF!,"AAAAAG/+/7o=")</f>
        <v>#REF!</v>
      </c>
      <c r="GF35" t="e">
        <f>AND(Sheet1!#REF!,"AAAAAG/+/7s=")</f>
        <v>#REF!</v>
      </c>
      <c r="GG35">
        <f>IF(Sheet1!469:469,"AAAAAG/+/7w=",0)</f>
        <v>0</v>
      </c>
      <c r="GH35" t="e">
        <f>AND(Sheet1!A469,"AAAAAG/+/70=")</f>
        <v>#VALUE!</v>
      </c>
      <c r="GI35" t="e">
        <f>AND(Sheet1!B469,"AAAAAG/+/74=")</f>
        <v>#VALUE!</v>
      </c>
      <c r="GJ35" t="e">
        <f>AND(Sheet1!C469,"AAAAAG/+/78=")</f>
        <v>#VALUE!</v>
      </c>
      <c r="GK35" t="e">
        <f>AND(Sheet1!D469,"AAAAAG/+/8A=")</f>
        <v>#VALUE!</v>
      </c>
      <c r="GL35" t="e">
        <f>AND(Sheet1!E469,"AAAAAG/+/8E=")</f>
        <v>#VALUE!</v>
      </c>
      <c r="GM35" t="e">
        <f>AND(Sheet1!F469,"AAAAAG/+/8I=")</f>
        <v>#VALUE!</v>
      </c>
      <c r="GN35" t="e">
        <f>AND(Sheet1!G469,"AAAAAG/+/8M=")</f>
        <v>#VALUE!</v>
      </c>
      <c r="GO35" t="e">
        <f>AND(Sheet1!H469,"AAAAAG/+/8Q=")</f>
        <v>#VALUE!</v>
      </c>
      <c r="GP35" t="e">
        <f>AND(Sheet1!I469,"AAAAAG/+/8U=")</f>
        <v>#VALUE!</v>
      </c>
      <c r="GQ35" t="e">
        <f>AND(Sheet1!J469,"AAAAAG/+/8Y=")</f>
        <v>#VALUE!</v>
      </c>
      <c r="GR35" t="e">
        <f>AND(Sheet1!K469,"AAAAAG/+/8c=")</f>
        <v>#VALUE!</v>
      </c>
      <c r="GS35" t="e">
        <f>AND(Sheet1!L469,"AAAAAG/+/8g=")</f>
        <v>#VALUE!</v>
      </c>
      <c r="GT35" t="e">
        <f>AND(Sheet1!M469,"AAAAAG/+/8k=")</f>
        <v>#VALUE!</v>
      </c>
      <c r="GU35" t="e">
        <f>AND(Sheet1!N469,"AAAAAG/+/8o=")</f>
        <v>#VALUE!</v>
      </c>
      <c r="GV35" t="e">
        <f>AND(Sheet1!#REF!,"AAAAAG/+/8s=")</f>
        <v>#REF!</v>
      </c>
      <c r="GW35" t="e">
        <f>AND(Sheet1!#REF!,"AAAAAG/+/8w=")</f>
        <v>#REF!</v>
      </c>
      <c r="GX35" t="e">
        <f>AND(Sheet1!#REF!,"AAAAAG/+/80=")</f>
        <v>#REF!</v>
      </c>
      <c r="GY35" t="e">
        <f>AND(Sheet1!#REF!,"AAAAAG/+/84=")</f>
        <v>#REF!</v>
      </c>
      <c r="GZ35">
        <f>IF(Sheet1!470:470,"AAAAAG/+/88=",0)</f>
        <v>0</v>
      </c>
      <c r="HA35" t="e">
        <f>AND(Sheet1!A470,"AAAAAG/+/9A=")</f>
        <v>#VALUE!</v>
      </c>
      <c r="HB35" t="e">
        <f>AND(Sheet1!B470,"AAAAAG/+/9E=")</f>
        <v>#VALUE!</v>
      </c>
      <c r="HC35" t="e">
        <f>AND(Sheet1!C470,"AAAAAG/+/9I=")</f>
        <v>#VALUE!</v>
      </c>
      <c r="HD35" t="e">
        <f>AND(Sheet1!D470,"AAAAAG/+/9M=")</f>
        <v>#VALUE!</v>
      </c>
      <c r="HE35" t="e">
        <f>AND(Sheet1!E470,"AAAAAG/+/9Q=")</f>
        <v>#VALUE!</v>
      </c>
      <c r="HF35" t="e">
        <f>AND(Sheet1!F470,"AAAAAG/+/9U=")</f>
        <v>#VALUE!</v>
      </c>
      <c r="HG35" t="e">
        <f>AND(Sheet1!G470,"AAAAAG/+/9Y=")</f>
        <v>#VALUE!</v>
      </c>
      <c r="HH35" t="e">
        <f>AND(Sheet1!H470,"AAAAAG/+/9c=")</f>
        <v>#VALUE!</v>
      </c>
      <c r="HI35" t="e">
        <f>AND(Sheet1!I470,"AAAAAG/+/9g=")</f>
        <v>#VALUE!</v>
      </c>
      <c r="HJ35" t="e">
        <f>AND(Sheet1!J470,"AAAAAG/+/9k=")</f>
        <v>#VALUE!</v>
      </c>
      <c r="HK35" t="e">
        <f>AND(Sheet1!K470,"AAAAAG/+/9o=")</f>
        <v>#VALUE!</v>
      </c>
      <c r="HL35" t="e">
        <f>AND(Sheet1!L470,"AAAAAG/+/9s=")</f>
        <v>#VALUE!</v>
      </c>
      <c r="HM35" t="e">
        <f>AND(Sheet1!M470,"AAAAAG/+/9w=")</f>
        <v>#VALUE!</v>
      </c>
      <c r="HN35" t="e">
        <f>AND(Sheet1!N470,"AAAAAG/+/90=")</f>
        <v>#VALUE!</v>
      </c>
      <c r="HO35" t="e">
        <f>AND(Sheet1!#REF!,"AAAAAG/+/94=")</f>
        <v>#REF!</v>
      </c>
      <c r="HP35" t="e">
        <f>AND(Sheet1!#REF!,"AAAAAG/+/98=")</f>
        <v>#REF!</v>
      </c>
      <c r="HQ35" t="e">
        <f>AND(Sheet1!#REF!,"AAAAAG/+/+A=")</f>
        <v>#REF!</v>
      </c>
      <c r="HR35" t="e">
        <f>AND(Sheet1!#REF!,"AAAAAG/+/+E=")</f>
        <v>#REF!</v>
      </c>
      <c r="HS35">
        <f>IF(Sheet1!471:471,"AAAAAG/+/+I=",0)</f>
        <v>0</v>
      </c>
      <c r="HT35" t="e">
        <f>AND(Sheet1!A471,"AAAAAG/+/+M=")</f>
        <v>#VALUE!</v>
      </c>
      <c r="HU35" t="e">
        <f>AND(Sheet1!B471,"AAAAAG/+/+Q=")</f>
        <v>#VALUE!</v>
      </c>
      <c r="HV35" t="e">
        <f>AND(Sheet1!C471,"AAAAAG/+/+U=")</f>
        <v>#VALUE!</v>
      </c>
      <c r="HW35" t="e">
        <f>AND(Sheet1!D471,"AAAAAG/+/+Y=")</f>
        <v>#VALUE!</v>
      </c>
      <c r="HX35" t="e">
        <f>AND(Sheet1!E471,"AAAAAG/+/+c=")</f>
        <v>#VALUE!</v>
      </c>
      <c r="HY35" t="e">
        <f>AND(Sheet1!F471,"AAAAAG/+/+g=")</f>
        <v>#VALUE!</v>
      </c>
      <c r="HZ35" t="e">
        <f>AND(Sheet1!G471,"AAAAAG/+/+k=")</f>
        <v>#VALUE!</v>
      </c>
      <c r="IA35" t="e">
        <f>AND(Sheet1!H471,"AAAAAG/+/+o=")</f>
        <v>#VALUE!</v>
      </c>
      <c r="IB35" t="e">
        <f>AND(Sheet1!I471,"AAAAAG/+/+s=")</f>
        <v>#VALUE!</v>
      </c>
      <c r="IC35" t="e">
        <f>AND(Sheet1!J471,"AAAAAG/+/+w=")</f>
        <v>#VALUE!</v>
      </c>
      <c r="ID35" t="e">
        <f>AND(Sheet1!K471,"AAAAAG/+/+0=")</f>
        <v>#VALUE!</v>
      </c>
      <c r="IE35" t="e">
        <f>AND(Sheet1!L471,"AAAAAG/+/+4=")</f>
        <v>#VALUE!</v>
      </c>
      <c r="IF35" t="e">
        <f>AND(Sheet1!M471,"AAAAAG/+/+8=")</f>
        <v>#VALUE!</v>
      </c>
      <c r="IG35" t="e">
        <f>AND(Sheet1!N471,"AAAAAG/+//A=")</f>
        <v>#VALUE!</v>
      </c>
      <c r="IH35" t="e">
        <f>AND(Sheet1!#REF!,"AAAAAG/+//E=")</f>
        <v>#REF!</v>
      </c>
      <c r="II35" t="e">
        <f>AND(Sheet1!#REF!,"AAAAAG/+//I=")</f>
        <v>#REF!</v>
      </c>
      <c r="IJ35" t="e">
        <f>AND(Sheet1!#REF!,"AAAAAG/+//M=")</f>
        <v>#REF!</v>
      </c>
      <c r="IK35" t="e">
        <f>AND(Sheet1!#REF!,"AAAAAG/+//Q=")</f>
        <v>#REF!</v>
      </c>
      <c r="IL35">
        <f>IF(Sheet1!472:472,"AAAAAG/+//U=",0)</f>
        <v>0</v>
      </c>
      <c r="IM35" t="e">
        <f>AND(Sheet1!A472,"AAAAAG/+//Y=")</f>
        <v>#VALUE!</v>
      </c>
      <c r="IN35" t="e">
        <f>AND(Sheet1!B472,"AAAAAG/+//c=")</f>
        <v>#VALUE!</v>
      </c>
      <c r="IO35" t="e">
        <f>AND(Sheet1!C472,"AAAAAG/+//g=")</f>
        <v>#VALUE!</v>
      </c>
      <c r="IP35" t="e">
        <f>AND(Sheet1!D472,"AAAAAG/+//k=")</f>
        <v>#VALUE!</v>
      </c>
      <c r="IQ35" t="e">
        <f>AND(Sheet1!E472,"AAAAAG/+//o=")</f>
        <v>#VALUE!</v>
      </c>
      <c r="IR35" t="e">
        <f>AND(Sheet1!F472,"AAAAAG/+//s=")</f>
        <v>#VALUE!</v>
      </c>
      <c r="IS35" t="e">
        <f>AND(Sheet1!G472,"AAAAAG/+//w=")</f>
        <v>#VALUE!</v>
      </c>
      <c r="IT35" t="e">
        <f>AND(Sheet1!H472,"AAAAAG/+//0=")</f>
        <v>#VALUE!</v>
      </c>
      <c r="IU35" t="e">
        <f>AND(Sheet1!I472,"AAAAAG/+//4=")</f>
        <v>#VALUE!</v>
      </c>
      <c r="IV35" t="e">
        <f>AND(Sheet1!J472,"AAAAAG/+//8=")</f>
        <v>#VALUE!</v>
      </c>
    </row>
    <row r="36" spans="1:256" x14ac:dyDescent="0.2">
      <c r="A36" t="e">
        <f>AND(Sheet1!K472,"AAAAAH/3+gA=")</f>
        <v>#VALUE!</v>
      </c>
      <c r="B36" t="e">
        <f>AND(Sheet1!L472,"AAAAAH/3+gE=")</f>
        <v>#VALUE!</v>
      </c>
      <c r="C36" t="e">
        <f>AND(Sheet1!M472,"AAAAAH/3+gI=")</f>
        <v>#VALUE!</v>
      </c>
      <c r="D36" t="e">
        <f>AND(Sheet1!N472,"AAAAAH/3+gM=")</f>
        <v>#VALUE!</v>
      </c>
      <c r="E36" t="e">
        <f>AND(Sheet1!#REF!,"AAAAAH/3+gQ=")</f>
        <v>#REF!</v>
      </c>
      <c r="F36" t="e">
        <f>AND(Sheet1!#REF!,"AAAAAH/3+gU=")</f>
        <v>#REF!</v>
      </c>
      <c r="G36" t="e">
        <f>AND(Sheet1!#REF!,"AAAAAH/3+gY=")</f>
        <v>#REF!</v>
      </c>
      <c r="H36" t="e">
        <f>AND(Sheet1!#REF!,"AAAAAH/3+gc=")</f>
        <v>#REF!</v>
      </c>
      <c r="I36" t="str">
        <f>IF(Sheet1!473:473,"AAAAAH/3+gg=",0)</f>
        <v>AAAAAH/3+gg=</v>
      </c>
      <c r="J36" t="e">
        <f>AND(Sheet1!A473,"AAAAAH/3+gk=")</f>
        <v>#VALUE!</v>
      </c>
      <c r="K36" t="e">
        <f>AND(Sheet1!B473,"AAAAAH/3+go=")</f>
        <v>#VALUE!</v>
      </c>
      <c r="L36" t="e">
        <f>AND(Sheet1!C473,"AAAAAH/3+gs=")</f>
        <v>#VALUE!</v>
      </c>
      <c r="M36" t="e">
        <f>AND(Sheet1!D473,"AAAAAH/3+gw=")</f>
        <v>#VALUE!</v>
      </c>
      <c r="N36" t="e">
        <f>AND(Sheet1!E473,"AAAAAH/3+g0=")</f>
        <v>#VALUE!</v>
      </c>
      <c r="O36" t="e">
        <f>AND(Sheet1!F473,"AAAAAH/3+g4=")</f>
        <v>#VALUE!</v>
      </c>
      <c r="P36" t="e">
        <f>AND(Sheet1!G473,"AAAAAH/3+g8=")</f>
        <v>#VALUE!</v>
      </c>
      <c r="Q36" t="e">
        <f>AND(Sheet1!H473,"AAAAAH/3+hA=")</f>
        <v>#VALUE!</v>
      </c>
      <c r="R36" t="e">
        <f>AND(Sheet1!I473,"AAAAAH/3+hE=")</f>
        <v>#VALUE!</v>
      </c>
      <c r="S36" t="e">
        <f>AND(Sheet1!J473,"AAAAAH/3+hI=")</f>
        <v>#VALUE!</v>
      </c>
      <c r="T36" t="e">
        <f>AND(Sheet1!K473,"AAAAAH/3+hM=")</f>
        <v>#VALUE!</v>
      </c>
      <c r="U36" t="e">
        <f>AND(Sheet1!L473,"AAAAAH/3+hQ=")</f>
        <v>#VALUE!</v>
      </c>
      <c r="V36" t="e">
        <f>AND(Sheet1!M473,"AAAAAH/3+hU=")</f>
        <v>#VALUE!</v>
      </c>
      <c r="W36" t="e">
        <f>AND(Sheet1!N473,"AAAAAH/3+hY=")</f>
        <v>#VALUE!</v>
      </c>
      <c r="X36" t="e">
        <f>AND(Sheet1!#REF!,"AAAAAH/3+hc=")</f>
        <v>#REF!</v>
      </c>
      <c r="Y36" t="e">
        <f>AND(Sheet1!#REF!,"AAAAAH/3+hg=")</f>
        <v>#REF!</v>
      </c>
      <c r="Z36" t="e">
        <f>AND(Sheet1!#REF!,"AAAAAH/3+hk=")</f>
        <v>#REF!</v>
      </c>
      <c r="AA36" t="e">
        <f>AND(Sheet1!#REF!,"AAAAAH/3+ho=")</f>
        <v>#REF!</v>
      </c>
      <c r="AB36">
        <f>IF(Sheet1!474:474,"AAAAAH/3+hs=",0)</f>
        <v>0</v>
      </c>
      <c r="AC36" t="e">
        <f>AND(Sheet1!A474,"AAAAAH/3+hw=")</f>
        <v>#VALUE!</v>
      </c>
      <c r="AD36" t="e">
        <f>AND(Sheet1!B474,"AAAAAH/3+h0=")</f>
        <v>#VALUE!</v>
      </c>
      <c r="AE36" t="e">
        <f>AND(Sheet1!C474,"AAAAAH/3+h4=")</f>
        <v>#VALUE!</v>
      </c>
      <c r="AF36" t="e">
        <f>AND(Sheet1!D474,"AAAAAH/3+h8=")</f>
        <v>#VALUE!</v>
      </c>
      <c r="AG36" t="e">
        <f>AND(Sheet1!E474,"AAAAAH/3+iA=")</f>
        <v>#VALUE!</v>
      </c>
      <c r="AH36" t="e">
        <f>AND(Sheet1!F474,"AAAAAH/3+iE=")</f>
        <v>#VALUE!</v>
      </c>
      <c r="AI36" t="e">
        <f>AND(Sheet1!G474,"AAAAAH/3+iI=")</f>
        <v>#VALUE!</v>
      </c>
      <c r="AJ36" t="e">
        <f>AND(Sheet1!H474,"AAAAAH/3+iM=")</f>
        <v>#VALUE!</v>
      </c>
      <c r="AK36" t="e">
        <f>AND(Sheet1!I474,"AAAAAH/3+iQ=")</f>
        <v>#VALUE!</v>
      </c>
      <c r="AL36" t="e">
        <f>AND(Sheet1!J474,"AAAAAH/3+iU=")</f>
        <v>#VALUE!</v>
      </c>
      <c r="AM36" t="e">
        <f>AND(Sheet1!K474,"AAAAAH/3+iY=")</f>
        <v>#VALUE!</v>
      </c>
      <c r="AN36" t="e">
        <f>AND(Sheet1!L474,"AAAAAH/3+ic=")</f>
        <v>#VALUE!</v>
      </c>
      <c r="AO36" t="e">
        <f>AND(Sheet1!M474,"AAAAAH/3+ig=")</f>
        <v>#VALUE!</v>
      </c>
      <c r="AP36" t="e">
        <f>AND(Sheet1!N474,"AAAAAH/3+ik=")</f>
        <v>#VALUE!</v>
      </c>
      <c r="AQ36" t="e">
        <f>AND(Sheet1!#REF!,"AAAAAH/3+io=")</f>
        <v>#REF!</v>
      </c>
      <c r="AR36" t="e">
        <f>AND(Sheet1!#REF!,"AAAAAH/3+is=")</f>
        <v>#REF!</v>
      </c>
      <c r="AS36" t="e">
        <f>AND(Sheet1!#REF!,"AAAAAH/3+iw=")</f>
        <v>#REF!</v>
      </c>
      <c r="AT36" t="e">
        <f>AND(Sheet1!#REF!,"AAAAAH/3+i0=")</f>
        <v>#REF!</v>
      </c>
      <c r="AU36">
        <f>IF(Sheet1!475:475,"AAAAAH/3+i4=",0)</f>
        <v>0</v>
      </c>
      <c r="AV36" t="e">
        <f>AND(Sheet1!A475,"AAAAAH/3+i8=")</f>
        <v>#VALUE!</v>
      </c>
      <c r="AW36" t="e">
        <f>AND(Sheet1!B475,"AAAAAH/3+jA=")</f>
        <v>#VALUE!</v>
      </c>
      <c r="AX36" t="e">
        <f>AND(Sheet1!C475,"AAAAAH/3+jE=")</f>
        <v>#VALUE!</v>
      </c>
      <c r="AY36" t="e">
        <f>AND(Sheet1!D475,"AAAAAH/3+jI=")</f>
        <v>#VALUE!</v>
      </c>
      <c r="AZ36" t="e">
        <f>AND(Sheet1!E475,"AAAAAH/3+jM=")</f>
        <v>#VALUE!</v>
      </c>
      <c r="BA36" t="e">
        <f>AND(Sheet1!F475,"AAAAAH/3+jQ=")</f>
        <v>#VALUE!</v>
      </c>
      <c r="BB36" t="e">
        <f>AND(Sheet1!G475,"AAAAAH/3+jU=")</f>
        <v>#VALUE!</v>
      </c>
      <c r="BC36" t="e">
        <f>AND(Sheet1!H475,"AAAAAH/3+jY=")</f>
        <v>#VALUE!</v>
      </c>
      <c r="BD36" t="e">
        <f>AND(Sheet1!I475,"AAAAAH/3+jc=")</f>
        <v>#VALUE!</v>
      </c>
      <c r="BE36" t="e">
        <f>AND(Sheet1!J475,"AAAAAH/3+jg=")</f>
        <v>#VALUE!</v>
      </c>
      <c r="BF36" t="e">
        <f>AND(Sheet1!K475,"AAAAAH/3+jk=")</f>
        <v>#VALUE!</v>
      </c>
      <c r="BG36" t="e">
        <f>AND(Sheet1!L475,"AAAAAH/3+jo=")</f>
        <v>#VALUE!</v>
      </c>
      <c r="BH36" t="e">
        <f>AND(Sheet1!M475,"AAAAAH/3+js=")</f>
        <v>#VALUE!</v>
      </c>
      <c r="BI36" t="e">
        <f>AND(Sheet1!N475,"AAAAAH/3+jw=")</f>
        <v>#VALUE!</v>
      </c>
      <c r="BJ36" t="e">
        <f>AND(Sheet1!#REF!,"AAAAAH/3+j0=")</f>
        <v>#REF!</v>
      </c>
      <c r="BK36" t="e">
        <f>AND(Sheet1!#REF!,"AAAAAH/3+j4=")</f>
        <v>#REF!</v>
      </c>
      <c r="BL36" t="e">
        <f>AND(Sheet1!#REF!,"AAAAAH/3+j8=")</f>
        <v>#REF!</v>
      </c>
      <c r="BM36" t="e">
        <f>AND(Sheet1!#REF!,"AAAAAH/3+kA=")</f>
        <v>#REF!</v>
      </c>
      <c r="BN36">
        <f>IF(Sheet1!476:476,"AAAAAH/3+kE=",0)</f>
        <v>0</v>
      </c>
      <c r="BO36" t="e">
        <f>AND(Sheet1!A476,"AAAAAH/3+kI=")</f>
        <v>#VALUE!</v>
      </c>
      <c r="BP36" t="e">
        <f>AND(Sheet1!B476,"AAAAAH/3+kM=")</f>
        <v>#VALUE!</v>
      </c>
      <c r="BQ36" t="e">
        <f>AND(Sheet1!C476,"AAAAAH/3+kQ=")</f>
        <v>#VALUE!</v>
      </c>
      <c r="BR36" t="e">
        <f>AND(Sheet1!D476,"AAAAAH/3+kU=")</f>
        <v>#VALUE!</v>
      </c>
      <c r="BS36" t="e">
        <f>AND(Sheet1!E476,"AAAAAH/3+kY=")</f>
        <v>#VALUE!</v>
      </c>
      <c r="BT36" t="e">
        <f>AND(Sheet1!F476,"AAAAAH/3+kc=")</f>
        <v>#VALUE!</v>
      </c>
      <c r="BU36" t="e">
        <f>AND(Sheet1!G476,"AAAAAH/3+kg=")</f>
        <v>#VALUE!</v>
      </c>
      <c r="BV36" t="e">
        <f>AND(Sheet1!H476,"AAAAAH/3+kk=")</f>
        <v>#VALUE!</v>
      </c>
      <c r="BW36" t="e">
        <f>AND(Sheet1!I476,"AAAAAH/3+ko=")</f>
        <v>#VALUE!</v>
      </c>
      <c r="BX36" t="e">
        <f>AND(Sheet1!J476,"AAAAAH/3+ks=")</f>
        <v>#VALUE!</v>
      </c>
      <c r="BY36" t="e">
        <f>AND(Sheet1!K476,"AAAAAH/3+kw=")</f>
        <v>#VALUE!</v>
      </c>
      <c r="BZ36" t="e">
        <f>AND(Sheet1!L476,"AAAAAH/3+k0=")</f>
        <v>#VALUE!</v>
      </c>
      <c r="CA36" t="e">
        <f>AND(Sheet1!M476,"AAAAAH/3+k4=")</f>
        <v>#VALUE!</v>
      </c>
      <c r="CB36" t="e">
        <f>AND(Sheet1!N476,"AAAAAH/3+k8=")</f>
        <v>#VALUE!</v>
      </c>
      <c r="CC36" t="e">
        <f>AND(Sheet1!#REF!,"AAAAAH/3+lA=")</f>
        <v>#REF!</v>
      </c>
      <c r="CD36" t="e">
        <f>AND(Sheet1!#REF!,"AAAAAH/3+lE=")</f>
        <v>#REF!</v>
      </c>
      <c r="CE36" t="e">
        <f>AND(Sheet1!#REF!,"AAAAAH/3+lI=")</f>
        <v>#REF!</v>
      </c>
      <c r="CF36" t="e">
        <f>AND(Sheet1!#REF!,"AAAAAH/3+lM=")</f>
        <v>#REF!</v>
      </c>
      <c r="CG36">
        <f>IF(Sheet1!477:477,"AAAAAH/3+lQ=",0)</f>
        <v>0</v>
      </c>
      <c r="CH36" t="e">
        <f>AND(Sheet1!A477,"AAAAAH/3+lU=")</f>
        <v>#VALUE!</v>
      </c>
      <c r="CI36" t="e">
        <f>AND(Sheet1!B477,"AAAAAH/3+lY=")</f>
        <v>#VALUE!</v>
      </c>
      <c r="CJ36" t="e">
        <f>AND(Sheet1!C477,"AAAAAH/3+lc=")</f>
        <v>#VALUE!</v>
      </c>
      <c r="CK36" t="e">
        <f>AND(Sheet1!D477,"AAAAAH/3+lg=")</f>
        <v>#VALUE!</v>
      </c>
      <c r="CL36" t="e">
        <f>AND(Sheet1!E477,"AAAAAH/3+lk=")</f>
        <v>#VALUE!</v>
      </c>
      <c r="CM36" t="e">
        <f>AND(Sheet1!F477,"AAAAAH/3+lo=")</f>
        <v>#VALUE!</v>
      </c>
      <c r="CN36" t="e">
        <f>AND(Sheet1!G477,"AAAAAH/3+ls=")</f>
        <v>#VALUE!</v>
      </c>
      <c r="CO36" t="e">
        <f>AND(Sheet1!H477,"AAAAAH/3+lw=")</f>
        <v>#VALUE!</v>
      </c>
      <c r="CP36" t="e">
        <f>AND(Sheet1!I477,"AAAAAH/3+l0=")</f>
        <v>#VALUE!</v>
      </c>
      <c r="CQ36" t="e">
        <f>AND(Sheet1!J477,"AAAAAH/3+l4=")</f>
        <v>#VALUE!</v>
      </c>
      <c r="CR36" t="e">
        <f>AND(Sheet1!K477,"AAAAAH/3+l8=")</f>
        <v>#VALUE!</v>
      </c>
      <c r="CS36" t="e">
        <f>AND(Sheet1!L477,"AAAAAH/3+mA=")</f>
        <v>#VALUE!</v>
      </c>
      <c r="CT36" t="e">
        <f>AND(Sheet1!M477,"AAAAAH/3+mE=")</f>
        <v>#VALUE!</v>
      </c>
      <c r="CU36" t="e">
        <f>AND(Sheet1!N477,"AAAAAH/3+mI=")</f>
        <v>#VALUE!</v>
      </c>
      <c r="CV36" t="e">
        <f>AND(Sheet1!#REF!,"AAAAAH/3+mM=")</f>
        <v>#REF!</v>
      </c>
      <c r="CW36" t="e">
        <f>AND(Sheet1!#REF!,"AAAAAH/3+mQ=")</f>
        <v>#REF!</v>
      </c>
      <c r="CX36" t="e">
        <f>AND(Sheet1!#REF!,"AAAAAH/3+mU=")</f>
        <v>#REF!</v>
      </c>
      <c r="CY36" t="e">
        <f>AND(Sheet1!#REF!,"AAAAAH/3+mY=")</f>
        <v>#REF!</v>
      </c>
      <c r="CZ36">
        <f>IF(Sheet1!478:478,"AAAAAH/3+mc=",0)</f>
        <v>0</v>
      </c>
      <c r="DA36" t="e">
        <f>AND(Sheet1!A478,"AAAAAH/3+mg=")</f>
        <v>#VALUE!</v>
      </c>
      <c r="DB36" t="e">
        <f>AND(Sheet1!B478,"AAAAAH/3+mk=")</f>
        <v>#VALUE!</v>
      </c>
      <c r="DC36" t="e">
        <f>AND(Sheet1!C478,"AAAAAH/3+mo=")</f>
        <v>#VALUE!</v>
      </c>
      <c r="DD36" t="e">
        <f>AND(Sheet1!D478,"AAAAAH/3+ms=")</f>
        <v>#VALUE!</v>
      </c>
      <c r="DE36" t="e">
        <f>AND(Sheet1!E478,"AAAAAH/3+mw=")</f>
        <v>#VALUE!</v>
      </c>
      <c r="DF36" t="e">
        <f>AND(Sheet1!F478,"AAAAAH/3+m0=")</f>
        <v>#VALUE!</v>
      </c>
      <c r="DG36" t="e">
        <f>AND(Sheet1!G478,"AAAAAH/3+m4=")</f>
        <v>#VALUE!</v>
      </c>
      <c r="DH36" t="e">
        <f>AND(Sheet1!H478,"AAAAAH/3+m8=")</f>
        <v>#VALUE!</v>
      </c>
      <c r="DI36" t="e">
        <f>AND(Sheet1!I478,"AAAAAH/3+nA=")</f>
        <v>#VALUE!</v>
      </c>
      <c r="DJ36" t="e">
        <f>AND(Sheet1!J478,"AAAAAH/3+nE=")</f>
        <v>#VALUE!</v>
      </c>
      <c r="DK36" t="e">
        <f>AND(Sheet1!K478,"AAAAAH/3+nI=")</f>
        <v>#VALUE!</v>
      </c>
      <c r="DL36" t="e">
        <f>AND(Sheet1!L478,"AAAAAH/3+nM=")</f>
        <v>#VALUE!</v>
      </c>
      <c r="DM36" t="e">
        <f>AND(Sheet1!M478,"AAAAAH/3+nQ=")</f>
        <v>#VALUE!</v>
      </c>
      <c r="DN36" t="e">
        <f>AND(Sheet1!N478,"AAAAAH/3+nU=")</f>
        <v>#VALUE!</v>
      </c>
      <c r="DO36" t="e">
        <f>AND(Sheet1!#REF!,"AAAAAH/3+nY=")</f>
        <v>#REF!</v>
      </c>
      <c r="DP36" t="e">
        <f>AND(Sheet1!#REF!,"AAAAAH/3+nc=")</f>
        <v>#REF!</v>
      </c>
      <c r="DQ36" t="e">
        <f>AND(Sheet1!#REF!,"AAAAAH/3+ng=")</f>
        <v>#REF!</v>
      </c>
      <c r="DR36" t="e">
        <f>AND(Sheet1!#REF!,"AAAAAH/3+nk=")</f>
        <v>#REF!</v>
      </c>
      <c r="DS36">
        <f>IF(Sheet1!479:479,"AAAAAH/3+no=",0)</f>
        <v>0</v>
      </c>
      <c r="DT36" t="e">
        <f>AND(Sheet1!A479,"AAAAAH/3+ns=")</f>
        <v>#VALUE!</v>
      </c>
      <c r="DU36" t="e">
        <f>AND(Sheet1!B479,"AAAAAH/3+nw=")</f>
        <v>#VALUE!</v>
      </c>
      <c r="DV36" t="e">
        <f>AND(Sheet1!C479,"AAAAAH/3+n0=")</f>
        <v>#VALUE!</v>
      </c>
      <c r="DW36" t="e">
        <f>AND(Sheet1!D479,"AAAAAH/3+n4=")</f>
        <v>#VALUE!</v>
      </c>
      <c r="DX36" t="e">
        <f>AND(Sheet1!E479,"AAAAAH/3+n8=")</f>
        <v>#VALUE!</v>
      </c>
      <c r="DY36" t="e">
        <f>AND(Sheet1!F479,"AAAAAH/3+oA=")</f>
        <v>#VALUE!</v>
      </c>
      <c r="DZ36" t="e">
        <f>AND(Sheet1!G479,"AAAAAH/3+oE=")</f>
        <v>#VALUE!</v>
      </c>
      <c r="EA36" t="e">
        <f>AND(Sheet1!H479,"AAAAAH/3+oI=")</f>
        <v>#VALUE!</v>
      </c>
      <c r="EB36" t="e">
        <f>AND(Sheet1!I479,"AAAAAH/3+oM=")</f>
        <v>#VALUE!</v>
      </c>
      <c r="EC36" t="e">
        <f>AND(Sheet1!J479,"AAAAAH/3+oQ=")</f>
        <v>#VALUE!</v>
      </c>
      <c r="ED36" t="e">
        <f>AND(Sheet1!K479,"AAAAAH/3+oU=")</f>
        <v>#VALUE!</v>
      </c>
      <c r="EE36" t="e">
        <f>AND(Sheet1!L479,"AAAAAH/3+oY=")</f>
        <v>#VALUE!</v>
      </c>
      <c r="EF36" t="e">
        <f>AND(Sheet1!M479,"AAAAAH/3+oc=")</f>
        <v>#VALUE!</v>
      </c>
      <c r="EG36" t="e">
        <f>AND(Sheet1!N479,"AAAAAH/3+og=")</f>
        <v>#VALUE!</v>
      </c>
      <c r="EH36" t="e">
        <f>AND(Sheet1!#REF!,"AAAAAH/3+ok=")</f>
        <v>#REF!</v>
      </c>
      <c r="EI36" t="e">
        <f>AND(Sheet1!#REF!,"AAAAAH/3+oo=")</f>
        <v>#REF!</v>
      </c>
      <c r="EJ36" t="e">
        <f>AND(Sheet1!#REF!,"AAAAAH/3+os=")</f>
        <v>#REF!</v>
      </c>
      <c r="EK36" t="e">
        <f>AND(Sheet1!#REF!,"AAAAAH/3+ow=")</f>
        <v>#REF!</v>
      </c>
      <c r="EL36">
        <f>IF(Sheet1!480:480,"AAAAAH/3+o0=",0)</f>
        <v>0</v>
      </c>
      <c r="EM36" t="e">
        <f>AND(Sheet1!A480,"AAAAAH/3+o4=")</f>
        <v>#VALUE!</v>
      </c>
      <c r="EN36" t="e">
        <f>AND(Sheet1!B480,"AAAAAH/3+o8=")</f>
        <v>#VALUE!</v>
      </c>
      <c r="EO36" t="e">
        <f>AND(Sheet1!C480,"AAAAAH/3+pA=")</f>
        <v>#VALUE!</v>
      </c>
      <c r="EP36" t="e">
        <f>AND(Sheet1!D480,"AAAAAH/3+pE=")</f>
        <v>#VALUE!</v>
      </c>
      <c r="EQ36" t="e">
        <f>AND(Sheet1!E480,"AAAAAH/3+pI=")</f>
        <v>#VALUE!</v>
      </c>
      <c r="ER36" t="e">
        <f>AND(Sheet1!F480,"AAAAAH/3+pM=")</f>
        <v>#VALUE!</v>
      </c>
      <c r="ES36" t="e">
        <f>AND(Sheet1!G480,"AAAAAH/3+pQ=")</f>
        <v>#VALUE!</v>
      </c>
      <c r="ET36" t="e">
        <f>AND(Sheet1!H480,"AAAAAH/3+pU=")</f>
        <v>#VALUE!</v>
      </c>
      <c r="EU36" t="e">
        <f>AND(Sheet1!I480,"AAAAAH/3+pY=")</f>
        <v>#VALUE!</v>
      </c>
      <c r="EV36" t="e">
        <f>AND(Sheet1!J480,"AAAAAH/3+pc=")</f>
        <v>#VALUE!</v>
      </c>
      <c r="EW36" t="e">
        <f>AND(Sheet1!K480,"AAAAAH/3+pg=")</f>
        <v>#VALUE!</v>
      </c>
      <c r="EX36" t="e">
        <f>AND(Sheet1!L480,"AAAAAH/3+pk=")</f>
        <v>#VALUE!</v>
      </c>
      <c r="EY36" t="e">
        <f>AND(Sheet1!M480,"AAAAAH/3+po=")</f>
        <v>#VALUE!</v>
      </c>
      <c r="EZ36" t="e">
        <f>AND(Sheet1!N480,"AAAAAH/3+ps=")</f>
        <v>#VALUE!</v>
      </c>
      <c r="FA36" t="e">
        <f>AND(Sheet1!#REF!,"AAAAAH/3+pw=")</f>
        <v>#REF!</v>
      </c>
      <c r="FB36" t="e">
        <f>AND(Sheet1!#REF!,"AAAAAH/3+p0=")</f>
        <v>#REF!</v>
      </c>
      <c r="FC36" t="e">
        <f>AND(Sheet1!#REF!,"AAAAAH/3+p4=")</f>
        <v>#REF!</v>
      </c>
      <c r="FD36" t="e">
        <f>AND(Sheet1!#REF!,"AAAAAH/3+p8=")</f>
        <v>#REF!</v>
      </c>
      <c r="FE36">
        <f>IF(Sheet1!481:481,"AAAAAH/3+qA=",0)</f>
        <v>0</v>
      </c>
      <c r="FF36" t="e">
        <f>AND(Sheet1!A481,"AAAAAH/3+qE=")</f>
        <v>#VALUE!</v>
      </c>
      <c r="FG36" t="e">
        <f>AND(Sheet1!B481,"AAAAAH/3+qI=")</f>
        <v>#VALUE!</v>
      </c>
      <c r="FH36" t="e">
        <f>AND(Sheet1!C481,"AAAAAH/3+qM=")</f>
        <v>#VALUE!</v>
      </c>
      <c r="FI36" t="e">
        <f>AND(Sheet1!D481,"AAAAAH/3+qQ=")</f>
        <v>#VALUE!</v>
      </c>
      <c r="FJ36" t="e">
        <f>AND(Sheet1!E481,"AAAAAH/3+qU=")</f>
        <v>#VALUE!</v>
      </c>
      <c r="FK36" t="e">
        <f>AND(Sheet1!F481,"AAAAAH/3+qY=")</f>
        <v>#VALUE!</v>
      </c>
      <c r="FL36" t="e">
        <f>AND(Sheet1!G481,"AAAAAH/3+qc=")</f>
        <v>#VALUE!</v>
      </c>
      <c r="FM36" t="e">
        <f>AND(Sheet1!H481,"AAAAAH/3+qg=")</f>
        <v>#VALUE!</v>
      </c>
      <c r="FN36" t="e">
        <f>AND(Sheet1!I481,"AAAAAH/3+qk=")</f>
        <v>#VALUE!</v>
      </c>
      <c r="FO36" t="e">
        <f>AND(Sheet1!J481,"AAAAAH/3+qo=")</f>
        <v>#VALUE!</v>
      </c>
      <c r="FP36" t="e">
        <f>AND(Sheet1!K481,"AAAAAH/3+qs=")</f>
        <v>#VALUE!</v>
      </c>
      <c r="FQ36" t="e">
        <f>AND(Sheet1!L481,"AAAAAH/3+qw=")</f>
        <v>#VALUE!</v>
      </c>
      <c r="FR36" t="e">
        <f>AND(Sheet1!M481,"AAAAAH/3+q0=")</f>
        <v>#VALUE!</v>
      </c>
      <c r="FS36" t="e">
        <f>AND(Sheet1!N481,"AAAAAH/3+q4=")</f>
        <v>#VALUE!</v>
      </c>
      <c r="FT36" t="e">
        <f>AND(Sheet1!#REF!,"AAAAAH/3+q8=")</f>
        <v>#REF!</v>
      </c>
      <c r="FU36" t="e">
        <f>AND(Sheet1!#REF!,"AAAAAH/3+rA=")</f>
        <v>#REF!</v>
      </c>
      <c r="FV36" t="e">
        <f>AND(Sheet1!#REF!,"AAAAAH/3+rE=")</f>
        <v>#REF!</v>
      </c>
      <c r="FW36" t="e">
        <f>AND(Sheet1!#REF!,"AAAAAH/3+rI=")</f>
        <v>#REF!</v>
      </c>
      <c r="FX36">
        <f>IF(Sheet1!482:482,"AAAAAH/3+rM=",0)</f>
        <v>0</v>
      </c>
      <c r="FY36" t="e">
        <f>AND(Sheet1!A482,"AAAAAH/3+rQ=")</f>
        <v>#VALUE!</v>
      </c>
      <c r="FZ36" t="e">
        <f>AND(Sheet1!B482,"AAAAAH/3+rU=")</f>
        <v>#VALUE!</v>
      </c>
      <c r="GA36" t="e">
        <f>AND(Sheet1!C482,"AAAAAH/3+rY=")</f>
        <v>#VALUE!</v>
      </c>
      <c r="GB36" t="e">
        <f>AND(Sheet1!D482,"AAAAAH/3+rc=")</f>
        <v>#VALUE!</v>
      </c>
      <c r="GC36" t="e">
        <f>AND(Sheet1!E482,"AAAAAH/3+rg=")</f>
        <v>#VALUE!</v>
      </c>
      <c r="GD36" t="e">
        <f>AND(Sheet1!F482,"AAAAAH/3+rk=")</f>
        <v>#VALUE!</v>
      </c>
      <c r="GE36" t="e">
        <f>AND(Sheet1!G482,"AAAAAH/3+ro=")</f>
        <v>#VALUE!</v>
      </c>
      <c r="GF36" t="e">
        <f>AND(Sheet1!H482,"AAAAAH/3+rs=")</f>
        <v>#VALUE!</v>
      </c>
      <c r="GG36" t="e">
        <f>AND(Sheet1!I482,"AAAAAH/3+rw=")</f>
        <v>#VALUE!</v>
      </c>
      <c r="GH36" t="e">
        <f>AND(Sheet1!J482,"AAAAAH/3+r0=")</f>
        <v>#VALUE!</v>
      </c>
      <c r="GI36" t="e">
        <f>AND(Sheet1!K482,"AAAAAH/3+r4=")</f>
        <v>#VALUE!</v>
      </c>
      <c r="GJ36" t="e">
        <f>AND(Sheet1!L482,"AAAAAH/3+r8=")</f>
        <v>#VALUE!</v>
      </c>
      <c r="GK36" t="e">
        <f>AND(Sheet1!M482,"AAAAAH/3+sA=")</f>
        <v>#VALUE!</v>
      </c>
      <c r="GL36" t="e">
        <f>AND(Sheet1!N482,"AAAAAH/3+sE=")</f>
        <v>#VALUE!</v>
      </c>
      <c r="GM36" t="e">
        <f>AND(Sheet1!#REF!,"AAAAAH/3+sI=")</f>
        <v>#REF!</v>
      </c>
      <c r="GN36" t="e">
        <f>AND(Sheet1!#REF!,"AAAAAH/3+sM=")</f>
        <v>#REF!</v>
      </c>
      <c r="GO36" t="e">
        <f>AND(Sheet1!#REF!,"AAAAAH/3+sQ=")</f>
        <v>#REF!</v>
      </c>
      <c r="GP36" t="e">
        <f>AND(Sheet1!#REF!,"AAAAAH/3+sU=")</f>
        <v>#REF!</v>
      </c>
      <c r="GQ36">
        <f>IF(Sheet1!483:483,"AAAAAH/3+sY=",0)</f>
        <v>0</v>
      </c>
      <c r="GR36" t="e">
        <f>AND(Sheet1!A483,"AAAAAH/3+sc=")</f>
        <v>#VALUE!</v>
      </c>
      <c r="GS36" t="e">
        <f>AND(Sheet1!B483,"AAAAAH/3+sg=")</f>
        <v>#VALUE!</v>
      </c>
      <c r="GT36" t="e">
        <f>AND(Sheet1!C483,"AAAAAH/3+sk=")</f>
        <v>#VALUE!</v>
      </c>
      <c r="GU36" t="e">
        <f>AND(Sheet1!D483,"AAAAAH/3+so=")</f>
        <v>#VALUE!</v>
      </c>
      <c r="GV36" t="e">
        <f>AND(Sheet1!E483,"AAAAAH/3+ss=")</f>
        <v>#VALUE!</v>
      </c>
      <c r="GW36" t="e">
        <f>AND(Sheet1!F483,"AAAAAH/3+sw=")</f>
        <v>#VALUE!</v>
      </c>
      <c r="GX36" t="e">
        <f>AND(Sheet1!G483,"AAAAAH/3+s0=")</f>
        <v>#VALUE!</v>
      </c>
      <c r="GY36" t="e">
        <f>AND(Sheet1!H483,"AAAAAH/3+s4=")</f>
        <v>#VALUE!</v>
      </c>
      <c r="GZ36" t="e">
        <f>AND(Sheet1!I483,"AAAAAH/3+s8=")</f>
        <v>#VALUE!</v>
      </c>
      <c r="HA36" t="e">
        <f>AND(Sheet1!J483,"AAAAAH/3+tA=")</f>
        <v>#VALUE!</v>
      </c>
      <c r="HB36" t="e">
        <f>AND(Sheet1!K483,"AAAAAH/3+tE=")</f>
        <v>#VALUE!</v>
      </c>
      <c r="HC36" t="e">
        <f>AND(Sheet1!L483,"AAAAAH/3+tI=")</f>
        <v>#VALUE!</v>
      </c>
      <c r="HD36" t="e">
        <f>AND(Sheet1!M483,"AAAAAH/3+tM=")</f>
        <v>#VALUE!</v>
      </c>
      <c r="HE36" t="e">
        <f>AND(Sheet1!N483,"AAAAAH/3+tQ=")</f>
        <v>#VALUE!</v>
      </c>
      <c r="HF36" t="e">
        <f>AND(Sheet1!#REF!,"AAAAAH/3+tU=")</f>
        <v>#REF!</v>
      </c>
      <c r="HG36" t="e">
        <f>AND(Sheet1!#REF!,"AAAAAH/3+tY=")</f>
        <v>#REF!</v>
      </c>
      <c r="HH36" t="e">
        <f>AND(Sheet1!#REF!,"AAAAAH/3+tc=")</f>
        <v>#REF!</v>
      </c>
      <c r="HI36" t="e">
        <f>AND(Sheet1!#REF!,"AAAAAH/3+tg=")</f>
        <v>#REF!</v>
      </c>
      <c r="HJ36">
        <f>IF(Sheet1!484:484,"AAAAAH/3+tk=",0)</f>
        <v>0</v>
      </c>
      <c r="HK36" t="e">
        <f>AND(Sheet1!A484,"AAAAAH/3+to=")</f>
        <v>#VALUE!</v>
      </c>
      <c r="HL36" t="e">
        <f>AND(Sheet1!B484,"AAAAAH/3+ts=")</f>
        <v>#VALUE!</v>
      </c>
      <c r="HM36" t="e">
        <f>AND(Sheet1!C484,"AAAAAH/3+tw=")</f>
        <v>#VALUE!</v>
      </c>
      <c r="HN36" t="e">
        <f>AND(Sheet1!D484,"AAAAAH/3+t0=")</f>
        <v>#VALUE!</v>
      </c>
      <c r="HO36" t="e">
        <f>AND(Sheet1!E484,"AAAAAH/3+t4=")</f>
        <v>#VALUE!</v>
      </c>
      <c r="HP36" t="e">
        <f>AND(Sheet1!F484,"AAAAAH/3+t8=")</f>
        <v>#VALUE!</v>
      </c>
      <c r="HQ36" t="e">
        <f>AND(Sheet1!G484,"AAAAAH/3+uA=")</f>
        <v>#VALUE!</v>
      </c>
      <c r="HR36" t="e">
        <f>AND(Sheet1!H484,"AAAAAH/3+uE=")</f>
        <v>#VALUE!</v>
      </c>
      <c r="HS36" t="e">
        <f>AND(Sheet1!I484,"AAAAAH/3+uI=")</f>
        <v>#VALUE!</v>
      </c>
      <c r="HT36" t="e">
        <f>AND(Sheet1!J484,"AAAAAH/3+uM=")</f>
        <v>#VALUE!</v>
      </c>
      <c r="HU36" t="e">
        <f>AND(Sheet1!K484,"AAAAAH/3+uQ=")</f>
        <v>#VALUE!</v>
      </c>
      <c r="HV36" t="e">
        <f>AND(Sheet1!L484,"AAAAAH/3+uU=")</f>
        <v>#VALUE!</v>
      </c>
      <c r="HW36" t="e">
        <f>AND(Sheet1!M484,"AAAAAH/3+uY=")</f>
        <v>#VALUE!</v>
      </c>
      <c r="HX36" t="e">
        <f>AND(Sheet1!N484,"AAAAAH/3+uc=")</f>
        <v>#VALUE!</v>
      </c>
      <c r="HY36" t="e">
        <f>AND(Sheet1!#REF!,"AAAAAH/3+ug=")</f>
        <v>#REF!</v>
      </c>
      <c r="HZ36" t="e">
        <f>AND(Sheet1!#REF!,"AAAAAH/3+uk=")</f>
        <v>#REF!</v>
      </c>
      <c r="IA36" t="e">
        <f>AND(Sheet1!#REF!,"AAAAAH/3+uo=")</f>
        <v>#REF!</v>
      </c>
      <c r="IB36" t="e">
        <f>AND(Sheet1!#REF!,"AAAAAH/3+us=")</f>
        <v>#REF!</v>
      </c>
      <c r="IC36">
        <f>IF(Sheet1!485:485,"AAAAAH/3+uw=",0)</f>
        <v>0</v>
      </c>
      <c r="ID36" t="e">
        <f>AND(Sheet1!A485,"AAAAAH/3+u0=")</f>
        <v>#VALUE!</v>
      </c>
      <c r="IE36" t="e">
        <f>AND(Sheet1!B485,"AAAAAH/3+u4=")</f>
        <v>#VALUE!</v>
      </c>
      <c r="IF36" t="e">
        <f>AND(Sheet1!C485,"AAAAAH/3+u8=")</f>
        <v>#VALUE!</v>
      </c>
      <c r="IG36" t="e">
        <f>AND(Sheet1!D485,"AAAAAH/3+vA=")</f>
        <v>#VALUE!</v>
      </c>
      <c r="IH36" t="e">
        <f>AND(Sheet1!E485,"AAAAAH/3+vE=")</f>
        <v>#VALUE!</v>
      </c>
      <c r="II36" t="e">
        <f>AND(Sheet1!F485,"AAAAAH/3+vI=")</f>
        <v>#VALUE!</v>
      </c>
      <c r="IJ36" t="e">
        <f>AND(Sheet1!G485,"AAAAAH/3+vM=")</f>
        <v>#VALUE!</v>
      </c>
      <c r="IK36" t="e">
        <f>AND(Sheet1!H485,"AAAAAH/3+vQ=")</f>
        <v>#VALUE!</v>
      </c>
      <c r="IL36" t="e">
        <f>AND(Sheet1!I485,"AAAAAH/3+vU=")</f>
        <v>#VALUE!</v>
      </c>
      <c r="IM36" t="e">
        <f>AND(Sheet1!J485,"AAAAAH/3+vY=")</f>
        <v>#VALUE!</v>
      </c>
      <c r="IN36" t="e">
        <f>AND(Sheet1!K485,"AAAAAH/3+vc=")</f>
        <v>#VALUE!</v>
      </c>
      <c r="IO36" t="e">
        <f>AND(Sheet1!L485,"AAAAAH/3+vg=")</f>
        <v>#VALUE!</v>
      </c>
      <c r="IP36" t="e">
        <f>AND(Sheet1!M485,"AAAAAH/3+vk=")</f>
        <v>#VALUE!</v>
      </c>
      <c r="IQ36" t="e">
        <f>AND(Sheet1!N485,"AAAAAH/3+vo=")</f>
        <v>#VALUE!</v>
      </c>
      <c r="IR36" t="e">
        <f>AND(Sheet1!#REF!,"AAAAAH/3+vs=")</f>
        <v>#REF!</v>
      </c>
      <c r="IS36" t="e">
        <f>AND(Sheet1!#REF!,"AAAAAH/3+vw=")</f>
        <v>#REF!</v>
      </c>
      <c r="IT36" t="e">
        <f>AND(Sheet1!#REF!,"AAAAAH/3+v0=")</f>
        <v>#REF!</v>
      </c>
      <c r="IU36" t="e">
        <f>AND(Sheet1!#REF!,"AAAAAH/3+v4=")</f>
        <v>#REF!</v>
      </c>
      <c r="IV36">
        <f>IF(Sheet1!486:486,"AAAAAH/3+v8=",0)</f>
        <v>0</v>
      </c>
    </row>
    <row r="37" spans="1:256" x14ac:dyDescent="0.2">
      <c r="A37" t="e">
        <f>AND(Sheet1!A486,"AAAAAHd72gA=")</f>
        <v>#VALUE!</v>
      </c>
      <c r="B37" t="e">
        <f>AND(Sheet1!B486,"AAAAAHd72gE=")</f>
        <v>#VALUE!</v>
      </c>
      <c r="C37" t="e">
        <f>AND(Sheet1!C486,"AAAAAHd72gI=")</f>
        <v>#VALUE!</v>
      </c>
      <c r="D37" t="e">
        <f>AND(Sheet1!D486,"AAAAAHd72gM=")</f>
        <v>#VALUE!</v>
      </c>
      <c r="E37" t="e">
        <f>AND(Sheet1!E486,"AAAAAHd72gQ=")</f>
        <v>#VALUE!</v>
      </c>
      <c r="F37" t="e">
        <f>AND(Sheet1!F486,"AAAAAHd72gU=")</f>
        <v>#VALUE!</v>
      </c>
      <c r="G37" t="e">
        <f>AND(Sheet1!G486,"AAAAAHd72gY=")</f>
        <v>#VALUE!</v>
      </c>
      <c r="H37" t="e">
        <f>AND(Sheet1!H486,"AAAAAHd72gc=")</f>
        <v>#VALUE!</v>
      </c>
      <c r="I37" t="e">
        <f>AND(Sheet1!I486,"AAAAAHd72gg=")</f>
        <v>#VALUE!</v>
      </c>
      <c r="J37" t="e">
        <f>AND(Sheet1!J486,"AAAAAHd72gk=")</f>
        <v>#VALUE!</v>
      </c>
      <c r="K37" t="e">
        <f>AND(Sheet1!K486,"AAAAAHd72go=")</f>
        <v>#VALUE!</v>
      </c>
      <c r="L37" t="e">
        <f>AND(Sheet1!L486,"AAAAAHd72gs=")</f>
        <v>#VALUE!</v>
      </c>
      <c r="M37" t="e">
        <f>AND(Sheet1!M486,"AAAAAHd72gw=")</f>
        <v>#VALUE!</v>
      </c>
      <c r="N37" t="e">
        <f>AND(Sheet1!N486,"AAAAAHd72g0=")</f>
        <v>#VALUE!</v>
      </c>
      <c r="O37" t="e">
        <f>AND(Sheet1!#REF!,"AAAAAHd72g4=")</f>
        <v>#REF!</v>
      </c>
      <c r="P37" t="e">
        <f>AND(Sheet1!#REF!,"AAAAAHd72g8=")</f>
        <v>#REF!</v>
      </c>
      <c r="Q37" t="e">
        <f>AND(Sheet1!#REF!,"AAAAAHd72hA=")</f>
        <v>#REF!</v>
      </c>
      <c r="R37" t="e">
        <f>AND(Sheet1!#REF!,"AAAAAHd72hE=")</f>
        <v>#REF!</v>
      </c>
      <c r="S37">
        <f>IF(Sheet1!487:487,"AAAAAHd72hI=",0)</f>
        <v>0</v>
      </c>
      <c r="T37" t="e">
        <f>AND(Sheet1!A487,"AAAAAHd72hM=")</f>
        <v>#VALUE!</v>
      </c>
      <c r="U37" t="e">
        <f>AND(Sheet1!B487,"AAAAAHd72hQ=")</f>
        <v>#VALUE!</v>
      </c>
      <c r="V37" t="e">
        <f>AND(Sheet1!C487,"AAAAAHd72hU=")</f>
        <v>#VALUE!</v>
      </c>
      <c r="W37" t="e">
        <f>AND(Sheet1!D487,"AAAAAHd72hY=")</f>
        <v>#VALUE!</v>
      </c>
      <c r="X37" t="e">
        <f>AND(Sheet1!E487,"AAAAAHd72hc=")</f>
        <v>#VALUE!</v>
      </c>
      <c r="Y37" t="e">
        <f>AND(Sheet1!F487,"AAAAAHd72hg=")</f>
        <v>#VALUE!</v>
      </c>
      <c r="Z37" t="e">
        <f>AND(Sheet1!G487,"AAAAAHd72hk=")</f>
        <v>#VALUE!</v>
      </c>
      <c r="AA37" t="e">
        <f>AND(Sheet1!H487,"AAAAAHd72ho=")</f>
        <v>#VALUE!</v>
      </c>
      <c r="AB37" t="e">
        <f>AND(Sheet1!I487,"AAAAAHd72hs=")</f>
        <v>#VALUE!</v>
      </c>
      <c r="AC37" t="e">
        <f>AND(Sheet1!J487,"AAAAAHd72hw=")</f>
        <v>#VALUE!</v>
      </c>
      <c r="AD37" t="e">
        <f>AND(Sheet1!K487,"AAAAAHd72h0=")</f>
        <v>#VALUE!</v>
      </c>
      <c r="AE37" t="e">
        <f>AND(Sheet1!L487,"AAAAAHd72h4=")</f>
        <v>#VALUE!</v>
      </c>
      <c r="AF37" t="e">
        <f>AND(Sheet1!M487,"AAAAAHd72h8=")</f>
        <v>#VALUE!</v>
      </c>
      <c r="AG37" t="e">
        <f>AND(Sheet1!N487,"AAAAAHd72iA=")</f>
        <v>#VALUE!</v>
      </c>
      <c r="AH37" t="e">
        <f>AND(Sheet1!#REF!,"AAAAAHd72iE=")</f>
        <v>#REF!</v>
      </c>
      <c r="AI37" t="e">
        <f>AND(Sheet1!#REF!,"AAAAAHd72iI=")</f>
        <v>#REF!</v>
      </c>
      <c r="AJ37" t="e">
        <f>AND(Sheet1!#REF!,"AAAAAHd72iM=")</f>
        <v>#REF!</v>
      </c>
      <c r="AK37" t="e">
        <f>AND(Sheet1!#REF!,"AAAAAHd72iQ=")</f>
        <v>#REF!</v>
      </c>
      <c r="AL37">
        <f>IF(Sheet1!488:488,"AAAAAHd72iU=",0)</f>
        <v>0</v>
      </c>
      <c r="AM37" t="e">
        <f>AND(Sheet1!A488,"AAAAAHd72iY=")</f>
        <v>#VALUE!</v>
      </c>
      <c r="AN37" t="e">
        <f>AND(Sheet1!B488,"AAAAAHd72ic=")</f>
        <v>#VALUE!</v>
      </c>
      <c r="AO37" t="e">
        <f>AND(Sheet1!C488,"AAAAAHd72ig=")</f>
        <v>#VALUE!</v>
      </c>
      <c r="AP37" t="e">
        <f>AND(Sheet1!D488,"AAAAAHd72ik=")</f>
        <v>#VALUE!</v>
      </c>
      <c r="AQ37" t="e">
        <f>AND(Sheet1!E488,"AAAAAHd72io=")</f>
        <v>#VALUE!</v>
      </c>
      <c r="AR37" t="e">
        <f>AND(Sheet1!F488,"AAAAAHd72is=")</f>
        <v>#VALUE!</v>
      </c>
      <c r="AS37" t="e">
        <f>AND(Sheet1!G488,"AAAAAHd72iw=")</f>
        <v>#VALUE!</v>
      </c>
      <c r="AT37" t="e">
        <f>AND(Sheet1!H488,"AAAAAHd72i0=")</f>
        <v>#VALUE!</v>
      </c>
      <c r="AU37" t="e">
        <f>AND(Sheet1!I488,"AAAAAHd72i4=")</f>
        <v>#VALUE!</v>
      </c>
      <c r="AV37" t="e">
        <f>AND(Sheet1!J488,"AAAAAHd72i8=")</f>
        <v>#VALUE!</v>
      </c>
      <c r="AW37" t="e">
        <f>AND(Sheet1!K488,"AAAAAHd72jA=")</f>
        <v>#VALUE!</v>
      </c>
      <c r="AX37" t="e">
        <f>AND(Sheet1!L488,"AAAAAHd72jE=")</f>
        <v>#VALUE!</v>
      </c>
      <c r="AY37" t="e">
        <f>AND(Sheet1!M488,"AAAAAHd72jI=")</f>
        <v>#VALUE!</v>
      </c>
      <c r="AZ37" t="e">
        <f>AND(Sheet1!N488,"AAAAAHd72jM=")</f>
        <v>#VALUE!</v>
      </c>
      <c r="BA37" t="e">
        <f>AND(Sheet1!#REF!,"AAAAAHd72jQ=")</f>
        <v>#REF!</v>
      </c>
      <c r="BB37" t="e">
        <f>AND(Sheet1!#REF!,"AAAAAHd72jU=")</f>
        <v>#REF!</v>
      </c>
      <c r="BC37" t="e">
        <f>AND(Sheet1!#REF!,"AAAAAHd72jY=")</f>
        <v>#REF!</v>
      </c>
      <c r="BD37" t="e">
        <f>AND(Sheet1!#REF!,"AAAAAHd72jc=")</f>
        <v>#REF!</v>
      </c>
      <c r="BE37">
        <f>IF(Sheet1!489:489,"AAAAAHd72jg=",0)</f>
        <v>0</v>
      </c>
      <c r="BF37" t="e">
        <f>AND(Sheet1!A489,"AAAAAHd72jk=")</f>
        <v>#VALUE!</v>
      </c>
      <c r="BG37" t="e">
        <f>AND(Sheet1!B489,"AAAAAHd72jo=")</f>
        <v>#VALUE!</v>
      </c>
      <c r="BH37" t="e">
        <f>AND(Sheet1!C489,"AAAAAHd72js=")</f>
        <v>#VALUE!</v>
      </c>
      <c r="BI37" t="e">
        <f>AND(Sheet1!D489,"AAAAAHd72jw=")</f>
        <v>#VALUE!</v>
      </c>
      <c r="BJ37" t="e">
        <f>AND(Sheet1!E489,"AAAAAHd72j0=")</f>
        <v>#VALUE!</v>
      </c>
      <c r="BK37" t="e">
        <f>AND(Sheet1!F489,"AAAAAHd72j4=")</f>
        <v>#VALUE!</v>
      </c>
      <c r="BL37" t="e">
        <f>AND(Sheet1!G489,"AAAAAHd72j8=")</f>
        <v>#VALUE!</v>
      </c>
      <c r="BM37" t="e">
        <f>AND(Sheet1!H489,"AAAAAHd72kA=")</f>
        <v>#VALUE!</v>
      </c>
      <c r="BN37" t="e">
        <f>AND(Sheet1!I489,"AAAAAHd72kE=")</f>
        <v>#VALUE!</v>
      </c>
      <c r="BO37" t="e">
        <f>AND(Sheet1!J489,"AAAAAHd72kI=")</f>
        <v>#VALUE!</v>
      </c>
      <c r="BP37" t="e">
        <f>AND(Sheet1!K489,"AAAAAHd72kM=")</f>
        <v>#VALUE!</v>
      </c>
      <c r="BQ37" t="e">
        <f>AND(Sheet1!L489,"AAAAAHd72kQ=")</f>
        <v>#VALUE!</v>
      </c>
      <c r="BR37" t="e">
        <f>AND(Sheet1!M489,"AAAAAHd72kU=")</f>
        <v>#VALUE!</v>
      </c>
      <c r="BS37" t="e">
        <f>AND(Sheet1!N489,"AAAAAHd72kY=")</f>
        <v>#VALUE!</v>
      </c>
      <c r="BT37" t="e">
        <f>AND(Sheet1!#REF!,"AAAAAHd72kc=")</f>
        <v>#REF!</v>
      </c>
      <c r="BU37" t="e">
        <f>AND(Sheet1!#REF!,"AAAAAHd72kg=")</f>
        <v>#REF!</v>
      </c>
      <c r="BV37" t="e">
        <f>AND(Sheet1!#REF!,"AAAAAHd72kk=")</f>
        <v>#REF!</v>
      </c>
      <c r="BW37" t="e">
        <f>AND(Sheet1!#REF!,"AAAAAHd72ko=")</f>
        <v>#REF!</v>
      </c>
      <c r="BX37">
        <f>IF(Sheet1!490:490,"AAAAAHd72ks=",0)</f>
        <v>0</v>
      </c>
      <c r="BY37" t="e">
        <f>AND(Sheet1!A490,"AAAAAHd72kw=")</f>
        <v>#VALUE!</v>
      </c>
      <c r="BZ37" t="e">
        <f>AND(Sheet1!B490,"AAAAAHd72k0=")</f>
        <v>#VALUE!</v>
      </c>
      <c r="CA37" t="e">
        <f>AND(Sheet1!C490,"AAAAAHd72k4=")</f>
        <v>#VALUE!</v>
      </c>
      <c r="CB37" t="e">
        <f>AND(Sheet1!D490,"AAAAAHd72k8=")</f>
        <v>#VALUE!</v>
      </c>
      <c r="CC37" t="e">
        <f>AND(Sheet1!E490,"AAAAAHd72lA=")</f>
        <v>#VALUE!</v>
      </c>
      <c r="CD37" t="e">
        <f>AND(Sheet1!F490,"AAAAAHd72lE=")</f>
        <v>#VALUE!</v>
      </c>
      <c r="CE37" t="e">
        <f>AND(Sheet1!G490,"AAAAAHd72lI=")</f>
        <v>#VALUE!</v>
      </c>
      <c r="CF37" t="e">
        <f>AND(Sheet1!H490,"AAAAAHd72lM=")</f>
        <v>#VALUE!</v>
      </c>
      <c r="CG37" t="e">
        <f>AND(Sheet1!I490,"AAAAAHd72lQ=")</f>
        <v>#VALUE!</v>
      </c>
      <c r="CH37" t="e">
        <f>AND(Sheet1!J490,"AAAAAHd72lU=")</f>
        <v>#VALUE!</v>
      </c>
      <c r="CI37" t="e">
        <f>AND(Sheet1!K490,"AAAAAHd72lY=")</f>
        <v>#VALUE!</v>
      </c>
      <c r="CJ37" t="e">
        <f>AND(Sheet1!L490,"AAAAAHd72lc=")</f>
        <v>#VALUE!</v>
      </c>
      <c r="CK37" t="e">
        <f>AND(Sheet1!M490,"AAAAAHd72lg=")</f>
        <v>#VALUE!</v>
      </c>
      <c r="CL37" t="e">
        <f>AND(Sheet1!N490,"AAAAAHd72lk=")</f>
        <v>#VALUE!</v>
      </c>
      <c r="CM37" t="e">
        <f>AND(Sheet1!#REF!,"AAAAAHd72lo=")</f>
        <v>#REF!</v>
      </c>
      <c r="CN37" t="e">
        <f>AND(Sheet1!#REF!,"AAAAAHd72ls=")</f>
        <v>#REF!</v>
      </c>
      <c r="CO37" t="e">
        <f>AND(Sheet1!#REF!,"AAAAAHd72lw=")</f>
        <v>#REF!</v>
      </c>
      <c r="CP37" t="e">
        <f>AND(Sheet1!#REF!,"AAAAAHd72l0=")</f>
        <v>#REF!</v>
      </c>
      <c r="CQ37">
        <f>IF(Sheet1!491:491,"AAAAAHd72l4=",0)</f>
        <v>0</v>
      </c>
      <c r="CR37" t="e">
        <f>AND(Sheet1!A491,"AAAAAHd72l8=")</f>
        <v>#VALUE!</v>
      </c>
      <c r="CS37" t="e">
        <f>AND(Sheet1!B491,"AAAAAHd72mA=")</f>
        <v>#VALUE!</v>
      </c>
      <c r="CT37" t="e">
        <f>AND(Sheet1!C491,"AAAAAHd72mE=")</f>
        <v>#VALUE!</v>
      </c>
      <c r="CU37" t="e">
        <f>AND(Sheet1!D491,"AAAAAHd72mI=")</f>
        <v>#VALUE!</v>
      </c>
      <c r="CV37" t="e">
        <f>AND(Sheet1!E491,"AAAAAHd72mM=")</f>
        <v>#VALUE!</v>
      </c>
      <c r="CW37" t="e">
        <f>AND(Sheet1!F491,"AAAAAHd72mQ=")</f>
        <v>#VALUE!</v>
      </c>
      <c r="CX37" t="e">
        <f>AND(Sheet1!G491,"AAAAAHd72mU=")</f>
        <v>#VALUE!</v>
      </c>
      <c r="CY37" t="e">
        <f>AND(Sheet1!H491,"AAAAAHd72mY=")</f>
        <v>#VALUE!</v>
      </c>
      <c r="CZ37" t="e">
        <f>AND(Sheet1!I491,"AAAAAHd72mc=")</f>
        <v>#VALUE!</v>
      </c>
      <c r="DA37" t="e">
        <f>AND(Sheet1!J491,"AAAAAHd72mg=")</f>
        <v>#VALUE!</v>
      </c>
      <c r="DB37" t="e">
        <f>AND(Sheet1!K491,"AAAAAHd72mk=")</f>
        <v>#VALUE!</v>
      </c>
      <c r="DC37" t="e">
        <f>AND(Sheet1!L491,"AAAAAHd72mo=")</f>
        <v>#VALUE!</v>
      </c>
      <c r="DD37" t="e">
        <f>AND(Sheet1!M491,"AAAAAHd72ms=")</f>
        <v>#VALUE!</v>
      </c>
      <c r="DE37" t="e">
        <f>AND(Sheet1!N491,"AAAAAHd72mw=")</f>
        <v>#VALUE!</v>
      </c>
      <c r="DF37" t="e">
        <f>AND(Sheet1!#REF!,"AAAAAHd72m0=")</f>
        <v>#REF!</v>
      </c>
      <c r="DG37" t="e">
        <f>AND(Sheet1!#REF!,"AAAAAHd72m4=")</f>
        <v>#REF!</v>
      </c>
      <c r="DH37" t="e">
        <f>AND(Sheet1!#REF!,"AAAAAHd72m8=")</f>
        <v>#REF!</v>
      </c>
      <c r="DI37" t="e">
        <f>AND(Sheet1!#REF!,"AAAAAHd72nA=")</f>
        <v>#REF!</v>
      </c>
      <c r="DJ37">
        <f>IF(Sheet1!492:492,"AAAAAHd72nE=",0)</f>
        <v>0</v>
      </c>
      <c r="DK37" t="e">
        <f>AND(Sheet1!A492,"AAAAAHd72nI=")</f>
        <v>#VALUE!</v>
      </c>
      <c r="DL37" t="e">
        <f>AND(Sheet1!B492,"AAAAAHd72nM=")</f>
        <v>#VALUE!</v>
      </c>
      <c r="DM37" t="e">
        <f>AND(Sheet1!C492,"AAAAAHd72nQ=")</f>
        <v>#VALUE!</v>
      </c>
      <c r="DN37" t="e">
        <f>AND(Sheet1!D492,"AAAAAHd72nU=")</f>
        <v>#VALUE!</v>
      </c>
      <c r="DO37" t="e">
        <f>AND(Sheet1!E492,"AAAAAHd72nY=")</f>
        <v>#VALUE!</v>
      </c>
      <c r="DP37" t="e">
        <f>AND(Sheet1!F492,"AAAAAHd72nc=")</f>
        <v>#VALUE!</v>
      </c>
      <c r="DQ37" t="e">
        <f>AND(Sheet1!G492,"AAAAAHd72ng=")</f>
        <v>#VALUE!</v>
      </c>
      <c r="DR37" t="e">
        <f>AND(Sheet1!H492,"AAAAAHd72nk=")</f>
        <v>#VALUE!</v>
      </c>
      <c r="DS37" t="e">
        <f>AND(Sheet1!I492,"AAAAAHd72no=")</f>
        <v>#VALUE!</v>
      </c>
      <c r="DT37" t="e">
        <f>AND(Sheet1!J492,"AAAAAHd72ns=")</f>
        <v>#VALUE!</v>
      </c>
      <c r="DU37" t="e">
        <f>AND(Sheet1!K492,"AAAAAHd72nw=")</f>
        <v>#VALUE!</v>
      </c>
      <c r="DV37" t="e">
        <f>AND(Sheet1!L492,"AAAAAHd72n0=")</f>
        <v>#VALUE!</v>
      </c>
      <c r="DW37" t="e">
        <f>AND(Sheet1!M492,"AAAAAHd72n4=")</f>
        <v>#VALUE!</v>
      </c>
      <c r="DX37" t="e">
        <f>AND(Sheet1!N492,"AAAAAHd72n8=")</f>
        <v>#VALUE!</v>
      </c>
      <c r="DY37" t="e">
        <f>AND(Sheet1!#REF!,"AAAAAHd72oA=")</f>
        <v>#REF!</v>
      </c>
      <c r="DZ37" t="e">
        <f>AND(Sheet1!#REF!,"AAAAAHd72oE=")</f>
        <v>#REF!</v>
      </c>
      <c r="EA37" t="e">
        <f>AND(Sheet1!#REF!,"AAAAAHd72oI=")</f>
        <v>#REF!</v>
      </c>
      <c r="EB37" t="e">
        <f>AND(Sheet1!#REF!,"AAAAAHd72oM=")</f>
        <v>#REF!</v>
      </c>
      <c r="EC37">
        <f>IF(Sheet1!493:493,"AAAAAHd72oQ=",0)</f>
        <v>0</v>
      </c>
      <c r="ED37" t="e">
        <f>AND(Sheet1!A493,"AAAAAHd72oU=")</f>
        <v>#VALUE!</v>
      </c>
      <c r="EE37" t="e">
        <f>AND(Sheet1!B493,"AAAAAHd72oY=")</f>
        <v>#VALUE!</v>
      </c>
      <c r="EF37" t="e">
        <f>AND(Sheet1!C493,"AAAAAHd72oc=")</f>
        <v>#VALUE!</v>
      </c>
      <c r="EG37" t="e">
        <f>AND(Sheet1!D493,"AAAAAHd72og=")</f>
        <v>#VALUE!</v>
      </c>
      <c r="EH37" t="e">
        <f>AND(Sheet1!E493,"AAAAAHd72ok=")</f>
        <v>#VALUE!</v>
      </c>
      <c r="EI37" t="e">
        <f>AND(Sheet1!F493,"AAAAAHd72oo=")</f>
        <v>#VALUE!</v>
      </c>
      <c r="EJ37" t="e">
        <f>AND(Sheet1!G493,"AAAAAHd72os=")</f>
        <v>#VALUE!</v>
      </c>
      <c r="EK37" t="e">
        <f>AND(Sheet1!H493,"AAAAAHd72ow=")</f>
        <v>#VALUE!</v>
      </c>
      <c r="EL37" t="e">
        <f>AND(Sheet1!I493,"AAAAAHd72o0=")</f>
        <v>#VALUE!</v>
      </c>
      <c r="EM37" t="e">
        <f>AND(Sheet1!J493,"AAAAAHd72o4=")</f>
        <v>#VALUE!</v>
      </c>
      <c r="EN37" t="e">
        <f>AND(Sheet1!K493,"AAAAAHd72o8=")</f>
        <v>#VALUE!</v>
      </c>
      <c r="EO37" t="e">
        <f>AND(Sheet1!L493,"AAAAAHd72pA=")</f>
        <v>#VALUE!</v>
      </c>
      <c r="EP37" t="e">
        <f>AND(Sheet1!M493,"AAAAAHd72pE=")</f>
        <v>#VALUE!</v>
      </c>
      <c r="EQ37" t="e">
        <f>AND(Sheet1!N493,"AAAAAHd72pI=")</f>
        <v>#VALUE!</v>
      </c>
      <c r="ER37" t="e">
        <f>AND(Sheet1!#REF!,"AAAAAHd72pM=")</f>
        <v>#REF!</v>
      </c>
      <c r="ES37" t="e">
        <f>AND(Sheet1!#REF!,"AAAAAHd72pQ=")</f>
        <v>#REF!</v>
      </c>
      <c r="ET37" t="e">
        <f>AND(Sheet1!#REF!,"AAAAAHd72pU=")</f>
        <v>#REF!</v>
      </c>
      <c r="EU37" t="e">
        <f>AND(Sheet1!#REF!,"AAAAAHd72pY=")</f>
        <v>#REF!</v>
      </c>
      <c r="EV37">
        <f>IF(Sheet1!494:494,"AAAAAHd72pc=",0)</f>
        <v>0</v>
      </c>
      <c r="EW37" t="e">
        <f>AND(Sheet1!A494,"AAAAAHd72pg=")</f>
        <v>#VALUE!</v>
      </c>
      <c r="EX37" t="e">
        <f>AND(Sheet1!B494,"AAAAAHd72pk=")</f>
        <v>#VALUE!</v>
      </c>
      <c r="EY37" t="e">
        <f>AND(Sheet1!C494,"AAAAAHd72po=")</f>
        <v>#VALUE!</v>
      </c>
      <c r="EZ37" t="e">
        <f>AND(Sheet1!D494,"AAAAAHd72ps=")</f>
        <v>#VALUE!</v>
      </c>
      <c r="FA37" t="e">
        <f>AND(Sheet1!E494,"AAAAAHd72pw=")</f>
        <v>#VALUE!</v>
      </c>
      <c r="FB37" t="e">
        <f>AND(Sheet1!F494,"AAAAAHd72p0=")</f>
        <v>#VALUE!</v>
      </c>
      <c r="FC37" t="e">
        <f>AND(Sheet1!G494,"AAAAAHd72p4=")</f>
        <v>#VALUE!</v>
      </c>
      <c r="FD37" t="e">
        <f>AND(Sheet1!H494,"AAAAAHd72p8=")</f>
        <v>#VALUE!</v>
      </c>
      <c r="FE37" t="e">
        <f>AND(Sheet1!I494,"AAAAAHd72qA=")</f>
        <v>#VALUE!</v>
      </c>
      <c r="FF37" t="e">
        <f>AND(Sheet1!J494,"AAAAAHd72qE=")</f>
        <v>#VALUE!</v>
      </c>
      <c r="FG37" t="e">
        <f>AND(Sheet1!K494,"AAAAAHd72qI=")</f>
        <v>#VALUE!</v>
      </c>
      <c r="FH37" t="e">
        <f>AND(Sheet1!L494,"AAAAAHd72qM=")</f>
        <v>#VALUE!</v>
      </c>
      <c r="FI37" t="e">
        <f>AND(Sheet1!M494,"AAAAAHd72qQ=")</f>
        <v>#VALUE!</v>
      </c>
      <c r="FJ37" t="e">
        <f>AND(Sheet1!N494,"AAAAAHd72qU=")</f>
        <v>#VALUE!</v>
      </c>
      <c r="FK37" t="e">
        <f>AND(Sheet1!#REF!,"AAAAAHd72qY=")</f>
        <v>#REF!</v>
      </c>
      <c r="FL37" t="e">
        <f>AND(Sheet1!#REF!,"AAAAAHd72qc=")</f>
        <v>#REF!</v>
      </c>
      <c r="FM37" t="e">
        <f>AND(Sheet1!#REF!,"AAAAAHd72qg=")</f>
        <v>#REF!</v>
      </c>
      <c r="FN37" t="e">
        <f>AND(Sheet1!#REF!,"AAAAAHd72qk=")</f>
        <v>#REF!</v>
      </c>
      <c r="FO37">
        <f>IF(Sheet1!495:495,"AAAAAHd72qo=",0)</f>
        <v>0</v>
      </c>
      <c r="FP37" t="e">
        <f>AND(Sheet1!A495,"AAAAAHd72qs=")</f>
        <v>#VALUE!</v>
      </c>
      <c r="FQ37" t="e">
        <f>AND(Sheet1!B495,"AAAAAHd72qw=")</f>
        <v>#VALUE!</v>
      </c>
      <c r="FR37" t="e">
        <f>AND(Sheet1!C495,"AAAAAHd72q0=")</f>
        <v>#VALUE!</v>
      </c>
      <c r="FS37" t="e">
        <f>AND(Sheet1!D495,"AAAAAHd72q4=")</f>
        <v>#VALUE!</v>
      </c>
      <c r="FT37" t="e">
        <f>AND(Sheet1!E495,"AAAAAHd72q8=")</f>
        <v>#VALUE!</v>
      </c>
      <c r="FU37" t="e">
        <f>AND(Sheet1!F495,"AAAAAHd72rA=")</f>
        <v>#VALUE!</v>
      </c>
      <c r="FV37" t="e">
        <f>AND(Sheet1!G495,"AAAAAHd72rE=")</f>
        <v>#VALUE!</v>
      </c>
      <c r="FW37" t="e">
        <f>AND(Sheet1!H495,"AAAAAHd72rI=")</f>
        <v>#VALUE!</v>
      </c>
      <c r="FX37" t="e">
        <f>AND(Sheet1!I495,"AAAAAHd72rM=")</f>
        <v>#VALUE!</v>
      </c>
      <c r="FY37" t="e">
        <f>AND(Sheet1!J495,"AAAAAHd72rQ=")</f>
        <v>#VALUE!</v>
      </c>
      <c r="FZ37" t="e">
        <f>AND(Sheet1!K495,"AAAAAHd72rU=")</f>
        <v>#VALUE!</v>
      </c>
      <c r="GA37" t="e">
        <f>AND(Sheet1!L495,"AAAAAHd72rY=")</f>
        <v>#VALUE!</v>
      </c>
      <c r="GB37" t="e">
        <f>AND(Sheet1!M495,"AAAAAHd72rc=")</f>
        <v>#VALUE!</v>
      </c>
      <c r="GC37" t="e">
        <f>AND(Sheet1!N495,"AAAAAHd72rg=")</f>
        <v>#VALUE!</v>
      </c>
      <c r="GD37" t="e">
        <f>AND(Sheet1!#REF!,"AAAAAHd72rk=")</f>
        <v>#REF!</v>
      </c>
      <c r="GE37" t="e">
        <f>AND(Sheet1!#REF!,"AAAAAHd72ro=")</f>
        <v>#REF!</v>
      </c>
      <c r="GF37" t="e">
        <f>AND(Sheet1!#REF!,"AAAAAHd72rs=")</f>
        <v>#REF!</v>
      </c>
      <c r="GG37" t="e">
        <f>AND(Sheet1!#REF!,"AAAAAHd72rw=")</f>
        <v>#REF!</v>
      </c>
      <c r="GH37">
        <f>IF(Sheet1!496:496,"AAAAAHd72r0=",0)</f>
        <v>0</v>
      </c>
      <c r="GI37" t="e">
        <f>AND(Sheet1!A496,"AAAAAHd72r4=")</f>
        <v>#VALUE!</v>
      </c>
      <c r="GJ37" t="e">
        <f>AND(Sheet1!B496,"AAAAAHd72r8=")</f>
        <v>#VALUE!</v>
      </c>
      <c r="GK37" t="e">
        <f>AND(Sheet1!C496,"AAAAAHd72sA=")</f>
        <v>#VALUE!</v>
      </c>
      <c r="GL37" t="e">
        <f>AND(Sheet1!D496,"AAAAAHd72sE=")</f>
        <v>#VALUE!</v>
      </c>
      <c r="GM37" t="e">
        <f>AND(Sheet1!E496,"AAAAAHd72sI=")</f>
        <v>#VALUE!</v>
      </c>
      <c r="GN37" t="e">
        <f>AND(Sheet1!F496,"AAAAAHd72sM=")</f>
        <v>#VALUE!</v>
      </c>
      <c r="GO37" t="e">
        <f>AND(Sheet1!G496,"AAAAAHd72sQ=")</f>
        <v>#VALUE!</v>
      </c>
      <c r="GP37" t="e">
        <f>AND(Sheet1!H496,"AAAAAHd72sU=")</f>
        <v>#VALUE!</v>
      </c>
      <c r="GQ37" t="e">
        <f>AND(Sheet1!I496,"AAAAAHd72sY=")</f>
        <v>#VALUE!</v>
      </c>
      <c r="GR37" t="e">
        <f>AND(Sheet1!J496,"AAAAAHd72sc=")</f>
        <v>#VALUE!</v>
      </c>
      <c r="GS37" t="e">
        <f>AND(Sheet1!K496,"AAAAAHd72sg=")</f>
        <v>#VALUE!</v>
      </c>
      <c r="GT37" t="e">
        <f>AND(Sheet1!L496,"AAAAAHd72sk=")</f>
        <v>#VALUE!</v>
      </c>
      <c r="GU37" t="e">
        <f>AND(Sheet1!M496,"AAAAAHd72so=")</f>
        <v>#VALUE!</v>
      </c>
      <c r="GV37" t="e">
        <f>AND(Sheet1!N496,"AAAAAHd72ss=")</f>
        <v>#VALUE!</v>
      </c>
      <c r="GW37" t="e">
        <f>AND(Sheet1!#REF!,"AAAAAHd72sw=")</f>
        <v>#REF!</v>
      </c>
      <c r="GX37" t="e">
        <f>AND(Sheet1!#REF!,"AAAAAHd72s0=")</f>
        <v>#REF!</v>
      </c>
      <c r="GY37" t="e">
        <f>AND(Sheet1!#REF!,"AAAAAHd72s4=")</f>
        <v>#REF!</v>
      </c>
      <c r="GZ37" t="e">
        <f>AND(Sheet1!#REF!,"AAAAAHd72s8=")</f>
        <v>#REF!</v>
      </c>
      <c r="HA37">
        <f>IF(Sheet1!497:497,"AAAAAHd72tA=",0)</f>
        <v>0</v>
      </c>
      <c r="HB37" t="e">
        <f>AND(Sheet1!A497,"AAAAAHd72tE=")</f>
        <v>#VALUE!</v>
      </c>
      <c r="HC37" t="e">
        <f>AND(Sheet1!B497,"AAAAAHd72tI=")</f>
        <v>#VALUE!</v>
      </c>
      <c r="HD37" t="e">
        <f>AND(Sheet1!C497,"AAAAAHd72tM=")</f>
        <v>#VALUE!</v>
      </c>
      <c r="HE37" t="e">
        <f>AND(Sheet1!D497,"AAAAAHd72tQ=")</f>
        <v>#VALUE!</v>
      </c>
      <c r="HF37" t="e">
        <f>AND(Sheet1!E497,"AAAAAHd72tU=")</f>
        <v>#VALUE!</v>
      </c>
      <c r="HG37" t="e">
        <f>AND(Sheet1!F497,"AAAAAHd72tY=")</f>
        <v>#VALUE!</v>
      </c>
      <c r="HH37" t="e">
        <f>AND(Sheet1!G497,"AAAAAHd72tc=")</f>
        <v>#VALUE!</v>
      </c>
      <c r="HI37" t="e">
        <f>AND(Sheet1!H497,"AAAAAHd72tg=")</f>
        <v>#VALUE!</v>
      </c>
      <c r="HJ37" t="e">
        <f>AND(Sheet1!I497,"AAAAAHd72tk=")</f>
        <v>#VALUE!</v>
      </c>
      <c r="HK37" t="e">
        <f>AND(Sheet1!J497,"AAAAAHd72to=")</f>
        <v>#VALUE!</v>
      </c>
      <c r="HL37" t="e">
        <f>AND(Sheet1!K497,"AAAAAHd72ts=")</f>
        <v>#VALUE!</v>
      </c>
      <c r="HM37" t="e">
        <f>AND(Sheet1!L497,"AAAAAHd72tw=")</f>
        <v>#VALUE!</v>
      </c>
      <c r="HN37" t="e">
        <f>AND(Sheet1!M497,"AAAAAHd72t0=")</f>
        <v>#VALUE!</v>
      </c>
      <c r="HO37" t="e">
        <f>AND(Sheet1!N497,"AAAAAHd72t4=")</f>
        <v>#VALUE!</v>
      </c>
      <c r="HP37" t="e">
        <f>AND(Sheet1!#REF!,"AAAAAHd72t8=")</f>
        <v>#REF!</v>
      </c>
      <c r="HQ37" t="e">
        <f>AND(Sheet1!#REF!,"AAAAAHd72uA=")</f>
        <v>#REF!</v>
      </c>
      <c r="HR37" t="e">
        <f>AND(Sheet1!#REF!,"AAAAAHd72uE=")</f>
        <v>#REF!</v>
      </c>
      <c r="HS37" t="e">
        <f>AND(Sheet1!#REF!,"AAAAAHd72uI=")</f>
        <v>#REF!</v>
      </c>
      <c r="HT37">
        <f>IF(Sheet1!498:498,"AAAAAHd72uM=",0)</f>
        <v>0</v>
      </c>
      <c r="HU37" t="e">
        <f>AND(Sheet1!A498,"AAAAAHd72uQ=")</f>
        <v>#VALUE!</v>
      </c>
      <c r="HV37" t="e">
        <f>AND(Sheet1!B498,"AAAAAHd72uU=")</f>
        <v>#VALUE!</v>
      </c>
      <c r="HW37" t="e">
        <f>AND(Sheet1!C498,"AAAAAHd72uY=")</f>
        <v>#VALUE!</v>
      </c>
      <c r="HX37" t="e">
        <f>AND(Sheet1!D498,"AAAAAHd72uc=")</f>
        <v>#VALUE!</v>
      </c>
      <c r="HY37" t="e">
        <f>AND(Sheet1!E498,"AAAAAHd72ug=")</f>
        <v>#VALUE!</v>
      </c>
      <c r="HZ37" t="e">
        <f>AND(Sheet1!F498,"AAAAAHd72uk=")</f>
        <v>#VALUE!</v>
      </c>
      <c r="IA37" t="e">
        <f>AND(Sheet1!G498,"AAAAAHd72uo=")</f>
        <v>#VALUE!</v>
      </c>
      <c r="IB37" t="e">
        <f>AND(Sheet1!H498,"AAAAAHd72us=")</f>
        <v>#VALUE!</v>
      </c>
      <c r="IC37" t="e">
        <f>AND(Sheet1!I498,"AAAAAHd72uw=")</f>
        <v>#VALUE!</v>
      </c>
      <c r="ID37" t="e">
        <f>AND(Sheet1!J498,"AAAAAHd72u0=")</f>
        <v>#VALUE!</v>
      </c>
      <c r="IE37" t="e">
        <f>AND(Sheet1!K498,"AAAAAHd72u4=")</f>
        <v>#VALUE!</v>
      </c>
      <c r="IF37" t="e">
        <f>AND(Sheet1!L498,"AAAAAHd72u8=")</f>
        <v>#VALUE!</v>
      </c>
      <c r="IG37" t="e">
        <f>AND(Sheet1!M498,"AAAAAHd72vA=")</f>
        <v>#VALUE!</v>
      </c>
      <c r="IH37" t="e">
        <f>AND(Sheet1!N498,"AAAAAHd72vE=")</f>
        <v>#VALUE!</v>
      </c>
      <c r="II37" t="e">
        <f>AND(Sheet1!#REF!,"AAAAAHd72vI=")</f>
        <v>#REF!</v>
      </c>
      <c r="IJ37" t="e">
        <f>AND(Sheet1!#REF!,"AAAAAHd72vM=")</f>
        <v>#REF!</v>
      </c>
      <c r="IK37" t="e">
        <f>AND(Sheet1!#REF!,"AAAAAHd72vQ=")</f>
        <v>#REF!</v>
      </c>
      <c r="IL37" t="e">
        <f>AND(Sheet1!#REF!,"AAAAAHd72vU=")</f>
        <v>#REF!</v>
      </c>
      <c r="IM37">
        <f>IF(Sheet1!499:499,"AAAAAHd72vY=",0)</f>
        <v>0</v>
      </c>
      <c r="IN37" t="e">
        <f>AND(Sheet1!A499,"AAAAAHd72vc=")</f>
        <v>#VALUE!</v>
      </c>
      <c r="IO37" t="e">
        <f>AND(Sheet1!B499,"AAAAAHd72vg=")</f>
        <v>#VALUE!</v>
      </c>
      <c r="IP37" t="e">
        <f>AND(Sheet1!C499,"AAAAAHd72vk=")</f>
        <v>#VALUE!</v>
      </c>
      <c r="IQ37" t="e">
        <f>AND(Sheet1!D499,"AAAAAHd72vo=")</f>
        <v>#VALUE!</v>
      </c>
      <c r="IR37" t="e">
        <f>AND(Sheet1!E499,"AAAAAHd72vs=")</f>
        <v>#VALUE!</v>
      </c>
      <c r="IS37" t="e">
        <f>AND(Sheet1!F499,"AAAAAHd72vw=")</f>
        <v>#VALUE!</v>
      </c>
      <c r="IT37" t="e">
        <f>AND(Sheet1!G499,"AAAAAHd72v0=")</f>
        <v>#VALUE!</v>
      </c>
      <c r="IU37" t="e">
        <f>AND(Sheet1!H499,"AAAAAHd72v4=")</f>
        <v>#VALUE!</v>
      </c>
      <c r="IV37" t="e">
        <f>AND(Sheet1!I499,"AAAAAHd72v8=")</f>
        <v>#VALUE!</v>
      </c>
    </row>
    <row r="38" spans="1:256" x14ac:dyDescent="0.2">
      <c r="A38" t="e">
        <f>AND(Sheet1!J499,"AAAAAGqyXwA=")</f>
        <v>#VALUE!</v>
      </c>
      <c r="B38" t="e">
        <f>AND(Sheet1!K499,"AAAAAGqyXwE=")</f>
        <v>#VALUE!</v>
      </c>
      <c r="C38" t="e">
        <f>AND(Sheet1!L499,"AAAAAGqyXwI=")</f>
        <v>#VALUE!</v>
      </c>
      <c r="D38" t="e">
        <f>AND(Sheet1!M499,"AAAAAGqyXwM=")</f>
        <v>#VALUE!</v>
      </c>
      <c r="E38" t="e">
        <f>AND(Sheet1!N499,"AAAAAGqyXwQ=")</f>
        <v>#VALUE!</v>
      </c>
      <c r="F38" t="e">
        <f>AND(Sheet1!#REF!,"AAAAAGqyXwU=")</f>
        <v>#REF!</v>
      </c>
      <c r="G38" t="e">
        <f>AND(Sheet1!#REF!,"AAAAAGqyXwY=")</f>
        <v>#REF!</v>
      </c>
      <c r="H38" t="e">
        <f>AND(Sheet1!#REF!,"AAAAAGqyXwc=")</f>
        <v>#REF!</v>
      </c>
      <c r="I38" t="e">
        <f>AND(Sheet1!#REF!,"AAAAAGqyXwg=")</f>
        <v>#REF!</v>
      </c>
      <c r="J38" t="e">
        <f>IF(Sheet1!500:500,"AAAAAGqyXwk=",0)</f>
        <v>#VALUE!</v>
      </c>
      <c r="K38" t="e">
        <f>AND(Sheet1!A500,"AAAAAGqyXwo=")</f>
        <v>#VALUE!</v>
      </c>
      <c r="L38" t="e">
        <f>AND(Sheet1!B500,"AAAAAGqyXws=")</f>
        <v>#VALUE!</v>
      </c>
      <c r="M38" t="e">
        <f>AND(Sheet1!C500,"AAAAAGqyXww=")</f>
        <v>#VALUE!</v>
      </c>
      <c r="N38" t="e">
        <f>AND(Sheet1!D500,"AAAAAGqyXw0=")</f>
        <v>#VALUE!</v>
      </c>
      <c r="O38" t="e">
        <f>AND(Sheet1!E500,"AAAAAGqyXw4=")</f>
        <v>#VALUE!</v>
      </c>
      <c r="P38" t="e">
        <f>AND(Sheet1!F500,"AAAAAGqyXw8=")</f>
        <v>#VALUE!</v>
      </c>
      <c r="Q38" t="e">
        <f>AND(Sheet1!G500,"AAAAAGqyXxA=")</f>
        <v>#VALUE!</v>
      </c>
      <c r="R38" t="e">
        <f>AND(Sheet1!H500,"AAAAAGqyXxE=")</f>
        <v>#VALUE!</v>
      </c>
      <c r="S38" t="e">
        <f>AND(Sheet1!I500,"AAAAAGqyXxI=")</f>
        <v>#VALUE!</v>
      </c>
      <c r="T38" t="e">
        <f>AND(Sheet1!J500,"AAAAAGqyXxM=")</f>
        <v>#VALUE!</v>
      </c>
      <c r="U38" t="e">
        <f>AND(Sheet1!K500,"AAAAAGqyXxQ=")</f>
        <v>#VALUE!</v>
      </c>
      <c r="V38" t="e">
        <f>AND(Sheet1!L500,"AAAAAGqyXxU=")</f>
        <v>#VALUE!</v>
      </c>
      <c r="W38" t="e">
        <f>AND(Sheet1!M500,"AAAAAGqyXxY=")</f>
        <v>#VALUE!</v>
      </c>
      <c r="X38" t="e">
        <f>AND(Sheet1!N500,"AAAAAGqyXxc=")</f>
        <v>#VALUE!</v>
      </c>
      <c r="Y38" t="e">
        <f>AND(Sheet1!#REF!,"AAAAAGqyXxg=")</f>
        <v>#REF!</v>
      </c>
      <c r="Z38" t="e">
        <f>AND(Sheet1!#REF!,"AAAAAGqyXxk=")</f>
        <v>#REF!</v>
      </c>
      <c r="AA38" t="e">
        <f>AND(Sheet1!#REF!,"AAAAAGqyXxo=")</f>
        <v>#REF!</v>
      </c>
      <c r="AB38" t="e">
        <f>AND(Sheet1!#REF!,"AAAAAGqyXxs=")</f>
        <v>#REF!</v>
      </c>
      <c r="AC38">
        <f>IF(Sheet1!501:501,"AAAAAGqyXxw=",0)</f>
        <v>0</v>
      </c>
      <c r="AD38" t="e">
        <f>AND(Sheet1!A501,"AAAAAGqyXx0=")</f>
        <v>#VALUE!</v>
      </c>
      <c r="AE38" t="e">
        <f>AND(Sheet1!B501,"AAAAAGqyXx4=")</f>
        <v>#VALUE!</v>
      </c>
      <c r="AF38" t="e">
        <f>AND(Sheet1!C501,"AAAAAGqyXx8=")</f>
        <v>#VALUE!</v>
      </c>
      <c r="AG38" t="e">
        <f>AND(Sheet1!D501,"AAAAAGqyXyA=")</f>
        <v>#VALUE!</v>
      </c>
      <c r="AH38" t="e">
        <f>AND(Sheet1!E501,"AAAAAGqyXyE=")</f>
        <v>#VALUE!</v>
      </c>
      <c r="AI38" t="e">
        <f>AND(Sheet1!F501,"AAAAAGqyXyI=")</f>
        <v>#VALUE!</v>
      </c>
      <c r="AJ38" t="e">
        <f>AND(Sheet1!G501,"AAAAAGqyXyM=")</f>
        <v>#VALUE!</v>
      </c>
      <c r="AK38" t="e">
        <f>AND(Sheet1!H501,"AAAAAGqyXyQ=")</f>
        <v>#VALUE!</v>
      </c>
      <c r="AL38" t="e">
        <f>AND(Sheet1!I501,"AAAAAGqyXyU=")</f>
        <v>#VALUE!</v>
      </c>
      <c r="AM38" t="e">
        <f>AND(Sheet1!J501,"AAAAAGqyXyY=")</f>
        <v>#VALUE!</v>
      </c>
      <c r="AN38" t="e">
        <f>AND(Sheet1!K501,"AAAAAGqyXyc=")</f>
        <v>#VALUE!</v>
      </c>
      <c r="AO38" t="e">
        <f>AND(Sheet1!L501,"AAAAAGqyXyg=")</f>
        <v>#VALUE!</v>
      </c>
      <c r="AP38" t="e">
        <f>AND(Sheet1!M501,"AAAAAGqyXyk=")</f>
        <v>#VALUE!</v>
      </c>
      <c r="AQ38" t="e">
        <f>AND(Sheet1!N501,"AAAAAGqyXyo=")</f>
        <v>#VALUE!</v>
      </c>
      <c r="AR38" t="e">
        <f>AND(Sheet1!#REF!,"AAAAAGqyXys=")</f>
        <v>#REF!</v>
      </c>
      <c r="AS38" t="e">
        <f>AND(Sheet1!#REF!,"AAAAAGqyXyw=")</f>
        <v>#REF!</v>
      </c>
      <c r="AT38" t="e">
        <f>AND(Sheet1!#REF!,"AAAAAGqyXy0=")</f>
        <v>#REF!</v>
      </c>
      <c r="AU38" t="e">
        <f>AND(Sheet1!#REF!,"AAAAAGqyXy4=")</f>
        <v>#REF!</v>
      </c>
      <c r="AV38">
        <f>IF(Sheet1!502:502,"AAAAAGqyXy8=",0)</f>
        <v>0</v>
      </c>
      <c r="AW38" t="e">
        <f>AND(Sheet1!A502,"AAAAAGqyXzA=")</f>
        <v>#VALUE!</v>
      </c>
      <c r="AX38" t="e">
        <f>AND(Sheet1!B502,"AAAAAGqyXzE=")</f>
        <v>#VALUE!</v>
      </c>
      <c r="AY38" t="e">
        <f>AND(Sheet1!C502,"AAAAAGqyXzI=")</f>
        <v>#VALUE!</v>
      </c>
      <c r="AZ38" t="e">
        <f>AND(Sheet1!D502,"AAAAAGqyXzM=")</f>
        <v>#VALUE!</v>
      </c>
      <c r="BA38" t="e">
        <f>AND(Sheet1!E502,"AAAAAGqyXzQ=")</f>
        <v>#VALUE!</v>
      </c>
      <c r="BB38" t="e">
        <f>AND(Sheet1!F502,"AAAAAGqyXzU=")</f>
        <v>#VALUE!</v>
      </c>
      <c r="BC38" t="e">
        <f>AND(Sheet1!G502,"AAAAAGqyXzY=")</f>
        <v>#VALUE!</v>
      </c>
      <c r="BD38" t="e">
        <f>AND(Sheet1!H502,"AAAAAGqyXzc=")</f>
        <v>#VALUE!</v>
      </c>
      <c r="BE38" t="e">
        <f>AND(Sheet1!I502,"AAAAAGqyXzg=")</f>
        <v>#VALUE!</v>
      </c>
      <c r="BF38" t="e">
        <f>AND(Sheet1!J502,"AAAAAGqyXzk=")</f>
        <v>#VALUE!</v>
      </c>
      <c r="BG38" t="e">
        <f>AND(Sheet1!K502,"AAAAAGqyXzo=")</f>
        <v>#VALUE!</v>
      </c>
      <c r="BH38" t="e">
        <f>AND(Sheet1!L502,"AAAAAGqyXzs=")</f>
        <v>#VALUE!</v>
      </c>
      <c r="BI38" t="e">
        <f>AND(Sheet1!M502,"AAAAAGqyXzw=")</f>
        <v>#VALUE!</v>
      </c>
      <c r="BJ38" t="e">
        <f>AND(Sheet1!N502,"AAAAAGqyXz0=")</f>
        <v>#VALUE!</v>
      </c>
      <c r="BK38" t="e">
        <f>AND(Sheet1!#REF!,"AAAAAGqyXz4=")</f>
        <v>#REF!</v>
      </c>
      <c r="BL38" t="e">
        <f>AND(Sheet1!#REF!,"AAAAAGqyXz8=")</f>
        <v>#REF!</v>
      </c>
      <c r="BM38" t="e">
        <f>AND(Sheet1!#REF!,"AAAAAGqyX0A=")</f>
        <v>#REF!</v>
      </c>
      <c r="BN38" t="e">
        <f>AND(Sheet1!#REF!,"AAAAAGqyX0E=")</f>
        <v>#REF!</v>
      </c>
      <c r="BO38">
        <f>IF(Sheet1!503:503,"AAAAAGqyX0I=",0)</f>
        <v>0</v>
      </c>
      <c r="BP38" t="e">
        <f>AND(Sheet1!A503,"AAAAAGqyX0M=")</f>
        <v>#VALUE!</v>
      </c>
      <c r="BQ38" t="e">
        <f>AND(Sheet1!B503,"AAAAAGqyX0Q=")</f>
        <v>#VALUE!</v>
      </c>
      <c r="BR38" t="e">
        <f>AND(Sheet1!C503,"AAAAAGqyX0U=")</f>
        <v>#VALUE!</v>
      </c>
      <c r="BS38" t="e">
        <f>AND(Sheet1!D503,"AAAAAGqyX0Y=")</f>
        <v>#VALUE!</v>
      </c>
      <c r="BT38" t="e">
        <f>AND(Sheet1!E503,"AAAAAGqyX0c=")</f>
        <v>#VALUE!</v>
      </c>
      <c r="BU38" t="e">
        <f>AND(Sheet1!F503,"AAAAAGqyX0g=")</f>
        <v>#VALUE!</v>
      </c>
      <c r="BV38" t="e">
        <f>AND(Sheet1!G503,"AAAAAGqyX0k=")</f>
        <v>#VALUE!</v>
      </c>
      <c r="BW38" t="e">
        <f>AND(Sheet1!H503,"AAAAAGqyX0o=")</f>
        <v>#VALUE!</v>
      </c>
      <c r="BX38" t="e">
        <f>AND(Sheet1!I503,"AAAAAGqyX0s=")</f>
        <v>#VALUE!</v>
      </c>
      <c r="BY38" t="e">
        <f>AND(Sheet1!J503,"AAAAAGqyX0w=")</f>
        <v>#VALUE!</v>
      </c>
      <c r="BZ38" t="e">
        <f>AND(Sheet1!K503,"AAAAAGqyX00=")</f>
        <v>#VALUE!</v>
      </c>
      <c r="CA38" t="e">
        <f>AND(Sheet1!L503,"AAAAAGqyX04=")</f>
        <v>#VALUE!</v>
      </c>
      <c r="CB38" t="e">
        <f>AND(Sheet1!M503,"AAAAAGqyX08=")</f>
        <v>#VALUE!</v>
      </c>
      <c r="CC38" t="e">
        <f>AND(Sheet1!N503,"AAAAAGqyX1A=")</f>
        <v>#VALUE!</v>
      </c>
      <c r="CD38" t="e">
        <f>AND(Sheet1!#REF!,"AAAAAGqyX1E=")</f>
        <v>#REF!</v>
      </c>
      <c r="CE38" t="e">
        <f>AND(Sheet1!#REF!,"AAAAAGqyX1I=")</f>
        <v>#REF!</v>
      </c>
      <c r="CF38" t="e">
        <f>AND(Sheet1!#REF!,"AAAAAGqyX1M=")</f>
        <v>#REF!</v>
      </c>
      <c r="CG38" t="e">
        <f>AND(Sheet1!#REF!,"AAAAAGqyX1Q=")</f>
        <v>#REF!</v>
      </c>
      <c r="CH38">
        <f>IF(Sheet1!504:504,"AAAAAGqyX1U=",0)</f>
        <v>0</v>
      </c>
      <c r="CI38" t="e">
        <f>AND(Sheet1!A504,"AAAAAGqyX1Y=")</f>
        <v>#VALUE!</v>
      </c>
      <c r="CJ38" t="e">
        <f>AND(Sheet1!B504,"AAAAAGqyX1c=")</f>
        <v>#VALUE!</v>
      </c>
      <c r="CK38" t="e">
        <f>AND(Sheet1!C504,"AAAAAGqyX1g=")</f>
        <v>#VALUE!</v>
      </c>
      <c r="CL38" t="e">
        <f>AND(Sheet1!D504,"AAAAAGqyX1k=")</f>
        <v>#VALUE!</v>
      </c>
      <c r="CM38" t="e">
        <f>AND(Sheet1!E504,"AAAAAGqyX1o=")</f>
        <v>#VALUE!</v>
      </c>
      <c r="CN38" t="e">
        <f>AND(Sheet1!F504,"AAAAAGqyX1s=")</f>
        <v>#VALUE!</v>
      </c>
      <c r="CO38" t="e">
        <f>AND(Sheet1!G504,"AAAAAGqyX1w=")</f>
        <v>#VALUE!</v>
      </c>
      <c r="CP38" t="e">
        <f>AND(Sheet1!H504,"AAAAAGqyX10=")</f>
        <v>#VALUE!</v>
      </c>
      <c r="CQ38" t="e">
        <f>AND(Sheet1!I504,"AAAAAGqyX14=")</f>
        <v>#VALUE!</v>
      </c>
      <c r="CR38" t="e">
        <f>AND(Sheet1!J504,"AAAAAGqyX18=")</f>
        <v>#VALUE!</v>
      </c>
      <c r="CS38" t="e">
        <f>AND(Sheet1!K504,"AAAAAGqyX2A=")</f>
        <v>#VALUE!</v>
      </c>
      <c r="CT38" t="e">
        <f>AND(Sheet1!L504,"AAAAAGqyX2E=")</f>
        <v>#VALUE!</v>
      </c>
      <c r="CU38" t="e">
        <f>AND(Sheet1!M504,"AAAAAGqyX2I=")</f>
        <v>#VALUE!</v>
      </c>
      <c r="CV38" t="e">
        <f>AND(Sheet1!N504,"AAAAAGqyX2M=")</f>
        <v>#VALUE!</v>
      </c>
      <c r="CW38" t="e">
        <f>AND(Sheet1!#REF!,"AAAAAGqyX2Q=")</f>
        <v>#REF!</v>
      </c>
      <c r="CX38" t="e">
        <f>AND(Sheet1!#REF!,"AAAAAGqyX2U=")</f>
        <v>#REF!</v>
      </c>
      <c r="CY38" t="e">
        <f>AND(Sheet1!#REF!,"AAAAAGqyX2Y=")</f>
        <v>#REF!</v>
      </c>
      <c r="CZ38" t="e">
        <f>AND(Sheet1!#REF!,"AAAAAGqyX2c=")</f>
        <v>#REF!</v>
      </c>
      <c r="DA38">
        <f>IF(Sheet1!505:505,"AAAAAGqyX2g=",0)</f>
        <v>0</v>
      </c>
      <c r="DB38" t="e">
        <f>AND(Sheet1!A505,"AAAAAGqyX2k=")</f>
        <v>#VALUE!</v>
      </c>
      <c r="DC38" t="e">
        <f>AND(Sheet1!B505,"AAAAAGqyX2o=")</f>
        <v>#VALUE!</v>
      </c>
      <c r="DD38" t="e">
        <f>AND(Sheet1!C505,"AAAAAGqyX2s=")</f>
        <v>#VALUE!</v>
      </c>
      <c r="DE38" t="e">
        <f>AND(Sheet1!D505,"AAAAAGqyX2w=")</f>
        <v>#VALUE!</v>
      </c>
      <c r="DF38" t="e">
        <f>AND(Sheet1!E505,"AAAAAGqyX20=")</f>
        <v>#VALUE!</v>
      </c>
      <c r="DG38" t="e">
        <f>AND(Sheet1!F505,"AAAAAGqyX24=")</f>
        <v>#VALUE!</v>
      </c>
      <c r="DH38" t="e">
        <f>AND(Sheet1!G505,"AAAAAGqyX28=")</f>
        <v>#VALUE!</v>
      </c>
      <c r="DI38" t="e">
        <f>AND(Sheet1!H505,"AAAAAGqyX3A=")</f>
        <v>#VALUE!</v>
      </c>
      <c r="DJ38" t="e">
        <f>AND(Sheet1!I505,"AAAAAGqyX3E=")</f>
        <v>#VALUE!</v>
      </c>
      <c r="DK38" t="e">
        <f>AND(Sheet1!J505,"AAAAAGqyX3I=")</f>
        <v>#VALUE!</v>
      </c>
      <c r="DL38" t="e">
        <f>AND(Sheet1!K505,"AAAAAGqyX3M=")</f>
        <v>#VALUE!</v>
      </c>
      <c r="DM38" t="e">
        <f>AND(Sheet1!L505,"AAAAAGqyX3Q=")</f>
        <v>#VALUE!</v>
      </c>
      <c r="DN38" t="e">
        <f>AND(Sheet1!M505,"AAAAAGqyX3U=")</f>
        <v>#VALUE!</v>
      </c>
      <c r="DO38" t="e">
        <f>AND(Sheet1!N505,"AAAAAGqyX3Y=")</f>
        <v>#VALUE!</v>
      </c>
      <c r="DP38" t="e">
        <f>AND(Sheet1!#REF!,"AAAAAGqyX3c=")</f>
        <v>#REF!</v>
      </c>
      <c r="DQ38" t="e">
        <f>AND(Sheet1!#REF!,"AAAAAGqyX3g=")</f>
        <v>#REF!</v>
      </c>
      <c r="DR38" t="e">
        <f>AND(Sheet1!#REF!,"AAAAAGqyX3k=")</f>
        <v>#REF!</v>
      </c>
      <c r="DS38" t="e">
        <f>AND(Sheet1!#REF!,"AAAAAGqyX3o=")</f>
        <v>#REF!</v>
      </c>
      <c r="DT38">
        <f>IF(Sheet1!506:506,"AAAAAGqyX3s=",0)</f>
        <v>0</v>
      </c>
      <c r="DU38" t="e">
        <f>AND(Sheet1!A506,"AAAAAGqyX3w=")</f>
        <v>#VALUE!</v>
      </c>
      <c r="DV38" t="e">
        <f>AND(Sheet1!B506,"AAAAAGqyX30=")</f>
        <v>#VALUE!</v>
      </c>
      <c r="DW38" t="e">
        <f>AND(Sheet1!C506,"AAAAAGqyX34=")</f>
        <v>#VALUE!</v>
      </c>
      <c r="DX38" t="e">
        <f>AND(Sheet1!D506,"AAAAAGqyX38=")</f>
        <v>#VALUE!</v>
      </c>
      <c r="DY38" t="e">
        <f>AND(Sheet1!E506,"AAAAAGqyX4A=")</f>
        <v>#VALUE!</v>
      </c>
      <c r="DZ38" t="e">
        <f>AND(Sheet1!F506,"AAAAAGqyX4E=")</f>
        <v>#VALUE!</v>
      </c>
      <c r="EA38" t="e">
        <f>AND(Sheet1!G506,"AAAAAGqyX4I=")</f>
        <v>#VALUE!</v>
      </c>
      <c r="EB38" t="e">
        <f>AND(Sheet1!H506,"AAAAAGqyX4M=")</f>
        <v>#VALUE!</v>
      </c>
      <c r="EC38" t="e">
        <f>AND(Sheet1!I506,"AAAAAGqyX4Q=")</f>
        <v>#VALUE!</v>
      </c>
      <c r="ED38" t="e">
        <f>AND(Sheet1!J506,"AAAAAGqyX4U=")</f>
        <v>#VALUE!</v>
      </c>
      <c r="EE38" t="e">
        <f>AND(Sheet1!K506,"AAAAAGqyX4Y=")</f>
        <v>#VALUE!</v>
      </c>
      <c r="EF38" t="e">
        <f>AND(Sheet1!L506,"AAAAAGqyX4c=")</f>
        <v>#VALUE!</v>
      </c>
      <c r="EG38" t="e">
        <f>AND(Sheet1!M506,"AAAAAGqyX4g=")</f>
        <v>#VALUE!</v>
      </c>
      <c r="EH38" t="e">
        <f>AND(Sheet1!N506,"AAAAAGqyX4k=")</f>
        <v>#VALUE!</v>
      </c>
      <c r="EI38" t="e">
        <f>AND(Sheet1!#REF!,"AAAAAGqyX4o=")</f>
        <v>#REF!</v>
      </c>
      <c r="EJ38" t="e">
        <f>AND(Sheet1!#REF!,"AAAAAGqyX4s=")</f>
        <v>#REF!</v>
      </c>
      <c r="EK38" t="e">
        <f>AND(Sheet1!#REF!,"AAAAAGqyX4w=")</f>
        <v>#REF!</v>
      </c>
      <c r="EL38" t="e">
        <f>AND(Sheet1!#REF!,"AAAAAGqyX40=")</f>
        <v>#REF!</v>
      </c>
      <c r="EM38">
        <f>IF(Sheet1!507:507,"AAAAAGqyX44=",0)</f>
        <v>0</v>
      </c>
      <c r="EN38" t="e">
        <f>AND(Sheet1!A507,"AAAAAGqyX48=")</f>
        <v>#VALUE!</v>
      </c>
      <c r="EO38" t="e">
        <f>AND(Sheet1!B507,"AAAAAGqyX5A=")</f>
        <v>#VALUE!</v>
      </c>
      <c r="EP38" t="e">
        <f>AND(Sheet1!C507,"AAAAAGqyX5E=")</f>
        <v>#VALUE!</v>
      </c>
      <c r="EQ38" t="e">
        <f>AND(Sheet1!D507,"AAAAAGqyX5I=")</f>
        <v>#VALUE!</v>
      </c>
      <c r="ER38" t="e">
        <f>AND(Sheet1!E507,"AAAAAGqyX5M=")</f>
        <v>#VALUE!</v>
      </c>
      <c r="ES38" t="e">
        <f>AND(Sheet1!F507,"AAAAAGqyX5Q=")</f>
        <v>#VALUE!</v>
      </c>
      <c r="ET38" t="e">
        <f>AND(Sheet1!G507,"AAAAAGqyX5U=")</f>
        <v>#VALUE!</v>
      </c>
      <c r="EU38" t="e">
        <f>AND(Sheet1!H507,"AAAAAGqyX5Y=")</f>
        <v>#VALUE!</v>
      </c>
      <c r="EV38" t="e">
        <f>AND(Sheet1!I507,"AAAAAGqyX5c=")</f>
        <v>#VALUE!</v>
      </c>
      <c r="EW38" t="e">
        <f>AND(Sheet1!J507,"AAAAAGqyX5g=")</f>
        <v>#VALUE!</v>
      </c>
      <c r="EX38" t="e">
        <f>AND(Sheet1!K507,"AAAAAGqyX5k=")</f>
        <v>#VALUE!</v>
      </c>
      <c r="EY38" t="e">
        <f>AND(Sheet1!L507,"AAAAAGqyX5o=")</f>
        <v>#VALUE!</v>
      </c>
      <c r="EZ38" t="e">
        <f>AND(Sheet1!M507,"AAAAAGqyX5s=")</f>
        <v>#VALUE!</v>
      </c>
      <c r="FA38" t="e">
        <f>AND(Sheet1!N507,"AAAAAGqyX5w=")</f>
        <v>#VALUE!</v>
      </c>
      <c r="FB38" t="e">
        <f>AND(Sheet1!#REF!,"AAAAAGqyX50=")</f>
        <v>#REF!</v>
      </c>
      <c r="FC38" t="e">
        <f>AND(Sheet1!#REF!,"AAAAAGqyX54=")</f>
        <v>#REF!</v>
      </c>
      <c r="FD38" t="e">
        <f>AND(Sheet1!#REF!,"AAAAAGqyX58=")</f>
        <v>#REF!</v>
      </c>
      <c r="FE38" t="e">
        <f>AND(Sheet1!#REF!,"AAAAAGqyX6A=")</f>
        <v>#REF!</v>
      </c>
      <c r="FF38">
        <f>IF(Sheet1!508:508,"AAAAAGqyX6E=",0)</f>
        <v>0</v>
      </c>
      <c r="FG38" t="e">
        <f>AND(Sheet1!A508,"AAAAAGqyX6I=")</f>
        <v>#VALUE!</v>
      </c>
      <c r="FH38" t="e">
        <f>AND(Sheet1!B508,"AAAAAGqyX6M=")</f>
        <v>#VALUE!</v>
      </c>
      <c r="FI38" t="e">
        <f>AND(Sheet1!C508,"AAAAAGqyX6Q=")</f>
        <v>#VALUE!</v>
      </c>
      <c r="FJ38" t="e">
        <f>AND(Sheet1!D508,"AAAAAGqyX6U=")</f>
        <v>#VALUE!</v>
      </c>
      <c r="FK38" t="e">
        <f>AND(Sheet1!E508,"AAAAAGqyX6Y=")</f>
        <v>#VALUE!</v>
      </c>
      <c r="FL38" t="e">
        <f>AND(Sheet1!F508,"AAAAAGqyX6c=")</f>
        <v>#VALUE!</v>
      </c>
      <c r="FM38" t="e">
        <f>AND(Sheet1!G508,"AAAAAGqyX6g=")</f>
        <v>#VALUE!</v>
      </c>
      <c r="FN38" t="e">
        <f>AND(Sheet1!H508,"AAAAAGqyX6k=")</f>
        <v>#VALUE!</v>
      </c>
      <c r="FO38" t="e">
        <f>AND(Sheet1!I508,"AAAAAGqyX6o=")</f>
        <v>#VALUE!</v>
      </c>
      <c r="FP38" t="e">
        <f>AND(Sheet1!J508,"AAAAAGqyX6s=")</f>
        <v>#VALUE!</v>
      </c>
      <c r="FQ38" t="e">
        <f>AND(Sheet1!K508,"AAAAAGqyX6w=")</f>
        <v>#VALUE!</v>
      </c>
      <c r="FR38" t="e">
        <f>AND(Sheet1!L508,"AAAAAGqyX60=")</f>
        <v>#VALUE!</v>
      </c>
      <c r="FS38" t="e">
        <f>AND(Sheet1!M508,"AAAAAGqyX64=")</f>
        <v>#VALUE!</v>
      </c>
      <c r="FT38" t="e">
        <f>AND(Sheet1!N508,"AAAAAGqyX68=")</f>
        <v>#VALUE!</v>
      </c>
      <c r="FU38" t="e">
        <f>AND(Sheet1!#REF!,"AAAAAGqyX7A=")</f>
        <v>#REF!</v>
      </c>
      <c r="FV38" t="e">
        <f>AND(Sheet1!#REF!,"AAAAAGqyX7E=")</f>
        <v>#REF!</v>
      </c>
      <c r="FW38" t="e">
        <f>AND(Sheet1!#REF!,"AAAAAGqyX7I=")</f>
        <v>#REF!</v>
      </c>
      <c r="FX38" t="e">
        <f>AND(Sheet1!#REF!,"AAAAAGqyX7M=")</f>
        <v>#REF!</v>
      </c>
      <c r="FY38">
        <f>IF(Sheet1!509:509,"AAAAAGqyX7Q=",0)</f>
        <v>0</v>
      </c>
      <c r="FZ38" t="e">
        <f>AND(Sheet1!A509,"AAAAAGqyX7U=")</f>
        <v>#VALUE!</v>
      </c>
      <c r="GA38" t="e">
        <f>AND(Sheet1!B509,"AAAAAGqyX7Y=")</f>
        <v>#VALUE!</v>
      </c>
      <c r="GB38" t="e">
        <f>AND(Sheet1!C509,"AAAAAGqyX7c=")</f>
        <v>#VALUE!</v>
      </c>
      <c r="GC38" t="e">
        <f>AND(Sheet1!D509,"AAAAAGqyX7g=")</f>
        <v>#VALUE!</v>
      </c>
      <c r="GD38" t="e">
        <f>AND(Sheet1!E509,"AAAAAGqyX7k=")</f>
        <v>#VALUE!</v>
      </c>
      <c r="GE38" t="e">
        <f>AND(Sheet1!F509,"AAAAAGqyX7o=")</f>
        <v>#VALUE!</v>
      </c>
      <c r="GF38" t="e">
        <f>AND(Sheet1!G509,"AAAAAGqyX7s=")</f>
        <v>#VALUE!</v>
      </c>
      <c r="GG38" t="e">
        <f>AND(Sheet1!H509,"AAAAAGqyX7w=")</f>
        <v>#VALUE!</v>
      </c>
      <c r="GH38" t="e">
        <f>AND(Sheet1!I509,"AAAAAGqyX70=")</f>
        <v>#VALUE!</v>
      </c>
      <c r="GI38" t="e">
        <f>AND(Sheet1!J509,"AAAAAGqyX74=")</f>
        <v>#VALUE!</v>
      </c>
      <c r="GJ38" t="e">
        <f>AND(Sheet1!K509,"AAAAAGqyX78=")</f>
        <v>#VALUE!</v>
      </c>
      <c r="GK38" t="e">
        <f>AND(Sheet1!L509,"AAAAAGqyX8A=")</f>
        <v>#VALUE!</v>
      </c>
      <c r="GL38" t="e">
        <f>AND(Sheet1!M509,"AAAAAGqyX8E=")</f>
        <v>#VALUE!</v>
      </c>
      <c r="GM38" t="e">
        <f>AND(Sheet1!N509,"AAAAAGqyX8I=")</f>
        <v>#VALUE!</v>
      </c>
      <c r="GN38" t="e">
        <f>AND(Sheet1!#REF!,"AAAAAGqyX8M=")</f>
        <v>#REF!</v>
      </c>
      <c r="GO38" t="e">
        <f>AND(Sheet1!#REF!,"AAAAAGqyX8Q=")</f>
        <v>#REF!</v>
      </c>
      <c r="GP38" t="e">
        <f>AND(Sheet1!#REF!,"AAAAAGqyX8U=")</f>
        <v>#REF!</v>
      </c>
      <c r="GQ38" t="e">
        <f>AND(Sheet1!#REF!,"AAAAAGqyX8Y=")</f>
        <v>#REF!</v>
      </c>
      <c r="GR38">
        <f>IF(Sheet1!510:510,"AAAAAGqyX8c=",0)</f>
        <v>0</v>
      </c>
      <c r="GS38" t="e">
        <f>AND(Sheet1!A510,"AAAAAGqyX8g=")</f>
        <v>#VALUE!</v>
      </c>
      <c r="GT38" t="e">
        <f>AND(Sheet1!B510,"AAAAAGqyX8k=")</f>
        <v>#VALUE!</v>
      </c>
      <c r="GU38" t="e">
        <f>AND(Sheet1!C510,"AAAAAGqyX8o=")</f>
        <v>#VALUE!</v>
      </c>
      <c r="GV38" t="e">
        <f>AND(Sheet1!D510,"AAAAAGqyX8s=")</f>
        <v>#VALUE!</v>
      </c>
      <c r="GW38" t="e">
        <f>AND(Sheet1!E510,"AAAAAGqyX8w=")</f>
        <v>#VALUE!</v>
      </c>
      <c r="GX38" t="e">
        <f>AND(Sheet1!F510,"AAAAAGqyX80=")</f>
        <v>#VALUE!</v>
      </c>
      <c r="GY38" t="e">
        <f>AND(Sheet1!G510,"AAAAAGqyX84=")</f>
        <v>#VALUE!</v>
      </c>
      <c r="GZ38" t="e">
        <f>AND(Sheet1!H510,"AAAAAGqyX88=")</f>
        <v>#VALUE!</v>
      </c>
      <c r="HA38" t="e">
        <f>AND(Sheet1!I510,"AAAAAGqyX9A=")</f>
        <v>#VALUE!</v>
      </c>
      <c r="HB38" t="e">
        <f>AND(Sheet1!J510,"AAAAAGqyX9E=")</f>
        <v>#VALUE!</v>
      </c>
      <c r="HC38" t="e">
        <f>AND(Sheet1!K510,"AAAAAGqyX9I=")</f>
        <v>#VALUE!</v>
      </c>
      <c r="HD38" t="e">
        <f>AND(Sheet1!L510,"AAAAAGqyX9M=")</f>
        <v>#VALUE!</v>
      </c>
      <c r="HE38" t="e">
        <f>AND(Sheet1!M510,"AAAAAGqyX9Q=")</f>
        <v>#VALUE!</v>
      </c>
      <c r="HF38" t="e">
        <f>AND(Sheet1!N510,"AAAAAGqyX9U=")</f>
        <v>#VALUE!</v>
      </c>
      <c r="HG38" t="e">
        <f>AND(Sheet1!#REF!,"AAAAAGqyX9Y=")</f>
        <v>#REF!</v>
      </c>
      <c r="HH38" t="e">
        <f>AND(Sheet1!#REF!,"AAAAAGqyX9c=")</f>
        <v>#REF!</v>
      </c>
      <c r="HI38" t="e">
        <f>AND(Sheet1!#REF!,"AAAAAGqyX9g=")</f>
        <v>#REF!</v>
      </c>
      <c r="HJ38" t="e">
        <f>AND(Sheet1!#REF!,"AAAAAGqyX9k=")</f>
        <v>#REF!</v>
      </c>
      <c r="HK38">
        <f>IF(Sheet1!511:511,"AAAAAGqyX9o=",0)</f>
        <v>0</v>
      </c>
      <c r="HL38" t="e">
        <f>AND(Sheet1!A511,"AAAAAGqyX9s=")</f>
        <v>#VALUE!</v>
      </c>
      <c r="HM38" t="e">
        <f>AND(Sheet1!B511,"AAAAAGqyX9w=")</f>
        <v>#VALUE!</v>
      </c>
      <c r="HN38" t="e">
        <f>AND(Sheet1!C511,"AAAAAGqyX90=")</f>
        <v>#VALUE!</v>
      </c>
      <c r="HO38" t="e">
        <f>AND(Sheet1!D511,"AAAAAGqyX94=")</f>
        <v>#VALUE!</v>
      </c>
      <c r="HP38" t="e">
        <f>AND(Sheet1!E511,"AAAAAGqyX98=")</f>
        <v>#VALUE!</v>
      </c>
      <c r="HQ38" t="e">
        <f>AND(Sheet1!F511,"AAAAAGqyX+A=")</f>
        <v>#VALUE!</v>
      </c>
      <c r="HR38" t="e">
        <f>AND(Sheet1!G511,"AAAAAGqyX+E=")</f>
        <v>#VALUE!</v>
      </c>
      <c r="HS38" t="e">
        <f>AND(Sheet1!H511,"AAAAAGqyX+I=")</f>
        <v>#VALUE!</v>
      </c>
      <c r="HT38" t="e">
        <f>AND(Sheet1!I511,"AAAAAGqyX+M=")</f>
        <v>#VALUE!</v>
      </c>
      <c r="HU38" t="e">
        <f>AND(Sheet1!J511,"AAAAAGqyX+Q=")</f>
        <v>#VALUE!</v>
      </c>
      <c r="HV38" t="e">
        <f>AND(Sheet1!K511,"AAAAAGqyX+U=")</f>
        <v>#VALUE!</v>
      </c>
      <c r="HW38" t="e">
        <f>AND(Sheet1!L511,"AAAAAGqyX+Y=")</f>
        <v>#VALUE!</v>
      </c>
      <c r="HX38" t="e">
        <f>AND(Sheet1!M511,"AAAAAGqyX+c=")</f>
        <v>#VALUE!</v>
      </c>
      <c r="HY38" t="e">
        <f>AND(Sheet1!N511,"AAAAAGqyX+g=")</f>
        <v>#VALUE!</v>
      </c>
      <c r="HZ38" t="e">
        <f>AND(Sheet1!#REF!,"AAAAAGqyX+k=")</f>
        <v>#REF!</v>
      </c>
      <c r="IA38" t="e">
        <f>AND(Sheet1!#REF!,"AAAAAGqyX+o=")</f>
        <v>#REF!</v>
      </c>
      <c r="IB38" t="e">
        <f>AND(Sheet1!#REF!,"AAAAAGqyX+s=")</f>
        <v>#REF!</v>
      </c>
      <c r="IC38" t="e">
        <f>AND(Sheet1!#REF!,"AAAAAGqyX+w=")</f>
        <v>#REF!</v>
      </c>
      <c r="ID38">
        <f>IF(Sheet1!512:512,"AAAAAGqyX+0=",0)</f>
        <v>0</v>
      </c>
      <c r="IE38" t="e">
        <f>AND(Sheet1!A512,"AAAAAGqyX+4=")</f>
        <v>#VALUE!</v>
      </c>
      <c r="IF38" t="e">
        <f>AND(Sheet1!B512,"AAAAAGqyX+8=")</f>
        <v>#VALUE!</v>
      </c>
      <c r="IG38" t="e">
        <f>AND(Sheet1!C512,"AAAAAGqyX/A=")</f>
        <v>#VALUE!</v>
      </c>
      <c r="IH38" t="e">
        <f>AND(Sheet1!D512,"AAAAAGqyX/E=")</f>
        <v>#VALUE!</v>
      </c>
      <c r="II38" t="e">
        <f>AND(Sheet1!E512,"AAAAAGqyX/I=")</f>
        <v>#VALUE!</v>
      </c>
      <c r="IJ38" t="e">
        <f>AND(Sheet1!F512,"AAAAAGqyX/M=")</f>
        <v>#VALUE!</v>
      </c>
      <c r="IK38" t="e">
        <f>AND(Sheet1!G512,"AAAAAGqyX/Q=")</f>
        <v>#VALUE!</v>
      </c>
      <c r="IL38" t="e">
        <f>AND(Sheet1!H512,"AAAAAGqyX/U=")</f>
        <v>#VALUE!</v>
      </c>
      <c r="IM38" t="e">
        <f>AND(Sheet1!I512,"AAAAAGqyX/Y=")</f>
        <v>#VALUE!</v>
      </c>
      <c r="IN38" t="e">
        <f>AND(Sheet1!J512,"AAAAAGqyX/c=")</f>
        <v>#VALUE!</v>
      </c>
      <c r="IO38" t="e">
        <f>AND(Sheet1!K512,"AAAAAGqyX/g=")</f>
        <v>#VALUE!</v>
      </c>
      <c r="IP38" t="e">
        <f>AND(Sheet1!L512,"AAAAAGqyX/k=")</f>
        <v>#VALUE!</v>
      </c>
      <c r="IQ38" t="e">
        <f>AND(Sheet1!M512,"AAAAAGqyX/o=")</f>
        <v>#VALUE!</v>
      </c>
      <c r="IR38" t="e">
        <f>AND(Sheet1!N512,"AAAAAGqyX/s=")</f>
        <v>#VALUE!</v>
      </c>
      <c r="IS38" t="e">
        <f>AND(Sheet1!#REF!,"AAAAAGqyX/w=")</f>
        <v>#REF!</v>
      </c>
      <c r="IT38" t="e">
        <f>AND(Sheet1!#REF!,"AAAAAGqyX/0=")</f>
        <v>#REF!</v>
      </c>
      <c r="IU38" t="e">
        <f>AND(Sheet1!#REF!,"AAAAAGqyX/4=")</f>
        <v>#REF!</v>
      </c>
      <c r="IV38" t="e">
        <f>AND(Sheet1!#REF!,"AAAAAGqyX/8=")</f>
        <v>#REF!</v>
      </c>
    </row>
    <row r="39" spans="1:256" x14ac:dyDescent="0.2">
      <c r="A39" t="e">
        <f>IF(Sheet1!513:513,"AAAAAGjnfwA=",0)</f>
        <v>#VALUE!</v>
      </c>
      <c r="B39" t="e">
        <f>AND(Sheet1!A513,"AAAAAGjnfwE=")</f>
        <v>#VALUE!</v>
      </c>
      <c r="C39" t="e">
        <f>AND(Sheet1!B513,"AAAAAGjnfwI=")</f>
        <v>#VALUE!</v>
      </c>
      <c r="D39" t="e">
        <f>AND(Sheet1!C513,"AAAAAGjnfwM=")</f>
        <v>#VALUE!</v>
      </c>
      <c r="E39" t="e">
        <f>AND(Sheet1!D513,"AAAAAGjnfwQ=")</f>
        <v>#VALUE!</v>
      </c>
      <c r="F39" t="e">
        <f>AND(Sheet1!E513,"AAAAAGjnfwU=")</f>
        <v>#VALUE!</v>
      </c>
      <c r="G39" t="e">
        <f>AND(Sheet1!F513,"AAAAAGjnfwY=")</f>
        <v>#VALUE!</v>
      </c>
      <c r="H39" t="e">
        <f>AND(Sheet1!G513,"AAAAAGjnfwc=")</f>
        <v>#VALUE!</v>
      </c>
      <c r="I39" t="e">
        <f>AND(Sheet1!H513,"AAAAAGjnfwg=")</f>
        <v>#VALUE!</v>
      </c>
      <c r="J39" t="e">
        <f>AND(Sheet1!I513,"AAAAAGjnfwk=")</f>
        <v>#VALUE!</v>
      </c>
      <c r="K39" t="e">
        <f>AND(Sheet1!J513,"AAAAAGjnfwo=")</f>
        <v>#VALUE!</v>
      </c>
      <c r="L39" t="e">
        <f>AND(Sheet1!K513,"AAAAAGjnfws=")</f>
        <v>#VALUE!</v>
      </c>
      <c r="M39" t="e">
        <f>AND(Sheet1!L513,"AAAAAGjnfww=")</f>
        <v>#VALUE!</v>
      </c>
      <c r="N39" t="e">
        <f>AND(Sheet1!M513,"AAAAAGjnfw0=")</f>
        <v>#VALUE!</v>
      </c>
      <c r="O39" t="e">
        <f>AND(Sheet1!N513,"AAAAAGjnfw4=")</f>
        <v>#VALUE!</v>
      </c>
      <c r="P39" t="e">
        <f>AND(Sheet1!#REF!,"AAAAAGjnfw8=")</f>
        <v>#REF!</v>
      </c>
      <c r="Q39" t="e">
        <f>AND(Sheet1!#REF!,"AAAAAGjnfxA=")</f>
        <v>#REF!</v>
      </c>
      <c r="R39" t="e">
        <f>AND(Sheet1!#REF!,"AAAAAGjnfxE=")</f>
        <v>#REF!</v>
      </c>
      <c r="S39" t="e">
        <f>AND(Sheet1!#REF!,"AAAAAGjnfxI=")</f>
        <v>#REF!</v>
      </c>
      <c r="T39">
        <f>IF(Sheet1!514:514,"AAAAAGjnfxM=",0)</f>
        <v>0</v>
      </c>
      <c r="U39" t="e">
        <f>AND(Sheet1!A514,"AAAAAGjnfxQ=")</f>
        <v>#VALUE!</v>
      </c>
      <c r="V39" t="e">
        <f>AND(Sheet1!B514,"AAAAAGjnfxU=")</f>
        <v>#VALUE!</v>
      </c>
      <c r="W39" t="e">
        <f>AND(Sheet1!C514,"AAAAAGjnfxY=")</f>
        <v>#VALUE!</v>
      </c>
      <c r="X39" t="e">
        <f>AND(Sheet1!D514,"AAAAAGjnfxc=")</f>
        <v>#VALUE!</v>
      </c>
      <c r="Y39" t="e">
        <f>AND(Sheet1!E514,"AAAAAGjnfxg=")</f>
        <v>#VALUE!</v>
      </c>
      <c r="Z39" t="e">
        <f>AND(Sheet1!F514,"AAAAAGjnfxk=")</f>
        <v>#VALUE!</v>
      </c>
      <c r="AA39" t="e">
        <f>AND(Sheet1!G514,"AAAAAGjnfxo=")</f>
        <v>#VALUE!</v>
      </c>
      <c r="AB39" t="e">
        <f>AND(Sheet1!H514,"AAAAAGjnfxs=")</f>
        <v>#VALUE!</v>
      </c>
      <c r="AC39" t="e">
        <f>AND(Sheet1!I514,"AAAAAGjnfxw=")</f>
        <v>#VALUE!</v>
      </c>
      <c r="AD39" t="e">
        <f>AND(Sheet1!J514,"AAAAAGjnfx0=")</f>
        <v>#VALUE!</v>
      </c>
      <c r="AE39" t="e">
        <f>AND(Sheet1!K514,"AAAAAGjnfx4=")</f>
        <v>#VALUE!</v>
      </c>
      <c r="AF39" t="e">
        <f>AND(Sheet1!L514,"AAAAAGjnfx8=")</f>
        <v>#VALUE!</v>
      </c>
      <c r="AG39" t="e">
        <f>AND(Sheet1!M514,"AAAAAGjnfyA=")</f>
        <v>#VALUE!</v>
      </c>
      <c r="AH39" t="e">
        <f>AND(Sheet1!N514,"AAAAAGjnfyE=")</f>
        <v>#VALUE!</v>
      </c>
      <c r="AI39" t="e">
        <f>AND(Sheet1!#REF!,"AAAAAGjnfyI=")</f>
        <v>#REF!</v>
      </c>
      <c r="AJ39" t="e">
        <f>AND(Sheet1!#REF!,"AAAAAGjnfyM=")</f>
        <v>#REF!</v>
      </c>
      <c r="AK39" t="e">
        <f>AND(Sheet1!#REF!,"AAAAAGjnfyQ=")</f>
        <v>#REF!</v>
      </c>
      <c r="AL39" t="e">
        <f>AND(Sheet1!#REF!,"AAAAAGjnfyU=")</f>
        <v>#REF!</v>
      </c>
      <c r="AM39">
        <f>IF(Sheet1!515:515,"AAAAAGjnfyY=",0)</f>
        <v>0</v>
      </c>
      <c r="AN39" t="e">
        <f>AND(Sheet1!A515,"AAAAAGjnfyc=")</f>
        <v>#VALUE!</v>
      </c>
      <c r="AO39" t="e">
        <f>AND(Sheet1!B515,"AAAAAGjnfyg=")</f>
        <v>#VALUE!</v>
      </c>
      <c r="AP39" t="e">
        <f>AND(Sheet1!C515,"AAAAAGjnfyk=")</f>
        <v>#VALUE!</v>
      </c>
      <c r="AQ39" t="e">
        <f>AND(Sheet1!D515,"AAAAAGjnfyo=")</f>
        <v>#VALUE!</v>
      </c>
      <c r="AR39" t="e">
        <f>AND(Sheet1!E515,"AAAAAGjnfys=")</f>
        <v>#VALUE!</v>
      </c>
      <c r="AS39" t="e">
        <f>AND(Sheet1!F515,"AAAAAGjnfyw=")</f>
        <v>#VALUE!</v>
      </c>
      <c r="AT39" t="e">
        <f>AND(Sheet1!G515,"AAAAAGjnfy0=")</f>
        <v>#VALUE!</v>
      </c>
      <c r="AU39" t="e">
        <f>AND(Sheet1!H515,"AAAAAGjnfy4=")</f>
        <v>#VALUE!</v>
      </c>
      <c r="AV39" t="e">
        <f>AND(Sheet1!I515,"AAAAAGjnfy8=")</f>
        <v>#VALUE!</v>
      </c>
      <c r="AW39" t="e">
        <f>AND(Sheet1!J515,"AAAAAGjnfzA=")</f>
        <v>#VALUE!</v>
      </c>
      <c r="AX39" t="e">
        <f>AND(Sheet1!K515,"AAAAAGjnfzE=")</f>
        <v>#VALUE!</v>
      </c>
      <c r="AY39" t="e">
        <f>AND(Sheet1!L515,"AAAAAGjnfzI=")</f>
        <v>#VALUE!</v>
      </c>
      <c r="AZ39" t="e">
        <f>AND(Sheet1!M515,"AAAAAGjnfzM=")</f>
        <v>#VALUE!</v>
      </c>
      <c r="BA39" t="e">
        <f>AND(Sheet1!N515,"AAAAAGjnfzQ=")</f>
        <v>#VALUE!</v>
      </c>
      <c r="BB39" t="e">
        <f>AND(Sheet1!#REF!,"AAAAAGjnfzU=")</f>
        <v>#REF!</v>
      </c>
      <c r="BC39" t="e">
        <f>AND(Sheet1!#REF!,"AAAAAGjnfzY=")</f>
        <v>#REF!</v>
      </c>
      <c r="BD39" t="e">
        <f>AND(Sheet1!#REF!,"AAAAAGjnfzc=")</f>
        <v>#REF!</v>
      </c>
      <c r="BE39" t="e">
        <f>AND(Sheet1!#REF!,"AAAAAGjnfzg=")</f>
        <v>#REF!</v>
      </c>
      <c r="BF39">
        <f>IF(Sheet1!516:516,"AAAAAGjnfzk=",0)</f>
        <v>0</v>
      </c>
      <c r="BG39" t="e">
        <f>AND(Sheet1!A516,"AAAAAGjnfzo=")</f>
        <v>#VALUE!</v>
      </c>
      <c r="BH39" t="e">
        <f>AND(Sheet1!B516,"AAAAAGjnfzs=")</f>
        <v>#VALUE!</v>
      </c>
      <c r="BI39" t="e">
        <f>AND(Sheet1!C516,"AAAAAGjnfzw=")</f>
        <v>#VALUE!</v>
      </c>
      <c r="BJ39" t="e">
        <f>AND(Sheet1!D516,"AAAAAGjnfz0=")</f>
        <v>#VALUE!</v>
      </c>
      <c r="BK39" t="e">
        <f>AND(Sheet1!E516,"AAAAAGjnfz4=")</f>
        <v>#VALUE!</v>
      </c>
      <c r="BL39" t="e">
        <f>AND(Sheet1!F516,"AAAAAGjnfz8=")</f>
        <v>#VALUE!</v>
      </c>
      <c r="BM39" t="e">
        <f>AND(Sheet1!G516,"AAAAAGjnf0A=")</f>
        <v>#VALUE!</v>
      </c>
      <c r="BN39" t="e">
        <f>AND(Sheet1!H516,"AAAAAGjnf0E=")</f>
        <v>#VALUE!</v>
      </c>
      <c r="BO39" t="e">
        <f>AND(Sheet1!I516,"AAAAAGjnf0I=")</f>
        <v>#VALUE!</v>
      </c>
      <c r="BP39" t="e">
        <f>AND(Sheet1!J516,"AAAAAGjnf0M=")</f>
        <v>#VALUE!</v>
      </c>
      <c r="BQ39" t="e">
        <f>AND(Sheet1!K516,"AAAAAGjnf0Q=")</f>
        <v>#VALUE!</v>
      </c>
      <c r="BR39" t="e">
        <f>AND(Sheet1!L516,"AAAAAGjnf0U=")</f>
        <v>#VALUE!</v>
      </c>
      <c r="BS39" t="e">
        <f>AND(Sheet1!M516,"AAAAAGjnf0Y=")</f>
        <v>#VALUE!</v>
      </c>
      <c r="BT39" t="e">
        <f>AND(Sheet1!N516,"AAAAAGjnf0c=")</f>
        <v>#VALUE!</v>
      </c>
      <c r="BU39" t="e">
        <f>AND(Sheet1!#REF!,"AAAAAGjnf0g=")</f>
        <v>#REF!</v>
      </c>
      <c r="BV39" t="e">
        <f>AND(Sheet1!#REF!,"AAAAAGjnf0k=")</f>
        <v>#REF!</v>
      </c>
      <c r="BW39" t="e">
        <f>AND(Sheet1!#REF!,"AAAAAGjnf0o=")</f>
        <v>#REF!</v>
      </c>
      <c r="BX39" t="e">
        <f>AND(Sheet1!#REF!,"AAAAAGjnf0s=")</f>
        <v>#REF!</v>
      </c>
      <c r="BY39">
        <f>IF(Sheet1!517:517,"AAAAAGjnf0w=",0)</f>
        <v>0</v>
      </c>
      <c r="BZ39" t="e">
        <f>AND(Sheet1!A517,"AAAAAGjnf00=")</f>
        <v>#VALUE!</v>
      </c>
      <c r="CA39" t="e">
        <f>AND(Sheet1!B517,"AAAAAGjnf04=")</f>
        <v>#VALUE!</v>
      </c>
      <c r="CB39" t="e">
        <f>AND(Sheet1!C517,"AAAAAGjnf08=")</f>
        <v>#VALUE!</v>
      </c>
      <c r="CC39" t="e">
        <f>AND(Sheet1!D517,"AAAAAGjnf1A=")</f>
        <v>#VALUE!</v>
      </c>
      <c r="CD39" t="e">
        <f>AND(Sheet1!E517,"AAAAAGjnf1E=")</f>
        <v>#VALUE!</v>
      </c>
      <c r="CE39" t="e">
        <f>AND(Sheet1!F517,"AAAAAGjnf1I=")</f>
        <v>#VALUE!</v>
      </c>
      <c r="CF39" t="e">
        <f>AND(Sheet1!G517,"AAAAAGjnf1M=")</f>
        <v>#VALUE!</v>
      </c>
      <c r="CG39" t="e">
        <f>AND(Sheet1!H517,"AAAAAGjnf1Q=")</f>
        <v>#VALUE!</v>
      </c>
      <c r="CH39" t="e">
        <f>AND(Sheet1!I517,"AAAAAGjnf1U=")</f>
        <v>#VALUE!</v>
      </c>
      <c r="CI39" t="e">
        <f>AND(Sheet1!J517,"AAAAAGjnf1Y=")</f>
        <v>#VALUE!</v>
      </c>
      <c r="CJ39" t="e">
        <f>AND(Sheet1!K517,"AAAAAGjnf1c=")</f>
        <v>#VALUE!</v>
      </c>
      <c r="CK39" t="e">
        <f>AND(Sheet1!L517,"AAAAAGjnf1g=")</f>
        <v>#VALUE!</v>
      </c>
      <c r="CL39" t="e">
        <f>AND(Sheet1!M517,"AAAAAGjnf1k=")</f>
        <v>#VALUE!</v>
      </c>
      <c r="CM39" t="e">
        <f>AND(Sheet1!N517,"AAAAAGjnf1o=")</f>
        <v>#VALUE!</v>
      </c>
      <c r="CN39" t="e">
        <f>AND(Sheet1!#REF!,"AAAAAGjnf1s=")</f>
        <v>#REF!</v>
      </c>
      <c r="CO39" t="e">
        <f>AND(Sheet1!#REF!,"AAAAAGjnf1w=")</f>
        <v>#REF!</v>
      </c>
      <c r="CP39" t="e">
        <f>AND(Sheet1!#REF!,"AAAAAGjnf10=")</f>
        <v>#REF!</v>
      </c>
      <c r="CQ39" t="e">
        <f>AND(Sheet1!#REF!,"AAAAAGjnf14=")</f>
        <v>#REF!</v>
      </c>
      <c r="CR39">
        <f>IF(Sheet1!518:518,"AAAAAGjnf18=",0)</f>
        <v>0</v>
      </c>
      <c r="CS39" t="e">
        <f>AND(Sheet1!A518,"AAAAAGjnf2A=")</f>
        <v>#VALUE!</v>
      </c>
      <c r="CT39" t="e">
        <f>AND(Sheet1!B518,"AAAAAGjnf2E=")</f>
        <v>#VALUE!</v>
      </c>
      <c r="CU39" t="e">
        <f>AND(Sheet1!C518,"AAAAAGjnf2I=")</f>
        <v>#VALUE!</v>
      </c>
      <c r="CV39" t="e">
        <f>AND(Sheet1!D518,"AAAAAGjnf2M=")</f>
        <v>#VALUE!</v>
      </c>
      <c r="CW39" t="e">
        <f>AND(Sheet1!E518,"AAAAAGjnf2Q=")</f>
        <v>#VALUE!</v>
      </c>
      <c r="CX39" t="e">
        <f>AND(Sheet1!F518,"AAAAAGjnf2U=")</f>
        <v>#VALUE!</v>
      </c>
      <c r="CY39" t="e">
        <f>AND(Sheet1!G518,"AAAAAGjnf2Y=")</f>
        <v>#VALUE!</v>
      </c>
      <c r="CZ39" t="e">
        <f>AND(Sheet1!H518,"AAAAAGjnf2c=")</f>
        <v>#VALUE!</v>
      </c>
      <c r="DA39" t="e">
        <f>AND(Sheet1!I518,"AAAAAGjnf2g=")</f>
        <v>#VALUE!</v>
      </c>
      <c r="DB39" t="e">
        <f>AND(Sheet1!J518,"AAAAAGjnf2k=")</f>
        <v>#VALUE!</v>
      </c>
      <c r="DC39" t="e">
        <f>AND(Sheet1!K518,"AAAAAGjnf2o=")</f>
        <v>#VALUE!</v>
      </c>
      <c r="DD39" t="e">
        <f>AND(Sheet1!L518,"AAAAAGjnf2s=")</f>
        <v>#VALUE!</v>
      </c>
      <c r="DE39" t="e">
        <f>AND(Sheet1!M518,"AAAAAGjnf2w=")</f>
        <v>#VALUE!</v>
      </c>
      <c r="DF39" t="e">
        <f>AND(Sheet1!N518,"AAAAAGjnf20=")</f>
        <v>#VALUE!</v>
      </c>
      <c r="DG39" t="e">
        <f>AND(Sheet1!#REF!,"AAAAAGjnf24=")</f>
        <v>#REF!</v>
      </c>
      <c r="DH39" t="e">
        <f>AND(Sheet1!#REF!,"AAAAAGjnf28=")</f>
        <v>#REF!</v>
      </c>
      <c r="DI39" t="e">
        <f>AND(Sheet1!#REF!,"AAAAAGjnf3A=")</f>
        <v>#REF!</v>
      </c>
      <c r="DJ39" t="e">
        <f>AND(Sheet1!#REF!,"AAAAAGjnf3E=")</f>
        <v>#REF!</v>
      </c>
      <c r="DK39">
        <f>IF(Sheet1!519:519,"AAAAAGjnf3I=",0)</f>
        <v>0</v>
      </c>
      <c r="DL39" t="e">
        <f>AND(Sheet1!A519,"AAAAAGjnf3M=")</f>
        <v>#VALUE!</v>
      </c>
      <c r="DM39" t="e">
        <f>AND(Sheet1!B519,"AAAAAGjnf3Q=")</f>
        <v>#VALUE!</v>
      </c>
      <c r="DN39" t="e">
        <f>AND(Sheet1!C519,"AAAAAGjnf3U=")</f>
        <v>#VALUE!</v>
      </c>
      <c r="DO39" t="e">
        <f>AND(Sheet1!D519,"AAAAAGjnf3Y=")</f>
        <v>#VALUE!</v>
      </c>
      <c r="DP39" t="e">
        <f>AND(Sheet1!E519,"AAAAAGjnf3c=")</f>
        <v>#VALUE!</v>
      </c>
      <c r="DQ39" t="e">
        <f>AND(Sheet1!F519,"AAAAAGjnf3g=")</f>
        <v>#VALUE!</v>
      </c>
      <c r="DR39" t="e">
        <f>AND(Sheet1!G519,"AAAAAGjnf3k=")</f>
        <v>#VALUE!</v>
      </c>
      <c r="DS39" t="e">
        <f>AND(Sheet1!H519,"AAAAAGjnf3o=")</f>
        <v>#VALUE!</v>
      </c>
      <c r="DT39" t="e">
        <f>AND(Sheet1!I519,"AAAAAGjnf3s=")</f>
        <v>#VALUE!</v>
      </c>
      <c r="DU39" t="e">
        <f>AND(Sheet1!J519,"AAAAAGjnf3w=")</f>
        <v>#VALUE!</v>
      </c>
      <c r="DV39" t="e">
        <f>AND(Sheet1!K519,"AAAAAGjnf30=")</f>
        <v>#VALUE!</v>
      </c>
      <c r="DW39" t="e">
        <f>AND(Sheet1!L519,"AAAAAGjnf34=")</f>
        <v>#VALUE!</v>
      </c>
      <c r="DX39" t="e">
        <f>AND(Sheet1!M519,"AAAAAGjnf38=")</f>
        <v>#VALUE!</v>
      </c>
      <c r="DY39" t="e">
        <f>AND(Sheet1!N519,"AAAAAGjnf4A=")</f>
        <v>#VALUE!</v>
      </c>
      <c r="DZ39" t="e">
        <f>AND(Sheet1!#REF!,"AAAAAGjnf4E=")</f>
        <v>#REF!</v>
      </c>
      <c r="EA39" t="e">
        <f>AND(Sheet1!#REF!,"AAAAAGjnf4I=")</f>
        <v>#REF!</v>
      </c>
      <c r="EB39" t="e">
        <f>AND(Sheet1!#REF!,"AAAAAGjnf4M=")</f>
        <v>#REF!</v>
      </c>
      <c r="EC39" t="e">
        <f>AND(Sheet1!#REF!,"AAAAAGjnf4Q=")</f>
        <v>#REF!</v>
      </c>
      <c r="ED39">
        <f>IF(Sheet1!520:520,"AAAAAGjnf4U=",0)</f>
        <v>0</v>
      </c>
      <c r="EE39" t="e">
        <f>AND(Sheet1!A520,"AAAAAGjnf4Y=")</f>
        <v>#VALUE!</v>
      </c>
      <c r="EF39" t="e">
        <f>AND(Sheet1!B520,"AAAAAGjnf4c=")</f>
        <v>#VALUE!</v>
      </c>
      <c r="EG39" t="e">
        <f>AND(Sheet1!C520,"AAAAAGjnf4g=")</f>
        <v>#VALUE!</v>
      </c>
      <c r="EH39" t="e">
        <f>AND(Sheet1!D520,"AAAAAGjnf4k=")</f>
        <v>#VALUE!</v>
      </c>
      <c r="EI39" t="e">
        <f>AND(Sheet1!E520,"AAAAAGjnf4o=")</f>
        <v>#VALUE!</v>
      </c>
      <c r="EJ39" t="e">
        <f>AND(Sheet1!F520,"AAAAAGjnf4s=")</f>
        <v>#VALUE!</v>
      </c>
      <c r="EK39" t="e">
        <f>AND(Sheet1!G520,"AAAAAGjnf4w=")</f>
        <v>#VALUE!</v>
      </c>
      <c r="EL39" t="e">
        <f>AND(Sheet1!H520,"AAAAAGjnf40=")</f>
        <v>#VALUE!</v>
      </c>
      <c r="EM39" t="e">
        <f>AND(Sheet1!I520,"AAAAAGjnf44=")</f>
        <v>#VALUE!</v>
      </c>
      <c r="EN39" t="e">
        <f>AND(Sheet1!J520,"AAAAAGjnf48=")</f>
        <v>#VALUE!</v>
      </c>
      <c r="EO39" t="e">
        <f>AND(Sheet1!K520,"AAAAAGjnf5A=")</f>
        <v>#VALUE!</v>
      </c>
      <c r="EP39" t="e">
        <f>AND(Sheet1!L520,"AAAAAGjnf5E=")</f>
        <v>#VALUE!</v>
      </c>
      <c r="EQ39" t="e">
        <f>AND(Sheet1!M520,"AAAAAGjnf5I=")</f>
        <v>#VALUE!</v>
      </c>
      <c r="ER39" t="e">
        <f>AND(Sheet1!N520,"AAAAAGjnf5M=")</f>
        <v>#VALUE!</v>
      </c>
      <c r="ES39" t="e">
        <f>AND(Sheet1!#REF!,"AAAAAGjnf5Q=")</f>
        <v>#REF!</v>
      </c>
      <c r="ET39" t="e">
        <f>AND(Sheet1!#REF!,"AAAAAGjnf5U=")</f>
        <v>#REF!</v>
      </c>
      <c r="EU39" t="e">
        <f>AND(Sheet1!#REF!,"AAAAAGjnf5Y=")</f>
        <v>#REF!</v>
      </c>
      <c r="EV39" t="e">
        <f>AND(Sheet1!#REF!,"AAAAAGjnf5c=")</f>
        <v>#REF!</v>
      </c>
      <c r="EW39">
        <f>IF(Sheet1!521:521,"AAAAAGjnf5g=",0)</f>
        <v>0</v>
      </c>
      <c r="EX39" t="e">
        <f>AND(Sheet1!A521,"AAAAAGjnf5k=")</f>
        <v>#VALUE!</v>
      </c>
      <c r="EY39" t="e">
        <f>AND(Sheet1!B521,"AAAAAGjnf5o=")</f>
        <v>#VALUE!</v>
      </c>
      <c r="EZ39" t="e">
        <f>AND(Sheet1!C521,"AAAAAGjnf5s=")</f>
        <v>#VALUE!</v>
      </c>
      <c r="FA39" t="e">
        <f>AND(Sheet1!D521,"AAAAAGjnf5w=")</f>
        <v>#VALUE!</v>
      </c>
      <c r="FB39" t="e">
        <f>AND(Sheet1!E521,"AAAAAGjnf50=")</f>
        <v>#VALUE!</v>
      </c>
      <c r="FC39" t="e">
        <f>AND(Sheet1!F521,"AAAAAGjnf54=")</f>
        <v>#VALUE!</v>
      </c>
      <c r="FD39" t="e">
        <f>AND(Sheet1!G521,"AAAAAGjnf58=")</f>
        <v>#VALUE!</v>
      </c>
      <c r="FE39" t="e">
        <f>AND(Sheet1!H521,"AAAAAGjnf6A=")</f>
        <v>#VALUE!</v>
      </c>
      <c r="FF39" t="e">
        <f>AND(Sheet1!I521,"AAAAAGjnf6E=")</f>
        <v>#VALUE!</v>
      </c>
      <c r="FG39" t="e">
        <f>AND(Sheet1!J521,"AAAAAGjnf6I=")</f>
        <v>#VALUE!</v>
      </c>
      <c r="FH39" t="e">
        <f>AND(Sheet1!K521,"AAAAAGjnf6M=")</f>
        <v>#VALUE!</v>
      </c>
      <c r="FI39" t="e">
        <f>AND(Sheet1!L521,"AAAAAGjnf6Q=")</f>
        <v>#VALUE!</v>
      </c>
      <c r="FJ39" t="e">
        <f>AND(Sheet1!M521,"AAAAAGjnf6U=")</f>
        <v>#VALUE!</v>
      </c>
      <c r="FK39" t="e">
        <f>AND(Sheet1!N521,"AAAAAGjnf6Y=")</f>
        <v>#VALUE!</v>
      </c>
      <c r="FL39" t="e">
        <f>AND(Sheet1!#REF!,"AAAAAGjnf6c=")</f>
        <v>#REF!</v>
      </c>
      <c r="FM39" t="e">
        <f>AND(Sheet1!#REF!,"AAAAAGjnf6g=")</f>
        <v>#REF!</v>
      </c>
      <c r="FN39" t="e">
        <f>AND(Sheet1!#REF!,"AAAAAGjnf6k=")</f>
        <v>#REF!</v>
      </c>
      <c r="FO39" t="e">
        <f>AND(Sheet1!#REF!,"AAAAAGjnf6o=")</f>
        <v>#REF!</v>
      </c>
      <c r="FP39">
        <f>IF(Sheet1!522:522,"AAAAAGjnf6s=",0)</f>
        <v>0</v>
      </c>
      <c r="FQ39" t="e">
        <f>AND(Sheet1!A522,"AAAAAGjnf6w=")</f>
        <v>#VALUE!</v>
      </c>
      <c r="FR39" t="e">
        <f>AND(Sheet1!B522,"AAAAAGjnf60=")</f>
        <v>#VALUE!</v>
      </c>
      <c r="FS39" t="e">
        <f>AND(Sheet1!C522,"AAAAAGjnf64=")</f>
        <v>#VALUE!</v>
      </c>
      <c r="FT39" t="e">
        <f>AND(Sheet1!D522,"AAAAAGjnf68=")</f>
        <v>#VALUE!</v>
      </c>
      <c r="FU39" t="e">
        <f>AND(Sheet1!E522,"AAAAAGjnf7A=")</f>
        <v>#VALUE!</v>
      </c>
      <c r="FV39" t="e">
        <f>AND(Sheet1!F522,"AAAAAGjnf7E=")</f>
        <v>#VALUE!</v>
      </c>
      <c r="FW39" t="e">
        <f>AND(Sheet1!G522,"AAAAAGjnf7I=")</f>
        <v>#VALUE!</v>
      </c>
      <c r="FX39" t="e">
        <f>AND(Sheet1!H522,"AAAAAGjnf7M=")</f>
        <v>#VALUE!</v>
      </c>
      <c r="FY39" t="e">
        <f>AND(Sheet1!I522,"AAAAAGjnf7Q=")</f>
        <v>#VALUE!</v>
      </c>
      <c r="FZ39" t="e">
        <f>AND(Sheet1!J522,"AAAAAGjnf7U=")</f>
        <v>#VALUE!</v>
      </c>
      <c r="GA39" t="e">
        <f>AND(Sheet1!K522,"AAAAAGjnf7Y=")</f>
        <v>#VALUE!</v>
      </c>
      <c r="GB39" t="e">
        <f>AND(Sheet1!L522,"AAAAAGjnf7c=")</f>
        <v>#VALUE!</v>
      </c>
      <c r="GC39" t="e">
        <f>AND(Sheet1!M522,"AAAAAGjnf7g=")</f>
        <v>#VALUE!</v>
      </c>
      <c r="GD39" t="e">
        <f>AND(Sheet1!N522,"AAAAAGjnf7k=")</f>
        <v>#VALUE!</v>
      </c>
      <c r="GE39" t="e">
        <f>AND(Sheet1!#REF!,"AAAAAGjnf7o=")</f>
        <v>#REF!</v>
      </c>
      <c r="GF39" t="e">
        <f>AND(Sheet1!#REF!,"AAAAAGjnf7s=")</f>
        <v>#REF!</v>
      </c>
      <c r="GG39" t="e">
        <f>AND(Sheet1!#REF!,"AAAAAGjnf7w=")</f>
        <v>#REF!</v>
      </c>
      <c r="GH39" t="e">
        <f>AND(Sheet1!#REF!,"AAAAAGjnf70=")</f>
        <v>#REF!</v>
      </c>
      <c r="GI39">
        <f>IF(Sheet1!523:523,"AAAAAGjnf74=",0)</f>
        <v>0</v>
      </c>
      <c r="GJ39" t="e">
        <f>AND(Sheet1!A523,"AAAAAGjnf78=")</f>
        <v>#VALUE!</v>
      </c>
      <c r="GK39" t="e">
        <f>AND(Sheet1!B523,"AAAAAGjnf8A=")</f>
        <v>#VALUE!</v>
      </c>
      <c r="GL39" t="e">
        <f>AND(Sheet1!C523,"AAAAAGjnf8E=")</f>
        <v>#VALUE!</v>
      </c>
      <c r="GM39" t="e">
        <f>AND(Sheet1!D523,"AAAAAGjnf8I=")</f>
        <v>#VALUE!</v>
      </c>
      <c r="GN39" t="e">
        <f>AND(Sheet1!E523,"AAAAAGjnf8M=")</f>
        <v>#VALUE!</v>
      </c>
      <c r="GO39" t="e">
        <f>AND(Sheet1!F523,"AAAAAGjnf8Q=")</f>
        <v>#VALUE!</v>
      </c>
      <c r="GP39" t="e">
        <f>AND(Sheet1!G523,"AAAAAGjnf8U=")</f>
        <v>#VALUE!</v>
      </c>
      <c r="GQ39" t="e">
        <f>AND(Sheet1!H523,"AAAAAGjnf8Y=")</f>
        <v>#VALUE!</v>
      </c>
      <c r="GR39" t="e">
        <f>AND(Sheet1!I523,"AAAAAGjnf8c=")</f>
        <v>#VALUE!</v>
      </c>
      <c r="GS39" t="e">
        <f>AND(Sheet1!J523,"AAAAAGjnf8g=")</f>
        <v>#VALUE!</v>
      </c>
      <c r="GT39" t="e">
        <f>AND(Sheet1!K523,"AAAAAGjnf8k=")</f>
        <v>#VALUE!</v>
      </c>
      <c r="GU39" t="e">
        <f>AND(Sheet1!L523,"AAAAAGjnf8o=")</f>
        <v>#VALUE!</v>
      </c>
      <c r="GV39" t="e">
        <f>AND(Sheet1!M523,"AAAAAGjnf8s=")</f>
        <v>#VALUE!</v>
      </c>
      <c r="GW39" t="e">
        <f>AND(Sheet1!N523,"AAAAAGjnf8w=")</f>
        <v>#VALUE!</v>
      </c>
      <c r="GX39" t="e">
        <f>AND(Sheet1!#REF!,"AAAAAGjnf80=")</f>
        <v>#REF!</v>
      </c>
      <c r="GY39" t="e">
        <f>AND(Sheet1!#REF!,"AAAAAGjnf84=")</f>
        <v>#REF!</v>
      </c>
      <c r="GZ39" t="e">
        <f>AND(Sheet1!#REF!,"AAAAAGjnf88=")</f>
        <v>#REF!</v>
      </c>
      <c r="HA39" t="e">
        <f>AND(Sheet1!#REF!,"AAAAAGjnf9A=")</f>
        <v>#REF!</v>
      </c>
      <c r="HB39">
        <f>IF(Sheet1!524:524,"AAAAAGjnf9E=",0)</f>
        <v>0</v>
      </c>
      <c r="HC39" t="e">
        <f>AND(Sheet1!A524,"AAAAAGjnf9I=")</f>
        <v>#VALUE!</v>
      </c>
      <c r="HD39" t="e">
        <f>AND(Sheet1!B524,"AAAAAGjnf9M=")</f>
        <v>#VALUE!</v>
      </c>
      <c r="HE39" t="e">
        <f>AND(Sheet1!C524,"AAAAAGjnf9Q=")</f>
        <v>#VALUE!</v>
      </c>
      <c r="HF39" t="e">
        <f>AND(Sheet1!D524,"AAAAAGjnf9U=")</f>
        <v>#VALUE!</v>
      </c>
      <c r="HG39" t="e">
        <f>AND(Sheet1!E524,"AAAAAGjnf9Y=")</f>
        <v>#VALUE!</v>
      </c>
      <c r="HH39" t="e">
        <f>AND(Sheet1!F524,"AAAAAGjnf9c=")</f>
        <v>#VALUE!</v>
      </c>
      <c r="HI39" t="e">
        <f>AND(Sheet1!G524,"AAAAAGjnf9g=")</f>
        <v>#VALUE!</v>
      </c>
      <c r="HJ39" t="e">
        <f>AND(Sheet1!H524,"AAAAAGjnf9k=")</f>
        <v>#VALUE!</v>
      </c>
      <c r="HK39" t="e">
        <f>AND(Sheet1!I524,"AAAAAGjnf9o=")</f>
        <v>#VALUE!</v>
      </c>
      <c r="HL39" t="e">
        <f>AND(Sheet1!J524,"AAAAAGjnf9s=")</f>
        <v>#VALUE!</v>
      </c>
      <c r="HM39" t="e">
        <f>AND(Sheet1!K524,"AAAAAGjnf9w=")</f>
        <v>#VALUE!</v>
      </c>
      <c r="HN39" t="e">
        <f>AND(Sheet1!L524,"AAAAAGjnf90=")</f>
        <v>#VALUE!</v>
      </c>
      <c r="HO39" t="e">
        <f>AND(Sheet1!M524,"AAAAAGjnf94=")</f>
        <v>#VALUE!</v>
      </c>
      <c r="HP39" t="e">
        <f>AND(Sheet1!N524,"AAAAAGjnf98=")</f>
        <v>#VALUE!</v>
      </c>
      <c r="HQ39" t="e">
        <f>AND(Sheet1!#REF!,"AAAAAGjnf+A=")</f>
        <v>#REF!</v>
      </c>
      <c r="HR39" t="e">
        <f>AND(Sheet1!#REF!,"AAAAAGjnf+E=")</f>
        <v>#REF!</v>
      </c>
      <c r="HS39" t="e">
        <f>AND(Sheet1!#REF!,"AAAAAGjnf+I=")</f>
        <v>#REF!</v>
      </c>
      <c r="HT39" t="e">
        <f>AND(Sheet1!#REF!,"AAAAAGjnf+M=")</f>
        <v>#REF!</v>
      </c>
      <c r="HU39">
        <f>IF(Sheet1!525:525,"AAAAAGjnf+Q=",0)</f>
        <v>0</v>
      </c>
      <c r="HV39" t="e">
        <f>AND(Sheet1!A525,"AAAAAGjnf+U=")</f>
        <v>#VALUE!</v>
      </c>
      <c r="HW39" t="e">
        <f>AND(Sheet1!B525,"AAAAAGjnf+Y=")</f>
        <v>#VALUE!</v>
      </c>
      <c r="HX39" t="e">
        <f>AND(Sheet1!C525,"AAAAAGjnf+c=")</f>
        <v>#VALUE!</v>
      </c>
      <c r="HY39" t="e">
        <f>AND(Sheet1!D525,"AAAAAGjnf+g=")</f>
        <v>#VALUE!</v>
      </c>
      <c r="HZ39" t="e">
        <f>AND(Sheet1!E525,"AAAAAGjnf+k=")</f>
        <v>#VALUE!</v>
      </c>
      <c r="IA39" t="e">
        <f>AND(Sheet1!F525,"AAAAAGjnf+o=")</f>
        <v>#VALUE!</v>
      </c>
      <c r="IB39" t="e">
        <f>AND(Sheet1!G525,"AAAAAGjnf+s=")</f>
        <v>#VALUE!</v>
      </c>
      <c r="IC39" t="e">
        <f>AND(Sheet1!H525,"AAAAAGjnf+w=")</f>
        <v>#VALUE!</v>
      </c>
      <c r="ID39" t="e">
        <f>AND(Sheet1!I525,"AAAAAGjnf+0=")</f>
        <v>#VALUE!</v>
      </c>
      <c r="IE39" t="e">
        <f>AND(Sheet1!J525,"AAAAAGjnf+4=")</f>
        <v>#VALUE!</v>
      </c>
      <c r="IF39" t="e">
        <f>AND(Sheet1!K525,"AAAAAGjnf+8=")</f>
        <v>#VALUE!</v>
      </c>
      <c r="IG39" t="e">
        <f>AND(Sheet1!L525,"AAAAAGjnf/A=")</f>
        <v>#VALUE!</v>
      </c>
      <c r="IH39" t="e">
        <f>AND(Sheet1!M525,"AAAAAGjnf/E=")</f>
        <v>#VALUE!</v>
      </c>
      <c r="II39" t="e">
        <f>AND(Sheet1!N525,"AAAAAGjnf/I=")</f>
        <v>#VALUE!</v>
      </c>
      <c r="IJ39" t="e">
        <f>AND(Sheet1!#REF!,"AAAAAGjnf/M=")</f>
        <v>#REF!</v>
      </c>
      <c r="IK39" t="e">
        <f>AND(Sheet1!#REF!,"AAAAAGjnf/Q=")</f>
        <v>#REF!</v>
      </c>
      <c r="IL39" t="e">
        <f>AND(Sheet1!#REF!,"AAAAAGjnf/U=")</f>
        <v>#REF!</v>
      </c>
      <c r="IM39" t="e">
        <f>AND(Sheet1!#REF!,"AAAAAGjnf/Y=")</f>
        <v>#REF!</v>
      </c>
      <c r="IN39">
        <f>IF(Sheet1!526:526,"AAAAAGjnf/c=",0)</f>
        <v>0</v>
      </c>
      <c r="IO39" t="e">
        <f>AND(Sheet1!A526,"AAAAAGjnf/g=")</f>
        <v>#VALUE!</v>
      </c>
      <c r="IP39" t="e">
        <f>AND(Sheet1!B526,"AAAAAGjnf/k=")</f>
        <v>#VALUE!</v>
      </c>
      <c r="IQ39" t="e">
        <f>AND(Sheet1!C526,"AAAAAGjnf/o=")</f>
        <v>#VALUE!</v>
      </c>
      <c r="IR39" t="e">
        <f>AND(Sheet1!D526,"AAAAAGjnf/s=")</f>
        <v>#VALUE!</v>
      </c>
      <c r="IS39" t="e">
        <f>AND(Sheet1!E526,"AAAAAGjnf/w=")</f>
        <v>#VALUE!</v>
      </c>
      <c r="IT39" t="e">
        <f>AND(Sheet1!F526,"AAAAAGjnf/0=")</f>
        <v>#VALUE!</v>
      </c>
      <c r="IU39" t="e">
        <f>AND(Sheet1!G526,"AAAAAGjnf/4=")</f>
        <v>#VALUE!</v>
      </c>
      <c r="IV39" t="e">
        <f>AND(Sheet1!H526,"AAAAAGjnf/8=")</f>
        <v>#VALUE!</v>
      </c>
    </row>
    <row r="40" spans="1:256" x14ac:dyDescent="0.2">
      <c r="A40" t="e">
        <f>AND(Sheet1!I526,"AAAAAH//fwA=")</f>
        <v>#VALUE!</v>
      </c>
      <c r="B40" t="e">
        <f>AND(Sheet1!J526,"AAAAAH//fwE=")</f>
        <v>#VALUE!</v>
      </c>
      <c r="C40" t="e">
        <f>AND(Sheet1!K526,"AAAAAH//fwI=")</f>
        <v>#VALUE!</v>
      </c>
      <c r="D40" t="e">
        <f>AND(Sheet1!L526,"AAAAAH//fwM=")</f>
        <v>#VALUE!</v>
      </c>
      <c r="E40" t="e">
        <f>AND(Sheet1!M526,"AAAAAH//fwQ=")</f>
        <v>#VALUE!</v>
      </c>
      <c r="F40" t="e">
        <f>AND(Sheet1!N526,"AAAAAH//fwU=")</f>
        <v>#VALUE!</v>
      </c>
      <c r="G40" t="e">
        <f>AND(Sheet1!#REF!,"AAAAAH//fwY=")</f>
        <v>#REF!</v>
      </c>
      <c r="H40" t="e">
        <f>AND(Sheet1!#REF!,"AAAAAH//fwc=")</f>
        <v>#REF!</v>
      </c>
      <c r="I40" t="e">
        <f>AND(Sheet1!#REF!,"AAAAAH//fwg=")</f>
        <v>#REF!</v>
      </c>
      <c r="J40" t="e">
        <f>AND(Sheet1!#REF!,"AAAAAH//fwk=")</f>
        <v>#REF!</v>
      </c>
      <c r="K40" t="e">
        <f>IF(Sheet1!527:527,"AAAAAH//fwo=",0)</f>
        <v>#VALUE!</v>
      </c>
      <c r="L40" t="e">
        <f>AND(Sheet1!A527,"AAAAAH//fws=")</f>
        <v>#VALUE!</v>
      </c>
      <c r="M40" t="e">
        <f>AND(Sheet1!B527,"AAAAAH//fww=")</f>
        <v>#VALUE!</v>
      </c>
      <c r="N40" t="e">
        <f>AND(Sheet1!C527,"AAAAAH//fw0=")</f>
        <v>#VALUE!</v>
      </c>
      <c r="O40" t="e">
        <f>AND(Sheet1!D527,"AAAAAH//fw4=")</f>
        <v>#VALUE!</v>
      </c>
      <c r="P40" t="e">
        <f>AND(Sheet1!E527,"AAAAAH//fw8=")</f>
        <v>#VALUE!</v>
      </c>
      <c r="Q40" t="e">
        <f>AND(Sheet1!F527,"AAAAAH//fxA=")</f>
        <v>#VALUE!</v>
      </c>
      <c r="R40" t="e">
        <f>AND(Sheet1!G527,"AAAAAH//fxE=")</f>
        <v>#VALUE!</v>
      </c>
      <c r="S40" t="e">
        <f>AND(Sheet1!H527,"AAAAAH//fxI=")</f>
        <v>#VALUE!</v>
      </c>
      <c r="T40" t="e">
        <f>AND(Sheet1!I527,"AAAAAH//fxM=")</f>
        <v>#VALUE!</v>
      </c>
      <c r="U40" t="e">
        <f>AND(Sheet1!J527,"AAAAAH//fxQ=")</f>
        <v>#VALUE!</v>
      </c>
      <c r="V40" t="e">
        <f>AND(Sheet1!K527,"AAAAAH//fxU=")</f>
        <v>#VALUE!</v>
      </c>
      <c r="W40" t="e">
        <f>AND(Sheet1!L527,"AAAAAH//fxY=")</f>
        <v>#VALUE!</v>
      </c>
      <c r="X40" t="e">
        <f>AND(Sheet1!M527,"AAAAAH//fxc=")</f>
        <v>#VALUE!</v>
      </c>
      <c r="Y40" t="e">
        <f>AND(Sheet1!N527,"AAAAAH//fxg=")</f>
        <v>#VALUE!</v>
      </c>
      <c r="Z40" t="e">
        <f>AND(Sheet1!#REF!,"AAAAAH//fxk=")</f>
        <v>#REF!</v>
      </c>
      <c r="AA40" t="e">
        <f>AND(Sheet1!#REF!,"AAAAAH//fxo=")</f>
        <v>#REF!</v>
      </c>
      <c r="AB40" t="e">
        <f>AND(Sheet1!#REF!,"AAAAAH//fxs=")</f>
        <v>#REF!</v>
      </c>
      <c r="AC40" t="e">
        <f>AND(Sheet1!#REF!,"AAAAAH//fxw=")</f>
        <v>#REF!</v>
      </c>
      <c r="AD40">
        <f>IF(Sheet1!528:528,"AAAAAH//fx0=",0)</f>
        <v>0</v>
      </c>
      <c r="AE40" t="e">
        <f>AND(Sheet1!A528,"AAAAAH//fx4=")</f>
        <v>#VALUE!</v>
      </c>
      <c r="AF40" t="e">
        <f>AND(Sheet1!B528,"AAAAAH//fx8=")</f>
        <v>#VALUE!</v>
      </c>
      <c r="AG40" t="e">
        <f>AND(Sheet1!C528,"AAAAAH//fyA=")</f>
        <v>#VALUE!</v>
      </c>
      <c r="AH40" t="e">
        <f>AND(Sheet1!D528,"AAAAAH//fyE=")</f>
        <v>#VALUE!</v>
      </c>
      <c r="AI40" t="e">
        <f>AND(Sheet1!E528,"AAAAAH//fyI=")</f>
        <v>#VALUE!</v>
      </c>
      <c r="AJ40" t="e">
        <f>AND(Sheet1!F528,"AAAAAH//fyM=")</f>
        <v>#VALUE!</v>
      </c>
      <c r="AK40" t="e">
        <f>AND(Sheet1!G528,"AAAAAH//fyQ=")</f>
        <v>#VALUE!</v>
      </c>
      <c r="AL40" t="e">
        <f>AND(Sheet1!H528,"AAAAAH//fyU=")</f>
        <v>#VALUE!</v>
      </c>
      <c r="AM40" t="e">
        <f>AND(Sheet1!I528,"AAAAAH//fyY=")</f>
        <v>#VALUE!</v>
      </c>
      <c r="AN40" t="e">
        <f>AND(Sheet1!J528,"AAAAAH//fyc=")</f>
        <v>#VALUE!</v>
      </c>
      <c r="AO40" t="e">
        <f>AND(Sheet1!K528,"AAAAAH//fyg=")</f>
        <v>#VALUE!</v>
      </c>
      <c r="AP40" t="e">
        <f>AND(Sheet1!L528,"AAAAAH//fyk=")</f>
        <v>#VALUE!</v>
      </c>
      <c r="AQ40" t="e">
        <f>AND(Sheet1!M528,"AAAAAH//fyo=")</f>
        <v>#VALUE!</v>
      </c>
      <c r="AR40" t="e">
        <f>AND(Sheet1!N528,"AAAAAH//fys=")</f>
        <v>#VALUE!</v>
      </c>
      <c r="AS40" t="e">
        <f>AND(Sheet1!#REF!,"AAAAAH//fyw=")</f>
        <v>#REF!</v>
      </c>
      <c r="AT40" t="e">
        <f>AND(Sheet1!#REF!,"AAAAAH//fy0=")</f>
        <v>#REF!</v>
      </c>
      <c r="AU40" t="e">
        <f>AND(Sheet1!#REF!,"AAAAAH//fy4=")</f>
        <v>#REF!</v>
      </c>
      <c r="AV40" t="e">
        <f>AND(Sheet1!#REF!,"AAAAAH//fy8=")</f>
        <v>#REF!</v>
      </c>
      <c r="AW40">
        <f>IF(Sheet1!529:529,"AAAAAH//fzA=",0)</f>
        <v>0</v>
      </c>
      <c r="AX40" t="e">
        <f>AND(Sheet1!A529,"AAAAAH//fzE=")</f>
        <v>#VALUE!</v>
      </c>
      <c r="AY40" t="e">
        <f>AND(Sheet1!B529,"AAAAAH//fzI=")</f>
        <v>#VALUE!</v>
      </c>
      <c r="AZ40" t="e">
        <f>AND(Sheet1!C529,"AAAAAH//fzM=")</f>
        <v>#VALUE!</v>
      </c>
      <c r="BA40" t="e">
        <f>AND(Sheet1!D529,"AAAAAH//fzQ=")</f>
        <v>#VALUE!</v>
      </c>
      <c r="BB40" t="e">
        <f>AND(Sheet1!E529,"AAAAAH//fzU=")</f>
        <v>#VALUE!</v>
      </c>
      <c r="BC40" t="e">
        <f>AND(Sheet1!F529,"AAAAAH//fzY=")</f>
        <v>#VALUE!</v>
      </c>
      <c r="BD40" t="e">
        <f>AND(Sheet1!G529,"AAAAAH//fzc=")</f>
        <v>#VALUE!</v>
      </c>
      <c r="BE40" t="e">
        <f>AND(Sheet1!H529,"AAAAAH//fzg=")</f>
        <v>#VALUE!</v>
      </c>
      <c r="BF40" t="e">
        <f>AND(Sheet1!I529,"AAAAAH//fzk=")</f>
        <v>#VALUE!</v>
      </c>
      <c r="BG40" t="e">
        <f>AND(Sheet1!J529,"AAAAAH//fzo=")</f>
        <v>#VALUE!</v>
      </c>
      <c r="BH40" t="e">
        <f>AND(Sheet1!K529,"AAAAAH//fzs=")</f>
        <v>#VALUE!</v>
      </c>
      <c r="BI40" t="e">
        <f>AND(Sheet1!L529,"AAAAAH//fzw=")</f>
        <v>#VALUE!</v>
      </c>
      <c r="BJ40" t="e">
        <f>AND(Sheet1!M529,"AAAAAH//fz0=")</f>
        <v>#VALUE!</v>
      </c>
      <c r="BK40" t="e">
        <f>AND(Sheet1!N529,"AAAAAH//fz4=")</f>
        <v>#VALUE!</v>
      </c>
      <c r="BL40" t="e">
        <f>AND(Sheet1!#REF!,"AAAAAH//fz8=")</f>
        <v>#REF!</v>
      </c>
      <c r="BM40" t="e">
        <f>AND(Sheet1!#REF!,"AAAAAH//f0A=")</f>
        <v>#REF!</v>
      </c>
      <c r="BN40" t="e">
        <f>AND(Sheet1!#REF!,"AAAAAH//f0E=")</f>
        <v>#REF!</v>
      </c>
      <c r="BO40" t="e">
        <f>AND(Sheet1!#REF!,"AAAAAH//f0I=")</f>
        <v>#REF!</v>
      </c>
      <c r="BP40">
        <f>IF(Sheet1!530:530,"AAAAAH//f0M=",0)</f>
        <v>0</v>
      </c>
      <c r="BQ40" t="e">
        <f>AND(Sheet1!A530,"AAAAAH//f0Q=")</f>
        <v>#VALUE!</v>
      </c>
      <c r="BR40" t="e">
        <f>AND(Sheet1!B530,"AAAAAH//f0U=")</f>
        <v>#VALUE!</v>
      </c>
      <c r="BS40" t="e">
        <f>AND(Sheet1!C530,"AAAAAH//f0Y=")</f>
        <v>#VALUE!</v>
      </c>
      <c r="BT40" t="e">
        <f>AND(Sheet1!D530,"AAAAAH//f0c=")</f>
        <v>#VALUE!</v>
      </c>
      <c r="BU40" t="e">
        <f>AND(Sheet1!E530,"AAAAAH//f0g=")</f>
        <v>#VALUE!</v>
      </c>
      <c r="BV40" t="e">
        <f>AND(Sheet1!F530,"AAAAAH//f0k=")</f>
        <v>#VALUE!</v>
      </c>
      <c r="BW40" t="e">
        <f>AND(Sheet1!G530,"AAAAAH//f0o=")</f>
        <v>#VALUE!</v>
      </c>
      <c r="BX40" t="e">
        <f>AND(Sheet1!H530,"AAAAAH//f0s=")</f>
        <v>#VALUE!</v>
      </c>
      <c r="BY40" t="e">
        <f>AND(Sheet1!I530,"AAAAAH//f0w=")</f>
        <v>#VALUE!</v>
      </c>
      <c r="BZ40" t="e">
        <f>AND(Sheet1!J530,"AAAAAH//f00=")</f>
        <v>#VALUE!</v>
      </c>
      <c r="CA40" t="e">
        <f>AND(Sheet1!K530,"AAAAAH//f04=")</f>
        <v>#VALUE!</v>
      </c>
      <c r="CB40" t="e">
        <f>AND(Sheet1!L530,"AAAAAH//f08=")</f>
        <v>#VALUE!</v>
      </c>
      <c r="CC40" t="e">
        <f>AND(Sheet1!M530,"AAAAAH//f1A=")</f>
        <v>#VALUE!</v>
      </c>
      <c r="CD40" t="e">
        <f>AND(Sheet1!N530,"AAAAAH//f1E=")</f>
        <v>#VALUE!</v>
      </c>
      <c r="CE40" t="e">
        <f>AND(Sheet1!#REF!,"AAAAAH//f1I=")</f>
        <v>#REF!</v>
      </c>
      <c r="CF40" t="e">
        <f>AND(Sheet1!#REF!,"AAAAAH//f1M=")</f>
        <v>#REF!</v>
      </c>
      <c r="CG40" t="e">
        <f>AND(Sheet1!#REF!,"AAAAAH//f1Q=")</f>
        <v>#REF!</v>
      </c>
      <c r="CH40" t="e">
        <f>AND(Sheet1!#REF!,"AAAAAH//f1U=")</f>
        <v>#REF!</v>
      </c>
      <c r="CI40">
        <f>IF(Sheet1!531:531,"AAAAAH//f1Y=",0)</f>
        <v>0</v>
      </c>
      <c r="CJ40" t="e">
        <f>AND(Sheet1!A531,"AAAAAH//f1c=")</f>
        <v>#VALUE!</v>
      </c>
      <c r="CK40" t="e">
        <f>AND(Sheet1!B531,"AAAAAH//f1g=")</f>
        <v>#VALUE!</v>
      </c>
      <c r="CL40" t="e">
        <f>AND(Sheet1!C531,"AAAAAH//f1k=")</f>
        <v>#VALUE!</v>
      </c>
      <c r="CM40" t="e">
        <f>AND(Sheet1!D531,"AAAAAH//f1o=")</f>
        <v>#VALUE!</v>
      </c>
      <c r="CN40" t="e">
        <f>AND(Sheet1!E531,"AAAAAH//f1s=")</f>
        <v>#VALUE!</v>
      </c>
      <c r="CO40" t="e">
        <f>AND(Sheet1!F531,"AAAAAH//f1w=")</f>
        <v>#VALUE!</v>
      </c>
      <c r="CP40" t="e">
        <f>AND(Sheet1!G531,"AAAAAH//f10=")</f>
        <v>#VALUE!</v>
      </c>
      <c r="CQ40" t="e">
        <f>AND(Sheet1!H531,"AAAAAH//f14=")</f>
        <v>#VALUE!</v>
      </c>
      <c r="CR40" t="e">
        <f>AND(Sheet1!I531,"AAAAAH//f18=")</f>
        <v>#VALUE!</v>
      </c>
      <c r="CS40" t="e">
        <f>AND(Sheet1!J531,"AAAAAH//f2A=")</f>
        <v>#VALUE!</v>
      </c>
      <c r="CT40" t="e">
        <f>AND(Sheet1!K531,"AAAAAH//f2E=")</f>
        <v>#VALUE!</v>
      </c>
      <c r="CU40" t="e">
        <f>AND(Sheet1!L531,"AAAAAH//f2I=")</f>
        <v>#VALUE!</v>
      </c>
      <c r="CV40" t="e">
        <f>AND(Sheet1!M531,"AAAAAH//f2M=")</f>
        <v>#VALUE!</v>
      </c>
      <c r="CW40" t="e">
        <f>AND(Sheet1!N531,"AAAAAH//f2Q=")</f>
        <v>#VALUE!</v>
      </c>
      <c r="CX40" t="e">
        <f>AND(Sheet1!#REF!,"AAAAAH//f2U=")</f>
        <v>#REF!</v>
      </c>
      <c r="CY40" t="e">
        <f>AND(Sheet1!#REF!,"AAAAAH//f2Y=")</f>
        <v>#REF!</v>
      </c>
      <c r="CZ40" t="e">
        <f>AND(Sheet1!#REF!,"AAAAAH//f2c=")</f>
        <v>#REF!</v>
      </c>
      <c r="DA40" t="e">
        <f>AND(Sheet1!#REF!,"AAAAAH//f2g=")</f>
        <v>#REF!</v>
      </c>
      <c r="DB40">
        <f>IF(Sheet1!532:532,"AAAAAH//f2k=",0)</f>
        <v>0</v>
      </c>
      <c r="DC40" t="e">
        <f>AND(Sheet1!A532,"AAAAAH//f2o=")</f>
        <v>#VALUE!</v>
      </c>
      <c r="DD40" t="e">
        <f>AND(Sheet1!B532,"AAAAAH//f2s=")</f>
        <v>#VALUE!</v>
      </c>
      <c r="DE40" t="e">
        <f>AND(Sheet1!C532,"AAAAAH//f2w=")</f>
        <v>#VALUE!</v>
      </c>
      <c r="DF40" t="e">
        <f>AND(Sheet1!D532,"AAAAAH//f20=")</f>
        <v>#VALUE!</v>
      </c>
      <c r="DG40" t="e">
        <f>AND(Sheet1!E532,"AAAAAH//f24=")</f>
        <v>#VALUE!</v>
      </c>
      <c r="DH40" t="e">
        <f>AND(Sheet1!F532,"AAAAAH//f28=")</f>
        <v>#VALUE!</v>
      </c>
      <c r="DI40" t="e">
        <f>AND(Sheet1!G532,"AAAAAH//f3A=")</f>
        <v>#VALUE!</v>
      </c>
      <c r="DJ40" t="e">
        <f>AND(Sheet1!H532,"AAAAAH//f3E=")</f>
        <v>#VALUE!</v>
      </c>
      <c r="DK40" t="e">
        <f>AND(Sheet1!I532,"AAAAAH//f3I=")</f>
        <v>#VALUE!</v>
      </c>
      <c r="DL40" t="e">
        <f>AND(Sheet1!J532,"AAAAAH//f3M=")</f>
        <v>#VALUE!</v>
      </c>
      <c r="DM40" t="e">
        <f>AND(Sheet1!K532,"AAAAAH//f3Q=")</f>
        <v>#VALUE!</v>
      </c>
      <c r="DN40" t="e">
        <f>AND(Sheet1!L532,"AAAAAH//f3U=")</f>
        <v>#VALUE!</v>
      </c>
      <c r="DO40" t="e">
        <f>AND(Sheet1!M532,"AAAAAH//f3Y=")</f>
        <v>#VALUE!</v>
      </c>
      <c r="DP40" t="e">
        <f>AND(Sheet1!N532,"AAAAAH//f3c=")</f>
        <v>#VALUE!</v>
      </c>
      <c r="DQ40" t="e">
        <f>AND(Sheet1!#REF!,"AAAAAH//f3g=")</f>
        <v>#REF!</v>
      </c>
      <c r="DR40" t="e">
        <f>AND(Sheet1!#REF!,"AAAAAH//f3k=")</f>
        <v>#REF!</v>
      </c>
      <c r="DS40" t="e">
        <f>AND(Sheet1!#REF!,"AAAAAH//f3o=")</f>
        <v>#REF!</v>
      </c>
      <c r="DT40" t="e">
        <f>AND(Sheet1!#REF!,"AAAAAH//f3s=")</f>
        <v>#REF!</v>
      </c>
      <c r="DU40">
        <f>IF(Sheet1!533:533,"AAAAAH//f3w=",0)</f>
        <v>0</v>
      </c>
      <c r="DV40" t="e">
        <f>AND(Sheet1!A533,"AAAAAH//f30=")</f>
        <v>#VALUE!</v>
      </c>
      <c r="DW40" t="e">
        <f>AND(Sheet1!B533,"AAAAAH//f34=")</f>
        <v>#VALUE!</v>
      </c>
      <c r="DX40" t="e">
        <f>AND(Sheet1!C533,"AAAAAH//f38=")</f>
        <v>#VALUE!</v>
      </c>
      <c r="DY40" t="e">
        <f>AND(Sheet1!D533,"AAAAAH//f4A=")</f>
        <v>#VALUE!</v>
      </c>
      <c r="DZ40" t="e">
        <f>AND(Sheet1!E533,"AAAAAH//f4E=")</f>
        <v>#VALUE!</v>
      </c>
      <c r="EA40" t="e">
        <f>AND(Sheet1!F533,"AAAAAH//f4I=")</f>
        <v>#VALUE!</v>
      </c>
      <c r="EB40" t="e">
        <f>AND(Sheet1!G533,"AAAAAH//f4M=")</f>
        <v>#VALUE!</v>
      </c>
      <c r="EC40" t="e">
        <f>AND(Sheet1!H533,"AAAAAH//f4Q=")</f>
        <v>#VALUE!</v>
      </c>
      <c r="ED40" t="e">
        <f>AND(Sheet1!I533,"AAAAAH//f4U=")</f>
        <v>#VALUE!</v>
      </c>
      <c r="EE40" t="e">
        <f>AND(Sheet1!J533,"AAAAAH//f4Y=")</f>
        <v>#VALUE!</v>
      </c>
      <c r="EF40" t="e">
        <f>AND(Sheet1!K533,"AAAAAH//f4c=")</f>
        <v>#VALUE!</v>
      </c>
      <c r="EG40" t="e">
        <f>AND(Sheet1!L533,"AAAAAH//f4g=")</f>
        <v>#VALUE!</v>
      </c>
      <c r="EH40" t="e">
        <f>AND(Sheet1!M533,"AAAAAH//f4k=")</f>
        <v>#VALUE!</v>
      </c>
      <c r="EI40" t="e">
        <f>AND(Sheet1!N533,"AAAAAH//f4o=")</f>
        <v>#VALUE!</v>
      </c>
      <c r="EJ40" t="e">
        <f>AND(Sheet1!#REF!,"AAAAAH//f4s=")</f>
        <v>#REF!</v>
      </c>
      <c r="EK40" t="e">
        <f>AND(Sheet1!#REF!,"AAAAAH//f4w=")</f>
        <v>#REF!</v>
      </c>
      <c r="EL40" t="e">
        <f>AND(Sheet1!#REF!,"AAAAAH//f40=")</f>
        <v>#REF!</v>
      </c>
      <c r="EM40" t="e">
        <f>AND(Sheet1!#REF!,"AAAAAH//f44=")</f>
        <v>#REF!</v>
      </c>
      <c r="EN40">
        <f>IF(Sheet1!534:534,"AAAAAH//f48=",0)</f>
        <v>0</v>
      </c>
      <c r="EO40" t="e">
        <f>AND(Sheet1!A534,"AAAAAH//f5A=")</f>
        <v>#VALUE!</v>
      </c>
      <c r="EP40" t="e">
        <f>AND(Sheet1!B534,"AAAAAH//f5E=")</f>
        <v>#VALUE!</v>
      </c>
      <c r="EQ40" t="e">
        <f>AND(Sheet1!C534,"AAAAAH//f5I=")</f>
        <v>#VALUE!</v>
      </c>
      <c r="ER40" t="e">
        <f>AND(Sheet1!D534,"AAAAAH//f5M=")</f>
        <v>#VALUE!</v>
      </c>
      <c r="ES40" t="e">
        <f>AND(Sheet1!E534,"AAAAAH//f5Q=")</f>
        <v>#VALUE!</v>
      </c>
      <c r="ET40" t="e">
        <f>AND(Sheet1!F534,"AAAAAH//f5U=")</f>
        <v>#VALUE!</v>
      </c>
      <c r="EU40" t="e">
        <f>AND(Sheet1!G534,"AAAAAH//f5Y=")</f>
        <v>#VALUE!</v>
      </c>
      <c r="EV40" t="e">
        <f>AND(Sheet1!H534,"AAAAAH//f5c=")</f>
        <v>#VALUE!</v>
      </c>
      <c r="EW40" t="e">
        <f>AND(Sheet1!I534,"AAAAAH//f5g=")</f>
        <v>#VALUE!</v>
      </c>
      <c r="EX40" t="e">
        <f>AND(Sheet1!J534,"AAAAAH//f5k=")</f>
        <v>#VALUE!</v>
      </c>
      <c r="EY40" t="e">
        <f>AND(Sheet1!K534,"AAAAAH//f5o=")</f>
        <v>#VALUE!</v>
      </c>
      <c r="EZ40" t="e">
        <f>AND(Sheet1!L534,"AAAAAH//f5s=")</f>
        <v>#VALUE!</v>
      </c>
      <c r="FA40" t="e">
        <f>AND(Sheet1!M534,"AAAAAH//f5w=")</f>
        <v>#VALUE!</v>
      </c>
      <c r="FB40" t="e">
        <f>AND(Sheet1!N534,"AAAAAH//f50=")</f>
        <v>#VALUE!</v>
      </c>
      <c r="FC40" t="e">
        <f>AND(Sheet1!#REF!,"AAAAAH//f54=")</f>
        <v>#REF!</v>
      </c>
      <c r="FD40" t="e">
        <f>AND(Sheet1!#REF!,"AAAAAH//f58=")</f>
        <v>#REF!</v>
      </c>
      <c r="FE40" t="e">
        <f>AND(Sheet1!#REF!,"AAAAAH//f6A=")</f>
        <v>#REF!</v>
      </c>
      <c r="FF40" t="e">
        <f>AND(Sheet1!#REF!,"AAAAAH//f6E=")</f>
        <v>#REF!</v>
      </c>
      <c r="FG40">
        <f>IF(Sheet1!535:535,"AAAAAH//f6I=",0)</f>
        <v>0</v>
      </c>
      <c r="FH40" t="e">
        <f>AND(Sheet1!A535,"AAAAAH//f6M=")</f>
        <v>#VALUE!</v>
      </c>
      <c r="FI40" t="e">
        <f>AND(Sheet1!B535,"AAAAAH//f6Q=")</f>
        <v>#VALUE!</v>
      </c>
      <c r="FJ40" t="e">
        <f>AND(Sheet1!C535,"AAAAAH//f6U=")</f>
        <v>#VALUE!</v>
      </c>
      <c r="FK40" t="e">
        <f>AND(Sheet1!D535,"AAAAAH//f6Y=")</f>
        <v>#VALUE!</v>
      </c>
      <c r="FL40" t="e">
        <f>AND(Sheet1!E535,"AAAAAH//f6c=")</f>
        <v>#VALUE!</v>
      </c>
      <c r="FM40" t="e">
        <f>AND(Sheet1!F535,"AAAAAH//f6g=")</f>
        <v>#VALUE!</v>
      </c>
      <c r="FN40" t="e">
        <f>AND(Sheet1!G535,"AAAAAH//f6k=")</f>
        <v>#VALUE!</v>
      </c>
      <c r="FO40" t="e">
        <f>AND(Sheet1!H535,"AAAAAH//f6o=")</f>
        <v>#VALUE!</v>
      </c>
      <c r="FP40" t="e">
        <f>AND(Sheet1!I535,"AAAAAH//f6s=")</f>
        <v>#VALUE!</v>
      </c>
      <c r="FQ40" t="e">
        <f>AND(Sheet1!J535,"AAAAAH//f6w=")</f>
        <v>#VALUE!</v>
      </c>
      <c r="FR40" t="e">
        <f>AND(Sheet1!K535,"AAAAAH//f60=")</f>
        <v>#VALUE!</v>
      </c>
      <c r="FS40" t="e">
        <f>AND(Sheet1!L535,"AAAAAH//f64=")</f>
        <v>#VALUE!</v>
      </c>
      <c r="FT40" t="e">
        <f>AND(Sheet1!M535,"AAAAAH//f68=")</f>
        <v>#VALUE!</v>
      </c>
      <c r="FU40" t="e">
        <f>AND(Sheet1!N535,"AAAAAH//f7A=")</f>
        <v>#VALUE!</v>
      </c>
      <c r="FV40" t="e">
        <f>AND(Sheet1!#REF!,"AAAAAH//f7E=")</f>
        <v>#REF!</v>
      </c>
      <c r="FW40" t="e">
        <f>AND(Sheet1!#REF!,"AAAAAH//f7I=")</f>
        <v>#REF!</v>
      </c>
      <c r="FX40" t="e">
        <f>AND(Sheet1!#REF!,"AAAAAH//f7M=")</f>
        <v>#REF!</v>
      </c>
      <c r="FY40" t="e">
        <f>AND(Sheet1!#REF!,"AAAAAH//f7Q=")</f>
        <v>#REF!</v>
      </c>
      <c r="FZ40">
        <f>IF(Sheet1!536:536,"AAAAAH//f7U=",0)</f>
        <v>0</v>
      </c>
      <c r="GA40" t="e">
        <f>AND(Sheet1!A536,"AAAAAH//f7Y=")</f>
        <v>#VALUE!</v>
      </c>
      <c r="GB40" t="e">
        <f>AND(Sheet1!B536,"AAAAAH//f7c=")</f>
        <v>#VALUE!</v>
      </c>
      <c r="GC40" t="e">
        <f>AND(Sheet1!C536,"AAAAAH//f7g=")</f>
        <v>#VALUE!</v>
      </c>
      <c r="GD40" t="e">
        <f>AND(Sheet1!D536,"AAAAAH//f7k=")</f>
        <v>#VALUE!</v>
      </c>
      <c r="GE40" t="e">
        <f>AND(Sheet1!E536,"AAAAAH//f7o=")</f>
        <v>#VALUE!</v>
      </c>
      <c r="GF40" t="e">
        <f>AND(Sheet1!F536,"AAAAAH//f7s=")</f>
        <v>#VALUE!</v>
      </c>
      <c r="GG40" t="e">
        <f>AND(Sheet1!G536,"AAAAAH//f7w=")</f>
        <v>#VALUE!</v>
      </c>
      <c r="GH40" t="e">
        <f>AND(Sheet1!H536,"AAAAAH//f70=")</f>
        <v>#VALUE!</v>
      </c>
      <c r="GI40" t="e">
        <f>AND(Sheet1!I536,"AAAAAH//f74=")</f>
        <v>#VALUE!</v>
      </c>
      <c r="GJ40" t="e">
        <f>AND(Sheet1!J536,"AAAAAH//f78=")</f>
        <v>#VALUE!</v>
      </c>
      <c r="GK40" t="e">
        <f>AND(Sheet1!K536,"AAAAAH//f8A=")</f>
        <v>#VALUE!</v>
      </c>
      <c r="GL40" t="e">
        <f>AND(Sheet1!L536,"AAAAAH//f8E=")</f>
        <v>#VALUE!</v>
      </c>
      <c r="GM40" t="e">
        <f>AND(Sheet1!M536,"AAAAAH//f8I=")</f>
        <v>#VALUE!</v>
      </c>
      <c r="GN40" t="e">
        <f>AND(Sheet1!N536,"AAAAAH//f8M=")</f>
        <v>#VALUE!</v>
      </c>
      <c r="GO40" t="e">
        <f>AND(Sheet1!#REF!,"AAAAAH//f8Q=")</f>
        <v>#REF!</v>
      </c>
      <c r="GP40" t="e">
        <f>AND(Sheet1!#REF!,"AAAAAH//f8U=")</f>
        <v>#REF!</v>
      </c>
      <c r="GQ40" t="e">
        <f>AND(Sheet1!#REF!,"AAAAAH//f8Y=")</f>
        <v>#REF!</v>
      </c>
      <c r="GR40" t="e">
        <f>AND(Sheet1!#REF!,"AAAAAH//f8c=")</f>
        <v>#REF!</v>
      </c>
      <c r="GS40">
        <f>IF(Sheet1!537:537,"AAAAAH//f8g=",0)</f>
        <v>0</v>
      </c>
      <c r="GT40" t="e">
        <f>AND(Sheet1!A537,"AAAAAH//f8k=")</f>
        <v>#VALUE!</v>
      </c>
      <c r="GU40" t="e">
        <f>AND(Sheet1!B537,"AAAAAH//f8o=")</f>
        <v>#VALUE!</v>
      </c>
      <c r="GV40" t="e">
        <f>AND(Sheet1!C537,"AAAAAH//f8s=")</f>
        <v>#VALUE!</v>
      </c>
      <c r="GW40" t="e">
        <f>AND(Sheet1!D537,"AAAAAH//f8w=")</f>
        <v>#VALUE!</v>
      </c>
      <c r="GX40" t="e">
        <f>AND(Sheet1!E537,"AAAAAH//f80=")</f>
        <v>#VALUE!</v>
      </c>
      <c r="GY40" t="e">
        <f>AND(Sheet1!F537,"AAAAAH//f84=")</f>
        <v>#VALUE!</v>
      </c>
      <c r="GZ40" t="e">
        <f>AND(Sheet1!G537,"AAAAAH//f88=")</f>
        <v>#VALUE!</v>
      </c>
      <c r="HA40" t="e">
        <f>AND(Sheet1!H537,"AAAAAH//f9A=")</f>
        <v>#VALUE!</v>
      </c>
      <c r="HB40" t="e">
        <f>AND(Sheet1!I537,"AAAAAH//f9E=")</f>
        <v>#VALUE!</v>
      </c>
      <c r="HC40" t="e">
        <f>AND(Sheet1!J537,"AAAAAH//f9I=")</f>
        <v>#VALUE!</v>
      </c>
      <c r="HD40" t="e">
        <f>AND(Sheet1!K537,"AAAAAH//f9M=")</f>
        <v>#VALUE!</v>
      </c>
      <c r="HE40" t="e">
        <f>AND(Sheet1!L537,"AAAAAH//f9Q=")</f>
        <v>#VALUE!</v>
      </c>
      <c r="HF40" t="e">
        <f>AND(Sheet1!M537,"AAAAAH//f9U=")</f>
        <v>#VALUE!</v>
      </c>
      <c r="HG40" t="e">
        <f>AND(Sheet1!N537,"AAAAAH//f9Y=")</f>
        <v>#VALUE!</v>
      </c>
      <c r="HH40" t="e">
        <f>AND(Sheet1!#REF!,"AAAAAH//f9c=")</f>
        <v>#REF!</v>
      </c>
      <c r="HI40" t="e">
        <f>AND(Sheet1!#REF!,"AAAAAH//f9g=")</f>
        <v>#REF!</v>
      </c>
      <c r="HJ40" t="e">
        <f>AND(Sheet1!#REF!,"AAAAAH//f9k=")</f>
        <v>#REF!</v>
      </c>
      <c r="HK40" t="e">
        <f>AND(Sheet1!#REF!,"AAAAAH//f9o=")</f>
        <v>#REF!</v>
      </c>
      <c r="HL40">
        <f>IF(Sheet1!538:538,"AAAAAH//f9s=",0)</f>
        <v>0</v>
      </c>
      <c r="HM40" t="e">
        <f>AND(Sheet1!A538,"AAAAAH//f9w=")</f>
        <v>#VALUE!</v>
      </c>
      <c r="HN40" t="e">
        <f>AND(Sheet1!B538,"AAAAAH//f90=")</f>
        <v>#VALUE!</v>
      </c>
      <c r="HO40" t="e">
        <f>AND(Sheet1!C538,"AAAAAH//f94=")</f>
        <v>#VALUE!</v>
      </c>
      <c r="HP40" t="e">
        <f>AND(Sheet1!D538,"AAAAAH//f98=")</f>
        <v>#VALUE!</v>
      </c>
      <c r="HQ40" t="e">
        <f>AND(Sheet1!E538,"AAAAAH//f+A=")</f>
        <v>#VALUE!</v>
      </c>
      <c r="HR40" t="e">
        <f>AND(Sheet1!F538,"AAAAAH//f+E=")</f>
        <v>#VALUE!</v>
      </c>
      <c r="HS40" t="e">
        <f>AND(Sheet1!G538,"AAAAAH//f+I=")</f>
        <v>#VALUE!</v>
      </c>
      <c r="HT40" t="e">
        <f>AND(Sheet1!H538,"AAAAAH//f+M=")</f>
        <v>#VALUE!</v>
      </c>
      <c r="HU40" t="e">
        <f>AND(Sheet1!I538,"AAAAAH//f+Q=")</f>
        <v>#VALUE!</v>
      </c>
      <c r="HV40" t="e">
        <f>AND(Sheet1!J538,"AAAAAH//f+U=")</f>
        <v>#VALUE!</v>
      </c>
      <c r="HW40" t="e">
        <f>AND(Sheet1!K538,"AAAAAH//f+Y=")</f>
        <v>#VALUE!</v>
      </c>
      <c r="HX40" t="e">
        <f>AND(Sheet1!L538,"AAAAAH//f+c=")</f>
        <v>#VALUE!</v>
      </c>
      <c r="HY40" t="e">
        <f>AND(Sheet1!M538,"AAAAAH//f+g=")</f>
        <v>#VALUE!</v>
      </c>
      <c r="HZ40" t="e">
        <f>AND(Sheet1!N538,"AAAAAH//f+k=")</f>
        <v>#VALUE!</v>
      </c>
      <c r="IA40" t="e">
        <f>AND(Sheet1!#REF!,"AAAAAH//f+o=")</f>
        <v>#REF!</v>
      </c>
      <c r="IB40" t="e">
        <f>AND(Sheet1!#REF!,"AAAAAH//f+s=")</f>
        <v>#REF!</v>
      </c>
      <c r="IC40" t="e">
        <f>AND(Sheet1!#REF!,"AAAAAH//f+w=")</f>
        <v>#REF!</v>
      </c>
      <c r="ID40" t="e">
        <f>AND(Sheet1!#REF!,"AAAAAH//f+0=")</f>
        <v>#REF!</v>
      </c>
      <c r="IE40">
        <f>IF(Sheet1!539:539,"AAAAAH//f+4=",0)</f>
        <v>0</v>
      </c>
      <c r="IF40" t="e">
        <f>AND(Sheet1!A539,"AAAAAH//f+8=")</f>
        <v>#VALUE!</v>
      </c>
      <c r="IG40" t="e">
        <f>AND(Sheet1!B539,"AAAAAH//f/A=")</f>
        <v>#VALUE!</v>
      </c>
      <c r="IH40" t="e">
        <f>AND(Sheet1!C539,"AAAAAH//f/E=")</f>
        <v>#VALUE!</v>
      </c>
      <c r="II40" t="e">
        <f>AND(Sheet1!D539,"AAAAAH//f/I=")</f>
        <v>#VALUE!</v>
      </c>
      <c r="IJ40" t="e">
        <f>AND(Sheet1!E539,"AAAAAH//f/M=")</f>
        <v>#VALUE!</v>
      </c>
      <c r="IK40" t="e">
        <f>AND(Sheet1!F539,"AAAAAH//f/Q=")</f>
        <v>#VALUE!</v>
      </c>
      <c r="IL40" t="e">
        <f>AND(Sheet1!G539,"AAAAAH//f/U=")</f>
        <v>#VALUE!</v>
      </c>
      <c r="IM40" t="e">
        <f>AND(Sheet1!H539,"AAAAAH//f/Y=")</f>
        <v>#VALUE!</v>
      </c>
      <c r="IN40" t="e">
        <f>AND(Sheet1!I539,"AAAAAH//f/c=")</f>
        <v>#VALUE!</v>
      </c>
      <c r="IO40" t="e">
        <f>AND(Sheet1!J539,"AAAAAH//f/g=")</f>
        <v>#VALUE!</v>
      </c>
      <c r="IP40" t="e">
        <f>AND(Sheet1!K539,"AAAAAH//f/k=")</f>
        <v>#VALUE!</v>
      </c>
      <c r="IQ40" t="e">
        <f>AND(Sheet1!L539,"AAAAAH//f/o=")</f>
        <v>#VALUE!</v>
      </c>
      <c r="IR40" t="e">
        <f>AND(Sheet1!M539,"AAAAAH//f/s=")</f>
        <v>#VALUE!</v>
      </c>
      <c r="IS40" t="e">
        <f>AND(Sheet1!N539,"AAAAAH//f/w=")</f>
        <v>#VALUE!</v>
      </c>
      <c r="IT40" t="e">
        <f>AND(Sheet1!#REF!,"AAAAAH//f/0=")</f>
        <v>#REF!</v>
      </c>
      <c r="IU40" t="e">
        <f>AND(Sheet1!#REF!,"AAAAAH//f/4=")</f>
        <v>#REF!</v>
      </c>
      <c r="IV40" t="e">
        <f>AND(Sheet1!#REF!,"AAAAAH//f/8=")</f>
        <v>#REF!</v>
      </c>
    </row>
    <row r="41" spans="1:256" x14ac:dyDescent="0.2">
      <c r="A41" t="e">
        <f>AND(Sheet1!#REF!,"AAAAAGvc4wA=")</f>
        <v>#REF!</v>
      </c>
      <c r="B41" t="e">
        <f>IF(Sheet1!540:540,"AAAAAGvc4wE=",0)</f>
        <v>#VALUE!</v>
      </c>
      <c r="C41" t="e">
        <f>AND(Sheet1!A540,"AAAAAGvc4wI=")</f>
        <v>#VALUE!</v>
      </c>
      <c r="D41" t="e">
        <f>AND(Sheet1!B540,"AAAAAGvc4wM=")</f>
        <v>#VALUE!</v>
      </c>
      <c r="E41" t="e">
        <f>AND(Sheet1!C540,"AAAAAGvc4wQ=")</f>
        <v>#VALUE!</v>
      </c>
      <c r="F41" t="e">
        <f>AND(Sheet1!D540,"AAAAAGvc4wU=")</f>
        <v>#VALUE!</v>
      </c>
      <c r="G41" t="e">
        <f>AND(Sheet1!E540,"AAAAAGvc4wY=")</f>
        <v>#VALUE!</v>
      </c>
      <c r="H41" t="e">
        <f>AND(Sheet1!F540,"AAAAAGvc4wc=")</f>
        <v>#VALUE!</v>
      </c>
      <c r="I41" t="e">
        <f>AND(Sheet1!G540,"AAAAAGvc4wg=")</f>
        <v>#VALUE!</v>
      </c>
      <c r="J41" t="e">
        <f>AND(Sheet1!H540,"AAAAAGvc4wk=")</f>
        <v>#VALUE!</v>
      </c>
      <c r="K41" t="e">
        <f>AND(Sheet1!I540,"AAAAAGvc4wo=")</f>
        <v>#VALUE!</v>
      </c>
      <c r="L41" t="e">
        <f>AND(Sheet1!J540,"AAAAAGvc4ws=")</f>
        <v>#VALUE!</v>
      </c>
      <c r="M41" t="e">
        <f>AND(Sheet1!K540,"AAAAAGvc4ww=")</f>
        <v>#VALUE!</v>
      </c>
      <c r="N41" t="e">
        <f>AND(Sheet1!L540,"AAAAAGvc4w0=")</f>
        <v>#VALUE!</v>
      </c>
      <c r="O41" t="e">
        <f>AND(Sheet1!M540,"AAAAAGvc4w4=")</f>
        <v>#VALUE!</v>
      </c>
      <c r="P41" t="e">
        <f>AND(Sheet1!N540,"AAAAAGvc4w8=")</f>
        <v>#VALUE!</v>
      </c>
      <c r="Q41" t="e">
        <f>AND(Sheet1!#REF!,"AAAAAGvc4xA=")</f>
        <v>#REF!</v>
      </c>
      <c r="R41" t="e">
        <f>AND(Sheet1!#REF!,"AAAAAGvc4xE=")</f>
        <v>#REF!</v>
      </c>
      <c r="S41" t="e">
        <f>AND(Sheet1!#REF!,"AAAAAGvc4xI=")</f>
        <v>#REF!</v>
      </c>
      <c r="T41" t="e">
        <f>AND(Sheet1!#REF!,"AAAAAGvc4xM=")</f>
        <v>#REF!</v>
      </c>
      <c r="U41">
        <f>IF(Sheet1!541:541,"AAAAAGvc4xQ=",0)</f>
        <v>0</v>
      </c>
      <c r="V41" t="e">
        <f>AND(Sheet1!A541,"AAAAAGvc4xU=")</f>
        <v>#VALUE!</v>
      </c>
      <c r="W41" t="e">
        <f>AND(Sheet1!B541,"AAAAAGvc4xY=")</f>
        <v>#VALUE!</v>
      </c>
      <c r="X41" t="e">
        <f>AND(Sheet1!C541,"AAAAAGvc4xc=")</f>
        <v>#VALUE!</v>
      </c>
      <c r="Y41" t="e">
        <f>AND(Sheet1!D541,"AAAAAGvc4xg=")</f>
        <v>#VALUE!</v>
      </c>
      <c r="Z41" t="e">
        <f>AND(Sheet1!E541,"AAAAAGvc4xk=")</f>
        <v>#VALUE!</v>
      </c>
      <c r="AA41" t="e">
        <f>AND(Sheet1!F541,"AAAAAGvc4xo=")</f>
        <v>#VALUE!</v>
      </c>
      <c r="AB41" t="e">
        <f>AND(Sheet1!G541,"AAAAAGvc4xs=")</f>
        <v>#VALUE!</v>
      </c>
      <c r="AC41" t="e">
        <f>AND(Sheet1!H541,"AAAAAGvc4xw=")</f>
        <v>#VALUE!</v>
      </c>
      <c r="AD41" t="e">
        <f>AND(Sheet1!I541,"AAAAAGvc4x0=")</f>
        <v>#VALUE!</v>
      </c>
      <c r="AE41" t="e">
        <f>AND(Sheet1!J541,"AAAAAGvc4x4=")</f>
        <v>#VALUE!</v>
      </c>
      <c r="AF41" t="e">
        <f>AND(Sheet1!K541,"AAAAAGvc4x8=")</f>
        <v>#VALUE!</v>
      </c>
      <c r="AG41" t="e">
        <f>AND(Sheet1!L541,"AAAAAGvc4yA=")</f>
        <v>#VALUE!</v>
      </c>
      <c r="AH41" t="e">
        <f>AND(Sheet1!M541,"AAAAAGvc4yE=")</f>
        <v>#VALUE!</v>
      </c>
      <c r="AI41" t="e">
        <f>AND(Sheet1!N541,"AAAAAGvc4yI=")</f>
        <v>#VALUE!</v>
      </c>
      <c r="AJ41" t="e">
        <f>AND(Sheet1!#REF!,"AAAAAGvc4yM=")</f>
        <v>#REF!</v>
      </c>
      <c r="AK41" t="e">
        <f>AND(Sheet1!#REF!,"AAAAAGvc4yQ=")</f>
        <v>#REF!</v>
      </c>
      <c r="AL41" t="e">
        <f>AND(Sheet1!#REF!,"AAAAAGvc4yU=")</f>
        <v>#REF!</v>
      </c>
      <c r="AM41" t="e">
        <f>AND(Sheet1!#REF!,"AAAAAGvc4yY=")</f>
        <v>#REF!</v>
      </c>
      <c r="AN41">
        <f>IF(Sheet1!542:542,"AAAAAGvc4yc=",0)</f>
        <v>0</v>
      </c>
      <c r="AO41" t="e">
        <f>AND(Sheet1!A542,"AAAAAGvc4yg=")</f>
        <v>#VALUE!</v>
      </c>
      <c r="AP41" t="e">
        <f>AND(Sheet1!B542,"AAAAAGvc4yk=")</f>
        <v>#VALUE!</v>
      </c>
      <c r="AQ41" t="e">
        <f>AND(Sheet1!C542,"AAAAAGvc4yo=")</f>
        <v>#VALUE!</v>
      </c>
      <c r="AR41" t="e">
        <f>AND(Sheet1!D542,"AAAAAGvc4ys=")</f>
        <v>#VALUE!</v>
      </c>
      <c r="AS41" t="e">
        <f>AND(Sheet1!E542,"AAAAAGvc4yw=")</f>
        <v>#VALUE!</v>
      </c>
      <c r="AT41" t="e">
        <f>AND(Sheet1!F542,"AAAAAGvc4y0=")</f>
        <v>#VALUE!</v>
      </c>
      <c r="AU41" t="e">
        <f>AND(Sheet1!G542,"AAAAAGvc4y4=")</f>
        <v>#VALUE!</v>
      </c>
      <c r="AV41" t="e">
        <f>AND(Sheet1!H542,"AAAAAGvc4y8=")</f>
        <v>#VALUE!</v>
      </c>
      <c r="AW41" t="e">
        <f>AND(Sheet1!I542,"AAAAAGvc4zA=")</f>
        <v>#VALUE!</v>
      </c>
      <c r="AX41" t="e">
        <f>AND(Sheet1!J542,"AAAAAGvc4zE=")</f>
        <v>#VALUE!</v>
      </c>
      <c r="AY41" t="e">
        <f>AND(Sheet1!K542,"AAAAAGvc4zI=")</f>
        <v>#VALUE!</v>
      </c>
      <c r="AZ41" t="e">
        <f>AND(Sheet1!L542,"AAAAAGvc4zM=")</f>
        <v>#VALUE!</v>
      </c>
      <c r="BA41" t="e">
        <f>AND(Sheet1!M542,"AAAAAGvc4zQ=")</f>
        <v>#VALUE!</v>
      </c>
      <c r="BB41" t="e">
        <f>AND(Sheet1!N542,"AAAAAGvc4zU=")</f>
        <v>#VALUE!</v>
      </c>
      <c r="BC41" t="e">
        <f>AND(Sheet1!#REF!,"AAAAAGvc4zY=")</f>
        <v>#REF!</v>
      </c>
      <c r="BD41" t="e">
        <f>AND(Sheet1!#REF!,"AAAAAGvc4zc=")</f>
        <v>#REF!</v>
      </c>
      <c r="BE41" t="e">
        <f>AND(Sheet1!#REF!,"AAAAAGvc4zg=")</f>
        <v>#REF!</v>
      </c>
      <c r="BF41" t="e">
        <f>AND(Sheet1!#REF!,"AAAAAGvc4zk=")</f>
        <v>#REF!</v>
      </c>
      <c r="BG41">
        <f>IF(Sheet1!543:543,"AAAAAGvc4zo=",0)</f>
        <v>0</v>
      </c>
      <c r="BH41" t="e">
        <f>AND(Sheet1!A543,"AAAAAGvc4zs=")</f>
        <v>#VALUE!</v>
      </c>
      <c r="BI41" t="e">
        <f>AND(Sheet1!B543,"AAAAAGvc4zw=")</f>
        <v>#VALUE!</v>
      </c>
      <c r="BJ41" t="e">
        <f>AND(Sheet1!C543,"AAAAAGvc4z0=")</f>
        <v>#VALUE!</v>
      </c>
      <c r="BK41" t="e">
        <f>AND(Sheet1!D543,"AAAAAGvc4z4=")</f>
        <v>#VALUE!</v>
      </c>
      <c r="BL41" t="e">
        <f>AND(Sheet1!E543,"AAAAAGvc4z8=")</f>
        <v>#VALUE!</v>
      </c>
      <c r="BM41" t="e">
        <f>AND(Sheet1!F543,"AAAAAGvc40A=")</f>
        <v>#VALUE!</v>
      </c>
      <c r="BN41" t="e">
        <f>AND(Sheet1!G543,"AAAAAGvc40E=")</f>
        <v>#VALUE!</v>
      </c>
      <c r="BO41" t="e">
        <f>AND(Sheet1!H543,"AAAAAGvc40I=")</f>
        <v>#VALUE!</v>
      </c>
      <c r="BP41" t="e">
        <f>AND(Sheet1!I543,"AAAAAGvc40M=")</f>
        <v>#VALUE!</v>
      </c>
      <c r="BQ41" t="e">
        <f>AND(Sheet1!J543,"AAAAAGvc40Q=")</f>
        <v>#VALUE!</v>
      </c>
      <c r="BR41" t="e">
        <f>AND(Sheet1!K543,"AAAAAGvc40U=")</f>
        <v>#VALUE!</v>
      </c>
      <c r="BS41" t="e">
        <f>AND(Sheet1!L543,"AAAAAGvc40Y=")</f>
        <v>#VALUE!</v>
      </c>
      <c r="BT41" t="e">
        <f>AND(Sheet1!M543,"AAAAAGvc40c=")</f>
        <v>#VALUE!</v>
      </c>
      <c r="BU41" t="e">
        <f>AND(Sheet1!N543,"AAAAAGvc40g=")</f>
        <v>#VALUE!</v>
      </c>
      <c r="BV41" t="e">
        <f>AND(Sheet1!#REF!,"AAAAAGvc40k=")</f>
        <v>#REF!</v>
      </c>
      <c r="BW41" t="e">
        <f>AND(Sheet1!#REF!,"AAAAAGvc40o=")</f>
        <v>#REF!</v>
      </c>
      <c r="BX41" t="e">
        <f>AND(Sheet1!#REF!,"AAAAAGvc40s=")</f>
        <v>#REF!</v>
      </c>
      <c r="BY41" t="e">
        <f>AND(Sheet1!#REF!,"AAAAAGvc40w=")</f>
        <v>#REF!</v>
      </c>
      <c r="BZ41">
        <f>IF(Sheet1!544:544,"AAAAAGvc400=",0)</f>
        <v>0</v>
      </c>
      <c r="CA41" t="e">
        <f>AND(Sheet1!A544,"AAAAAGvc404=")</f>
        <v>#VALUE!</v>
      </c>
      <c r="CB41" t="e">
        <f>AND(Sheet1!B544,"AAAAAGvc408=")</f>
        <v>#VALUE!</v>
      </c>
      <c r="CC41" t="e">
        <f>AND(Sheet1!C544,"AAAAAGvc41A=")</f>
        <v>#VALUE!</v>
      </c>
      <c r="CD41" t="e">
        <f>AND(Sheet1!D544,"AAAAAGvc41E=")</f>
        <v>#VALUE!</v>
      </c>
      <c r="CE41" t="e">
        <f>AND(Sheet1!E544,"AAAAAGvc41I=")</f>
        <v>#VALUE!</v>
      </c>
      <c r="CF41" t="e">
        <f>AND(Sheet1!F544,"AAAAAGvc41M=")</f>
        <v>#VALUE!</v>
      </c>
      <c r="CG41" t="e">
        <f>AND(Sheet1!G544,"AAAAAGvc41Q=")</f>
        <v>#VALUE!</v>
      </c>
      <c r="CH41" t="e">
        <f>AND(Sheet1!H544,"AAAAAGvc41U=")</f>
        <v>#VALUE!</v>
      </c>
      <c r="CI41" t="e">
        <f>AND(Sheet1!I544,"AAAAAGvc41Y=")</f>
        <v>#VALUE!</v>
      </c>
      <c r="CJ41" t="e">
        <f>AND(Sheet1!J544,"AAAAAGvc41c=")</f>
        <v>#VALUE!</v>
      </c>
      <c r="CK41" t="e">
        <f>AND(Sheet1!K544,"AAAAAGvc41g=")</f>
        <v>#VALUE!</v>
      </c>
      <c r="CL41" t="e">
        <f>AND(Sheet1!L544,"AAAAAGvc41k=")</f>
        <v>#VALUE!</v>
      </c>
      <c r="CM41" t="e">
        <f>AND(Sheet1!M544,"AAAAAGvc41o=")</f>
        <v>#VALUE!</v>
      </c>
      <c r="CN41" t="e">
        <f>AND(Sheet1!N544,"AAAAAGvc41s=")</f>
        <v>#VALUE!</v>
      </c>
      <c r="CO41" t="e">
        <f>AND(Sheet1!#REF!,"AAAAAGvc41w=")</f>
        <v>#REF!</v>
      </c>
      <c r="CP41" t="e">
        <f>AND(Sheet1!#REF!,"AAAAAGvc410=")</f>
        <v>#REF!</v>
      </c>
      <c r="CQ41" t="e">
        <f>AND(Sheet1!#REF!,"AAAAAGvc414=")</f>
        <v>#REF!</v>
      </c>
      <c r="CR41" t="e">
        <f>AND(Sheet1!#REF!,"AAAAAGvc418=")</f>
        <v>#REF!</v>
      </c>
      <c r="CS41">
        <f>IF(Sheet1!545:545,"AAAAAGvc42A=",0)</f>
        <v>0</v>
      </c>
      <c r="CT41" t="e">
        <f>AND(Sheet1!A545,"AAAAAGvc42E=")</f>
        <v>#VALUE!</v>
      </c>
      <c r="CU41" t="e">
        <f>AND(Sheet1!B545,"AAAAAGvc42I=")</f>
        <v>#VALUE!</v>
      </c>
      <c r="CV41" t="e">
        <f>AND(Sheet1!C545,"AAAAAGvc42M=")</f>
        <v>#VALUE!</v>
      </c>
      <c r="CW41" t="e">
        <f>AND(Sheet1!D545,"AAAAAGvc42Q=")</f>
        <v>#VALUE!</v>
      </c>
      <c r="CX41" t="e">
        <f>AND(Sheet1!E545,"AAAAAGvc42U=")</f>
        <v>#VALUE!</v>
      </c>
      <c r="CY41" t="e">
        <f>AND(Sheet1!F545,"AAAAAGvc42Y=")</f>
        <v>#VALUE!</v>
      </c>
      <c r="CZ41" t="e">
        <f>AND(Sheet1!G545,"AAAAAGvc42c=")</f>
        <v>#VALUE!</v>
      </c>
      <c r="DA41" t="e">
        <f>AND(Sheet1!H545,"AAAAAGvc42g=")</f>
        <v>#VALUE!</v>
      </c>
      <c r="DB41" t="e">
        <f>AND(Sheet1!I545,"AAAAAGvc42k=")</f>
        <v>#VALUE!</v>
      </c>
      <c r="DC41" t="e">
        <f>AND(Sheet1!J545,"AAAAAGvc42o=")</f>
        <v>#VALUE!</v>
      </c>
      <c r="DD41" t="e">
        <f>AND(Sheet1!K545,"AAAAAGvc42s=")</f>
        <v>#VALUE!</v>
      </c>
      <c r="DE41" t="e">
        <f>AND(Sheet1!L545,"AAAAAGvc42w=")</f>
        <v>#VALUE!</v>
      </c>
      <c r="DF41" t="e">
        <f>AND(Sheet1!M545,"AAAAAGvc420=")</f>
        <v>#VALUE!</v>
      </c>
      <c r="DG41" t="e">
        <f>AND(Sheet1!N545,"AAAAAGvc424=")</f>
        <v>#VALUE!</v>
      </c>
      <c r="DH41" t="e">
        <f>AND(Sheet1!#REF!,"AAAAAGvc428=")</f>
        <v>#REF!</v>
      </c>
      <c r="DI41" t="e">
        <f>AND(Sheet1!#REF!,"AAAAAGvc43A=")</f>
        <v>#REF!</v>
      </c>
      <c r="DJ41" t="e">
        <f>AND(Sheet1!#REF!,"AAAAAGvc43E=")</f>
        <v>#REF!</v>
      </c>
      <c r="DK41" t="e">
        <f>AND(Sheet1!#REF!,"AAAAAGvc43I=")</f>
        <v>#REF!</v>
      </c>
      <c r="DL41">
        <f>IF(Sheet1!546:546,"AAAAAGvc43M=",0)</f>
        <v>0</v>
      </c>
      <c r="DM41" t="e">
        <f>AND(Sheet1!A546,"AAAAAGvc43Q=")</f>
        <v>#VALUE!</v>
      </c>
      <c r="DN41" t="e">
        <f>AND(Sheet1!B546,"AAAAAGvc43U=")</f>
        <v>#VALUE!</v>
      </c>
      <c r="DO41" t="e">
        <f>AND(Sheet1!C546,"AAAAAGvc43Y=")</f>
        <v>#VALUE!</v>
      </c>
      <c r="DP41" t="e">
        <f>AND(Sheet1!D546,"AAAAAGvc43c=")</f>
        <v>#VALUE!</v>
      </c>
      <c r="DQ41" t="e">
        <f>AND(Sheet1!E546,"AAAAAGvc43g=")</f>
        <v>#VALUE!</v>
      </c>
      <c r="DR41" t="e">
        <f>AND(Sheet1!F546,"AAAAAGvc43k=")</f>
        <v>#VALUE!</v>
      </c>
      <c r="DS41" t="e">
        <f>AND(Sheet1!G546,"AAAAAGvc43o=")</f>
        <v>#VALUE!</v>
      </c>
      <c r="DT41" t="e">
        <f>AND(Sheet1!H546,"AAAAAGvc43s=")</f>
        <v>#VALUE!</v>
      </c>
      <c r="DU41" t="e">
        <f>AND(Sheet1!I546,"AAAAAGvc43w=")</f>
        <v>#VALUE!</v>
      </c>
      <c r="DV41" t="e">
        <f>AND(Sheet1!J546,"AAAAAGvc430=")</f>
        <v>#VALUE!</v>
      </c>
      <c r="DW41" t="e">
        <f>AND(Sheet1!K546,"AAAAAGvc434=")</f>
        <v>#VALUE!</v>
      </c>
      <c r="DX41" t="e">
        <f>AND(Sheet1!L546,"AAAAAGvc438=")</f>
        <v>#VALUE!</v>
      </c>
      <c r="DY41" t="e">
        <f>AND(Sheet1!M546,"AAAAAGvc44A=")</f>
        <v>#VALUE!</v>
      </c>
      <c r="DZ41" t="e">
        <f>AND(Sheet1!N546,"AAAAAGvc44E=")</f>
        <v>#VALUE!</v>
      </c>
      <c r="EA41" t="e">
        <f>AND(Sheet1!#REF!,"AAAAAGvc44I=")</f>
        <v>#REF!</v>
      </c>
      <c r="EB41" t="e">
        <f>AND(Sheet1!#REF!,"AAAAAGvc44M=")</f>
        <v>#REF!</v>
      </c>
      <c r="EC41" t="e">
        <f>AND(Sheet1!#REF!,"AAAAAGvc44Q=")</f>
        <v>#REF!</v>
      </c>
      <c r="ED41" t="e">
        <f>AND(Sheet1!#REF!,"AAAAAGvc44U=")</f>
        <v>#REF!</v>
      </c>
      <c r="EE41">
        <f>IF(Sheet1!547:547,"AAAAAGvc44Y=",0)</f>
        <v>0</v>
      </c>
      <c r="EF41" t="e">
        <f>AND(Sheet1!A547,"AAAAAGvc44c=")</f>
        <v>#VALUE!</v>
      </c>
      <c r="EG41" t="e">
        <f>AND(Sheet1!B547,"AAAAAGvc44g=")</f>
        <v>#VALUE!</v>
      </c>
      <c r="EH41" t="e">
        <f>AND(Sheet1!C547,"AAAAAGvc44k=")</f>
        <v>#VALUE!</v>
      </c>
      <c r="EI41" t="e">
        <f>AND(Sheet1!D547,"AAAAAGvc44o=")</f>
        <v>#VALUE!</v>
      </c>
      <c r="EJ41" t="e">
        <f>AND(Sheet1!E547,"AAAAAGvc44s=")</f>
        <v>#VALUE!</v>
      </c>
      <c r="EK41" t="e">
        <f>AND(Sheet1!F547,"AAAAAGvc44w=")</f>
        <v>#VALUE!</v>
      </c>
      <c r="EL41" t="e">
        <f>AND(Sheet1!G547,"AAAAAGvc440=")</f>
        <v>#VALUE!</v>
      </c>
      <c r="EM41" t="e">
        <f>AND(Sheet1!H547,"AAAAAGvc444=")</f>
        <v>#VALUE!</v>
      </c>
      <c r="EN41" t="e">
        <f>AND(Sheet1!I547,"AAAAAGvc448=")</f>
        <v>#VALUE!</v>
      </c>
      <c r="EO41" t="e">
        <f>AND(Sheet1!J547,"AAAAAGvc45A=")</f>
        <v>#VALUE!</v>
      </c>
      <c r="EP41" t="e">
        <f>AND(Sheet1!K547,"AAAAAGvc45E=")</f>
        <v>#VALUE!</v>
      </c>
      <c r="EQ41" t="e">
        <f>AND(Sheet1!L547,"AAAAAGvc45I=")</f>
        <v>#VALUE!</v>
      </c>
      <c r="ER41" t="e">
        <f>AND(Sheet1!M547,"AAAAAGvc45M=")</f>
        <v>#VALUE!</v>
      </c>
      <c r="ES41" t="e">
        <f>AND(Sheet1!N547,"AAAAAGvc45Q=")</f>
        <v>#VALUE!</v>
      </c>
      <c r="ET41" t="e">
        <f>AND(Sheet1!#REF!,"AAAAAGvc45U=")</f>
        <v>#REF!</v>
      </c>
      <c r="EU41" t="e">
        <f>AND(Sheet1!#REF!,"AAAAAGvc45Y=")</f>
        <v>#REF!</v>
      </c>
      <c r="EV41" t="e">
        <f>AND(Sheet1!#REF!,"AAAAAGvc45c=")</f>
        <v>#REF!</v>
      </c>
      <c r="EW41" t="e">
        <f>AND(Sheet1!#REF!,"AAAAAGvc45g=")</f>
        <v>#REF!</v>
      </c>
      <c r="EX41">
        <f>IF(Sheet1!548:548,"AAAAAGvc45k=",0)</f>
        <v>0</v>
      </c>
      <c r="EY41" t="e">
        <f>AND(Sheet1!A548,"AAAAAGvc45o=")</f>
        <v>#VALUE!</v>
      </c>
      <c r="EZ41" t="e">
        <f>AND(Sheet1!B548,"AAAAAGvc45s=")</f>
        <v>#VALUE!</v>
      </c>
      <c r="FA41" t="e">
        <f>AND(Sheet1!C548,"AAAAAGvc45w=")</f>
        <v>#VALUE!</v>
      </c>
      <c r="FB41" t="e">
        <f>AND(Sheet1!D548,"AAAAAGvc450=")</f>
        <v>#VALUE!</v>
      </c>
      <c r="FC41" t="e">
        <f>AND(Sheet1!E548,"AAAAAGvc454=")</f>
        <v>#VALUE!</v>
      </c>
      <c r="FD41" t="e">
        <f>AND(Sheet1!F548,"AAAAAGvc458=")</f>
        <v>#VALUE!</v>
      </c>
      <c r="FE41" t="e">
        <f>AND(Sheet1!G548,"AAAAAGvc46A=")</f>
        <v>#VALUE!</v>
      </c>
      <c r="FF41" t="e">
        <f>AND(Sheet1!H548,"AAAAAGvc46E=")</f>
        <v>#VALUE!</v>
      </c>
      <c r="FG41" t="e">
        <f>AND(Sheet1!I548,"AAAAAGvc46I=")</f>
        <v>#VALUE!</v>
      </c>
      <c r="FH41" t="e">
        <f>AND(Sheet1!J548,"AAAAAGvc46M=")</f>
        <v>#VALUE!</v>
      </c>
      <c r="FI41" t="e">
        <f>AND(Sheet1!K548,"AAAAAGvc46Q=")</f>
        <v>#VALUE!</v>
      </c>
      <c r="FJ41" t="e">
        <f>AND(Sheet1!L548,"AAAAAGvc46U=")</f>
        <v>#VALUE!</v>
      </c>
      <c r="FK41" t="e">
        <f>AND(Sheet1!M548,"AAAAAGvc46Y=")</f>
        <v>#VALUE!</v>
      </c>
      <c r="FL41" t="e">
        <f>AND(Sheet1!N548,"AAAAAGvc46c=")</f>
        <v>#VALUE!</v>
      </c>
      <c r="FM41" t="e">
        <f>AND(Sheet1!#REF!,"AAAAAGvc46g=")</f>
        <v>#REF!</v>
      </c>
      <c r="FN41" t="e">
        <f>AND(Sheet1!#REF!,"AAAAAGvc46k=")</f>
        <v>#REF!</v>
      </c>
      <c r="FO41" t="e">
        <f>AND(Sheet1!#REF!,"AAAAAGvc46o=")</f>
        <v>#REF!</v>
      </c>
      <c r="FP41" t="e">
        <f>AND(Sheet1!#REF!,"AAAAAGvc46s=")</f>
        <v>#REF!</v>
      </c>
      <c r="FQ41">
        <f>IF(Sheet1!549:549,"AAAAAGvc46w=",0)</f>
        <v>0</v>
      </c>
      <c r="FR41" t="e">
        <f>AND(Sheet1!A549,"AAAAAGvc460=")</f>
        <v>#VALUE!</v>
      </c>
      <c r="FS41" t="e">
        <f>AND(Sheet1!B549,"AAAAAGvc464=")</f>
        <v>#VALUE!</v>
      </c>
      <c r="FT41" t="e">
        <f>AND(Sheet1!C549,"AAAAAGvc468=")</f>
        <v>#VALUE!</v>
      </c>
      <c r="FU41" t="e">
        <f>AND(Sheet1!D549,"AAAAAGvc47A=")</f>
        <v>#VALUE!</v>
      </c>
      <c r="FV41" t="e">
        <f>AND(Sheet1!E549,"AAAAAGvc47E=")</f>
        <v>#VALUE!</v>
      </c>
      <c r="FW41" t="e">
        <f>AND(Sheet1!F549,"AAAAAGvc47I=")</f>
        <v>#VALUE!</v>
      </c>
      <c r="FX41" t="e">
        <f>AND(Sheet1!G549,"AAAAAGvc47M=")</f>
        <v>#VALUE!</v>
      </c>
      <c r="FY41" t="e">
        <f>AND(Sheet1!H549,"AAAAAGvc47Q=")</f>
        <v>#VALUE!</v>
      </c>
      <c r="FZ41" t="e">
        <f>AND(Sheet1!I549,"AAAAAGvc47U=")</f>
        <v>#VALUE!</v>
      </c>
      <c r="GA41" t="e">
        <f>AND(Sheet1!J549,"AAAAAGvc47Y=")</f>
        <v>#VALUE!</v>
      </c>
      <c r="GB41" t="e">
        <f>AND(Sheet1!K549,"AAAAAGvc47c=")</f>
        <v>#VALUE!</v>
      </c>
      <c r="GC41" t="e">
        <f>AND(Sheet1!L549,"AAAAAGvc47g=")</f>
        <v>#VALUE!</v>
      </c>
      <c r="GD41" t="e">
        <f>AND(Sheet1!M549,"AAAAAGvc47k=")</f>
        <v>#VALUE!</v>
      </c>
      <c r="GE41" t="e">
        <f>AND(Sheet1!N549,"AAAAAGvc47o=")</f>
        <v>#VALUE!</v>
      </c>
      <c r="GF41" t="e">
        <f>AND(Sheet1!#REF!,"AAAAAGvc47s=")</f>
        <v>#REF!</v>
      </c>
      <c r="GG41" t="e">
        <f>AND(Sheet1!#REF!,"AAAAAGvc47w=")</f>
        <v>#REF!</v>
      </c>
      <c r="GH41" t="e">
        <f>AND(Sheet1!#REF!,"AAAAAGvc470=")</f>
        <v>#REF!</v>
      </c>
      <c r="GI41" t="e">
        <f>AND(Sheet1!#REF!,"AAAAAGvc474=")</f>
        <v>#REF!</v>
      </c>
      <c r="GJ41">
        <f>IF(Sheet1!550:550,"AAAAAGvc478=",0)</f>
        <v>0</v>
      </c>
      <c r="GK41" t="e">
        <f>AND(Sheet1!A550,"AAAAAGvc48A=")</f>
        <v>#VALUE!</v>
      </c>
      <c r="GL41" t="e">
        <f>AND(Sheet1!B550,"AAAAAGvc48E=")</f>
        <v>#VALUE!</v>
      </c>
      <c r="GM41" t="e">
        <f>AND(Sheet1!C550,"AAAAAGvc48I=")</f>
        <v>#VALUE!</v>
      </c>
      <c r="GN41" t="e">
        <f>AND(Sheet1!D550,"AAAAAGvc48M=")</f>
        <v>#VALUE!</v>
      </c>
      <c r="GO41" t="e">
        <f>AND(Sheet1!E550,"AAAAAGvc48Q=")</f>
        <v>#VALUE!</v>
      </c>
      <c r="GP41" t="e">
        <f>AND(Sheet1!F550,"AAAAAGvc48U=")</f>
        <v>#VALUE!</v>
      </c>
      <c r="GQ41" t="e">
        <f>AND(Sheet1!G550,"AAAAAGvc48Y=")</f>
        <v>#VALUE!</v>
      </c>
      <c r="GR41" t="e">
        <f>AND(Sheet1!H550,"AAAAAGvc48c=")</f>
        <v>#VALUE!</v>
      </c>
      <c r="GS41" t="e">
        <f>AND(Sheet1!I550,"AAAAAGvc48g=")</f>
        <v>#VALUE!</v>
      </c>
      <c r="GT41" t="e">
        <f>AND(Sheet1!J550,"AAAAAGvc48k=")</f>
        <v>#VALUE!</v>
      </c>
      <c r="GU41" t="e">
        <f>AND(Sheet1!K550,"AAAAAGvc48o=")</f>
        <v>#VALUE!</v>
      </c>
      <c r="GV41" t="e">
        <f>AND(Sheet1!L550,"AAAAAGvc48s=")</f>
        <v>#VALUE!</v>
      </c>
      <c r="GW41" t="e">
        <f>AND(Sheet1!M550,"AAAAAGvc48w=")</f>
        <v>#VALUE!</v>
      </c>
      <c r="GX41" t="e">
        <f>AND(Sheet1!N550,"AAAAAGvc480=")</f>
        <v>#VALUE!</v>
      </c>
      <c r="GY41" t="e">
        <f>AND(Sheet1!#REF!,"AAAAAGvc484=")</f>
        <v>#REF!</v>
      </c>
      <c r="GZ41" t="e">
        <f>AND(Sheet1!#REF!,"AAAAAGvc488=")</f>
        <v>#REF!</v>
      </c>
      <c r="HA41" t="e">
        <f>AND(Sheet1!#REF!,"AAAAAGvc49A=")</f>
        <v>#REF!</v>
      </c>
      <c r="HB41" t="e">
        <f>AND(Sheet1!#REF!,"AAAAAGvc49E=")</f>
        <v>#REF!</v>
      </c>
      <c r="HC41">
        <f>IF(Sheet1!551:551,"AAAAAGvc49I=",0)</f>
        <v>0</v>
      </c>
      <c r="HD41" t="e">
        <f>AND(Sheet1!A551,"AAAAAGvc49M=")</f>
        <v>#VALUE!</v>
      </c>
      <c r="HE41" t="e">
        <f>AND(Sheet1!B551,"AAAAAGvc49Q=")</f>
        <v>#VALUE!</v>
      </c>
      <c r="HF41" t="e">
        <f>AND(Sheet1!C551,"AAAAAGvc49U=")</f>
        <v>#VALUE!</v>
      </c>
      <c r="HG41" t="e">
        <f>AND(Sheet1!D551,"AAAAAGvc49Y=")</f>
        <v>#VALUE!</v>
      </c>
      <c r="HH41" t="e">
        <f>AND(Sheet1!E551,"AAAAAGvc49c=")</f>
        <v>#VALUE!</v>
      </c>
      <c r="HI41" t="e">
        <f>AND(Sheet1!F551,"AAAAAGvc49g=")</f>
        <v>#VALUE!</v>
      </c>
      <c r="HJ41" t="e">
        <f>AND(Sheet1!G551,"AAAAAGvc49k=")</f>
        <v>#VALUE!</v>
      </c>
      <c r="HK41" t="e">
        <f>AND(Sheet1!H551,"AAAAAGvc49o=")</f>
        <v>#VALUE!</v>
      </c>
      <c r="HL41" t="e">
        <f>AND(Sheet1!I551,"AAAAAGvc49s=")</f>
        <v>#VALUE!</v>
      </c>
      <c r="HM41" t="e">
        <f>AND(Sheet1!J551,"AAAAAGvc49w=")</f>
        <v>#VALUE!</v>
      </c>
      <c r="HN41" t="e">
        <f>AND(Sheet1!K551,"AAAAAGvc490=")</f>
        <v>#VALUE!</v>
      </c>
      <c r="HO41" t="e">
        <f>AND(Sheet1!L551,"AAAAAGvc494=")</f>
        <v>#VALUE!</v>
      </c>
      <c r="HP41" t="e">
        <f>AND(Sheet1!M551,"AAAAAGvc498=")</f>
        <v>#VALUE!</v>
      </c>
      <c r="HQ41" t="e">
        <f>AND(Sheet1!N551,"AAAAAGvc4+A=")</f>
        <v>#VALUE!</v>
      </c>
      <c r="HR41" t="e">
        <f>AND(Sheet1!#REF!,"AAAAAGvc4+E=")</f>
        <v>#REF!</v>
      </c>
      <c r="HS41" t="e">
        <f>AND(Sheet1!#REF!,"AAAAAGvc4+I=")</f>
        <v>#REF!</v>
      </c>
      <c r="HT41" t="e">
        <f>AND(Sheet1!#REF!,"AAAAAGvc4+M=")</f>
        <v>#REF!</v>
      </c>
      <c r="HU41" t="e">
        <f>AND(Sheet1!#REF!,"AAAAAGvc4+Q=")</f>
        <v>#REF!</v>
      </c>
      <c r="HV41">
        <f>IF(Sheet1!552:552,"AAAAAGvc4+U=",0)</f>
        <v>0</v>
      </c>
      <c r="HW41" t="e">
        <f>AND(Sheet1!A552,"AAAAAGvc4+Y=")</f>
        <v>#VALUE!</v>
      </c>
      <c r="HX41" t="e">
        <f>AND(Sheet1!B552,"AAAAAGvc4+c=")</f>
        <v>#VALUE!</v>
      </c>
      <c r="HY41" t="e">
        <f>AND(Sheet1!C552,"AAAAAGvc4+g=")</f>
        <v>#VALUE!</v>
      </c>
      <c r="HZ41" t="e">
        <f>AND(Sheet1!D552,"AAAAAGvc4+k=")</f>
        <v>#VALUE!</v>
      </c>
      <c r="IA41" t="e">
        <f>AND(Sheet1!E552,"AAAAAGvc4+o=")</f>
        <v>#VALUE!</v>
      </c>
      <c r="IB41" t="e">
        <f>AND(Sheet1!F552,"AAAAAGvc4+s=")</f>
        <v>#VALUE!</v>
      </c>
      <c r="IC41" t="e">
        <f>AND(Sheet1!G552,"AAAAAGvc4+w=")</f>
        <v>#VALUE!</v>
      </c>
      <c r="ID41" t="e">
        <f>AND(Sheet1!H552,"AAAAAGvc4+0=")</f>
        <v>#VALUE!</v>
      </c>
      <c r="IE41" t="e">
        <f>AND(Sheet1!I552,"AAAAAGvc4+4=")</f>
        <v>#VALUE!</v>
      </c>
      <c r="IF41" t="e">
        <f>AND(Sheet1!J552,"AAAAAGvc4+8=")</f>
        <v>#VALUE!</v>
      </c>
      <c r="IG41" t="e">
        <f>AND(Sheet1!K552,"AAAAAGvc4/A=")</f>
        <v>#VALUE!</v>
      </c>
      <c r="IH41" t="e">
        <f>AND(Sheet1!L552,"AAAAAGvc4/E=")</f>
        <v>#VALUE!</v>
      </c>
      <c r="II41" t="e">
        <f>AND(Sheet1!M552,"AAAAAGvc4/I=")</f>
        <v>#VALUE!</v>
      </c>
      <c r="IJ41" t="e">
        <f>AND(Sheet1!N552,"AAAAAGvc4/M=")</f>
        <v>#VALUE!</v>
      </c>
      <c r="IK41" t="e">
        <f>AND(Sheet1!#REF!,"AAAAAGvc4/Q=")</f>
        <v>#REF!</v>
      </c>
      <c r="IL41" t="e">
        <f>AND(Sheet1!#REF!,"AAAAAGvc4/U=")</f>
        <v>#REF!</v>
      </c>
      <c r="IM41" t="e">
        <f>AND(Sheet1!#REF!,"AAAAAGvc4/Y=")</f>
        <v>#REF!</v>
      </c>
      <c r="IN41" t="e">
        <f>AND(Sheet1!#REF!,"AAAAAGvc4/c=")</f>
        <v>#REF!</v>
      </c>
      <c r="IO41">
        <f>IF(Sheet1!553:553,"AAAAAGvc4/g=",0)</f>
        <v>0</v>
      </c>
      <c r="IP41" t="e">
        <f>AND(Sheet1!A553,"AAAAAGvc4/k=")</f>
        <v>#VALUE!</v>
      </c>
      <c r="IQ41" t="e">
        <f>AND(Sheet1!B553,"AAAAAGvc4/o=")</f>
        <v>#VALUE!</v>
      </c>
      <c r="IR41" t="e">
        <f>AND(Sheet1!C553,"AAAAAGvc4/s=")</f>
        <v>#VALUE!</v>
      </c>
      <c r="IS41" t="e">
        <f>AND(Sheet1!D553,"AAAAAGvc4/w=")</f>
        <v>#VALUE!</v>
      </c>
      <c r="IT41" t="e">
        <f>AND(Sheet1!E553,"AAAAAGvc4/0=")</f>
        <v>#VALUE!</v>
      </c>
      <c r="IU41" t="e">
        <f>AND(Sheet1!F553,"AAAAAGvc4/4=")</f>
        <v>#VALUE!</v>
      </c>
      <c r="IV41" t="e">
        <f>AND(Sheet1!G553,"AAAAAGvc4/8=")</f>
        <v>#VALUE!</v>
      </c>
    </row>
    <row r="42" spans="1:256" x14ac:dyDescent="0.2">
      <c r="A42" t="e">
        <f>AND(Sheet1!H553,"AAAAAE923QA=")</f>
        <v>#VALUE!</v>
      </c>
      <c r="B42" t="e">
        <f>AND(Sheet1!I553,"AAAAAE923QE=")</f>
        <v>#VALUE!</v>
      </c>
      <c r="C42" t="e">
        <f>AND(Sheet1!J553,"AAAAAE923QI=")</f>
        <v>#VALUE!</v>
      </c>
      <c r="D42" t="e">
        <f>AND(Sheet1!K553,"AAAAAE923QM=")</f>
        <v>#VALUE!</v>
      </c>
      <c r="E42" t="e">
        <f>AND(Sheet1!L553,"AAAAAE923QQ=")</f>
        <v>#VALUE!</v>
      </c>
      <c r="F42" t="e">
        <f>AND(Sheet1!M553,"AAAAAE923QU=")</f>
        <v>#VALUE!</v>
      </c>
      <c r="G42" t="e">
        <f>AND(Sheet1!N553,"AAAAAE923QY=")</f>
        <v>#VALUE!</v>
      </c>
      <c r="H42" t="e">
        <f>AND(Sheet1!#REF!,"AAAAAE923Qc=")</f>
        <v>#REF!</v>
      </c>
      <c r="I42" t="e">
        <f>AND(Sheet1!#REF!,"AAAAAE923Qg=")</f>
        <v>#REF!</v>
      </c>
      <c r="J42" t="e">
        <f>AND(Sheet1!#REF!,"AAAAAE923Qk=")</f>
        <v>#REF!</v>
      </c>
      <c r="K42" t="e">
        <f>AND(Sheet1!#REF!,"AAAAAE923Qo=")</f>
        <v>#REF!</v>
      </c>
      <c r="L42">
        <f>IF(Sheet1!554:554,"AAAAAE923Qs=",0)</f>
        <v>0</v>
      </c>
      <c r="M42" t="e">
        <f>AND(Sheet1!A554,"AAAAAE923Qw=")</f>
        <v>#VALUE!</v>
      </c>
      <c r="N42" t="e">
        <f>AND(Sheet1!B554,"AAAAAE923Q0=")</f>
        <v>#VALUE!</v>
      </c>
      <c r="O42" t="e">
        <f>AND(Sheet1!C554,"AAAAAE923Q4=")</f>
        <v>#VALUE!</v>
      </c>
      <c r="P42" t="e">
        <f>AND(Sheet1!D554,"AAAAAE923Q8=")</f>
        <v>#VALUE!</v>
      </c>
      <c r="Q42" t="e">
        <f>AND(Sheet1!E554,"AAAAAE923RA=")</f>
        <v>#VALUE!</v>
      </c>
      <c r="R42" t="e">
        <f>AND(Sheet1!F554,"AAAAAE923RE=")</f>
        <v>#VALUE!</v>
      </c>
      <c r="S42" t="e">
        <f>AND(Sheet1!G554,"AAAAAE923RI=")</f>
        <v>#VALUE!</v>
      </c>
      <c r="T42" t="e">
        <f>AND(Sheet1!H554,"AAAAAE923RM=")</f>
        <v>#VALUE!</v>
      </c>
      <c r="U42" t="e">
        <f>AND(Sheet1!I554,"AAAAAE923RQ=")</f>
        <v>#VALUE!</v>
      </c>
      <c r="V42" t="e">
        <f>AND(Sheet1!J554,"AAAAAE923RU=")</f>
        <v>#VALUE!</v>
      </c>
      <c r="W42" t="e">
        <f>AND(Sheet1!K554,"AAAAAE923RY=")</f>
        <v>#VALUE!</v>
      </c>
      <c r="X42" t="e">
        <f>AND(Sheet1!L554,"AAAAAE923Rc=")</f>
        <v>#VALUE!</v>
      </c>
      <c r="Y42" t="e">
        <f>AND(Sheet1!M554,"AAAAAE923Rg=")</f>
        <v>#VALUE!</v>
      </c>
      <c r="Z42" t="e">
        <f>AND(Sheet1!N554,"AAAAAE923Rk=")</f>
        <v>#VALUE!</v>
      </c>
      <c r="AA42" t="e">
        <f>AND(Sheet1!#REF!,"AAAAAE923Ro=")</f>
        <v>#REF!</v>
      </c>
      <c r="AB42" t="e">
        <f>AND(Sheet1!#REF!,"AAAAAE923Rs=")</f>
        <v>#REF!</v>
      </c>
      <c r="AC42" t="e">
        <f>AND(Sheet1!#REF!,"AAAAAE923Rw=")</f>
        <v>#REF!</v>
      </c>
      <c r="AD42" t="e">
        <f>AND(Sheet1!#REF!,"AAAAAE923R0=")</f>
        <v>#REF!</v>
      </c>
      <c r="AE42">
        <f>IF(Sheet1!555:555,"AAAAAE923R4=",0)</f>
        <v>0</v>
      </c>
      <c r="AF42" t="e">
        <f>AND(Sheet1!A555,"AAAAAE923R8=")</f>
        <v>#VALUE!</v>
      </c>
      <c r="AG42" t="e">
        <f>AND(Sheet1!B555,"AAAAAE923SA=")</f>
        <v>#VALUE!</v>
      </c>
      <c r="AH42" t="e">
        <f>AND(Sheet1!C555,"AAAAAE923SE=")</f>
        <v>#VALUE!</v>
      </c>
      <c r="AI42" t="e">
        <f>AND(Sheet1!D555,"AAAAAE923SI=")</f>
        <v>#VALUE!</v>
      </c>
      <c r="AJ42" t="e">
        <f>AND(Sheet1!E555,"AAAAAE923SM=")</f>
        <v>#VALUE!</v>
      </c>
      <c r="AK42" t="e">
        <f>AND(Sheet1!F555,"AAAAAE923SQ=")</f>
        <v>#VALUE!</v>
      </c>
      <c r="AL42" t="e">
        <f>AND(Sheet1!G555,"AAAAAE923SU=")</f>
        <v>#VALUE!</v>
      </c>
      <c r="AM42" t="e">
        <f>AND(Sheet1!H555,"AAAAAE923SY=")</f>
        <v>#VALUE!</v>
      </c>
      <c r="AN42" t="e">
        <f>AND(Sheet1!I555,"AAAAAE923Sc=")</f>
        <v>#VALUE!</v>
      </c>
      <c r="AO42" t="e">
        <f>AND(Sheet1!J555,"AAAAAE923Sg=")</f>
        <v>#VALUE!</v>
      </c>
      <c r="AP42" t="e">
        <f>AND(Sheet1!K555,"AAAAAE923Sk=")</f>
        <v>#VALUE!</v>
      </c>
      <c r="AQ42" t="e">
        <f>AND(Sheet1!L555,"AAAAAE923So=")</f>
        <v>#VALUE!</v>
      </c>
      <c r="AR42" t="e">
        <f>AND(Sheet1!M555,"AAAAAE923Ss=")</f>
        <v>#VALUE!</v>
      </c>
      <c r="AS42" t="e">
        <f>AND(Sheet1!N555,"AAAAAE923Sw=")</f>
        <v>#VALUE!</v>
      </c>
      <c r="AT42" t="e">
        <f>AND(Sheet1!#REF!,"AAAAAE923S0=")</f>
        <v>#REF!</v>
      </c>
      <c r="AU42" t="e">
        <f>AND(Sheet1!#REF!,"AAAAAE923S4=")</f>
        <v>#REF!</v>
      </c>
      <c r="AV42" t="e">
        <f>AND(Sheet1!#REF!,"AAAAAE923S8=")</f>
        <v>#REF!</v>
      </c>
      <c r="AW42" t="e">
        <f>AND(Sheet1!#REF!,"AAAAAE923TA=")</f>
        <v>#REF!</v>
      </c>
      <c r="AX42">
        <f>IF(Sheet1!556:556,"AAAAAE923TE=",0)</f>
        <v>0</v>
      </c>
      <c r="AY42" t="e">
        <f>AND(Sheet1!A556,"AAAAAE923TI=")</f>
        <v>#VALUE!</v>
      </c>
      <c r="AZ42" t="e">
        <f>AND(Sheet1!B556,"AAAAAE923TM=")</f>
        <v>#VALUE!</v>
      </c>
      <c r="BA42" t="e">
        <f>AND(Sheet1!C556,"AAAAAE923TQ=")</f>
        <v>#VALUE!</v>
      </c>
      <c r="BB42" t="e">
        <f>AND(Sheet1!D556,"AAAAAE923TU=")</f>
        <v>#VALUE!</v>
      </c>
      <c r="BC42" t="e">
        <f>AND(Sheet1!E556,"AAAAAE923TY=")</f>
        <v>#VALUE!</v>
      </c>
      <c r="BD42" t="e">
        <f>AND(Sheet1!F556,"AAAAAE923Tc=")</f>
        <v>#VALUE!</v>
      </c>
      <c r="BE42" t="e">
        <f>AND(Sheet1!G556,"AAAAAE923Tg=")</f>
        <v>#VALUE!</v>
      </c>
      <c r="BF42" t="e">
        <f>AND(Sheet1!H556,"AAAAAE923Tk=")</f>
        <v>#VALUE!</v>
      </c>
      <c r="BG42" t="e">
        <f>AND(Sheet1!I556,"AAAAAE923To=")</f>
        <v>#VALUE!</v>
      </c>
      <c r="BH42" t="e">
        <f>AND(Sheet1!J556,"AAAAAE923Ts=")</f>
        <v>#VALUE!</v>
      </c>
      <c r="BI42" t="e">
        <f>AND(Sheet1!K556,"AAAAAE923Tw=")</f>
        <v>#VALUE!</v>
      </c>
      <c r="BJ42" t="e">
        <f>AND(Sheet1!L556,"AAAAAE923T0=")</f>
        <v>#VALUE!</v>
      </c>
      <c r="BK42" t="e">
        <f>AND(Sheet1!M556,"AAAAAE923T4=")</f>
        <v>#VALUE!</v>
      </c>
      <c r="BL42" t="e">
        <f>AND(Sheet1!N556,"AAAAAE923T8=")</f>
        <v>#VALUE!</v>
      </c>
      <c r="BM42" t="e">
        <f>AND(Sheet1!#REF!,"AAAAAE923UA=")</f>
        <v>#REF!</v>
      </c>
      <c r="BN42" t="e">
        <f>AND(Sheet1!#REF!,"AAAAAE923UE=")</f>
        <v>#REF!</v>
      </c>
      <c r="BO42" t="e">
        <f>AND(Sheet1!#REF!,"AAAAAE923UI=")</f>
        <v>#REF!</v>
      </c>
      <c r="BP42" t="e">
        <f>AND(Sheet1!#REF!,"AAAAAE923UM=")</f>
        <v>#REF!</v>
      </c>
      <c r="BQ42">
        <f>IF(Sheet1!557:557,"AAAAAE923UQ=",0)</f>
        <v>0</v>
      </c>
      <c r="BR42" t="e">
        <f>AND(Sheet1!A557,"AAAAAE923UU=")</f>
        <v>#VALUE!</v>
      </c>
      <c r="BS42" t="e">
        <f>AND(Sheet1!B557,"AAAAAE923UY=")</f>
        <v>#VALUE!</v>
      </c>
      <c r="BT42" t="e">
        <f>AND(Sheet1!C557,"AAAAAE923Uc=")</f>
        <v>#VALUE!</v>
      </c>
      <c r="BU42" t="e">
        <f>AND(Sheet1!D557,"AAAAAE923Ug=")</f>
        <v>#VALUE!</v>
      </c>
      <c r="BV42" t="e">
        <f>AND(Sheet1!E557,"AAAAAE923Uk=")</f>
        <v>#VALUE!</v>
      </c>
      <c r="BW42" t="e">
        <f>AND(Sheet1!F557,"AAAAAE923Uo=")</f>
        <v>#VALUE!</v>
      </c>
      <c r="BX42" t="e">
        <f>AND(Sheet1!G557,"AAAAAE923Us=")</f>
        <v>#VALUE!</v>
      </c>
      <c r="BY42" t="e">
        <f>AND(Sheet1!H557,"AAAAAE923Uw=")</f>
        <v>#VALUE!</v>
      </c>
      <c r="BZ42" t="e">
        <f>AND(Sheet1!I557,"AAAAAE923U0=")</f>
        <v>#VALUE!</v>
      </c>
      <c r="CA42" t="e">
        <f>AND(Sheet1!J557,"AAAAAE923U4=")</f>
        <v>#VALUE!</v>
      </c>
      <c r="CB42" t="e">
        <f>AND(Sheet1!K557,"AAAAAE923U8=")</f>
        <v>#VALUE!</v>
      </c>
      <c r="CC42" t="e">
        <f>AND(Sheet1!L557,"AAAAAE923VA=")</f>
        <v>#VALUE!</v>
      </c>
      <c r="CD42" t="e">
        <f>AND(Sheet1!M557,"AAAAAE923VE=")</f>
        <v>#VALUE!</v>
      </c>
      <c r="CE42" t="e">
        <f>AND(Sheet1!N557,"AAAAAE923VI=")</f>
        <v>#VALUE!</v>
      </c>
      <c r="CF42" t="e">
        <f>AND(Sheet1!#REF!,"AAAAAE923VM=")</f>
        <v>#REF!</v>
      </c>
      <c r="CG42" t="e">
        <f>AND(Sheet1!#REF!,"AAAAAE923VQ=")</f>
        <v>#REF!</v>
      </c>
      <c r="CH42" t="e">
        <f>AND(Sheet1!#REF!,"AAAAAE923VU=")</f>
        <v>#REF!</v>
      </c>
      <c r="CI42" t="e">
        <f>AND(Sheet1!#REF!,"AAAAAE923VY=")</f>
        <v>#REF!</v>
      </c>
      <c r="CJ42">
        <f>IF(Sheet1!558:558,"AAAAAE923Vc=",0)</f>
        <v>0</v>
      </c>
      <c r="CK42" t="e">
        <f>AND(Sheet1!A558,"AAAAAE923Vg=")</f>
        <v>#VALUE!</v>
      </c>
      <c r="CL42" t="e">
        <f>AND(Sheet1!B558,"AAAAAE923Vk=")</f>
        <v>#VALUE!</v>
      </c>
      <c r="CM42" t="e">
        <f>AND(Sheet1!C558,"AAAAAE923Vo=")</f>
        <v>#VALUE!</v>
      </c>
      <c r="CN42" t="e">
        <f>AND(Sheet1!D558,"AAAAAE923Vs=")</f>
        <v>#VALUE!</v>
      </c>
      <c r="CO42" t="e">
        <f>AND(Sheet1!E558,"AAAAAE923Vw=")</f>
        <v>#VALUE!</v>
      </c>
      <c r="CP42" t="e">
        <f>AND(Sheet1!F558,"AAAAAE923V0=")</f>
        <v>#VALUE!</v>
      </c>
      <c r="CQ42" t="e">
        <f>AND(Sheet1!G558,"AAAAAE923V4=")</f>
        <v>#VALUE!</v>
      </c>
      <c r="CR42" t="e">
        <f>AND(Sheet1!H558,"AAAAAE923V8=")</f>
        <v>#VALUE!</v>
      </c>
      <c r="CS42" t="e">
        <f>AND(Sheet1!I558,"AAAAAE923WA=")</f>
        <v>#VALUE!</v>
      </c>
      <c r="CT42" t="e">
        <f>AND(Sheet1!J558,"AAAAAE923WE=")</f>
        <v>#VALUE!</v>
      </c>
      <c r="CU42" t="e">
        <f>AND(Sheet1!K558,"AAAAAE923WI=")</f>
        <v>#VALUE!</v>
      </c>
      <c r="CV42" t="e">
        <f>AND(Sheet1!L558,"AAAAAE923WM=")</f>
        <v>#VALUE!</v>
      </c>
      <c r="CW42" t="e">
        <f>AND(Sheet1!M558,"AAAAAE923WQ=")</f>
        <v>#VALUE!</v>
      </c>
      <c r="CX42" t="e">
        <f>AND(Sheet1!N558,"AAAAAE923WU=")</f>
        <v>#VALUE!</v>
      </c>
      <c r="CY42" t="e">
        <f>AND(Sheet1!#REF!,"AAAAAE923WY=")</f>
        <v>#REF!</v>
      </c>
      <c r="CZ42" t="e">
        <f>AND(Sheet1!#REF!,"AAAAAE923Wc=")</f>
        <v>#REF!</v>
      </c>
      <c r="DA42" t="e">
        <f>AND(Sheet1!#REF!,"AAAAAE923Wg=")</f>
        <v>#REF!</v>
      </c>
      <c r="DB42" t="e">
        <f>AND(Sheet1!#REF!,"AAAAAE923Wk=")</f>
        <v>#REF!</v>
      </c>
      <c r="DC42">
        <f>IF(Sheet1!559:559,"AAAAAE923Wo=",0)</f>
        <v>0</v>
      </c>
      <c r="DD42" t="e">
        <f>AND(Sheet1!A559,"AAAAAE923Ws=")</f>
        <v>#VALUE!</v>
      </c>
      <c r="DE42" t="e">
        <f>AND(Sheet1!B559,"AAAAAE923Ww=")</f>
        <v>#VALUE!</v>
      </c>
      <c r="DF42" t="e">
        <f>AND(Sheet1!C559,"AAAAAE923W0=")</f>
        <v>#VALUE!</v>
      </c>
      <c r="DG42" t="e">
        <f>AND(Sheet1!D559,"AAAAAE923W4=")</f>
        <v>#VALUE!</v>
      </c>
      <c r="DH42" t="e">
        <f>AND(Sheet1!E559,"AAAAAE923W8=")</f>
        <v>#VALUE!</v>
      </c>
      <c r="DI42" t="e">
        <f>AND(Sheet1!F559,"AAAAAE923XA=")</f>
        <v>#VALUE!</v>
      </c>
      <c r="DJ42" t="e">
        <f>AND(Sheet1!G559,"AAAAAE923XE=")</f>
        <v>#VALUE!</v>
      </c>
      <c r="DK42" t="e">
        <f>AND(Sheet1!H559,"AAAAAE923XI=")</f>
        <v>#VALUE!</v>
      </c>
      <c r="DL42" t="e">
        <f>AND(Sheet1!I559,"AAAAAE923XM=")</f>
        <v>#VALUE!</v>
      </c>
      <c r="DM42" t="e">
        <f>AND(Sheet1!J559,"AAAAAE923XQ=")</f>
        <v>#VALUE!</v>
      </c>
      <c r="DN42" t="e">
        <f>AND(Sheet1!K559,"AAAAAE923XU=")</f>
        <v>#VALUE!</v>
      </c>
      <c r="DO42" t="e">
        <f>AND(Sheet1!L559,"AAAAAE923XY=")</f>
        <v>#VALUE!</v>
      </c>
      <c r="DP42" t="e">
        <f>AND(Sheet1!M559,"AAAAAE923Xc=")</f>
        <v>#VALUE!</v>
      </c>
      <c r="DQ42" t="e">
        <f>AND(Sheet1!N559,"AAAAAE923Xg=")</f>
        <v>#VALUE!</v>
      </c>
      <c r="DR42" t="e">
        <f>AND(Sheet1!#REF!,"AAAAAE923Xk=")</f>
        <v>#REF!</v>
      </c>
      <c r="DS42" t="e">
        <f>AND(Sheet1!#REF!,"AAAAAE923Xo=")</f>
        <v>#REF!</v>
      </c>
      <c r="DT42" t="e">
        <f>AND(Sheet1!#REF!,"AAAAAE923Xs=")</f>
        <v>#REF!</v>
      </c>
      <c r="DU42" t="e">
        <f>AND(Sheet1!#REF!,"AAAAAE923Xw=")</f>
        <v>#REF!</v>
      </c>
      <c r="DV42">
        <f>IF(Sheet1!560:560,"AAAAAE923X0=",0)</f>
        <v>0</v>
      </c>
      <c r="DW42" t="e">
        <f>AND(Sheet1!A560,"AAAAAE923X4=")</f>
        <v>#VALUE!</v>
      </c>
      <c r="DX42" t="e">
        <f>AND(Sheet1!B560,"AAAAAE923X8=")</f>
        <v>#VALUE!</v>
      </c>
      <c r="DY42" t="e">
        <f>AND(Sheet1!C560,"AAAAAE923YA=")</f>
        <v>#VALUE!</v>
      </c>
      <c r="DZ42" t="e">
        <f>AND(Sheet1!D560,"AAAAAE923YE=")</f>
        <v>#VALUE!</v>
      </c>
      <c r="EA42" t="e">
        <f>AND(Sheet1!E560,"AAAAAE923YI=")</f>
        <v>#VALUE!</v>
      </c>
      <c r="EB42" t="e">
        <f>AND(Sheet1!F560,"AAAAAE923YM=")</f>
        <v>#VALUE!</v>
      </c>
      <c r="EC42" t="e">
        <f>AND(Sheet1!G560,"AAAAAE923YQ=")</f>
        <v>#VALUE!</v>
      </c>
      <c r="ED42" t="e">
        <f>AND(Sheet1!H560,"AAAAAE923YU=")</f>
        <v>#VALUE!</v>
      </c>
      <c r="EE42" t="e">
        <f>AND(Sheet1!I560,"AAAAAE923YY=")</f>
        <v>#VALUE!</v>
      </c>
      <c r="EF42" t="e">
        <f>AND(Sheet1!J560,"AAAAAE923Yc=")</f>
        <v>#VALUE!</v>
      </c>
      <c r="EG42" t="e">
        <f>AND(Sheet1!K560,"AAAAAE923Yg=")</f>
        <v>#VALUE!</v>
      </c>
      <c r="EH42" t="e">
        <f>AND(Sheet1!L560,"AAAAAE923Yk=")</f>
        <v>#VALUE!</v>
      </c>
      <c r="EI42" t="e">
        <f>AND(Sheet1!M560,"AAAAAE923Yo=")</f>
        <v>#VALUE!</v>
      </c>
      <c r="EJ42" t="e">
        <f>AND(Sheet1!N560,"AAAAAE923Ys=")</f>
        <v>#VALUE!</v>
      </c>
      <c r="EK42" t="e">
        <f>AND(Sheet1!#REF!,"AAAAAE923Yw=")</f>
        <v>#REF!</v>
      </c>
      <c r="EL42" t="e">
        <f>AND(Sheet1!#REF!,"AAAAAE923Y0=")</f>
        <v>#REF!</v>
      </c>
      <c r="EM42" t="e">
        <f>AND(Sheet1!#REF!,"AAAAAE923Y4=")</f>
        <v>#REF!</v>
      </c>
      <c r="EN42" t="e">
        <f>AND(Sheet1!#REF!,"AAAAAE923Y8=")</f>
        <v>#REF!</v>
      </c>
      <c r="EO42">
        <f>IF(Sheet1!561:561,"AAAAAE923ZA=",0)</f>
        <v>0</v>
      </c>
      <c r="EP42" t="e">
        <f>AND(Sheet1!A561,"AAAAAE923ZE=")</f>
        <v>#VALUE!</v>
      </c>
      <c r="EQ42" t="e">
        <f>AND(Sheet1!B561,"AAAAAE923ZI=")</f>
        <v>#VALUE!</v>
      </c>
      <c r="ER42" t="e">
        <f>AND(Sheet1!C561,"AAAAAE923ZM=")</f>
        <v>#VALUE!</v>
      </c>
      <c r="ES42" t="e">
        <f>AND(Sheet1!D561,"AAAAAE923ZQ=")</f>
        <v>#VALUE!</v>
      </c>
      <c r="ET42" t="e">
        <f>AND(Sheet1!E561,"AAAAAE923ZU=")</f>
        <v>#VALUE!</v>
      </c>
      <c r="EU42" t="e">
        <f>AND(Sheet1!F561,"AAAAAE923ZY=")</f>
        <v>#VALUE!</v>
      </c>
      <c r="EV42" t="e">
        <f>AND(Sheet1!G561,"AAAAAE923Zc=")</f>
        <v>#VALUE!</v>
      </c>
      <c r="EW42" t="e">
        <f>AND(Sheet1!H561,"AAAAAE923Zg=")</f>
        <v>#VALUE!</v>
      </c>
      <c r="EX42" t="e">
        <f>AND(Sheet1!I561,"AAAAAE923Zk=")</f>
        <v>#VALUE!</v>
      </c>
      <c r="EY42" t="e">
        <f>AND(Sheet1!J561,"AAAAAE923Zo=")</f>
        <v>#VALUE!</v>
      </c>
      <c r="EZ42" t="e">
        <f>AND(Sheet1!K561,"AAAAAE923Zs=")</f>
        <v>#VALUE!</v>
      </c>
      <c r="FA42" t="e">
        <f>AND(Sheet1!L561,"AAAAAE923Zw=")</f>
        <v>#VALUE!</v>
      </c>
      <c r="FB42" t="e">
        <f>AND(Sheet1!M561,"AAAAAE923Z0=")</f>
        <v>#VALUE!</v>
      </c>
      <c r="FC42" t="e">
        <f>AND(Sheet1!N561,"AAAAAE923Z4=")</f>
        <v>#VALUE!</v>
      </c>
      <c r="FD42" t="e">
        <f>AND(Sheet1!#REF!,"AAAAAE923Z8=")</f>
        <v>#REF!</v>
      </c>
      <c r="FE42" t="e">
        <f>AND(Sheet1!#REF!,"AAAAAE923aA=")</f>
        <v>#REF!</v>
      </c>
      <c r="FF42" t="e">
        <f>AND(Sheet1!#REF!,"AAAAAE923aE=")</f>
        <v>#REF!</v>
      </c>
      <c r="FG42" t="e">
        <f>AND(Sheet1!#REF!,"AAAAAE923aI=")</f>
        <v>#REF!</v>
      </c>
      <c r="FH42">
        <f>IF(Sheet1!562:562,"AAAAAE923aM=",0)</f>
        <v>0</v>
      </c>
      <c r="FI42" t="e">
        <f>AND(Sheet1!A562,"AAAAAE923aQ=")</f>
        <v>#VALUE!</v>
      </c>
      <c r="FJ42" t="e">
        <f>AND(Sheet1!B562,"AAAAAE923aU=")</f>
        <v>#VALUE!</v>
      </c>
      <c r="FK42" t="e">
        <f>AND(Sheet1!C562,"AAAAAE923aY=")</f>
        <v>#VALUE!</v>
      </c>
      <c r="FL42" t="e">
        <f>AND(Sheet1!D562,"AAAAAE923ac=")</f>
        <v>#VALUE!</v>
      </c>
      <c r="FM42" t="e">
        <f>AND(Sheet1!E562,"AAAAAE923ag=")</f>
        <v>#VALUE!</v>
      </c>
      <c r="FN42" t="e">
        <f>AND(Sheet1!F562,"AAAAAE923ak=")</f>
        <v>#VALUE!</v>
      </c>
      <c r="FO42" t="e">
        <f>AND(Sheet1!G562,"AAAAAE923ao=")</f>
        <v>#VALUE!</v>
      </c>
      <c r="FP42" t="e">
        <f>AND(Sheet1!H562,"AAAAAE923as=")</f>
        <v>#VALUE!</v>
      </c>
      <c r="FQ42" t="e">
        <f>AND(Sheet1!I562,"AAAAAE923aw=")</f>
        <v>#VALUE!</v>
      </c>
      <c r="FR42" t="e">
        <f>AND(Sheet1!J562,"AAAAAE923a0=")</f>
        <v>#VALUE!</v>
      </c>
      <c r="FS42" t="e">
        <f>AND(Sheet1!K562,"AAAAAE923a4=")</f>
        <v>#VALUE!</v>
      </c>
      <c r="FT42" t="e">
        <f>AND(Sheet1!L562,"AAAAAE923a8=")</f>
        <v>#VALUE!</v>
      </c>
      <c r="FU42" t="e">
        <f>AND(Sheet1!M562,"AAAAAE923bA=")</f>
        <v>#VALUE!</v>
      </c>
      <c r="FV42" t="e">
        <f>AND(Sheet1!N562,"AAAAAE923bE=")</f>
        <v>#VALUE!</v>
      </c>
      <c r="FW42" t="e">
        <f>AND(Sheet1!#REF!,"AAAAAE923bI=")</f>
        <v>#REF!</v>
      </c>
      <c r="FX42" t="e">
        <f>AND(Sheet1!#REF!,"AAAAAE923bM=")</f>
        <v>#REF!</v>
      </c>
      <c r="FY42" t="e">
        <f>AND(Sheet1!#REF!,"AAAAAE923bQ=")</f>
        <v>#REF!</v>
      </c>
      <c r="FZ42" t="e">
        <f>AND(Sheet1!#REF!,"AAAAAE923bU=")</f>
        <v>#REF!</v>
      </c>
      <c r="GA42">
        <f>IF(Sheet1!563:563,"AAAAAE923bY=",0)</f>
        <v>0</v>
      </c>
      <c r="GB42" t="e">
        <f>AND(Sheet1!A563,"AAAAAE923bc=")</f>
        <v>#VALUE!</v>
      </c>
      <c r="GC42" t="e">
        <f>AND(Sheet1!B563,"AAAAAE923bg=")</f>
        <v>#VALUE!</v>
      </c>
      <c r="GD42" t="e">
        <f>AND(Sheet1!C563,"AAAAAE923bk=")</f>
        <v>#VALUE!</v>
      </c>
      <c r="GE42" t="e">
        <f>AND(Sheet1!D563,"AAAAAE923bo=")</f>
        <v>#VALUE!</v>
      </c>
      <c r="GF42" t="e">
        <f>AND(Sheet1!E563,"AAAAAE923bs=")</f>
        <v>#VALUE!</v>
      </c>
      <c r="GG42" t="e">
        <f>AND(Sheet1!F563,"AAAAAE923bw=")</f>
        <v>#VALUE!</v>
      </c>
      <c r="GH42" t="e">
        <f>AND(Sheet1!G563,"AAAAAE923b0=")</f>
        <v>#VALUE!</v>
      </c>
      <c r="GI42" t="e">
        <f>AND(Sheet1!H563,"AAAAAE923b4=")</f>
        <v>#VALUE!</v>
      </c>
      <c r="GJ42" t="e">
        <f>AND(Sheet1!I563,"AAAAAE923b8=")</f>
        <v>#VALUE!</v>
      </c>
      <c r="GK42" t="e">
        <f>AND(Sheet1!J563,"AAAAAE923cA=")</f>
        <v>#VALUE!</v>
      </c>
      <c r="GL42" t="e">
        <f>AND(Sheet1!K563,"AAAAAE923cE=")</f>
        <v>#VALUE!</v>
      </c>
      <c r="GM42" t="e">
        <f>AND(Sheet1!L563,"AAAAAE923cI=")</f>
        <v>#VALUE!</v>
      </c>
      <c r="GN42" t="e">
        <f>AND(Sheet1!M563,"AAAAAE923cM=")</f>
        <v>#VALUE!</v>
      </c>
      <c r="GO42" t="e">
        <f>AND(Sheet1!N563,"AAAAAE923cQ=")</f>
        <v>#VALUE!</v>
      </c>
      <c r="GP42" t="e">
        <f>AND(Sheet1!#REF!,"AAAAAE923cU=")</f>
        <v>#REF!</v>
      </c>
      <c r="GQ42" t="e">
        <f>AND(Sheet1!#REF!,"AAAAAE923cY=")</f>
        <v>#REF!</v>
      </c>
      <c r="GR42" t="e">
        <f>AND(Sheet1!#REF!,"AAAAAE923cc=")</f>
        <v>#REF!</v>
      </c>
      <c r="GS42" t="e">
        <f>AND(Sheet1!#REF!,"AAAAAE923cg=")</f>
        <v>#REF!</v>
      </c>
      <c r="GT42">
        <f>IF(Sheet1!564:564,"AAAAAE923ck=",0)</f>
        <v>0</v>
      </c>
      <c r="GU42" t="e">
        <f>AND(Sheet1!A564,"AAAAAE923co=")</f>
        <v>#VALUE!</v>
      </c>
      <c r="GV42" t="e">
        <f>AND(Sheet1!B564,"AAAAAE923cs=")</f>
        <v>#VALUE!</v>
      </c>
      <c r="GW42" t="e">
        <f>AND(Sheet1!C564,"AAAAAE923cw=")</f>
        <v>#VALUE!</v>
      </c>
      <c r="GX42" t="e">
        <f>AND(Sheet1!D564,"AAAAAE923c0=")</f>
        <v>#VALUE!</v>
      </c>
      <c r="GY42" t="e">
        <f>AND(Sheet1!E564,"AAAAAE923c4=")</f>
        <v>#VALUE!</v>
      </c>
      <c r="GZ42" t="e">
        <f>AND(Sheet1!F564,"AAAAAE923c8=")</f>
        <v>#VALUE!</v>
      </c>
      <c r="HA42" t="e">
        <f>AND(Sheet1!G564,"AAAAAE923dA=")</f>
        <v>#VALUE!</v>
      </c>
      <c r="HB42" t="e">
        <f>AND(Sheet1!H564,"AAAAAE923dE=")</f>
        <v>#VALUE!</v>
      </c>
      <c r="HC42" t="e">
        <f>AND(Sheet1!I564,"AAAAAE923dI=")</f>
        <v>#VALUE!</v>
      </c>
      <c r="HD42" t="e">
        <f>AND(Sheet1!J564,"AAAAAE923dM=")</f>
        <v>#VALUE!</v>
      </c>
      <c r="HE42" t="e">
        <f>AND(Sheet1!K564,"AAAAAE923dQ=")</f>
        <v>#VALUE!</v>
      </c>
      <c r="HF42" t="e">
        <f>AND(Sheet1!L564,"AAAAAE923dU=")</f>
        <v>#VALUE!</v>
      </c>
      <c r="HG42" t="e">
        <f>AND(Sheet1!M564,"AAAAAE923dY=")</f>
        <v>#VALUE!</v>
      </c>
      <c r="HH42" t="e">
        <f>AND(Sheet1!N564,"AAAAAE923dc=")</f>
        <v>#VALUE!</v>
      </c>
      <c r="HI42" t="e">
        <f>AND(Sheet1!#REF!,"AAAAAE923dg=")</f>
        <v>#REF!</v>
      </c>
      <c r="HJ42" t="e">
        <f>AND(Sheet1!#REF!,"AAAAAE923dk=")</f>
        <v>#REF!</v>
      </c>
      <c r="HK42" t="e">
        <f>AND(Sheet1!#REF!,"AAAAAE923do=")</f>
        <v>#REF!</v>
      </c>
      <c r="HL42" t="e">
        <f>AND(Sheet1!#REF!,"AAAAAE923ds=")</f>
        <v>#REF!</v>
      </c>
      <c r="HM42">
        <f>IF(Sheet1!565:565,"AAAAAE923dw=",0)</f>
        <v>0</v>
      </c>
      <c r="HN42" t="e">
        <f>AND(Sheet1!A565,"AAAAAE923d0=")</f>
        <v>#VALUE!</v>
      </c>
      <c r="HO42" t="e">
        <f>AND(Sheet1!B565,"AAAAAE923d4=")</f>
        <v>#VALUE!</v>
      </c>
      <c r="HP42" t="e">
        <f>AND(Sheet1!C565,"AAAAAE923d8=")</f>
        <v>#VALUE!</v>
      </c>
      <c r="HQ42" t="e">
        <f>AND(Sheet1!D565,"AAAAAE923eA=")</f>
        <v>#VALUE!</v>
      </c>
      <c r="HR42" t="e">
        <f>AND(Sheet1!E565,"AAAAAE923eE=")</f>
        <v>#VALUE!</v>
      </c>
      <c r="HS42" t="e">
        <f>AND(Sheet1!F565,"AAAAAE923eI=")</f>
        <v>#VALUE!</v>
      </c>
      <c r="HT42" t="e">
        <f>AND(Sheet1!G565,"AAAAAE923eM=")</f>
        <v>#VALUE!</v>
      </c>
      <c r="HU42" t="e">
        <f>AND(Sheet1!H565,"AAAAAE923eQ=")</f>
        <v>#VALUE!</v>
      </c>
      <c r="HV42" t="e">
        <f>AND(Sheet1!I565,"AAAAAE923eU=")</f>
        <v>#VALUE!</v>
      </c>
      <c r="HW42" t="e">
        <f>AND(Sheet1!J565,"AAAAAE923eY=")</f>
        <v>#VALUE!</v>
      </c>
      <c r="HX42" t="e">
        <f>AND(Sheet1!K565,"AAAAAE923ec=")</f>
        <v>#VALUE!</v>
      </c>
      <c r="HY42" t="e">
        <f>AND(Sheet1!L565,"AAAAAE923eg=")</f>
        <v>#VALUE!</v>
      </c>
      <c r="HZ42" t="e">
        <f>AND(Sheet1!M565,"AAAAAE923ek=")</f>
        <v>#VALUE!</v>
      </c>
      <c r="IA42" t="e">
        <f>AND(Sheet1!N565,"AAAAAE923eo=")</f>
        <v>#VALUE!</v>
      </c>
      <c r="IB42" t="e">
        <f>AND(Sheet1!#REF!,"AAAAAE923es=")</f>
        <v>#REF!</v>
      </c>
      <c r="IC42" t="e">
        <f>AND(Sheet1!#REF!,"AAAAAE923ew=")</f>
        <v>#REF!</v>
      </c>
      <c r="ID42" t="e">
        <f>AND(Sheet1!#REF!,"AAAAAE923e0=")</f>
        <v>#REF!</v>
      </c>
      <c r="IE42" t="e">
        <f>AND(Sheet1!#REF!,"AAAAAE923e4=")</f>
        <v>#REF!</v>
      </c>
      <c r="IF42">
        <f>IF(Sheet1!566:566,"AAAAAE923e8=",0)</f>
        <v>0</v>
      </c>
      <c r="IG42" t="e">
        <f>AND(Sheet1!A566,"AAAAAE923fA=")</f>
        <v>#VALUE!</v>
      </c>
      <c r="IH42" t="e">
        <f>AND(Sheet1!B566,"AAAAAE923fE=")</f>
        <v>#VALUE!</v>
      </c>
      <c r="II42" t="e">
        <f>AND(Sheet1!C566,"AAAAAE923fI=")</f>
        <v>#VALUE!</v>
      </c>
      <c r="IJ42" t="e">
        <f>AND(Sheet1!D566,"AAAAAE923fM=")</f>
        <v>#VALUE!</v>
      </c>
      <c r="IK42" t="e">
        <f>AND(Sheet1!E566,"AAAAAE923fQ=")</f>
        <v>#VALUE!</v>
      </c>
      <c r="IL42" t="e">
        <f>AND(Sheet1!F566,"AAAAAE923fU=")</f>
        <v>#VALUE!</v>
      </c>
      <c r="IM42" t="e">
        <f>AND(Sheet1!G566,"AAAAAE923fY=")</f>
        <v>#VALUE!</v>
      </c>
      <c r="IN42" t="e">
        <f>AND(Sheet1!H566,"AAAAAE923fc=")</f>
        <v>#VALUE!</v>
      </c>
      <c r="IO42" t="e">
        <f>AND(Sheet1!I566,"AAAAAE923fg=")</f>
        <v>#VALUE!</v>
      </c>
      <c r="IP42" t="e">
        <f>AND(Sheet1!J566,"AAAAAE923fk=")</f>
        <v>#VALUE!</v>
      </c>
      <c r="IQ42" t="e">
        <f>AND(Sheet1!K566,"AAAAAE923fo=")</f>
        <v>#VALUE!</v>
      </c>
      <c r="IR42" t="e">
        <f>AND(Sheet1!L566,"AAAAAE923fs=")</f>
        <v>#VALUE!</v>
      </c>
      <c r="IS42" t="e">
        <f>AND(Sheet1!M566,"AAAAAE923fw=")</f>
        <v>#VALUE!</v>
      </c>
      <c r="IT42" t="e">
        <f>AND(Sheet1!N566,"AAAAAE923f0=")</f>
        <v>#VALUE!</v>
      </c>
      <c r="IU42" t="e">
        <f>AND(Sheet1!#REF!,"AAAAAE923f4=")</f>
        <v>#REF!</v>
      </c>
      <c r="IV42" t="e">
        <f>AND(Sheet1!#REF!,"AAAAAE923f8=")</f>
        <v>#REF!</v>
      </c>
    </row>
    <row r="43" spans="1:256" x14ac:dyDescent="0.2">
      <c r="A43" t="e">
        <f>AND(Sheet1!#REF!,"AAAAAGP/XwA=")</f>
        <v>#REF!</v>
      </c>
      <c r="B43" t="e">
        <f>AND(Sheet1!#REF!,"AAAAAGP/XwE=")</f>
        <v>#REF!</v>
      </c>
      <c r="C43" t="e">
        <f>IF(Sheet1!567:567,"AAAAAGP/XwI=",0)</f>
        <v>#VALUE!</v>
      </c>
      <c r="D43" t="e">
        <f>AND(Sheet1!A567,"AAAAAGP/XwM=")</f>
        <v>#VALUE!</v>
      </c>
      <c r="E43" t="e">
        <f>AND(Sheet1!B567,"AAAAAGP/XwQ=")</f>
        <v>#VALUE!</v>
      </c>
      <c r="F43" t="e">
        <f>AND(Sheet1!C567,"AAAAAGP/XwU=")</f>
        <v>#VALUE!</v>
      </c>
      <c r="G43" t="e">
        <f>AND(Sheet1!D567,"AAAAAGP/XwY=")</f>
        <v>#VALUE!</v>
      </c>
      <c r="H43" t="e">
        <f>AND(Sheet1!E567,"AAAAAGP/Xwc=")</f>
        <v>#VALUE!</v>
      </c>
      <c r="I43" t="e">
        <f>AND(Sheet1!F567,"AAAAAGP/Xwg=")</f>
        <v>#VALUE!</v>
      </c>
      <c r="J43" t="e">
        <f>AND(Sheet1!G567,"AAAAAGP/Xwk=")</f>
        <v>#VALUE!</v>
      </c>
      <c r="K43" t="e">
        <f>AND(Sheet1!H567,"AAAAAGP/Xwo=")</f>
        <v>#VALUE!</v>
      </c>
      <c r="L43" t="e">
        <f>AND(Sheet1!I567,"AAAAAGP/Xws=")</f>
        <v>#VALUE!</v>
      </c>
      <c r="M43" t="e">
        <f>AND(Sheet1!J567,"AAAAAGP/Xww=")</f>
        <v>#VALUE!</v>
      </c>
      <c r="N43" t="e">
        <f>AND(Sheet1!K567,"AAAAAGP/Xw0=")</f>
        <v>#VALUE!</v>
      </c>
      <c r="O43" t="e">
        <f>AND(Sheet1!L567,"AAAAAGP/Xw4=")</f>
        <v>#VALUE!</v>
      </c>
      <c r="P43" t="e">
        <f>AND(Sheet1!M567,"AAAAAGP/Xw8=")</f>
        <v>#VALUE!</v>
      </c>
      <c r="Q43" t="e">
        <f>AND(Sheet1!N567,"AAAAAGP/XxA=")</f>
        <v>#VALUE!</v>
      </c>
      <c r="R43" t="e">
        <f>AND(Sheet1!#REF!,"AAAAAGP/XxE=")</f>
        <v>#REF!</v>
      </c>
      <c r="S43" t="e">
        <f>AND(Sheet1!#REF!,"AAAAAGP/XxI=")</f>
        <v>#REF!</v>
      </c>
      <c r="T43" t="e">
        <f>AND(Sheet1!#REF!,"AAAAAGP/XxM=")</f>
        <v>#REF!</v>
      </c>
      <c r="U43" t="e">
        <f>AND(Sheet1!#REF!,"AAAAAGP/XxQ=")</f>
        <v>#REF!</v>
      </c>
      <c r="V43">
        <f>IF(Sheet1!568:568,"AAAAAGP/XxU=",0)</f>
        <v>0</v>
      </c>
      <c r="W43" t="e">
        <f>AND(Sheet1!A568,"AAAAAGP/XxY=")</f>
        <v>#VALUE!</v>
      </c>
      <c r="X43" t="e">
        <f>AND(Sheet1!B568,"AAAAAGP/Xxc=")</f>
        <v>#VALUE!</v>
      </c>
      <c r="Y43" t="e">
        <f>AND(Sheet1!C568,"AAAAAGP/Xxg=")</f>
        <v>#VALUE!</v>
      </c>
      <c r="Z43" t="e">
        <f>AND(Sheet1!D568,"AAAAAGP/Xxk=")</f>
        <v>#VALUE!</v>
      </c>
      <c r="AA43" t="e">
        <f>AND(Sheet1!E568,"AAAAAGP/Xxo=")</f>
        <v>#VALUE!</v>
      </c>
      <c r="AB43" t="e">
        <f>AND(Sheet1!F568,"AAAAAGP/Xxs=")</f>
        <v>#VALUE!</v>
      </c>
      <c r="AC43" t="e">
        <f>AND(Sheet1!G568,"AAAAAGP/Xxw=")</f>
        <v>#VALUE!</v>
      </c>
      <c r="AD43" t="e">
        <f>AND(Sheet1!H568,"AAAAAGP/Xx0=")</f>
        <v>#VALUE!</v>
      </c>
      <c r="AE43" t="e">
        <f>AND(Sheet1!I568,"AAAAAGP/Xx4=")</f>
        <v>#VALUE!</v>
      </c>
      <c r="AF43" t="e">
        <f>AND(Sheet1!J568,"AAAAAGP/Xx8=")</f>
        <v>#VALUE!</v>
      </c>
      <c r="AG43" t="e">
        <f>AND(Sheet1!K568,"AAAAAGP/XyA=")</f>
        <v>#VALUE!</v>
      </c>
      <c r="AH43" t="e">
        <f>AND(Sheet1!L568,"AAAAAGP/XyE=")</f>
        <v>#VALUE!</v>
      </c>
      <c r="AI43" t="e">
        <f>AND(Sheet1!M568,"AAAAAGP/XyI=")</f>
        <v>#VALUE!</v>
      </c>
      <c r="AJ43" t="e">
        <f>AND(Sheet1!N568,"AAAAAGP/XyM=")</f>
        <v>#VALUE!</v>
      </c>
      <c r="AK43" t="e">
        <f>AND(Sheet1!#REF!,"AAAAAGP/XyQ=")</f>
        <v>#REF!</v>
      </c>
      <c r="AL43" t="e">
        <f>AND(Sheet1!#REF!,"AAAAAGP/XyU=")</f>
        <v>#REF!</v>
      </c>
      <c r="AM43" t="e">
        <f>AND(Sheet1!#REF!,"AAAAAGP/XyY=")</f>
        <v>#REF!</v>
      </c>
      <c r="AN43" t="e">
        <f>AND(Sheet1!#REF!,"AAAAAGP/Xyc=")</f>
        <v>#REF!</v>
      </c>
      <c r="AO43">
        <f>IF(Sheet1!569:569,"AAAAAGP/Xyg=",0)</f>
        <v>0</v>
      </c>
      <c r="AP43" t="e">
        <f>AND(Sheet1!A569,"AAAAAGP/Xyk=")</f>
        <v>#VALUE!</v>
      </c>
      <c r="AQ43" t="e">
        <f>AND(Sheet1!B569,"AAAAAGP/Xyo=")</f>
        <v>#VALUE!</v>
      </c>
      <c r="AR43" t="e">
        <f>AND(Sheet1!C569,"AAAAAGP/Xys=")</f>
        <v>#VALUE!</v>
      </c>
      <c r="AS43" t="e">
        <f>AND(Sheet1!D569,"AAAAAGP/Xyw=")</f>
        <v>#VALUE!</v>
      </c>
      <c r="AT43" t="e">
        <f>AND(Sheet1!E569,"AAAAAGP/Xy0=")</f>
        <v>#VALUE!</v>
      </c>
      <c r="AU43" t="e">
        <f>AND(Sheet1!F569,"AAAAAGP/Xy4=")</f>
        <v>#VALUE!</v>
      </c>
      <c r="AV43" t="e">
        <f>AND(Sheet1!G569,"AAAAAGP/Xy8=")</f>
        <v>#VALUE!</v>
      </c>
      <c r="AW43" t="e">
        <f>AND(Sheet1!H569,"AAAAAGP/XzA=")</f>
        <v>#VALUE!</v>
      </c>
      <c r="AX43" t="e">
        <f>AND(Sheet1!I569,"AAAAAGP/XzE=")</f>
        <v>#VALUE!</v>
      </c>
      <c r="AY43" t="e">
        <f>AND(Sheet1!J569,"AAAAAGP/XzI=")</f>
        <v>#VALUE!</v>
      </c>
      <c r="AZ43" t="e">
        <f>AND(Sheet1!K569,"AAAAAGP/XzM=")</f>
        <v>#VALUE!</v>
      </c>
      <c r="BA43" t="e">
        <f>AND(Sheet1!L569,"AAAAAGP/XzQ=")</f>
        <v>#VALUE!</v>
      </c>
      <c r="BB43" t="e">
        <f>AND(Sheet1!M569,"AAAAAGP/XzU=")</f>
        <v>#VALUE!</v>
      </c>
      <c r="BC43" t="e">
        <f>AND(Sheet1!N569,"AAAAAGP/XzY=")</f>
        <v>#VALUE!</v>
      </c>
      <c r="BD43" t="e">
        <f>AND(Sheet1!#REF!,"AAAAAGP/Xzc=")</f>
        <v>#REF!</v>
      </c>
      <c r="BE43" t="e">
        <f>AND(Sheet1!#REF!,"AAAAAGP/Xzg=")</f>
        <v>#REF!</v>
      </c>
      <c r="BF43" t="e">
        <f>AND(Sheet1!#REF!,"AAAAAGP/Xzk=")</f>
        <v>#REF!</v>
      </c>
      <c r="BG43" t="e">
        <f>AND(Sheet1!#REF!,"AAAAAGP/Xzo=")</f>
        <v>#REF!</v>
      </c>
      <c r="BH43">
        <f>IF(Sheet1!570:570,"AAAAAGP/Xzs=",0)</f>
        <v>0</v>
      </c>
      <c r="BI43" t="e">
        <f>AND(Sheet1!A570,"AAAAAGP/Xzw=")</f>
        <v>#VALUE!</v>
      </c>
      <c r="BJ43" t="e">
        <f>AND(Sheet1!B570,"AAAAAGP/Xz0=")</f>
        <v>#VALUE!</v>
      </c>
      <c r="BK43" t="e">
        <f>AND(Sheet1!C570,"AAAAAGP/Xz4=")</f>
        <v>#VALUE!</v>
      </c>
      <c r="BL43" t="e">
        <f>AND(Sheet1!D570,"AAAAAGP/Xz8=")</f>
        <v>#VALUE!</v>
      </c>
      <c r="BM43" t="e">
        <f>AND(Sheet1!E570,"AAAAAGP/X0A=")</f>
        <v>#VALUE!</v>
      </c>
      <c r="BN43" t="e">
        <f>AND(Sheet1!F570,"AAAAAGP/X0E=")</f>
        <v>#VALUE!</v>
      </c>
      <c r="BO43" t="e">
        <f>AND(Sheet1!G570,"AAAAAGP/X0I=")</f>
        <v>#VALUE!</v>
      </c>
      <c r="BP43" t="e">
        <f>AND(Sheet1!H570,"AAAAAGP/X0M=")</f>
        <v>#VALUE!</v>
      </c>
      <c r="BQ43" t="e">
        <f>AND(Sheet1!I570,"AAAAAGP/X0Q=")</f>
        <v>#VALUE!</v>
      </c>
      <c r="BR43" t="e">
        <f>AND(Sheet1!J570,"AAAAAGP/X0U=")</f>
        <v>#VALUE!</v>
      </c>
      <c r="BS43" t="e">
        <f>AND(Sheet1!K570,"AAAAAGP/X0Y=")</f>
        <v>#VALUE!</v>
      </c>
      <c r="BT43" t="e">
        <f>AND(Sheet1!L570,"AAAAAGP/X0c=")</f>
        <v>#VALUE!</v>
      </c>
      <c r="BU43" t="e">
        <f>AND(Sheet1!M570,"AAAAAGP/X0g=")</f>
        <v>#VALUE!</v>
      </c>
      <c r="BV43" t="e">
        <f>AND(Sheet1!N570,"AAAAAGP/X0k=")</f>
        <v>#VALUE!</v>
      </c>
      <c r="BW43" t="e">
        <f>AND(Sheet1!#REF!,"AAAAAGP/X0o=")</f>
        <v>#REF!</v>
      </c>
      <c r="BX43" t="e">
        <f>AND(Sheet1!#REF!,"AAAAAGP/X0s=")</f>
        <v>#REF!</v>
      </c>
      <c r="BY43" t="e">
        <f>AND(Sheet1!#REF!,"AAAAAGP/X0w=")</f>
        <v>#REF!</v>
      </c>
      <c r="BZ43" t="e">
        <f>AND(Sheet1!#REF!,"AAAAAGP/X00=")</f>
        <v>#REF!</v>
      </c>
      <c r="CA43">
        <f>IF(Sheet1!571:571,"AAAAAGP/X04=",0)</f>
        <v>0</v>
      </c>
      <c r="CB43" t="e">
        <f>AND(Sheet1!A571,"AAAAAGP/X08=")</f>
        <v>#VALUE!</v>
      </c>
      <c r="CC43" t="e">
        <f>AND(Sheet1!B571,"AAAAAGP/X1A=")</f>
        <v>#VALUE!</v>
      </c>
      <c r="CD43" t="e">
        <f>AND(Sheet1!C571,"AAAAAGP/X1E=")</f>
        <v>#VALUE!</v>
      </c>
      <c r="CE43" t="e">
        <f>AND(Sheet1!D571,"AAAAAGP/X1I=")</f>
        <v>#VALUE!</v>
      </c>
      <c r="CF43" t="e">
        <f>AND(Sheet1!E571,"AAAAAGP/X1M=")</f>
        <v>#VALUE!</v>
      </c>
      <c r="CG43" t="e">
        <f>AND(Sheet1!F571,"AAAAAGP/X1Q=")</f>
        <v>#VALUE!</v>
      </c>
      <c r="CH43" t="e">
        <f>AND(Sheet1!G571,"AAAAAGP/X1U=")</f>
        <v>#VALUE!</v>
      </c>
      <c r="CI43" t="e">
        <f>AND(Sheet1!H571,"AAAAAGP/X1Y=")</f>
        <v>#VALUE!</v>
      </c>
      <c r="CJ43" t="e">
        <f>AND(Sheet1!I571,"AAAAAGP/X1c=")</f>
        <v>#VALUE!</v>
      </c>
      <c r="CK43" t="e">
        <f>AND(Sheet1!J571,"AAAAAGP/X1g=")</f>
        <v>#VALUE!</v>
      </c>
      <c r="CL43" t="e">
        <f>AND(Sheet1!K571,"AAAAAGP/X1k=")</f>
        <v>#VALUE!</v>
      </c>
      <c r="CM43" t="e">
        <f>AND(Sheet1!L571,"AAAAAGP/X1o=")</f>
        <v>#VALUE!</v>
      </c>
      <c r="CN43" t="e">
        <f>AND(Sheet1!M571,"AAAAAGP/X1s=")</f>
        <v>#VALUE!</v>
      </c>
      <c r="CO43" t="e">
        <f>AND(Sheet1!N571,"AAAAAGP/X1w=")</f>
        <v>#VALUE!</v>
      </c>
      <c r="CP43" t="e">
        <f>AND(Sheet1!#REF!,"AAAAAGP/X10=")</f>
        <v>#REF!</v>
      </c>
      <c r="CQ43" t="e">
        <f>AND(Sheet1!#REF!,"AAAAAGP/X14=")</f>
        <v>#REF!</v>
      </c>
      <c r="CR43" t="e">
        <f>AND(Sheet1!#REF!,"AAAAAGP/X18=")</f>
        <v>#REF!</v>
      </c>
      <c r="CS43" t="e">
        <f>AND(Sheet1!#REF!,"AAAAAGP/X2A=")</f>
        <v>#REF!</v>
      </c>
      <c r="CT43">
        <f>IF(Sheet1!572:572,"AAAAAGP/X2E=",0)</f>
        <v>0</v>
      </c>
      <c r="CU43" t="e">
        <f>AND(Sheet1!A572,"AAAAAGP/X2I=")</f>
        <v>#VALUE!</v>
      </c>
      <c r="CV43" t="e">
        <f>AND(Sheet1!B572,"AAAAAGP/X2M=")</f>
        <v>#VALUE!</v>
      </c>
      <c r="CW43" t="e">
        <f>AND(Sheet1!C572,"AAAAAGP/X2Q=")</f>
        <v>#VALUE!</v>
      </c>
      <c r="CX43" t="e">
        <f>AND(Sheet1!D572,"AAAAAGP/X2U=")</f>
        <v>#VALUE!</v>
      </c>
      <c r="CY43" t="e">
        <f>AND(Sheet1!E572,"AAAAAGP/X2Y=")</f>
        <v>#VALUE!</v>
      </c>
      <c r="CZ43" t="e">
        <f>AND(Sheet1!F572,"AAAAAGP/X2c=")</f>
        <v>#VALUE!</v>
      </c>
      <c r="DA43" t="e">
        <f>AND(Sheet1!G572,"AAAAAGP/X2g=")</f>
        <v>#VALUE!</v>
      </c>
      <c r="DB43" t="e">
        <f>AND(Sheet1!H572,"AAAAAGP/X2k=")</f>
        <v>#VALUE!</v>
      </c>
      <c r="DC43" t="e">
        <f>AND(Sheet1!I572,"AAAAAGP/X2o=")</f>
        <v>#VALUE!</v>
      </c>
      <c r="DD43" t="e">
        <f>AND(Sheet1!J572,"AAAAAGP/X2s=")</f>
        <v>#VALUE!</v>
      </c>
      <c r="DE43" t="e">
        <f>AND(Sheet1!K572,"AAAAAGP/X2w=")</f>
        <v>#VALUE!</v>
      </c>
      <c r="DF43" t="e">
        <f>AND(Sheet1!L572,"AAAAAGP/X20=")</f>
        <v>#VALUE!</v>
      </c>
      <c r="DG43" t="e">
        <f>AND(Sheet1!M572,"AAAAAGP/X24=")</f>
        <v>#VALUE!</v>
      </c>
      <c r="DH43" t="e">
        <f>AND(Sheet1!N572,"AAAAAGP/X28=")</f>
        <v>#VALUE!</v>
      </c>
      <c r="DI43" t="e">
        <f>AND(Sheet1!#REF!,"AAAAAGP/X3A=")</f>
        <v>#REF!</v>
      </c>
      <c r="DJ43" t="e">
        <f>AND(Sheet1!#REF!,"AAAAAGP/X3E=")</f>
        <v>#REF!</v>
      </c>
      <c r="DK43" t="e">
        <f>AND(Sheet1!#REF!,"AAAAAGP/X3I=")</f>
        <v>#REF!</v>
      </c>
      <c r="DL43" t="e">
        <f>AND(Sheet1!#REF!,"AAAAAGP/X3M=")</f>
        <v>#REF!</v>
      </c>
      <c r="DM43">
        <f>IF(Sheet1!573:573,"AAAAAGP/X3Q=",0)</f>
        <v>0</v>
      </c>
      <c r="DN43" t="e">
        <f>AND(Sheet1!A573,"AAAAAGP/X3U=")</f>
        <v>#VALUE!</v>
      </c>
      <c r="DO43" t="e">
        <f>AND(Sheet1!B573,"AAAAAGP/X3Y=")</f>
        <v>#VALUE!</v>
      </c>
      <c r="DP43" t="e">
        <f>AND(Sheet1!C573,"AAAAAGP/X3c=")</f>
        <v>#VALUE!</v>
      </c>
      <c r="DQ43" t="e">
        <f>AND(Sheet1!D573,"AAAAAGP/X3g=")</f>
        <v>#VALUE!</v>
      </c>
      <c r="DR43" t="e">
        <f>AND(Sheet1!E573,"AAAAAGP/X3k=")</f>
        <v>#VALUE!</v>
      </c>
      <c r="DS43" t="e">
        <f>AND(Sheet1!F573,"AAAAAGP/X3o=")</f>
        <v>#VALUE!</v>
      </c>
      <c r="DT43" t="e">
        <f>AND(Sheet1!G573,"AAAAAGP/X3s=")</f>
        <v>#VALUE!</v>
      </c>
      <c r="DU43" t="e">
        <f>AND(Sheet1!H573,"AAAAAGP/X3w=")</f>
        <v>#VALUE!</v>
      </c>
      <c r="DV43" t="e">
        <f>AND(Sheet1!I573,"AAAAAGP/X30=")</f>
        <v>#VALUE!</v>
      </c>
      <c r="DW43" t="e">
        <f>AND(Sheet1!J573,"AAAAAGP/X34=")</f>
        <v>#VALUE!</v>
      </c>
      <c r="DX43" t="e">
        <f>AND(Sheet1!K573,"AAAAAGP/X38=")</f>
        <v>#VALUE!</v>
      </c>
      <c r="DY43" t="e">
        <f>AND(Sheet1!L573,"AAAAAGP/X4A=")</f>
        <v>#VALUE!</v>
      </c>
      <c r="DZ43" t="e">
        <f>AND(Sheet1!M573,"AAAAAGP/X4E=")</f>
        <v>#VALUE!</v>
      </c>
      <c r="EA43" t="e">
        <f>AND(Sheet1!N573,"AAAAAGP/X4I=")</f>
        <v>#VALUE!</v>
      </c>
      <c r="EB43" t="e">
        <f>AND(Sheet1!#REF!,"AAAAAGP/X4M=")</f>
        <v>#REF!</v>
      </c>
      <c r="EC43" t="e">
        <f>AND(Sheet1!#REF!,"AAAAAGP/X4Q=")</f>
        <v>#REF!</v>
      </c>
      <c r="ED43" t="e">
        <f>AND(Sheet1!#REF!,"AAAAAGP/X4U=")</f>
        <v>#REF!</v>
      </c>
      <c r="EE43" t="e">
        <f>AND(Sheet1!#REF!,"AAAAAGP/X4Y=")</f>
        <v>#REF!</v>
      </c>
      <c r="EF43">
        <f>IF(Sheet1!574:574,"AAAAAGP/X4c=",0)</f>
        <v>0</v>
      </c>
      <c r="EG43" t="e">
        <f>AND(Sheet1!A574,"AAAAAGP/X4g=")</f>
        <v>#VALUE!</v>
      </c>
      <c r="EH43" t="e">
        <f>AND(Sheet1!B574,"AAAAAGP/X4k=")</f>
        <v>#VALUE!</v>
      </c>
      <c r="EI43" t="e">
        <f>AND(Sheet1!C574,"AAAAAGP/X4o=")</f>
        <v>#VALUE!</v>
      </c>
      <c r="EJ43" t="e">
        <f>AND(Sheet1!D574,"AAAAAGP/X4s=")</f>
        <v>#VALUE!</v>
      </c>
      <c r="EK43" t="e">
        <f>AND(Sheet1!E574,"AAAAAGP/X4w=")</f>
        <v>#VALUE!</v>
      </c>
      <c r="EL43" t="e">
        <f>AND(Sheet1!F574,"AAAAAGP/X40=")</f>
        <v>#VALUE!</v>
      </c>
      <c r="EM43" t="e">
        <f>AND(Sheet1!G574,"AAAAAGP/X44=")</f>
        <v>#VALUE!</v>
      </c>
      <c r="EN43" t="e">
        <f>AND(Sheet1!H574,"AAAAAGP/X48=")</f>
        <v>#VALUE!</v>
      </c>
      <c r="EO43" t="e">
        <f>AND(Sheet1!I574,"AAAAAGP/X5A=")</f>
        <v>#VALUE!</v>
      </c>
      <c r="EP43" t="e">
        <f>AND(Sheet1!J574,"AAAAAGP/X5E=")</f>
        <v>#VALUE!</v>
      </c>
      <c r="EQ43" t="e">
        <f>AND(Sheet1!K574,"AAAAAGP/X5I=")</f>
        <v>#VALUE!</v>
      </c>
      <c r="ER43" t="e">
        <f>AND(Sheet1!L574,"AAAAAGP/X5M=")</f>
        <v>#VALUE!</v>
      </c>
      <c r="ES43" t="e">
        <f>AND(Sheet1!M574,"AAAAAGP/X5Q=")</f>
        <v>#VALUE!</v>
      </c>
      <c r="ET43" t="e">
        <f>AND(Sheet1!N574,"AAAAAGP/X5U=")</f>
        <v>#VALUE!</v>
      </c>
      <c r="EU43" t="e">
        <f>AND(Sheet1!#REF!,"AAAAAGP/X5Y=")</f>
        <v>#REF!</v>
      </c>
      <c r="EV43" t="e">
        <f>AND(Sheet1!#REF!,"AAAAAGP/X5c=")</f>
        <v>#REF!</v>
      </c>
      <c r="EW43" t="e">
        <f>AND(Sheet1!#REF!,"AAAAAGP/X5g=")</f>
        <v>#REF!</v>
      </c>
      <c r="EX43" t="e">
        <f>AND(Sheet1!#REF!,"AAAAAGP/X5k=")</f>
        <v>#REF!</v>
      </c>
      <c r="EY43">
        <f>IF(Sheet1!575:575,"AAAAAGP/X5o=",0)</f>
        <v>0</v>
      </c>
      <c r="EZ43" t="e">
        <f>AND(Sheet1!A575,"AAAAAGP/X5s=")</f>
        <v>#VALUE!</v>
      </c>
      <c r="FA43" t="e">
        <f>AND(Sheet1!B575,"AAAAAGP/X5w=")</f>
        <v>#VALUE!</v>
      </c>
      <c r="FB43" t="e">
        <f>AND(Sheet1!C575,"AAAAAGP/X50=")</f>
        <v>#VALUE!</v>
      </c>
      <c r="FC43" t="e">
        <f>AND(Sheet1!D575,"AAAAAGP/X54=")</f>
        <v>#VALUE!</v>
      </c>
      <c r="FD43" t="e">
        <f>AND(Sheet1!E575,"AAAAAGP/X58=")</f>
        <v>#VALUE!</v>
      </c>
      <c r="FE43" t="e">
        <f>AND(Sheet1!F575,"AAAAAGP/X6A=")</f>
        <v>#VALUE!</v>
      </c>
      <c r="FF43" t="e">
        <f>AND(Sheet1!G575,"AAAAAGP/X6E=")</f>
        <v>#VALUE!</v>
      </c>
      <c r="FG43" t="e">
        <f>AND(Sheet1!H575,"AAAAAGP/X6I=")</f>
        <v>#VALUE!</v>
      </c>
      <c r="FH43" t="e">
        <f>AND(Sheet1!I575,"AAAAAGP/X6M=")</f>
        <v>#VALUE!</v>
      </c>
      <c r="FI43" t="e">
        <f>AND(Sheet1!J575,"AAAAAGP/X6Q=")</f>
        <v>#VALUE!</v>
      </c>
      <c r="FJ43" t="e">
        <f>AND(Sheet1!K575,"AAAAAGP/X6U=")</f>
        <v>#VALUE!</v>
      </c>
      <c r="FK43" t="e">
        <f>AND(Sheet1!L575,"AAAAAGP/X6Y=")</f>
        <v>#VALUE!</v>
      </c>
      <c r="FL43" t="e">
        <f>AND(Sheet1!M575,"AAAAAGP/X6c=")</f>
        <v>#VALUE!</v>
      </c>
      <c r="FM43" t="e">
        <f>AND(Sheet1!N575,"AAAAAGP/X6g=")</f>
        <v>#VALUE!</v>
      </c>
      <c r="FN43" t="e">
        <f>AND(Sheet1!#REF!,"AAAAAGP/X6k=")</f>
        <v>#REF!</v>
      </c>
      <c r="FO43" t="e">
        <f>AND(Sheet1!#REF!,"AAAAAGP/X6o=")</f>
        <v>#REF!</v>
      </c>
      <c r="FP43" t="e">
        <f>AND(Sheet1!#REF!,"AAAAAGP/X6s=")</f>
        <v>#REF!</v>
      </c>
      <c r="FQ43" t="e">
        <f>AND(Sheet1!#REF!,"AAAAAGP/X6w=")</f>
        <v>#REF!</v>
      </c>
      <c r="FR43">
        <f>IF(Sheet1!576:576,"AAAAAGP/X60=",0)</f>
        <v>0</v>
      </c>
      <c r="FS43" t="e">
        <f>AND(Sheet1!A576,"AAAAAGP/X64=")</f>
        <v>#VALUE!</v>
      </c>
      <c r="FT43" t="e">
        <f>AND(Sheet1!B576,"AAAAAGP/X68=")</f>
        <v>#VALUE!</v>
      </c>
      <c r="FU43" t="e">
        <f>AND(Sheet1!C576,"AAAAAGP/X7A=")</f>
        <v>#VALUE!</v>
      </c>
      <c r="FV43" t="e">
        <f>AND(Sheet1!D576,"AAAAAGP/X7E=")</f>
        <v>#VALUE!</v>
      </c>
      <c r="FW43" t="e">
        <f>AND(Sheet1!E576,"AAAAAGP/X7I=")</f>
        <v>#VALUE!</v>
      </c>
      <c r="FX43" t="e">
        <f>AND(Sheet1!F576,"AAAAAGP/X7M=")</f>
        <v>#VALUE!</v>
      </c>
      <c r="FY43" t="e">
        <f>AND(Sheet1!G576,"AAAAAGP/X7Q=")</f>
        <v>#VALUE!</v>
      </c>
      <c r="FZ43" t="e">
        <f>AND(Sheet1!H576,"AAAAAGP/X7U=")</f>
        <v>#VALUE!</v>
      </c>
      <c r="GA43" t="e">
        <f>AND(Sheet1!I576,"AAAAAGP/X7Y=")</f>
        <v>#VALUE!</v>
      </c>
      <c r="GB43" t="e">
        <f>AND(Sheet1!J576,"AAAAAGP/X7c=")</f>
        <v>#VALUE!</v>
      </c>
      <c r="GC43" t="e">
        <f>AND(Sheet1!K576,"AAAAAGP/X7g=")</f>
        <v>#VALUE!</v>
      </c>
      <c r="GD43" t="e">
        <f>AND(Sheet1!L576,"AAAAAGP/X7k=")</f>
        <v>#VALUE!</v>
      </c>
      <c r="GE43" t="e">
        <f>AND(Sheet1!M576,"AAAAAGP/X7o=")</f>
        <v>#VALUE!</v>
      </c>
      <c r="GF43" t="e">
        <f>AND(Sheet1!N576,"AAAAAGP/X7s=")</f>
        <v>#VALUE!</v>
      </c>
      <c r="GG43" t="e">
        <f>AND(Sheet1!#REF!,"AAAAAGP/X7w=")</f>
        <v>#REF!</v>
      </c>
      <c r="GH43" t="e">
        <f>AND(Sheet1!#REF!,"AAAAAGP/X70=")</f>
        <v>#REF!</v>
      </c>
      <c r="GI43" t="e">
        <f>AND(Sheet1!#REF!,"AAAAAGP/X74=")</f>
        <v>#REF!</v>
      </c>
      <c r="GJ43" t="e">
        <f>AND(Sheet1!#REF!,"AAAAAGP/X78=")</f>
        <v>#REF!</v>
      </c>
      <c r="GK43">
        <f>IF(Sheet1!577:577,"AAAAAGP/X8A=",0)</f>
        <v>0</v>
      </c>
      <c r="GL43" t="e">
        <f>AND(Sheet1!A577,"AAAAAGP/X8E=")</f>
        <v>#VALUE!</v>
      </c>
      <c r="GM43" t="e">
        <f>AND(Sheet1!B577,"AAAAAGP/X8I=")</f>
        <v>#VALUE!</v>
      </c>
      <c r="GN43" t="e">
        <f>AND(Sheet1!C577,"AAAAAGP/X8M=")</f>
        <v>#VALUE!</v>
      </c>
      <c r="GO43" t="e">
        <f>AND(Sheet1!D577,"AAAAAGP/X8Q=")</f>
        <v>#VALUE!</v>
      </c>
      <c r="GP43" t="e">
        <f>AND(Sheet1!E577,"AAAAAGP/X8U=")</f>
        <v>#VALUE!</v>
      </c>
      <c r="GQ43" t="e">
        <f>AND(Sheet1!F577,"AAAAAGP/X8Y=")</f>
        <v>#VALUE!</v>
      </c>
      <c r="GR43" t="e">
        <f>AND(Sheet1!G577,"AAAAAGP/X8c=")</f>
        <v>#VALUE!</v>
      </c>
      <c r="GS43" t="e">
        <f>AND(Sheet1!H577,"AAAAAGP/X8g=")</f>
        <v>#VALUE!</v>
      </c>
      <c r="GT43" t="e">
        <f>AND(Sheet1!I577,"AAAAAGP/X8k=")</f>
        <v>#VALUE!</v>
      </c>
      <c r="GU43" t="e">
        <f>AND(Sheet1!J577,"AAAAAGP/X8o=")</f>
        <v>#VALUE!</v>
      </c>
      <c r="GV43" t="e">
        <f>AND(Sheet1!K577,"AAAAAGP/X8s=")</f>
        <v>#VALUE!</v>
      </c>
      <c r="GW43" t="e">
        <f>AND(Sheet1!L577,"AAAAAGP/X8w=")</f>
        <v>#VALUE!</v>
      </c>
      <c r="GX43" t="e">
        <f>AND(Sheet1!M577,"AAAAAGP/X80=")</f>
        <v>#VALUE!</v>
      </c>
      <c r="GY43" t="e">
        <f>AND(Sheet1!N577,"AAAAAGP/X84=")</f>
        <v>#VALUE!</v>
      </c>
      <c r="GZ43" t="e">
        <f>AND(Sheet1!#REF!,"AAAAAGP/X88=")</f>
        <v>#REF!</v>
      </c>
      <c r="HA43" t="e">
        <f>AND(Sheet1!#REF!,"AAAAAGP/X9A=")</f>
        <v>#REF!</v>
      </c>
      <c r="HB43" t="e">
        <f>AND(Sheet1!#REF!,"AAAAAGP/X9E=")</f>
        <v>#REF!</v>
      </c>
      <c r="HC43" t="e">
        <f>AND(Sheet1!#REF!,"AAAAAGP/X9I=")</f>
        <v>#REF!</v>
      </c>
      <c r="HD43">
        <f>IF(Sheet1!578:578,"AAAAAGP/X9M=",0)</f>
        <v>0</v>
      </c>
      <c r="HE43" t="e">
        <f>AND(Sheet1!A578,"AAAAAGP/X9Q=")</f>
        <v>#VALUE!</v>
      </c>
      <c r="HF43" t="e">
        <f>AND(Sheet1!B578,"AAAAAGP/X9U=")</f>
        <v>#VALUE!</v>
      </c>
      <c r="HG43" t="e">
        <f>AND(Sheet1!C578,"AAAAAGP/X9Y=")</f>
        <v>#VALUE!</v>
      </c>
      <c r="HH43" t="e">
        <f>AND(Sheet1!D578,"AAAAAGP/X9c=")</f>
        <v>#VALUE!</v>
      </c>
      <c r="HI43" t="e">
        <f>AND(Sheet1!E578,"AAAAAGP/X9g=")</f>
        <v>#VALUE!</v>
      </c>
      <c r="HJ43" t="e">
        <f>AND(Sheet1!F578,"AAAAAGP/X9k=")</f>
        <v>#VALUE!</v>
      </c>
      <c r="HK43" t="e">
        <f>AND(Sheet1!G578,"AAAAAGP/X9o=")</f>
        <v>#VALUE!</v>
      </c>
      <c r="HL43" t="e">
        <f>AND(Sheet1!H578,"AAAAAGP/X9s=")</f>
        <v>#VALUE!</v>
      </c>
      <c r="HM43" t="e">
        <f>AND(Sheet1!I578,"AAAAAGP/X9w=")</f>
        <v>#VALUE!</v>
      </c>
      <c r="HN43" t="e">
        <f>AND(Sheet1!J578,"AAAAAGP/X90=")</f>
        <v>#VALUE!</v>
      </c>
      <c r="HO43" t="e">
        <f>AND(Sheet1!K578,"AAAAAGP/X94=")</f>
        <v>#VALUE!</v>
      </c>
      <c r="HP43" t="e">
        <f>AND(Sheet1!L578,"AAAAAGP/X98=")</f>
        <v>#VALUE!</v>
      </c>
      <c r="HQ43" t="e">
        <f>AND(Sheet1!M578,"AAAAAGP/X+A=")</f>
        <v>#VALUE!</v>
      </c>
      <c r="HR43" t="e">
        <f>AND(Sheet1!N578,"AAAAAGP/X+E=")</f>
        <v>#VALUE!</v>
      </c>
      <c r="HS43" t="e">
        <f>AND(Sheet1!#REF!,"AAAAAGP/X+I=")</f>
        <v>#REF!</v>
      </c>
      <c r="HT43" t="e">
        <f>AND(Sheet1!#REF!,"AAAAAGP/X+M=")</f>
        <v>#REF!</v>
      </c>
      <c r="HU43" t="e">
        <f>AND(Sheet1!#REF!,"AAAAAGP/X+Q=")</f>
        <v>#REF!</v>
      </c>
      <c r="HV43" t="e">
        <f>AND(Sheet1!#REF!,"AAAAAGP/X+U=")</f>
        <v>#REF!</v>
      </c>
      <c r="HW43">
        <f>IF(Sheet1!579:579,"AAAAAGP/X+Y=",0)</f>
        <v>0</v>
      </c>
      <c r="HX43" t="e">
        <f>AND(Sheet1!A579,"AAAAAGP/X+c=")</f>
        <v>#VALUE!</v>
      </c>
      <c r="HY43" t="e">
        <f>AND(Sheet1!B579,"AAAAAGP/X+g=")</f>
        <v>#VALUE!</v>
      </c>
      <c r="HZ43" t="e">
        <f>AND(Sheet1!C579,"AAAAAGP/X+k=")</f>
        <v>#VALUE!</v>
      </c>
      <c r="IA43" t="e">
        <f>AND(Sheet1!D579,"AAAAAGP/X+o=")</f>
        <v>#VALUE!</v>
      </c>
      <c r="IB43" t="e">
        <f>AND(Sheet1!E579,"AAAAAGP/X+s=")</f>
        <v>#VALUE!</v>
      </c>
      <c r="IC43" t="e">
        <f>AND(Sheet1!F579,"AAAAAGP/X+w=")</f>
        <v>#VALUE!</v>
      </c>
      <c r="ID43" t="e">
        <f>AND(Sheet1!G579,"AAAAAGP/X+0=")</f>
        <v>#VALUE!</v>
      </c>
      <c r="IE43" t="e">
        <f>AND(Sheet1!H579,"AAAAAGP/X+4=")</f>
        <v>#VALUE!</v>
      </c>
      <c r="IF43" t="e">
        <f>AND(Sheet1!I579,"AAAAAGP/X+8=")</f>
        <v>#VALUE!</v>
      </c>
      <c r="IG43" t="e">
        <f>AND(Sheet1!J579,"AAAAAGP/X/A=")</f>
        <v>#VALUE!</v>
      </c>
      <c r="IH43" t="e">
        <f>AND(Sheet1!K579,"AAAAAGP/X/E=")</f>
        <v>#VALUE!</v>
      </c>
      <c r="II43" t="e">
        <f>AND(Sheet1!L579,"AAAAAGP/X/I=")</f>
        <v>#VALUE!</v>
      </c>
      <c r="IJ43" t="e">
        <f>AND(Sheet1!M579,"AAAAAGP/X/M=")</f>
        <v>#VALUE!</v>
      </c>
      <c r="IK43" t="e">
        <f>AND(Sheet1!N579,"AAAAAGP/X/Q=")</f>
        <v>#VALUE!</v>
      </c>
      <c r="IL43" t="e">
        <f>AND(Sheet1!#REF!,"AAAAAGP/X/U=")</f>
        <v>#REF!</v>
      </c>
      <c r="IM43" t="e">
        <f>AND(Sheet1!#REF!,"AAAAAGP/X/Y=")</f>
        <v>#REF!</v>
      </c>
      <c r="IN43" t="e">
        <f>AND(Sheet1!#REF!,"AAAAAGP/X/c=")</f>
        <v>#REF!</v>
      </c>
      <c r="IO43" t="e">
        <f>AND(Sheet1!#REF!,"AAAAAGP/X/g=")</f>
        <v>#REF!</v>
      </c>
      <c r="IP43">
        <f>IF(Sheet1!580:580,"AAAAAGP/X/k=",0)</f>
        <v>0</v>
      </c>
      <c r="IQ43" t="e">
        <f>AND(Sheet1!A580,"AAAAAGP/X/o=")</f>
        <v>#VALUE!</v>
      </c>
      <c r="IR43" t="e">
        <f>AND(Sheet1!B580,"AAAAAGP/X/s=")</f>
        <v>#VALUE!</v>
      </c>
      <c r="IS43" t="e">
        <f>AND(Sheet1!C580,"AAAAAGP/X/w=")</f>
        <v>#VALUE!</v>
      </c>
      <c r="IT43" t="e">
        <f>AND(Sheet1!D580,"AAAAAGP/X/0=")</f>
        <v>#VALUE!</v>
      </c>
      <c r="IU43" t="e">
        <f>AND(Sheet1!E580,"AAAAAGP/X/4=")</f>
        <v>#VALUE!</v>
      </c>
      <c r="IV43" t="e">
        <f>AND(Sheet1!F580,"AAAAAGP/X/8=")</f>
        <v>#VALUE!</v>
      </c>
    </row>
    <row r="44" spans="1:256" x14ac:dyDescent="0.2">
      <c r="A44" t="e">
        <f>AND(Sheet1!G580,"AAAAAB9+/wA=")</f>
        <v>#VALUE!</v>
      </c>
      <c r="B44" t="e">
        <f>AND(Sheet1!H580,"AAAAAB9+/wE=")</f>
        <v>#VALUE!</v>
      </c>
      <c r="C44" t="e">
        <f>AND(Sheet1!I580,"AAAAAB9+/wI=")</f>
        <v>#VALUE!</v>
      </c>
      <c r="D44" t="e">
        <f>AND(Sheet1!J580,"AAAAAB9+/wM=")</f>
        <v>#VALUE!</v>
      </c>
      <c r="E44" t="e">
        <f>AND(Sheet1!K580,"AAAAAB9+/wQ=")</f>
        <v>#VALUE!</v>
      </c>
      <c r="F44" t="e">
        <f>AND(Sheet1!L580,"AAAAAB9+/wU=")</f>
        <v>#VALUE!</v>
      </c>
      <c r="G44" t="e">
        <f>AND(Sheet1!M580,"AAAAAB9+/wY=")</f>
        <v>#VALUE!</v>
      </c>
      <c r="H44" t="e">
        <f>AND(Sheet1!N580,"AAAAAB9+/wc=")</f>
        <v>#VALUE!</v>
      </c>
      <c r="I44" t="e">
        <f>AND(Sheet1!#REF!,"AAAAAB9+/wg=")</f>
        <v>#REF!</v>
      </c>
      <c r="J44" t="e">
        <f>AND(Sheet1!#REF!,"AAAAAB9+/wk=")</f>
        <v>#REF!</v>
      </c>
      <c r="K44" t="e">
        <f>AND(Sheet1!#REF!,"AAAAAB9+/wo=")</f>
        <v>#REF!</v>
      </c>
      <c r="L44" t="e">
        <f>AND(Sheet1!#REF!,"AAAAAB9+/ws=")</f>
        <v>#REF!</v>
      </c>
      <c r="M44" t="str">
        <f>IF(Sheet1!581:581,"AAAAAB9+/ww=",0)</f>
        <v>AAAAAB9+/ww=</v>
      </c>
      <c r="N44" t="e">
        <f>AND(Sheet1!A581,"AAAAAB9+/w0=")</f>
        <v>#VALUE!</v>
      </c>
      <c r="O44" t="e">
        <f>AND(Sheet1!B581,"AAAAAB9+/w4=")</f>
        <v>#VALUE!</v>
      </c>
      <c r="P44" t="e">
        <f>AND(Sheet1!C581,"AAAAAB9+/w8=")</f>
        <v>#VALUE!</v>
      </c>
      <c r="Q44" t="e">
        <f>AND(Sheet1!D581,"AAAAAB9+/xA=")</f>
        <v>#VALUE!</v>
      </c>
      <c r="R44" t="e">
        <f>AND(Sheet1!E581,"AAAAAB9+/xE=")</f>
        <v>#VALUE!</v>
      </c>
      <c r="S44" t="e">
        <f>AND(Sheet1!F581,"AAAAAB9+/xI=")</f>
        <v>#VALUE!</v>
      </c>
      <c r="T44" t="e">
        <f>AND(Sheet1!G581,"AAAAAB9+/xM=")</f>
        <v>#VALUE!</v>
      </c>
      <c r="U44" t="e">
        <f>AND(Sheet1!H581,"AAAAAB9+/xQ=")</f>
        <v>#VALUE!</v>
      </c>
      <c r="V44" t="e">
        <f>AND(Sheet1!I581,"AAAAAB9+/xU=")</f>
        <v>#VALUE!</v>
      </c>
      <c r="W44" t="e">
        <f>AND(Sheet1!J581,"AAAAAB9+/xY=")</f>
        <v>#VALUE!</v>
      </c>
      <c r="X44" t="e">
        <f>AND(Sheet1!K581,"AAAAAB9+/xc=")</f>
        <v>#VALUE!</v>
      </c>
      <c r="Y44" t="e">
        <f>AND(Sheet1!L581,"AAAAAB9+/xg=")</f>
        <v>#VALUE!</v>
      </c>
      <c r="Z44" t="e">
        <f>AND(Sheet1!M581,"AAAAAB9+/xk=")</f>
        <v>#VALUE!</v>
      </c>
      <c r="AA44" t="e">
        <f>AND(Sheet1!N581,"AAAAAB9+/xo=")</f>
        <v>#VALUE!</v>
      </c>
      <c r="AB44" t="e">
        <f>AND(Sheet1!#REF!,"AAAAAB9+/xs=")</f>
        <v>#REF!</v>
      </c>
      <c r="AC44" t="e">
        <f>AND(Sheet1!#REF!,"AAAAAB9+/xw=")</f>
        <v>#REF!</v>
      </c>
      <c r="AD44" t="e">
        <f>AND(Sheet1!#REF!,"AAAAAB9+/x0=")</f>
        <v>#REF!</v>
      </c>
      <c r="AE44" t="e">
        <f>AND(Sheet1!#REF!,"AAAAAB9+/x4=")</f>
        <v>#REF!</v>
      </c>
      <c r="AF44">
        <f>IF(Sheet1!582:582,"AAAAAB9+/x8=",0)</f>
        <v>0</v>
      </c>
      <c r="AG44" t="e">
        <f>AND(Sheet1!A582,"AAAAAB9+/yA=")</f>
        <v>#VALUE!</v>
      </c>
      <c r="AH44" t="e">
        <f>AND(Sheet1!B582,"AAAAAB9+/yE=")</f>
        <v>#VALUE!</v>
      </c>
      <c r="AI44" t="e">
        <f>AND(Sheet1!C582,"AAAAAB9+/yI=")</f>
        <v>#VALUE!</v>
      </c>
      <c r="AJ44" t="e">
        <f>AND(Sheet1!D582,"AAAAAB9+/yM=")</f>
        <v>#VALUE!</v>
      </c>
      <c r="AK44" t="e">
        <f>AND(Sheet1!E582,"AAAAAB9+/yQ=")</f>
        <v>#VALUE!</v>
      </c>
      <c r="AL44" t="e">
        <f>AND(Sheet1!F582,"AAAAAB9+/yU=")</f>
        <v>#VALUE!</v>
      </c>
      <c r="AM44" t="e">
        <f>AND(Sheet1!G582,"AAAAAB9+/yY=")</f>
        <v>#VALUE!</v>
      </c>
      <c r="AN44" t="e">
        <f>AND(Sheet1!H582,"AAAAAB9+/yc=")</f>
        <v>#VALUE!</v>
      </c>
      <c r="AO44" t="e">
        <f>AND(Sheet1!I582,"AAAAAB9+/yg=")</f>
        <v>#VALUE!</v>
      </c>
      <c r="AP44" t="e">
        <f>AND(Sheet1!J582,"AAAAAB9+/yk=")</f>
        <v>#VALUE!</v>
      </c>
      <c r="AQ44" t="e">
        <f>AND(Sheet1!K582,"AAAAAB9+/yo=")</f>
        <v>#VALUE!</v>
      </c>
      <c r="AR44" t="e">
        <f>AND(Sheet1!L582,"AAAAAB9+/ys=")</f>
        <v>#VALUE!</v>
      </c>
      <c r="AS44" t="e">
        <f>AND(Sheet1!M582,"AAAAAB9+/yw=")</f>
        <v>#VALUE!</v>
      </c>
      <c r="AT44" t="e">
        <f>AND(Sheet1!N582,"AAAAAB9+/y0=")</f>
        <v>#VALUE!</v>
      </c>
      <c r="AU44" t="e">
        <f>AND(Sheet1!#REF!,"AAAAAB9+/y4=")</f>
        <v>#REF!</v>
      </c>
      <c r="AV44" t="e">
        <f>AND(Sheet1!#REF!,"AAAAAB9+/y8=")</f>
        <v>#REF!</v>
      </c>
      <c r="AW44" t="e">
        <f>AND(Sheet1!#REF!,"AAAAAB9+/zA=")</f>
        <v>#REF!</v>
      </c>
      <c r="AX44" t="e">
        <f>AND(Sheet1!#REF!,"AAAAAB9+/zE=")</f>
        <v>#REF!</v>
      </c>
      <c r="AY44">
        <f>IF(Sheet1!583:583,"AAAAAB9+/zI=",0)</f>
        <v>0</v>
      </c>
      <c r="AZ44" t="e">
        <f>AND(Sheet1!A583,"AAAAAB9+/zM=")</f>
        <v>#VALUE!</v>
      </c>
      <c r="BA44" t="e">
        <f>AND(Sheet1!B583,"AAAAAB9+/zQ=")</f>
        <v>#VALUE!</v>
      </c>
      <c r="BB44" t="e">
        <f>AND(Sheet1!C583,"AAAAAB9+/zU=")</f>
        <v>#VALUE!</v>
      </c>
      <c r="BC44" t="e">
        <f>AND(Sheet1!D583,"AAAAAB9+/zY=")</f>
        <v>#VALUE!</v>
      </c>
      <c r="BD44" t="e">
        <f>AND(Sheet1!E583,"AAAAAB9+/zc=")</f>
        <v>#VALUE!</v>
      </c>
      <c r="BE44" t="e">
        <f>AND(Sheet1!F583,"AAAAAB9+/zg=")</f>
        <v>#VALUE!</v>
      </c>
      <c r="BF44" t="e">
        <f>AND(Sheet1!G583,"AAAAAB9+/zk=")</f>
        <v>#VALUE!</v>
      </c>
      <c r="BG44" t="e">
        <f>AND(Sheet1!H583,"AAAAAB9+/zo=")</f>
        <v>#VALUE!</v>
      </c>
      <c r="BH44" t="e">
        <f>AND(Sheet1!I583,"AAAAAB9+/zs=")</f>
        <v>#VALUE!</v>
      </c>
      <c r="BI44" t="e">
        <f>AND(Sheet1!J583,"AAAAAB9+/zw=")</f>
        <v>#VALUE!</v>
      </c>
      <c r="BJ44" t="e">
        <f>AND(Sheet1!K583,"AAAAAB9+/z0=")</f>
        <v>#VALUE!</v>
      </c>
      <c r="BK44" t="e">
        <f>AND(Sheet1!L583,"AAAAAB9+/z4=")</f>
        <v>#VALUE!</v>
      </c>
      <c r="BL44" t="e">
        <f>AND(Sheet1!M583,"AAAAAB9+/z8=")</f>
        <v>#VALUE!</v>
      </c>
      <c r="BM44" t="e">
        <f>AND(Sheet1!N583,"AAAAAB9+/0A=")</f>
        <v>#VALUE!</v>
      </c>
      <c r="BN44" t="e">
        <f>AND(Sheet1!#REF!,"AAAAAB9+/0E=")</f>
        <v>#REF!</v>
      </c>
      <c r="BO44" t="e">
        <f>AND(Sheet1!#REF!,"AAAAAB9+/0I=")</f>
        <v>#REF!</v>
      </c>
      <c r="BP44" t="e">
        <f>AND(Sheet1!#REF!,"AAAAAB9+/0M=")</f>
        <v>#REF!</v>
      </c>
      <c r="BQ44" t="e">
        <f>AND(Sheet1!#REF!,"AAAAAB9+/0Q=")</f>
        <v>#REF!</v>
      </c>
      <c r="BR44">
        <f>IF(Sheet1!584:584,"AAAAAB9+/0U=",0)</f>
        <v>0</v>
      </c>
      <c r="BS44" t="e">
        <f>AND(Sheet1!A584,"AAAAAB9+/0Y=")</f>
        <v>#VALUE!</v>
      </c>
      <c r="BT44" t="e">
        <f>AND(Sheet1!B584,"AAAAAB9+/0c=")</f>
        <v>#VALUE!</v>
      </c>
      <c r="BU44" t="e">
        <f>AND(Sheet1!C584,"AAAAAB9+/0g=")</f>
        <v>#VALUE!</v>
      </c>
      <c r="BV44" t="e">
        <f>AND(Sheet1!D584,"AAAAAB9+/0k=")</f>
        <v>#VALUE!</v>
      </c>
      <c r="BW44" t="e">
        <f>AND(Sheet1!E584,"AAAAAB9+/0o=")</f>
        <v>#VALUE!</v>
      </c>
      <c r="BX44" t="e">
        <f>AND(Sheet1!F584,"AAAAAB9+/0s=")</f>
        <v>#VALUE!</v>
      </c>
      <c r="BY44" t="e">
        <f>AND(Sheet1!G584,"AAAAAB9+/0w=")</f>
        <v>#VALUE!</v>
      </c>
      <c r="BZ44" t="e">
        <f>AND(Sheet1!H584,"AAAAAB9+/00=")</f>
        <v>#VALUE!</v>
      </c>
      <c r="CA44" t="e">
        <f>AND(Sheet1!I584,"AAAAAB9+/04=")</f>
        <v>#VALUE!</v>
      </c>
      <c r="CB44" t="e">
        <f>AND(Sheet1!J584,"AAAAAB9+/08=")</f>
        <v>#VALUE!</v>
      </c>
      <c r="CC44" t="e">
        <f>AND(Sheet1!K584,"AAAAAB9+/1A=")</f>
        <v>#VALUE!</v>
      </c>
      <c r="CD44" t="e">
        <f>AND(Sheet1!L584,"AAAAAB9+/1E=")</f>
        <v>#VALUE!</v>
      </c>
      <c r="CE44" t="e">
        <f>AND(Sheet1!M584,"AAAAAB9+/1I=")</f>
        <v>#VALUE!</v>
      </c>
      <c r="CF44" t="e">
        <f>AND(Sheet1!N584,"AAAAAB9+/1M=")</f>
        <v>#VALUE!</v>
      </c>
      <c r="CG44" t="e">
        <f>AND(Sheet1!#REF!,"AAAAAB9+/1Q=")</f>
        <v>#REF!</v>
      </c>
      <c r="CH44" t="e">
        <f>AND(Sheet1!#REF!,"AAAAAB9+/1U=")</f>
        <v>#REF!</v>
      </c>
      <c r="CI44" t="e">
        <f>AND(Sheet1!#REF!,"AAAAAB9+/1Y=")</f>
        <v>#REF!</v>
      </c>
      <c r="CJ44" t="e">
        <f>AND(Sheet1!#REF!,"AAAAAB9+/1c=")</f>
        <v>#REF!</v>
      </c>
      <c r="CK44">
        <f>IF(Sheet1!585:585,"AAAAAB9+/1g=",0)</f>
        <v>0</v>
      </c>
      <c r="CL44" t="e">
        <f>AND(Sheet1!A585,"AAAAAB9+/1k=")</f>
        <v>#VALUE!</v>
      </c>
      <c r="CM44" t="e">
        <f>AND(Sheet1!B585,"AAAAAB9+/1o=")</f>
        <v>#VALUE!</v>
      </c>
      <c r="CN44" t="e">
        <f>AND(Sheet1!C585,"AAAAAB9+/1s=")</f>
        <v>#VALUE!</v>
      </c>
      <c r="CO44" t="e">
        <f>AND(Sheet1!D585,"AAAAAB9+/1w=")</f>
        <v>#VALUE!</v>
      </c>
      <c r="CP44" t="e">
        <f>AND(Sheet1!E585,"AAAAAB9+/10=")</f>
        <v>#VALUE!</v>
      </c>
      <c r="CQ44" t="e">
        <f>AND(Sheet1!F585,"AAAAAB9+/14=")</f>
        <v>#VALUE!</v>
      </c>
      <c r="CR44" t="e">
        <f>AND(Sheet1!G585,"AAAAAB9+/18=")</f>
        <v>#VALUE!</v>
      </c>
      <c r="CS44" t="e">
        <f>AND(Sheet1!H585,"AAAAAB9+/2A=")</f>
        <v>#VALUE!</v>
      </c>
      <c r="CT44" t="e">
        <f>AND(Sheet1!I585,"AAAAAB9+/2E=")</f>
        <v>#VALUE!</v>
      </c>
      <c r="CU44" t="e">
        <f>AND(Sheet1!J585,"AAAAAB9+/2I=")</f>
        <v>#VALUE!</v>
      </c>
      <c r="CV44" t="e">
        <f>AND(Sheet1!K585,"AAAAAB9+/2M=")</f>
        <v>#VALUE!</v>
      </c>
      <c r="CW44" t="e">
        <f>AND(Sheet1!L585,"AAAAAB9+/2Q=")</f>
        <v>#VALUE!</v>
      </c>
      <c r="CX44" t="e">
        <f>AND(Sheet1!M585,"AAAAAB9+/2U=")</f>
        <v>#VALUE!</v>
      </c>
      <c r="CY44" t="e">
        <f>AND(Sheet1!N585,"AAAAAB9+/2Y=")</f>
        <v>#VALUE!</v>
      </c>
      <c r="CZ44" t="e">
        <f>AND(Sheet1!#REF!,"AAAAAB9+/2c=")</f>
        <v>#REF!</v>
      </c>
      <c r="DA44" t="e">
        <f>AND(Sheet1!#REF!,"AAAAAB9+/2g=")</f>
        <v>#REF!</v>
      </c>
      <c r="DB44" t="e">
        <f>AND(Sheet1!#REF!,"AAAAAB9+/2k=")</f>
        <v>#REF!</v>
      </c>
      <c r="DC44" t="e">
        <f>AND(Sheet1!#REF!,"AAAAAB9+/2o=")</f>
        <v>#REF!</v>
      </c>
      <c r="DD44">
        <f>IF(Sheet1!586:586,"AAAAAB9+/2s=",0)</f>
        <v>0</v>
      </c>
      <c r="DE44" t="e">
        <f>AND(Sheet1!A586,"AAAAAB9+/2w=")</f>
        <v>#VALUE!</v>
      </c>
      <c r="DF44" t="e">
        <f>AND(Sheet1!B586,"AAAAAB9+/20=")</f>
        <v>#VALUE!</v>
      </c>
      <c r="DG44" t="e">
        <f>AND(Sheet1!C586,"AAAAAB9+/24=")</f>
        <v>#VALUE!</v>
      </c>
      <c r="DH44" t="e">
        <f>AND(Sheet1!D586,"AAAAAB9+/28=")</f>
        <v>#VALUE!</v>
      </c>
      <c r="DI44" t="e">
        <f>AND(Sheet1!E586,"AAAAAB9+/3A=")</f>
        <v>#VALUE!</v>
      </c>
      <c r="DJ44" t="e">
        <f>AND(Sheet1!F586,"AAAAAB9+/3E=")</f>
        <v>#VALUE!</v>
      </c>
      <c r="DK44" t="e">
        <f>AND(Sheet1!G586,"AAAAAB9+/3I=")</f>
        <v>#VALUE!</v>
      </c>
      <c r="DL44" t="e">
        <f>AND(Sheet1!H586,"AAAAAB9+/3M=")</f>
        <v>#VALUE!</v>
      </c>
      <c r="DM44" t="e">
        <f>AND(Sheet1!I586,"AAAAAB9+/3Q=")</f>
        <v>#VALUE!</v>
      </c>
      <c r="DN44" t="e">
        <f>AND(Sheet1!J586,"AAAAAB9+/3U=")</f>
        <v>#VALUE!</v>
      </c>
      <c r="DO44" t="e">
        <f>AND(Sheet1!K586,"AAAAAB9+/3Y=")</f>
        <v>#VALUE!</v>
      </c>
      <c r="DP44" t="e">
        <f>AND(Sheet1!L586,"AAAAAB9+/3c=")</f>
        <v>#VALUE!</v>
      </c>
      <c r="DQ44" t="e">
        <f>AND(Sheet1!M586,"AAAAAB9+/3g=")</f>
        <v>#VALUE!</v>
      </c>
      <c r="DR44" t="e">
        <f>AND(Sheet1!N586,"AAAAAB9+/3k=")</f>
        <v>#VALUE!</v>
      </c>
      <c r="DS44" t="e">
        <f>AND(Sheet1!#REF!,"AAAAAB9+/3o=")</f>
        <v>#REF!</v>
      </c>
      <c r="DT44" t="e">
        <f>AND(Sheet1!#REF!,"AAAAAB9+/3s=")</f>
        <v>#REF!</v>
      </c>
      <c r="DU44" t="e">
        <f>AND(Sheet1!#REF!,"AAAAAB9+/3w=")</f>
        <v>#REF!</v>
      </c>
      <c r="DV44" t="e">
        <f>AND(Sheet1!#REF!,"AAAAAB9+/30=")</f>
        <v>#REF!</v>
      </c>
      <c r="DW44">
        <f>IF(Sheet1!587:587,"AAAAAB9+/34=",0)</f>
        <v>0</v>
      </c>
      <c r="DX44" t="e">
        <f>AND(Sheet1!A587,"AAAAAB9+/38=")</f>
        <v>#VALUE!</v>
      </c>
      <c r="DY44" t="e">
        <f>AND(Sheet1!B587,"AAAAAB9+/4A=")</f>
        <v>#VALUE!</v>
      </c>
      <c r="DZ44" t="e">
        <f>AND(Sheet1!C587,"AAAAAB9+/4E=")</f>
        <v>#VALUE!</v>
      </c>
      <c r="EA44" t="e">
        <f>AND(Sheet1!D587,"AAAAAB9+/4I=")</f>
        <v>#VALUE!</v>
      </c>
      <c r="EB44" t="e">
        <f>AND(Sheet1!E587,"AAAAAB9+/4M=")</f>
        <v>#VALUE!</v>
      </c>
      <c r="EC44" t="e">
        <f>AND(Sheet1!F587,"AAAAAB9+/4Q=")</f>
        <v>#VALUE!</v>
      </c>
      <c r="ED44" t="e">
        <f>AND(Sheet1!G587,"AAAAAB9+/4U=")</f>
        <v>#VALUE!</v>
      </c>
      <c r="EE44" t="e">
        <f>AND(Sheet1!H587,"AAAAAB9+/4Y=")</f>
        <v>#VALUE!</v>
      </c>
      <c r="EF44" t="e">
        <f>AND(Sheet1!I587,"AAAAAB9+/4c=")</f>
        <v>#VALUE!</v>
      </c>
      <c r="EG44" t="e">
        <f>AND(Sheet1!J587,"AAAAAB9+/4g=")</f>
        <v>#VALUE!</v>
      </c>
      <c r="EH44" t="e">
        <f>AND(Sheet1!K587,"AAAAAB9+/4k=")</f>
        <v>#VALUE!</v>
      </c>
      <c r="EI44" t="e">
        <f>AND(Sheet1!L587,"AAAAAB9+/4o=")</f>
        <v>#VALUE!</v>
      </c>
      <c r="EJ44" t="e">
        <f>AND(Sheet1!M587,"AAAAAB9+/4s=")</f>
        <v>#VALUE!</v>
      </c>
      <c r="EK44" t="e">
        <f>AND(Sheet1!N587,"AAAAAB9+/4w=")</f>
        <v>#VALUE!</v>
      </c>
      <c r="EL44" t="e">
        <f>AND(Sheet1!#REF!,"AAAAAB9+/40=")</f>
        <v>#REF!</v>
      </c>
      <c r="EM44" t="e">
        <f>AND(Sheet1!#REF!,"AAAAAB9+/44=")</f>
        <v>#REF!</v>
      </c>
      <c r="EN44" t="e">
        <f>AND(Sheet1!#REF!,"AAAAAB9+/48=")</f>
        <v>#REF!</v>
      </c>
      <c r="EO44" t="e">
        <f>AND(Sheet1!#REF!,"AAAAAB9+/5A=")</f>
        <v>#REF!</v>
      </c>
      <c r="EP44">
        <f>IF(Sheet1!588:588,"AAAAAB9+/5E=",0)</f>
        <v>0</v>
      </c>
      <c r="EQ44" t="e">
        <f>AND(Sheet1!A588,"AAAAAB9+/5I=")</f>
        <v>#VALUE!</v>
      </c>
      <c r="ER44" t="e">
        <f>AND(Sheet1!B588,"AAAAAB9+/5M=")</f>
        <v>#VALUE!</v>
      </c>
      <c r="ES44" t="e">
        <f>AND(Sheet1!C588,"AAAAAB9+/5Q=")</f>
        <v>#VALUE!</v>
      </c>
      <c r="ET44" t="e">
        <f>AND(Sheet1!D588,"AAAAAB9+/5U=")</f>
        <v>#VALUE!</v>
      </c>
      <c r="EU44" t="e">
        <f>AND(Sheet1!E588,"AAAAAB9+/5Y=")</f>
        <v>#VALUE!</v>
      </c>
      <c r="EV44" t="e">
        <f>AND(Sheet1!F588,"AAAAAB9+/5c=")</f>
        <v>#VALUE!</v>
      </c>
      <c r="EW44" t="e">
        <f>AND(Sheet1!G588,"AAAAAB9+/5g=")</f>
        <v>#VALUE!</v>
      </c>
      <c r="EX44" t="e">
        <f>AND(Sheet1!H588,"AAAAAB9+/5k=")</f>
        <v>#VALUE!</v>
      </c>
      <c r="EY44" t="e">
        <f>AND(Sheet1!I588,"AAAAAB9+/5o=")</f>
        <v>#VALUE!</v>
      </c>
      <c r="EZ44" t="e">
        <f>AND(Sheet1!J588,"AAAAAB9+/5s=")</f>
        <v>#VALUE!</v>
      </c>
      <c r="FA44" t="e">
        <f>AND(Sheet1!K588,"AAAAAB9+/5w=")</f>
        <v>#VALUE!</v>
      </c>
      <c r="FB44" t="e">
        <f>AND(Sheet1!L588,"AAAAAB9+/50=")</f>
        <v>#VALUE!</v>
      </c>
      <c r="FC44" t="e">
        <f>AND(Sheet1!M588,"AAAAAB9+/54=")</f>
        <v>#VALUE!</v>
      </c>
      <c r="FD44" t="e">
        <f>AND(Sheet1!N588,"AAAAAB9+/58=")</f>
        <v>#VALUE!</v>
      </c>
      <c r="FE44" t="e">
        <f>AND(Sheet1!#REF!,"AAAAAB9+/6A=")</f>
        <v>#REF!</v>
      </c>
      <c r="FF44" t="e">
        <f>AND(Sheet1!#REF!,"AAAAAB9+/6E=")</f>
        <v>#REF!</v>
      </c>
      <c r="FG44" t="e">
        <f>AND(Sheet1!#REF!,"AAAAAB9+/6I=")</f>
        <v>#REF!</v>
      </c>
      <c r="FH44" t="e">
        <f>AND(Sheet1!#REF!,"AAAAAB9+/6M=")</f>
        <v>#REF!</v>
      </c>
      <c r="FI44">
        <f>IF(Sheet1!589:589,"AAAAAB9+/6Q=",0)</f>
        <v>0</v>
      </c>
      <c r="FJ44" t="e">
        <f>AND(Sheet1!A589,"AAAAAB9+/6U=")</f>
        <v>#VALUE!</v>
      </c>
      <c r="FK44" t="e">
        <f>AND(Sheet1!B589,"AAAAAB9+/6Y=")</f>
        <v>#VALUE!</v>
      </c>
      <c r="FL44" t="e">
        <f>AND(Sheet1!C589,"AAAAAB9+/6c=")</f>
        <v>#VALUE!</v>
      </c>
      <c r="FM44" t="e">
        <f>AND(Sheet1!D589,"AAAAAB9+/6g=")</f>
        <v>#VALUE!</v>
      </c>
      <c r="FN44" t="e">
        <f>AND(Sheet1!E589,"AAAAAB9+/6k=")</f>
        <v>#VALUE!</v>
      </c>
      <c r="FO44" t="e">
        <f>AND(Sheet1!F589,"AAAAAB9+/6o=")</f>
        <v>#VALUE!</v>
      </c>
      <c r="FP44" t="e">
        <f>AND(Sheet1!G589,"AAAAAB9+/6s=")</f>
        <v>#VALUE!</v>
      </c>
      <c r="FQ44" t="e">
        <f>AND(Sheet1!H589,"AAAAAB9+/6w=")</f>
        <v>#VALUE!</v>
      </c>
      <c r="FR44" t="e">
        <f>AND(Sheet1!I589,"AAAAAB9+/60=")</f>
        <v>#VALUE!</v>
      </c>
      <c r="FS44" t="e">
        <f>AND(Sheet1!J589,"AAAAAB9+/64=")</f>
        <v>#VALUE!</v>
      </c>
      <c r="FT44" t="e">
        <f>AND(Sheet1!K589,"AAAAAB9+/68=")</f>
        <v>#VALUE!</v>
      </c>
      <c r="FU44" t="e">
        <f>AND(Sheet1!L589,"AAAAAB9+/7A=")</f>
        <v>#VALUE!</v>
      </c>
      <c r="FV44" t="e">
        <f>AND(Sheet1!M589,"AAAAAB9+/7E=")</f>
        <v>#VALUE!</v>
      </c>
      <c r="FW44" t="e">
        <f>AND(Sheet1!N589,"AAAAAB9+/7I=")</f>
        <v>#VALUE!</v>
      </c>
      <c r="FX44" t="e">
        <f>AND(Sheet1!#REF!,"AAAAAB9+/7M=")</f>
        <v>#REF!</v>
      </c>
      <c r="FY44" t="e">
        <f>AND(Sheet1!#REF!,"AAAAAB9+/7Q=")</f>
        <v>#REF!</v>
      </c>
      <c r="FZ44" t="e">
        <f>AND(Sheet1!#REF!,"AAAAAB9+/7U=")</f>
        <v>#REF!</v>
      </c>
      <c r="GA44" t="e">
        <f>AND(Sheet1!#REF!,"AAAAAB9+/7Y=")</f>
        <v>#REF!</v>
      </c>
      <c r="GB44">
        <f>IF(Sheet1!590:590,"AAAAAB9+/7c=",0)</f>
        <v>0</v>
      </c>
      <c r="GC44" t="e">
        <f>AND(Sheet1!A590,"AAAAAB9+/7g=")</f>
        <v>#VALUE!</v>
      </c>
      <c r="GD44" t="e">
        <f>AND(Sheet1!B590,"AAAAAB9+/7k=")</f>
        <v>#VALUE!</v>
      </c>
      <c r="GE44" t="e">
        <f>AND(Sheet1!C590,"AAAAAB9+/7o=")</f>
        <v>#VALUE!</v>
      </c>
      <c r="GF44" t="e">
        <f>AND(Sheet1!D590,"AAAAAB9+/7s=")</f>
        <v>#VALUE!</v>
      </c>
      <c r="GG44" t="e">
        <f>AND(Sheet1!E590,"AAAAAB9+/7w=")</f>
        <v>#VALUE!</v>
      </c>
      <c r="GH44" t="e">
        <f>AND(Sheet1!F590,"AAAAAB9+/70=")</f>
        <v>#VALUE!</v>
      </c>
      <c r="GI44" t="e">
        <f>AND(Sheet1!G590,"AAAAAB9+/74=")</f>
        <v>#VALUE!</v>
      </c>
      <c r="GJ44" t="e">
        <f>AND(Sheet1!H590,"AAAAAB9+/78=")</f>
        <v>#VALUE!</v>
      </c>
      <c r="GK44" t="e">
        <f>AND(Sheet1!I590,"AAAAAB9+/8A=")</f>
        <v>#VALUE!</v>
      </c>
      <c r="GL44" t="e">
        <f>AND(Sheet1!J590,"AAAAAB9+/8E=")</f>
        <v>#VALUE!</v>
      </c>
      <c r="GM44" t="e">
        <f>AND(Sheet1!K590,"AAAAAB9+/8I=")</f>
        <v>#VALUE!</v>
      </c>
      <c r="GN44" t="e">
        <f>AND(Sheet1!L590,"AAAAAB9+/8M=")</f>
        <v>#VALUE!</v>
      </c>
      <c r="GO44" t="e">
        <f>AND(Sheet1!M590,"AAAAAB9+/8Q=")</f>
        <v>#VALUE!</v>
      </c>
      <c r="GP44" t="e">
        <f>AND(Sheet1!N590,"AAAAAB9+/8U=")</f>
        <v>#VALUE!</v>
      </c>
      <c r="GQ44" t="e">
        <f>AND(Sheet1!#REF!,"AAAAAB9+/8Y=")</f>
        <v>#REF!</v>
      </c>
      <c r="GR44" t="e">
        <f>AND(Sheet1!#REF!,"AAAAAB9+/8c=")</f>
        <v>#REF!</v>
      </c>
      <c r="GS44" t="e">
        <f>AND(Sheet1!#REF!,"AAAAAB9+/8g=")</f>
        <v>#REF!</v>
      </c>
      <c r="GT44" t="e">
        <f>AND(Sheet1!#REF!,"AAAAAB9+/8k=")</f>
        <v>#REF!</v>
      </c>
      <c r="GU44">
        <f>IF(Sheet1!591:591,"AAAAAB9+/8o=",0)</f>
        <v>0</v>
      </c>
      <c r="GV44" t="e">
        <f>AND(Sheet1!A591,"AAAAAB9+/8s=")</f>
        <v>#VALUE!</v>
      </c>
      <c r="GW44" t="e">
        <f>AND(Sheet1!B591,"AAAAAB9+/8w=")</f>
        <v>#VALUE!</v>
      </c>
      <c r="GX44" t="e">
        <f>AND(Sheet1!C591,"AAAAAB9+/80=")</f>
        <v>#VALUE!</v>
      </c>
      <c r="GY44" t="e">
        <f>AND(Sheet1!D591,"AAAAAB9+/84=")</f>
        <v>#VALUE!</v>
      </c>
      <c r="GZ44" t="e">
        <f>AND(Sheet1!E591,"AAAAAB9+/88=")</f>
        <v>#VALUE!</v>
      </c>
      <c r="HA44" t="e">
        <f>AND(Sheet1!F591,"AAAAAB9+/9A=")</f>
        <v>#VALUE!</v>
      </c>
      <c r="HB44" t="e">
        <f>AND(Sheet1!G591,"AAAAAB9+/9E=")</f>
        <v>#VALUE!</v>
      </c>
      <c r="HC44" t="e">
        <f>AND(Sheet1!H591,"AAAAAB9+/9I=")</f>
        <v>#VALUE!</v>
      </c>
      <c r="HD44" t="e">
        <f>AND(Sheet1!I591,"AAAAAB9+/9M=")</f>
        <v>#VALUE!</v>
      </c>
      <c r="HE44" t="e">
        <f>AND(Sheet1!J591,"AAAAAB9+/9Q=")</f>
        <v>#VALUE!</v>
      </c>
      <c r="HF44" t="e">
        <f>AND(Sheet1!K591,"AAAAAB9+/9U=")</f>
        <v>#VALUE!</v>
      </c>
      <c r="HG44" t="e">
        <f>AND(Sheet1!L591,"AAAAAB9+/9Y=")</f>
        <v>#VALUE!</v>
      </c>
      <c r="HH44" t="e">
        <f>AND(Sheet1!M591,"AAAAAB9+/9c=")</f>
        <v>#VALUE!</v>
      </c>
      <c r="HI44" t="e">
        <f>AND(Sheet1!N591,"AAAAAB9+/9g=")</f>
        <v>#VALUE!</v>
      </c>
      <c r="HJ44" t="e">
        <f>AND(Sheet1!#REF!,"AAAAAB9+/9k=")</f>
        <v>#REF!</v>
      </c>
      <c r="HK44" t="e">
        <f>AND(Sheet1!#REF!,"AAAAAB9+/9o=")</f>
        <v>#REF!</v>
      </c>
      <c r="HL44" t="e">
        <f>AND(Sheet1!#REF!,"AAAAAB9+/9s=")</f>
        <v>#REF!</v>
      </c>
      <c r="HM44" t="e">
        <f>AND(Sheet1!#REF!,"AAAAAB9+/9w=")</f>
        <v>#REF!</v>
      </c>
      <c r="HN44">
        <f>IF(Sheet1!592:592,"AAAAAB9+/90=",0)</f>
        <v>0</v>
      </c>
      <c r="HO44" t="e">
        <f>AND(Sheet1!A592,"AAAAAB9+/94=")</f>
        <v>#VALUE!</v>
      </c>
      <c r="HP44" t="e">
        <f>AND(Sheet1!B592,"AAAAAB9+/98=")</f>
        <v>#VALUE!</v>
      </c>
      <c r="HQ44" t="e">
        <f>AND(Sheet1!C592,"AAAAAB9+/+A=")</f>
        <v>#VALUE!</v>
      </c>
      <c r="HR44" t="e">
        <f>AND(Sheet1!D592,"AAAAAB9+/+E=")</f>
        <v>#VALUE!</v>
      </c>
      <c r="HS44" t="e">
        <f>AND(Sheet1!E592,"AAAAAB9+/+I=")</f>
        <v>#VALUE!</v>
      </c>
      <c r="HT44" t="e">
        <f>AND(Sheet1!F592,"AAAAAB9+/+M=")</f>
        <v>#VALUE!</v>
      </c>
      <c r="HU44" t="e">
        <f>AND(Sheet1!G592,"AAAAAB9+/+Q=")</f>
        <v>#VALUE!</v>
      </c>
      <c r="HV44" t="e">
        <f>AND(Sheet1!H592,"AAAAAB9+/+U=")</f>
        <v>#VALUE!</v>
      </c>
      <c r="HW44" t="e">
        <f>AND(Sheet1!I592,"AAAAAB9+/+Y=")</f>
        <v>#VALUE!</v>
      </c>
      <c r="HX44" t="e">
        <f>AND(Sheet1!J592,"AAAAAB9+/+c=")</f>
        <v>#VALUE!</v>
      </c>
      <c r="HY44" t="e">
        <f>AND(Sheet1!K592,"AAAAAB9+/+g=")</f>
        <v>#VALUE!</v>
      </c>
      <c r="HZ44" t="e">
        <f>AND(Sheet1!L592,"AAAAAB9+/+k=")</f>
        <v>#VALUE!</v>
      </c>
      <c r="IA44" t="e">
        <f>AND(Sheet1!M592,"AAAAAB9+/+o=")</f>
        <v>#VALUE!</v>
      </c>
      <c r="IB44" t="e">
        <f>AND(Sheet1!N592,"AAAAAB9+/+s=")</f>
        <v>#VALUE!</v>
      </c>
      <c r="IC44" t="e">
        <f>AND(Sheet1!#REF!,"AAAAAB9+/+w=")</f>
        <v>#REF!</v>
      </c>
      <c r="ID44" t="e">
        <f>AND(Sheet1!#REF!,"AAAAAB9+/+0=")</f>
        <v>#REF!</v>
      </c>
      <c r="IE44" t="e">
        <f>AND(Sheet1!#REF!,"AAAAAB9+/+4=")</f>
        <v>#REF!</v>
      </c>
      <c r="IF44" t="e">
        <f>AND(Sheet1!#REF!,"AAAAAB9+/+8=")</f>
        <v>#REF!</v>
      </c>
      <c r="IG44">
        <f>IF(Sheet1!593:593,"AAAAAB9+//A=",0)</f>
        <v>0</v>
      </c>
      <c r="IH44" t="e">
        <f>AND(Sheet1!A593,"AAAAAB9+//E=")</f>
        <v>#VALUE!</v>
      </c>
      <c r="II44" t="e">
        <f>AND(Sheet1!B593,"AAAAAB9+//I=")</f>
        <v>#VALUE!</v>
      </c>
      <c r="IJ44" t="e">
        <f>AND(Sheet1!C593,"AAAAAB9+//M=")</f>
        <v>#VALUE!</v>
      </c>
      <c r="IK44" t="e">
        <f>AND(Sheet1!D593,"AAAAAB9+//Q=")</f>
        <v>#VALUE!</v>
      </c>
      <c r="IL44" t="e">
        <f>AND(Sheet1!E593,"AAAAAB9+//U=")</f>
        <v>#VALUE!</v>
      </c>
      <c r="IM44" t="e">
        <f>AND(Sheet1!F593,"AAAAAB9+//Y=")</f>
        <v>#VALUE!</v>
      </c>
      <c r="IN44" t="e">
        <f>AND(Sheet1!G593,"AAAAAB9+//c=")</f>
        <v>#VALUE!</v>
      </c>
      <c r="IO44" t="e">
        <f>AND(Sheet1!H593,"AAAAAB9+//g=")</f>
        <v>#VALUE!</v>
      </c>
      <c r="IP44" t="e">
        <f>AND(Sheet1!I593,"AAAAAB9+//k=")</f>
        <v>#VALUE!</v>
      </c>
      <c r="IQ44" t="e">
        <f>AND(Sheet1!J593,"AAAAAB9+//o=")</f>
        <v>#VALUE!</v>
      </c>
      <c r="IR44" t="e">
        <f>AND(Sheet1!K593,"AAAAAB9+//s=")</f>
        <v>#VALUE!</v>
      </c>
      <c r="IS44" t="e">
        <f>AND(Sheet1!L593,"AAAAAB9+//w=")</f>
        <v>#VALUE!</v>
      </c>
      <c r="IT44" t="e">
        <f>AND(Sheet1!M593,"AAAAAB9+//0=")</f>
        <v>#VALUE!</v>
      </c>
      <c r="IU44" t="e">
        <f>AND(Sheet1!N593,"AAAAAB9+//4=")</f>
        <v>#VALUE!</v>
      </c>
      <c r="IV44" t="e">
        <f>AND(Sheet1!#REF!,"AAAAAB9+//8=")</f>
        <v>#REF!</v>
      </c>
    </row>
    <row r="45" spans="1:256" x14ac:dyDescent="0.2">
      <c r="A45" t="e">
        <f>AND(Sheet1!#REF!,"AAAAAC74rwA=")</f>
        <v>#REF!</v>
      </c>
      <c r="B45" t="e">
        <f>AND(Sheet1!#REF!,"AAAAAC74rwE=")</f>
        <v>#REF!</v>
      </c>
      <c r="C45" t="e">
        <f>AND(Sheet1!#REF!,"AAAAAC74rwI=")</f>
        <v>#REF!</v>
      </c>
      <c r="D45" t="e">
        <f>IF(Sheet1!594:594,"AAAAAC74rwM=",0)</f>
        <v>#VALUE!</v>
      </c>
      <c r="E45" t="e">
        <f>AND(Sheet1!A594,"AAAAAC74rwQ=")</f>
        <v>#VALUE!</v>
      </c>
      <c r="F45" t="e">
        <f>AND(Sheet1!B594,"AAAAAC74rwU=")</f>
        <v>#VALUE!</v>
      </c>
      <c r="G45" t="e">
        <f>AND(Sheet1!C594,"AAAAAC74rwY=")</f>
        <v>#VALUE!</v>
      </c>
      <c r="H45" t="e">
        <f>AND(Sheet1!D594,"AAAAAC74rwc=")</f>
        <v>#VALUE!</v>
      </c>
      <c r="I45" t="e">
        <f>AND(Sheet1!E594,"AAAAAC74rwg=")</f>
        <v>#VALUE!</v>
      </c>
      <c r="J45" t="e">
        <f>AND(Sheet1!F594,"AAAAAC74rwk=")</f>
        <v>#VALUE!</v>
      </c>
      <c r="K45" t="e">
        <f>AND(Sheet1!G594,"AAAAAC74rwo=")</f>
        <v>#VALUE!</v>
      </c>
      <c r="L45" t="e">
        <f>AND(Sheet1!H594,"AAAAAC74rws=")</f>
        <v>#VALUE!</v>
      </c>
      <c r="M45" t="e">
        <f>AND(Sheet1!I594,"AAAAAC74rww=")</f>
        <v>#VALUE!</v>
      </c>
      <c r="N45" t="e">
        <f>AND(Sheet1!J594,"AAAAAC74rw0=")</f>
        <v>#VALUE!</v>
      </c>
      <c r="O45" t="e">
        <f>AND(Sheet1!K594,"AAAAAC74rw4=")</f>
        <v>#VALUE!</v>
      </c>
      <c r="P45" t="e">
        <f>AND(Sheet1!L594,"AAAAAC74rw8=")</f>
        <v>#VALUE!</v>
      </c>
      <c r="Q45" t="e">
        <f>AND(Sheet1!M594,"AAAAAC74rxA=")</f>
        <v>#VALUE!</v>
      </c>
      <c r="R45" t="e">
        <f>AND(Sheet1!N594,"AAAAAC74rxE=")</f>
        <v>#VALUE!</v>
      </c>
      <c r="S45" t="e">
        <f>AND(Sheet1!#REF!,"AAAAAC74rxI=")</f>
        <v>#REF!</v>
      </c>
      <c r="T45" t="e">
        <f>AND(Sheet1!#REF!,"AAAAAC74rxM=")</f>
        <v>#REF!</v>
      </c>
      <c r="U45" t="e">
        <f>AND(Sheet1!#REF!,"AAAAAC74rxQ=")</f>
        <v>#REF!</v>
      </c>
      <c r="V45" t="e">
        <f>AND(Sheet1!#REF!,"AAAAAC74rxU=")</f>
        <v>#REF!</v>
      </c>
      <c r="W45">
        <f>IF(Sheet1!595:595,"AAAAAC74rxY=",0)</f>
        <v>0</v>
      </c>
      <c r="X45" t="e">
        <f>AND(Sheet1!A595,"AAAAAC74rxc=")</f>
        <v>#VALUE!</v>
      </c>
      <c r="Y45" t="e">
        <f>AND(Sheet1!B595,"AAAAAC74rxg=")</f>
        <v>#VALUE!</v>
      </c>
      <c r="Z45" t="e">
        <f>AND(Sheet1!C595,"AAAAAC74rxk=")</f>
        <v>#VALUE!</v>
      </c>
      <c r="AA45" t="e">
        <f>AND(Sheet1!D595,"AAAAAC74rxo=")</f>
        <v>#VALUE!</v>
      </c>
      <c r="AB45" t="e">
        <f>AND(Sheet1!E595,"AAAAAC74rxs=")</f>
        <v>#VALUE!</v>
      </c>
      <c r="AC45" t="e">
        <f>AND(Sheet1!F595,"AAAAAC74rxw=")</f>
        <v>#VALUE!</v>
      </c>
      <c r="AD45" t="e">
        <f>AND(Sheet1!G595,"AAAAAC74rx0=")</f>
        <v>#VALUE!</v>
      </c>
      <c r="AE45" t="e">
        <f>AND(Sheet1!H595,"AAAAAC74rx4=")</f>
        <v>#VALUE!</v>
      </c>
      <c r="AF45" t="e">
        <f>AND(Sheet1!I595,"AAAAAC74rx8=")</f>
        <v>#VALUE!</v>
      </c>
      <c r="AG45" t="e">
        <f>AND(Sheet1!J595,"AAAAAC74ryA=")</f>
        <v>#VALUE!</v>
      </c>
      <c r="AH45" t="e">
        <f>AND(Sheet1!K595,"AAAAAC74ryE=")</f>
        <v>#VALUE!</v>
      </c>
      <c r="AI45" t="e">
        <f>AND(Sheet1!L595,"AAAAAC74ryI=")</f>
        <v>#VALUE!</v>
      </c>
      <c r="AJ45" t="e">
        <f>AND(Sheet1!M595,"AAAAAC74ryM=")</f>
        <v>#VALUE!</v>
      </c>
      <c r="AK45" t="e">
        <f>AND(Sheet1!N595,"AAAAAC74ryQ=")</f>
        <v>#VALUE!</v>
      </c>
      <c r="AL45" t="e">
        <f>AND(Sheet1!#REF!,"AAAAAC74ryU=")</f>
        <v>#REF!</v>
      </c>
      <c r="AM45" t="e">
        <f>AND(Sheet1!#REF!,"AAAAAC74ryY=")</f>
        <v>#REF!</v>
      </c>
      <c r="AN45" t="e">
        <f>AND(Sheet1!#REF!,"AAAAAC74ryc=")</f>
        <v>#REF!</v>
      </c>
      <c r="AO45" t="e">
        <f>AND(Sheet1!#REF!,"AAAAAC74ryg=")</f>
        <v>#REF!</v>
      </c>
      <c r="AP45">
        <f>IF(Sheet1!596:596,"AAAAAC74ryk=",0)</f>
        <v>0</v>
      </c>
      <c r="AQ45" t="e">
        <f>AND(Sheet1!A596,"AAAAAC74ryo=")</f>
        <v>#VALUE!</v>
      </c>
      <c r="AR45" t="e">
        <f>AND(Sheet1!B596,"AAAAAC74rys=")</f>
        <v>#VALUE!</v>
      </c>
      <c r="AS45" t="e">
        <f>AND(Sheet1!C596,"AAAAAC74ryw=")</f>
        <v>#VALUE!</v>
      </c>
      <c r="AT45" t="e">
        <f>AND(Sheet1!D596,"AAAAAC74ry0=")</f>
        <v>#VALUE!</v>
      </c>
      <c r="AU45" t="e">
        <f>AND(Sheet1!E596,"AAAAAC74ry4=")</f>
        <v>#VALUE!</v>
      </c>
      <c r="AV45" t="e">
        <f>AND(Sheet1!F596,"AAAAAC74ry8=")</f>
        <v>#VALUE!</v>
      </c>
      <c r="AW45" t="e">
        <f>AND(Sheet1!G596,"AAAAAC74rzA=")</f>
        <v>#VALUE!</v>
      </c>
      <c r="AX45" t="e">
        <f>AND(Sheet1!H596,"AAAAAC74rzE=")</f>
        <v>#VALUE!</v>
      </c>
      <c r="AY45" t="e">
        <f>AND(Sheet1!I596,"AAAAAC74rzI=")</f>
        <v>#VALUE!</v>
      </c>
      <c r="AZ45" t="e">
        <f>AND(Sheet1!J596,"AAAAAC74rzM=")</f>
        <v>#VALUE!</v>
      </c>
      <c r="BA45" t="e">
        <f>AND(Sheet1!K596,"AAAAAC74rzQ=")</f>
        <v>#VALUE!</v>
      </c>
      <c r="BB45" t="e">
        <f>AND(Sheet1!L596,"AAAAAC74rzU=")</f>
        <v>#VALUE!</v>
      </c>
      <c r="BC45" t="e">
        <f>AND(Sheet1!M596,"AAAAAC74rzY=")</f>
        <v>#VALUE!</v>
      </c>
      <c r="BD45" t="e">
        <f>AND(Sheet1!N596,"AAAAAC74rzc=")</f>
        <v>#VALUE!</v>
      </c>
      <c r="BE45" t="e">
        <f>AND(Sheet1!#REF!,"AAAAAC74rzg=")</f>
        <v>#REF!</v>
      </c>
      <c r="BF45" t="e">
        <f>AND(Sheet1!#REF!,"AAAAAC74rzk=")</f>
        <v>#REF!</v>
      </c>
      <c r="BG45" t="e">
        <f>AND(Sheet1!#REF!,"AAAAAC74rzo=")</f>
        <v>#REF!</v>
      </c>
      <c r="BH45" t="e">
        <f>AND(Sheet1!#REF!,"AAAAAC74rzs=")</f>
        <v>#REF!</v>
      </c>
      <c r="BI45">
        <f>IF(Sheet1!597:597,"AAAAAC74rzw=",0)</f>
        <v>0</v>
      </c>
      <c r="BJ45" t="e">
        <f>AND(Sheet1!A597,"AAAAAC74rz0=")</f>
        <v>#VALUE!</v>
      </c>
      <c r="BK45" t="e">
        <f>AND(Sheet1!B597,"AAAAAC74rz4=")</f>
        <v>#VALUE!</v>
      </c>
      <c r="BL45" t="e">
        <f>AND(Sheet1!C597,"AAAAAC74rz8=")</f>
        <v>#VALUE!</v>
      </c>
      <c r="BM45" t="e">
        <f>AND(Sheet1!D597,"AAAAAC74r0A=")</f>
        <v>#VALUE!</v>
      </c>
      <c r="BN45" t="e">
        <f>AND(Sheet1!E597,"AAAAAC74r0E=")</f>
        <v>#VALUE!</v>
      </c>
      <c r="BO45" t="e">
        <f>AND(Sheet1!F597,"AAAAAC74r0I=")</f>
        <v>#VALUE!</v>
      </c>
      <c r="BP45" t="e">
        <f>AND(Sheet1!G597,"AAAAAC74r0M=")</f>
        <v>#VALUE!</v>
      </c>
      <c r="BQ45" t="e">
        <f>AND(Sheet1!H597,"AAAAAC74r0Q=")</f>
        <v>#VALUE!</v>
      </c>
      <c r="BR45" t="e">
        <f>AND(Sheet1!I597,"AAAAAC74r0U=")</f>
        <v>#VALUE!</v>
      </c>
      <c r="BS45" t="e">
        <f>AND(Sheet1!J597,"AAAAAC74r0Y=")</f>
        <v>#VALUE!</v>
      </c>
      <c r="BT45" t="e">
        <f>AND(Sheet1!K597,"AAAAAC74r0c=")</f>
        <v>#VALUE!</v>
      </c>
      <c r="BU45" t="e">
        <f>AND(Sheet1!L597,"AAAAAC74r0g=")</f>
        <v>#VALUE!</v>
      </c>
      <c r="BV45" t="e">
        <f>AND(Sheet1!M597,"AAAAAC74r0k=")</f>
        <v>#VALUE!</v>
      </c>
      <c r="BW45" t="e">
        <f>AND(Sheet1!N597,"AAAAAC74r0o=")</f>
        <v>#VALUE!</v>
      </c>
      <c r="BX45" t="e">
        <f>AND(Sheet1!#REF!,"AAAAAC74r0s=")</f>
        <v>#REF!</v>
      </c>
      <c r="BY45" t="e">
        <f>AND(Sheet1!#REF!,"AAAAAC74r0w=")</f>
        <v>#REF!</v>
      </c>
      <c r="BZ45" t="e">
        <f>AND(Sheet1!#REF!,"AAAAAC74r00=")</f>
        <v>#REF!</v>
      </c>
      <c r="CA45" t="e">
        <f>AND(Sheet1!#REF!,"AAAAAC74r04=")</f>
        <v>#REF!</v>
      </c>
      <c r="CB45">
        <f>IF(Sheet1!598:598,"AAAAAC74r08=",0)</f>
        <v>0</v>
      </c>
      <c r="CC45" t="e">
        <f>AND(Sheet1!A598,"AAAAAC74r1A=")</f>
        <v>#VALUE!</v>
      </c>
      <c r="CD45" t="e">
        <f>AND(Sheet1!B598,"AAAAAC74r1E=")</f>
        <v>#VALUE!</v>
      </c>
      <c r="CE45" t="e">
        <f>AND(Sheet1!C598,"AAAAAC74r1I=")</f>
        <v>#VALUE!</v>
      </c>
      <c r="CF45" t="e">
        <f>AND(Sheet1!D598,"AAAAAC74r1M=")</f>
        <v>#VALUE!</v>
      </c>
      <c r="CG45" t="e">
        <f>AND(Sheet1!E598,"AAAAAC74r1Q=")</f>
        <v>#VALUE!</v>
      </c>
      <c r="CH45" t="e">
        <f>AND(Sheet1!F598,"AAAAAC74r1U=")</f>
        <v>#VALUE!</v>
      </c>
      <c r="CI45" t="e">
        <f>AND(Sheet1!G598,"AAAAAC74r1Y=")</f>
        <v>#VALUE!</v>
      </c>
      <c r="CJ45" t="e">
        <f>AND(Sheet1!H598,"AAAAAC74r1c=")</f>
        <v>#VALUE!</v>
      </c>
      <c r="CK45" t="e">
        <f>AND(Sheet1!I598,"AAAAAC74r1g=")</f>
        <v>#VALUE!</v>
      </c>
      <c r="CL45" t="e">
        <f>AND(Sheet1!J598,"AAAAAC74r1k=")</f>
        <v>#VALUE!</v>
      </c>
      <c r="CM45" t="e">
        <f>AND(Sheet1!K598,"AAAAAC74r1o=")</f>
        <v>#VALUE!</v>
      </c>
      <c r="CN45" t="e">
        <f>AND(Sheet1!L598,"AAAAAC74r1s=")</f>
        <v>#VALUE!</v>
      </c>
      <c r="CO45" t="e">
        <f>AND(Sheet1!M598,"AAAAAC74r1w=")</f>
        <v>#VALUE!</v>
      </c>
      <c r="CP45" t="e">
        <f>AND(Sheet1!N598,"AAAAAC74r10=")</f>
        <v>#VALUE!</v>
      </c>
      <c r="CQ45" t="e">
        <f>AND(Sheet1!#REF!,"AAAAAC74r14=")</f>
        <v>#REF!</v>
      </c>
      <c r="CR45" t="e">
        <f>AND(Sheet1!#REF!,"AAAAAC74r18=")</f>
        <v>#REF!</v>
      </c>
      <c r="CS45" t="e">
        <f>AND(Sheet1!#REF!,"AAAAAC74r2A=")</f>
        <v>#REF!</v>
      </c>
      <c r="CT45" t="e">
        <f>AND(Sheet1!#REF!,"AAAAAC74r2E=")</f>
        <v>#REF!</v>
      </c>
      <c r="CU45">
        <f>IF(Sheet1!599:599,"AAAAAC74r2I=",0)</f>
        <v>0</v>
      </c>
      <c r="CV45" t="e">
        <f>AND(Sheet1!A599,"AAAAAC74r2M=")</f>
        <v>#VALUE!</v>
      </c>
      <c r="CW45" t="e">
        <f>AND(Sheet1!B599,"AAAAAC74r2Q=")</f>
        <v>#VALUE!</v>
      </c>
      <c r="CX45" t="e">
        <f>AND(Sheet1!C599,"AAAAAC74r2U=")</f>
        <v>#VALUE!</v>
      </c>
      <c r="CY45" t="e">
        <f>AND(Sheet1!D599,"AAAAAC74r2Y=")</f>
        <v>#VALUE!</v>
      </c>
      <c r="CZ45" t="e">
        <f>AND(Sheet1!E599,"AAAAAC74r2c=")</f>
        <v>#VALUE!</v>
      </c>
      <c r="DA45" t="e">
        <f>AND(Sheet1!F599,"AAAAAC74r2g=")</f>
        <v>#VALUE!</v>
      </c>
      <c r="DB45" t="e">
        <f>AND(Sheet1!G599,"AAAAAC74r2k=")</f>
        <v>#VALUE!</v>
      </c>
      <c r="DC45" t="e">
        <f>AND(Sheet1!H599,"AAAAAC74r2o=")</f>
        <v>#VALUE!</v>
      </c>
      <c r="DD45" t="e">
        <f>AND(Sheet1!I599,"AAAAAC74r2s=")</f>
        <v>#VALUE!</v>
      </c>
      <c r="DE45" t="e">
        <f>AND(Sheet1!J599,"AAAAAC74r2w=")</f>
        <v>#VALUE!</v>
      </c>
      <c r="DF45" t="e">
        <f>AND(Sheet1!K599,"AAAAAC74r20=")</f>
        <v>#VALUE!</v>
      </c>
      <c r="DG45" t="e">
        <f>AND(Sheet1!L599,"AAAAAC74r24=")</f>
        <v>#VALUE!</v>
      </c>
      <c r="DH45" t="e">
        <f>AND(Sheet1!M599,"AAAAAC74r28=")</f>
        <v>#VALUE!</v>
      </c>
      <c r="DI45" t="e">
        <f>AND(Sheet1!N599,"AAAAAC74r3A=")</f>
        <v>#VALUE!</v>
      </c>
      <c r="DJ45" t="e">
        <f>AND(Sheet1!#REF!,"AAAAAC74r3E=")</f>
        <v>#REF!</v>
      </c>
      <c r="DK45" t="e">
        <f>AND(Sheet1!#REF!,"AAAAAC74r3I=")</f>
        <v>#REF!</v>
      </c>
      <c r="DL45" t="e">
        <f>AND(Sheet1!#REF!,"AAAAAC74r3M=")</f>
        <v>#REF!</v>
      </c>
      <c r="DM45" t="e">
        <f>AND(Sheet1!#REF!,"AAAAAC74r3Q=")</f>
        <v>#REF!</v>
      </c>
      <c r="DN45">
        <f>IF(Sheet1!600:600,"AAAAAC74r3U=",0)</f>
        <v>0</v>
      </c>
      <c r="DO45" t="e">
        <f>AND(Sheet1!A600,"AAAAAC74r3Y=")</f>
        <v>#VALUE!</v>
      </c>
      <c r="DP45" t="e">
        <f>AND(Sheet1!B600,"AAAAAC74r3c=")</f>
        <v>#VALUE!</v>
      </c>
      <c r="DQ45" t="e">
        <f>AND(Sheet1!C600,"AAAAAC74r3g=")</f>
        <v>#VALUE!</v>
      </c>
      <c r="DR45" t="e">
        <f>AND(Sheet1!D600,"AAAAAC74r3k=")</f>
        <v>#VALUE!</v>
      </c>
      <c r="DS45" t="e">
        <f>AND(Sheet1!E600,"AAAAAC74r3o=")</f>
        <v>#VALUE!</v>
      </c>
      <c r="DT45" t="e">
        <f>AND(Sheet1!F600,"AAAAAC74r3s=")</f>
        <v>#VALUE!</v>
      </c>
      <c r="DU45" t="e">
        <f>AND(Sheet1!G600,"AAAAAC74r3w=")</f>
        <v>#VALUE!</v>
      </c>
      <c r="DV45" t="e">
        <f>AND(Sheet1!H600,"AAAAAC74r30=")</f>
        <v>#VALUE!</v>
      </c>
      <c r="DW45" t="e">
        <f>AND(Sheet1!I600,"AAAAAC74r34=")</f>
        <v>#VALUE!</v>
      </c>
      <c r="DX45" t="e">
        <f>AND(Sheet1!J600,"AAAAAC74r38=")</f>
        <v>#VALUE!</v>
      </c>
      <c r="DY45" t="e">
        <f>AND(Sheet1!K600,"AAAAAC74r4A=")</f>
        <v>#VALUE!</v>
      </c>
      <c r="DZ45" t="e">
        <f>AND(Sheet1!L600,"AAAAAC74r4E=")</f>
        <v>#VALUE!</v>
      </c>
      <c r="EA45" t="e">
        <f>AND(Sheet1!M600,"AAAAAC74r4I=")</f>
        <v>#VALUE!</v>
      </c>
      <c r="EB45" t="e">
        <f>AND(Sheet1!N600,"AAAAAC74r4M=")</f>
        <v>#VALUE!</v>
      </c>
      <c r="EC45" t="e">
        <f>AND(Sheet1!#REF!,"AAAAAC74r4Q=")</f>
        <v>#REF!</v>
      </c>
      <c r="ED45" t="e">
        <f>AND(Sheet1!#REF!,"AAAAAC74r4U=")</f>
        <v>#REF!</v>
      </c>
      <c r="EE45" t="e">
        <f>AND(Sheet1!#REF!,"AAAAAC74r4Y=")</f>
        <v>#REF!</v>
      </c>
      <c r="EF45" t="e">
        <f>AND(Sheet1!#REF!,"AAAAAC74r4c=")</f>
        <v>#REF!</v>
      </c>
      <c r="EG45">
        <f>IF(Sheet1!601:601,"AAAAAC74r4g=",0)</f>
        <v>0</v>
      </c>
      <c r="EH45" t="e">
        <f>AND(Sheet1!A601,"AAAAAC74r4k=")</f>
        <v>#VALUE!</v>
      </c>
      <c r="EI45" t="e">
        <f>AND(Sheet1!B601,"AAAAAC74r4o=")</f>
        <v>#VALUE!</v>
      </c>
      <c r="EJ45" t="e">
        <f>AND(Sheet1!C601,"AAAAAC74r4s=")</f>
        <v>#VALUE!</v>
      </c>
      <c r="EK45" t="e">
        <f>AND(Sheet1!D601,"AAAAAC74r4w=")</f>
        <v>#VALUE!</v>
      </c>
      <c r="EL45" t="e">
        <f>AND(Sheet1!E601,"AAAAAC74r40=")</f>
        <v>#VALUE!</v>
      </c>
      <c r="EM45" t="e">
        <f>AND(Sheet1!F601,"AAAAAC74r44=")</f>
        <v>#VALUE!</v>
      </c>
      <c r="EN45" t="e">
        <f>AND(Sheet1!G601,"AAAAAC74r48=")</f>
        <v>#VALUE!</v>
      </c>
      <c r="EO45" t="e">
        <f>AND(Sheet1!H601,"AAAAAC74r5A=")</f>
        <v>#VALUE!</v>
      </c>
      <c r="EP45" t="e">
        <f>AND(Sheet1!I601,"AAAAAC74r5E=")</f>
        <v>#VALUE!</v>
      </c>
      <c r="EQ45" t="e">
        <f>AND(Sheet1!J601,"AAAAAC74r5I=")</f>
        <v>#VALUE!</v>
      </c>
      <c r="ER45" t="e">
        <f>AND(Sheet1!K601,"AAAAAC74r5M=")</f>
        <v>#VALUE!</v>
      </c>
      <c r="ES45" t="e">
        <f>AND(Sheet1!L601,"AAAAAC74r5Q=")</f>
        <v>#VALUE!</v>
      </c>
      <c r="ET45" t="e">
        <f>AND(Sheet1!M601,"AAAAAC74r5U=")</f>
        <v>#VALUE!</v>
      </c>
      <c r="EU45" t="e">
        <f>AND(Sheet1!N601,"AAAAAC74r5Y=")</f>
        <v>#VALUE!</v>
      </c>
      <c r="EV45" t="e">
        <f>AND(Sheet1!#REF!,"AAAAAC74r5c=")</f>
        <v>#REF!</v>
      </c>
      <c r="EW45" t="e">
        <f>AND(Sheet1!#REF!,"AAAAAC74r5g=")</f>
        <v>#REF!</v>
      </c>
      <c r="EX45" t="e">
        <f>AND(Sheet1!#REF!,"AAAAAC74r5k=")</f>
        <v>#REF!</v>
      </c>
      <c r="EY45" t="e">
        <f>AND(Sheet1!#REF!,"AAAAAC74r5o=")</f>
        <v>#REF!</v>
      </c>
      <c r="EZ45">
        <f>IF(Sheet1!602:602,"AAAAAC74r5s=",0)</f>
        <v>0</v>
      </c>
      <c r="FA45" t="e">
        <f>AND(Sheet1!A602,"AAAAAC74r5w=")</f>
        <v>#VALUE!</v>
      </c>
      <c r="FB45" t="e">
        <f>AND(Sheet1!B602,"AAAAAC74r50=")</f>
        <v>#VALUE!</v>
      </c>
      <c r="FC45" t="e">
        <f>AND(Sheet1!C602,"AAAAAC74r54=")</f>
        <v>#VALUE!</v>
      </c>
      <c r="FD45" t="e">
        <f>AND(Sheet1!D602,"AAAAAC74r58=")</f>
        <v>#VALUE!</v>
      </c>
      <c r="FE45" t="e">
        <f>AND(Sheet1!E602,"AAAAAC74r6A=")</f>
        <v>#VALUE!</v>
      </c>
      <c r="FF45" t="e">
        <f>AND(Sheet1!F602,"AAAAAC74r6E=")</f>
        <v>#VALUE!</v>
      </c>
      <c r="FG45" t="e">
        <f>AND(Sheet1!G602,"AAAAAC74r6I=")</f>
        <v>#VALUE!</v>
      </c>
      <c r="FH45" t="e">
        <f>AND(Sheet1!H602,"AAAAAC74r6M=")</f>
        <v>#VALUE!</v>
      </c>
      <c r="FI45" t="e">
        <f>AND(Sheet1!I602,"AAAAAC74r6Q=")</f>
        <v>#VALUE!</v>
      </c>
      <c r="FJ45" t="e">
        <f>AND(Sheet1!J602,"AAAAAC74r6U=")</f>
        <v>#VALUE!</v>
      </c>
      <c r="FK45" t="e">
        <f>AND(Sheet1!K602,"AAAAAC74r6Y=")</f>
        <v>#VALUE!</v>
      </c>
      <c r="FL45" t="e">
        <f>AND(Sheet1!L602,"AAAAAC74r6c=")</f>
        <v>#VALUE!</v>
      </c>
      <c r="FM45" t="e">
        <f>AND(Sheet1!M602,"AAAAAC74r6g=")</f>
        <v>#VALUE!</v>
      </c>
      <c r="FN45" t="e">
        <f>AND(Sheet1!N602,"AAAAAC74r6k=")</f>
        <v>#VALUE!</v>
      </c>
      <c r="FO45" t="e">
        <f>AND(Sheet1!#REF!,"AAAAAC74r6o=")</f>
        <v>#REF!</v>
      </c>
      <c r="FP45" t="e">
        <f>AND(Sheet1!#REF!,"AAAAAC74r6s=")</f>
        <v>#REF!</v>
      </c>
      <c r="FQ45" t="e">
        <f>AND(Sheet1!#REF!,"AAAAAC74r6w=")</f>
        <v>#REF!</v>
      </c>
      <c r="FR45" t="e">
        <f>AND(Sheet1!#REF!,"AAAAAC74r60=")</f>
        <v>#REF!</v>
      </c>
      <c r="FS45">
        <f>IF(Sheet1!603:603,"AAAAAC74r64=",0)</f>
        <v>0</v>
      </c>
      <c r="FT45" t="e">
        <f>AND(Sheet1!A603,"AAAAAC74r68=")</f>
        <v>#VALUE!</v>
      </c>
      <c r="FU45" t="e">
        <f>AND(Sheet1!B603,"AAAAAC74r7A=")</f>
        <v>#VALUE!</v>
      </c>
      <c r="FV45" t="e">
        <f>AND(Sheet1!C603,"AAAAAC74r7E=")</f>
        <v>#VALUE!</v>
      </c>
      <c r="FW45" t="e">
        <f>AND(Sheet1!D603,"AAAAAC74r7I=")</f>
        <v>#VALUE!</v>
      </c>
      <c r="FX45" t="e">
        <f>AND(Sheet1!E603,"AAAAAC74r7M=")</f>
        <v>#VALUE!</v>
      </c>
      <c r="FY45" t="e">
        <f>AND(Sheet1!F603,"AAAAAC74r7Q=")</f>
        <v>#VALUE!</v>
      </c>
      <c r="FZ45" t="e">
        <f>AND(Sheet1!G603,"AAAAAC74r7U=")</f>
        <v>#VALUE!</v>
      </c>
      <c r="GA45" t="e">
        <f>AND(Sheet1!H603,"AAAAAC74r7Y=")</f>
        <v>#VALUE!</v>
      </c>
      <c r="GB45" t="e">
        <f>AND(Sheet1!I603,"AAAAAC74r7c=")</f>
        <v>#VALUE!</v>
      </c>
      <c r="GC45" t="e">
        <f>AND(Sheet1!J603,"AAAAAC74r7g=")</f>
        <v>#VALUE!</v>
      </c>
      <c r="GD45" t="e">
        <f>AND(Sheet1!K603,"AAAAAC74r7k=")</f>
        <v>#VALUE!</v>
      </c>
      <c r="GE45" t="e">
        <f>AND(Sheet1!L603,"AAAAAC74r7o=")</f>
        <v>#VALUE!</v>
      </c>
      <c r="GF45" t="e">
        <f>AND(Sheet1!M603,"AAAAAC74r7s=")</f>
        <v>#VALUE!</v>
      </c>
      <c r="GG45" t="e">
        <f>AND(Sheet1!N603,"AAAAAC74r7w=")</f>
        <v>#VALUE!</v>
      </c>
      <c r="GH45" t="e">
        <f>AND(Sheet1!#REF!,"AAAAAC74r70=")</f>
        <v>#REF!</v>
      </c>
      <c r="GI45" t="e">
        <f>AND(Sheet1!#REF!,"AAAAAC74r74=")</f>
        <v>#REF!</v>
      </c>
      <c r="GJ45" t="e">
        <f>AND(Sheet1!#REF!,"AAAAAC74r78=")</f>
        <v>#REF!</v>
      </c>
      <c r="GK45" t="e">
        <f>AND(Sheet1!#REF!,"AAAAAC74r8A=")</f>
        <v>#REF!</v>
      </c>
      <c r="GL45">
        <f>IF(Sheet1!604:604,"AAAAAC74r8E=",0)</f>
        <v>0</v>
      </c>
      <c r="GM45" t="e">
        <f>AND(Sheet1!A604,"AAAAAC74r8I=")</f>
        <v>#VALUE!</v>
      </c>
      <c r="GN45" t="e">
        <f>AND(Sheet1!B604,"AAAAAC74r8M=")</f>
        <v>#VALUE!</v>
      </c>
      <c r="GO45" t="e">
        <f>AND(Sheet1!C604,"AAAAAC74r8Q=")</f>
        <v>#VALUE!</v>
      </c>
      <c r="GP45" t="e">
        <f>AND(Sheet1!D604,"AAAAAC74r8U=")</f>
        <v>#VALUE!</v>
      </c>
      <c r="GQ45" t="e">
        <f>AND(Sheet1!E604,"AAAAAC74r8Y=")</f>
        <v>#VALUE!</v>
      </c>
      <c r="GR45" t="e">
        <f>AND(Sheet1!F604,"AAAAAC74r8c=")</f>
        <v>#VALUE!</v>
      </c>
      <c r="GS45" t="e">
        <f>AND(Sheet1!G604,"AAAAAC74r8g=")</f>
        <v>#VALUE!</v>
      </c>
      <c r="GT45" t="e">
        <f>AND(Sheet1!H604,"AAAAAC74r8k=")</f>
        <v>#VALUE!</v>
      </c>
      <c r="GU45" t="e">
        <f>AND(Sheet1!I604,"AAAAAC74r8o=")</f>
        <v>#VALUE!</v>
      </c>
      <c r="GV45" t="e">
        <f>AND(Sheet1!J604,"AAAAAC74r8s=")</f>
        <v>#VALUE!</v>
      </c>
      <c r="GW45" t="e">
        <f>AND(Sheet1!K604,"AAAAAC74r8w=")</f>
        <v>#VALUE!</v>
      </c>
      <c r="GX45" t="e">
        <f>AND(Sheet1!L604,"AAAAAC74r80=")</f>
        <v>#VALUE!</v>
      </c>
      <c r="GY45" t="e">
        <f>AND(Sheet1!M604,"AAAAAC74r84=")</f>
        <v>#VALUE!</v>
      </c>
      <c r="GZ45" t="e">
        <f>AND(Sheet1!N604,"AAAAAC74r88=")</f>
        <v>#VALUE!</v>
      </c>
      <c r="HA45" t="e">
        <f>AND(Sheet1!#REF!,"AAAAAC74r9A=")</f>
        <v>#REF!</v>
      </c>
      <c r="HB45" t="e">
        <f>AND(Sheet1!#REF!,"AAAAAC74r9E=")</f>
        <v>#REF!</v>
      </c>
      <c r="HC45" t="e">
        <f>AND(Sheet1!#REF!,"AAAAAC74r9I=")</f>
        <v>#REF!</v>
      </c>
      <c r="HD45" t="e">
        <f>AND(Sheet1!#REF!,"AAAAAC74r9M=")</f>
        <v>#REF!</v>
      </c>
      <c r="HE45">
        <f>IF(Sheet1!605:605,"AAAAAC74r9Q=",0)</f>
        <v>0</v>
      </c>
      <c r="HF45" t="e">
        <f>AND(Sheet1!A605,"AAAAAC74r9U=")</f>
        <v>#VALUE!</v>
      </c>
      <c r="HG45" t="e">
        <f>AND(Sheet1!B605,"AAAAAC74r9Y=")</f>
        <v>#VALUE!</v>
      </c>
      <c r="HH45" t="e">
        <f>AND(Sheet1!C605,"AAAAAC74r9c=")</f>
        <v>#VALUE!</v>
      </c>
      <c r="HI45" t="e">
        <f>AND(Sheet1!D605,"AAAAAC74r9g=")</f>
        <v>#VALUE!</v>
      </c>
      <c r="HJ45" t="e">
        <f>AND(Sheet1!E605,"AAAAAC74r9k=")</f>
        <v>#VALUE!</v>
      </c>
      <c r="HK45" t="e">
        <f>AND(Sheet1!F605,"AAAAAC74r9o=")</f>
        <v>#VALUE!</v>
      </c>
      <c r="HL45" t="e">
        <f>AND(Sheet1!G605,"AAAAAC74r9s=")</f>
        <v>#VALUE!</v>
      </c>
      <c r="HM45" t="e">
        <f>AND(Sheet1!H605,"AAAAAC74r9w=")</f>
        <v>#VALUE!</v>
      </c>
      <c r="HN45" t="e">
        <f>AND(Sheet1!I605,"AAAAAC74r90=")</f>
        <v>#VALUE!</v>
      </c>
      <c r="HO45" t="e">
        <f>AND(Sheet1!J605,"AAAAAC74r94=")</f>
        <v>#VALUE!</v>
      </c>
      <c r="HP45" t="e">
        <f>AND(Sheet1!K605,"AAAAAC74r98=")</f>
        <v>#VALUE!</v>
      </c>
      <c r="HQ45" t="e">
        <f>AND(Sheet1!L605,"AAAAAC74r+A=")</f>
        <v>#VALUE!</v>
      </c>
      <c r="HR45" t="e">
        <f>AND(Sheet1!M605,"AAAAAC74r+E=")</f>
        <v>#VALUE!</v>
      </c>
      <c r="HS45" t="e">
        <f>AND(Sheet1!N605,"AAAAAC74r+I=")</f>
        <v>#VALUE!</v>
      </c>
      <c r="HT45" t="e">
        <f>AND(Sheet1!#REF!,"AAAAAC74r+M=")</f>
        <v>#REF!</v>
      </c>
      <c r="HU45" t="e">
        <f>AND(Sheet1!#REF!,"AAAAAC74r+Q=")</f>
        <v>#REF!</v>
      </c>
      <c r="HV45" t="e">
        <f>AND(Sheet1!#REF!,"AAAAAC74r+U=")</f>
        <v>#REF!</v>
      </c>
      <c r="HW45" t="e">
        <f>AND(Sheet1!#REF!,"AAAAAC74r+Y=")</f>
        <v>#REF!</v>
      </c>
      <c r="HX45">
        <f>IF(Sheet1!606:606,"AAAAAC74r+c=",0)</f>
        <v>0</v>
      </c>
      <c r="HY45" t="e">
        <f>AND(Sheet1!A606,"AAAAAC74r+g=")</f>
        <v>#VALUE!</v>
      </c>
      <c r="HZ45" t="e">
        <f>AND(Sheet1!B606,"AAAAAC74r+k=")</f>
        <v>#VALUE!</v>
      </c>
      <c r="IA45" t="e">
        <f>AND(Sheet1!C606,"AAAAAC74r+o=")</f>
        <v>#VALUE!</v>
      </c>
      <c r="IB45" t="e">
        <f>AND(Sheet1!D606,"AAAAAC74r+s=")</f>
        <v>#VALUE!</v>
      </c>
      <c r="IC45" t="e">
        <f>AND(Sheet1!E606,"AAAAAC74r+w=")</f>
        <v>#VALUE!</v>
      </c>
      <c r="ID45" t="e">
        <f>AND(Sheet1!F606,"AAAAAC74r+0=")</f>
        <v>#VALUE!</v>
      </c>
      <c r="IE45" t="e">
        <f>AND(Sheet1!G606,"AAAAAC74r+4=")</f>
        <v>#VALUE!</v>
      </c>
      <c r="IF45" t="e">
        <f>AND(Sheet1!H606,"AAAAAC74r+8=")</f>
        <v>#VALUE!</v>
      </c>
      <c r="IG45" t="e">
        <f>AND(Sheet1!I606,"AAAAAC74r/A=")</f>
        <v>#VALUE!</v>
      </c>
      <c r="IH45" t="e">
        <f>AND(Sheet1!J606,"AAAAAC74r/E=")</f>
        <v>#VALUE!</v>
      </c>
      <c r="II45" t="e">
        <f>AND(Sheet1!K606,"AAAAAC74r/I=")</f>
        <v>#VALUE!</v>
      </c>
      <c r="IJ45" t="e">
        <f>AND(Sheet1!L606,"AAAAAC74r/M=")</f>
        <v>#VALUE!</v>
      </c>
      <c r="IK45" t="e">
        <f>AND(Sheet1!M606,"AAAAAC74r/Q=")</f>
        <v>#VALUE!</v>
      </c>
      <c r="IL45" t="e">
        <f>AND(Sheet1!N606,"AAAAAC74r/U=")</f>
        <v>#VALUE!</v>
      </c>
      <c r="IM45" t="e">
        <f>AND(Sheet1!#REF!,"AAAAAC74r/Y=")</f>
        <v>#REF!</v>
      </c>
      <c r="IN45" t="e">
        <f>AND(Sheet1!#REF!,"AAAAAC74r/c=")</f>
        <v>#REF!</v>
      </c>
      <c r="IO45" t="e">
        <f>AND(Sheet1!#REF!,"AAAAAC74r/g=")</f>
        <v>#REF!</v>
      </c>
      <c r="IP45" t="e">
        <f>AND(Sheet1!#REF!,"AAAAAC74r/k=")</f>
        <v>#REF!</v>
      </c>
      <c r="IQ45">
        <f>IF(Sheet1!607:607,"AAAAAC74r/o=",0)</f>
        <v>0</v>
      </c>
      <c r="IR45" t="e">
        <f>AND(Sheet1!A607,"AAAAAC74r/s=")</f>
        <v>#VALUE!</v>
      </c>
      <c r="IS45" t="e">
        <f>AND(Sheet1!B607,"AAAAAC74r/w=")</f>
        <v>#VALUE!</v>
      </c>
      <c r="IT45" t="e">
        <f>AND(Sheet1!C607,"AAAAAC74r/0=")</f>
        <v>#VALUE!</v>
      </c>
      <c r="IU45" t="e">
        <f>AND(Sheet1!D607,"AAAAAC74r/4=")</f>
        <v>#VALUE!</v>
      </c>
      <c r="IV45" t="e">
        <f>AND(Sheet1!E607,"AAAAAC74r/8=")</f>
        <v>#VALUE!</v>
      </c>
    </row>
    <row r="46" spans="1:256" x14ac:dyDescent="0.2">
      <c r="A46" t="e">
        <f>AND(Sheet1!F607,"AAAAAHf/vwA=")</f>
        <v>#VALUE!</v>
      </c>
      <c r="B46" t="e">
        <f>AND(Sheet1!G607,"AAAAAHf/vwE=")</f>
        <v>#VALUE!</v>
      </c>
      <c r="C46" t="e">
        <f>AND(Sheet1!H607,"AAAAAHf/vwI=")</f>
        <v>#VALUE!</v>
      </c>
      <c r="D46" t="e">
        <f>AND(Sheet1!I607,"AAAAAHf/vwM=")</f>
        <v>#VALUE!</v>
      </c>
      <c r="E46" t="e">
        <f>AND(Sheet1!J607,"AAAAAHf/vwQ=")</f>
        <v>#VALUE!</v>
      </c>
      <c r="F46" t="e">
        <f>AND(Sheet1!K607,"AAAAAHf/vwU=")</f>
        <v>#VALUE!</v>
      </c>
      <c r="G46" t="e">
        <f>AND(Sheet1!L607,"AAAAAHf/vwY=")</f>
        <v>#VALUE!</v>
      </c>
      <c r="H46" t="e">
        <f>AND(Sheet1!M607,"AAAAAHf/vwc=")</f>
        <v>#VALUE!</v>
      </c>
      <c r="I46" t="e">
        <f>AND(Sheet1!N607,"AAAAAHf/vwg=")</f>
        <v>#VALUE!</v>
      </c>
      <c r="J46" t="e">
        <f>AND(Sheet1!#REF!,"AAAAAHf/vwk=")</f>
        <v>#REF!</v>
      </c>
      <c r="K46" t="e">
        <f>AND(Sheet1!#REF!,"AAAAAHf/vwo=")</f>
        <v>#REF!</v>
      </c>
      <c r="L46" t="e">
        <f>AND(Sheet1!#REF!,"AAAAAHf/vws=")</f>
        <v>#REF!</v>
      </c>
      <c r="M46" t="e">
        <f>AND(Sheet1!#REF!,"AAAAAHf/vww=")</f>
        <v>#REF!</v>
      </c>
      <c r="N46" t="e">
        <f>IF(Sheet1!608:608,"AAAAAHf/vw0=",0)</f>
        <v>#VALUE!</v>
      </c>
      <c r="O46" t="e">
        <f>AND(Sheet1!A608,"AAAAAHf/vw4=")</f>
        <v>#VALUE!</v>
      </c>
      <c r="P46" t="e">
        <f>AND(Sheet1!B608,"AAAAAHf/vw8=")</f>
        <v>#VALUE!</v>
      </c>
      <c r="Q46" t="e">
        <f>AND(Sheet1!C608,"AAAAAHf/vxA=")</f>
        <v>#VALUE!</v>
      </c>
      <c r="R46" t="e">
        <f>AND(Sheet1!D608,"AAAAAHf/vxE=")</f>
        <v>#VALUE!</v>
      </c>
      <c r="S46" t="e">
        <f>AND(Sheet1!E608,"AAAAAHf/vxI=")</f>
        <v>#VALUE!</v>
      </c>
      <c r="T46" t="e">
        <f>AND(Sheet1!F608,"AAAAAHf/vxM=")</f>
        <v>#VALUE!</v>
      </c>
      <c r="U46" t="e">
        <f>AND(Sheet1!G608,"AAAAAHf/vxQ=")</f>
        <v>#VALUE!</v>
      </c>
      <c r="V46" t="e">
        <f>AND(Sheet1!H608,"AAAAAHf/vxU=")</f>
        <v>#VALUE!</v>
      </c>
      <c r="W46" t="e">
        <f>AND(Sheet1!I608,"AAAAAHf/vxY=")</f>
        <v>#VALUE!</v>
      </c>
      <c r="X46" t="e">
        <f>AND(Sheet1!J608,"AAAAAHf/vxc=")</f>
        <v>#VALUE!</v>
      </c>
      <c r="Y46" t="e">
        <f>AND(Sheet1!K608,"AAAAAHf/vxg=")</f>
        <v>#VALUE!</v>
      </c>
      <c r="Z46" t="e">
        <f>AND(Sheet1!L608,"AAAAAHf/vxk=")</f>
        <v>#VALUE!</v>
      </c>
      <c r="AA46" t="e">
        <f>AND(Sheet1!M608,"AAAAAHf/vxo=")</f>
        <v>#VALUE!</v>
      </c>
      <c r="AB46" t="e">
        <f>AND(Sheet1!N608,"AAAAAHf/vxs=")</f>
        <v>#VALUE!</v>
      </c>
      <c r="AC46" t="e">
        <f>AND(Sheet1!#REF!,"AAAAAHf/vxw=")</f>
        <v>#REF!</v>
      </c>
      <c r="AD46" t="e">
        <f>AND(Sheet1!#REF!,"AAAAAHf/vx0=")</f>
        <v>#REF!</v>
      </c>
      <c r="AE46" t="e">
        <f>AND(Sheet1!#REF!,"AAAAAHf/vx4=")</f>
        <v>#REF!</v>
      </c>
      <c r="AF46" t="e">
        <f>AND(Sheet1!#REF!,"AAAAAHf/vx8=")</f>
        <v>#REF!</v>
      </c>
      <c r="AG46">
        <f>IF(Sheet1!609:609,"AAAAAHf/vyA=",0)</f>
        <v>0</v>
      </c>
      <c r="AH46" t="e">
        <f>AND(Sheet1!A609,"AAAAAHf/vyE=")</f>
        <v>#VALUE!</v>
      </c>
      <c r="AI46" t="e">
        <f>AND(Sheet1!B609,"AAAAAHf/vyI=")</f>
        <v>#VALUE!</v>
      </c>
      <c r="AJ46" t="e">
        <f>AND(Sheet1!C609,"AAAAAHf/vyM=")</f>
        <v>#VALUE!</v>
      </c>
      <c r="AK46" t="e">
        <f>AND(Sheet1!D609,"AAAAAHf/vyQ=")</f>
        <v>#VALUE!</v>
      </c>
      <c r="AL46" t="e">
        <f>AND(Sheet1!E609,"AAAAAHf/vyU=")</f>
        <v>#VALUE!</v>
      </c>
      <c r="AM46" t="e">
        <f>AND(Sheet1!F609,"AAAAAHf/vyY=")</f>
        <v>#VALUE!</v>
      </c>
      <c r="AN46" t="e">
        <f>AND(Sheet1!G609,"AAAAAHf/vyc=")</f>
        <v>#VALUE!</v>
      </c>
      <c r="AO46" t="e">
        <f>AND(Sheet1!H609,"AAAAAHf/vyg=")</f>
        <v>#VALUE!</v>
      </c>
      <c r="AP46" t="e">
        <f>AND(Sheet1!I609,"AAAAAHf/vyk=")</f>
        <v>#VALUE!</v>
      </c>
      <c r="AQ46" t="e">
        <f>AND(Sheet1!J609,"AAAAAHf/vyo=")</f>
        <v>#VALUE!</v>
      </c>
      <c r="AR46" t="e">
        <f>AND(Sheet1!K609,"AAAAAHf/vys=")</f>
        <v>#VALUE!</v>
      </c>
      <c r="AS46" t="e">
        <f>AND(Sheet1!L609,"AAAAAHf/vyw=")</f>
        <v>#VALUE!</v>
      </c>
      <c r="AT46" t="e">
        <f>AND(Sheet1!M609,"AAAAAHf/vy0=")</f>
        <v>#VALUE!</v>
      </c>
      <c r="AU46" t="e">
        <f>AND(Sheet1!N609,"AAAAAHf/vy4=")</f>
        <v>#VALUE!</v>
      </c>
      <c r="AV46" t="e">
        <f>AND(Sheet1!#REF!,"AAAAAHf/vy8=")</f>
        <v>#REF!</v>
      </c>
      <c r="AW46" t="e">
        <f>AND(Sheet1!#REF!,"AAAAAHf/vzA=")</f>
        <v>#REF!</v>
      </c>
      <c r="AX46" t="e">
        <f>AND(Sheet1!#REF!,"AAAAAHf/vzE=")</f>
        <v>#REF!</v>
      </c>
      <c r="AY46" t="e">
        <f>AND(Sheet1!#REF!,"AAAAAHf/vzI=")</f>
        <v>#REF!</v>
      </c>
      <c r="AZ46">
        <f>IF(Sheet1!610:610,"AAAAAHf/vzM=",0)</f>
        <v>0</v>
      </c>
      <c r="BA46" t="e">
        <f>AND(Sheet1!A610,"AAAAAHf/vzQ=")</f>
        <v>#VALUE!</v>
      </c>
      <c r="BB46" t="e">
        <f>AND(Sheet1!B610,"AAAAAHf/vzU=")</f>
        <v>#VALUE!</v>
      </c>
      <c r="BC46" t="e">
        <f>AND(Sheet1!C610,"AAAAAHf/vzY=")</f>
        <v>#VALUE!</v>
      </c>
      <c r="BD46" t="e">
        <f>AND(Sheet1!D610,"AAAAAHf/vzc=")</f>
        <v>#VALUE!</v>
      </c>
      <c r="BE46" t="e">
        <f>AND(Sheet1!E610,"AAAAAHf/vzg=")</f>
        <v>#VALUE!</v>
      </c>
      <c r="BF46" t="e">
        <f>AND(Sheet1!F610,"AAAAAHf/vzk=")</f>
        <v>#VALUE!</v>
      </c>
      <c r="BG46" t="e">
        <f>AND(Sheet1!G610,"AAAAAHf/vzo=")</f>
        <v>#VALUE!</v>
      </c>
      <c r="BH46" t="e">
        <f>AND(Sheet1!H610,"AAAAAHf/vzs=")</f>
        <v>#VALUE!</v>
      </c>
      <c r="BI46" t="e">
        <f>AND(Sheet1!I610,"AAAAAHf/vzw=")</f>
        <v>#VALUE!</v>
      </c>
      <c r="BJ46" t="e">
        <f>AND(Sheet1!J610,"AAAAAHf/vz0=")</f>
        <v>#VALUE!</v>
      </c>
      <c r="BK46" t="e">
        <f>AND(Sheet1!K610,"AAAAAHf/vz4=")</f>
        <v>#VALUE!</v>
      </c>
      <c r="BL46" t="e">
        <f>AND(Sheet1!L610,"AAAAAHf/vz8=")</f>
        <v>#VALUE!</v>
      </c>
      <c r="BM46" t="e">
        <f>AND(Sheet1!M610,"AAAAAHf/v0A=")</f>
        <v>#VALUE!</v>
      </c>
      <c r="BN46" t="e">
        <f>AND(Sheet1!N610,"AAAAAHf/v0E=")</f>
        <v>#VALUE!</v>
      </c>
      <c r="BO46" t="e">
        <f>AND(Sheet1!#REF!,"AAAAAHf/v0I=")</f>
        <v>#REF!</v>
      </c>
      <c r="BP46" t="e">
        <f>AND(Sheet1!#REF!,"AAAAAHf/v0M=")</f>
        <v>#REF!</v>
      </c>
      <c r="BQ46" t="e">
        <f>AND(Sheet1!#REF!,"AAAAAHf/v0Q=")</f>
        <v>#REF!</v>
      </c>
      <c r="BR46" t="e">
        <f>AND(Sheet1!#REF!,"AAAAAHf/v0U=")</f>
        <v>#REF!</v>
      </c>
      <c r="BS46">
        <f>IF(Sheet1!611:611,"AAAAAHf/v0Y=",0)</f>
        <v>0</v>
      </c>
      <c r="BT46" t="e">
        <f>AND(Sheet1!A611,"AAAAAHf/v0c=")</f>
        <v>#VALUE!</v>
      </c>
      <c r="BU46" t="e">
        <f>AND(Sheet1!B611,"AAAAAHf/v0g=")</f>
        <v>#VALUE!</v>
      </c>
      <c r="BV46" t="e">
        <f>AND(Sheet1!C611,"AAAAAHf/v0k=")</f>
        <v>#VALUE!</v>
      </c>
      <c r="BW46" t="e">
        <f>AND(Sheet1!D611,"AAAAAHf/v0o=")</f>
        <v>#VALUE!</v>
      </c>
      <c r="BX46" t="e">
        <f>AND(Sheet1!E611,"AAAAAHf/v0s=")</f>
        <v>#VALUE!</v>
      </c>
      <c r="BY46" t="e">
        <f>AND(Sheet1!F611,"AAAAAHf/v0w=")</f>
        <v>#VALUE!</v>
      </c>
      <c r="BZ46" t="e">
        <f>AND(Sheet1!G611,"AAAAAHf/v00=")</f>
        <v>#VALUE!</v>
      </c>
      <c r="CA46" t="e">
        <f>AND(Sheet1!H611,"AAAAAHf/v04=")</f>
        <v>#VALUE!</v>
      </c>
      <c r="CB46" t="e">
        <f>AND(Sheet1!I611,"AAAAAHf/v08=")</f>
        <v>#VALUE!</v>
      </c>
      <c r="CC46" t="e">
        <f>AND(Sheet1!J611,"AAAAAHf/v1A=")</f>
        <v>#VALUE!</v>
      </c>
      <c r="CD46" t="e">
        <f>AND(Sheet1!K611,"AAAAAHf/v1E=")</f>
        <v>#VALUE!</v>
      </c>
      <c r="CE46" t="e">
        <f>AND(Sheet1!L611,"AAAAAHf/v1I=")</f>
        <v>#VALUE!</v>
      </c>
      <c r="CF46" t="e">
        <f>AND(Sheet1!M611,"AAAAAHf/v1M=")</f>
        <v>#VALUE!</v>
      </c>
      <c r="CG46" t="e">
        <f>AND(Sheet1!N611,"AAAAAHf/v1Q=")</f>
        <v>#VALUE!</v>
      </c>
      <c r="CH46" t="e">
        <f>AND(Sheet1!#REF!,"AAAAAHf/v1U=")</f>
        <v>#REF!</v>
      </c>
      <c r="CI46" t="e">
        <f>AND(Sheet1!#REF!,"AAAAAHf/v1Y=")</f>
        <v>#REF!</v>
      </c>
      <c r="CJ46" t="e">
        <f>AND(Sheet1!#REF!,"AAAAAHf/v1c=")</f>
        <v>#REF!</v>
      </c>
      <c r="CK46" t="e">
        <f>AND(Sheet1!#REF!,"AAAAAHf/v1g=")</f>
        <v>#REF!</v>
      </c>
      <c r="CL46">
        <f>IF(Sheet1!612:612,"AAAAAHf/v1k=",0)</f>
        <v>0</v>
      </c>
      <c r="CM46" t="e">
        <f>AND(Sheet1!A612,"AAAAAHf/v1o=")</f>
        <v>#VALUE!</v>
      </c>
      <c r="CN46" t="e">
        <f>AND(Sheet1!B612,"AAAAAHf/v1s=")</f>
        <v>#VALUE!</v>
      </c>
      <c r="CO46" t="e">
        <f>AND(Sheet1!C612,"AAAAAHf/v1w=")</f>
        <v>#VALUE!</v>
      </c>
      <c r="CP46" t="e">
        <f>AND(Sheet1!D612,"AAAAAHf/v10=")</f>
        <v>#VALUE!</v>
      </c>
      <c r="CQ46" t="e">
        <f>AND(Sheet1!E612,"AAAAAHf/v14=")</f>
        <v>#VALUE!</v>
      </c>
      <c r="CR46" t="e">
        <f>AND(Sheet1!F612,"AAAAAHf/v18=")</f>
        <v>#VALUE!</v>
      </c>
      <c r="CS46" t="e">
        <f>AND(Sheet1!G612,"AAAAAHf/v2A=")</f>
        <v>#VALUE!</v>
      </c>
      <c r="CT46" t="e">
        <f>AND(Sheet1!H612,"AAAAAHf/v2E=")</f>
        <v>#VALUE!</v>
      </c>
      <c r="CU46" t="e">
        <f>AND(Sheet1!I612,"AAAAAHf/v2I=")</f>
        <v>#VALUE!</v>
      </c>
      <c r="CV46" t="e">
        <f>AND(Sheet1!J612,"AAAAAHf/v2M=")</f>
        <v>#VALUE!</v>
      </c>
      <c r="CW46" t="e">
        <f>AND(Sheet1!K612,"AAAAAHf/v2Q=")</f>
        <v>#VALUE!</v>
      </c>
      <c r="CX46" t="e">
        <f>AND(Sheet1!L612,"AAAAAHf/v2U=")</f>
        <v>#VALUE!</v>
      </c>
      <c r="CY46" t="e">
        <f>AND(Sheet1!M612,"AAAAAHf/v2Y=")</f>
        <v>#VALUE!</v>
      </c>
      <c r="CZ46" t="e">
        <f>AND(Sheet1!N612,"AAAAAHf/v2c=")</f>
        <v>#VALUE!</v>
      </c>
      <c r="DA46" t="e">
        <f>AND(Sheet1!#REF!,"AAAAAHf/v2g=")</f>
        <v>#REF!</v>
      </c>
      <c r="DB46" t="e">
        <f>AND(Sheet1!#REF!,"AAAAAHf/v2k=")</f>
        <v>#REF!</v>
      </c>
      <c r="DC46" t="e">
        <f>AND(Sheet1!#REF!,"AAAAAHf/v2o=")</f>
        <v>#REF!</v>
      </c>
      <c r="DD46" t="e">
        <f>AND(Sheet1!#REF!,"AAAAAHf/v2s=")</f>
        <v>#REF!</v>
      </c>
      <c r="DE46">
        <f>IF(Sheet1!613:613,"AAAAAHf/v2w=",0)</f>
        <v>0</v>
      </c>
      <c r="DF46" t="e">
        <f>AND(Sheet1!A613,"AAAAAHf/v20=")</f>
        <v>#VALUE!</v>
      </c>
      <c r="DG46" t="e">
        <f>AND(Sheet1!B613,"AAAAAHf/v24=")</f>
        <v>#VALUE!</v>
      </c>
      <c r="DH46" t="e">
        <f>AND(Sheet1!C613,"AAAAAHf/v28=")</f>
        <v>#VALUE!</v>
      </c>
      <c r="DI46" t="e">
        <f>AND(Sheet1!D613,"AAAAAHf/v3A=")</f>
        <v>#VALUE!</v>
      </c>
      <c r="DJ46" t="e">
        <f>AND(Sheet1!E613,"AAAAAHf/v3E=")</f>
        <v>#VALUE!</v>
      </c>
      <c r="DK46" t="e">
        <f>AND(Sheet1!F613,"AAAAAHf/v3I=")</f>
        <v>#VALUE!</v>
      </c>
      <c r="DL46" t="e">
        <f>AND(Sheet1!G613,"AAAAAHf/v3M=")</f>
        <v>#VALUE!</v>
      </c>
      <c r="DM46" t="e">
        <f>AND(Sheet1!H613,"AAAAAHf/v3Q=")</f>
        <v>#VALUE!</v>
      </c>
      <c r="DN46" t="e">
        <f>AND(Sheet1!I613,"AAAAAHf/v3U=")</f>
        <v>#VALUE!</v>
      </c>
      <c r="DO46" t="e">
        <f>AND(Sheet1!J613,"AAAAAHf/v3Y=")</f>
        <v>#VALUE!</v>
      </c>
      <c r="DP46" t="e">
        <f>AND(Sheet1!K613,"AAAAAHf/v3c=")</f>
        <v>#VALUE!</v>
      </c>
      <c r="DQ46" t="e">
        <f>AND(Sheet1!L613,"AAAAAHf/v3g=")</f>
        <v>#VALUE!</v>
      </c>
      <c r="DR46" t="e">
        <f>AND(Sheet1!M613,"AAAAAHf/v3k=")</f>
        <v>#VALUE!</v>
      </c>
      <c r="DS46" t="e">
        <f>AND(Sheet1!N613,"AAAAAHf/v3o=")</f>
        <v>#VALUE!</v>
      </c>
      <c r="DT46" t="e">
        <f>AND(Sheet1!#REF!,"AAAAAHf/v3s=")</f>
        <v>#REF!</v>
      </c>
      <c r="DU46" t="e">
        <f>AND(Sheet1!#REF!,"AAAAAHf/v3w=")</f>
        <v>#REF!</v>
      </c>
      <c r="DV46" t="e">
        <f>AND(Sheet1!#REF!,"AAAAAHf/v30=")</f>
        <v>#REF!</v>
      </c>
      <c r="DW46" t="e">
        <f>AND(Sheet1!#REF!,"AAAAAHf/v34=")</f>
        <v>#REF!</v>
      </c>
      <c r="DX46">
        <f>IF(Sheet1!614:614,"AAAAAHf/v38=",0)</f>
        <v>0</v>
      </c>
      <c r="DY46" t="e">
        <f>AND(Sheet1!A614,"AAAAAHf/v4A=")</f>
        <v>#VALUE!</v>
      </c>
      <c r="DZ46" t="e">
        <f>AND(Sheet1!B614,"AAAAAHf/v4E=")</f>
        <v>#VALUE!</v>
      </c>
      <c r="EA46" t="e">
        <f>AND(Sheet1!C614,"AAAAAHf/v4I=")</f>
        <v>#VALUE!</v>
      </c>
      <c r="EB46" t="e">
        <f>AND(Sheet1!D614,"AAAAAHf/v4M=")</f>
        <v>#VALUE!</v>
      </c>
      <c r="EC46" t="e">
        <f>AND(Sheet1!E614,"AAAAAHf/v4Q=")</f>
        <v>#VALUE!</v>
      </c>
      <c r="ED46" t="e">
        <f>AND(Sheet1!F614,"AAAAAHf/v4U=")</f>
        <v>#VALUE!</v>
      </c>
      <c r="EE46" t="e">
        <f>AND(Sheet1!G614,"AAAAAHf/v4Y=")</f>
        <v>#VALUE!</v>
      </c>
      <c r="EF46" t="e">
        <f>AND(Sheet1!H614,"AAAAAHf/v4c=")</f>
        <v>#VALUE!</v>
      </c>
      <c r="EG46" t="e">
        <f>AND(Sheet1!I614,"AAAAAHf/v4g=")</f>
        <v>#VALUE!</v>
      </c>
      <c r="EH46" t="e">
        <f>AND(Sheet1!J614,"AAAAAHf/v4k=")</f>
        <v>#VALUE!</v>
      </c>
      <c r="EI46" t="e">
        <f>AND(Sheet1!K614,"AAAAAHf/v4o=")</f>
        <v>#VALUE!</v>
      </c>
      <c r="EJ46" t="e">
        <f>AND(Sheet1!L614,"AAAAAHf/v4s=")</f>
        <v>#VALUE!</v>
      </c>
      <c r="EK46" t="e">
        <f>AND(Sheet1!M614,"AAAAAHf/v4w=")</f>
        <v>#VALUE!</v>
      </c>
      <c r="EL46" t="e">
        <f>AND(Sheet1!N614,"AAAAAHf/v40=")</f>
        <v>#VALUE!</v>
      </c>
      <c r="EM46" t="e">
        <f>AND(Sheet1!#REF!,"AAAAAHf/v44=")</f>
        <v>#REF!</v>
      </c>
      <c r="EN46" t="e">
        <f>AND(Sheet1!#REF!,"AAAAAHf/v48=")</f>
        <v>#REF!</v>
      </c>
      <c r="EO46" t="e">
        <f>AND(Sheet1!#REF!,"AAAAAHf/v5A=")</f>
        <v>#REF!</v>
      </c>
      <c r="EP46" t="e">
        <f>AND(Sheet1!#REF!,"AAAAAHf/v5E=")</f>
        <v>#REF!</v>
      </c>
      <c r="EQ46">
        <f>IF(Sheet1!615:615,"AAAAAHf/v5I=",0)</f>
        <v>0</v>
      </c>
      <c r="ER46" t="e">
        <f>AND(Sheet1!A615,"AAAAAHf/v5M=")</f>
        <v>#VALUE!</v>
      </c>
      <c r="ES46" t="e">
        <f>AND(Sheet1!B615,"AAAAAHf/v5Q=")</f>
        <v>#VALUE!</v>
      </c>
      <c r="ET46" t="e">
        <f>AND(Sheet1!C615,"AAAAAHf/v5U=")</f>
        <v>#VALUE!</v>
      </c>
      <c r="EU46" t="e">
        <f>AND(Sheet1!D615,"AAAAAHf/v5Y=")</f>
        <v>#VALUE!</v>
      </c>
      <c r="EV46" t="e">
        <f>AND(Sheet1!E615,"AAAAAHf/v5c=")</f>
        <v>#VALUE!</v>
      </c>
      <c r="EW46" t="e">
        <f>AND(Sheet1!F615,"AAAAAHf/v5g=")</f>
        <v>#VALUE!</v>
      </c>
      <c r="EX46" t="e">
        <f>AND(Sheet1!G615,"AAAAAHf/v5k=")</f>
        <v>#VALUE!</v>
      </c>
      <c r="EY46" t="e">
        <f>AND(Sheet1!H615,"AAAAAHf/v5o=")</f>
        <v>#VALUE!</v>
      </c>
      <c r="EZ46" t="e">
        <f>AND(Sheet1!I615,"AAAAAHf/v5s=")</f>
        <v>#VALUE!</v>
      </c>
      <c r="FA46" t="e">
        <f>AND(Sheet1!J615,"AAAAAHf/v5w=")</f>
        <v>#VALUE!</v>
      </c>
      <c r="FB46" t="e">
        <f>AND(Sheet1!K615,"AAAAAHf/v50=")</f>
        <v>#VALUE!</v>
      </c>
      <c r="FC46" t="e">
        <f>AND(Sheet1!L615,"AAAAAHf/v54=")</f>
        <v>#VALUE!</v>
      </c>
      <c r="FD46" t="e">
        <f>AND(Sheet1!M615,"AAAAAHf/v58=")</f>
        <v>#VALUE!</v>
      </c>
      <c r="FE46" t="e">
        <f>AND(Sheet1!N615,"AAAAAHf/v6A=")</f>
        <v>#VALUE!</v>
      </c>
      <c r="FF46" t="e">
        <f>AND(Sheet1!#REF!,"AAAAAHf/v6E=")</f>
        <v>#REF!</v>
      </c>
      <c r="FG46" t="e">
        <f>AND(Sheet1!#REF!,"AAAAAHf/v6I=")</f>
        <v>#REF!</v>
      </c>
      <c r="FH46" t="e">
        <f>AND(Sheet1!#REF!,"AAAAAHf/v6M=")</f>
        <v>#REF!</v>
      </c>
      <c r="FI46" t="e">
        <f>AND(Sheet1!#REF!,"AAAAAHf/v6Q=")</f>
        <v>#REF!</v>
      </c>
      <c r="FJ46">
        <f>IF(Sheet1!616:616,"AAAAAHf/v6U=",0)</f>
        <v>0</v>
      </c>
      <c r="FK46" t="e">
        <f>AND(Sheet1!A616,"AAAAAHf/v6Y=")</f>
        <v>#VALUE!</v>
      </c>
      <c r="FL46" t="e">
        <f>AND(Sheet1!B616,"AAAAAHf/v6c=")</f>
        <v>#VALUE!</v>
      </c>
      <c r="FM46" t="e">
        <f>AND(Sheet1!C616,"AAAAAHf/v6g=")</f>
        <v>#VALUE!</v>
      </c>
      <c r="FN46" t="e">
        <f>AND(Sheet1!D616,"AAAAAHf/v6k=")</f>
        <v>#VALUE!</v>
      </c>
      <c r="FO46" t="e">
        <f>AND(Sheet1!E616,"AAAAAHf/v6o=")</f>
        <v>#VALUE!</v>
      </c>
      <c r="FP46" t="e">
        <f>AND(Sheet1!F616,"AAAAAHf/v6s=")</f>
        <v>#VALUE!</v>
      </c>
      <c r="FQ46" t="e">
        <f>AND(Sheet1!G616,"AAAAAHf/v6w=")</f>
        <v>#VALUE!</v>
      </c>
      <c r="FR46" t="e">
        <f>AND(Sheet1!H616,"AAAAAHf/v60=")</f>
        <v>#VALUE!</v>
      </c>
      <c r="FS46" t="e">
        <f>AND(Sheet1!I616,"AAAAAHf/v64=")</f>
        <v>#VALUE!</v>
      </c>
      <c r="FT46" t="e">
        <f>AND(Sheet1!J616,"AAAAAHf/v68=")</f>
        <v>#VALUE!</v>
      </c>
      <c r="FU46" t="e">
        <f>AND(Sheet1!K616,"AAAAAHf/v7A=")</f>
        <v>#VALUE!</v>
      </c>
      <c r="FV46" t="e">
        <f>AND(Sheet1!L616,"AAAAAHf/v7E=")</f>
        <v>#VALUE!</v>
      </c>
      <c r="FW46" t="e">
        <f>AND(Sheet1!M616,"AAAAAHf/v7I=")</f>
        <v>#VALUE!</v>
      </c>
      <c r="FX46" t="e">
        <f>AND(Sheet1!N616,"AAAAAHf/v7M=")</f>
        <v>#VALUE!</v>
      </c>
      <c r="FY46" t="e">
        <f>AND(Sheet1!#REF!,"AAAAAHf/v7Q=")</f>
        <v>#REF!</v>
      </c>
      <c r="FZ46" t="e">
        <f>AND(Sheet1!#REF!,"AAAAAHf/v7U=")</f>
        <v>#REF!</v>
      </c>
      <c r="GA46" t="e">
        <f>AND(Sheet1!#REF!,"AAAAAHf/v7Y=")</f>
        <v>#REF!</v>
      </c>
      <c r="GB46" t="e">
        <f>AND(Sheet1!#REF!,"AAAAAHf/v7c=")</f>
        <v>#REF!</v>
      </c>
      <c r="GC46">
        <f>IF(Sheet1!617:617,"AAAAAHf/v7g=",0)</f>
        <v>0</v>
      </c>
      <c r="GD46" t="e">
        <f>AND(Sheet1!A617,"AAAAAHf/v7k=")</f>
        <v>#VALUE!</v>
      </c>
      <c r="GE46" t="e">
        <f>AND(Sheet1!B617,"AAAAAHf/v7o=")</f>
        <v>#VALUE!</v>
      </c>
      <c r="GF46" t="e">
        <f>AND(Sheet1!C617,"AAAAAHf/v7s=")</f>
        <v>#VALUE!</v>
      </c>
      <c r="GG46" t="e">
        <f>AND(Sheet1!D617,"AAAAAHf/v7w=")</f>
        <v>#VALUE!</v>
      </c>
      <c r="GH46" t="e">
        <f>AND(Sheet1!E617,"AAAAAHf/v70=")</f>
        <v>#VALUE!</v>
      </c>
      <c r="GI46" t="e">
        <f>AND(Sheet1!F617,"AAAAAHf/v74=")</f>
        <v>#VALUE!</v>
      </c>
      <c r="GJ46" t="e">
        <f>AND(Sheet1!G617,"AAAAAHf/v78=")</f>
        <v>#VALUE!</v>
      </c>
      <c r="GK46" t="e">
        <f>AND(Sheet1!H617,"AAAAAHf/v8A=")</f>
        <v>#VALUE!</v>
      </c>
      <c r="GL46" t="e">
        <f>AND(Sheet1!I617,"AAAAAHf/v8E=")</f>
        <v>#VALUE!</v>
      </c>
      <c r="GM46" t="e">
        <f>AND(Sheet1!J617,"AAAAAHf/v8I=")</f>
        <v>#VALUE!</v>
      </c>
      <c r="GN46" t="e">
        <f>AND(Sheet1!K617,"AAAAAHf/v8M=")</f>
        <v>#VALUE!</v>
      </c>
      <c r="GO46" t="e">
        <f>AND(Sheet1!L617,"AAAAAHf/v8Q=")</f>
        <v>#VALUE!</v>
      </c>
      <c r="GP46" t="e">
        <f>AND(Sheet1!M617,"AAAAAHf/v8U=")</f>
        <v>#VALUE!</v>
      </c>
      <c r="GQ46" t="e">
        <f>AND(Sheet1!N617,"AAAAAHf/v8Y=")</f>
        <v>#VALUE!</v>
      </c>
      <c r="GR46" t="e">
        <f>AND(Sheet1!#REF!,"AAAAAHf/v8c=")</f>
        <v>#REF!</v>
      </c>
      <c r="GS46" t="e">
        <f>AND(Sheet1!#REF!,"AAAAAHf/v8g=")</f>
        <v>#REF!</v>
      </c>
      <c r="GT46" t="e">
        <f>AND(Sheet1!#REF!,"AAAAAHf/v8k=")</f>
        <v>#REF!</v>
      </c>
      <c r="GU46" t="e">
        <f>AND(Sheet1!#REF!,"AAAAAHf/v8o=")</f>
        <v>#REF!</v>
      </c>
      <c r="GV46">
        <f>IF(Sheet1!618:618,"AAAAAHf/v8s=",0)</f>
        <v>0</v>
      </c>
      <c r="GW46" t="e">
        <f>AND(Sheet1!A618,"AAAAAHf/v8w=")</f>
        <v>#VALUE!</v>
      </c>
      <c r="GX46" t="e">
        <f>AND(Sheet1!B618,"AAAAAHf/v80=")</f>
        <v>#VALUE!</v>
      </c>
      <c r="GY46" t="e">
        <f>AND(Sheet1!C618,"AAAAAHf/v84=")</f>
        <v>#VALUE!</v>
      </c>
      <c r="GZ46" t="e">
        <f>AND(Sheet1!D618,"AAAAAHf/v88=")</f>
        <v>#VALUE!</v>
      </c>
      <c r="HA46" t="e">
        <f>AND(Sheet1!E618,"AAAAAHf/v9A=")</f>
        <v>#VALUE!</v>
      </c>
      <c r="HB46" t="e">
        <f>AND(Sheet1!F618,"AAAAAHf/v9E=")</f>
        <v>#VALUE!</v>
      </c>
      <c r="HC46" t="e">
        <f>AND(Sheet1!G618,"AAAAAHf/v9I=")</f>
        <v>#VALUE!</v>
      </c>
      <c r="HD46" t="e">
        <f>AND(Sheet1!H618,"AAAAAHf/v9M=")</f>
        <v>#VALUE!</v>
      </c>
      <c r="HE46" t="e">
        <f>AND(Sheet1!I618,"AAAAAHf/v9Q=")</f>
        <v>#VALUE!</v>
      </c>
      <c r="HF46" t="e">
        <f>AND(Sheet1!J618,"AAAAAHf/v9U=")</f>
        <v>#VALUE!</v>
      </c>
      <c r="HG46" t="e">
        <f>AND(Sheet1!K618,"AAAAAHf/v9Y=")</f>
        <v>#VALUE!</v>
      </c>
      <c r="HH46" t="e">
        <f>AND(Sheet1!L618,"AAAAAHf/v9c=")</f>
        <v>#VALUE!</v>
      </c>
      <c r="HI46" t="e">
        <f>AND(Sheet1!M618,"AAAAAHf/v9g=")</f>
        <v>#VALUE!</v>
      </c>
      <c r="HJ46" t="e">
        <f>AND(Sheet1!N618,"AAAAAHf/v9k=")</f>
        <v>#VALUE!</v>
      </c>
      <c r="HK46" t="e">
        <f>AND(Sheet1!#REF!,"AAAAAHf/v9o=")</f>
        <v>#REF!</v>
      </c>
      <c r="HL46" t="e">
        <f>AND(Sheet1!#REF!,"AAAAAHf/v9s=")</f>
        <v>#REF!</v>
      </c>
      <c r="HM46" t="e">
        <f>AND(Sheet1!#REF!,"AAAAAHf/v9w=")</f>
        <v>#REF!</v>
      </c>
      <c r="HN46" t="e">
        <f>AND(Sheet1!#REF!,"AAAAAHf/v90=")</f>
        <v>#REF!</v>
      </c>
      <c r="HO46">
        <f>IF(Sheet1!619:619,"AAAAAHf/v94=",0)</f>
        <v>0</v>
      </c>
      <c r="HP46" t="e">
        <f>AND(Sheet1!A619,"AAAAAHf/v98=")</f>
        <v>#VALUE!</v>
      </c>
      <c r="HQ46" t="e">
        <f>AND(Sheet1!B619,"AAAAAHf/v+A=")</f>
        <v>#VALUE!</v>
      </c>
      <c r="HR46" t="e">
        <f>AND(Sheet1!C619,"AAAAAHf/v+E=")</f>
        <v>#VALUE!</v>
      </c>
      <c r="HS46" t="e">
        <f>AND(Sheet1!D619,"AAAAAHf/v+I=")</f>
        <v>#VALUE!</v>
      </c>
      <c r="HT46" t="e">
        <f>AND(Sheet1!E619,"AAAAAHf/v+M=")</f>
        <v>#VALUE!</v>
      </c>
      <c r="HU46" t="e">
        <f>AND(Sheet1!F619,"AAAAAHf/v+Q=")</f>
        <v>#VALUE!</v>
      </c>
      <c r="HV46" t="e">
        <f>AND(Sheet1!G619,"AAAAAHf/v+U=")</f>
        <v>#VALUE!</v>
      </c>
      <c r="HW46" t="e">
        <f>AND(Sheet1!H619,"AAAAAHf/v+Y=")</f>
        <v>#VALUE!</v>
      </c>
      <c r="HX46" t="e">
        <f>AND(Sheet1!I619,"AAAAAHf/v+c=")</f>
        <v>#VALUE!</v>
      </c>
      <c r="HY46" t="e">
        <f>AND(Sheet1!J619,"AAAAAHf/v+g=")</f>
        <v>#VALUE!</v>
      </c>
      <c r="HZ46" t="e">
        <f>AND(Sheet1!K619,"AAAAAHf/v+k=")</f>
        <v>#VALUE!</v>
      </c>
      <c r="IA46" t="e">
        <f>AND(Sheet1!L619,"AAAAAHf/v+o=")</f>
        <v>#VALUE!</v>
      </c>
      <c r="IB46" t="e">
        <f>AND(Sheet1!M619,"AAAAAHf/v+s=")</f>
        <v>#VALUE!</v>
      </c>
      <c r="IC46" t="e">
        <f>AND(Sheet1!N619,"AAAAAHf/v+w=")</f>
        <v>#VALUE!</v>
      </c>
      <c r="ID46" t="e">
        <f>AND(Sheet1!#REF!,"AAAAAHf/v+0=")</f>
        <v>#REF!</v>
      </c>
      <c r="IE46" t="e">
        <f>AND(Sheet1!#REF!,"AAAAAHf/v+4=")</f>
        <v>#REF!</v>
      </c>
      <c r="IF46" t="e">
        <f>AND(Sheet1!#REF!,"AAAAAHf/v+8=")</f>
        <v>#REF!</v>
      </c>
      <c r="IG46" t="e">
        <f>AND(Sheet1!#REF!,"AAAAAHf/v/A=")</f>
        <v>#REF!</v>
      </c>
      <c r="IH46">
        <f>IF(Sheet1!620:620,"AAAAAHf/v/E=",0)</f>
        <v>0</v>
      </c>
      <c r="II46" t="e">
        <f>AND(Sheet1!A620,"AAAAAHf/v/I=")</f>
        <v>#VALUE!</v>
      </c>
      <c r="IJ46" t="e">
        <f>AND(Sheet1!B620,"AAAAAHf/v/M=")</f>
        <v>#VALUE!</v>
      </c>
      <c r="IK46" t="e">
        <f>AND(Sheet1!C620,"AAAAAHf/v/Q=")</f>
        <v>#VALUE!</v>
      </c>
      <c r="IL46" t="e">
        <f>AND(Sheet1!D620,"AAAAAHf/v/U=")</f>
        <v>#VALUE!</v>
      </c>
      <c r="IM46" t="e">
        <f>AND(Sheet1!E620,"AAAAAHf/v/Y=")</f>
        <v>#VALUE!</v>
      </c>
      <c r="IN46" t="e">
        <f>AND(Sheet1!F620,"AAAAAHf/v/c=")</f>
        <v>#VALUE!</v>
      </c>
      <c r="IO46" t="e">
        <f>AND(Sheet1!G620,"AAAAAHf/v/g=")</f>
        <v>#VALUE!</v>
      </c>
      <c r="IP46" t="e">
        <f>AND(Sheet1!H620,"AAAAAHf/v/k=")</f>
        <v>#VALUE!</v>
      </c>
      <c r="IQ46" t="e">
        <f>AND(Sheet1!I620,"AAAAAHf/v/o=")</f>
        <v>#VALUE!</v>
      </c>
      <c r="IR46" t="e">
        <f>AND(Sheet1!J620,"AAAAAHf/v/s=")</f>
        <v>#VALUE!</v>
      </c>
      <c r="IS46" t="e">
        <f>AND(Sheet1!K620,"AAAAAHf/v/w=")</f>
        <v>#VALUE!</v>
      </c>
      <c r="IT46" t="e">
        <f>AND(Sheet1!L620,"AAAAAHf/v/0=")</f>
        <v>#VALUE!</v>
      </c>
      <c r="IU46" t="e">
        <f>AND(Sheet1!M620,"AAAAAHf/v/4=")</f>
        <v>#VALUE!</v>
      </c>
      <c r="IV46" t="e">
        <f>AND(Sheet1!N620,"AAAAAHf/v/8=")</f>
        <v>#VALUE!</v>
      </c>
    </row>
    <row r="47" spans="1:256" x14ac:dyDescent="0.2">
      <c r="A47" t="e">
        <f>AND(Sheet1!#REF!,"AAAAAH/v+wA=")</f>
        <v>#REF!</v>
      </c>
      <c r="B47" t="e">
        <f>AND(Sheet1!#REF!,"AAAAAH/v+wE=")</f>
        <v>#REF!</v>
      </c>
      <c r="C47" t="e">
        <f>AND(Sheet1!#REF!,"AAAAAH/v+wI=")</f>
        <v>#REF!</v>
      </c>
      <c r="D47" t="e">
        <f>AND(Sheet1!#REF!,"AAAAAH/v+wM=")</f>
        <v>#REF!</v>
      </c>
      <c r="E47" t="e">
        <f>IF(Sheet1!621:621,"AAAAAH/v+wQ=",0)</f>
        <v>#VALUE!</v>
      </c>
      <c r="F47" t="e">
        <f>AND(Sheet1!A621,"AAAAAH/v+wU=")</f>
        <v>#VALUE!</v>
      </c>
      <c r="G47" t="e">
        <f>AND(Sheet1!B621,"AAAAAH/v+wY=")</f>
        <v>#VALUE!</v>
      </c>
      <c r="H47" t="e">
        <f>AND(Sheet1!C621,"AAAAAH/v+wc=")</f>
        <v>#VALUE!</v>
      </c>
      <c r="I47" t="e">
        <f>AND(Sheet1!D621,"AAAAAH/v+wg=")</f>
        <v>#VALUE!</v>
      </c>
      <c r="J47" t="e">
        <f>AND(Sheet1!E621,"AAAAAH/v+wk=")</f>
        <v>#VALUE!</v>
      </c>
      <c r="K47" t="e">
        <f>AND(Sheet1!F621,"AAAAAH/v+wo=")</f>
        <v>#VALUE!</v>
      </c>
      <c r="L47" t="e">
        <f>AND(Sheet1!G621,"AAAAAH/v+ws=")</f>
        <v>#VALUE!</v>
      </c>
      <c r="M47" t="e">
        <f>AND(Sheet1!H621,"AAAAAH/v+ww=")</f>
        <v>#VALUE!</v>
      </c>
      <c r="N47" t="e">
        <f>AND(Sheet1!I621,"AAAAAH/v+w0=")</f>
        <v>#VALUE!</v>
      </c>
      <c r="O47" t="e">
        <f>AND(Sheet1!J621,"AAAAAH/v+w4=")</f>
        <v>#VALUE!</v>
      </c>
      <c r="P47" t="e">
        <f>AND(Sheet1!K621,"AAAAAH/v+w8=")</f>
        <v>#VALUE!</v>
      </c>
      <c r="Q47" t="e">
        <f>AND(Sheet1!L621,"AAAAAH/v+xA=")</f>
        <v>#VALUE!</v>
      </c>
      <c r="R47" t="e">
        <f>AND(Sheet1!M621,"AAAAAH/v+xE=")</f>
        <v>#VALUE!</v>
      </c>
      <c r="S47" t="e">
        <f>AND(Sheet1!N621,"AAAAAH/v+xI=")</f>
        <v>#VALUE!</v>
      </c>
      <c r="T47" t="e">
        <f>AND(Sheet1!#REF!,"AAAAAH/v+xM=")</f>
        <v>#REF!</v>
      </c>
      <c r="U47" t="e">
        <f>AND(Sheet1!#REF!,"AAAAAH/v+xQ=")</f>
        <v>#REF!</v>
      </c>
      <c r="V47" t="e">
        <f>AND(Sheet1!#REF!,"AAAAAH/v+xU=")</f>
        <v>#REF!</v>
      </c>
      <c r="W47" t="e">
        <f>AND(Sheet1!#REF!,"AAAAAH/v+xY=")</f>
        <v>#REF!</v>
      </c>
      <c r="X47">
        <f>IF(Sheet1!622:622,"AAAAAH/v+xc=",0)</f>
        <v>0</v>
      </c>
      <c r="Y47" t="e">
        <f>AND(Sheet1!A622,"AAAAAH/v+xg=")</f>
        <v>#VALUE!</v>
      </c>
      <c r="Z47" t="e">
        <f>AND(Sheet1!B622,"AAAAAH/v+xk=")</f>
        <v>#VALUE!</v>
      </c>
      <c r="AA47" t="e">
        <f>AND(Sheet1!C622,"AAAAAH/v+xo=")</f>
        <v>#VALUE!</v>
      </c>
      <c r="AB47" t="e">
        <f>AND(Sheet1!D622,"AAAAAH/v+xs=")</f>
        <v>#VALUE!</v>
      </c>
      <c r="AC47" t="e">
        <f>AND(Sheet1!E622,"AAAAAH/v+xw=")</f>
        <v>#VALUE!</v>
      </c>
      <c r="AD47" t="e">
        <f>AND(Sheet1!F622,"AAAAAH/v+x0=")</f>
        <v>#VALUE!</v>
      </c>
      <c r="AE47" t="e">
        <f>AND(Sheet1!G622,"AAAAAH/v+x4=")</f>
        <v>#VALUE!</v>
      </c>
      <c r="AF47" t="e">
        <f>AND(Sheet1!H622,"AAAAAH/v+x8=")</f>
        <v>#VALUE!</v>
      </c>
      <c r="AG47" t="e">
        <f>AND(Sheet1!I622,"AAAAAH/v+yA=")</f>
        <v>#VALUE!</v>
      </c>
      <c r="AH47" t="e">
        <f>AND(Sheet1!J622,"AAAAAH/v+yE=")</f>
        <v>#VALUE!</v>
      </c>
      <c r="AI47" t="e">
        <f>AND(Sheet1!K622,"AAAAAH/v+yI=")</f>
        <v>#VALUE!</v>
      </c>
      <c r="AJ47" t="e">
        <f>AND(Sheet1!L622,"AAAAAH/v+yM=")</f>
        <v>#VALUE!</v>
      </c>
      <c r="AK47" t="e">
        <f>AND(Sheet1!M622,"AAAAAH/v+yQ=")</f>
        <v>#VALUE!</v>
      </c>
      <c r="AL47" t="e">
        <f>AND(Sheet1!N622,"AAAAAH/v+yU=")</f>
        <v>#VALUE!</v>
      </c>
      <c r="AM47" t="e">
        <f>AND(Sheet1!#REF!,"AAAAAH/v+yY=")</f>
        <v>#REF!</v>
      </c>
      <c r="AN47" t="e">
        <f>AND(Sheet1!#REF!,"AAAAAH/v+yc=")</f>
        <v>#REF!</v>
      </c>
      <c r="AO47" t="e">
        <f>AND(Sheet1!#REF!,"AAAAAH/v+yg=")</f>
        <v>#REF!</v>
      </c>
      <c r="AP47" t="e">
        <f>AND(Sheet1!#REF!,"AAAAAH/v+yk=")</f>
        <v>#REF!</v>
      </c>
      <c r="AQ47">
        <f>IF(Sheet1!623:623,"AAAAAH/v+yo=",0)</f>
        <v>0</v>
      </c>
      <c r="AR47" t="e">
        <f>AND(Sheet1!A623,"AAAAAH/v+ys=")</f>
        <v>#VALUE!</v>
      </c>
      <c r="AS47" t="e">
        <f>AND(Sheet1!B623,"AAAAAH/v+yw=")</f>
        <v>#VALUE!</v>
      </c>
      <c r="AT47" t="e">
        <f>AND(Sheet1!C623,"AAAAAH/v+y0=")</f>
        <v>#VALUE!</v>
      </c>
      <c r="AU47" t="e">
        <f>AND(Sheet1!D623,"AAAAAH/v+y4=")</f>
        <v>#VALUE!</v>
      </c>
      <c r="AV47" t="e">
        <f>AND(Sheet1!E623,"AAAAAH/v+y8=")</f>
        <v>#VALUE!</v>
      </c>
      <c r="AW47" t="e">
        <f>AND(Sheet1!F623,"AAAAAH/v+zA=")</f>
        <v>#VALUE!</v>
      </c>
      <c r="AX47" t="e">
        <f>AND(Sheet1!G623,"AAAAAH/v+zE=")</f>
        <v>#VALUE!</v>
      </c>
      <c r="AY47" t="e">
        <f>AND(Sheet1!H623,"AAAAAH/v+zI=")</f>
        <v>#VALUE!</v>
      </c>
      <c r="AZ47" t="e">
        <f>AND(Sheet1!I623,"AAAAAH/v+zM=")</f>
        <v>#VALUE!</v>
      </c>
      <c r="BA47" t="e">
        <f>AND(Sheet1!J623,"AAAAAH/v+zQ=")</f>
        <v>#VALUE!</v>
      </c>
      <c r="BB47" t="e">
        <f>AND(Sheet1!K623,"AAAAAH/v+zU=")</f>
        <v>#VALUE!</v>
      </c>
      <c r="BC47" t="e">
        <f>AND(Sheet1!L623,"AAAAAH/v+zY=")</f>
        <v>#VALUE!</v>
      </c>
      <c r="BD47" t="e">
        <f>AND(Sheet1!M623,"AAAAAH/v+zc=")</f>
        <v>#VALUE!</v>
      </c>
      <c r="BE47" t="e">
        <f>AND(Sheet1!N623,"AAAAAH/v+zg=")</f>
        <v>#VALUE!</v>
      </c>
      <c r="BF47" t="e">
        <f>AND(Sheet1!#REF!,"AAAAAH/v+zk=")</f>
        <v>#REF!</v>
      </c>
      <c r="BG47" t="e">
        <f>AND(Sheet1!#REF!,"AAAAAH/v+zo=")</f>
        <v>#REF!</v>
      </c>
      <c r="BH47" t="e">
        <f>AND(Sheet1!#REF!,"AAAAAH/v+zs=")</f>
        <v>#REF!</v>
      </c>
      <c r="BI47" t="e">
        <f>AND(Sheet1!#REF!,"AAAAAH/v+zw=")</f>
        <v>#REF!</v>
      </c>
      <c r="BJ47">
        <f>IF(Sheet1!624:624,"AAAAAH/v+z0=",0)</f>
        <v>0</v>
      </c>
      <c r="BK47" t="e">
        <f>AND(Sheet1!A624,"AAAAAH/v+z4=")</f>
        <v>#VALUE!</v>
      </c>
      <c r="BL47" t="e">
        <f>AND(Sheet1!B624,"AAAAAH/v+z8=")</f>
        <v>#VALUE!</v>
      </c>
      <c r="BM47" t="e">
        <f>AND(Sheet1!C624,"AAAAAH/v+0A=")</f>
        <v>#VALUE!</v>
      </c>
      <c r="BN47" t="e">
        <f>AND(Sheet1!D624,"AAAAAH/v+0E=")</f>
        <v>#VALUE!</v>
      </c>
      <c r="BO47" t="e">
        <f>AND(Sheet1!E624,"AAAAAH/v+0I=")</f>
        <v>#VALUE!</v>
      </c>
      <c r="BP47" t="e">
        <f>AND(Sheet1!F624,"AAAAAH/v+0M=")</f>
        <v>#VALUE!</v>
      </c>
      <c r="BQ47" t="e">
        <f>AND(Sheet1!G624,"AAAAAH/v+0Q=")</f>
        <v>#VALUE!</v>
      </c>
      <c r="BR47" t="e">
        <f>AND(Sheet1!H624,"AAAAAH/v+0U=")</f>
        <v>#VALUE!</v>
      </c>
      <c r="BS47" t="e">
        <f>AND(Sheet1!I624,"AAAAAH/v+0Y=")</f>
        <v>#VALUE!</v>
      </c>
      <c r="BT47" t="e">
        <f>AND(Sheet1!J624,"AAAAAH/v+0c=")</f>
        <v>#VALUE!</v>
      </c>
      <c r="BU47" t="e">
        <f>AND(Sheet1!K624,"AAAAAH/v+0g=")</f>
        <v>#VALUE!</v>
      </c>
      <c r="BV47" t="e">
        <f>AND(Sheet1!L624,"AAAAAH/v+0k=")</f>
        <v>#VALUE!</v>
      </c>
      <c r="BW47" t="e">
        <f>AND(Sheet1!M624,"AAAAAH/v+0o=")</f>
        <v>#VALUE!</v>
      </c>
      <c r="BX47" t="e">
        <f>AND(Sheet1!N624,"AAAAAH/v+0s=")</f>
        <v>#VALUE!</v>
      </c>
      <c r="BY47" t="e">
        <f>AND(Sheet1!#REF!,"AAAAAH/v+0w=")</f>
        <v>#REF!</v>
      </c>
      <c r="BZ47" t="e">
        <f>AND(Sheet1!#REF!,"AAAAAH/v+00=")</f>
        <v>#REF!</v>
      </c>
      <c r="CA47" t="e">
        <f>AND(Sheet1!#REF!,"AAAAAH/v+04=")</f>
        <v>#REF!</v>
      </c>
      <c r="CB47" t="e">
        <f>AND(Sheet1!#REF!,"AAAAAH/v+08=")</f>
        <v>#REF!</v>
      </c>
      <c r="CC47">
        <f>IF(Sheet1!625:625,"AAAAAH/v+1A=",0)</f>
        <v>0</v>
      </c>
      <c r="CD47" t="e">
        <f>AND(Sheet1!A625,"AAAAAH/v+1E=")</f>
        <v>#VALUE!</v>
      </c>
      <c r="CE47" t="e">
        <f>AND(Sheet1!B625,"AAAAAH/v+1I=")</f>
        <v>#VALUE!</v>
      </c>
      <c r="CF47" t="e">
        <f>AND(Sheet1!C625,"AAAAAH/v+1M=")</f>
        <v>#VALUE!</v>
      </c>
      <c r="CG47" t="e">
        <f>AND(Sheet1!D625,"AAAAAH/v+1Q=")</f>
        <v>#VALUE!</v>
      </c>
      <c r="CH47" t="e">
        <f>AND(Sheet1!E625,"AAAAAH/v+1U=")</f>
        <v>#VALUE!</v>
      </c>
      <c r="CI47" t="e">
        <f>AND(Sheet1!F625,"AAAAAH/v+1Y=")</f>
        <v>#VALUE!</v>
      </c>
      <c r="CJ47" t="e">
        <f>AND(Sheet1!G625,"AAAAAH/v+1c=")</f>
        <v>#VALUE!</v>
      </c>
      <c r="CK47" t="e">
        <f>AND(Sheet1!H625,"AAAAAH/v+1g=")</f>
        <v>#VALUE!</v>
      </c>
      <c r="CL47" t="e">
        <f>AND(Sheet1!I625,"AAAAAH/v+1k=")</f>
        <v>#VALUE!</v>
      </c>
      <c r="CM47" t="e">
        <f>AND(Sheet1!J625,"AAAAAH/v+1o=")</f>
        <v>#VALUE!</v>
      </c>
      <c r="CN47" t="e">
        <f>AND(Sheet1!K625,"AAAAAH/v+1s=")</f>
        <v>#VALUE!</v>
      </c>
      <c r="CO47" t="e">
        <f>AND(Sheet1!L625,"AAAAAH/v+1w=")</f>
        <v>#VALUE!</v>
      </c>
      <c r="CP47" t="e">
        <f>AND(Sheet1!M625,"AAAAAH/v+10=")</f>
        <v>#VALUE!</v>
      </c>
      <c r="CQ47" t="e">
        <f>AND(Sheet1!N625,"AAAAAH/v+14=")</f>
        <v>#VALUE!</v>
      </c>
      <c r="CR47" t="e">
        <f>AND(Sheet1!#REF!,"AAAAAH/v+18=")</f>
        <v>#REF!</v>
      </c>
      <c r="CS47" t="e">
        <f>AND(Sheet1!#REF!,"AAAAAH/v+2A=")</f>
        <v>#REF!</v>
      </c>
      <c r="CT47" t="e">
        <f>AND(Sheet1!#REF!,"AAAAAH/v+2E=")</f>
        <v>#REF!</v>
      </c>
      <c r="CU47" t="e">
        <f>AND(Sheet1!#REF!,"AAAAAH/v+2I=")</f>
        <v>#REF!</v>
      </c>
      <c r="CV47">
        <f>IF(Sheet1!626:626,"AAAAAH/v+2M=",0)</f>
        <v>0</v>
      </c>
      <c r="CW47" t="e">
        <f>AND(Sheet1!A626,"AAAAAH/v+2Q=")</f>
        <v>#VALUE!</v>
      </c>
      <c r="CX47" t="e">
        <f>AND(Sheet1!B626,"AAAAAH/v+2U=")</f>
        <v>#VALUE!</v>
      </c>
      <c r="CY47" t="e">
        <f>AND(Sheet1!C626,"AAAAAH/v+2Y=")</f>
        <v>#VALUE!</v>
      </c>
      <c r="CZ47" t="e">
        <f>AND(Sheet1!D626,"AAAAAH/v+2c=")</f>
        <v>#VALUE!</v>
      </c>
      <c r="DA47" t="e">
        <f>AND(Sheet1!E626,"AAAAAH/v+2g=")</f>
        <v>#VALUE!</v>
      </c>
      <c r="DB47" t="e">
        <f>AND(Sheet1!F626,"AAAAAH/v+2k=")</f>
        <v>#VALUE!</v>
      </c>
      <c r="DC47" t="e">
        <f>AND(Sheet1!G626,"AAAAAH/v+2o=")</f>
        <v>#VALUE!</v>
      </c>
      <c r="DD47" t="e">
        <f>AND(Sheet1!H626,"AAAAAH/v+2s=")</f>
        <v>#VALUE!</v>
      </c>
      <c r="DE47" t="e">
        <f>AND(Sheet1!I626,"AAAAAH/v+2w=")</f>
        <v>#VALUE!</v>
      </c>
      <c r="DF47" t="e">
        <f>AND(Sheet1!J626,"AAAAAH/v+20=")</f>
        <v>#VALUE!</v>
      </c>
      <c r="DG47" t="e">
        <f>AND(Sheet1!K626,"AAAAAH/v+24=")</f>
        <v>#VALUE!</v>
      </c>
      <c r="DH47" t="e">
        <f>AND(Sheet1!L626,"AAAAAH/v+28=")</f>
        <v>#VALUE!</v>
      </c>
      <c r="DI47" t="e">
        <f>AND(Sheet1!M626,"AAAAAH/v+3A=")</f>
        <v>#VALUE!</v>
      </c>
      <c r="DJ47" t="e">
        <f>AND(Sheet1!N626,"AAAAAH/v+3E=")</f>
        <v>#VALUE!</v>
      </c>
      <c r="DK47" t="e">
        <f>AND(Sheet1!#REF!,"AAAAAH/v+3I=")</f>
        <v>#REF!</v>
      </c>
      <c r="DL47" t="e">
        <f>AND(Sheet1!#REF!,"AAAAAH/v+3M=")</f>
        <v>#REF!</v>
      </c>
      <c r="DM47" t="e">
        <f>AND(Sheet1!#REF!,"AAAAAH/v+3Q=")</f>
        <v>#REF!</v>
      </c>
      <c r="DN47" t="e">
        <f>AND(Sheet1!#REF!,"AAAAAH/v+3U=")</f>
        <v>#REF!</v>
      </c>
      <c r="DO47">
        <f>IF(Sheet1!627:627,"AAAAAH/v+3Y=",0)</f>
        <v>0</v>
      </c>
      <c r="DP47" t="e">
        <f>AND(Sheet1!A627,"AAAAAH/v+3c=")</f>
        <v>#VALUE!</v>
      </c>
      <c r="DQ47" t="e">
        <f>AND(Sheet1!B627,"AAAAAH/v+3g=")</f>
        <v>#VALUE!</v>
      </c>
      <c r="DR47" t="e">
        <f>AND(Sheet1!C627,"AAAAAH/v+3k=")</f>
        <v>#VALUE!</v>
      </c>
      <c r="DS47" t="e">
        <f>AND(Sheet1!D627,"AAAAAH/v+3o=")</f>
        <v>#VALUE!</v>
      </c>
      <c r="DT47" t="e">
        <f>AND(Sheet1!E627,"AAAAAH/v+3s=")</f>
        <v>#VALUE!</v>
      </c>
      <c r="DU47" t="e">
        <f>AND(Sheet1!F627,"AAAAAH/v+3w=")</f>
        <v>#VALUE!</v>
      </c>
      <c r="DV47" t="e">
        <f>AND(Sheet1!G627,"AAAAAH/v+30=")</f>
        <v>#VALUE!</v>
      </c>
      <c r="DW47" t="e">
        <f>AND(Sheet1!H627,"AAAAAH/v+34=")</f>
        <v>#VALUE!</v>
      </c>
      <c r="DX47" t="e">
        <f>AND(Sheet1!I627,"AAAAAH/v+38=")</f>
        <v>#VALUE!</v>
      </c>
      <c r="DY47" t="e">
        <f>AND(Sheet1!J627,"AAAAAH/v+4A=")</f>
        <v>#VALUE!</v>
      </c>
      <c r="DZ47" t="e">
        <f>AND(Sheet1!K627,"AAAAAH/v+4E=")</f>
        <v>#VALUE!</v>
      </c>
      <c r="EA47" t="e">
        <f>AND(Sheet1!L627,"AAAAAH/v+4I=")</f>
        <v>#VALUE!</v>
      </c>
      <c r="EB47" t="e">
        <f>AND(Sheet1!M627,"AAAAAH/v+4M=")</f>
        <v>#VALUE!</v>
      </c>
      <c r="EC47" t="e">
        <f>AND(Sheet1!N627,"AAAAAH/v+4Q=")</f>
        <v>#VALUE!</v>
      </c>
      <c r="ED47" t="e">
        <f>AND(Sheet1!#REF!,"AAAAAH/v+4U=")</f>
        <v>#REF!</v>
      </c>
      <c r="EE47" t="e">
        <f>AND(Sheet1!#REF!,"AAAAAH/v+4Y=")</f>
        <v>#REF!</v>
      </c>
      <c r="EF47" t="e">
        <f>AND(Sheet1!#REF!,"AAAAAH/v+4c=")</f>
        <v>#REF!</v>
      </c>
      <c r="EG47" t="e">
        <f>AND(Sheet1!#REF!,"AAAAAH/v+4g=")</f>
        <v>#REF!</v>
      </c>
      <c r="EH47">
        <f>IF(Sheet1!628:628,"AAAAAH/v+4k=",0)</f>
        <v>0</v>
      </c>
      <c r="EI47" t="e">
        <f>AND(Sheet1!A628,"AAAAAH/v+4o=")</f>
        <v>#VALUE!</v>
      </c>
      <c r="EJ47" t="e">
        <f>AND(Sheet1!B628,"AAAAAH/v+4s=")</f>
        <v>#VALUE!</v>
      </c>
      <c r="EK47" t="e">
        <f>AND(Sheet1!C628,"AAAAAH/v+4w=")</f>
        <v>#VALUE!</v>
      </c>
      <c r="EL47" t="e">
        <f>AND(Sheet1!D628,"AAAAAH/v+40=")</f>
        <v>#VALUE!</v>
      </c>
      <c r="EM47" t="e">
        <f>AND(Sheet1!E628,"AAAAAH/v+44=")</f>
        <v>#VALUE!</v>
      </c>
      <c r="EN47" t="e">
        <f>AND(Sheet1!F628,"AAAAAH/v+48=")</f>
        <v>#VALUE!</v>
      </c>
      <c r="EO47" t="e">
        <f>AND(Sheet1!G628,"AAAAAH/v+5A=")</f>
        <v>#VALUE!</v>
      </c>
      <c r="EP47" t="e">
        <f>AND(Sheet1!H628,"AAAAAH/v+5E=")</f>
        <v>#VALUE!</v>
      </c>
      <c r="EQ47" t="e">
        <f>AND(Sheet1!I628,"AAAAAH/v+5I=")</f>
        <v>#VALUE!</v>
      </c>
      <c r="ER47" t="e">
        <f>AND(Sheet1!J628,"AAAAAH/v+5M=")</f>
        <v>#VALUE!</v>
      </c>
      <c r="ES47" t="e">
        <f>AND(Sheet1!K628,"AAAAAH/v+5Q=")</f>
        <v>#VALUE!</v>
      </c>
      <c r="ET47" t="e">
        <f>AND(Sheet1!L628,"AAAAAH/v+5U=")</f>
        <v>#VALUE!</v>
      </c>
      <c r="EU47" t="e">
        <f>AND(Sheet1!M628,"AAAAAH/v+5Y=")</f>
        <v>#VALUE!</v>
      </c>
      <c r="EV47" t="e">
        <f>AND(Sheet1!N628,"AAAAAH/v+5c=")</f>
        <v>#VALUE!</v>
      </c>
      <c r="EW47" t="e">
        <f>AND(Sheet1!#REF!,"AAAAAH/v+5g=")</f>
        <v>#REF!</v>
      </c>
      <c r="EX47" t="e">
        <f>AND(Sheet1!#REF!,"AAAAAH/v+5k=")</f>
        <v>#REF!</v>
      </c>
      <c r="EY47" t="e">
        <f>AND(Sheet1!#REF!,"AAAAAH/v+5o=")</f>
        <v>#REF!</v>
      </c>
      <c r="EZ47" t="e">
        <f>AND(Sheet1!#REF!,"AAAAAH/v+5s=")</f>
        <v>#REF!</v>
      </c>
      <c r="FA47">
        <f>IF(Sheet1!629:629,"AAAAAH/v+5w=",0)</f>
        <v>0</v>
      </c>
      <c r="FB47" t="e">
        <f>AND(Sheet1!A629,"AAAAAH/v+50=")</f>
        <v>#VALUE!</v>
      </c>
      <c r="FC47" t="e">
        <f>AND(Sheet1!B629,"AAAAAH/v+54=")</f>
        <v>#VALUE!</v>
      </c>
      <c r="FD47" t="e">
        <f>AND(Sheet1!C629,"AAAAAH/v+58=")</f>
        <v>#VALUE!</v>
      </c>
      <c r="FE47" t="e">
        <f>AND(Sheet1!D629,"AAAAAH/v+6A=")</f>
        <v>#VALUE!</v>
      </c>
      <c r="FF47" t="e">
        <f>AND(Sheet1!E629,"AAAAAH/v+6E=")</f>
        <v>#VALUE!</v>
      </c>
      <c r="FG47" t="e">
        <f>AND(Sheet1!F629,"AAAAAH/v+6I=")</f>
        <v>#VALUE!</v>
      </c>
      <c r="FH47" t="e">
        <f>AND(Sheet1!G629,"AAAAAH/v+6M=")</f>
        <v>#VALUE!</v>
      </c>
      <c r="FI47" t="e">
        <f>AND(Sheet1!H629,"AAAAAH/v+6Q=")</f>
        <v>#VALUE!</v>
      </c>
      <c r="FJ47" t="e">
        <f>AND(Sheet1!I629,"AAAAAH/v+6U=")</f>
        <v>#VALUE!</v>
      </c>
      <c r="FK47" t="e">
        <f>AND(Sheet1!J629,"AAAAAH/v+6Y=")</f>
        <v>#VALUE!</v>
      </c>
      <c r="FL47" t="e">
        <f>AND(Sheet1!K629,"AAAAAH/v+6c=")</f>
        <v>#VALUE!</v>
      </c>
      <c r="FM47" t="e">
        <f>AND(Sheet1!L629,"AAAAAH/v+6g=")</f>
        <v>#VALUE!</v>
      </c>
      <c r="FN47" t="e">
        <f>AND(Sheet1!M629,"AAAAAH/v+6k=")</f>
        <v>#VALUE!</v>
      </c>
      <c r="FO47" t="e">
        <f>AND(Sheet1!N629,"AAAAAH/v+6o=")</f>
        <v>#VALUE!</v>
      </c>
      <c r="FP47" t="e">
        <f>AND(Sheet1!#REF!,"AAAAAH/v+6s=")</f>
        <v>#REF!</v>
      </c>
      <c r="FQ47" t="e">
        <f>AND(Sheet1!#REF!,"AAAAAH/v+6w=")</f>
        <v>#REF!</v>
      </c>
      <c r="FR47" t="e">
        <f>AND(Sheet1!#REF!,"AAAAAH/v+60=")</f>
        <v>#REF!</v>
      </c>
      <c r="FS47" t="e">
        <f>AND(Sheet1!#REF!,"AAAAAH/v+64=")</f>
        <v>#REF!</v>
      </c>
      <c r="FT47">
        <f>IF(Sheet1!630:630,"AAAAAH/v+68=",0)</f>
        <v>0</v>
      </c>
      <c r="FU47" t="e">
        <f>AND(Sheet1!A630,"AAAAAH/v+7A=")</f>
        <v>#VALUE!</v>
      </c>
      <c r="FV47" t="e">
        <f>AND(Sheet1!B630,"AAAAAH/v+7E=")</f>
        <v>#VALUE!</v>
      </c>
      <c r="FW47" t="e">
        <f>AND(Sheet1!C630,"AAAAAH/v+7I=")</f>
        <v>#VALUE!</v>
      </c>
      <c r="FX47" t="e">
        <f>AND(Sheet1!D630,"AAAAAH/v+7M=")</f>
        <v>#VALUE!</v>
      </c>
      <c r="FY47" t="e">
        <f>AND(Sheet1!E630,"AAAAAH/v+7Q=")</f>
        <v>#VALUE!</v>
      </c>
      <c r="FZ47" t="e">
        <f>AND(Sheet1!F630,"AAAAAH/v+7U=")</f>
        <v>#VALUE!</v>
      </c>
      <c r="GA47" t="e">
        <f>AND(Sheet1!G630,"AAAAAH/v+7Y=")</f>
        <v>#VALUE!</v>
      </c>
      <c r="GB47" t="e">
        <f>AND(Sheet1!H630,"AAAAAH/v+7c=")</f>
        <v>#VALUE!</v>
      </c>
      <c r="GC47" t="e">
        <f>AND(Sheet1!I630,"AAAAAH/v+7g=")</f>
        <v>#VALUE!</v>
      </c>
      <c r="GD47" t="e">
        <f>AND(Sheet1!J630,"AAAAAH/v+7k=")</f>
        <v>#VALUE!</v>
      </c>
      <c r="GE47" t="e">
        <f>AND(Sheet1!K630,"AAAAAH/v+7o=")</f>
        <v>#VALUE!</v>
      </c>
      <c r="GF47" t="e">
        <f>AND(Sheet1!L630,"AAAAAH/v+7s=")</f>
        <v>#VALUE!</v>
      </c>
      <c r="GG47" t="e">
        <f>AND(Sheet1!M630,"AAAAAH/v+7w=")</f>
        <v>#VALUE!</v>
      </c>
      <c r="GH47" t="e">
        <f>AND(Sheet1!N630,"AAAAAH/v+70=")</f>
        <v>#VALUE!</v>
      </c>
      <c r="GI47" t="e">
        <f>AND(Sheet1!#REF!,"AAAAAH/v+74=")</f>
        <v>#REF!</v>
      </c>
      <c r="GJ47" t="e">
        <f>AND(Sheet1!#REF!,"AAAAAH/v+78=")</f>
        <v>#REF!</v>
      </c>
      <c r="GK47" t="e">
        <f>AND(Sheet1!#REF!,"AAAAAH/v+8A=")</f>
        <v>#REF!</v>
      </c>
      <c r="GL47" t="e">
        <f>AND(Sheet1!#REF!,"AAAAAH/v+8E=")</f>
        <v>#REF!</v>
      </c>
      <c r="GM47">
        <f>IF(Sheet1!631:631,"AAAAAH/v+8I=",0)</f>
        <v>0</v>
      </c>
      <c r="GN47" t="e">
        <f>AND(Sheet1!A631,"AAAAAH/v+8M=")</f>
        <v>#VALUE!</v>
      </c>
      <c r="GO47" t="e">
        <f>AND(Sheet1!B631,"AAAAAH/v+8Q=")</f>
        <v>#VALUE!</v>
      </c>
      <c r="GP47" t="e">
        <f>AND(Sheet1!C631,"AAAAAH/v+8U=")</f>
        <v>#VALUE!</v>
      </c>
      <c r="GQ47" t="e">
        <f>AND(Sheet1!D631,"AAAAAH/v+8Y=")</f>
        <v>#VALUE!</v>
      </c>
      <c r="GR47" t="e">
        <f>AND(Sheet1!E631,"AAAAAH/v+8c=")</f>
        <v>#VALUE!</v>
      </c>
      <c r="GS47" t="e">
        <f>AND(Sheet1!F631,"AAAAAH/v+8g=")</f>
        <v>#VALUE!</v>
      </c>
      <c r="GT47" t="e">
        <f>AND(Sheet1!G631,"AAAAAH/v+8k=")</f>
        <v>#VALUE!</v>
      </c>
      <c r="GU47" t="e">
        <f>AND(Sheet1!H631,"AAAAAH/v+8o=")</f>
        <v>#VALUE!</v>
      </c>
      <c r="GV47" t="e">
        <f>AND(Sheet1!I631,"AAAAAH/v+8s=")</f>
        <v>#VALUE!</v>
      </c>
      <c r="GW47" t="e">
        <f>AND(Sheet1!J631,"AAAAAH/v+8w=")</f>
        <v>#VALUE!</v>
      </c>
      <c r="GX47" t="e">
        <f>AND(Sheet1!K631,"AAAAAH/v+80=")</f>
        <v>#VALUE!</v>
      </c>
      <c r="GY47" t="e">
        <f>AND(Sheet1!L631,"AAAAAH/v+84=")</f>
        <v>#VALUE!</v>
      </c>
      <c r="GZ47" t="e">
        <f>AND(Sheet1!M631,"AAAAAH/v+88=")</f>
        <v>#VALUE!</v>
      </c>
      <c r="HA47" t="e">
        <f>AND(Sheet1!N631,"AAAAAH/v+9A=")</f>
        <v>#VALUE!</v>
      </c>
      <c r="HB47" t="e">
        <f>AND(Sheet1!#REF!,"AAAAAH/v+9E=")</f>
        <v>#REF!</v>
      </c>
      <c r="HC47" t="e">
        <f>AND(Sheet1!#REF!,"AAAAAH/v+9I=")</f>
        <v>#REF!</v>
      </c>
      <c r="HD47" t="e">
        <f>AND(Sheet1!#REF!,"AAAAAH/v+9M=")</f>
        <v>#REF!</v>
      </c>
      <c r="HE47" t="e">
        <f>AND(Sheet1!#REF!,"AAAAAH/v+9Q=")</f>
        <v>#REF!</v>
      </c>
      <c r="HF47">
        <f>IF(Sheet1!632:632,"AAAAAH/v+9U=",0)</f>
        <v>0</v>
      </c>
      <c r="HG47" t="e">
        <f>AND(Sheet1!A632,"AAAAAH/v+9Y=")</f>
        <v>#VALUE!</v>
      </c>
      <c r="HH47" t="e">
        <f>AND(Sheet1!B632,"AAAAAH/v+9c=")</f>
        <v>#VALUE!</v>
      </c>
      <c r="HI47" t="e">
        <f>AND(Sheet1!C632,"AAAAAH/v+9g=")</f>
        <v>#VALUE!</v>
      </c>
      <c r="HJ47" t="e">
        <f>AND(Sheet1!D632,"AAAAAH/v+9k=")</f>
        <v>#VALUE!</v>
      </c>
      <c r="HK47" t="e">
        <f>AND(Sheet1!E632,"AAAAAH/v+9o=")</f>
        <v>#VALUE!</v>
      </c>
      <c r="HL47" t="e">
        <f>AND(Sheet1!F632,"AAAAAH/v+9s=")</f>
        <v>#VALUE!</v>
      </c>
      <c r="HM47" t="e">
        <f>AND(Sheet1!G632,"AAAAAH/v+9w=")</f>
        <v>#VALUE!</v>
      </c>
      <c r="HN47" t="e">
        <f>AND(Sheet1!H632,"AAAAAH/v+90=")</f>
        <v>#VALUE!</v>
      </c>
      <c r="HO47" t="e">
        <f>AND(Sheet1!I632,"AAAAAH/v+94=")</f>
        <v>#VALUE!</v>
      </c>
      <c r="HP47" t="e">
        <f>AND(Sheet1!J632,"AAAAAH/v+98=")</f>
        <v>#VALUE!</v>
      </c>
      <c r="HQ47" t="e">
        <f>AND(Sheet1!K632,"AAAAAH/v++A=")</f>
        <v>#VALUE!</v>
      </c>
      <c r="HR47" t="e">
        <f>AND(Sheet1!L632,"AAAAAH/v++E=")</f>
        <v>#VALUE!</v>
      </c>
      <c r="HS47" t="e">
        <f>AND(Sheet1!M632,"AAAAAH/v++I=")</f>
        <v>#VALUE!</v>
      </c>
      <c r="HT47" t="e">
        <f>AND(Sheet1!N632,"AAAAAH/v++M=")</f>
        <v>#VALUE!</v>
      </c>
      <c r="HU47" t="e">
        <f>AND(Sheet1!#REF!,"AAAAAH/v++Q=")</f>
        <v>#REF!</v>
      </c>
      <c r="HV47" t="e">
        <f>AND(Sheet1!#REF!,"AAAAAH/v++U=")</f>
        <v>#REF!</v>
      </c>
      <c r="HW47" t="e">
        <f>AND(Sheet1!#REF!,"AAAAAH/v++Y=")</f>
        <v>#REF!</v>
      </c>
      <c r="HX47" t="e">
        <f>AND(Sheet1!#REF!,"AAAAAH/v++c=")</f>
        <v>#REF!</v>
      </c>
      <c r="HY47">
        <f>IF(Sheet1!633:633,"AAAAAH/v++g=",0)</f>
        <v>0</v>
      </c>
      <c r="HZ47" t="e">
        <f>AND(Sheet1!A633,"AAAAAH/v++k=")</f>
        <v>#VALUE!</v>
      </c>
      <c r="IA47" t="e">
        <f>AND(Sheet1!B633,"AAAAAH/v++o=")</f>
        <v>#VALUE!</v>
      </c>
      <c r="IB47" t="e">
        <f>AND(Sheet1!C633,"AAAAAH/v++s=")</f>
        <v>#VALUE!</v>
      </c>
      <c r="IC47" t="e">
        <f>AND(Sheet1!D633,"AAAAAH/v++w=")</f>
        <v>#VALUE!</v>
      </c>
      <c r="ID47" t="e">
        <f>AND(Sheet1!E633,"AAAAAH/v++0=")</f>
        <v>#VALUE!</v>
      </c>
      <c r="IE47" t="e">
        <f>AND(Sheet1!F633,"AAAAAH/v++4=")</f>
        <v>#VALUE!</v>
      </c>
      <c r="IF47" t="e">
        <f>AND(Sheet1!G633,"AAAAAH/v++8=")</f>
        <v>#VALUE!</v>
      </c>
      <c r="IG47" t="e">
        <f>AND(Sheet1!H633,"AAAAAH/v+/A=")</f>
        <v>#VALUE!</v>
      </c>
      <c r="IH47" t="e">
        <f>AND(Sheet1!I633,"AAAAAH/v+/E=")</f>
        <v>#VALUE!</v>
      </c>
      <c r="II47" t="e">
        <f>AND(Sheet1!J633,"AAAAAH/v+/I=")</f>
        <v>#VALUE!</v>
      </c>
      <c r="IJ47" t="e">
        <f>AND(Sheet1!K633,"AAAAAH/v+/M=")</f>
        <v>#VALUE!</v>
      </c>
      <c r="IK47" t="e">
        <f>AND(Sheet1!L633,"AAAAAH/v+/Q=")</f>
        <v>#VALUE!</v>
      </c>
      <c r="IL47" t="e">
        <f>AND(Sheet1!M633,"AAAAAH/v+/U=")</f>
        <v>#VALUE!</v>
      </c>
      <c r="IM47" t="e">
        <f>AND(Sheet1!N633,"AAAAAH/v+/Y=")</f>
        <v>#VALUE!</v>
      </c>
      <c r="IN47" t="e">
        <f>AND(Sheet1!#REF!,"AAAAAH/v+/c=")</f>
        <v>#REF!</v>
      </c>
      <c r="IO47" t="e">
        <f>AND(Sheet1!#REF!,"AAAAAH/v+/g=")</f>
        <v>#REF!</v>
      </c>
      <c r="IP47" t="e">
        <f>AND(Sheet1!#REF!,"AAAAAH/v+/k=")</f>
        <v>#REF!</v>
      </c>
      <c r="IQ47" t="e">
        <f>AND(Sheet1!#REF!,"AAAAAH/v+/o=")</f>
        <v>#REF!</v>
      </c>
      <c r="IR47">
        <f>IF(Sheet1!634:634,"AAAAAH/v+/s=",0)</f>
        <v>0</v>
      </c>
      <c r="IS47" t="e">
        <f>AND(Sheet1!A634,"AAAAAH/v+/w=")</f>
        <v>#VALUE!</v>
      </c>
      <c r="IT47" t="e">
        <f>AND(Sheet1!B634,"AAAAAH/v+/0=")</f>
        <v>#VALUE!</v>
      </c>
      <c r="IU47" t="e">
        <f>AND(Sheet1!C634,"AAAAAH/v+/4=")</f>
        <v>#VALUE!</v>
      </c>
      <c r="IV47" t="e">
        <f>AND(Sheet1!D634,"AAAAAH/v+/8=")</f>
        <v>#VALUE!</v>
      </c>
    </row>
    <row r="48" spans="1:256" x14ac:dyDescent="0.2">
      <c r="A48" t="e">
        <f>AND(Sheet1!E634,"AAAAAHM+twA=")</f>
        <v>#VALUE!</v>
      </c>
      <c r="B48" t="e">
        <f>AND(Sheet1!F634,"AAAAAHM+twE=")</f>
        <v>#VALUE!</v>
      </c>
      <c r="C48" t="e">
        <f>AND(Sheet1!G634,"AAAAAHM+twI=")</f>
        <v>#VALUE!</v>
      </c>
      <c r="D48" t="e">
        <f>AND(Sheet1!H634,"AAAAAHM+twM=")</f>
        <v>#VALUE!</v>
      </c>
      <c r="E48" t="e">
        <f>AND(Sheet1!I634,"AAAAAHM+twQ=")</f>
        <v>#VALUE!</v>
      </c>
      <c r="F48" t="e">
        <f>AND(Sheet1!J634,"AAAAAHM+twU=")</f>
        <v>#VALUE!</v>
      </c>
      <c r="G48" t="e">
        <f>AND(Sheet1!K634,"AAAAAHM+twY=")</f>
        <v>#VALUE!</v>
      </c>
      <c r="H48" t="e">
        <f>AND(Sheet1!L634,"AAAAAHM+twc=")</f>
        <v>#VALUE!</v>
      </c>
      <c r="I48" t="e">
        <f>AND(Sheet1!M634,"AAAAAHM+twg=")</f>
        <v>#VALUE!</v>
      </c>
      <c r="J48" t="e">
        <f>AND(Sheet1!N634,"AAAAAHM+twk=")</f>
        <v>#VALUE!</v>
      </c>
      <c r="K48" t="e">
        <f>AND(Sheet1!#REF!,"AAAAAHM+two=")</f>
        <v>#REF!</v>
      </c>
      <c r="L48" t="e">
        <f>AND(Sheet1!#REF!,"AAAAAHM+tws=")</f>
        <v>#REF!</v>
      </c>
      <c r="M48" t="e">
        <f>AND(Sheet1!#REF!,"AAAAAHM+tww=")</f>
        <v>#REF!</v>
      </c>
      <c r="N48" t="e">
        <f>AND(Sheet1!#REF!,"AAAAAHM+tw0=")</f>
        <v>#REF!</v>
      </c>
      <c r="O48">
        <f>IF(Sheet1!635:635,"AAAAAHM+tw4=",0)</f>
        <v>0</v>
      </c>
      <c r="P48" t="e">
        <f>AND(Sheet1!A635,"AAAAAHM+tw8=")</f>
        <v>#VALUE!</v>
      </c>
      <c r="Q48" t="e">
        <f>AND(Sheet1!B635,"AAAAAHM+txA=")</f>
        <v>#VALUE!</v>
      </c>
      <c r="R48" t="e">
        <f>AND(Sheet1!C635,"AAAAAHM+txE=")</f>
        <v>#VALUE!</v>
      </c>
      <c r="S48" t="e">
        <f>AND(Sheet1!D635,"AAAAAHM+txI=")</f>
        <v>#VALUE!</v>
      </c>
      <c r="T48" t="e">
        <f>AND(Sheet1!E635,"AAAAAHM+txM=")</f>
        <v>#VALUE!</v>
      </c>
      <c r="U48" t="e">
        <f>AND(Sheet1!F635,"AAAAAHM+txQ=")</f>
        <v>#VALUE!</v>
      </c>
      <c r="V48" t="e">
        <f>AND(Sheet1!G635,"AAAAAHM+txU=")</f>
        <v>#VALUE!</v>
      </c>
      <c r="W48" t="e">
        <f>AND(Sheet1!H635,"AAAAAHM+txY=")</f>
        <v>#VALUE!</v>
      </c>
      <c r="X48" t="e">
        <f>AND(Sheet1!I635,"AAAAAHM+txc=")</f>
        <v>#VALUE!</v>
      </c>
      <c r="Y48" t="e">
        <f>AND(Sheet1!J635,"AAAAAHM+txg=")</f>
        <v>#VALUE!</v>
      </c>
      <c r="Z48" t="e">
        <f>AND(Sheet1!K635,"AAAAAHM+txk=")</f>
        <v>#VALUE!</v>
      </c>
      <c r="AA48" t="e">
        <f>AND(Sheet1!L635,"AAAAAHM+txo=")</f>
        <v>#VALUE!</v>
      </c>
      <c r="AB48" t="e">
        <f>AND(Sheet1!M635,"AAAAAHM+txs=")</f>
        <v>#VALUE!</v>
      </c>
      <c r="AC48" t="e">
        <f>AND(Sheet1!N635,"AAAAAHM+txw=")</f>
        <v>#VALUE!</v>
      </c>
      <c r="AD48" t="e">
        <f>AND(Sheet1!#REF!,"AAAAAHM+tx0=")</f>
        <v>#REF!</v>
      </c>
      <c r="AE48" t="e">
        <f>AND(Sheet1!#REF!,"AAAAAHM+tx4=")</f>
        <v>#REF!</v>
      </c>
      <c r="AF48" t="e">
        <f>AND(Sheet1!#REF!,"AAAAAHM+tx8=")</f>
        <v>#REF!</v>
      </c>
      <c r="AG48" t="e">
        <f>AND(Sheet1!#REF!,"AAAAAHM+tyA=")</f>
        <v>#REF!</v>
      </c>
      <c r="AH48">
        <f>IF(Sheet1!636:636,"AAAAAHM+tyE=",0)</f>
        <v>0</v>
      </c>
      <c r="AI48" t="e">
        <f>AND(Sheet1!A636,"AAAAAHM+tyI=")</f>
        <v>#VALUE!</v>
      </c>
      <c r="AJ48" t="e">
        <f>AND(Sheet1!B636,"AAAAAHM+tyM=")</f>
        <v>#VALUE!</v>
      </c>
      <c r="AK48" t="e">
        <f>AND(Sheet1!C636,"AAAAAHM+tyQ=")</f>
        <v>#VALUE!</v>
      </c>
      <c r="AL48" t="e">
        <f>AND(Sheet1!D636,"AAAAAHM+tyU=")</f>
        <v>#VALUE!</v>
      </c>
      <c r="AM48" t="e">
        <f>AND(Sheet1!E636,"AAAAAHM+tyY=")</f>
        <v>#VALUE!</v>
      </c>
      <c r="AN48" t="e">
        <f>AND(Sheet1!F636,"AAAAAHM+tyc=")</f>
        <v>#VALUE!</v>
      </c>
      <c r="AO48" t="e">
        <f>AND(Sheet1!G636,"AAAAAHM+tyg=")</f>
        <v>#VALUE!</v>
      </c>
      <c r="AP48" t="e">
        <f>AND(Sheet1!H636,"AAAAAHM+tyk=")</f>
        <v>#VALUE!</v>
      </c>
      <c r="AQ48" t="e">
        <f>AND(Sheet1!I636,"AAAAAHM+tyo=")</f>
        <v>#VALUE!</v>
      </c>
      <c r="AR48" t="e">
        <f>AND(Sheet1!J636,"AAAAAHM+tys=")</f>
        <v>#VALUE!</v>
      </c>
      <c r="AS48" t="e">
        <f>AND(Sheet1!K636,"AAAAAHM+tyw=")</f>
        <v>#VALUE!</v>
      </c>
      <c r="AT48" t="e">
        <f>AND(Sheet1!L636,"AAAAAHM+ty0=")</f>
        <v>#VALUE!</v>
      </c>
      <c r="AU48" t="e">
        <f>AND(Sheet1!M636,"AAAAAHM+ty4=")</f>
        <v>#VALUE!</v>
      </c>
      <c r="AV48" t="e">
        <f>AND(Sheet1!N636,"AAAAAHM+ty8=")</f>
        <v>#VALUE!</v>
      </c>
      <c r="AW48" t="e">
        <f>AND(Sheet1!#REF!,"AAAAAHM+tzA=")</f>
        <v>#REF!</v>
      </c>
      <c r="AX48" t="e">
        <f>AND(Sheet1!#REF!,"AAAAAHM+tzE=")</f>
        <v>#REF!</v>
      </c>
      <c r="AY48" t="e">
        <f>AND(Sheet1!#REF!,"AAAAAHM+tzI=")</f>
        <v>#REF!</v>
      </c>
      <c r="AZ48" t="e">
        <f>AND(Sheet1!#REF!,"AAAAAHM+tzM=")</f>
        <v>#REF!</v>
      </c>
      <c r="BA48">
        <f>IF(Sheet1!637:637,"AAAAAHM+tzQ=",0)</f>
        <v>0</v>
      </c>
      <c r="BB48" t="e">
        <f>AND(Sheet1!A637,"AAAAAHM+tzU=")</f>
        <v>#VALUE!</v>
      </c>
      <c r="BC48" t="e">
        <f>AND(Sheet1!B637,"AAAAAHM+tzY=")</f>
        <v>#VALUE!</v>
      </c>
      <c r="BD48" t="e">
        <f>AND(Sheet1!C637,"AAAAAHM+tzc=")</f>
        <v>#VALUE!</v>
      </c>
      <c r="BE48" t="e">
        <f>AND(Sheet1!D637,"AAAAAHM+tzg=")</f>
        <v>#VALUE!</v>
      </c>
      <c r="BF48" t="e">
        <f>AND(Sheet1!E637,"AAAAAHM+tzk=")</f>
        <v>#VALUE!</v>
      </c>
      <c r="BG48" t="e">
        <f>AND(Sheet1!F637,"AAAAAHM+tzo=")</f>
        <v>#VALUE!</v>
      </c>
      <c r="BH48" t="e">
        <f>AND(Sheet1!G637,"AAAAAHM+tzs=")</f>
        <v>#VALUE!</v>
      </c>
      <c r="BI48" t="e">
        <f>AND(Sheet1!H637,"AAAAAHM+tzw=")</f>
        <v>#VALUE!</v>
      </c>
      <c r="BJ48" t="e">
        <f>AND(Sheet1!I637,"AAAAAHM+tz0=")</f>
        <v>#VALUE!</v>
      </c>
      <c r="BK48" t="e">
        <f>AND(Sheet1!J637,"AAAAAHM+tz4=")</f>
        <v>#VALUE!</v>
      </c>
      <c r="BL48" t="e">
        <f>AND(Sheet1!K637,"AAAAAHM+tz8=")</f>
        <v>#VALUE!</v>
      </c>
      <c r="BM48" t="e">
        <f>AND(Sheet1!L637,"AAAAAHM+t0A=")</f>
        <v>#VALUE!</v>
      </c>
      <c r="BN48" t="e">
        <f>AND(Sheet1!M637,"AAAAAHM+t0E=")</f>
        <v>#VALUE!</v>
      </c>
      <c r="BO48" t="e">
        <f>AND(Sheet1!N637,"AAAAAHM+t0I=")</f>
        <v>#VALUE!</v>
      </c>
      <c r="BP48" t="e">
        <f>AND(Sheet1!#REF!,"AAAAAHM+t0M=")</f>
        <v>#REF!</v>
      </c>
      <c r="BQ48" t="e">
        <f>AND(Sheet1!#REF!,"AAAAAHM+t0Q=")</f>
        <v>#REF!</v>
      </c>
      <c r="BR48" t="e">
        <f>AND(Sheet1!#REF!,"AAAAAHM+t0U=")</f>
        <v>#REF!</v>
      </c>
      <c r="BS48" t="e">
        <f>AND(Sheet1!#REF!,"AAAAAHM+t0Y=")</f>
        <v>#REF!</v>
      </c>
      <c r="BT48">
        <f>IF(Sheet1!638:638,"AAAAAHM+t0c=",0)</f>
        <v>0</v>
      </c>
      <c r="BU48" t="e">
        <f>AND(Sheet1!A638,"AAAAAHM+t0g=")</f>
        <v>#VALUE!</v>
      </c>
      <c r="BV48" t="e">
        <f>AND(Sheet1!B638,"AAAAAHM+t0k=")</f>
        <v>#VALUE!</v>
      </c>
      <c r="BW48" t="e">
        <f>AND(Sheet1!C638,"AAAAAHM+t0o=")</f>
        <v>#VALUE!</v>
      </c>
      <c r="BX48" t="e">
        <f>AND(Sheet1!D638,"AAAAAHM+t0s=")</f>
        <v>#VALUE!</v>
      </c>
      <c r="BY48" t="e">
        <f>AND(Sheet1!E638,"AAAAAHM+t0w=")</f>
        <v>#VALUE!</v>
      </c>
      <c r="BZ48" t="e">
        <f>AND(Sheet1!F638,"AAAAAHM+t00=")</f>
        <v>#VALUE!</v>
      </c>
      <c r="CA48" t="e">
        <f>AND(Sheet1!G638,"AAAAAHM+t04=")</f>
        <v>#VALUE!</v>
      </c>
      <c r="CB48" t="e">
        <f>AND(Sheet1!H638,"AAAAAHM+t08=")</f>
        <v>#VALUE!</v>
      </c>
      <c r="CC48" t="e">
        <f>AND(Sheet1!I638,"AAAAAHM+t1A=")</f>
        <v>#VALUE!</v>
      </c>
      <c r="CD48" t="e">
        <f>AND(Sheet1!J638,"AAAAAHM+t1E=")</f>
        <v>#VALUE!</v>
      </c>
      <c r="CE48" t="e">
        <f>AND(Sheet1!K638,"AAAAAHM+t1I=")</f>
        <v>#VALUE!</v>
      </c>
      <c r="CF48" t="e">
        <f>AND(Sheet1!L638,"AAAAAHM+t1M=")</f>
        <v>#VALUE!</v>
      </c>
      <c r="CG48" t="e">
        <f>AND(Sheet1!M638,"AAAAAHM+t1Q=")</f>
        <v>#VALUE!</v>
      </c>
      <c r="CH48" t="e">
        <f>AND(Sheet1!N638,"AAAAAHM+t1U=")</f>
        <v>#VALUE!</v>
      </c>
      <c r="CI48" t="e">
        <f>AND(Sheet1!#REF!,"AAAAAHM+t1Y=")</f>
        <v>#REF!</v>
      </c>
      <c r="CJ48" t="e">
        <f>AND(Sheet1!#REF!,"AAAAAHM+t1c=")</f>
        <v>#REF!</v>
      </c>
      <c r="CK48" t="e">
        <f>AND(Sheet1!#REF!,"AAAAAHM+t1g=")</f>
        <v>#REF!</v>
      </c>
      <c r="CL48" t="e">
        <f>AND(Sheet1!#REF!,"AAAAAHM+t1k=")</f>
        <v>#REF!</v>
      </c>
      <c r="CM48">
        <f>IF(Sheet1!639:639,"AAAAAHM+t1o=",0)</f>
        <v>0</v>
      </c>
      <c r="CN48" t="e">
        <f>AND(Sheet1!A639,"AAAAAHM+t1s=")</f>
        <v>#VALUE!</v>
      </c>
      <c r="CO48" t="e">
        <f>AND(Sheet1!B639,"AAAAAHM+t1w=")</f>
        <v>#VALUE!</v>
      </c>
      <c r="CP48" t="e">
        <f>AND(Sheet1!C639,"AAAAAHM+t10=")</f>
        <v>#VALUE!</v>
      </c>
      <c r="CQ48" t="e">
        <f>AND(Sheet1!D639,"AAAAAHM+t14=")</f>
        <v>#VALUE!</v>
      </c>
      <c r="CR48" t="e">
        <f>AND(Sheet1!E639,"AAAAAHM+t18=")</f>
        <v>#VALUE!</v>
      </c>
      <c r="CS48" t="e">
        <f>AND(Sheet1!F639,"AAAAAHM+t2A=")</f>
        <v>#VALUE!</v>
      </c>
      <c r="CT48" t="e">
        <f>AND(Sheet1!G639,"AAAAAHM+t2E=")</f>
        <v>#VALUE!</v>
      </c>
      <c r="CU48" t="e">
        <f>AND(Sheet1!H639,"AAAAAHM+t2I=")</f>
        <v>#VALUE!</v>
      </c>
      <c r="CV48" t="e">
        <f>AND(Sheet1!I639,"AAAAAHM+t2M=")</f>
        <v>#VALUE!</v>
      </c>
      <c r="CW48" t="e">
        <f>AND(Sheet1!J639,"AAAAAHM+t2Q=")</f>
        <v>#VALUE!</v>
      </c>
      <c r="CX48" t="e">
        <f>AND(Sheet1!K639,"AAAAAHM+t2U=")</f>
        <v>#VALUE!</v>
      </c>
      <c r="CY48" t="e">
        <f>AND(Sheet1!L639,"AAAAAHM+t2Y=")</f>
        <v>#VALUE!</v>
      </c>
      <c r="CZ48" t="e">
        <f>AND(Sheet1!M639,"AAAAAHM+t2c=")</f>
        <v>#VALUE!</v>
      </c>
      <c r="DA48" t="e">
        <f>AND(Sheet1!N639,"AAAAAHM+t2g=")</f>
        <v>#VALUE!</v>
      </c>
      <c r="DB48" t="e">
        <f>AND(Sheet1!#REF!,"AAAAAHM+t2k=")</f>
        <v>#REF!</v>
      </c>
      <c r="DC48" t="e">
        <f>AND(Sheet1!#REF!,"AAAAAHM+t2o=")</f>
        <v>#REF!</v>
      </c>
      <c r="DD48" t="e">
        <f>AND(Sheet1!#REF!,"AAAAAHM+t2s=")</f>
        <v>#REF!</v>
      </c>
      <c r="DE48" t="e">
        <f>AND(Sheet1!#REF!,"AAAAAHM+t2w=")</f>
        <v>#REF!</v>
      </c>
      <c r="DF48">
        <f>IF(Sheet1!640:640,"AAAAAHM+t20=",0)</f>
        <v>0</v>
      </c>
      <c r="DG48" t="e">
        <f>AND(Sheet1!A640,"AAAAAHM+t24=")</f>
        <v>#VALUE!</v>
      </c>
      <c r="DH48" t="e">
        <f>AND(Sheet1!B640,"AAAAAHM+t28=")</f>
        <v>#VALUE!</v>
      </c>
      <c r="DI48" t="e">
        <f>AND(Sheet1!C640,"AAAAAHM+t3A=")</f>
        <v>#VALUE!</v>
      </c>
      <c r="DJ48" t="e">
        <f>AND(Sheet1!D640,"AAAAAHM+t3E=")</f>
        <v>#VALUE!</v>
      </c>
      <c r="DK48" t="e">
        <f>AND(Sheet1!E640,"AAAAAHM+t3I=")</f>
        <v>#VALUE!</v>
      </c>
      <c r="DL48" t="e">
        <f>AND(Sheet1!F640,"AAAAAHM+t3M=")</f>
        <v>#VALUE!</v>
      </c>
      <c r="DM48" t="e">
        <f>AND(Sheet1!G640,"AAAAAHM+t3Q=")</f>
        <v>#VALUE!</v>
      </c>
      <c r="DN48" t="e">
        <f>AND(Sheet1!H640,"AAAAAHM+t3U=")</f>
        <v>#VALUE!</v>
      </c>
      <c r="DO48" t="e">
        <f>AND(Sheet1!I640,"AAAAAHM+t3Y=")</f>
        <v>#VALUE!</v>
      </c>
      <c r="DP48" t="e">
        <f>AND(Sheet1!J640,"AAAAAHM+t3c=")</f>
        <v>#VALUE!</v>
      </c>
      <c r="DQ48" t="e">
        <f>AND(Sheet1!K640,"AAAAAHM+t3g=")</f>
        <v>#VALUE!</v>
      </c>
      <c r="DR48" t="e">
        <f>AND(Sheet1!L640,"AAAAAHM+t3k=")</f>
        <v>#VALUE!</v>
      </c>
      <c r="DS48" t="e">
        <f>AND(Sheet1!M640,"AAAAAHM+t3o=")</f>
        <v>#VALUE!</v>
      </c>
      <c r="DT48" t="e">
        <f>AND(Sheet1!N640,"AAAAAHM+t3s=")</f>
        <v>#VALUE!</v>
      </c>
      <c r="DU48" t="e">
        <f>AND(Sheet1!#REF!,"AAAAAHM+t3w=")</f>
        <v>#REF!</v>
      </c>
      <c r="DV48" t="e">
        <f>AND(Sheet1!#REF!,"AAAAAHM+t30=")</f>
        <v>#REF!</v>
      </c>
      <c r="DW48" t="e">
        <f>AND(Sheet1!#REF!,"AAAAAHM+t34=")</f>
        <v>#REF!</v>
      </c>
      <c r="DX48" t="e">
        <f>AND(Sheet1!#REF!,"AAAAAHM+t38=")</f>
        <v>#REF!</v>
      </c>
      <c r="DY48">
        <f>IF(Sheet1!641:641,"AAAAAHM+t4A=",0)</f>
        <v>0</v>
      </c>
      <c r="DZ48" t="e">
        <f>AND(Sheet1!A641,"AAAAAHM+t4E=")</f>
        <v>#VALUE!</v>
      </c>
      <c r="EA48" t="e">
        <f>AND(Sheet1!B641,"AAAAAHM+t4I=")</f>
        <v>#VALUE!</v>
      </c>
      <c r="EB48" t="e">
        <f>AND(Sheet1!C641,"AAAAAHM+t4M=")</f>
        <v>#VALUE!</v>
      </c>
      <c r="EC48" t="e">
        <f>AND(Sheet1!D641,"AAAAAHM+t4Q=")</f>
        <v>#VALUE!</v>
      </c>
      <c r="ED48" t="e">
        <f>AND(Sheet1!E641,"AAAAAHM+t4U=")</f>
        <v>#VALUE!</v>
      </c>
      <c r="EE48" t="e">
        <f>AND(Sheet1!F641,"AAAAAHM+t4Y=")</f>
        <v>#VALUE!</v>
      </c>
      <c r="EF48" t="e">
        <f>AND(Sheet1!G641,"AAAAAHM+t4c=")</f>
        <v>#VALUE!</v>
      </c>
      <c r="EG48" t="e">
        <f>AND(Sheet1!H641,"AAAAAHM+t4g=")</f>
        <v>#VALUE!</v>
      </c>
      <c r="EH48" t="e">
        <f>AND(Sheet1!I641,"AAAAAHM+t4k=")</f>
        <v>#VALUE!</v>
      </c>
      <c r="EI48" t="e">
        <f>AND(Sheet1!J641,"AAAAAHM+t4o=")</f>
        <v>#VALUE!</v>
      </c>
      <c r="EJ48" t="e">
        <f>AND(Sheet1!K641,"AAAAAHM+t4s=")</f>
        <v>#VALUE!</v>
      </c>
      <c r="EK48" t="e">
        <f>AND(Sheet1!L641,"AAAAAHM+t4w=")</f>
        <v>#VALUE!</v>
      </c>
      <c r="EL48" t="e">
        <f>AND(Sheet1!M641,"AAAAAHM+t40=")</f>
        <v>#VALUE!</v>
      </c>
      <c r="EM48" t="e">
        <f>AND(Sheet1!N641,"AAAAAHM+t44=")</f>
        <v>#VALUE!</v>
      </c>
      <c r="EN48" t="e">
        <f>AND(Sheet1!#REF!,"AAAAAHM+t48=")</f>
        <v>#REF!</v>
      </c>
      <c r="EO48" t="e">
        <f>AND(Sheet1!#REF!,"AAAAAHM+t5A=")</f>
        <v>#REF!</v>
      </c>
      <c r="EP48" t="e">
        <f>AND(Sheet1!#REF!,"AAAAAHM+t5E=")</f>
        <v>#REF!</v>
      </c>
      <c r="EQ48" t="e">
        <f>AND(Sheet1!#REF!,"AAAAAHM+t5I=")</f>
        <v>#REF!</v>
      </c>
      <c r="ER48">
        <f>IF(Sheet1!642:642,"AAAAAHM+t5M=",0)</f>
        <v>0</v>
      </c>
      <c r="ES48" t="e">
        <f>AND(Sheet1!A642,"AAAAAHM+t5Q=")</f>
        <v>#VALUE!</v>
      </c>
      <c r="ET48" t="e">
        <f>AND(Sheet1!B642,"AAAAAHM+t5U=")</f>
        <v>#VALUE!</v>
      </c>
      <c r="EU48" t="e">
        <f>AND(Sheet1!C642,"AAAAAHM+t5Y=")</f>
        <v>#VALUE!</v>
      </c>
      <c r="EV48" t="e">
        <f>AND(Sheet1!D642,"AAAAAHM+t5c=")</f>
        <v>#VALUE!</v>
      </c>
      <c r="EW48" t="e">
        <f>AND(Sheet1!E642,"AAAAAHM+t5g=")</f>
        <v>#VALUE!</v>
      </c>
      <c r="EX48" t="e">
        <f>AND(Sheet1!F642,"AAAAAHM+t5k=")</f>
        <v>#VALUE!</v>
      </c>
      <c r="EY48" t="e">
        <f>AND(Sheet1!G642,"AAAAAHM+t5o=")</f>
        <v>#VALUE!</v>
      </c>
      <c r="EZ48" t="e">
        <f>AND(Sheet1!H642,"AAAAAHM+t5s=")</f>
        <v>#VALUE!</v>
      </c>
      <c r="FA48" t="e">
        <f>AND(Sheet1!I642,"AAAAAHM+t5w=")</f>
        <v>#VALUE!</v>
      </c>
      <c r="FB48" t="e">
        <f>AND(Sheet1!J642,"AAAAAHM+t50=")</f>
        <v>#VALUE!</v>
      </c>
      <c r="FC48" t="e">
        <f>AND(Sheet1!K642,"AAAAAHM+t54=")</f>
        <v>#VALUE!</v>
      </c>
      <c r="FD48" t="e">
        <f>AND(Sheet1!L642,"AAAAAHM+t58=")</f>
        <v>#VALUE!</v>
      </c>
      <c r="FE48" t="e">
        <f>AND(Sheet1!M642,"AAAAAHM+t6A=")</f>
        <v>#VALUE!</v>
      </c>
      <c r="FF48" t="e">
        <f>AND(Sheet1!N642,"AAAAAHM+t6E=")</f>
        <v>#VALUE!</v>
      </c>
      <c r="FG48" t="e">
        <f>AND(Sheet1!#REF!,"AAAAAHM+t6I=")</f>
        <v>#REF!</v>
      </c>
      <c r="FH48" t="e">
        <f>AND(Sheet1!#REF!,"AAAAAHM+t6M=")</f>
        <v>#REF!</v>
      </c>
      <c r="FI48" t="e">
        <f>AND(Sheet1!#REF!,"AAAAAHM+t6Q=")</f>
        <v>#REF!</v>
      </c>
      <c r="FJ48" t="e">
        <f>AND(Sheet1!#REF!,"AAAAAHM+t6U=")</f>
        <v>#REF!</v>
      </c>
      <c r="FK48">
        <f>IF(Sheet1!643:643,"AAAAAHM+t6Y=",0)</f>
        <v>0</v>
      </c>
      <c r="FL48" t="e">
        <f>AND(Sheet1!A643,"AAAAAHM+t6c=")</f>
        <v>#VALUE!</v>
      </c>
      <c r="FM48" t="e">
        <f>AND(Sheet1!B643,"AAAAAHM+t6g=")</f>
        <v>#VALUE!</v>
      </c>
      <c r="FN48" t="e">
        <f>AND(Sheet1!C643,"AAAAAHM+t6k=")</f>
        <v>#VALUE!</v>
      </c>
      <c r="FO48" t="e">
        <f>AND(Sheet1!D643,"AAAAAHM+t6o=")</f>
        <v>#VALUE!</v>
      </c>
      <c r="FP48" t="e">
        <f>AND(Sheet1!E643,"AAAAAHM+t6s=")</f>
        <v>#VALUE!</v>
      </c>
      <c r="FQ48" t="e">
        <f>AND(Sheet1!F643,"AAAAAHM+t6w=")</f>
        <v>#VALUE!</v>
      </c>
      <c r="FR48" t="e">
        <f>AND(Sheet1!G643,"AAAAAHM+t60=")</f>
        <v>#VALUE!</v>
      </c>
      <c r="FS48" t="e">
        <f>AND(Sheet1!H643,"AAAAAHM+t64=")</f>
        <v>#VALUE!</v>
      </c>
      <c r="FT48" t="e">
        <f>AND(Sheet1!I643,"AAAAAHM+t68=")</f>
        <v>#VALUE!</v>
      </c>
      <c r="FU48" t="e">
        <f>AND(Sheet1!J643,"AAAAAHM+t7A=")</f>
        <v>#VALUE!</v>
      </c>
      <c r="FV48" t="e">
        <f>AND(Sheet1!K643,"AAAAAHM+t7E=")</f>
        <v>#VALUE!</v>
      </c>
      <c r="FW48" t="e">
        <f>AND(Sheet1!L643,"AAAAAHM+t7I=")</f>
        <v>#VALUE!</v>
      </c>
      <c r="FX48" t="e">
        <f>AND(Sheet1!M643,"AAAAAHM+t7M=")</f>
        <v>#VALUE!</v>
      </c>
      <c r="FY48" t="e">
        <f>AND(Sheet1!N643,"AAAAAHM+t7Q=")</f>
        <v>#VALUE!</v>
      </c>
      <c r="FZ48" t="e">
        <f>AND(Sheet1!#REF!,"AAAAAHM+t7U=")</f>
        <v>#REF!</v>
      </c>
      <c r="GA48" t="e">
        <f>AND(Sheet1!#REF!,"AAAAAHM+t7Y=")</f>
        <v>#REF!</v>
      </c>
      <c r="GB48" t="e">
        <f>AND(Sheet1!#REF!,"AAAAAHM+t7c=")</f>
        <v>#REF!</v>
      </c>
      <c r="GC48" t="e">
        <f>AND(Sheet1!#REF!,"AAAAAHM+t7g=")</f>
        <v>#REF!</v>
      </c>
      <c r="GD48">
        <f>IF(Sheet1!644:644,"AAAAAHM+t7k=",0)</f>
        <v>0</v>
      </c>
      <c r="GE48" t="e">
        <f>AND(Sheet1!A644,"AAAAAHM+t7o=")</f>
        <v>#VALUE!</v>
      </c>
      <c r="GF48" t="e">
        <f>AND(Sheet1!B644,"AAAAAHM+t7s=")</f>
        <v>#VALUE!</v>
      </c>
      <c r="GG48" t="e">
        <f>AND(Sheet1!C644,"AAAAAHM+t7w=")</f>
        <v>#VALUE!</v>
      </c>
      <c r="GH48" t="e">
        <f>AND(Sheet1!D644,"AAAAAHM+t70=")</f>
        <v>#VALUE!</v>
      </c>
      <c r="GI48" t="e">
        <f>AND(Sheet1!E644,"AAAAAHM+t74=")</f>
        <v>#VALUE!</v>
      </c>
      <c r="GJ48" t="e">
        <f>AND(Sheet1!F644,"AAAAAHM+t78=")</f>
        <v>#VALUE!</v>
      </c>
      <c r="GK48" t="e">
        <f>AND(Sheet1!G644,"AAAAAHM+t8A=")</f>
        <v>#VALUE!</v>
      </c>
      <c r="GL48" t="e">
        <f>AND(Sheet1!H644,"AAAAAHM+t8E=")</f>
        <v>#VALUE!</v>
      </c>
      <c r="GM48" t="e">
        <f>AND(Sheet1!I644,"AAAAAHM+t8I=")</f>
        <v>#VALUE!</v>
      </c>
      <c r="GN48" t="e">
        <f>AND(Sheet1!J644,"AAAAAHM+t8M=")</f>
        <v>#VALUE!</v>
      </c>
      <c r="GO48" t="e">
        <f>AND(Sheet1!K644,"AAAAAHM+t8Q=")</f>
        <v>#VALUE!</v>
      </c>
      <c r="GP48" t="e">
        <f>AND(Sheet1!L644,"AAAAAHM+t8U=")</f>
        <v>#VALUE!</v>
      </c>
      <c r="GQ48" t="e">
        <f>AND(Sheet1!M644,"AAAAAHM+t8Y=")</f>
        <v>#VALUE!</v>
      </c>
      <c r="GR48" t="e">
        <f>AND(Sheet1!N644,"AAAAAHM+t8c=")</f>
        <v>#VALUE!</v>
      </c>
      <c r="GS48" t="e">
        <f>AND(Sheet1!#REF!,"AAAAAHM+t8g=")</f>
        <v>#REF!</v>
      </c>
      <c r="GT48" t="e">
        <f>AND(Sheet1!#REF!,"AAAAAHM+t8k=")</f>
        <v>#REF!</v>
      </c>
      <c r="GU48" t="e">
        <f>AND(Sheet1!#REF!,"AAAAAHM+t8o=")</f>
        <v>#REF!</v>
      </c>
      <c r="GV48" t="e">
        <f>AND(Sheet1!#REF!,"AAAAAHM+t8s=")</f>
        <v>#REF!</v>
      </c>
      <c r="GW48">
        <f>IF(Sheet1!645:645,"AAAAAHM+t8w=",0)</f>
        <v>0</v>
      </c>
      <c r="GX48" t="e">
        <f>AND(Sheet1!A645,"AAAAAHM+t80=")</f>
        <v>#VALUE!</v>
      </c>
      <c r="GY48" t="e">
        <f>AND(Sheet1!B645,"AAAAAHM+t84=")</f>
        <v>#VALUE!</v>
      </c>
      <c r="GZ48" t="e">
        <f>AND(Sheet1!C645,"AAAAAHM+t88=")</f>
        <v>#VALUE!</v>
      </c>
      <c r="HA48" t="e">
        <f>AND(Sheet1!D645,"AAAAAHM+t9A=")</f>
        <v>#VALUE!</v>
      </c>
      <c r="HB48" t="e">
        <f>AND(Sheet1!E645,"AAAAAHM+t9E=")</f>
        <v>#VALUE!</v>
      </c>
      <c r="HC48" t="e">
        <f>AND(Sheet1!F645,"AAAAAHM+t9I=")</f>
        <v>#VALUE!</v>
      </c>
      <c r="HD48" t="e">
        <f>AND(Sheet1!G645,"AAAAAHM+t9M=")</f>
        <v>#VALUE!</v>
      </c>
      <c r="HE48" t="e">
        <f>AND(Sheet1!H645,"AAAAAHM+t9Q=")</f>
        <v>#VALUE!</v>
      </c>
      <c r="HF48" t="e">
        <f>AND(Sheet1!I645,"AAAAAHM+t9U=")</f>
        <v>#VALUE!</v>
      </c>
      <c r="HG48" t="e">
        <f>AND(Sheet1!J645,"AAAAAHM+t9Y=")</f>
        <v>#VALUE!</v>
      </c>
      <c r="HH48" t="e">
        <f>AND(Sheet1!K645,"AAAAAHM+t9c=")</f>
        <v>#VALUE!</v>
      </c>
      <c r="HI48" t="e">
        <f>AND(Sheet1!L645,"AAAAAHM+t9g=")</f>
        <v>#VALUE!</v>
      </c>
      <c r="HJ48" t="e">
        <f>AND(Sheet1!M645,"AAAAAHM+t9k=")</f>
        <v>#VALUE!</v>
      </c>
      <c r="HK48" t="e">
        <f>AND(Sheet1!N645,"AAAAAHM+t9o=")</f>
        <v>#VALUE!</v>
      </c>
      <c r="HL48" t="e">
        <f>AND(Sheet1!#REF!,"AAAAAHM+t9s=")</f>
        <v>#REF!</v>
      </c>
      <c r="HM48" t="e">
        <f>AND(Sheet1!#REF!,"AAAAAHM+t9w=")</f>
        <v>#REF!</v>
      </c>
      <c r="HN48" t="e">
        <f>AND(Sheet1!#REF!,"AAAAAHM+t90=")</f>
        <v>#REF!</v>
      </c>
      <c r="HO48" t="e">
        <f>AND(Sheet1!#REF!,"AAAAAHM+t94=")</f>
        <v>#REF!</v>
      </c>
      <c r="HP48">
        <f>IF(Sheet1!646:646,"AAAAAHM+t98=",0)</f>
        <v>0</v>
      </c>
      <c r="HQ48" t="e">
        <f>AND(Sheet1!A646,"AAAAAHM+t+A=")</f>
        <v>#VALUE!</v>
      </c>
      <c r="HR48" t="e">
        <f>AND(Sheet1!B646,"AAAAAHM+t+E=")</f>
        <v>#VALUE!</v>
      </c>
      <c r="HS48" t="e">
        <f>AND(Sheet1!C646,"AAAAAHM+t+I=")</f>
        <v>#VALUE!</v>
      </c>
      <c r="HT48" t="e">
        <f>AND(Sheet1!D646,"AAAAAHM+t+M=")</f>
        <v>#VALUE!</v>
      </c>
      <c r="HU48" t="e">
        <f>AND(Sheet1!E646,"AAAAAHM+t+Q=")</f>
        <v>#VALUE!</v>
      </c>
      <c r="HV48" t="e">
        <f>AND(Sheet1!F646,"AAAAAHM+t+U=")</f>
        <v>#VALUE!</v>
      </c>
      <c r="HW48" t="e">
        <f>AND(Sheet1!G646,"AAAAAHM+t+Y=")</f>
        <v>#VALUE!</v>
      </c>
      <c r="HX48" t="e">
        <f>AND(Sheet1!H646,"AAAAAHM+t+c=")</f>
        <v>#VALUE!</v>
      </c>
      <c r="HY48" t="e">
        <f>AND(Sheet1!I646,"AAAAAHM+t+g=")</f>
        <v>#VALUE!</v>
      </c>
      <c r="HZ48" t="e">
        <f>AND(Sheet1!J646,"AAAAAHM+t+k=")</f>
        <v>#VALUE!</v>
      </c>
      <c r="IA48" t="e">
        <f>AND(Sheet1!K646,"AAAAAHM+t+o=")</f>
        <v>#VALUE!</v>
      </c>
      <c r="IB48" t="e">
        <f>AND(Sheet1!L646,"AAAAAHM+t+s=")</f>
        <v>#VALUE!</v>
      </c>
      <c r="IC48" t="e">
        <f>AND(Sheet1!M646,"AAAAAHM+t+w=")</f>
        <v>#VALUE!</v>
      </c>
      <c r="ID48" t="e">
        <f>AND(Sheet1!N646,"AAAAAHM+t+0=")</f>
        <v>#VALUE!</v>
      </c>
      <c r="IE48" t="e">
        <f>AND(Sheet1!#REF!,"AAAAAHM+t+4=")</f>
        <v>#REF!</v>
      </c>
      <c r="IF48" t="e">
        <f>AND(Sheet1!#REF!,"AAAAAHM+t+8=")</f>
        <v>#REF!</v>
      </c>
      <c r="IG48" t="e">
        <f>AND(Sheet1!#REF!,"AAAAAHM+t/A=")</f>
        <v>#REF!</v>
      </c>
      <c r="IH48" t="e">
        <f>AND(Sheet1!#REF!,"AAAAAHM+t/E=")</f>
        <v>#REF!</v>
      </c>
      <c r="II48">
        <f>IF(Sheet1!647:647,"AAAAAHM+t/I=",0)</f>
        <v>0</v>
      </c>
      <c r="IJ48" t="e">
        <f>AND(Sheet1!A647,"AAAAAHM+t/M=")</f>
        <v>#VALUE!</v>
      </c>
      <c r="IK48" t="e">
        <f>AND(Sheet1!B647,"AAAAAHM+t/Q=")</f>
        <v>#VALUE!</v>
      </c>
      <c r="IL48" t="e">
        <f>AND(Sheet1!C647,"AAAAAHM+t/U=")</f>
        <v>#VALUE!</v>
      </c>
      <c r="IM48" t="e">
        <f>AND(Sheet1!D647,"AAAAAHM+t/Y=")</f>
        <v>#VALUE!</v>
      </c>
      <c r="IN48" t="e">
        <f>AND(Sheet1!E647,"AAAAAHM+t/c=")</f>
        <v>#VALUE!</v>
      </c>
      <c r="IO48" t="e">
        <f>AND(Sheet1!F647,"AAAAAHM+t/g=")</f>
        <v>#VALUE!</v>
      </c>
      <c r="IP48" t="e">
        <f>AND(Sheet1!G647,"AAAAAHM+t/k=")</f>
        <v>#VALUE!</v>
      </c>
      <c r="IQ48" t="e">
        <f>AND(Sheet1!H647,"AAAAAHM+t/o=")</f>
        <v>#VALUE!</v>
      </c>
      <c r="IR48" t="e">
        <f>AND(Sheet1!I647,"AAAAAHM+t/s=")</f>
        <v>#VALUE!</v>
      </c>
      <c r="IS48" t="e">
        <f>AND(Sheet1!J647,"AAAAAHM+t/w=")</f>
        <v>#VALUE!</v>
      </c>
      <c r="IT48" t="e">
        <f>AND(Sheet1!K647,"AAAAAHM+t/0=")</f>
        <v>#VALUE!</v>
      </c>
      <c r="IU48" t="e">
        <f>AND(Sheet1!L647,"AAAAAHM+t/4=")</f>
        <v>#VALUE!</v>
      </c>
      <c r="IV48" t="e">
        <f>AND(Sheet1!M647,"AAAAAHM+t/8=")</f>
        <v>#VALUE!</v>
      </c>
    </row>
    <row r="49" spans="1:256" x14ac:dyDescent="0.2">
      <c r="A49" t="e">
        <f>AND(Sheet1!N647,"AAAAAHv/vwA=")</f>
        <v>#VALUE!</v>
      </c>
      <c r="B49" t="e">
        <f>AND(Sheet1!#REF!,"AAAAAHv/vwE=")</f>
        <v>#REF!</v>
      </c>
      <c r="C49" t="e">
        <f>AND(Sheet1!#REF!,"AAAAAHv/vwI=")</f>
        <v>#REF!</v>
      </c>
      <c r="D49" t="e">
        <f>AND(Sheet1!#REF!,"AAAAAHv/vwM=")</f>
        <v>#REF!</v>
      </c>
      <c r="E49" t="e">
        <f>AND(Sheet1!#REF!,"AAAAAHv/vwQ=")</f>
        <v>#REF!</v>
      </c>
      <c r="F49" t="e">
        <f>IF(Sheet1!648:648,"AAAAAHv/vwU=",0)</f>
        <v>#VALUE!</v>
      </c>
      <c r="G49" t="e">
        <f>AND(Sheet1!A648,"AAAAAHv/vwY=")</f>
        <v>#VALUE!</v>
      </c>
      <c r="H49" t="e">
        <f>AND(Sheet1!B648,"AAAAAHv/vwc=")</f>
        <v>#VALUE!</v>
      </c>
      <c r="I49" t="e">
        <f>AND(Sheet1!C648,"AAAAAHv/vwg=")</f>
        <v>#VALUE!</v>
      </c>
      <c r="J49" t="e">
        <f>AND(Sheet1!D648,"AAAAAHv/vwk=")</f>
        <v>#VALUE!</v>
      </c>
      <c r="K49" t="e">
        <f>AND(Sheet1!E648,"AAAAAHv/vwo=")</f>
        <v>#VALUE!</v>
      </c>
      <c r="L49" t="e">
        <f>AND(Sheet1!F648,"AAAAAHv/vws=")</f>
        <v>#VALUE!</v>
      </c>
      <c r="M49" t="e">
        <f>AND(Sheet1!G648,"AAAAAHv/vww=")</f>
        <v>#VALUE!</v>
      </c>
      <c r="N49" t="e">
        <f>AND(Sheet1!H648,"AAAAAHv/vw0=")</f>
        <v>#VALUE!</v>
      </c>
      <c r="O49" t="e">
        <f>AND(Sheet1!I648,"AAAAAHv/vw4=")</f>
        <v>#VALUE!</v>
      </c>
      <c r="P49" t="e">
        <f>AND(Sheet1!J648,"AAAAAHv/vw8=")</f>
        <v>#VALUE!</v>
      </c>
      <c r="Q49" t="e">
        <f>AND(Sheet1!K648,"AAAAAHv/vxA=")</f>
        <v>#VALUE!</v>
      </c>
      <c r="R49" t="e">
        <f>AND(Sheet1!L648,"AAAAAHv/vxE=")</f>
        <v>#VALUE!</v>
      </c>
      <c r="S49" t="e">
        <f>AND(Sheet1!M648,"AAAAAHv/vxI=")</f>
        <v>#VALUE!</v>
      </c>
      <c r="T49" t="e">
        <f>AND(Sheet1!N648,"AAAAAHv/vxM=")</f>
        <v>#VALUE!</v>
      </c>
      <c r="U49" t="e">
        <f>AND(Sheet1!#REF!,"AAAAAHv/vxQ=")</f>
        <v>#REF!</v>
      </c>
      <c r="V49" t="e">
        <f>AND(Sheet1!#REF!,"AAAAAHv/vxU=")</f>
        <v>#REF!</v>
      </c>
      <c r="W49" t="e">
        <f>AND(Sheet1!#REF!,"AAAAAHv/vxY=")</f>
        <v>#REF!</v>
      </c>
      <c r="X49" t="e">
        <f>AND(Sheet1!#REF!,"AAAAAHv/vxc=")</f>
        <v>#REF!</v>
      </c>
      <c r="Y49">
        <f>IF(Sheet1!649:649,"AAAAAHv/vxg=",0)</f>
        <v>0</v>
      </c>
      <c r="Z49" t="e">
        <f>AND(Sheet1!A649,"AAAAAHv/vxk=")</f>
        <v>#VALUE!</v>
      </c>
      <c r="AA49" t="e">
        <f>AND(Sheet1!B649,"AAAAAHv/vxo=")</f>
        <v>#VALUE!</v>
      </c>
      <c r="AB49" t="e">
        <f>AND(Sheet1!C649,"AAAAAHv/vxs=")</f>
        <v>#VALUE!</v>
      </c>
      <c r="AC49" t="e">
        <f>AND(Sheet1!D649,"AAAAAHv/vxw=")</f>
        <v>#VALUE!</v>
      </c>
      <c r="AD49" t="e">
        <f>AND(Sheet1!E649,"AAAAAHv/vx0=")</f>
        <v>#VALUE!</v>
      </c>
      <c r="AE49" t="e">
        <f>AND(Sheet1!F649,"AAAAAHv/vx4=")</f>
        <v>#VALUE!</v>
      </c>
      <c r="AF49" t="e">
        <f>AND(Sheet1!G649,"AAAAAHv/vx8=")</f>
        <v>#VALUE!</v>
      </c>
      <c r="AG49" t="e">
        <f>AND(Sheet1!H649,"AAAAAHv/vyA=")</f>
        <v>#VALUE!</v>
      </c>
      <c r="AH49" t="e">
        <f>AND(Sheet1!I649,"AAAAAHv/vyE=")</f>
        <v>#VALUE!</v>
      </c>
      <c r="AI49" t="e">
        <f>AND(Sheet1!J649,"AAAAAHv/vyI=")</f>
        <v>#VALUE!</v>
      </c>
      <c r="AJ49" t="e">
        <f>AND(Sheet1!K649,"AAAAAHv/vyM=")</f>
        <v>#VALUE!</v>
      </c>
      <c r="AK49" t="e">
        <f>AND(Sheet1!L649,"AAAAAHv/vyQ=")</f>
        <v>#VALUE!</v>
      </c>
      <c r="AL49" t="e">
        <f>AND(Sheet1!M649,"AAAAAHv/vyU=")</f>
        <v>#VALUE!</v>
      </c>
      <c r="AM49" t="e">
        <f>AND(Sheet1!N649,"AAAAAHv/vyY=")</f>
        <v>#VALUE!</v>
      </c>
      <c r="AN49" t="e">
        <f>AND(Sheet1!#REF!,"AAAAAHv/vyc=")</f>
        <v>#REF!</v>
      </c>
      <c r="AO49" t="e">
        <f>AND(Sheet1!#REF!,"AAAAAHv/vyg=")</f>
        <v>#REF!</v>
      </c>
      <c r="AP49" t="e">
        <f>AND(Sheet1!#REF!,"AAAAAHv/vyk=")</f>
        <v>#REF!</v>
      </c>
      <c r="AQ49" t="e">
        <f>AND(Sheet1!#REF!,"AAAAAHv/vyo=")</f>
        <v>#REF!</v>
      </c>
      <c r="AR49">
        <f>IF(Sheet1!650:650,"AAAAAHv/vys=",0)</f>
        <v>0</v>
      </c>
      <c r="AS49" t="e">
        <f>AND(Sheet1!A650,"AAAAAHv/vyw=")</f>
        <v>#VALUE!</v>
      </c>
      <c r="AT49" t="e">
        <f>AND(Sheet1!B650,"AAAAAHv/vy0=")</f>
        <v>#VALUE!</v>
      </c>
      <c r="AU49" t="e">
        <f>AND(Sheet1!C650,"AAAAAHv/vy4=")</f>
        <v>#VALUE!</v>
      </c>
      <c r="AV49" t="e">
        <f>AND(Sheet1!D650,"AAAAAHv/vy8=")</f>
        <v>#VALUE!</v>
      </c>
      <c r="AW49" t="e">
        <f>AND(Sheet1!E650,"AAAAAHv/vzA=")</f>
        <v>#VALUE!</v>
      </c>
      <c r="AX49" t="e">
        <f>AND(Sheet1!F650,"AAAAAHv/vzE=")</f>
        <v>#VALUE!</v>
      </c>
      <c r="AY49" t="e">
        <f>AND(Sheet1!G650,"AAAAAHv/vzI=")</f>
        <v>#VALUE!</v>
      </c>
      <c r="AZ49" t="e">
        <f>AND(Sheet1!H650,"AAAAAHv/vzM=")</f>
        <v>#VALUE!</v>
      </c>
      <c r="BA49" t="e">
        <f>AND(Sheet1!I650,"AAAAAHv/vzQ=")</f>
        <v>#VALUE!</v>
      </c>
      <c r="BB49" t="e">
        <f>AND(Sheet1!J650,"AAAAAHv/vzU=")</f>
        <v>#VALUE!</v>
      </c>
      <c r="BC49" t="e">
        <f>AND(Sheet1!K650,"AAAAAHv/vzY=")</f>
        <v>#VALUE!</v>
      </c>
      <c r="BD49" t="e">
        <f>AND(Sheet1!L650,"AAAAAHv/vzc=")</f>
        <v>#VALUE!</v>
      </c>
      <c r="BE49" t="e">
        <f>AND(Sheet1!M650,"AAAAAHv/vzg=")</f>
        <v>#VALUE!</v>
      </c>
      <c r="BF49" t="e">
        <f>AND(Sheet1!N650,"AAAAAHv/vzk=")</f>
        <v>#VALUE!</v>
      </c>
      <c r="BG49" t="e">
        <f>AND(Sheet1!#REF!,"AAAAAHv/vzo=")</f>
        <v>#REF!</v>
      </c>
      <c r="BH49" t="e">
        <f>AND(Sheet1!#REF!,"AAAAAHv/vzs=")</f>
        <v>#REF!</v>
      </c>
      <c r="BI49" t="e">
        <f>AND(Sheet1!#REF!,"AAAAAHv/vzw=")</f>
        <v>#REF!</v>
      </c>
      <c r="BJ49" t="e">
        <f>AND(Sheet1!#REF!,"AAAAAHv/vz0=")</f>
        <v>#REF!</v>
      </c>
      <c r="BK49">
        <f>IF(Sheet1!651:651,"AAAAAHv/vz4=",0)</f>
        <v>0</v>
      </c>
      <c r="BL49" t="e">
        <f>AND(Sheet1!A651,"AAAAAHv/vz8=")</f>
        <v>#VALUE!</v>
      </c>
      <c r="BM49" t="e">
        <f>AND(Sheet1!B651,"AAAAAHv/v0A=")</f>
        <v>#VALUE!</v>
      </c>
      <c r="BN49" t="e">
        <f>AND(Sheet1!C651,"AAAAAHv/v0E=")</f>
        <v>#VALUE!</v>
      </c>
      <c r="BO49" t="e">
        <f>AND(Sheet1!D651,"AAAAAHv/v0I=")</f>
        <v>#VALUE!</v>
      </c>
      <c r="BP49" t="e">
        <f>AND(Sheet1!E651,"AAAAAHv/v0M=")</f>
        <v>#VALUE!</v>
      </c>
      <c r="BQ49" t="e">
        <f>AND(Sheet1!F651,"AAAAAHv/v0Q=")</f>
        <v>#VALUE!</v>
      </c>
      <c r="BR49" t="e">
        <f>AND(Sheet1!G651,"AAAAAHv/v0U=")</f>
        <v>#VALUE!</v>
      </c>
      <c r="BS49" t="e">
        <f>AND(Sheet1!H651,"AAAAAHv/v0Y=")</f>
        <v>#VALUE!</v>
      </c>
      <c r="BT49" t="e">
        <f>AND(Sheet1!I651,"AAAAAHv/v0c=")</f>
        <v>#VALUE!</v>
      </c>
      <c r="BU49" t="e">
        <f>AND(Sheet1!J651,"AAAAAHv/v0g=")</f>
        <v>#VALUE!</v>
      </c>
      <c r="BV49" t="e">
        <f>AND(Sheet1!K651,"AAAAAHv/v0k=")</f>
        <v>#VALUE!</v>
      </c>
      <c r="BW49" t="e">
        <f>AND(Sheet1!L651,"AAAAAHv/v0o=")</f>
        <v>#VALUE!</v>
      </c>
      <c r="BX49" t="e">
        <f>AND(Sheet1!M651,"AAAAAHv/v0s=")</f>
        <v>#VALUE!</v>
      </c>
      <c r="BY49" t="e">
        <f>AND(Sheet1!N651,"AAAAAHv/v0w=")</f>
        <v>#VALUE!</v>
      </c>
      <c r="BZ49" t="e">
        <f>AND(Sheet1!#REF!,"AAAAAHv/v00=")</f>
        <v>#REF!</v>
      </c>
      <c r="CA49" t="e">
        <f>AND(Sheet1!#REF!,"AAAAAHv/v04=")</f>
        <v>#REF!</v>
      </c>
      <c r="CB49" t="e">
        <f>AND(Sheet1!#REF!,"AAAAAHv/v08=")</f>
        <v>#REF!</v>
      </c>
      <c r="CC49" t="e">
        <f>AND(Sheet1!#REF!,"AAAAAHv/v1A=")</f>
        <v>#REF!</v>
      </c>
      <c r="CD49">
        <f>IF(Sheet1!652:652,"AAAAAHv/v1E=",0)</f>
        <v>0</v>
      </c>
      <c r="CE49" t="e">
        <f>AND(Sheet1!A652,"AAAAAHv/v1I=")</f>
        <v>#VALUE!</v>
      </c>
      <c r="CF49" t="e">
        <f>AND(Sheet1!B652,"AAAAAHv/v1M=")</f>
        <v>#VALUE!</v>
      </c>
      <c r="CG49" t="e">
        <f>AND(Sheet1!C652,"AAAAAHv/v1Q=")</f>
        <v>#VALUE!</v>
      </c>
      <c r="CH49" t="e">
        <f>AND(Sheet1!D652,"AAAAAHv/v1U=")</f>
        <v>#VALUE!</v>
      </c>
      <c r="CI49" t="e">
        <f>AND(Sheet1!E652,"AAAAAHv/v1Y=")</f>
        <v>#VALUE!</v>
      </c>
      <c r="CJ49" t="e">
        <f>AND(Sheet1!F652,"AAAAAHv/v1c=")</f>
        <v>#VALUE!</v>
      </c>
      <c r="CK49" t="e">
        <f>AND(Sheet1!G652,"AAAAAHv/v1g=")</f>
        <v>#VALUE!</v>
      </c>
      <c r="CL49" t="e">
        <f>AND(Sheet1!H652,"AAAAAHv/v1k=")</f>
        <v>#VALUE!</v>
      </c>
      <c r="CM49" t="e">
        <f>AND(Sheet1!I652,"AAAAAHv/v1o=")</f>
        <v>#VALUE!</v>
      </c>
      <c r="CN49" t="e">
        <f>AND(Sheet1!J652,"AAAAAHv/v1s=")</f>
        <v>#VALUE!</v>
      </c>
      <c r="CO49" t="e">
        <f>AND(Sheet1!K652,"AAAAAHv/v1w=")</f>
        <v>#VALUE!</v>
      </c>
      <c r="CP49" t="e">
        <f>AND(Sheet1!L652,"AAAAAHv/v10=")</f>
        <v>#VALUE!</v>
      </c>
      <c r="CQ49" t="e">
        <f>AND(Sheet1!M652,"AAAAAHv/v14=")</f>
        <v>#VALUE!</v>
      </c>
      <c r="CR49" t="e">
        <f>AND(Sheet1!N652,"AAAAAHv/v18=")</f>
        <v>#VALUE!</v>
      </c>
      <c r="CS49" t="e">
        <f>AND(Sheet1!#REF!,"AAAAAHv/v2A=")</f>
        <v>#REF!</v>
      </c>
      <c r="CT49" t="e">
        <f>AND(Sheet1!#REF!,"AAAAAHv/v2E=")</f>
        <v>#REF!</v>
      </c>
      <c r="CU49" t="e">
        <f>AND(Sheet1!#REF!,"AAAAAHv/v2I=")</f>
        <v>#REF!</v>
      </c>
      <c r="CV49" t="e">
        <f>AND(Sheet1!#REF!,"AAAAAHv/v2M=")</f>
        <v>#REF!</v>
      </c>
      <c r="CW49">
        <f>IF(Sheet1!653:653,"AAAAAHv/v2Q=",0)</f>
        <v>0</v>
      </c>
      <c r="CX49" t="e">
        <f>AND(Sheet1!A653,"AAAAAHv/v2U=")</f>
        <v>#VALUE!</v>
      </c>
      <c r="CY49" t="e">
        <f>AND(Sheet1!B653,"AAAAAHv/v2Y=")</f>
        <v>#VALUE!</v>
      </c>
      <c r="CZ49" t="e">
        <f>AND(Sheet1!C653,"AAAAAHv/v2c=")</f>
        <v>#VALUE!</v>
      </c>
      <c r="DA49" t="e">
        <f>AND(Sheet1!D653,"AAAAAHv/v2g=")</f>
        <v>#VALUE!</v>
      </c>
      <c r="DB49" t="e">
        <f>AND(Sheet1!E653,"AAAAAHv/v2k=")</f>
        <v>#VALUE!</v>
      </c>
      <c r="DC49" t="e">
        <f>AND(Sheet1!F653,"AAAAAHv/v2o=")</f>
        <v>#VALUE!</v>
      </c>
      <c r="DD49" t="e">
        <f>AND(Sheet1!G653,"AAAAAHv/v2s=")</f>
        <v>#VALUE!</v>
      </c>
      <c r="DE49" t="e">
        <f>AND(Sheet1!H653,"AAAAAHv/v2w=")</f>
        <v>#VALUE!</v>
      </c>
      <c r="DF49" t="e">
        <f>AND(Sheet1!I653,"AAAAAHv/v20=")</f>
        <v>#VALUE!</v>
      </c>
      <c r="DG49" t="e">
        <f>AND(Sheet1!J653,"AAAAAHv/v24=")</f>
        <v>#VALUE!</v>
      </c>
      <c r="DH49" t="e">
        <f>AND(Sheet1!K653,"AAAAAHv/v28=")</f>
        <v>#VALUE!</v>
      </c>
      <c r="DI49" t="e">
        <f>AND(Sheet1!L653,"AAAAAHv/v3A=")</f>
        <v>#VALUE!</v>
      </c>
      <c r="DJ49" t="e">
        <f>AND(Sheet1!M653,"AAAAAHv/v3E=")</f>
        <v>#VALUE!</v>
      </c>
      <c r="DK49" t="e">
        <f>AND(Sheet1!N653,"AAAAAHv/v3I=")</f>
        <v>#VALUE!</v>
      </c>
      <c r="DL49" t="e">
        <f>AND(Sheet1!#REF!,"AAAAAHv/v3M=")</f>
        <v>#REF!</v>
      </c>
      <c r="DM49" t="e">
        <f>AND(Sheet1!#REF!,"AAAAAHv/v3Q=")</f>
        <v>#REF!</v>
      </c>
      <c r="DN49" t="e">
        <f>AND(Sheet1!#REF!,"AAAAAHv/v3U=")</f>
        <v>#REF!</v>
      </c>
      <c r="DO49" t="e">
        <f>AND(Sheet1!#REF!,"AAAAAHv/v3Y=")</f>
        <v>#REF!</v>
      </c>
      <c r="DP49">
        <f>IF(Sheet1!654:654,"AAAAAHv/v3c=",0)</f>
        <v>0</v>
      </c>
      <c r="DQ49" t="e">
        <f>AND(Sheet1!A654,"AAAAAHv/v3g=")</f>
        <v>#VALUE!</v>
      </c>
      <c r="DR49" t="e">
        <f>AND(Sheet1!B654,"AAAAAHv/v3k=")</f>
        <v>#VALUE!</v>
      </c>
      <c r="DS49" t="e">
        <f>AND(Sheet1!C654,"AAAAAHv/v3o=")</f>
        <v>#VALUE!</v>
      </c>
      <c r="DT49" t="e">
        <f>AND(Sheet1!D654,"AAAAAHv/v3s=")</f>
        <v>#VALUE!</v>
      </c>
      <c r="DU49" t="e">
        <f>AND(Sheet1!E654,"AAAAAHv/v3w=")</f>
        <v>#VALUE!</v>
      </c>
      <c r="DV49" t="e">
        <f>AND(Sheet1!F654,"AAAAAHv/v30=")</f>
        <v>#VALUE!</v>
      </c>
      <c r="DW49" t="e">
        <f>AND(Sheet1!G654,"AAAAAHv/v34=")</f>
        <v>#VALUE!</v>
      </c>
      <c r="DX49" t="e">
        <f>AND(Sheet1!H654,"AAAAAHv/v38=")</f>
        <v>#VALUE!</v>
      </c>
      <c r="DY49" t="e">
        <f>AND(Sheet1!I654,"AAAAAHv/v4A=")</f>
        <v>#VALUE!</v>
      </c>
      <c r="DZ49" t="e">
        <f>AND(Sheet1!J654,"AAAAAHv/v4E=")</f>
        <v>#VALUE!</v>
      </c>
      <c r="EA49" t="e">
        <f>AND(Sheet1!K654,"AAAAAHv/v4I=")</f>
        <v>#VALUE!</v>
      </c>
      <c r="EB49" t="e">
        <f>AND(Sheet1!L654,"AAAAAHv/v4M=")</f>
        <v>#VALUE!</v>
      </c>
      <c r="EC49" t="e">
        <f>AND(Sheet1!M654,"AAAAAHv/v4Q=")</f>
        <v>#VALUE!</v>
      </c>
      <c r="ED49" t="e">
        <f>AND(Sheet1!N654,"AAAAAHv/v4U=")</f>
        <v>#VALUE!</v>
      </c>
      <c r="EE49" t="e">
        <f>AND(Sheet1!#REF!,"AAAAAHv/v4Y=")</f>
        <v>#REF!</v>
      </c>
      <c r="EF49" t="e">
        <f>AND(Sheet1!#REF!,"AAAAAHv/v4c=")</f>
        <v>#REF!</v>
      </c>
      <c r="EG49" t="e">
        <f>AND(Sheet1!#REF!,"AAAAAHv/v4g=")</f>
        <v>#REF!</v>
      </c>
      <c r="EH49" t="e">
        <f>AND(Sheet1!#REF!,"AAAAAHv/v4k=")</f>
        <v>#REF!</v>
      </c>
      <c r="EI49">
        <f>IF(Sheet1!655:655,"AAAAAHv/v4o=",0)</f>
        <v>0</v>
      </c>
      <c r="EJ49" t="e">
        <f>AND(Sheet1!A655,"AAAAAHv/v4s=")</f>
        <v>#VALUE!</v>
      </c>
      <c r="EK49" t="e">
        <f>AND(Sheet1!B655,"AAAAAHv/v4w=")</f>
        <v>#VALUE!</v>
      </c>
      <c r="EL49" t="e">
        <f>AND(Sheet1!C655,"AAAAAHv/v40=")</f>
        <v>#VALUE!</v>
      </c>
      <c r="EM49" t="e">
        <f>AND(Sheet1!D655,"AAAAAHv/v44=")</f>
        <v>#VALUE!</v>
      </c>
      <c r="EN49" t="e">
        <f>AND(Sheet1!E655,"AAAAAHv/v48=")</f>
        <v>#VALUE!</v>
      </c>
      <c r="EO49" t="e">
        <f>AND(Sheet1!F655,"AAAAAHv/v5A=")</f>
        <v>#VALUE!</v>
      </c>
      <c r="EP49" t="e">
        <f>AND(Sheet1!G655,"AAAAAHv/v5E=")</f>
        <v>#VALUE!</v>
      </c>
      <c r="EQ49" t="e">
        <f>AND(Sheet1!H655,"AAAAAHv/v5I=")</f>
        <v>#VALUE!</v>
      </c>
      <c r="ER49" t="e">
        <f>AND(Sheet1!I655,"AAAAAHv/v5M=")</f>
        <v>#VALUE!</v>
      </c>
      <c r="ES49" t="e">
        <f>AND(Sheet1!J655,"AAAAAHv/v5Q=")</f>
        <v>#VALUE!</v>
      </c>
      <c r="ET49" t="e">
        <f>AND(Sheet1!K655,"AAAAAHv/v5U=")</f>
        <v>#VALUE!</v>
      </c>
      <c r="EU49" t="e">
        <f>AND(Sheet1!L655,"AAAAAHv/v5Y=")</f>
        <v>#VALUE!</v>
      </c>
      <c r="EV49" t="e">
        <f>AND(Sheet1!M655,"AAAAAHv/v5c=")</f>
        <v>#VALUE!</v>
      </c>
      <c r="EW49" t="e">
        <f>AND(Sheet1!N655,"AAAAAHv/v5g=")</f>
        <v>#VALUE!</v>
      </c>
      <c r="EX49" t="e">
        <f>AND(Sheet1!#REF!,"AAAAAHv/v5k=")</f>
        <v>#REF!</v>
      </c>
      <c r="EY49" t="e">
        <f>AND(Sheet1!#REF!,"AAAAAHv/v5o=")</f>
        <v>#REF!</v>
      </c>
      <c r="EZ49" t="e">
        <f>AND(Sheet1!#REF!,"AAAAAHv/v5s=")</f>
        <v>#REF!</v>
      </c>
      <c r="FA49" t="e">
        <f>AND(Sheet1!#REF!,"AAAAAHv/v5w=")</f>
        <v>#REF!</v>
      </c>
      <c r="FB49">
        <f>IF(Sheet1!656:656,"AAAAAHv/v50=",0)</f>
        <v>0</v>
      </c>
      <c r="FC49" t="e">
        <f>AND(Sheet1!A656,"AAAAAHv/v54=")</f>
        <v>#VALUE!</v>
      </c>
      <c r="FD49" t="e">
        <f>AND(Sheet1!B656,"AAAAAHv/v58=")</f>
        <v>#VALUE!</v>
      </c>
      <c r="FE49" t="e">
        <f>AND(Sheet1!C656,"AAAAAHv/v6A=")</f>
        <v>#VALUE!</v>
      </c>
      <c r="FF49" t="e">
        <f>AND(Sheet1!D656,"AAAAAHv/v6E=")</f>
        <v>#VALUE!</v>
      </c>
      <c r="FG49" t="e">
        <f>AND(Sheet1!E656,"AAAAAHv/v6I=")</f>
        <v>#VALUE!</v>
      </c>
      <c r="FH49" t="e">
        <f>AND(Sheet1!F656,"AAAAAHv/v6M=")</f>
        <v>#VALUE!</v>
      </c>
      <c r="FI49" t="e">
        <f>AND(Sheet1!G656,"AAAAAHv/v6Q=")</f>
        <v>#VALUE!</v>
      </c>
      <c r="FJ49" t="e">
        <f>AND(Sheet1!H656,"AAAAAHv/v6U=")</f>
        <v>#VALUE!</v>
      </c>
      <c r="FK49" t="e">
        <f>AND(Sheet1!I656,"AAAAAHv/v6Y=")</f>
        <v>#VALUE!</v>
      </c>
      <c r="FL49" t="e">
        <f>AND(Sheet1!J656,"AAAAAHv/v6c=")</f>
        <v>#VALUE!</v>
      </c>
      <c r="FM49" t="e">
        <f>AND(Sheet1!K656,"AAAAAHv/v6g=")</f>
        <v>#VALUE!</v>
      </c>
      <c r="FN49" t="e">
        <f>AND(Sheet1!L656,"AAAAAHv/v6k=")</f>
        <v>#VALUE!</v>
      </c>
      <c r="FO49" t="e">
        <f>AND(Sheet1!M656,"AAAAAHv/v6o=")</f>
        <v>#VALUE!</v>
      </c>
      <c r="FP49" t="e">
        <f>AND(Sheet1!N656,"AAAAAHv/v6s=")</f>
        <v>#VALUE!</v>
      </c>
      <c r="FQ49" t="e">
        <f>AND(Sheet1!#REF!,"AAAAAHv/v6w=")</f>
        <v>#REF!</v>
      </c>
      <c r="FR49" t="e">
        <f>AND(Sheet1!#REF!,"AAAAAHv/v60=")</f>
        <v>#REF!</v>
      </c>
      <c r="FS49" t="e">
        <f>AND(Sheet1!#REF!,"AAAAAHv/v64=")</f>
        <v>#REF!</v>
      </c>
      <c r="FT49" t="e">
        <f>AND(Sheet1!#REF!,"AAAAAHv/v68=")</f>
        <v>#REF!</v>
      </c>
      <c r="FU49">
        <f>IF(Sheet1!657:657,"AAAAAHv/v7A=",0)</f>
        <v>0</v>
      </c>
      <c r="FV49" t="e">
        <f>AND(Sheet1!A657,"AAAAAHv/v7E=")</f>
        <v>#VALUE!</v>
      </c>
      <c r="FW49" t="e">
        <f>AND(Sheet1!B657,"AAAAAHv/v7I=")</f>
        <v>#VALUE!</v>
      </c>
      <c r="FX49" t="e">
        <f>AND(Sheet1!C657,"AAAAAHv/v7M=")</f>
        <v>#VALUE!</v>
      </c>
      <c r="FY49" t="e">
        <f>AND(Sheet1!D657,"AAAAAHv/v7Q=")</f>
        <v>#VALUE!</v>
      </c>
      <c r="FZ49" t="e">
        <f>AND(Sheet1!E657,"AAAAAHv/v7U=")</f>
        <v>#VALUE!</v>
      </c>
      <c r="GA49" t="e">
        <f>AND(Sheet1!F657,"AAAAAHv/v7Y=")</f>
        <v>#VALUE!</v>
      </c>
      <c r="GB49" t="e">
        <f>AND(Sheet1!G657,"AAAAAHv/v7c=")</f>
        <v>#VALUE!</v>
      </c>
      <c r="GC49" t="e">
        <f>AND(Sheet1!H657,"AAAAAHv/v7g=")</f>
        <v>#VALUE!</v>
      </c>
      <c r="GD49" t="e">
        <f>AND(Sheet1!I657,"AAAAAHv/v7k=")</f>
        <v>#VALUE!</v>
      </c>
      <c r="GE49" t="e">
        <f>AND(Sheet1!J657,"AAAAAHv/v7o=")</f>
        <v>#VALUE!</v>
      </c>
      <c r="GF49" t="e">
        <f>AND(Sheet1!K657,"AAAAAHv/v7s=")</f>
        <v>#VALUE!</v>
      </c>
      <c r="GG49" t="e">
        <f>AND(Sheet1!L657,"AAAAAHv/v7w=")</f>
        <v>#VALUE!</v>
      </c>
      <c r="GH49" t="e">
        <f>AND(Sheet1!M657,"AAAAAHv/v70=")</f>
        <v>#VALUE!</v>
      </c>
      <c r="GI49" t="e">
        <f>AND(Sheet1!N657,"AAAAAHv/v74=")</f>
        <v>#VALUE!</v>
      </c>
      <c r="GJ49" t="e">
        <f>AND(Sheet1!#REF!,"AAAAAHv/v78=")</f>
        <v>#REF!</v>
      </c>
      <c r="GK49" t="e">
        <f>AND(Sheet1!#REF!,"AAAAAHv/v8A=")</f>
        <v>#REF!</v>
      </c>
      <c r="GL49" t="e">
        <f>AND(Sheet1!#REF!,"AAAAAHv/v8E=")</f>
        <v>#REF!</v>
      </c>
      <c r="GM49" t="e">
        <f>AND(Sheet1!#REF!,"AAAAAHv/v8I=")</f>
        <v>#REF!</v>
      </c>
      <c r="GN49">
        <f>IF(Sheet1!658:658,"AAAAAHv/v8M=",0)</f>
        <v>0</v>
      </c>
      <c r="GO49" t="e">
        <f>AND(Sheet1!A658,"AAAAAHv/v8Q=")</f>
        <v>#VALUE!</v>
      </c>
      <c r="GP49" t="e">
        <f>AND(Sheet1!B658,"AAAAAHv/v8U=")</f>
        <v>#VALUE!</v>
      </c>
      <c r="GQ49" t="e">
        <f>AND(Sheet1!C658,"AAAAAHv/v8Y=")</f>
        <v>#VALUE!</v>
      </c>
      <c r="GR49" t="e">
        <f>AND(Sheet1!D658,"AAAAAHv/v8c=")</f>
        <v>#VALUE!</v>
      </c>
      <c r="GS49" t="e">
        <f>AND(Sheet1!E658,"AAAAAHv/v8g=")</f>
        <v>#VALUE!</v>
      </c>
      <c r="GT49" t="e">
        <f>AND(Sheet1!F658,"AAAAAHv/v8k=")</f>
        <v>#VALUE!</v>
      </c>
      <c r="GU49" t="e">
        <f>AND(Sheet1!G658,"AAAAAHv/v8o=")</f>
        <v>#VALUE!</v>
      </c>
      <c r="GV49" t="e">
        <f>AND(Sheet1!H658,"AAAAAHv/v8s=")</f>
        <v>#VALUE!</v>
      </c>
      <c r="GW49" t="e">
        <f>AND(Sheet1!I658,"AAAAAHv/v8w=")</f>
        <v>#VALUE!</v>
      </c>
      <c r="GX49" t="e">
        <f>AND(Sheet1!J658,"AAAAAHv/v80=")</f>
        <v>#VALUE!</v>
      </c>
      <c r="GY49" t="e">
        <f>AND(Sheet1!K658,"AAAAAHv/v84=")</f>
        <v>#VALUE!</v>
      </c>
      <c r="GZ49" t="e">
        <f>AND(Sheet1!L658,"AAAAAHv/v88=")</f>
        <v>#VALUE!</v>
      </c>
      <c r="HA49" t="e">
        <f>AND(Sheet1!M658,"AAAAAHv/v9A=")</f>
        <v>#VALUE!</v>
      </c>
      <c r="HB49" t="e">
        <f>AND(Sheet1!N658,"AAAAAHv/v9E=")</f>
        <v>#VALUE!</v>
      </c>
      <c r="HC49" t="e">
        <f>AND(Sheet1!#REF!,"AAAAAHv/v9I=")</f>
        <v>#REF!</v>
      </c>
      <c r="HD49" t="e">
        <f>AND(Sheet1!#REF!,"AAAAAHv/v9M=")</f>
        <v>#REF!</v>
      </c>
      <c r="HE49" t="e">
        <f>AND(Sheet1!#REF!,"AAAAAHv/v9Q=")</f>
        <v>#REF!</v>
      </c>
      <c r="HF49" t="e">
        <f>AND(Sheet1!#REF!,"AAAAAHv/v9U=")</f>
        <v>#REF!</v>
      </c>
      <c r="HG49">
        <f>IF(Sheet1!659:659,"AAAAAHv/v9Y=",0)</f>
        <v>0</v>
      </c>
      <c r="HH49" t="e">
        <f>AND(Sheet1!A659,"AAAAAHv/v9c=")</f>
        <v>#VALUE!</v>
      </c>
      <c r="HI49" t="e">
        <f>AND(Sheet1!B659,"AAAAAHv/v9g=")</f>
        <v>#VALUE!</v>
      </c>
      <c r="HJ49" t="e">
        <f>AND(Sheet1!C659,"AAAAAHv/v9k=")</f>
        <v>#VALUE!</v>
      </c>
      <c r="HK49" t="e">
        <f>AND(Sheet1!D659,"AAAAAHv/v9o=")</f>
        <v>#VALUE!</v>
      </c>
      <c r="HL49" t="e">
        <f>AND(Sheet1!E659,"AAAAAHv/v9s=")</f>
        <v>#VALUE!</v>
      </c>
      <c r="HM49" t="e">
        <f>AND(Sheet1!F659,"AAAAAHv/v9w=")</f>
        <v>#VALUE!</v>
      </c>
      <c r="HN49" t="e">
        <f>AND(Sheet1!G659,"AAAAAHv/v90=")</f>
        <v>#VALUE!</v>
      </c>
      <c r="HO49" t="e">
        <f>AND(Sheet1!H659,"AAAAAHv/v94=")</f>
        <v>#VALUE!</v>
      </c>
      <c r="HP49" t="e">
        <f>AND(Sheet1!I659,"AAAAAHv/v98=")</f>
        <v>#VALUE!</v>
      </c>
      <c r="HQ49" t="e">
        <f>AND(Sheet1!J659,"AAAAAHv/v+A=")</f>
        <v>#VALUE!</v>
      </c>
      <c r="HR49" t="e">
        <f>AND(Sheet1!K659,"AAAAAHv/v+E=")</f>
        <v>#VALUE!</v>
      </c>
      <c r="HS49" t="e">
        <f>AND(Sheet1!L659,"AAAAAHv/v+I=")</f>
        <v>#VALUE!</v>
      </c>
      <c r="HT49" t="e">
        <f>AND(Sheet1!M659,"AAAAAHv/v+M=")</f>
        <v>#VALUE!</v>
      </c>
      <c r="HU49" t="e">
        <f>AND(Sheet1!N659,"AAAAAHv/v+Q=")</f>
        <v>#VALUE!</v>
      </c>
      <c r="HV49" t="e">
        <f>AND(Sheet1!#REF!,"AAAAAHv/v+U=")</f>
        <v>#REF!</v>
      </c>
      <c r="HW49" t="e">
        <f>AND(Sheet1!#REF!,"AAAAAHv/v+Y=")</f>
        <v>#REF!</v>
      </c>
      <c r="HX49" t="e">
        <f>AND(Sheet1!#REF!,"AAAAAHv/v+c=")</f>
        <v>#REF!</v>
      </c>
      <c r="HY49" t="e">
        <f>AND(Sheet1!#REF!,"AAAAAHv/v+g=")</f>
        <v>#REF!</v>
      </c>
      <c r="HZ49">
        <f>IF(Sheet1!660:660,"AAAAAHv/v+k=",0)</f>
        <v>0</v>
      </c>
      <c r="IA49" t="e">
        <f>AND(Sheet1!A660,"AAAAAHv/v+o=")</f>
        <v>#VALUE!</v>
      </c>
      <c r="IB49" t="e">
        <f>AND(Sheet1!B660,"AAAAAHv/v+s=")</f>
        <v>#VALUE!</v>
      </c>
      <c r="IC49" t="e">
        <f>AND(Sheet1!C660,"AAAAAHv/v+w=")</f>
        <v>#VALUE!</v>
      </c>
      <c r="ID49" t="e">
        <f>AND(Sheet1!D660,"AAAAAHv/v+0=")</f>
        <v>#VALUE!</v>
      </c>
      <c r="IE49" t="e">
        <f>AND(Sheet1!E660,"AAAAAHv/v+4=")</f>
        <v>#VALUE!</v>
      </c>
      <c r="IF49" t="e">
        <f>AND(Sheet1!F660,"AAAAAHv/v+8=")</f>
        <v>#VALUE!</v>
      </c>
      <c r="IG49" t="e">
        <f>AND(Sheet1!G660,"AAAAAHv/v/A=")</f>
        <v>#VALUE!</v>
      </c>
      <c r="IH49" t="e">
        <f>AND(Sheet1!H660,"AAAAAHv/v/E=")</f>
        <v>#VALUE!</v>
      </c>
      <c r="II49" t="e">
        <f>AND(Sheet1!I660,"AAAAAHv/v/I=")</f>
        <v>#VALUE!</v>
      </c>
      <c r="IJ49" t="e">
        <f>AND(Sheet1!J660,"AAAAAHv/v/M=")</f>
        <v>#VALUE!</v>
      </c>
      <c r="IK49" t="e">
        <f>AND(Sheet1!K660,"AAAAAHv/v/Q=")</f>
        <v>#VALUE!</v>
      </c>
      <c r="IL49" t="e">
        <f>AND(Sheet1!L660,"AAAAAHv/v/U=")</f>
        <v>#VALUE!</v>
      </c>
      <c r="IM49" t="e">
        <f>AND(Sheet1!M660,"AAAAAHv/v/Y=")</f>
        <v>#VALUE!</v>
      </c>
      <c r="IN49" t="e">
        <f>AND(Sheet1!N660,"AAAAAHv/v/c=")</f>
        <v>#VALUE!</v>
      </c>
      <c r="IO49" t="e">
        <f>AND(Sheet1!#REF!,"AAAAAHv/v/g=")</f>
        <v>#REF!</v>
      </c>
      <c r="IP49" t="e">
        <f>AND(Sheet1!#REF!,"AAAAAHv/v/k=")</f>
        <v>#REF!</v>
      </c>
      <c r="IQ49" t="e">
        <f>AND(Sheet1!#REF!,"AAAAAHv/v/o=")</f>
        <v>#REF!</v>
      </c>
      <c r="IR49" t="e">
        <f>AND(Sheet1!#REF!,"AAAAAHv/v/s=")</f>
        <v>#REF!</v>
      </c>
      <c r="IS49">
        <f>IF(Sheet1!661:661,"AAAAAHv/v/w=",0)</f>
        <v>0</v>
      </c>
      <c r="IT49" t="e">
        <f>AND(Sheet1!A661,"AAAAAHv/v/0=")</f>
        <v>#VALUE!</v>
      </c>
      <c r="IU49" t="e">
        <f>AND(Sheet1!B661,"AAAAAHv/v/4=")</f>
        <v>#VALUE!</v>
      </c>
      <c r="IV49" t="e">
        <f>AND(Sheet1!C661,"AAAAAHv/v/8=")</f>
        <v>#VALUE!</v>
      </c>
    </row>
    <row r="50" spans="1:256" x14ac:dyDescent="0.2">
      <c r="A50" t="e">
        <f>AND(Sheet1!D661,"AAAAABdjvwA=")</f>
        <v>#VALUE!</v>
      </c>
      <c r="B50" t="e">
        <f>AND(Sheet1!E661,"AAAAABdjvwE=")</f>
        <v>#VALUE!</v>
      </c>
      <c r="C50" t="e">
        <f>AND(Sheet1!F661,"AAAAABdjvwI=")</f>
        <v>#VALUE!</v>
      </c>
      <c r="D50" t="e">
        <f>AND(Sheet1!G661,"AAAAABdjvwM=")</f>
        <v>#VALUE!</v>
      </c>
      <c r="E50" t="e">
        <f>AND(Sheet1!H661,"AAAAABdjvwQ=")</f>
        <v>#VALUE!</v>
      </c>
      <c r="F50" t="e">
        <f>AND(Sheet1!I661,"AAAAABdjvwU=")</f>
        <v>#VALUE!</v>
      </c>
      <c r="G50" t="e">
        <f>AND(Sheet1!J661,"AAAAABdjvwY=")</f>
        <v>#VALUE!</v>
      </c>
      <c r="H50" t="e">
        <f>AND(Sheet1!K661,"AAAAABdjvwc=")</f>
        <v>#VALUE!</v>
      </c>
      <c r="I50" t="e">
        <f>AND(Sheet1!L661,"AAAAABdjvwg=")</f>
        <v>#VALUE!</v>
      </c>
      <c r="J50" t="e">
        <f>AND(Sheet1!M661,"AAAAABdjvwk=")</f>
        <v>#VALUE!</v>
      </c>
      <c r="K50" t="e">
        <f>AND(Sheet1!N661,"AAAAABdjvwo=")</f>
        <v>#VALUE!</v>
      </c>
      <c r="L50" t="e">
        <f>AND(Sheet1!#REF!,"AAAAABdjvws=")</f>
        <v>#REF!</v>
      </c>
      <c r="M50" t="e">
        <f>AND(Sheet1!#REF!,"AAAAABdjvww=")</f>
        <v>#REF!</v>
      </c>
      <c r="N50" t="e">
        <f>AND(Sheet1!#REF!,"AAAAABdjvw0=")</f>
        <v>#REF!</v>
      </c>
      <c r="O50" t="e">
        <f>AND(Sheet1!#REF!,"AAAAABdjvw4=")</f>
        <v>#REF!</v>
      </c>
      <c r="P50">
        <f>IF(Sheet1!662:662,"AAAAABdjvw8=",0)</f>
        <v>0</v>
      </c>
      <c r="Q50" t="e">
        <f>AND(Sheet1!A662,"AAAAABdjvxA=")</f>
        <v>#VALUE!</v>
      </c>
      <c r="R50" t="e">
        <f>AND(Sheet1!B662,"AAAAABdjvxE=")</f>
        <v>#VALUE!</v>
      </c>
      <c r="S50" t="e">
        <f>AND(Sheet1!C662,"AAAAABdjvxI=")</f>
        <v>#VALUE!</v>
      </c>
      <c r="T50" t="e">
        <f>AND(Sheet1!D662,"AAAAABdjvxM=")</f>
        <v>#VALUE!</v>
      </c>
      <c r="U50" t="e">
        <f>AND(Sheet1!E662,"AAAAABdjvxQ=")</f>
        <v>#VALUE!</v>
      </c>
      <c r="V50" t="e">
        <f>AND(Sheet1!F662,"AAAAABdjvxU=")</f>
        <v>#VALUE!</v>
      </c>
      <c r="W50" t="e">
        <f>AND(Sheet1!G662,"AAAAABdjvxY=")</f>
        <v>#VALUE!</v>
      </c>
      <c r="X50" t="e">
        <f>AND(Sheet1!H662,"AAAAABdjvxc=")</f>
        <v>#VALUE!</v>
      </c>
      <c r="Y50" t="e">
        <f>AND(Sheet1!I662,"AAAAABdjvxg=")</f>
        <v>#VALUE!</v>
      </c>
      <c r="Z50" t="e">
        <f>AND(Sheet1!J662,"AAAAABdjvxk=")</f>
        <v>#VALUE!</v>
      </c>
      <c r="AA50" t="e">
        <f>AND(Sheet1!K662,"AAAAABdjvxo=")</f>
        <v>#VALUE!</v>
      </c>
      <c r="AB50" t="e">
        <f>AND(Sheet1!L662,"AAAAABdjvxs=")</f>
        <v>#VALUE!</v>
      </c>
      <c r="AC50" t="e">
        <f>AND(Sheet1!M662,"AAAAABdjvxw=")</f>
        <v>#VALUE!</v>
      </c>
      <c r="AD50" t="e">
        <f>AND(Sheet1!N662,"AAAAABdjvx0=")</f>
        <v>#VALUE!</v>
      </c>
      <c r="AE50" t="e">
        <f>AND(Sheet1!#REF!,"AAAAABdjvx4=")</f>
        <v>#REF!</v>
      </c>
      <c r="AF50" t="e">
        <f>AND(Sheet1!#REF!,"AAAAABdjvx8=")</f>
        <v>#REF!</v>
      </c>
      <c r="AG50" t="e">
        <f>AND(Sheet1!#REF!,"AAAAABdjvyA=")</f>
        <v>#REF!</v>
      </c>
      <c r="AH50" t="e">
        <f>AND(Sheet1!#REF!,"AAAAABdjvyE=")</f>
        <v>#REF!</v>
      </c>
      <c r="AI50">
        <f>IF(Sheet1!663:663,"AAAAABdjvyI=",0)</f>
        <v>0</v>
      </c>
      <c r="AJ50" t="e">
        <f>AND(Sheet1!A663,"AAAAABdjvyM=")</f>
        <v>#VALUE!</v>
      </c>
      <c r="AK50" t="e">
        <f>AND(Sheet1!B663,"AAAAABdjvyQ=")</f>
        <v>#VALUE!</v>
      </c>
      <c r="AL50" t="e">
        <f>AND(Sheet1!C663,"AAAAABdjvyU=")</f>
        <v>#VALUE!</v>
      </c>
      <c r="AM50" t="e">
        <f>AND(Sheet1!D663,"AAAAABdjvyY=")</f>
        <v>#VALUE!</v>
      </c>
      <c r="AN50" t="e">
        <f>AND(Sheet1!E663,"AAAAABdjvyc=")</f>
        <v>#VALUE!</v>
      </c>
      <c r="AO50" t="e">
        <f>AND(Sheet1!F663,"AAAAABdjvyg=")</f>
        <v>#VALUE!</v>
      </c>
      <c r="AP50" t="e">
        <f>AND(Sheet1!G663,"AAAAABdjvyk=")</f>
        <v>#VALUE!</v>
      </c>
      <c r="AQ50" t="e">
        <f>AND(Sheet1!H663,"AAAAABdjvyo=")</f>
        <v>#VALUE!</v>
      </c>
      <c r="AR50" t="e">
        <f>AND(Sheet1!I663,"AAAAABdjvys=")</f>
        <v>#VALUE!</v>
      </c>
      <c r="AS50" t="e">
        <f>AND(Sheet1!J663,"AAAAABdjvyw=")</f>
        <v>#VALUE!</v>
      </c>
      <c r="AT50" t="e">
        <f>AND(Sheet1!K663,"AAAAABdjvy0=")</f>
        <v>#VALUE!</v>
      </c>
      <c r="AU50" t="e">
        <f>AND(Sheet1!L663,"AAAAABdjvy4=")</f>
        <v>#VALUE!</v>
      </c>
      <c r="AV50" t="e">
        <f>AND(Sheet1!M663,"AAAAABdjvy8=")</f>
        <v>#VALUE!</v>
      </c>
      <c r="AW50" t="e">
        <f>AND(Sheet1!N663,"AAAAABdjvzA=")</f>
        <v>#VALUE!</v>
      </c>
      <c r="AX50" t="e">
        <f>AND(Sheet1!#REF!,"AAAAABdjvzE=")</f>
        <v>#REF!</v>
      </c>
      <c r="AY50" t="e">
        <f>AND(Sheet1!#REF!,"AAAAABdjvzI=")</f>
        <v>#REF!</v>
      </c>
      <c r="AZ50" t="e">
        <f>AND(Sheet1!#REF!,"AAAAABdjvzM=")</f>
        <v>#REF!</v>
      </c>
      <c r="BA50" t="e">
        <f>AND(Sheet1!#REF!,"AAAAABdjvzQ=")</f>
        <v>#REF!</v>
      </c>
      <c r="BB50">
        <f>IF(Sheet1!664:664,"AAAAABdjvzU=",0)</f>
        <v>0</v>
      </c>
      <c r="BC50" t="e">
        <f>AND(Sheet1!A664,"AAAAABdjvzY=")</f>
        <v>#VALUE!</v>
      </c>
      <c r="BD50" t="e">
        <f>AND(Sheet1!B664,"AAAAABdjvzc=")</f>
        <v>#VALUE!</v>
      </c>
      <c r="BE50" t="e">
        <f>AND(Sheet1!C664,"AAAAABdjvzg=")</f>
        <v>#VALUE!</v>
      </c>
      <c r="BF50" t="e">
        <f>AND(Sheet1!D664,"AAAAABdjvzk=")</f>
        <v>#VALUE!</v>
      </c>
      <c r="BG50" t="e">
        <f>AND(Sheet1!E664,"AAAAABdjvzo=")</f>
        <v>#VALUE!</v>
      </c>
      <c r="BH50" t="e">
        <f>AND(Sheet1!F664,"AAAAABdjvzs=")</f>
        <v>#VALUE!</v>
      </c>
      <c r="BI50" t="e">
        <f>AND(Sheet1!G664,"AAAAABdjvzw=")</f>
        <v>#VALUE!</v>
      </c>
      <c r="BJ50" t="e">
        <f>AND(Sheet1!H664,"AAAAABdjvz0=")</f>
        <v>#VALUE!</v>
      </c>
      <c r="BK50" t="e">
        <f>AND(Sheet1!I664,"AAAAABdjvz4=")</f>
        <v>#VALUE!</v>
      </c>
      <c r="BL50" t="e">
        <f>AND(Sheet1!J664,"AAAAABdjvz8=")</f>
        <v>#VALUE!</v>
      </c>
      <c r="BM50" t="e">
        <f>AND(Sheet1!K664,"AAAAABdjv0A=")</f>
        <v>#VALUE!</v>
      </c>
      <c r="BN50" t="e">
        <f>AND(Sheet1!L664,"AAAAABdjv0E=")</f>
        <v>#VALUE!</v>
      </c>
      <c r="BO50" t="e">
        <f>AND(Sheet1!M664,"AAAAABdjv0I=")</f>
        <v>#VALUE!</v>
      </c>
      <c r="BP50" t="e">
        <f>AND(Sheet1!N664,"AAAAABdjv0M=")</f>
        <v>#VALUE!</v>
      </c>
      <c r="BQ50" t="e">
        <f>AND(Sheet1!#REF!,"AAAAABdjv0Q=")</f>
        <v>#REF!</v>
      </c>
      <c r="BR50" t="e">
        <f>AND(Sheet1!#REF!,"AAAAABdjv0U=")</f>
        <v>#REF!</v>
      </c>
      <c r="BS50" t="e">
        <f>AND(Sheet1!#REF!,"AAAAABdjv0Y=")</f>
        <v>#REF!</v>
      </c>
      <c r="BT50" t="e">
        <f>AND(Sheet1!#REF!,"AAAAABdjv0c=")</f>
        <v>#REF!</v>
      </c>
      <c r="BU50">
        <f>IF(Sheet1!665:665,"AAAAABdjv0g=",0)</f>
        <v>0</v>
      </c>
      <c r="BV50" t="e">
        <f>AND(Sheet1!A665,"AAAAABdjv0k=")</f>
        <v>#VALUE!</v>
      </c>
      <c r="BW50" t="e">
        <f>AND(Sheet1!B665,"AAAAABdjv0o=")</f>
        <v>#VALUE!</v>
      </c>
      <c r="BX50" t="e">
        <f>AND(Sheet1!C665,"AAAAABdjv0s=")</f>
        <v>#VALUE!</v>
      </c>
      <c r="BY50" t="e">
        <f>AND(Sheet1!D665,"AAAAABdjv0w=")</f>
        <v>#VALUE!</v>
      </c>
      <c r="BZ50" t="e">
        <f>AND(Sheet1!E665,"AAAAABdjv00=")</f>
        <v>#VALUE!</v>
      </c>
      <c r="CA50" t="e">
        <f>AND(Sheet1!F665,"AAAAABdjv04=")</f>
        <v>#VALUE!</v>
      </c>
      <c r="CB50" t="e">
        <f>AND(Sheet1!G665,"AAAAABdjv08=")</f>
        <v>#VALUE!</v>
      </c>
      <c r="CC50" t="e">
        <f>AND(Sheet1!H665,"AAAAABdjv1A=")</f>
        <v>#VALUE!</v>
      </c>
      <c r="CD50" t="e">
        <f>AND(Sheet1!I665,"AAAAABdjv1E=")</f>
        <v>#VALUE!</v>
      </c>
      <c r="CE50" t="e">
        <f>AND(Sheet1!J665,"AAAAABdjv1I=")</f>
        <v>#VALUE!</v>
      </c>
      <c r="CF50" t="e">
        <f>AND(Sheet1!K665,"AAAAABdjv1M=")</f>
        <v>#VALUE!</v>
      </c>
      <c r="CG50" t="e">
        <f>AND(Sheet1!L665,"AAAAABdjv1Q=")</f>
        <v>#VALUE!</v>
      </c>
      <c r="CH50" t="e">
        <f>AND(Sheet1!M665,"AAAAABdjv1U=")</f>
        <v>#VALUE!</v>
      </c>
      <c r="CI50" t="e">
        <f>AND(Sheet1!N665,"AAAAABdjv1Y=")</f>
        <v>#VALUE!</v>
      </c>
      <c r="CJ50" t="e">
        <f>AND(Sheet1!#REF!,"AAAAABdjv1c=")</f>
        <v>#REF!</v>
      </c>
      <c r="CK50" t="e">
        <f>AND(Sheet1!#REF!,"AAAAABdjv1g=")</f>
        <v>#REF!</v>
      </c>
      <c r="CL50" t="e">
        <f>AND(Sheet1!#REF!,"AAAAABdjv1k=")</f>
        <v>#REF!</v>
      </c>
      <c r="CM50" t="e">
        <f>AND(Sheet1!#REF!,"AAAAABdjv1o=")</f>
        <v>#REF!</v>
      </c>
      <c r="CN50">
        <f>IF(Sheet1!666:666,"AAAAABdjv1s=",0)</f>
        <v>0</v>
      </c>
      <c r="CO50" t="e">
        <f>AND(Sheet1!A666,"AAAAABdjv1w=")</f>
        <v>#VALUE!</v>
      </c>
      <c r="CP50" t="e">
        <f>AND(Sheet1!B666,"AAAAABdjv10=")</f>
        <v>#VALUE!</v>
      </c>
      <c r="CQ50" t="e">
        <f>AND(Sheet1!C666,"AAAAABdjv14=")</f>
        <v>#VALUE!</v>
      </c>
      <c r="CR50" t="e">
        <f>AND(Sheet1!D666,"AAAAABdjv18=")</f>
        <v>#VALUE!</v>
      </c>
      <c r="CS50" t="e">
        <f>AND(Sheet1!E666,"AAAAABdjv2A=")</f>
        <v>#VALUE!</v>
      </c>
      <c r="CT50" t="e">
        <f>AND(Sheet1!F666,"AAAAABdjv2E=")</f>
        <v>#VALUE!</v>
      </c>
      <c r="CU50" t="e">
        <f>AND(Sheet1!G666,"AAAAABdjv2I=")</f>
        <v>#VALUE!</v>
      </c>
      <c r="CV50" t="e">
        <f>AND(Sheet1!H666,"AAAAABdjv2M=")</f>
        <v>#VALUE!</v>
      </c>
      <c r="CW50" t="e">
        <f>AND(Sheet1!I666,"AAAAABdjv2Q=")</f>
        <v>#VALUE!</v>
      </c>
      <c r="CX50" t="e">
        <f>AND(Sheet1!J666,"AAAAABdjv2U=")</f>
        <v>#VALUE!</v>
      </c>
      <c r="CY50" t="e">
        <f>AND(Sheet1!K666,"AAAAABdjv2Y=")</f>
        <v>#VALUE!</v>
      </c>
      <c r="CZ50" t="e">
        <f>AND(Sheet1!L666,"AAAAABdjv2c=")</f>
        <v>#VALUE!</v>
      </c>
      <c r="DA50" t="e">
        <f>AND(Sheet1!M666,"AAAAABdjv2g=")</f>
        <v>#VALUE!</v>
      </c>
      <c r="DB50" t="e">
        <f>AND(Sheet1!N666,"AAAAABdjv2k=")</f>
        <v>#VALUE!</v>
      </c>
      <c r="DC50" t="e">
        <f>AND(Sheet1!#REF!,"AAAAABdjv2o=")</f>
        <v>#REF!</v>
      </c>
      <c r="DD50" t="e">
        <f>AND(Sheet1!#REF!,"AAAAABdjv2s=")</f>
        <v>#REF!</v>
      </c>
      <c r="DE50" t="e">
        <f>AND(Sheet1!#REF!,"AAAAABdjv2w=")</f>
        <v>#REF!</v>
      </c>
      <c r="DF50" t="e">
        <f>AND(Sheet1!#REF!,"AAAAABdjv20=")</f>
        <v>#REF!</v>
      </c>
      <c r="DG50">
        <f>IF(Sheet1!667:667,"AAAAABdjv24=",0)</f>
        <v>0</v>
      </c>
      <c r="DH50" t="e">
        <f>AND(Sheet1!A667,"AAAAABdjv28=")</f>
        <v>#VALUE!</v>
      </c>
      <c r="DI50" t="e">
        <f>AND(Sheet1!B667,"AAAAABdjv3A=")</f>
        <v>#VALUE!</v>
      </c>
      <c r="DJ50" t="e">
        <f>AND(Sheet1!C667,"AAAAABdjv3E=")</f>
        <v>#VALUE!</v>
      </c>
      <c r="DK50" t="e">
        <f>AND(Sheet1!D667,"AAAAABdjv3I=")</f>
        <v>#VALUE!</v>
      </c>
      <c r="DL50" t="e">
        <f>AND(Sheet1!E667,"AAAAABdjv3M=")</f>
        <v>#VALUE!</v>
      </c>
      <c r="DM50" t="e">
        <f>AND(Sheet1!F667,"AAAAABdjv3Q=")</f>
        <v>#VALUE!</v>
      </c>
      <c r="DN50" t="e">
        <f>AND(Sheet1!G667,"AAAAABdjv3U=")</f>
        <v>#VALUE!</v>
      </c>
      <c r="DO50" t="e">
        <f>AND(Sheet1!H667,"AAAAABdjv3Y=")</f>
        <v>#VALUE!</v>
      </c>
      <c r="DP50" t="e">
        <f>AND(Sheet1!I667,"AAAAABdjv3c=")</f>
        <v>#VALUE!</v>
      </c>
      <c r="DQ50" t="e">
        <f>AND(Sheet1!J667,"AAAAABdjv3g=")</f>
        <v>#VALUE!</v>
      </c>
      <c r="DR50" t="e">
        <f>AND(Sheet1!K667,"AAAAABdjv3k=")</f>
        <v>#VALUE!</v>
      </c>
      <c r="DS50" t="e">
        <f>AND(Sheet1!L667,"AAAAABdjv3o=")</f>
        <v>#VALUE!</v>
      </c>
      <c r="DT50" t="e">
        <f>AND(Sheet1!M667,"AAAAABdjv3s=")</f>
        <v>#VALUE!</v>
      </c>
      <c r="DU50" t="e">
        <f>AND(Sheet1!N667,"AAAAABdjv3w=")</f>
        <v>#VALUE!</v>
      </c>
      <c r="DV50" t="e">
        <f>AND(Sheet1!#REF!,"AAAAABdjv30=")</f>
        <v>#REF!</v>
      </c>
      <c r="DW50" t="e">
        <f>AND(Sheet1!#REF!,"AAAAABdjv34=")</f>
        <v>#REF!</v>
      </c>
      <c r="DX50" t="e">
        <f>AND(Sheet1!#REF!,"AAAAABdjv38=")</f>
        <v>#REF!</v>
      </c>
      <c r="DY50" t="e">
        <f>AND(Sheet1!#REF!,"AAAAABdjv4A=")</f>
        <v>#REF!</v>
      </c>
      <c r="DZ50">
        <f>IF(Sheet1!668:668,"AAAAABdjv4E=",0)</f>
        <v>0</v>
      </c>
      <c r="EA50" t="e">
        <f>AND(Sheet1!A668,"AAAAABdjv4I=")</f>
        <v>#VALUE!</v>
      </c>
      <c r="EB50" t="e">
        <f>AND(Sheet1!B668,"AAAAABdjv4M=")</f>
        <v>#VALUE!</v>
      </c>
      <c r="EC50" t="e">
        <f>AND(Sheet1!C668,"AAAAABdjv4Q=")</f>
        <v>#VALUE!</v>
      </c>
      <c r="ED50" t="e">
        <f>AND(Sheet1!D668,"AAAAABdjv4U=")</f>
        <v>#VALUE!</v>
      </c>
      <c r="EE50" t="e">
        <f>AND(Sheet1!E668,"AAAAABdjv4Y=")</f>
        <v>#VALUE!</v>
      </c>
      <c r="EF50" t="e">
        <f>AND(Sheet1!F668,"AAAAABdjv4c=")</f>
        <v>#VALUE!</v>
      </c>
      <c r="EG50" t="e">
        <f>AND(Sheet1!G668,"AAAAABdjv4g=")</f>
        <v>#VALUE!</v>
      </c>
      <c r="EH50" t="e">
        <f>AND(Sheet1!H668,"AAAAABdjv4k=")</f>
        <v>#VALUE!</v>
      </c>
      <c r="EI50" t="e">
        <f>AND(Sheet1!I668,"AAAAABdjv4o=")</f>
        <v>#VALUE!</v>
      </c>
      <c r="EJ50" t="e">
        <f>AND(Sheet1!J668,"AAAAABdjv4s=")</f>
        <v>#VALUE!</v>
      </c>
      <c r="EK50" t="e">
        <f>AND(Sheet1!K668,"AAAAABdjv4w=")</f>
        <v>#VALUE!</v>
      </c>
      <c r="EL50" t="e">
        <f>AND(Sheet1!L668,"AAAAABdjv40=")</f>
        <v>#VALUE!</v>
      </c>
      <c r="EM50" t="e">
        <f>AND(Sheet1!M668,"AAAAABdjv44=")</f>
        <v>#VALUE!</v>
      </c>
      <c r="EN50" t="e">
        <f>AND(Sheet1!N668,"AAAAABdjv48=")</f>
        <v>#VALUE!</v>
      </c>
      <c r="EO50" t="e">
        <f>AND(Sheet1!#REF!,"AAAAABdjv5A=")</f>
        <v>#REF!</v>
      </c>
      <c r="EP50" t="e">
        <f>AND(Sheet1!#REF!,"AAAAABdjv5E=")</f>
        <v>#REF!</v>
      </c>
      <c r="EQ50" t="e">
        <f>AND(Sheet1!#REF!,"AAAAABdjv5I=")</f>
        <v>#REF!</v>
      </c>
      <c r="ER50" t="e">
        <f>AND(Sheet1!#REF!,"AAAAABdjv5M=")</f>
        <v>#REF!</v>
      </c>
      <c r="ES50">
        <f>IF(Sheet1!669:669,"AAAAABdjv5Q=",0)</f>
        <v>0</v>
      </c>
      <c r="ET50" t="e">
        <f>AND(Sheet1!A669,"AAAAABdjv5U=")</f>
        <v>#VALUE!</v>
      </c>
      <c r="EU50" t="e">
        <f>AND(Sheet1!B669,"AAAAABdjv5Y=")</f>
        <v>#VALUE!</v>
      </c>
      <c r="EV50" t="e">
        <f>AND(Sheet1!C669,"AAAAABdjv5c=")</f>
        <v>#VALUE!</v>
      </c>
      <c r="EW50" t="e">
        <f>AND(Sheet1!D669,"AAAAABdjv5g=")</f>
        <v>#VALUE!</v>
      </c>
      <c r="EX50" t="e">
        <f>AND(Sheet1!E669,"AAAAABdjv5k=")</f>
        <v>#VALUE!</v>
      </c>
      <c r="EY50" t="e">
        <f>AND(Sheet1!F669,"AAAAABdjv5o=")</f>
        <v>#VALUE!</v>
      </c>
      <c r="EZ50" t="e">
        <f>AND(Sheet1!G669,"AAAAABdjv5s=")</f>
        <v>#VALUE!</v>
      </c>
      <c r="FA50" t="e">
        <f>AND(Sheet1!H669,"AAAAABdjv5w=")</f>
        <v>#VALUE!</v>
      </c>
      <c r="FB50" t="e">
        <f>AND(Sheet1!I669,"AAAAABdjv50=")</f>
        <v>#VALUE!</v>
      </c>
      <c r="FC50" t="e">
        <f>AND(Sheet1!J669,"AAAAABdjv54=")</f>
        <v>#VALUE!</v>
      </c>
      <c r="FD50" t="e">
        <f>AND(Sheet1!K669,"AAAAABdjv58=")</f>
        <v>#VALUE!</v>
      </c>
      <c r="FE50" t="e">
        <f>AND(Sheet1!L669,"AAAAABdjv6A=")</f>
        <v>#VALUE!</v>
      </c>
      <c r="FF50" t="e">
        <f>AND(Sheet1!M669,"AAAAABdjv6E=")</f>
        <v>#VALUE!</v>
      </c>
      <c r="FG50" t="e">
        <f>AND(Sheet1!N669,"AAAAABdjv6I=")</f>
        <v>#VALUE!</v>
      </c>
      <c r="FH50" t="e">
        <f>AND(Sheet1!#REF!,"AAAAABdjv6M=")</f>
        <v>#REF!</v>
      </c>
      <c r="FI50" t="e">
        <f>AND(Sheet1!#REF!,"AAAAABdjv6Q=")</f>
        <v>#REF!</v>
      </c>
      <c r="FJ50" t="e">
        <f>AND(Sheet1!#REF!,"AAAAABdjv6U=")</f>
        <v>#REF!</v>
      </c>
      <c r="FK50" t="e">
        <f>AND(Sheet1!#REF!,"AAAAABdjv6Y=")</f>
        <v>#REF!</v>
      </c>
      <c r="FL50">
        <f>IF(Sheet1!670:670,"AAAAABdjv6c=",0)</f>
        <v>0</v>
      </c>
      <c r="FM50" t="e">
        <f>AND(Sheet1!A670,"AAAAABdjv6g=")</f>
        <v>#VALUE!</v>
      </c>
      <c r="FN50" t="e">
        <f>AND(Sheet1!B670,"AAAAABdjv6k=")</f>
        <v>#VALUE!</v>
      </c>
      <c r="FO50" t="e">
        <f>AND(Sheet1!C670,"AAAAABdjv6o=")</f>
        <v>#VALUE!</v>
      </c>
      <c r="FP50" t="e">
        <f>AND(Sheet1!D670,"AAAAABdjv6s=")</f>
        <v>#VALUE!</v>
      </c>
      <c r="FQ50" t="e">
        <f>AND(Sheet1!E670,"AAAAABdjv6w=")</f>
        <v>#VALUE!</v>
      </c>
      <c r="FR50" t="e">
        <f>AND(Sheet1!F670,"AAAAABdjv60=")</f>
        <v>#VALUE!</v>
      </c>
      <c r="FS50" t="e">
        <f>AND(Sheet1!G670,"AAAAABdjv64=")</f>
        <v>#VALUE!</v>
      </c>
      <c r="FT50" t="e">
        <f>AND(Sheet1!H670,"AAAAABdjv68=")</f>
        <v>#VALUE!</v>
      </c>
      <c r="FU50" t="e">
        <f>AND(Sheet1!I670,"AAAAABdjv7A=")</f>
        <v>#VALUE!</v>
      </c>
      <c r="FV50" t="e">
        <f>AND(Sheet1!J670,"AAAAABdjv7E=")</f>
        <v>#VALUE!</v>
      </c>
      <c r="FW50" t="e">
        <f>AND(Sheet1!K670,"AAAAABdjv7I=")</f>
        <v>#VALUE!</v>
      </c>
      <c r="FX50" t="e">
        <f>AND(Sheet1!L670,"AAAAABdjv7M=")</f>
        <v>#VALUE!</v>
      </c>
      <c r="FY50" t="e">
        <f>AND(Sheet1!M670,"AAAAABdjv7Q=")</f>
        <v>#VALUE!</v>
      </c>
      <c r="FZ50" t="e">
        <f>AND(Sheet1!N670,"AAAAABdjv7U=")</f>
        <v>#VALUE!</v>
      </c>
      <c r="GA50" t="e">
        <f>AND(Sheet1!#REF!,"AAAAABdjv7Y=")</f>
        <v>#REF!</v>
      </c>
      <c r="GB50" t="e">
        <f>AND(Sheet1!#REF!,"AAAAABdjv7c=")</f>
        <v>#REF!</v>
      </c>
      <c r="GC50" t="e">
        <f>AND(Sheet1!#REF!,"AAAAABdjv7g=")</f>
        <v>#REF!</v>
      </c>
      <c r="GD50" t="e">
        <f>AND(Sheet1!#REF!,"AAAAABdjv7k=")</f>
        <v>#REF!</v>
      </c>
      <c r="GE50">
        <f>IF(Sheet1!671:671,"AAAAABdjv7o=",0)</f>
        <v>0</v>
      </c>
      <c r="GF50" t="e">
        <f>AND(Sheet1!A671,"AAAAABdjv7s=")</f>
        <v>#VALUE!</v>
      </c>
      <c r="GG50" t="e">
        <f>AND(Sheet1!B671,"AAAAABdjv7w=")</f>
        <v>#VALUE!</v>
      </c>
      <c r="GH50" t="e">
        <f>AND(Sheet1!C671,"AAAAABdjv70=")</f>
        <v>#VALUE!</v>
      </c>
      <c r="GI50" t="e">
        <f>AND(Sheet1!D671,"AAAAABdjv74=")</f>
        <v>#VALUE!</v>
      </c>
      <c r="GJ50" t="e">
        <f>AND(Sheet1!E671,"AAAAABdjv78=")</f>
        <v>#VALUE!</v>
      </c>
      <c r="GK50" t="e">
        <f>AND(Sheet1!F671,"AAAAABdjv8A=")</f>
        <v>#VALUE!</v>
      </c>
      <c r="GL50" t="e">
        <f>AND(Sheet1!G671,"AAAAABdjv8E=")</f>
        <v>#VALUE!</v>
      </c>
      <c r="GM50" t="e">
        <f>AND(Sheet1!H671,"AAAAABdjv8I=")</f>
        <v>#VALUE!</v>
      </c>
      <c r="GN50" t="e">
        <f>AND(Sheet1!I671,"AAAAABdjv8M=")</f>
        <v>#VALUE!</v>
      </c>
      <c r="GO50" t="e">
        <f>AND(Sheet1!J671,"AAAAABdjv8Q=")</f>
        <v>#VALUE!</v>
      </c>
      <c r="GP50" t="e">
        <f>AND(Sheet1!K671,"AAAAABdjv8U=")</f>
        <v>#VALUE!</v>
      </c>
      <c r="GQ50" t="e">
        <f>AND(Sheet1!L671,"AAAAABdjv8Y=")</f>
        <v>#VALUE!</v>
      </c>
      <c r="GR50" t="e">
        <f>AND(Sheet1!M671,"AAAAABdjv8c=")</f>
        <v>#VALUE!</v>
      </c>
      <c r="GS50" t="e">
        <f>AND(Sheet1!N671,"AAAAABdjv8g=")</f>
        <v>#VALUE!</v>
      </c>
      <c r="GT50" t="e">
        <f>AND(Sheet1!#REF!,"AAAAABdjv8k=")</f>
        <v>#REF!</v>
      </c>
      <c r="GU50" t="e">
        <f>AND(Sheet1!#REF!,"AAAAABdjv8o=")</f>
        <v>#REF!</v>
      </c>
      <c r="GV50" t="e">
        <f>AND(Sheet1!#REF!,"AAAAABdjv8s=")</f>
        <v>#REF!</v>
      </c>
      <c r="GW50" t="e">
        <f>AND(Sheet1!#REF!,"AAAAABdjv8w=")</f>
        <v>#REF!</v>
      </c>
      <c r="GX50">
        <f>IF(Sheet1!672:672,"AAAAABdjv80=",0)</f>
        <v>0</v>
      </c>
      <c r="GY50" t="e">
        <f>AND(Sheet1!A672,"AAAAABdjv84=")</f>
        <v>#VALUE!</v>
      </c>
      <c r="GZ50" t="e">
        <f>AND(Sheet1!B672,"AAAAABdjv88=")</f>
        <v>#VALUE!</v>
      </c>
      <c r="HA50" t="e">
        <f>AND(Sheet1!C672,"AAAAABdjv9A=")</f>
        <v>#VALUE!</v>
      </c>
      <c r="HB50" t="e">
        <f>AND(Sheet1!D672,"AAAAABdjv9E=")</f>
        <v>#VALUE!</v>
      </c>
      <c r="HC50" t="e">
        <f>AND(Sheet1!E672,"AAAAABdjv9I=")</f>
        <v>#VALUE!</v>
      </c>
      <c r="HD50" t="e">
        <f>AND(Sheet1!F672,"AAAAABdjv9M=")</f>
        <v>#VALUE!</v>
      </c>
      <c r="HE50" t="e">
        <f>AND(Sheet1!G672,"AAAAABdjv9Q=")</f>
        <v>#VALUE!</v>
      </c>
      <c r="HF50" t="e">
        <f>AND(Sheet1!H672,"AAAAABdjv9U=")</f>
        <v>#VALUE!</v>
      </c>
      <c r="HG50" t="e">
        <f>AND(Sheet1!I672,"AAAAABdjv9Y=")</f>
        <v>#VALUE!</v>
      </c>
      <c r="HH50" t="e">
        <f>AND(Sheet1!J672,"AAAAABdjv9c=")</f>
        <v>#VALUE!</v>
      </c>
      <c r="HI50" t="e">
        <f>AND(Sheet1!K672,"AAAAABdjv9g=")</f>
        <v>#VALUE!</v>
      </c>
      <c r="HJ50" t="e">
        <f>AND(Sheet1!L672,"AAAAABdjv9k=")</f>
        <v>#VALUE!</v>
      </c>
      <c r="HK50" t="e">
        <f>AND(Sheet1!M672,"AAAAABdjv9o=")</f>
        <v>#VALUE!</v>
      </c>
      <c r="HL50" t="e">
        <f>AND(Sheet1!N672,"AAAAABdjv9s=")</f>
        <v>#VALUE!</v>
      </c>
      <c r="HM50" t="e">
        <f>AND(Sheet1!#REF!,"AAAAABdjv9w=")</f>
        <v>#REF!</v>
      </c>
      <c r="HN50" t="e">
        <f>AND(Sheet1!#REF!,"AAAAABdjv90=")</f>
        <v>#REF!</v>
      </c>
      <c r="HO50" t="e">
        <f>AND(Sheet1!#REF!,"AAAAABdjv94=")</f>
        <v>#REF!</v>
      </c>
      <c r="HP50" t="e">
        <f>AND(Sheet1!#REF!,"AAAAABdjv98=")</f>
        <v>#REF!</v>
      </c>
      <c r="HQ50">
        <f>IF(Sheet1!673:673,"AAAAABdjv+A=",0)</f>
        <v>0</v>
      </c>
      <c r="HR50" t="e">
        <f>AND(Sheet1!A673,"AAAAABdjv+E=")</f>
        <v>#VALUE!</v>
      </c>
      <c r="HS50" t="e">
        <f>AND(Sheet1!B673,"AAAAABdjv+I=")</f>
        <v>#VALUE!</v>
      </c>
      <c r="HT50" t="e">
        <f>AND(Sheet1!C673,"AAAAABdjv+M=")</f>
        <v>#VALUE!</v>
      </c>
      <c r="HU50" t="e">
        <f>AND(Sheet1!D673,"AAAAABdjv+Q=")</f>
        <v>#VALUE!</v>
      </c>
      <c r="HV50" t="e">
        <f>AND(Sheet1!E673,"AAAAABdjv+U=")</f>
        <v>#VALUE!</v>
      </c>
      <c r="HW50" t="e">
        <f>AND(Sheet1!F673,"AAAAABdjv+Y=")</f>
        <v>#VALUE!</v>
      </c>
      <c r="HX50" t="e">
        <f>AND(Sheet1!G673,"AAAAABdjv+c=")</f>
        <v>#VALUE!</v>
      </c>
      <c r="HY50" t="e">
        <f>AND(Sheet1!H673,"AAAAABdjv+g=")</f>
        <v>#VALUE!</v>
      </c>
      <c r="HZ50" t="e">
        <f>AND(Sheet1!I673,"AAAAABdjv+k=")</f>
        <v>#VALUE!</v>
      </c>
      <c r="IA50" t="e">
        <f>AND(Sheet1!J673,"AAAAABdjv+o=")</f>
        <v>#VALUE!</v>
      </c>
      <c r="IB50" t="e">
        <f>AND(Sheet1!K673,"AAAAABdjv+s=")</f>
        <v>#VALUE!</v>
      </c>
      <c r="IC50" t="e">
        <f>AND(Sheet1!L673,"AAAAABdjv+w=")</f>
        <v>#VALUE!</v>
      </c>
      <c r="ID50" t="e">
        <f>AND(Sheet1!M673,"AAAAABdjv+0=")</f>
        <v>#VALUE!</v>
      </c>
      <c r="IE50" t="e">
        <f>AND(Sheet1!N673,"AAAAABdjv+4=")</f>
        <v>#VALUE!</v>
      </c>
      <c r="IF50" t="e">
        <f>AND(Sheet1!#REF!,"AAAAABdjv+8=")</f>
        <v>#REF!</v>
      </c>
      <c r="IG50" t="e">
        <f>AND(Sheet1!#REF!,"AAAAABdjv/A=")</f>
        <v>#REF!</v>
      </c>
      <c r="IH50" t="e">
        <f>AND(Sheet1!#REF!,"AAAAABdjv/E=")</f>
        <v>#REF!</v>
      </c>
      <c r="II50" t="e">
        <f>AND(Sheet1!#REF!,"AAAAABdjv/I=")</f>
        <v>#REF!</v>
      </c>
      <c r="IJ50">
        <f>IF(Sheet1!674:674,"AAAAABdjv/M=",0)</f>
        <v>0</v>
      </c>
      <c r="IK50" t="e">
        <f>AND(Sheet1!A674,"AAAAABdjv/Q=")</f>
        <v>#VALUE!</v>
      </c>
      <c r="IL50" t="e">
        <f>AND(Sheet1!B674,"AAAAABdjv/U=")</f>
        <v>#VALUE!</v>
      </c>
      <c r="IM50" t="e">
        <f>AND(Sheet1!C674,"AAAAABdjv/Y=")</f>
        <v>#VALUE!</v>
      </c>
      <c r="IN50" t="e">
        <f>AND(Sheet1!D674,"AAAAABdjv/c=")</f>
        <v>#VALUE!</v>
      </c>
      <c r="IO50" t="e">
        <f>AND(Sheet1!E674,"AAAAABdjv/g=")</f>
        <v>#VALUE!</v>
      </c>
      <c r="IP50" t="e">
        <f>AND(Sheet1!F674,"AAAAABdjv/k=")</f>
        <v>#VALUE!</v>
      </c>
      <c r="IQ50" t="e">
        <f>AND(Sheet1!G674,"AAAAABdjv/o=")</f>
        <v>#VALUE!</v>
      </c>
      <c r="IR50" t="e">
        <f>AND(Sheet1!H674,"AAAAABdjv/s=")</f>
        <v>#VALUE!</v>
      </c>
      <c r="IS50" t="e">
        <f>AND(Sheet1!I674,"AAAAABdjv/w=")</f>
        <v>#VALUE!</v>
      </c>
      <c r="IT50" t="e">
        <f>AND(Sheet1!J674,"AAAAABdjv/0=")</f>
        <v>#VALUE!</v>
      </c>
      <c r="IU50" t="e">
        <f>AND(Sheet1!K674,"AAAAABdjv/4=")</f>
        <v>#VALUE!</v>
      </c>
      <c r="IV50" t="e">
        <f>AND(Sheet1!L674,"AAAAABdjv/8=")</f>
        <v>#VALUE!</v>
      </c>
    </row>
    <row r="51" spans="1:256" x14ac:dyDescent="0.2">
      <c r="A51" t="e">
        <f>AND(Sheet1!M674,"AAAAAG9/9wA=")</f>
        <v>#VALUE!</v>
      </c>
      <c r="B51" t="e">
        <f>AND(Sheet1!N674,"AAAAAG9/9wE=")</f>
        <v>#VALUE!</v>
      </c>
      <c r="C51" t="e">
        <f>AND(Sheet1!#REF!,"AAAAAG9/9wI=")</f>
        <v>#REF!</v>
      </c>
      <c r="D51" t="e">
        <f>AND(Sheet1!#REF!,"AAAAAG9/9wM=")</f>
        <v>#REF!</v>
      </c>
      <c r="E51" t="e">
        <f>AND(Sheet1!#REF!,"AAAAAG9/9wQ=")</f>
        <v>#REF!</v>
      </c>
      <c r="F51" t="e">
        <f>AND(Sheet1!#REF!,"AAAAAG9/9wU=")</f>
        <v>#REF!</v>
      </c>
      <c r="G51" t="str">
        <f>IF(Sheet1!675:675,"AAAAAG9/9wY=",0)</f>
        <v>AAAAAG9/9wY=</v>
      </c>
      <c r="H51" t="e">
        <f>AND(Sheet1!A675,"AAAAAG9/9wc=")</f>
        <v>#VALUE!</v>
      </c>
      <c r="I51" t="e">
        <f>AND(Sheet1!B675,"AAAAAG9/9wg=")</f>
        <v>#VALUE!</v>
      </c>
      <c r="J51" t="e">
        <f>AND(Sheet1!C675,"AAAAAG9/9wk=")</f>
        <v>#VALUE!</v>
      </c>
      <c r="K51" t="e">
        <f>AND(Sheet1!D675,"AAAAAG9/9wo=")</f>
        <v>#VALUE!</v>
      </c>
      <c r="L51" t="e">
        <f>AND(Sheet1!E675,"AAAAAG9/9ws=")</f>
        <v>#VALUE!</v>
      </c>
      <c r="M51" t="e">
        <f>AND(Sheet1!F675,"AAAAAG9/9ww=")</f>
        <v>#VALUE!</v>
      </c>
      <c r="N51" t="e">
        <f>AND(Sheet1!G675,"AAAAAG9/9w0=")</f>
        <v>#VALUE!</v>
      </c>
      <c r="O51" t="e">
        <f>AND(Sheet1!H675,"AAAAAG9/9w4=")</f>
        <v>#VALUE!</v>
      </c>
      <c r="P51" t="e">
        <f>AND(Sheet1!I675,"AAAAAG9/9w8=")</f>
        <v>#VALUE!</v>
      </c>
      <c r="Q51" t="e">
        <f>AND(Sheet1!J675,"AAAAAG9/9xA=")</f>
        <v>#VALUE!</v>
      </c>
      <c r="R51" t="e">
        <f>AND(Sheet1!K675,"AAAAAG9/9xE=")</f>
        <v>#VALUE!</v>
      </c>
      <c r="S51" t="e">
        <f>AND(Sheet1!L675,"AAAAAG9/9xI=")</f>
        <v>#VALUE!</v>
      </c>
      <c r="T51" t="e">
        <f>AND(Sheet1!M675,"AAAAAG9/9xM=")</f>
        <v>#VALUE!</v>
      </c>
      <c r="U51" t="e">
        <f>AND(Sheet1!N675,"AAAAAG9/9xQ=")</f>
        <v>#VALUE!</v>
      </c>
      <c r="V51" t="e">
        <f>AND(Sheet1!#REF!,"AAAAAG9/9xU=")</f>
        <v>#REF!</v>
      </c>
      <c r="W51" t="e">
        <f>AND(Sheet1!#REF!,"AAAAAG9/9xY=")</f>
        <v>#REF!</v>
      </c>
      <c r="X51" t="e">
        <f>AND(Sheet1!#REF!,"AAAAAG9/9xc=")</f>
        <v>#REF!</v>
      </c>
      <c r="Y51" t="e">
        <f>AND(Sheet1!#REF!,"AAAAAG9/9xg=")</f>
        <v>#REF!</v>
      </c>
      <c r="Z51">
        <f>IF(Sheet1!676:676,"AAAAAG9/9xk=",0)</f>
        <v>0</v>
      </c>
      <c r="AA51" t="e">
        <f>AND(Sheet1!A676,"AAAAAG9/9xo=")</f>
        <v>#VALUE!</v>
      </c>
      <c r="AB51" t="e">
        <f>AND(Sheet1!B676,"AAAAAG9/9xs=")</f>
        <v>#VALUE!</v>
      </c>
      <c r="AC51" t="e">
        <f>AND(Sheet1!C676,"AAAAAG9/9xw=")</f>
        <v>#VALUE!</v>
      </c>
      <c r="AD51" t="e">
        <f>AND(Sheet1!D676,"AAAAAG9/9x0=")</f>
        <v>#VALUE!</v>
      </c>
      <c r="AE51" t="e">
        <f>AND(Sheet1!E676,"AAAAAG9/9x4=")</f>
        <v>#VALUE!</v>
      </c>
      <c r="AF51" t="e">
        <f>AND(Sheet1!F676,"AAAAAG9/9x8=")</f>
        <v>#VALUE!</v>
      </c>
      <c r="AG51" t="e">
        <f>AND(Sheet1!G676,"AAAAAG9/9yA=")</f>
        <v>#VALUE!</v>
      </c>
      <c r="AH51" t="e">
        <f>AND(Sheet1!H676,"AAAAAG9/9yE=")</f>
        <v>#VALUE!</v>
      </c>
      <c r="AI51" t="e">
        <f>AND(Sheet1!I676,"AAAAAG9/9yI=")</f>
        <v>#VALUE!</v>
      </c>
      <c r="AJ51" t="e">
        <f>AND(Sheet1!J676,"AAAAAG9/9yM=")</f>
        <v>#VALUE!</v>
      </c>
      <c r="AK51" t="e">
        <f>AND(Sheet1!K676,"AAAAAG9/9yQ=")</f>
        <v>#VALUE!</v>
      </c>
      <c r="AL51" t="e">
        <f>AND(Sheet1!L676,"AAAAAG9/9yU=")</f>
        <v>#VALUE!</v>
      </c>
      <c r="AM51" t="e">
        <f>AND(Sheet1!M676,"AAAAAG9/9yY=")</f>
        <v>#VALUE!</v>
      </c>
      <c r="AN51" t="e">
        <f>AND(Sheet1!N676,"AAAAAG9/9yc=")</f>
        <v>#VALUE!</v>
      </c>
      <c r="AO51" t="e">
        <f>AND(Sheet1!#REF!,"AAAAAG9/9yg=")</f>
        <v>#REF!</v>
      </c>
      <c r="AP51" t="e">
        <f>AND(Sheet1!#REF!,"AAAAAG9/9yk=")</f>
        <v>#REF!</v>
      </c>
      <c r="AQ51" t="e">
        <f>AND(Sheet1!#REF!,"AAAAAG9/9yo=")</f>
        <v>#REF!</v>
      </c>
      <c r="AR51" t="e">
        <f>AND(Sheet1!#REF!,"AAAAAG9/9ys=")</f>
        <v>#REF!</v>
      </c>
      <c r="AS51">
        <f>IF(Sheet1!677:677,"AAAAAG9/9yw=",0)</f>
        <v>0</v>
      </c>
      <c r="AT51" t="e">
        <f>AND(Sheet1!A677,"AAAAAG9/9y0=")</f>
        <v>#VALUE!</v>
      </c>
      <c r="AU51" t="e">
        <f>AND(Sheet1!B677,"AAAAAG9/9y4=")</f>
        <v>#VALUE!</v>
      </c>
      <c r="AV51" t="e">
        <f>AND(Sheet1!C677,"AAAAAG9/9y8=")</f>
        <v>#VALUE!</v>
      </c>
      <c r="AW51" t="e">
        <f>AND(Sheet1!D677,"AAAAAG9/9zA=")</f>
        <v>#VALUE!</v>
      </c>
      <c r="AX51" t="e">
        <f>AND(Sheet1!E677,"AAAAAG9/9zE=")</f>
        <v>#VALUE!</v>
      </c>
      <c r="AY51" t="e">
        <f>AND(Sheet1!F677,"AAAAAG9/9zI=")</f>
        <v>#VALUE!</v>
      </c>
      <c r="AZ51" t="e">
        <f>AND(Sheet1!G677,"AAAAAG9/9zM=")</f>
        <v>#VALUE!</v>
      </c>
      <c r="BA51" t="e">
        <f>AND(Sheet1!H677,"AAAAAG9/9zQ=")</f>
        <v>#VALUE!</v>
      </c>
      <c r="BB51" t="e">
        <f>AND(Sheet1!I677,"AAAAAG9/9zU=")</f>
        <v>#VALUE!</v>
      </c>
      <c r="BC51" t="e">
        <f>AND(Sheet1!J677,"AAAAAG9/9zY=")</f>
        <v>#VALUE!</v>
      </c>
      <c r="BD51" t="e">
        <f>AND(Sheet1!K677,"AAAAAG9/9zc=")</f>
        <v>#VALUE!</v>
      </c>
      <c r="BE51" t="e">
        <f>AND(Sheet1!L677,"AAAAAG9/9zg=")</f>
        <v>#VALUE!</v>
      </c>
      <c r="BF51" t="e">
        <f>AND(Sheet1!M677,"AAAAAG9/9zk=")</f>
        <v>#VALUE!</v>
      </c>
      <c r="BG51" t="e">
        <f>AND(Sheet1!N677,"AAAAAG9/9zo=")</f>
        <v>#VALUE!</v>
      </c>
      <c r="BH51" t="e">
        <f>AND(Sheet1!#REF!,"AAAAAG9/9zs=")</f>
        <v>#REF!</v>
      </c>
      <c r="BI51" t="e">
        <f>AND(Sheet1!#REF!,"AAAAAG9/9zw=")</f>
        <v>#REF!</v>
      </c>
      <c r="BJ51" t="e">
        <f>AND(Sheet1!#REF!,"AAAAAG9/9z0=")</f>
        <v>#REF!</v>
      </c>
      <c r="BK51" t="e">
        <f>AND(Sheet1!#REF!,"AAAAAG9/9z4=")</f>
        <v>#REF!</v>
      </c>
      <c r="BL51">
        <f>IF(Sheet1!678:678,"AAAAAG9/9z8=",0)</f>
        <v>0</v>
      </c>
      <c r="BM51" t="e">
        <f>AND(Sheet1!A678,"AAAAAG9/90A=")</f>
        <v>#VALUE!</v>
      </c>
      <c r="BN51" t="e">
        <f>AND(Sheet1!B678,"AAAAAG9/90E=")</f>
        <v>#VALUE!</v>
      </c>
      <c r="BO51" t="e">
        <f>AND(Sheet1!C678,"AAAAAG9/90I=")</f>
        <v>#VALUE!</v>
      </c>
      <c r="BP51" t="e">
        <f>AND(Sheet1!D678,"AAAAAG9/90M=")</f>
        <v>#VALUE!</v>
      </c>
      <c r="BQ51" t="e">
        <f>AND(Sheet1!E678,"AAAAAG9/90Q=")</f>
        <v>#VALUE!</v>
      </c>
      <c r="BR51" t="e">
        <f>AND(Sheet1!F678,"AAAAAG9/90U=")</f>
        <v>#VALUE!</v>
      </c>
      <c r="BS51" t="e">
        <f>AND(Sheet1!G678,"AAAAAG9/90Y=")</f>
        <v>#VALUE!</v>
      </c>
      <c r="BT51" t="e">
        <f>AND(Sheet1!H678,"AAAAAG9/90c=")</f>
        <v>#VALUE!</v>
      </c>
      <c r="BU51" t="e">
        <f>AND(Sheet1!I678,"AAAAAG9/90g=")</f>
        <v>#VALUE!</v>
      </c>
      <c r="BV51" t="e">
        <f>AND(Sheet1!J678,"AAAAAG9/90k=")</f>
        <v>#VALUE!</v>
      </c>
      <c r="BW51" t="e">
        <f>AND(Sheet1!K678,"AAAAAG9/90o=")</f>
        <v>#VALUE!</v>
      </c>
      <c r="BX51" t="e">
        <f>AND(Sheet1!L678,"AAAAAG9/90s=")</f>
        <v>#VALUE!</v>
      </c>
      <c r="BY51" t="e">
        <f>AND(Sheet1!M678,"AAAAAG9/90w=")</f>
        <v>#VALUE!</v>
      </c>
      <c r="BZ51" t="e">
        <f>AND(Sheet1!N678,"AAAAAG9/900=")</f>
        <v>#VALUE!</v>
      </c>
      <c r="CA51" t="e">
        <f>AND(Sheet1!#REF!,"AAAAAG9/904=")</f>
        <v>#REF!</v>
      </c>
      <c r="CB51" t="e">
        <f>AND(Sheet1!#REF!,"AAAAAG9/908=")</f>
        <v>#REF!</v>
      </c>
      <c r="CC51" t="e">
        <f>AND(Sheet1!#REF!,"AAAAAG9/91A=")</f>
        <v>#REF!</v>
      </c>
      <c r="CD51" t="e">
        <f>AND(Sheet1!#REF!,"AAAAAG9/91E=")</f>
        <v>#REF!</v>
      </c>
      <c r="CE51">
        <f>IF(Sheet1!679:679,"AAAAAG9/91I=",0)</f>
        <v>0</v>
      </c>
      <c r="CF51" t="e">
        <f>AND(Sheet1!A679,"AAAAAG9/91M=")</f>
        <v>#VALUE!</v>
      </c>
      <c r="CG51" t="e">
        <f>AND(Sheet1!B679,"AAAAAG9/91Q=")</f>
        <v>#VALUE!</v>
      </c>
      <c r="CH51" t="e">
        <f>AND(Sheet1!C679,"AAAAAG9/91U=")</f>
        <v>#VALUE!</v>
      </c>
      <c r="CI51" t="e">
        <f>AND(Sheet1!D679,"AAAAAG9/91Y=")</f>
        <v>#VALUE!</v>
      </c>
      <c r="CJ51" t="e">
        <f>AND(Sheet1!E679,"AAAAAG9/91c=")</f>
        <v>#VALUE!</v>
      </c>
      <c r="CK51" t="e">
        <f>AND(Sheet1!F679,"AAAAAG9/91g=")</f>
        <v>#VALUE!</v>
      </c>
      <c r="CL51" t="e">
        <f>AND(Sheet1!G679,"AAAAAG9/91k=")</f>
        <v>#VALUE!</v>
      </c>
      <c r="CM51" t="e">
        <f>AND(Sheet1!H679,"AAAAAG9/91o=")</f>
        <v>#VALUE!</v>
      </c>
      <c r="CN51" t="e">
        <f>AND(Sheet1!I679,"AAAAAG9/91s=")</f>
        <v>#VALUE!</v>
      </c>
      <c r="CO51" t="e">
        <f>AND(Sheet1!J679,"AAAAAG9/91w=")</f>
        <v>#VALUE!</v>
      </c>
      <c r="CP51" t="e">
        <f>AND(Sheet1!K679,"AAAAAG9/910=")</f>
        <v>#VALUE!</v>
      </c>
      <c r="CQ51" t="e">
        <f>AND(Sheet1!L679,"AAAAAG9/914=")</f>
        <v>#VALUE!</v>
      </c>
      <c r="CR51" t="e">
        <f>AND(Sheet1!M679,"AAAAAG9/918=")</f>
        <v>#VALUE!</v>
      </c>
      <c r="CS51" t="e">
        <f>AND(Sheet1!N679,"AAAAAG9/92A=")</f>
        <v>#VALUE!</v>
      </c>
      <c r="CT51" t="e">
        <f>AND(Sheet1!#REF!,"AAAAAG9/92E=")</f>
        <v>#REF!</v>
      </c>
      <c r="CU51" t="e">
        <f>AND(Sheet1!#REF!,"AAAAAG9/92I=")</f>
        <v>#REF!</v>
      </c>
      <c r="CV51" t="e">
        <f>AND(Sheet1!#REF!,"AAAAAG9/92M=")</f>
        <v>#REF!</v>
      </c>
      <c r="CW51" t="e">
        <f>AND(Sheet1!#REF!,"AAAAAG9/92Q=")</f>
        <v>#REF!</v>
      </c>
      <c r="CX51">
        <f>IF(Sheet1!680:680,"AAAAAG9/92U=",0)</f>
        <v>0</v>
      </c>
      <c r="CY51" t="e">
        <f>AND(Sheet1!A680,"AAAAAG9/92Y=")</f>
        <v>#VALUE!</v>
      </c>
      <c r="CZ51" t="e">
        <f>AND(Sheet1!B680,"AAAAAG9/92c=")</f>
        <v>#VALUE!</v>
      </c>
      <c r="DA51" t="e">
        <f>AND(Sheet1!C680,"AAAAAG9/92g=")</f>
        <v>#VALUE!</v>
      </c>
      <c r="DB51" t="e">
        <f>AND(Sheet1!D680,"AAAAAG9/92k=")</f>
        <v>#VALUE!</v>
      </c>
      <c r="DC51" t="e">
        <f>AND(Sheet1!E680,"AAAAAG9/92o=")</f>
        <v>#VALUE!</v>
      </c>
      <c r="DD51" t="e">
        <f>AND(Sheet1!F680,"AAAAAG9/92s=")</f>
        <v>#VALUE!</v>
      </c>
      <c r="DE51" t="e">
        <f>AND(Sheet1!G680,"AAAAAG9/92w=")</f>
        <v>#VALUE!</v>
      </c>
      <c r="DF51" t="e">
        <f>AND(Sheet1!H680,"AAAAAG9/920=")</f>
        <v>#VALUE!</v>
      </c>
      <c r="DG51" t="e">
        <f>AND(Sheet1!I680,"AAAAAG9/924=")</f>
        <v>#VALUE!</v>
      </c>
      <c r="DH51" t="e">
        <f>AND(Sheet1!J680,"AAAAAG9/928=")</f>
        <v>#VALUE!</v>
      </c>
      <c r="DI51" t="e">
        <f>AND(Sheet1!K680,"AAAAAG9/93A=")</f>
        <v>#VALUE!</v>
      </c>
      <c r="DJ51" t="e">
        <f>AND(Sheet1!L680,"AAAAAG9/93E=")</f>
        <v>#VALUE!</v>
      </c>
      <c r="DK51" t="e">
        <f>AND(Sheet1!M680,"AAAAAG9/93I=")</f>
        <v>#VALUE!</v>
      </c>
      <c r="DL51" t="e">
        <f>AND(Sheet1!N680,"AAAAAG9/93M=")</f>
        <v>#VALUE!</v>
      </c>
      <c r="DM51" t="e">
        <f>AND(Sheet1!#REF!,"AAAAAG9/93Q=")</f>
        <v>#REF!</v>
      </c>
      <c r="DN51" t="e">
        <f>AND(Sheet1!#REF!,"AAAAAG9/93U=")</f>
        <v>#REF!</v>
      </c>
      <c r="DO51" t="e">
        <f>AND(Sheet1!#REF!,"AAAAAG9/93Y=")</f>
        <v>#REF!</v>
      </c>
      <c r="DP51" t="e">
        <f>AND(Sheet1!#REF!,"AAAAAG9/93c=")</f>
        <v>#REF!</v>
      </c>
      <c r="DQ51">
        <f>IF(Sheet1!681:681,"AAAAAG9/93g=",0)</f>
        <v>0</v>
      </c>
      <c r="DR51" t="e">
        <f>AND(Sheet1!A681,"AAAAAG9/93k=")</f>
        <v>#VALUE!</v>
      </c>
      <c r="DS51" t="e">
        <f>AND(Sheet1!B681,"AAAAAG9/93o=")</f>
        <v>#VALUE!</v>
      </c>
      <c r="DT51" t="e">
        <f>AND(Sheet1!C681,"AAAAAG9/93s=")</f>
        <v>#VALUE!</v>
      </c>
      <c r="DU51" t="e">
        <f>AND(Sheet1!D681,"AAAAAG9/93w=")</f>
        <v>#VALUE!</v>
      </c>
      <c r="DV51" t="e">
        <f>AND(Sheet1!E681,"AAAAAG9/930=")</f>
        <v>#VALUE!</v>
      </c>
      <c r="DW51" t="e">
        <f>AND(Sheet1!F681,"AAAAAG9/934=")</f>
        <v>#VALUE!</v>
      </c>
      <c r="DX51" t="e">
        <f>AND(Sheet1!G681,"AAAAAG9/938=")</f>
        <v>#VALUE!</v>
      </c>
      <c r="DY51" t="e">
        <f>AND(Sheet1!H681,"AAAAAG9/94A=")</f>
        <v>#VALUE!</v>
      </c>
      <c r="DZ51" t="e">
        <f>AND(Sheet1!I681,"AAAAAG9/94E=")</f>
        <v>#VALUE!</v>
      </c>
      <c r="EA51" t="e">
        <f>AND(Sheet1!J681,"AAAAAG9/94I=")</f>
        <v>#VALUE!</v>
      </c>
      <c r="EB51" t="e">
        <f>AND(Sheet1!K681,"AAAAAG9/94M=")</f>
        <v>#VALUE!</v>
      </c>
      <c r="EC51" t="e">
        <f>AND(Sheet1!L681,"AAAAAG9/94Q=")</f>
        <v>#VALUE!</v>
      </c>
      <c r="ED51" t="e">
        <f>AND(Sheet1!M681,"AAAAAG9/94U=")</f>
        <v>#VALUE!</v>
      </c>
      <c r="EE51" t="e">
        <f>AND(Sheet1!N681,"AAAAAG9/94Y=")</f>
        <v>#VALUE!</v>
      </c>
      <c r="EF51" t="e">
        <f>AND(Sheet1!#REF!,"AAAAAG9/94c=")</f>
        <v>#REF!</v>
      </c>
      <c r="EG51" t="e">
        <f>AND(Sheet1!#REF!,"AAAAAG9/94g=")</f>
        <v>#REF!</v>
      </c>
      <c r="EH51" t="e">
        <f>AND(Sheet1!#REF!,"AAAAAG9/94k=")</f>
        <v>#REF!</v>
      </c>
      <c r="EI51" t="e">
        <f>AND(Sheet1!#REF!,"AAAAAG9/94o=")</f>
        <v>#REF!</v>
      </c>
      <c r="EJ51">
        <f>IF(Sheet1!682:682,"AAAAAG9/94s=",0)</f>
        <v>0</v>
      </c>
      <c r="EK51" t="e">
        <f>AND(Sheet1!A682,"AAAAAG9/94w=")</f>
        <v>#VALUE!</v>
      </c>
      <c r="EL51" t="e">
        <f>AND(Sheet1!B682,"AAAAAG9/940=")</f>
        <v>#VALUE!</v>
      </c>
      <c r="EM51" t="e">
        <f>AND(Sheet1!C682,"AAAAAG9/944=")</f>
        <v>#VALUE!</v>
      </c>
      <c r="EN51" t="e">
        <f>AND(Sheet1!D682,"AAAAAG9/948=")</f>
        <v>#VALUE!</v>
      </c>
      <c r="EO51" t="e">
        <f>AND(Sheet1!E682,"AAAAAG9/95A=")</f>
        <v>#VALUE!</v>
      </c>
      <c r="EP51" t="e">
        <f>AND(Sheet1!F682,"AAAAAG9/95E=")</f>
        <v>#VALUE!</v>
      </c>
      <c r="EQ51" t="e">
        <f>AND(Sheet1!G682,"AAAAAG9/95I=")</f>
        <v>#VALUE!</v>
      </c>
      <c r="ER51" t="e">
        <f>AND(Sheet1!H682,"AAAAAG9/95M=")</f>
        <v>#VALUE!</v>
      </c>
      <c r="ES51" t="e">
        <f>AND(Sheet1!I682,"AAAAAG9/95Q=")</f>
        <v>#VALUE!</v>
      </c>
      <c r="ET51" t="e">
        <f>AND(Sheet1!J682,"AAAAAG9/95U=")</f>
        <v>#VALUE!</v>
      </c>
      <c r="EU51" t="e">
        <f>AND(Sheet1!K682,"AAAAAG9/95Y=")</f>
        <v>#VALUE!</v>
      </c>
      <c r="EV51" t="e">
        <f>AND(Sheet1!L682,"AAAAAG9/95c=")</f>
        <v>#VALUE!</v>
      </c>
      <c r="EW51" t="e">
        <f>AND(Sheet1!M682,"AAAAAG9/95g=")</f>
        <v>#VALUE!</v>
      </c>
      <c r="EX51" t="e">
        <f>AND(Sheet1!N682,"AAAAAG9/95k=")</f>
        <v>#VALUE!</v>
      </c>
      <c r="EY51" t="e">
        <f>AND(Sheet1!#REF!,"AAAAAG9/95o=")</f>
        <v>#REF!</v>
      </c>
      <c r="EZ51" t="e">
        <f>AND(Sheet1!#REF!,"AAAAAG9/95s=")</f>
        <v>#REF!</v>
      </c>
      <c r="FA51" t="e">
        <f>AND(Sheet1!#REF!,"AAAAAG9/95w=")</f>
        <v>#REF!</v>
      </c>
      <c r="FB51" t="e">
        <f>AND(Sheet1!#REF!,"AAAAAG9/950=")</f>
        <v>#REF!</v>
      </c>
      <c r="FC51">
        <f>IF(Sheet1!683:683,"AAAAAG9/954=",0)</f>
        <v>0</v>
      </c>
      <c r="FD51" t="e">
        <f>AND(Sheet1!A683,"AAAAAG9/958=")</f>
        <v>#VALUE!</v>
      </c>
      <c r="FE51" t="e">
        <f>AND(Sheet1!B683,"AAAAAG9/96A=")</f>
        <v>#VALUE!</v>
      </c>
      <c r="FF51" t="e">
        <f>AND(Sheet1!C683,"AAAAAG9/96E=")</f>
        <v>#VALUE!</v>
      </c>
      <c r="FG51" t="e">
        <f>AND(Sheet1!D683,"AAAAAG9/96I=")</f>
        <v>#VALUE!</v>
      </c>
      <c r="FH51" t="e">
        <f>AND(Sheet1!E683,"AAAAAG9/96M=")</f>
        <v>#VALUE!</v>
      </c>
      <c r="FI51" t="e">
        <f>AND(Sheet1!F683,"AAAAAG9/96Q=")</f>
        <v>#VALUE!</v>
      </c>
      <c r="FJ51" t="e">
        <f>AND(Sheet1!G683,"AAAAAG9/96U=")</f>
        <v>#VALUE!</v>
      </c>
      <c r="FK51" t="e">
        <f>AND(Sheet1!H683,"AAAAAG9/96Y=")</f>
        <v>#VALUE!</v>
      </c>
      <c r="FL51" t="e">
        <f>AND(Sheet1!I683,"AAAAAG9/96c=")</f>
        <v>#VALUE!</v>
      </c>
      <c r="FM51" t="e">
        <f>AND(Sheet1!J683,"AAAAAG9/96g=")</f>
        <v>#VALUE!</v>
      </c>
      <c r="FN51" t="e">
        <f>AND(Sheet1!K683,"AAAAAG9/96k=")</f>
        <v>#VALUE!</v>
      </c>
      <c r="FO51" t="e">
        <f>AND(Sheet1!L683,"AAAAAG9/96o=")</f>
        <v>#VALUE!</v>
      </c>
      <c r="FP51" t="e">
        <f>AND(Sheet1!M683,"AAAAAG9/96s=")</f>
        <v>#VALUE!</v>
      </c>
      <c r="FQ51" t="e">
        <f>AND(Sheet1!N683,"AAAAAG9/96w=")</f>
        <v>#VALUE!</v>
      </c>
      <c r="FR51" t="e">
        <f>AND(Sheet1!#REF!,"AAAAAG9/960=")</f>
        <v>#REF!</v>
      </c>
      <c r="FS51" t="e">
        <f>AND(Sheet1!#REF!,"AAAAAG9/964=")</f>
        <v>#REF!</v>
      </c>
      <c r="FT51" t="e">
        <f>AND(Sheet1!#REF!,"AAAAAG9/968=")</f>
        <v>#REF!</v>
      </c>
      <c r="FU51" t="e">
        <f>AND(Sheet1!#REF!,"AAAAAG9/97A=")</f>
        <v>#REF!</v>
      </c>
      <c r="FV51">
        <f>IF(Sheet1!684:684,"AAAAAG9/97E=",0)</f>
        <v>0</v>
      </c>
      <c r="FW51" t="e">
        <f>AND(Sheet1!A684,"AAAAAG9/97I=")</f>
        <v>#VALUE!</v>
      </c>
      <c r="FX51" t="e">
        <f>AND(Sheet1!B684,"AAAAAG9/97M=")</f>
        <v>#VALUE!</v>
      </c>
      <c r="FY51" t="e">
        <f>AND(Sheet1!C684,"AAAAAG9/97Q=")</f>
        <v>#VALUE!</v>
      </c>
      <c r="FZ51" t="e">
        <f>AND(Sheet1!D684,"AAAAAG9/97U=")</f>
        <v>#VALUE!</v>
      </c>
      <c r="GA51" t="e">
        <f>AND(Sheet1!E684,"AAAAAG9/97Y=")</f>
        <v>#VALUE!</v>
      </c>
      <c r="GB51" t="e">
        <f>AND(Sheet1!F684,"AAAAAG9/97c=")</f>
        <v>#VALUE!</v>
      </c>
      <c r="GC51" t="e">
        <f>AND(Sheet1!G684,"AAAAAG9/97g=")</f>
        <v>#VALUE!</v>
      </c>
      <c r="GD51" t="e">
        <f>AND(Sheet1!H684,"AAAAAG9/97k=")</f>
        <v>#VALUE!</v>
      </c>
      <c r="GE51" t="e">
        <f>AND(Sheet1!I684,"AAAAAG9/97o=")</f>
        <v>#VALUE!</v>
      </c>
      <c r="GF51" t="e">
        <f>AND(Sheet1!J684,"AAAAAG9/97s=")</f>
        <v>#VALUE!</v>
      </c>
      <c r="GG51" t="e">
        <f>AND(Sheet1!K684,"AAAAAG9/97w=")</f>
        <v>#VALUE!</v>
      </c>
      <c r="GH51" t="e">
        <f>AND(Sheet1!L684,"AAAAAG9/970=")</f>
        <v>#VALUE!</v>
      </c>
      <c r="GI51" t="e">
        <f>AND(Sheet1!M684,"AAAAAG9/974=")</f>
        <v>#VALUE!</v>
      </c>
      <c r="GJ51" t="e">
        <f>AND(Sheet1!N684,"AAAAAG9/978=")</f>
        <v>#VALUE!</v>
      </c>
      <c r="GK51" t="e">
        <f>AND(Sheet1!#REF!,"AAAAAG9/98A=")</f>
        <v>#REF!</v>
      </c>
      <c r="GL51" t="e">
        <f>AND(Sheet1!#REF!,"AAAAAG9/98E=")</f>
        <v>#REF!</v>
      </c>
      <c r="GM51" t="e">
        <f>AND(Sheet1!#REF!,"AAAAAG9/98I=")</f>
        <v>#REF!</v>
      </c>
      <c r="GN51" t="e">
        <f>AND(Sheet1!#REF!,"AAAAAG9/98M=")</f>
        <v>#REF!</v>
      </c>
      <c r="GO51">
        <f>IF(Sheet1!685:685,"AAAAAG9/98Q=",0)</f>
        <v>0</v>
      </c>
      <c r="GP51" t="e">
        <f>AND(Sheet1!A685,"AAAAAG9/98U=")</f>
        <v>#VALUE!</v>
      </c>
      <c r="GQ51" t="e">
        <f>AND(Sheet1!B685,"AAAAAG9/98Y=")</f>
        <v>#VALUE!</v>
      </c>
      <c r="GR51" t="e">
        <f>AND(Sheet1!C685,"AAAAAG9/98c=")</f>
        <v>#VALUE!</v>
      </c>
      <c r="GS51" t="e">
        <f>AND(Sheet1!D685,"AAAAAG9/98g=")</f>
        <v>#VALUE!</v>
      </c>
      <c r="GT51" t="e">
        <f>AND(Sheet1!E685,"AAAAAG9/98k=")</f>
        <v>#VALUE!</v>
      </c>
      <c r="GU51" t="e">
        <f>AND(Sheet1!F685,"AAAAAG9/98o=")</f>
        <v>#VALUE!</v>
      </c>
      <c r="GV51" t="e">
        <f>AND(Sheet1!G685,"AAAAAG9/98s=")</f>
        <v>#VALUE!</v>
      </c>
      <c r="GW51" t="e">
        <f>AND(Sheet1!H685,"AAAAAG9/98w=")</f>
        <v>#VALUE!</v>
      </c>
      <c r="GX51" t="e">
        <f>AND(Sheet1!I685,"AAAAAG9/980=")</f>
        <v>#VALUE!</v>
      </c>
      <c r="GY51" t="e">
        <f>AND(Sheet1!J685,"AAAAAG9/984=")</f>
        <v>#VALUE!</v>
      </c>
      <c r="GZ51" t="e">
        <f>AND(Sheet1!K685,"AAAAAG9/988=")</f>
        <v>#VALUE!</v>
      </c>
      <c r="HA51" t="e">
        <f>AND(Sheet1!L685,"AAAAAG9/99A=")</f>
        <v>#VALUE!</v>
      </c>
      <c r="HB51" t="e">
        <f>AND(Sheet1!M685,"AAAAAG9/99E=")</f>
        <v>#VALUE!</v>
      </c>
      <c r="HC51" t="e">
        <f>AND(Sheet1!N685,"AAAAAG9/99I=")</f>
        <v>#VALUE!</v>
      </c>
      <c r="HD51" t="e">
        <f>AND(Sheet1!#REF!,"AAAAAG9/99M=")</f>
        <v>#REF!</v>
      </c>
      <c r="HE51" t="e">
        <f>AND(Sheet1!#REF!,"AAAAAG9/99Q=")</f>
        <v>#REF!</v>
      </c>
      <c r="HF51" t="e">
        <f>AND(Sheet1!#REF!,"AAAAAG9/99U=")</f>
        <v>#REF!</v>
      </c>
      <c r="HG51" t="e">
        <f>AND(Sheet1!#REF!,"AAAAAG9/99Y=")</f>
        <v>#REF!</v>
      </c>
      <c r="HH51">
        <f>IF(Sheet1!686:686,"AAAAAG9/99c=",0)</f>
        <v>0</v>
      </c>
      <c r="HI51" t="e">
        <f>AND(Sheet1!A686,"AAAAAG9/99g=")</f>
        <v>#VALUE!</v>
      </c>
      <c r="HJ51" t="e">
        <f>AND(Sheet1!B686,"AAAAAG9/99k=")</f>
        <v>#VALUE!</v>
      </c>
      <c r="HK51" t="e">
        <f>AND(Sheet1!C686,"AAAAAG9/99o=")</f>
        <v>#VALUE!</v>
      </c>
      <c r="HL51" t="e">
        <f>AND(Sheet1!D686,"AAAAAG9/99s=")</f>
        <v>#VALUE!</v>
      </c>
      <c r="HM51" t="e">
        <f>AND(Sheet1!E686,"AAAAAG9/99w=")</f>
        <v>#VALUE!</v>
      </c>
      <c r="HN51" t="e">
        <f>AND(Sheet1!F686,"AAAAAG9/990=")</f>
        <v>#VALUE!</v>
      </c>
      <c r="HO51" t="e">
        <f>AND(Sheet1!G686,"AAAAAG9/994=")</f>
        <v>#VALUE!</v>
      </c>
      <c r="HP51" t="e">
        <f>AND(Sheet1!H686,"AAAAAG9/998=")</f>
        <v>#VALUE!</v>
      </c>
      <c r="HQ51" t="e">
        <f>AND(Sheet1!I686,"AAAAAG9/9+A=")</f>
        <v>#VALUE!</v>
      </c>
      <c r="HR51" t="e">
        <f>AND(Sheet1!J686,"AAAAAG9/9+E=")</f>
        <v>#VALUE!</v>
      </c>
      <c r="HS51" t="e">
        <f>AND(Sheet1!K686,"AAAAAG9/9+I=")</f>
        <v>#VALUE!</v>
      </c>
      <c r="HT51" t="e">
        <f>AND(Sheet1!L686,"AAAAAG9/9+M=")</f>
        <v>#VALUE!</v>
      </c>
      <c r="HU51" t="e">
        <f>AND(Sheet1!M686,"AAAAAG9/9+Q=")</f>
        <v>#VALUE!</v>
      </c>
      <c r="HV51" t="e">
        <f>AND(Sheet1!N686,"AAAAAG9/9+U=")</f>
        <v>#VALUE!</v>
      </c>
      <c r="HW51" t="e">
        <f>AND(Sheet1!#REF!,"AAAAAG9/9+Y=")</f>
        <v>#REF!</v>
      </c>
      <c r="HX51" t="e">
        <f>AND(Sheet1!#REF!,"AAAAAG9/9+c=")</f>
        <v>#REF!</v>
      </c>
      <c r="HY51" t="e">
        <f>AND(Sheet1!#REF!,"AAAAAG9/9+g=")</f>
        <v>#REF!</v>
      </c>
      <c r="HZ51" t="e">
        <f>AND(Sheet1!#REF!,"AAAAAG9/9+k=")</f>
        <v>#REF!</v>
      </c>
      <c r="IA51">
        <f>IF(Sheet1!687:687,"AAAAAG9/9+o=",0)</f>
        <v>0</v>
      </c>
      <c r="IB51" t="e">
        <f>AND(Sheet1!A687,"AAAAAG9/9+s=")</f>
        <v>#VALUE!</v>
      </c>
      <c r="IC51" t="e">
        <f>AND(Sheet1!B687,"AAAAAG9/9+w=")</f>
        <v>#VALUE!</v>
      </c>
      <c r="ID51" t="e">
        <f>AND(Sheet1!C687,"AAAAAG9/9+0=")</f>
        <v>#VALUE!</v>
      </c>
      <c r="IE51" t="e">
        <f>AND(Sheet1!D687,"AAAAAG9/9+4=")</f>
        <v>#VALUE!</v>
      </c>
      <c r="IF51" t="e">
        <f>AND(Sheet1!E687,"AAAAAG9/9+8=")</f>
        <v>#VALUE!</v>
      </c>
      <c r="IG51" t="e">
        <f>AND(Sheet1!F687,"AAAAAG9/9/A=")</f>
        <v>#VALUE!</v>
      </c>
      <c r="IH51" t="e">
        <f>AND(Sheet1!G687,"AAAAAG9/9/E=")</f>
        <v>#VALUE!</v>
      </c>
      <c r="II51" t="e">
        <f>AND(Sheet1!H687,"AAAAAG9/9/I=")</f>
        <v>#VALUE!</v>
      </c>
      <c r="IJ51" t="e">
        <f>AND(Sheet1!I687,"AAAAAG9/9/M=")</f>
        <v>#VALUE!</v>
      </c>
      <c r="IK51" t="e">
        <f>AND(Sheet1!J687,"AAAAAG9/9/Q=")</f>
        <v>#VALUE!</v>
      </c>
      <c r="IL51" t="e">
        <f>AND(Sheet1!K687,"AAAAAG9/9/U=")</f>
        <v>#VALUE!</v>
      </c>
      <c r="IM51" t="e">
        <f>AND(Sheet1!L687,"AAAAAG9/9/Y=")</f>
        <v>#VALUE!</v>
      </c>
      <c r="IN51" t="e">
        <f>AND(Sheet1!M687,"AAAAAG9/9/c=")</f>
        <v>#VALUE!</v>
      </c>
      <c r="IO51" t="e">
        <f>AND(Sheet1!N687,"AAAAAG9/9/g=")</f>
        <v>#VALUE!</v>
      </c>
      <c r="IP51" t="e">
        <f>AND(Sheet1!#REF!,"AAAAAG9/9/k=")</f>
        <v>#REF!</v>
      </c>
      <c r="IQ51" t="e">
        <f>AND(Sheet1!#REF!,"AAAAAG9/9/o=")</f>
        <v>#REF!</v>
      </c>
      <c r="IR51" t="e">
        <f>AND(Sheet1!#REF!,"AAAAAG9/9/s=")</f>
        <v>#REF!</v>
      </c>
      <c r="IS51" t="e">
        <f>AND(Sheet1!#REF!,"AAAAAG9/9/w=")</f>
        <v>#REF!</v>
      </c>
      <c r="IT51">
        <f>IF(Sheet1!688:688,"AAAAAG9/9/0=",0)</f>
        <v>0</v>
      </c>
      <c r="IU51" t="e">
        <f>AND(Sheet1!A688,"AAAAAG9/9/4=")</f>
        <v>#VALUE!</v>
      </c>
      <c r="IV51" t="e">
        <f>AND(Sheet1!B688,"AAAAAG9/9/8=")</f>
        <v>#VALUE!</v>
      </c>
    </row>
    <row r="52" spans="1:256" x14ac:dyDescent="0.2">
      <c r="A52" t="e">
        <f>AND(Sheet1!C688,"AAAAAH98/wA=")</f>
        <v>#VALUE!</v>
      </c>
      <c r="B52" t="e">
        <f>AND(Sheet1!D688,"AAAAAH98/wE=")</f>
        <v>#VALUE!</v>
      </c>
      <c r="C52" t="e">
        <f>AND(Sheet1!E688,"AAAAAH98/wI=")</f>
        <v>#VALUE!</v>
      </c>
      <c r="D52" t="e">
        <f>AND(Sheet1!F688,"AAAAAH98/wM=")</f>
        <v>#VALUE!</v>
      </c>
      <c r="E52" t="e">
        <f>AND(Sheet1!G688,"AAAAAH98/wQ=")</f>
        <v>#VALUE!</v>
      </c>
      <c r="F52" t="e">
        <f>AND(Sheet1!H688,"AAAAAH98/wU=")</f>
        <v>#VALUE!</v>
      </c>
      <c r="G52" t="e">
        <f>AND(Sheet1!I688,"AAAAAH98/wY=")</f>
        <v>#VALUE!</v>
      </c>
      <c r="H52" t="e">
        <f>AND(Sheet1!J688,"AAAAAH98/wc=")</f>
        <v>#VALUE!</v>
      </c>
      <c r="I52" t="e">
        <f>AND(Sheet1!K688,"AAAAAH98/wg=")</f>
        <v>#VALUE!</v>
      </c>
      <c r="J52" t="e">
        <f>AND(Sheet1!L688,"AAAAAH98/wk=")</f>
        <v>#VALUE!</v>
      </c>
      <c r="K52" t="e">
        <f>AND(Sheet1!M688,"AAAAAH98/wo=")</f>
        <v>#VALUE!</v>
      </c>
      <c r="L52" t="e">
        <f>AND(Sheet1!N688,"AAAAAH98/ws=")</f>
        <v>#VALUE!</v>
      </c>
      <c r="M52" t="e">
        <f>AND(Sheet1!#REF!,"AAAAAH98/ww=")</f>
        <v>#REF!</v>
      </c>
      <c r="N52" t="e">
        <f>AND(Sheet1!#REF!,"AAAAAH98/w0=")</f>
        <v>#REF!</v>
      </c>
      <c r="O52" t="e">
        <f>AND(Sheet1!#REF!,"AAAAAH98/w4=")</f>
        <v>#REF!</v>
      </c>
      <c r="P52" t="e">
        <f>AND(Sheet1!#REF!,"AAAAAH98/w8=")</f>
        <v>#REF!</v>
      </c>
      <c r="Q52">
        <f>IF(Sheet1!689:689,"AAAAAH98/xA=",0)</f>
        <v>0</v>
      </c>
      <c r="R52" t="e">
        <f>AND(Sheet1!A689,"AAAAAH98/xE=")</f>
        <v>#VALUE!</v>
      </c>
      <c r="S52" t="e">
        <f>AND(Sheet1!B689,"AAAAAH98/xI=")</f>
        <v>#VALUE!</v>
      </c>
      <c r="T52" t="e">
        <f>AND(Sheet1!C689,"AAAAAH98/xM=")</f>
        <v>#VALUE!</v>
      </c>
      <c r="U52" t="e">
        <f>AND(Sheet1!D689,"AAAAAH98/xQ=")</f>
        <v>#VALUE!</v>
      </c>
      <c r="V52" t="e">
        <f>AND(Sheet1!E689,"AAAAAH98/xU=")</f>
        <v>#VALUE!</v>
      </c>
      <c r="W52" t="e">
        <f>AND(Sheet1!F689,"AAAAAH98/xY=")</f>
        <v>#VALUE!</v>
      </c>
      <c r="X52" t="e">
        <f>AND(Sheet1!G689,"AAAAAH98/xc=")</f>
        <v>#VALUE!</v>
      </c>
      <c r="Y52" t="e">
        <f>AND(Sheet1!H689,"AAAAAH98/xg=")</f>
        <v>#VALUE!</v>
      </c>
      <c r="Z52" t="e">
        <f>AND(Sheet1!I689,"AAAAAH98/xk=")</f>
        <v>#VALUE!</v>
      </c>
      <c r="AA52" t="e">
        <f>AND(Sheet1!J689,"AAAAAH98/xo=")</f>
        <v>#VALUE!</v>
      </c>
      <c r="AB52" t="e">
        <f>AND(Sheet1!K689,"AAAAAH98/xs=")</f>
        <v>#VALUE!</v>
      </c>
      <c r="AC52" t="e">
        <f>AND(Sheet1!L689,"AAAAAH98/xw=")</f>
        <v>#VALUE!</v>
      </c>
      <c r="AD52" t="e">
        <f>AND(Sheet1!M689,"AAAAAH98/x0=")</f>
        <v>#VALUE!</v>
      </c>
      <c r="AE52" t="e">
        <f>AND(Sheet1!N689,"AAAAAH98/x4=")</f>
        <v>#VALUE!</v>
      </c>
      <c r="AF52" t="e">
        <f>AND(Sheet1!#REF!,"AAAAAH98/x8=")</f>
        <v>#REF!</v>
      </c>
      <c r="AG52" t="e">
        <f>AND(Sheet1!#REF!,"AAAAAH98/yA=")</f>
        <v>#REF!</v>
      </c>
      <c r="AH52" t="e">
        <f>AND(Sheet1!#REF!,"AAAAAH98/yE=")</f>
        <v>#REF!</v>
      </c>
      <c r="AI52" t="e">
        <f>AND(Sheet1!#REF!,"AAAAAH98/yI=")</f>
        <v>#REF!</v>
      </c>
      <c r="AJ52">
        <f>IF(Sheet1!690:690,"AAAAAH98/yM=",0)</f>
        <v>0</v>
      </c>
      <c r="AK52" t="e">
        <f>AND(Sheet1!A690,"AAAAAH98/yQ=")</f>
        <v>#VALUE!</v>
      </c>
      <c r="AL52" t="e">
        <f>AND(Sheet1!B690,"AAAAAH98/yU=")</f>
        <v>#VALUE!</v>
      </c>
      <c r="AM52" t="e">
        <f>AND(Sheet1!C690,"AAAAAH98/yY=")</f>
        <v>#VALUE!</v>
      </c>
      <c r="AN52" t="e">
        <f>AND(Sheet1!D690,"AAAAAH98/yc=")</f>
        <v>#VALUE!</v>
      </c>
      <c r="AO52" t="e">
        <f>AND(Sheet1!E690,"AAAAAH98/yg=")</f>
        <v>#VALUE!</v>
      </c>
      <c r="AP52" t="e">
        <f>AND(Sheet1!F690,"AAAAAH98/yk=")</f>
        <v>#VALUE!</v>
      </c>
      <c r="AQ52" t="e">
        <f>AND(Sheet1!G690,"AAAAAH98/yo=")</f>
        <v>#VALUE!</v>
      </c>
      <c r="AR52" t="e">
        <f>AND(Sheet1!H690,"AAAAAH98/ys=")</f>
        <v>#VALUE!</v>
      </c>
      <c r="AS52" t="e">
        <f>AND(Sheet1!I690,"AAAAAH98/yw=")</f>
        <v>#VALUE!</v>
      </c>
      <c r="AT52" t="e">
        <f>AND(Sheet1!J690,"AAAAAH98/y0=")</f>
        <v>#VALUE!</v>
      </c>
      <c r="AU52" t="e">
        <f>AND(Sheet1!K690,"AAAAAH98/y4=")</f>
        <v>#VALUE!</v>
      </c>
      <c r="AV52" t="e">
        <f>AND(Sheet1!L690,"AAAAAH98/y8=")</f>
        <v>#VALUE!</v>
      </c>
      <c r="AW52" t="e">
        <f>AND(Sheet1!M690,"AAAAAH98/zA=")</f>
        <v>#VALUE!</v>
      </c>
      <c r="AX52" t="e">
        <f>AND(Sheet1!N690,"AAAAAH98/zE=")</f>
        <v>#VALUE!</v>
      </c>
      <c r="AY52" t="e">
        <f>AND(Sheet1!#REF!,"AAAAAH98/zI=")</f>
        <v>#REF!</v>
      </c>
      <c r="AZ52" t="e">
        <f>AND(Sheet1!#REF!,"AAAAAH98/zM=")</f>
        <v>#REF!</v>
      </c>
      <c r="BA52" t="e">
        <f>AND(Sheet1!#REF!,"AAAAAH98/zQ=")</f>
        <v>#REF!</v>
      </c>
      <c r="BB52" t="e">
        <f>AND(Sheet1!#REF!,"AAAAAH98/zU=")</f>
        <v>#REF!</v>
      </c>
      <c r="BC52">
        <f>IF(Sheet1!691:691,"AAAAAH98/zY=",0)</f>
        <v>0</v>
      </c>
      <c r="BD52" t="e">
        <f>AND(Sheet1!A691,"AAAAAH98/zc=")</f>
        <v>#VALUE!</v>
      </c>
      <c r="BE52" t="e">
        <f>AND(Sheet1!B691,"AAAAAH98/zg=")</f>
        <v>#VALUE!</v>
      </c>
      <c r="BF52" t="e">
        <f>AND(Sheet1!C691,"AAAAAH98/zk=")</f>
        <v>#VALUE!</v>
      </c>
      <c r="BG52" t="e">
        <f>AND(Sheet1!D691,"AAAAAH98/zo=")</f>
        <v>#VALUE!</v>
      </c>
      <c r="BH52" t="e">
        <f>AND(Sheet1!E691,"AAAAAH98/zs=")</f>
        <v>#VALUE!</v>
      </c>
      <c r="BI52" t="e">
        <f>AND(Sheet1!F691,"AAAAAH98/zw=")</f>
        <v>#VALUE!</v>
      </c>
      <c r="BJ52" t="e">
        <f>AND(Sheet1!G691,"AAAAAH98/z0=")</f>
        <v>#VALUE!</v>
      </c>
      <c r="BK52" t="e">
        <f>AND(Sheet1!H691,"AAAAAH98/z4=")</f>
        <v>#VALUE!</v>
      </c>
      <c r="BL52" t="e">
        <f>AND(Sheet1!I691,"AAAAAH98/z8=")</f>
        <v>#VALUE!</v>
      </c>
      <c r="BM52" t="e">
        <f>AND(Sheet1!J691,"AAAAAH98/0A=")</f>
        <v>#VALUE!</v>
      </c>
      <c r="BN52" t="e">
        <f>AND(Sheet1!K691,"AAAAAH98/0E=")</f>
        <v>#VALUE!</v>
      </c>
      <c r="BO52" t="e">
        <f>AND(Sheet1!L691,"AAAAAH98/0I=")</f>
        <v>#VALUE!</v>
      </c>
      <c r="BP52" t="e">
        <f>AND(Sheet1!M691,"AAAAAH98/0M=")</f>
        <v>#VALUE!</v>
      </c>
      <c r="BQ52" t="e">
        <f>AND(Sheet1!N691,"AAAAAH98/0Q=")</f>
        <v>#VALUE!</v>
      </c>
      <c r="BR52" t="e">
        <f>AND(Sheet1!#REF!,"AAAAAH98/0U=")</f>
        <v>#REF!</v>
      </c>
      <c r="BS52" t="e">
        <f>AND(Sheet1!#REF!,"AAAAAH98/0Y=")</f>
        <v>#REF!</v>
      </c>
      <c r="BT52" t="e">
        <f>AND(Sheet1!#REF!,"AAAAAH98/0c=")</f>
        <v>#REF!</v>
      </c>
      <c r="BU52" t="e">
        <f>AND(Sheet1!#REF!,"AAAAAH98/0g=")</f>
        <v>#REF!</v>
      </c>
      <c r="BV52">
        <f>IF(Sheet1!692:692,"AAAAAH98/0k=",0)</f>
        <v>0</v>
      </c>
      <c r="BW52" t="e">
        <f>AND(Sheet1!A692,"AAAAAH98/0o=")</f>
        <v>#VALUE!</v>
      </c>
      <c r="BX52" t="e">
        <f>AND(Sheet1!B692,"AAAAAH98/0s=")</f>
        <v>#VALUE!</v>
      </c>
      <c r="BY52" t="e">
        <f>AND(Sheet1!C692,"AAAAAH98/0w=")</f>
        <v>#VALUE!</v>
      </c>
      <c r="BZ52" t="e">
        <f>AND(Sheet1!D692,"AAAAAH98/00=")</f>
        <v>#VALUE!</v>
      </c>
      <c r="CA52" t="e">
        <f>AND(Sheet1!E692,"AAAAAH98/04=")</f>
        <v>#VALUE!</v>
      </c>
      <c r="CB52" t="e">
        <f>AND(Sheet1!F692,"AAAAAH98/08=")</f>
        <v>#VALUE!</v>
      </c>
      <c r="CC52" t="e">
        <f>AND(Sheet1!G692,"AAAAAH98/1A=")</f>
        <v>#VALUE!</v>
      </c>
      <c r="CD52" t="e">
        <f>AND(Sheet1!H692,"AAAAAH98/1E=")</f>
        <v>#VALUE!</v>
      </c>
      <c r="CE52" t="e">
        <f>AND(Sheet1!I692,"AAAAAH98/1I=")</f>
        <v>#VALUE!</v>
      </c>
      <c r="CF52" t="e">
        <f>AND(Sheet1!J692,"AAAAAH98/1M=")</f>
        <v>#VALUE!</v>
      </c>
      <c r="CG52" t="e">
        <f>AND(Sheet1!K692,"AAAAAH98/1Q=")</f>
        <v>#VALUE!</v>
      </c>
      <c r="CH52" t="e">
        <f>AND(Sheet1!L692,"AAAAAH98/1U=")</f>
        <v>#VALUE!</v>
      </c>
      <c r="CI52" t="e">
        <f>AND(Sheet1!M692,"AAAAAH98/1Y=")</f>
        <v>#VALUE!</v>
      </c>
      <c r="CJ52" t="e">
        <f>AND(Sheet1!N692,"AAAAAH98/1c=")</f>
        <v>#VALUE!</v>
      </c>
      <c r="CK52" t="e">
        <f>AND(Sheet1!#REF!,"AAAAAH98/1g=")</f>
        <v>#REF!</v>
      </c>
      <c r="CL52" t="e">
        <f>AND(Sheet1!#REF!,"AAAAAH98/1k=")</f>
        <v>#REF!</v>
      </c>
      <c r="CM52" t="e">
        <f>AND(Sheet1!#REF!,"AAAAAH98/1o=")</f>
        <v>#REF!</v>
      </c>
      <c r="CN52" t="e">
        <f>AND(Sheet1!#REF!,"AAAAAH98/1s=")</f>
        <v>#REF!</v>
      </c>
      <c r="CO52">
        <f>IF(Sheet1!693:693,"AAAAAH98/1w=",0)</f>
        <v>0</v>
      </c>
      <c r="CP52" t="e">
        <f>AND(Sheet1!A693,"AAAAAH98/10=")</f>
        <v>#VALUE!</v>
      </c>
      <c r="CQ52" t="e">
        <f>AND(Sheet1!B693,"AAAAAH98/14=")</f>
        <v>#VALUE!</v>
      </c>
      <c r="CR52" t="e">
        <f>AND(Sheet1!C693,"AAAAAH98/18=")</f>
        <v>#VALUE!</v>
      </c>
      <c r="CS52" t="e">
        <f>AND(Sheet1!D693,"AAAAAH98/2A=")</f>
        <v>#VALUE!</v>
      </c>
      <c r="CT52" t="e">
        <f>AND(Sheet1!E693,"AAAAAH98/2E=")</f>
        <v>#VALUE!</v>
      </c>
      <c r="CU52" t="e">
        <f>AND(Sheet1!F693,"AAAAAH98/2I=")</f>
        <v>#VALUE!</v>
      </c>
      <c r="CV52" t="e">
        <f>AND(Sheet1!G693,"AAAAAH98/2M=")</f>
        <v>#VALUE!</v>
      </c>
      <c r="CW52" t="e">
        <f>AND(Sheet1!H693,"AAAAAH98/2Q=")</f>
        <v>#VALUE!</v>
      </c>
      <c r="CX52" t="e">
        <f>AND(Sheet1!I693,"AAAAAH98/2U=")</f>
        <v>#VALUE!</v>
      </c>
      <c r="CY52" t="e">
        <f>AND(Sheet1!J693,"AAAAAH98/2Y=")</f>
        <v>#VALUE!</v>
      </c>
      <c r="CZ52" t="e">
        <f>AND(Sheet1!K693,"AAAAAH98/2c=")</f>
        <v>#VALUE!</v>
      </c>
      <c r="DA52" t="e">
        <f>AND(Sheet1!L693,"AAAAAH98/2g=")</f>
        <v>#VALUE!</v>
      </c>
      <c r="DB52" t="e">
        <f>AND(Sheet1!M693,"AAAAAH98/2k=")</f>
        <v>#VALUE!</v>
      </c>
      <c r="DC52" t="e">
        <f>AND(Sheet1!N693,"AAAAAH98/2o=")</f>
        <v>#VALUE!</v>
      </c>
      <c r="DD52" t="e">
        <f>AND(Sheet1!#REF!,"AAAAAH98/2s=")</f>
        <v>#REF!</v>
      </c>
      <c r="DE52" t="e">
        <f>AND(Sheet1!#REF!,"AAAAAH98/2w=")</f>
        <v>#REF!</v>
      </c>
      <c r="DF52" t="e">
        <f>AND(Sheet1!#REF!,"AAAAAH98/20=")</f>
        <v>#REF!</v>
      </c>
      <c r="DG52" t="e">
        <f>AND(Sheet1!#REF!,"AAAAAH98/24=")</f>
        <v>#REF!</v>
      </c>
      <c r="DH52">
        <f>IF(Sheet1!694:694,"AAAAAH98/28=",0)</f>
        <v>0</v>
      </c>
      <c r="DI52" t="e">
        <f>AND(Sheet1!A694,"AAAAAH98/3A=")</f>
        <v>#VALUE!</v>
      </c>
      <c r="DJ52" t="e">
        <f>AND(Sheet1!B694,"AAAAAH98/3E=")</f>
        <v>#VALUE!</v>
      </c>
      <c r="DK52" t="e">
        <f>AND(Sheet1!C694,"AAAAAH98/3I=")</f>
        <v>#VALUE!</v>
      </c>
      <c r="DL52" t="e">
        <f>AND(Sheet1!D694,"AAAAAH98/3M=")</f>
        <v>#VALUE!</v>
      </c>
      <c r="DM52" t="e">
        <f>AND(Sheet1!E694,"AAAAAH98/3Q=")</f>
        <v>#VALUE!</v>
      </c>
      <c r="DN52" t="e">
        <f>AND(Sheet1!F694,"AAAAAH98/3U=")</f>
        <v>#VALUE!</v>
      </c>
      <c r="DO52" t="e">
        <f>AND(Sheet1!G694,"AAAAAH98/3Y=")</f>
        <v>#VALUE!</v>
      </c>
      <c r="DP52" t="e">
        <f>AND(Sheet1!H694,"AAAAAH98/3c=")</f>
        <v>#VALUE!</v>
      </c>
      <c r="DQ52" t="e">
        <f>AND(Sheet1!I694,"AAAAAH98/3g=")</f>
        <v>#VALUE!</v>
      </c>
      <c r="DR52" t="e">
        <f>AND(Sheet1!J694,"AAAAAH98/3k=")</f>
        <v>#VALUE!</v>
      </c>
      <c r="DS52" t="e">
        <f>AND(Sheet1!K694,"AAAAAH98/3o=")</f>
        <v>#VALUE!</v>
      </c>
      <c r="DT52" t="e">
        <f>AND(Sheet1!L694,"AAAAAH98/3s=")</f>
        <v>#VALUE!</v>
      </c>
      <c r="DU52" t="e">
        <f>AND(Sheet1!M694,"AAAAAH98/3w=")</f>
        <v>#VALUE!</v>
      </c>
      <c r="DV52" t="e">
        <f>AND(Sheet1!N694,"AAAAAH98/30=")</f>
        <v>#VALUE!</v>
      </c>
      <c r="DW52" t="e">
        <f>AND(Sheet1!#REF!,"AAAAAH98/34=")</f>
        <v>#REF!</v>
      </c>
      <c r="DX52" t="e">
        <f>AND(Sheet1!#REF!,"AAAAAH98/38=")</f>
        <v>#REF!</v>
      </c>
      <c r="DY52" t="e">
        <f>AND(Sheet1!#REF!,"AAAAAH98/4A=")</f>
        <v>#REF!</v>
      </c>
      <c r="DZ52" t="e">
        <f>AND(Sheet1!#REF!,"AAAAAH98/4E=")</f>
        <v>#REF!</v>
      </c>
      <c r="EA52">
        <f>IF(Sheet1!695:695,"AAAAAH98/4I=",0)</f>
        <v>0</v>
      </c>
      <c r="EB52" t="e">
        <f>AND(Sheet1!A695,"AAAAAH98/4M=")</f>
        <v>#VALUE!</v>
      </c>
      <c r="EC52" t="e">
        <f>AND(Sheet1!B695,"AAAAAH98/4Q=")</f>
        <v>#VALUE!</v>
      </c>
      <c r="ED52" t="e">
        <f>AND(Sheet1!C695,"AAAAAH98/4U=")</f>
        <v>#VALUE!</v>
      </c>
      <c r="EE52" t="e">
        <f>AND(Sheet1!D695,"AAAAAH98/4Y=")</f>
        <v>#VALUE!</v>
      </c>
      <c r="EF52" t="e">
        <f>AND(Sheet1!E695,"AAAAAH98/4c=")</f>
        <v>#VALUE!</v>
      </c>
      <c r="EG52" t="e">
        <f>AND(Sheet1!F695,"AAAAAH98/4g=")</f>
        <v>#VALUE!</v>
      </c>
      <c r="EH52" t="e">
        <f>AND(Sheet1!G695,"AAAAAH98/4k=")</f>
        <v>#VALUE!</v>
      </c>
      <c r="EI52" t="e">
        <f>AND(Sheet1!H695,"AAAAAH98/4o=")</f>
        <v>#VALUE!</v>
      </c>
      <c r="EJ52" t="e">
        <f>AND(Sheet1!I695,"AAAAAH98/4s=")</f>
        <v>#VALUE!</v>
      </c>
      <c r="EK52" t="e">
        <f>AND(Sheet1!J695,"AAAAAH98/4w=")</f>
        <v>#VALUE!</v>
      </c>
      <c r="EL52" t="e">
        <f>AND(Sheet1!K695,"AAAAAH98/40=")</f>
        <v>#VALUE!</v>
      </c>
      <c r="EM52" t="e">
        <f>AND(Sheet1!L695,"AAAAAH98/44=")</f>
        <v>#VALUE!</v>
      </c>
      <c r="EN52" t="e">
        <f>AND(Sheet1!M695,"AAAAAH98/48=")</f>
        <v>#VALUE!</v>
      </c>
      <c r="EO52" t="e">
        <f>AND(Sheet1!N695,"AAAAAH98/5A=")</f>
        <v>#VALUE!</v>
      </c>
      <c r="EP52" t="e">
        <f>AND(Sheet1!#REF!,"AAAAAH98/5E=")</f>
        <v>#REF!</v>
      </c>
      <c r="EQ52" t="e">
        <f>AND(Sheet1!#REF!,"AAAAAH98/5I=")</f>
        <v>#REF!</v>
      </c>
      <c r="ER52" t="e">
        <f>AND(Sheet1!#REF!,"AAAAAH98/5M=")</f>
        <v>#REF!</v>
      </c>
      <c r="ES52" t="e">
        <f>AND(Sheet1!#REF!,"AAAAAH98/5Q=")</f>
        <v>#REF!</v>
      </c>
      <c r="ET52">
        <f>IF(Sheet1!696:696,"AAAAAH98/5U=",0)</f>
        <v>0</v>
      </c>
      <c r="EU52" t="e">
        <f>AND(Sheet1!A696,"AAAAAH98/5Y=")</f>
        <v>#VALUE!</v>
      </c>
      <c r="EV52" t="e">
        <f>AND(Sheet1!B696,"AAAAAH98/5c=")</f>
        <v>#VALUE!</v>
      </c>
      <c r="EW52" t="e">
        <f>AND(Sheet1!C696,"AAAAAH98/5g=")</f>
        <v>#VALUE!</v>
      </c>
      <c r="EX52" t="e">
        <f>AND(Sheet1!D696,"AAAAAH98/5k=")</f>
        <v>#VALUE!</v>
      </c>
      <c r="EY52" t="e">
        <f>AND(Sheet1!E696,"AAAAAH98/5o=")</f>
        <v>#VALUE!</v>
      </c>
      <c r="EZ52" t="e">
        <f>AND(Sheet1!F696,"AAAAAH98/5s=")</f>
        <v>#VALUE!</v>
      </c>
      <c r="FA52" t="e">
        <f>AND(Sheet1!G696,"AAAAAH98/5w=")</f>
        <v>#VALUE!</v>
      </c>
      <c r="FB52" t="e">
        <f>AND(Sheet1!H696,"AAAAAH98/50=")</f>
        <v>#VALUE!</v>
      </c>
      <c r="FC52" t="e">
        <f>AND(Sheet1!I696,"AAAAAH98/54=")</f>
        <v>#VALUE!</v>
      </c>
      <c r="FD52" t="e">
        <f>AND(Sheet1!J696,"AAAAAH98/58=")</f>
        <v>#VALUE!</v>
      </c>
      <c r="FE52" t="e">
        <f>AND(Sheet1!K696,"AAAAAH98/6A=")</f>
        <v>#VALUE!</v>
      </c>
      <c r="FF52" t="e">
        <f>AND(Sheet1!L696,"AAAAAH98/6E=")</f>
        <v>#VALUE!</v>
      </c>
      <c r="FG52" t="e">
        <f>AND(Sheet1!M696,"AAAAAH98/6I=")</f>
        <v>#VALUE!</v>
      </c>
      <c r="FH52" t="e">
        <f>AND(Sheet1!N696,"AAAAAH98/6M=")</f>
        <v>#VALUE!</v>
      </c>
      <c r="FI52" t="e">
        <f>AND(Sheet1!#REF!,"AAAAAH98/6Q=")</f>
        <v>#REF!</v>
      </c>
      <c r="FJ52" t="e">
        <f>AND(Sheet1!#REF!,"AAAAAH98/6U=")</f>
        <v>#REF!</v>
      </c>
      <c r="FK52" t="e">
        <f>AND(Sheet1!#REF!,"AAAAAH98/6Y=")</f>
        <v>#REF!</v>
      </c>
      <c r="FL52" t="e">
        <f>AND(Sheet1!#REF!,"AAAAAH98/6c=")</f>
        <v>#REF!</v>
      </c>
      <c r="FM52">
        <f>IF(Sheet1!697:697,"AAAAAH98/6g=",0)</f>
        <v>0</v>
      </c>
      <c r="FN52" t="e">
        <f>AND(Sheet1!A697,"AAAAAH98/6k=")</f>
        <v>#VALUE!</v>
      </c>
      <c r="FO52" t="e">
        <f>AND(Sheet1!B697,"AAAAAH98/6o=")</f>
        <v>#VALUE!</v>
      </c>
      <c r="FP52" t="e">
        <f>AND(Sheet1!C697,"AAAAAH98/6s=")</f>
        <v>#VALUE!</v>
      </c>
      <c r="FQ52" t="e">
        <f>AND(Sheet1!D697,"AAAAAH98/6w=")</f>
        <v>#VALUE!</v>
      </c>
      <c r="FR52" t="e">
        <f>AND(Sheet1!E697,"AAAAAH98/60=")</f>
        <v>#VALUE!</v>
      </c>
      <c r="FS52" t="e">
        <f>AND(Sheet1!F697,"AAAAAH98/64=")</f>
        <v>#VALUE!</v>
      </c>
      <c r="FT52" t="e">
        <f>AND(Sheet1!G697,"AAAAAH98/68=")</f>
        <v>#VALUE!</v>
      </c>
      <c r="FU52" t="e">
        <f>AND(Sheet1!H697,"AAAAAH98/7A=")</f>
        <v>#VALUE!</v>
      </c>
      <c r="FV52" t="e">
        <f>AND(Sheet1!I697,"AAAAAH98/7E=")</f>
        <v>#VALUE!</v>
      </c>
      <c r="FW52" t="e">
        <f>AND(Sheet1!J697,"AAAAAH98/7I=")</f>
        <v>#VALUE!</v>
      </c>
      <c r="FX52" t="e">
        <f>AND(Sheet1!K697,"AAAAAH98/7M=")</f>
        <v>#VALUE!</v>
      </c>
      <c r="FY52" t="e">
        <f>AND(Sheet1!L697,"AAAAAH98/7Q=")</f>
        <v>#VALUE!</v>
      </c>
      <c r="FZ52" t="e">
        <f>AND(Sheet1!M697,"AAAAAH98/7U=")</f>
        <v>#VALUE!</v>
      </c>
      <c r="GA52" t="e">
        <f>AND(Sheet1!N697,"AAAAAH98/7Y=")</f>
        <v>#VALUE!</v>
      </c>
      <c r="GB52" t="e">
        <f>AND(Sheet1!#REF!,"AAAAAH98/7c=")</f>
        <v>#REF!</v>
      </c>
      <c r="GC52" t="e">
        <f>AND(Sheet1!#REF!,"AAAAAH98/7g=")</f>
        <v>#REF!</v>
      </c>
      <c r="GD52" t="e">
        <f>AND(Sheet1!#REF!,"AAAAAH98/7k=")</f>
        <v>#REF!</v>
      </c>
      <c r="GE52" t="e">
        <f>AND(Sheet1!#REF!,"AAAAAH98/7o=")</f>
        <v>#REF!</v>
      </c>
      <c r="GF52">
        <f>IF(Sheet1!698:698,"AAAAAH98/7s=",0)</f>
        <v>0</v>
      </c>
      <c r="GG52" t="e">
        <f>AND(Sheet1!A698,"AAAAAH98/7w=")</f>
        <v>#VALUE!</v>
      </c>
      <c r="GH52" t="e">
        <f>AND(Sheet1!B698,"AAAAAH98/70=")</f>
        <v>#VALUE!</v>
      </c>
      <c r="GI52" t="e">
        <f>AND(Sheet1!C698,"AAAAAH98/74=")</f>
        <v>#VALUE!</v>
      </c>
      <c r="GJ52" t="e">
        <f>AND(Sheet1!D698,"AAAAAH98/78=")</f>
        <v>#VALUE!</v>
      </c>
      <c r="GK52" t="e">
        <f>AND(Sheet1!E698,"AAAAAH98/8A=")</f>
        <v>#VALUE!</v>
      </c>
      <c r="GL52" t="e">
        <f>AND(Sheet1!F698,"AAAAAH98/8E=")</f>
        <v>#VALUE!</v>
      </c>
      <c r="GM52" t="e">
        <f>AND(Sheet1!G698,"AAAAAH98/8I=")</f>
        <v>#VALUE!</v>
      </c>
      <c r="GN52" t="e">
        <f>AND(Sheet1!H698,"AAAAAH98/8M=")</f>
        <v>#VALUE!</v>
      </c>
      <c r="GO52" t="e">
        <f>AND(Sheet1!I698,"AAAAAH98/8Q=")</f>
        <v>#VALUE!</v>
      </c>
      <c r="GP52" t="e">
        <f>AND(Sheet1!J698,"AAAAAH98/8U=")</f>
        <v>#VALUE!</v>
      </c>
      <c r="GQ52" t="e">
        <f>AND(Sheet1!K698,"AAAAAH98/8Y=")</f>
        <v>#VALUE!</v>
      </c>
      <c r="GR52" t="e">
        <f>AND(Sheet1!L698,"AAAAAH98/8c=")</f>
        <v>#VALUE!</v>
      </c>
      <c r="GS52" t="e">
        <f>AND(Sheet1!M698,"AAAAAH98/8g=")</f>
        <v>#VALUE!</v>
      </c>
      <c r="GT52" t="e">
        <f>AND(Sheet1!N698,"AAAAAH98/8k=")</f>
        <v>#VALUE!</v>
      </c>
      <c r="GU52" t="e">
        <f>AND(Sheet1!#REF!,"AAAAAH98/8o=")</f>
        <v>#REF!</v>
      </c>
      <c r="GV52" t="e">
        <f>AND(Sheet1!#REF!,"AAAAAH98/8s=")</f>
        <v>#REF!</v>
      </c>
      <c r="GW52" t="e">
        <f>AND(Sheet1!#REF!,"AAAAAH98/8w=")</f>
        <v>#REF!</v>
      </c>
      <c r="GX52" t="e">
        <f>AND(Sheet1!#REF!,"AAAAAH98/80=")</f>
        <v>#REF!</v>
      </c>
      <c r="GY52">
        <f>IF(Sheet1!699:699,"AAAAAH98/84=",0)</f>
        <v>0</v>
      </c>
      <c r="GZ52" t="e">
        <f>AND(Sheet1!A699,"AAAAAH98/88=")</f>
        <v>#VALUE!</v>
      </c>
      <c r="HA52" t="e">
        <f>AND(Sheet1!B699,"AAAAAH98/9A=")</f>
        <v>#VALUE!</v>
      </c>
      <c r="HB52" t="e">
        <f>AND(Sheet1!C699,"AAAAAH98/9E=")</f>
        <v>#VALUE!</v>
      </c>
      <c r="HC52" t="e">
        <f>AND(Sheet1!D699,"AAAAAH98/9I=")</f>
        <v>#VALUE!</v>
      </c>
      <c r="HD52" t="e">
        <f>AND(Sheet1!E699,"AAAAAH98/9M=")</f>
        <v>#VALUE!</v>
      </c>
      <c r="HE52" t="e">
        <f>AND(Sheet1!F699,"AAAAAH98/9Q=")</f>
        <v>#VALUE!</v>
      </c>
      <c r="HF52" t="e">
        <f>AND(Sheet1!G699,"AAAAAH98/9U=")</f>
        <v>#VALUE!</v>
      </c>
      <c r="HG52" t="e">
        <f>AND(Sheet1!H699,"AAAAAH98/9Y=")</f>
        <v>#VALUE!</v>
      </c>
      <c r="HH52" t="e">
        <f>AND(Sheet1!I699,"AAAAAH98/9c=")</f>
        <v>#VALUE!</v>
      </c>
      <c r="HI52" t="e">
        <f>AND(Sheet1!J699,"AAAAAH98/9g=")</f>
        <v>#VALUE!</v>
      </c>
      <c r="HJ52" t="e">
        <f>AND(Sheet1!K699,"AAAAAH98/9k=")</f>
        <v>#VALUE!</v>
      </c>
      <c r="HK52" t="e">
        <f>AND(Sheet1!L699,"AAAAAH98/9o=")</f>
        <v>#VALUE!</v>
      </c>
      <c r="HL52" t="e">
        <f>AND(Sheet1!M699,"AAAAAH98/9s=")</f>
        <v>#VALUE!</v>
      </c>
      <c r="HM52" t="e">
        <f>AND(Sheet1!N699,"AAAAAH98/9w=")</f>
        <v>#VALUE!</v>
      </c>
      <c r="HN52" t="e">
        <f>AND(Sheet1!#REF!,"AAAAAH98/90=")</f>
        <v>#REF!</v>
      </c>
      <c r="HO52" t="e">
        <f>AND(Sheet1!#REF!,"AAAAAH98/94=")</f>
        <v>#REF!</v>
      </c>
      <c r="HP52" t="e">
        <f>AND(Sheet1!#REF!,"AAAAAH98/98=")</f>
        <v>#REF!</v>
      </c>
      <c r="HQ52" t="e">
        <f>AND(Sheet1!#REF!,"AAAAAH98/+A=")</f>
        <v>#REF!</v>
      </c>
      <c r="HR52">
        <f>IF(Sheet1!700:700,"AAAAAH98/+E=",0)</f>
        <v>0</v>
      </c>
      <c r="HS52" t="e">
        <f>AND(Sheet1!A700,"AAAAAH98/+I=")</f>
        <v>#VALUE!</v>
      </c>
      <c r="HT52" t="e">
        <f>AND(Sheet1!B700,"AAAAAH98/+M=")</f>
        <v>#VALUE!</v>
      </c>
      <c r="HU52" t="e">
        <f>AND(Sheet1!C700,"AAAAAH98/+Q=")</f>
        <v>#VALUE!</v>
      </c>
      <c r="HV52" t="e">
        <f>AND(Sheet1!D700,"AAAAAH98/+U=")</f>
        <v>#VALUE!</v>
      </c>
      <c r="HW52" t="e">
        <f>AND(Sheet1!E700,"AAAAAH98/+Y=")</f>
        <v>#VALUE!</v>
      </c>
      <c r="HX52" t="e">
        <f>AND(Sheet1!F700,"AAAAAH98/+c=")</f>
        <v>#VALUE!</v>
      </c>
      <c r="HY52" t="e">
        <f>AND(Sheet1!G700,"AAAAAH98/+g=")</f>
        <v>#VALUE!</v>
      </c>
      <c r="HZ52" t="e">
        <f>AND(Sheet1!H700,"AAAAAH98/+k=")</f>
        <v>#VALUE!</v>
      </c>
      <c r="IA52" t="e">
        <f>AND(Sheet1!I700,"AAAAAH98/+o=")</f>
        <v>#VALUE!</v>
      </c>
      <c r="IB52" t="e">
        <f>AND(Sheet1!J700,"AAAAAH98/+s=")</f>
        <v>#VALUE!</v>
      </c>
      <c r="IC52" t="e">
        <f>AND(Sheet1!K700,"AAAAAH98/+w=")</f>
        <v>#VALUE!</v>
      </c>
      <c r="ID52" t="e">
        <f>AND(Sheet1!L700,"AAAAAH98/+0=")</f>
        <v>#VALUE!</v>
      </c>
      <c r="IE52" t="e">
        <f>AND(Sheet1!M700,"AAAAAH98/+4=")</f>
        <v>#VALUE!</v>
      </c>
      <c r="IF52" t="e">
        <f>AND(Sheet1!N700,"AAAAAH98/+8=")</f>
        <v>#VALUE!</v>
      </c>
      <c r="IG52" t="e">
        <f>AND(Sheet1!#REF!,"AAAAAH98//A=")</f>
        <v>#REF!</v>
      </c>
      <c r="IH52" t="e">
        <f>AND(Sheet1!#REF!,"AAAAAH98//E=")</f>
        <v>#REF!</v>
      </c>
      <c r="II52" t="e">
        <f>AND(Sheet1!#REF!,"AAAAAH98//I=")</f>
        <v>#REF!</v>
      </c>
      <c r="IJ52" t="e">
        <f>AND(Sheet1!#REF!,"AAAAAH98//M=")</f>
        <v>#REF!</v>
      </c>
      <c r="IK52">
        <f>IF(Sheet1!701:701,"AAAAAH98//Q=",0)</f>
        <v>0</v>
      </c>
      <c r="IL52" t="e">
        <f>AND(Sheet1!A701,"AAAAAH98//U=")</f>
        <v>#VALUE!</v>
      </c>
      <c r="IM52" t="e">
        <f>AND(Sheet1!B701,"AAAAAH98//Y=")</f>
        <v>#VALUE!</v>
      </c>
      <c r="IN52" t="e">
        <f>AND(Sheet1!C701,"AAAAAH98//c=")</f>
        <v>#VALUE!</v>
      </c>
      <c r="IO52" t="e">
        <f>AND(Sheet1!D701,"AAAAAH98//g=")</f>
        <v>#VALUE!</v>
      </c>
      <c r="IP52" t="e">
        <f>AND(Sheet1!E701,"AAAAAH98//k=")</f>
        <v>#VALUE!</v>
      </c>
      <c r="IQ52" t="e">
        <f>AND(Sheet1!F701,"AAAAAH98//o=")</f>
        <v>#VALUE!</v>
      </c>
      <c r="IR52" t="e">
        <f>AND(Sheet1!G701,"AAAAAH98//s=")</f>
        <v>#VALUE!</v>
      </c>
      <c r="IS52" t="e">
        <f>AND(Sheet1!H701,"AAAAAH98//w=")</f>
        <v>#VALUE!</v>
      </c>
      <c r="IT52" t="e">
        <f>AND(Sheet1!I701,"AAAAAH98//0=")</f>
        <v>#VALUE!</v>
      </c>
      <c r="IU52" t="e">
        <f>AND(Sheet1!J701,"AAAAAH98//4=")</f>
        <v>#VALUE!</v>
      </c>
      <c r="IV52" t="e">
        <f>AND(Sheet1!K701,"AAAAAH98//8=")</f>
        <v>#VALUE!</v>
      </c>
    </row>
    <row r="53" spans="1:256" x14ac:dyDescent="0.2">
      <c r="A53" t="e">
        <f>AND(Sheet1!L701,"AAAAADr/7QA=")</f>
        <v>#VALUE!</v>
      </c>
      <c r="B53" t="e">
        <f>AND(Sheet1!M701,"AAAAADr/7QE=")</f>
        <v>#VALUE!</v>
      </c>
      <c r="C53" t="e">
        <f>AND(Sheet1!N701,"AAAAADr/7QI=")</f>
        <v>#VALUE!</v>
      </c>
      <c r="D53" t="e">
        <f>AND(Sheet1!#REF!,"AAAAADr/7QM=")</f>
        <v>#REF!</v>
      </c>
      <c r="E53" t="e">
        <f>AND(Sheet1!#REF!,"AAAAADr/7QQ=")</f>
        <v>#REF!</v>
      </c>
      <c r="F53" t="e">
        <f>AND(Sheet1!#REF!,"AAAAADr/7QU=")</f>
        <v>#REF!</v>
      </c>
      <c r="G53" t="e">
        <f>AND(Sheet1!#REF!,"AAAAADr/7QY=")</f>
        <v>#REF!</v>
      </c>
      <c r="H53" t="str">
        <f>IF(Sheet1!702:702,"AAAAADr/7Qc=",0)</f>
        <v>AAAAADr/7Qc=</v>
      </c>
      <c r="I53" t="e">
        <f>AND(Sheet1!A702,"AAAAADr/7Qg=")</f>
        <v>#VALUE!</v>
      </c>
      <c r="J53" t="e">
        <f>AND(Sheet1!B702,"AAAAADr/7Qk=")</f>
        <v>#VALUE!</v>
      </c>
      <c r="K53" t="e">
        <f>AND(Sheet1!C702,"AAAAADr/7Qo=")</f>
        <v>#VALUE!</v>
      </c>
      <c r="L53" t="e">
        <f>AND(Sheet1!D702,"AAAAADr/7Qs=")</f>
        <v>#VALUE!</v>
      </c>
      <c r="M53" t="e">
        <f>AND(Sheet1!E702,"AAAAADr/7Qw=")</f>
        <v>#VALUE!</v>
      </c>
      <c r="N53" t="e">
        <f>AND(Sheet1!F702,"AAAAADr/7Q0=")</f>
        <v>#VALUE!</v>
      </c>
      <c r="O53" t="e">
        <f>AND(Sheet1!G702,"AAAAADr/7Q4=")</f>
        <v>#VALUE!</v>
      </c>
      <c r="P53" t="e">
        <f>AND(Sheet1!H702,"AAAAADr/7Q8=")</f>
        <v>#VALUE!</v>
      </c>
      <c r="Q53" t="e">
        <f>AND(Sheet1!I702,"AAAAADr/7RA=")</f>
        <v>#VALUE!</v>
      </c>
      <c r="R53" t="e">
        <f>AND(Sheet1!J702,"AAAAADr/7RE=")</f>
        <v>#VALUE!</v>
      </c>
      <c r="S53" t="e">
        <f>AND(Sheet1!K702,"AAAAADr/7RI=")</f>
        <v>#VALUE!</v>
      </c>
      <c r="T53" t="e">
        <f>AND(Sheet1!L702,"AAAAADr/7RM=")</f>
        <v>#VALUE!</v>
      </c>
      <c r="U53" t="e">
        <f>AND(Sheet1!M702,"AAAAADr/7RQ=")</f>
        <v>#VALUE!</v>
      </c>
      <c r="V53" t="e">
        <f>AND(Sheet1!N702,"AAAAADr/7RU=")</f>
        <v>#VALUE!</v>
      </c>
      <c r="W53" t="e">
        <f>AND(Sheet1!#REF!,"AAAAADr/7RY=")</f>
        <v>#REF!</v>
      </c>
      <c r="X53" t="e">
        <f>AND(Sheet1!#REF!,"AAAAADr/7Rc=")</f>
        <v>#REF!</v>
      </c>
      <c r="Y53" t="e">
        <f>AND(Sheet1!#REF!,"AAAAADr/7Rg=")</f>
        <v>#REF!</v>
      </c>
      <c r="Z53" t="e">
        <f>AND(Sheet1!#REF!,"AAAAADr/7Rk=")</f>
        <v>#REF!</v>
      </c>
      <c r="AA53">
        <f>IF(Sheet1!703:703,"AAAAADr/7Ro=",0)</f>
        <v>0</v>
      </c>
      <c r="AB53" t="e">
        <f>AND(Sheet1!A703,"AAAAADr/7Rs=")</f>
        <v>#VALUE!</v>
      </c>
      <c r="AC53" t="e">
        <f>AND(Sheet1!B703,"AAAAADr/7Rw=")</f>
        <v>#VALUE!</v>
      </c>
      <c r="AD53" t="e">
        <f>AND(Sheet1!C703,"AAAAADr/7R0=")</f>
        <v>#VALUE!</v>
      </c>
      <c r="AE53" t="e">
        <f>AND(Sheet1!D703,"AAAAADr/7R4=")</f>
        <v>#VALUE!</v>
      </c>
      <c r="AF53" t="e">
        <f>AND(Sheet1!E703,"AAAAADr/7R8=")</f>
        <v>#VALUE!</v>
      </c>
      <c r="AG53" t="e">
        <f>AND(Sheet1!F703,"AAAAADr/7SA=")</f>
        <v>#VALUE!</v>
      </c>
      <c r="AH53" t="e">
        <f>AND(Sheet1!G703,"AAAAADr/7SE=")</f>
        <v>#VALUE!</v>
      </c>
      <c r="AI53" t="e">
        <f>AND(Sheet1!H703,"AAAAADr/7SI=")</f>
        <v>#VALUE!</v>
      </c>
      <c r="AJ53" t="e">
        <f>AND(Sheet1!I703,"AAAAADr/7SM=")</f>
        <v>#VALUE!</v>
      </c>
      <c r="AK53" t="e">
        <f>AND(Sheet1!J703,"AAAAADr/7SQ=")</f>
        <v>#VALUE!</v>
      </c>
      <c r="AL53" t="e">
        <f>AND(Sheet1!K703,"AAAAADr/7SU=")</f>
        <v>#VALUE!</v>
      </c>
      <c r="AM53" t="e">
        <f>AND(Sheet1!L703,"AAAAADr/7SY=")</f>
        <v>#VALUE!</v>
      </c>
      <c r="AN53" t="e">
        <f>AND(Sheet1!M703,"AAAAADr/7Sc=")</f>
        <v>#VALUE!</v>
      </c>
      <c r="AO53" t="e">
        <f>AND(Sheet1!N703,"AAAAADr/7Sg=")</f>
        <v>#VALUE!</v>
      </c>
      <c r="AP53" t="e">
        <f>AND(Sheet1!#REF!,"AAAAADr/7Sk=")</f>
        <v>#REF!</v>
      </c>
      <c r="AQ53" t="e">
        <f>AND(Sheet1!#REF!,"AAAAADr/7So=")</f>
        <v>#REF!</v>
      </c>
      <c r="AR53" t="e">
        <f>AND(Sheet1!#REF!,"AAAAADr/7Ss=")</f>
        <v>#REF!</v>
      </c>
      <c r="AS53" t="e">
        <f>AND(Sheet1!#REF!,"AAAAADr/7Sw=")</f>
        <v>#REF!</v>
      </c>
      <c r="AT53">
        <f>IF(Sheet1!704:704,"AAAAADr/7S0=",0)</f>
        <v>0</v>
      </c>
      <c r="AU53" t="e">
        <f>AND(Sheet1!A704,"AAAAADr/7S4=")</f>
        <v>#VALUE!</v>
      </c>
      <c r="AV53" t="e">
        <f>AND(Sheet1!B704,"AAAAADr/7S8=")</f>
        <v>#VALUE!</v>
      </c>
      <c r="AW53" t="e">
        <f>AND(Sheet1!C704,"AAAAADr/7TA=")</f>
        <v>#VALUE!</v>
      </c>
      <c r="AX53" t="e">
        <f>AND(Sheet1!D704,"AAAAADr/7TE=")</f>
        <v>#VALUE!</v>
      </c>
      <c r="AY53" t="e">
        <f>AND(Sheet1!E704,"AAAAADr/7TI=")</f>
        <v>#VALUE!</v>
      </c>
      <c r="AZ53" t="e">
        <f>AND(Sheet1!F704,"AAAAADr/7TM=")</f>
        <v>#VALUE!</v>
      </c>
      <c r="BA53" t="e">
        <f>AND(Sheet1!G704,"AAAAADr/7TQ=")</f>
        <v>#VALUE!</v>
      </c>
      <c r="BB53" t="e">
        <f>AND(Sheet1!H704,"AAAAADr/7TU=")</f>
        <v>#VALUE!</v>
      </c>
      <c r="BC53" t="e">
        <f>AND(Sheet1!I704,"AAAAADr/7TY=")</f>
        <v>#VALUE!</v>
      </c>
      <c r="BD53" t="e">
        <f>AND(Sheet1!J704,"AAAAADr/7Tc=")</f>
        <v>#VALUE!</v>
      </c>
      <c r="BE53" t="e">
        <f>AND(Sheet1!K704,"AAAAADr/7Tg=")</f>
        <v>#VALUE!</v>
      </c>
      <c r="BF53" t="e">
        <f>AND(Sheet1!L704,"AAAAADr/7Tk=")</f>
        <v>#VALUE!</v>
      </c>
      <c r="BG53" t="e">
        <f>AND(Sheet1!M704,"AAAAADr/7To=")</f>
        <v>#VALUE!</v>
      </c>
      <c r="BH53" t="e">
        <f>AND(Sheet1!N704,"AAAAADr/7Ts=")</f>
        <v>#VALUE!</v>
      </c>
      <c r="BI53" t="e">
        <f>AND(Sheet1!#REF!,"AAAAADr/7Tw=")</f>
        <v>#REF!</v>
      </c>
      <c r="BJ53" t="e">
        <f>AND(Sheet1!#REF!,"AAAAADr/7T0=")</f>
        <v>#REF!</v>
      </c>
      <c r="BK53" t="e">
        <f>AND(Sheet1!#REF!,"AAAAADr/7T4=")</f>
        <v>#REF!</v>
      </c>
      <c r="BL53" t="e">
        <f>AND(Sheet1!#REF!,"AAAAADr/7T8=")</f>
        <v>#REF!</v>
      </c>
      <c r="BM53">
        <f>IF(Sheet1!705:705,"AAAAADr/7UA=",0)</f>
        <v>0</v>
      </c>
      <c r="BN53" t="e">
        <f>AND(Sheet1!A705,"AAAAADr/7UE=")</f>
        <v>#VALUE!</v>
      </c>
      <c r="BO53" t="e">
        <f>AND(Sheet1!B705,"AAAAADr/7UI=")</f>
        <v>#VALUE!</v>
      </c>
      <c r="BP53" t="e">
        <f>AND(Sheet1!C705,"AAAAADr/7UM=")</f>
        <v>#VALUE!</v>
      </c>
      <c r="BQ53" t="e">
        <f>AND(Sheet1!D705,"AAAAADr/7UQ=")</f>
        <v>#VALUE!</v>
      </c>
      <c r="BR53" t="e">
        <f>AND(Sheet1!E705,"AAAAADr/7UU=")</f>
        <v>#VALUE!</v>
      </c>
      <c r="BS53" t="e">
        <f>AND(Sheet1!F705,"AAAAADr/7UY=")</f>
        <v>#VALUE!</v>
      </c>
      <c r="BT53" t="e">
        <f>AND(Sheet1!G705,"AAAAADr/7Uc=")</f>
        <v>#VALUE!</v>
      </c>
      <c r="BU53" t="e">
        <f>AND(Sheet1!H705,"AAAAADr/7Ug=")</f>
        <v>#VALUE!</v>
      </c>
      <c r="BV53" t="e">
        <f>AND(Sheet1!I705,"AAAAADr/7Uk=")</f>
        <v>#VALUE!</v>
      </c>
      <c r="BW53" t="e">
        <f>AND(Sheet1!J705,"AAAAADr/7Uo=")</f>
        <v>#VALUE!</v>
      </c>
      <c r="BX53" t="e">
        <f>AND(Sheet1!K705,"AAAAADr/7Us=")</f>
        <v>#VALUE!</v>
      </c>
      <c r="BY53" t="e">
        <f>AND(Sheet1!L705,"AAAAADr/7Uw=")</f>
        <v>#VALUE!</v>
      </c>
      <c r="BZ53" t="e">
        <f>AND(Sheet1!M705,"AAAAADr/7U0=")</f>
        <v>#VALUE!</v>
      </c>
      <c r="CA53" t="e">
        <f>AND(Sheet1!N705,"AAAAADr/7U4=")</f>
        <v>#VALUE!</v>
      </c>
      <c r="CB53" t="e">
        <f>AND(Sheet1!#REF!,"AAAAADr/7U8=")</f>
        <v>#REF!</v>
      </c>
      <c r="CC53" t="e">
        <f>AND(Sheet1!#REF!,"AAAAADr/7VA=")</f>
        <v>#REF!</v>
      </c>
      <c r="CD53" t="e">
        <f>AND(Sheet1!#REF!,"AAAAADr/7VE=")</f>
        <v>#REF!</v>
      </c>
      <c r="CE53" t="e">
        <f>AND(Sheet1!#REF!,"AAAAADr/7VI=")</f>
        <v>#REF!</v>
      </c>
      <c r="CF53">
        <f>IF(Sheet1!706:706,"AAAAADr/7VM=",0)</f>
        <v>0</v>
      </c>
      <c r="CG53" t="e">
        <f>AND(Sheet1!A706,"AAAAADr/7VQ=")</f>
        <v>#VALUE!</v>
      </c>
      <c r="CH53" t="e">
        <f>AND(Sheet1!B706,"AAAAADr/7VU=")</f>
        <v>#VALUE!</v>
      </c>
      <c r="CI53" t="e">
        <f>AND(Sheet1!C706,"AAAAADr/7VY=")</f>
        <v>#VALUE!</v>
      </c>
      <c r="CJ53" t="e">
        <f>AND(Sheet1!D706,"AAAAADr/7Vc=")</f>
        <v>#VALUE!</v>
      </c>
      <c r="CK53" t="e">
        <f>AND(Sheet1!E706,"AAAAADr/7Vg=")</f>
        <v>#VALUE!</v>
      </c>
      <c r="CL53" t="e">
        <f>AND(Sheet1!F706,"AAAAADr/7Vk=")</f>
        <v>#VALUE!</v>
      </c>
      <c r="CM53" t="e">
        <f>AND(Sheet1!G706,"AAAAADr/7Vo=")</f>
        <v>#VALUE!</v>
      </c>
      <c r="CN53" t="e">
        <f>AND(Sheet1!H706,"AAAAADr/7Vs=")</f>
        <v>#VALUE!</v>
      </c>
      <c r="CO53" t="e">
        <f>AND(Sheet1!I706,"AAAAADr/7Vw=")</f>
        <v>#VALUE!</v>
      </c>
      <c r="CP53" t="e">
        <f>AND(Sheet1!J706,"AAAAADr/7V0=")</f>
        <v>#VALUE!</v>
      </c>
      <c r="CQ53" t="e">
        <f>AND(Sheet1!K706,"AAAAADr/7V4=")</f>
        <v>#VALUE!</v>
      </c>
      <c r="CR53" t="e">
        <f>AND(Sheet1!L706,"AAAAADr/7V8=")</f>
        <v>#VALUE!</v>
      </c>
      <c r="CS53" t="e">
        <f>AND(Sheet1!M706,"AAAAADr/7WA=")</f>
        <v>#VALUE!</v>
      </c>
      <c r="CT53" t="e">
        <f>AND(Sheet1!N706,"AAAAADr/7WE=")</f>
        <v>#VALUE!</v>
      </c>
      <c r="CU53" t="e">
        <f>AND(Sheet1!#REF!,"AAAAADr/7WI=")</f>
        <v>#REF!</v>
      </c>
      <c r="CV53" t="e">
        <f>AND(Sheet1!#REF!,"AAAAADr/7WM=")</f>
        <v>#REF!</v>
      </c>
      <c r="CW53" t="e">
        <f>AND(Sheet1!#REF!,"AAAAADr/7WQ=")</f>
        <v>#REF!</v>
      </c>
      <c r="CX53" t="e">
        <f>AND(Sheet1!#REF!,"AAAAADr/7WU=")</f>
        <v>#REF!</v>
      </c>
      <c r="CY53">
        <f>IF(Sheet1!707:707,"AAAAADr/7WY=",0)</f>
        <v>0</v>
      </c>
      <c r="CZ53" t="e">
        <f>AND(Sheet1!A707,"AAAAADr/7Wc=")</f>
        <v>#VALUE!</v>
      </c>
      <c r="DA53" t="e">
        <f>AND(Sheet1!B707,"AAAAADr/7Wg=")</f>
        <v>#VALUE!</v>
      </c>
      <c r="DB53" t="e">
        <f>AND(Sheet1!C707,"AAAAADr/7Wk=")</f>
        <v>#VALUE!</v>
      </c>
      <c r="DC53" t="e">
        <f>AND(Sheet1!D707,"AAAAADr/7Wo=")</f>
        <v>#VALUE!</v>
      </c>
      <c r="DD53" t="e">
        <f>AND(Sheet1!E707,"AAAAADr/7Ws=")</f>
        <v>#VALUE!</v>
      </c>
      <c r="DE53" t="e">
        <f>AND(Sheet1!F707,"AAAAADr/7Ww=")</f>
        <v>#VALUE!</v>
      </c>
      <c r="DF53" t="e">
        <f>AND(Sheet1!G707,"AAAAADr/7W0=")</f>
        <v>#VALUE!</v>
      </c>
      <c r="DG53" t="e">
        <f>AND(Sheet1!H707,"AAAAADr/7W4=")</f>
        <v>#VALUE!</v>
      </c>
      <c r="DH53" t="e">
        <f>AND(Sheet1!I707,"AAAAADr/7W8=")</f>
        <v>#VALUE!</v>
      </c>
      <c r="DI53" t="e">
        <f>AND(Sheet1!J707,"AAAAADr/7XA=")</f>
        <v>#VALUE!</v>
      </c>
      <c r="DJ53" t="e">
        <f>AND(Sheet1!K707,"AAAAADr/7XE=")</f>
        <v>#VALUE!</v>
      </c>
      <c r="DK53" t="e">
        <f>AND(Sheet1!L707,"AAAAADr/7XI=")</f>
        <v>#VALUE!</v>
      </c>
      <c r="DL53" t="e">
        <f>AND(Sheet1!M707,"AAAAADr/7XM=")</f>
        <v>#VALUE!</v>
      </c>
      <c r="DM53" t="e">
        <f>AND(Sheet1!N707,"AAAAADr/7XQ=")</f>
        <v>#VALUE!</v>
      </c>
      <c r="DN53" t="e">
        <f>AND(Sheet1!#REF!,"AAAAADr/7XU=")</f>
        <v>#REF!</v>
      </c>
      <c r="DO53" t="e">
        <f>AND(Sheet1!#REF!,"AAAAADr/7XY=")</f>
        <v>#REF!</v>
      </c>
      <c r="DP53" t="e">
        <f>AND(Sheet1!#REF!,"AAAAADr/7Xc=")</f>
        <v>#REF!</v>
      </c>
      <c r="DQ53" t="e">
        <f>AND(Sheet1!#REF!,"AAAAADr/7Xg=")</f>
        <v>#REF!</v>
      </c>
      <c r="DR53">
        <f>IF(Sheet1!708:708,"AAAAADr/7Xk=",0)</f>
        <v>0</v>
      </c>
      <c r="DS53" t="e">
        <f>AND(Sheet1!A708,"AAAAADr/7Xo=")</f>
        <v>#VALUE!</v>
      </c>
      <c r="DT53" t="e">
        <f>AND(Sheet1!B708,"AAAAADr/7Xs=")</f>
        <v>#VALUE!</v>
      </c>
      <c r="DU53" t="e">
        <f>AND(Sheet1!C708,"AAAAADr/7Xw=")</f>
        <v>#VALUE!</v>
      </c>
      <c r="DV53" t="e">
        <f>AND(Sheet1!D708,"AAAAADr/7X0=")</f>
        <v>#VALUE!</v>
      </c>
      <c r="DW53" t="e">
        <f>AND(Sheet1!E708,"AAAAADr/7X4=")</f>
        <v>#VALUE!</v>
      </c>
      <c r="DX53" t="e">
        <f>AND(Sheet1!F708,"AAAAADr/7X8=")</f>
        <v>#VALUE!</v>
      </c>
      <c r="DY53" t="e">
        <f>AND(Sheet1!G708,"AAAAADr/7YA=")</f>
        <v>#VALUE!</v>
      </c>
      <c r="DZ53" t="e">
        <f>AND(Sheet1!H708,"AAAAADr/7YE=")</f>
        <v>#VALUE!</v>
      </c>
      <c r="EA53" t="e">
        <f>AND(Sheet1!I708,"AAAAADr/7YI=")</f>
        <v>#VALUE!</v>
      </c>
      <c r="EB53" t="e">
        <f>AND(Sheet1!J708,"AAAAADr/7YM=")</f>
        <v>#VALUE!</v>
      </c>
      <c r="EC53" t="e">
        <f>AND(Sheet1!K708,"AAAAADr/7YQ=")</f>
        <v>#VALUE!</v>
      </c>
      <c r="ED53" t="e">
        <f>AND(Sheet1!L708,"AAAAADr/7YU=")</f>
        <v>#VALUE!</v>
      </c>
      <c r="EE53" t="e">
        <f>AND(Sheet1!M708,"AAAAADr/7YY=")</f>
        <v>#VALUE!</v>
      </c>
      <c r="EF53" t="e">
        <f>AND(Sheet1!N708,"AAAAADr/7Yc=")</f>
        <v>#VALUE!</v>
      </c>
      <c r="EG53" t="e">
        <f>AND(Sheet1!#REF!,"AAAAADr/7Yg=")</f>
        <v>#REF!</v>
      </c>
      <c r="EH53" t="e">
        <f>AND(Sheet1!#REF!,"AAAAADr/7Yk=")</f>
        <v>#REF!</v>
      </c>
      <c r="EI53" t="e">
        <f>AND(Sheet1!#REF!,"AAAAADr/7Yo=")</f>
        <v>#REF!</v>
      </c>
      <c r="EJ53" t="e">
        <f>AND(Sheet1!#REF!,"AAAAADr/7Ys=")</f>
        <v>#REF!</v>
      </c>
      <c r="EK53">
        <f>IF(Sheet1!709:709,"AAAAADr/7Yw=",0)</f>
        <v>0</v>
      </c>
      <c r="EL53" t="e">
        <f>AND(Sheet1!A709,"AAAAADr/7Y0=")</f>
        <v>#VALUE!</v>
      </c>
      <c r="EM53" t="e">
        <f>AND(Sheet1!B709,"AAAAADr/7Y4=")</f>
        <v>#VALUE!</v>
      </c>
      <c r="EN53" t="e">
        <f>AND(Sheet1!C709,"AAAAADr/7Y8=")</f>
        <v>#VALUE!</v>
      </c>
      <c r="EO53" t="e">
        <f>AND(Sheet1!D709,"AAAAADr/7ZA=")</f>
        <v>#VALUE!</v>
      </c>
      <c r="EP53" t="e">
        <f>AND(Sheet1!E709,"AAAAADr/7ZE=")</f>
        <v>#VALUE!</v>
      </c>
      <c r="EQ53" t="e">
        <f>AND(Sheet1!F709,"AAAAADr/7ZI=")</f>
        <v>#VALUE!</v>
      </c>
      <c r="ER53" t="e">
        <f>AND(Sheet1!G709,"AAAAADr/7ZM=")</f>
        <v>#VALUE!</v>
      </c>
      <c r="ES53" t="e">
        <f>AND(Sheet1!H709,"AAAAADr/7ZQ=")</f>
        <v>#VALUE!</v>
      </c>
      <c r="ET53" t="e">
        <f>AND(Sheet1!I709,"AAAAADr/7ZU=")</f>
        <v>#VALUE!</v>
      </c>
      <c r="EU53" t="e">
        <f>AND(Sheet1!J709,"AAAAADr/7ZY=")</f>
        <v>#VALUE!</v>
      </c>
      <c r="EV53" t="e">
        <f>AND(Sheet1!K709,"AAAAADr/7Zc=")</f>
        <v>#VALUE!</v>
      </c>
      <c r="EW53" t="e">
        <f>AND(Sheet1!L709,"AAAAADr/7Zg=")</f>
        <v>#VALUE!</v>
      </c>
      <c r="EX53" t="e">
        <f>AND(Sheet1!M709,"AAAAADr/7Zk=")</f>
        <v>#VALUE!</v>
      </c>
      <c r="EY53" t="e">
        <f>AND(Sheet1!N709,"AAAAADr/7Zo=")</f>
        <v>#VALUE!</v>
      </c>
      <c r="EZ53" t="e">
        <f>AND(Sheet1!#REF!,"AAAAADr/7Zs=")</f>
        <v>#REF!</v>
      </c>
      <c r="FA53" t="e">
        <f>AND(Sheet1!#REF!,"AAAAADr/7Zw=")</f>
        <v>#REF!</v>
      </c>
      <c r="FB53" t="e">
        <f>AND(Sheet1!#REF!,"AAAAADr/7Z0=")</f>
        <v>#REF!</v>
      </c>
      <c r="FC53" t="e">
        <f>AND(Sheet1!#REF!,"AAAAADr/7Z4=")</f>
        <v>#REF!</v>
      </c>
      <c r="FD53">
        <f>IF(Sheet1!710:710,"AAAAADr/7Z8=",0)</f>
        <v>0</v>
      </c>
      <c r="FE53" t="e">
        <f>AND(Sheet1!A710,"AAAAADr/7aA=")</f>
        <v>#VALUE!</v>
      </c>
      <c r="FF53" t="e">
        <f>AND(Sheet1!B710,"AAAAADr/7aE=")</f>
        <v>#VALUE!</v>
      </c>
      <c r="FG53" t="e">
        <f>AND(Sheet1!C710,"AAAAADr/7aI=")</f>
        <v>#VALUE!</v>
      </c>
      <c r="FH53" t="e">
        <f>AND(Sheet1!D710,"AAAAADr/7aM=")</f>
        <v>#VALUE!</v>
      </c>
      <c r="FI53" t="e">
        <f>AND(Sheet1!E710,"AAAAADr/7aQ=")</f>
        <v>#VALUE!</v>
      </c>
      <c r="FJ53" t="e">
        <f>AND(Sheet1!F710,"AAAAADr/7aU=")</f>
        <v>#VALUE!</v>
      </c>
      <c r="FK53" t="e">
        <f>AND(Sheet1!G710,"AAAAADr/7aY=")</f>
        <v>#VALUE!</v>
      </c>
      <c r="FL53" t="e">
        <f>AND(Sheet1!H710,"AAAAADr/7ac=")</f>
        <v>#VALUE!</v>
      </c>
      <c r="FM53" t="e">
        <f>AND(Sheet1!I710,"AAAAADr/7ag=")</f>
        <v>#VALUE!</v>
      </c>
      <c r="FN53" t="e">
        <f>AND(Sheet1!J710,"AAAAADr/7ak=")</f>
        <v>#VALUE!</v>
      </c>
      <c r="FO53" t="e">
        <f>AND(Sheet1!K710,"AAAAADr/7ao=")</f>
        <v>#VALUE!</v>
      </c>
      <c r="FP53" t="e">
        <f>AND(Sheet1!L710,"AAAAADr/7as=")</f>
        <v>#VALUE!</v>
      </c>
      <c r="FQ53" t="e">
        <f>AND(Sheet1!M710,"AAAAADr/7aw=")</f>
        <v>#VALUE!</v>
      </c>
      <c r="FR53" t="e">
        <f>AND(Sheet1!N710,"AAAAADr/7a0=")</f>
        <v>#VALUE!</v>
      </c>
      <c r="FS53" t="e">
        <f>AND(Sheet1!#REF!,"AAAAADr/7a4=")</f>
        <v>#REF!</v>
      </c>
      <c r="FT53" t="e">
        <f>AND(Sheet1!#REF!,"AAAAADr/7a8=")</f>
        <v>#REF!</v>
      </c>
      <c r="FU53" t="e">
        <f>AND(Sheet1!#REF!,"AAAAADr/7bA=")</f>
        <v>#REF!</v>
      </c>
      <c r="FV53" t="e">
        <f>AND(Sheet1!#REF!,"AAAAADr/7bE=")</f>
        <v>#REF!</v>
      </c>
      <c r="FW53">
        <f>IF(Sheet1!711:711,"AAAAADr/7bI=",0)</f>
        <v>0</v>
      </c>
      <c r="FX53" t="e">
        <f>AND(Sheet1!A711,"AAAAADr/7bM=")</f>
        <v>#VALUE!</v>
      </c>
      <c r="FY53" t="e">
        <f>AND(Sheet1!B711,"AAAAADr/7bQ=")</f>
        <v>#VALUE!</v>
      </c>
      <c r="FZ53" t="e">
        <f>AND(Sheet1!C711,"AAAAADr/7bU=")</f>
        <v>#VALUE!</v>
      </c>
      <c r="GA53" t="e">
        <f>AND(Sheet1!D711,"AAAAADr/7bY=")</f>
        <v>#VALUE!</v>
      </c>
      <c r="GB53" t="e">
        <f>AND(Sheet1!E711,"AAAAADr/7bc=")</f>
        <v>#VALUE!</v>
      </c>
      <c r="GC53" t="e">
        <f>AND(Sheet1!F711,"AAAAADr/7bg=")</f>
        <v>#VALUE!</v>
      </c>
      <c r="GD53" t="e">
        <f>AND(Sheet1!G711,"AAAAADr/7bk=")</f>
        <v>#VALUE!</v>
      </c>
      <c r="GE53" t="e">
        <f>AND(Sheet1!H711,"AAAAADr/7bo=")</f>
        <v>#VALUE!</v>
      </c>
      <c r="GF53" t="e">
        <f>AND(Sheet1!I711,"AAAAADr/7bs=")</f>
        <v>#VALUE!</v>
      </c>
      <c r="GG53" t="e">
        <f>AND(Sheet1!J711,"AAAAADr/7bw=")</f>
        <v>#VALUE!</v>
      </c>
      <c r="GH53" t="e">
        <f>AND(Sheet1!K711,"AAAAADr/7b0=")</f>
        <v>#VALUE!</v>
      </c>
      <c r="GI53" t="e">
        <f>AND(Sheet1!L711,"AAAAADr/7b4=")</f>
        <v>#VALUE!</v>
      </c>
      <c r="GJ53" t="e">
        <f>AND(Sheet1!M711,"AAAAADr/7b8=")</f>
        <v>#VALUE!</v>
      </c>
      <c r="GK53" t="e">
        <f>AND(Sheet1!N711,"AAAAADr/7cA=")</f>
        <v>#VALUE!</v>
      </c>
      <c r="GL53" t="e">
        <f>AND(Sheet1!#REF!,"AAAAADr/7cE=")</f>
        <v>#REF!</v>
      </c>
      <c r="GM53" t="e">
        <f>AND(Sheet1!#REF!,"AAAAADr/7cI=")</f>
        <v>#REF!</v>
      </c>
      <c r="GN53" t="e">
        <f>AND(Sheet1!#REF!,"AAAAADr/7cM=")</f>
        <v>#REF!</v>
      </c>
      <c r="GO53" t="e">
        <f>AND(Sheet1!#REF!,"AAAAADr/7cQ=")</f>
        <v>#REF!</v>
      </c>
      <c r="GP53">
        <f>IF(Sheet1!712:712,"AAAAADr/7cU=",0)</f>
        <v>0</v>
      </c>
      <c r="GQ53" t="e">
        <f>AND(Sheet1!A712,"AAAAADr/7cY=")</f>
        <v>#VALUE!</v>
      </c>
      <c r="GR53" t="e">
        <f>AND(Sheet1!B712,"AAAAADr/7cc=")</f>
        <v>#VALUE!</v>
      </c>
      <c r="GS53" t="e">
        <f>AND(Sheet1!C712,"AAAAADr/7cg=")</f>
        <v>#VALUE!</v>
      </c>
      <c r="GT53" t="e">
        <f>AND(Sheet1!D712,"AAAAADr/7ck=")</f>
        <v>#VALUE!</v>
      </c>
      <c r="GU53" t="e">
        <f>AND(Sheet1!E712,"AAAAADr/7co=")</f>
        <v>#VALUE!</v>
      </c>
      <c r="GV53" t="e">
        <f>AND(Sheet1!F712,"AAAAADr/7cs=")</f>
        <v>#VALUE!</v>
      </c>
      <c r="GW53" t="e">
        <f>AND(Sheet1!G712,"AAAAADr/7cw=")</f>
        <v>#VALUE!</v>
      </c>
      <c r="GX53" t="e">
        <f>AND(Sheet1!H712,"AAAAADr/7c0=")</f>
        <v>#VALUE!</v>
      </c>
      <c r="GY53" t="e">
        <f>AND(Sheet1!I712,"AAAAADr/7c4=")</f>
        <v>#VALUE!</v>
      </c>
      <c r="GZ53" t="e">
        <f>AND(Sheet1!J712,"AAAAADr/7c8=")</f>
        <v>#VALUE!</v>
      </c>
      <c r="HA53" t="e">
        <f>AND(Sheet1!K712,"AAAAADr/7dA=")</f>
        <v>#VALUE!</v>
      </c>
      <c r="HB53" t="e">
        <f>AND(Sheet1!L712,"AAAAADr/7dE=")</f>
        <v>#VALUE!</v>
      </c>
      <c r="HC53" t="e">
        <f>AND(Sheet1!M712,"AAAAADr/7dI=")</f>
        <v>#VALUE!</v>
      </c>
      <c r="HD53" t="e">
        <f>AND(Sheet1!N712,"AAAAADr/7dM=")</f>
        <v>#VALUE!</v>
      </c>
      <c r="HE53" t="e">
        <f>AND(Sheet1!#REF!,"AAAAADr/7dQ=")</f>
        <v>#REF!</v>
      </c>
      <c r="HF53" t="e">
        <f>AND(Sheet1!#REF!,"AAAAADr/7dU=")</f>
        <v>#REF!</v>
      </c>
      <c r="HG53" t="e">
        <f>AND(Sheet1!#REF!,"AAAAADr/7dY=")</f>
        <v>#REF!</v>
      </c>
      <c r="HH53" t="e">
        <f>AND(Sheet1!#REF!,"AAAAADr/7dc=")</f>
        <v>#REF!</v>
      </c>
      <c r="HI53">
        <f>IF(Sheet1!713:713,"AAAAADr/7dg=",0)</f>
        <v>0</v>
      </c>
      <c r="HJ53" t="e">
        <f>AND(Sheet1!A713,"AAAAADr/7dk=")</f>
        <v>#VALUE!</v>
      </c>
      <c r="HK53" t="e">
        <f>AND(Sheet1!B713,"AAAAADr/7do=")</f>
        <v>#VALUE!</v>
      </c>
      <c r="HL53" t="e">
        <f>AND(Sheet1!C713,"AAAAADr/7ds=")</f>
        <v>#VALUE!</v>
      </c>
      <c r="HM53" t="e">
        <f>AND(Sheet1!D713,"AAAAADr/7dw=")</f>
        <v>#VALUE!</v>
      </c>
      <c r="HN53" t="e">
        <f>AND(Sheet1!E713,"AAAAADr/7d0=")</f>
        <v>#VALUE!</v>
      </c>
      <c r="HO53" t="e">
        <f>AND(Sheet1!F713,"AAAAADr/7d4=")</f>
        <v>#VALUE!</v>
      </c>
      <c r="HP53" t="e">
        <f>AND(Sheet1!G713,"AAAAADr/7d8=")</f>
        <v>#VALUE!</v>
      </c>
      <c r="HQ53" t="e">
        <f>AND(Sheet1!H713,"AAAAADr/7eA=")</f>
        <v>#VALUE!</v>
      </c>
      <c r="HR53" t="e">
        <f>AND(Sheet1!I713,"AAAAADr/7eE=")</f>
        <v>#VALUE!</v>
      </c>
      <c r="HS53" t="e">
        <f>AND(Sheet1!J713,"AAAAADr/7eI=")</f>
        <v>#VALUE!</v>
      </c>
      <c r="HT53" t="e">
        <f>AND(Sheet1!K713,"AAAAADr/7eM=")</f>
        <v>#VALUE!</v>
      </c>
      <c r="HU53" t="e">
        <f>AND(Sheet1!L713,"AAAAADr/7eQ=")</f>
        <v>#VALUE!</v>
      </c>
      <c r="HV53" t="e">
        <f>AND(Sheet1!M713,"AAAAADr/7eU=")</f>
        <v>#VALUE!</v>
      </c>
      <c r="HW53" t="e">
        <f>AND(Sheet1!N713,"AAAAADr/7eY=")</f>
        <v>#VALUE!</v>
      </c>
      <c r="HX53" t="e">
        <f>AND(Sheet1!#REF!,"AAAAADr/7ec=")</f>
        <v>#REF!</v>
      </c>
      <c r="HY53" t="e">
        <f>AND(Sheet1!#REF!,"AAAAADr/7eg=")</f>
        <v>#REF!</v>
      </c>
      <c r="HZ53" t="e">
        <f>AND(Sheet1!#REF!,"AAAAADr/7ek=")</f>
        <v>#REF!</v>
      </c>
      <c r="IA53" t="e">
        <f>AND(Sheet1!#REF!,"AAAAADr/7eo=")</f>
        <v>#REF!</v>
      </c>
      <c r="IB53">
        <f>IF(Sheet1!714:714,"AAAAADr/7es=",0)</f>
        <v>0</v>
      </c>
      <c r="IC53" t="e">
        <f>AND(Sheet1!A714,"AAAAADr/7ew=")</f>
        <v>#VALUE!</v>
      </c>
      <c r="ID53" t="e">
        <f>AND(Sheet1!B714,"AAAAADr/7e0=")</f>
        <v>#VALUE!</v>
      </c>
      <c r="IE53" t="e">
        <f>AND(Sheet1!C714,"AAAAADr/7e4=")</f>
        <v>#VALUE!</v>
      </c>
      <c r="IF53" t="e">
        <f>AND(Sheet1!D714,"AAAAADr/7e8=")</f>
        <v>#VALUE!</v>
      </c>
      <c r="IG53" t="e">
        <f>AND(Sheet1!E714,"AAAAADr/7fA=")</f>
        <v>#VALUE!</v>
      </c>
      <c r="IH53" t="e">
        <f>AND(Sheet1!F714,"AAAAADr/7fE=")</f>
        <v>#VALUE!</v>
      </c>
      <c r="II53" t="e">
        <f>AND(Sheet1!G714,"AAAAADr/7fI=")</f>
        <v>#VALUE!</v>
      </c>
      <c r="IJ53" t="e">
        <f>AND(Sheet1!H714,"AAAAADr/7fM=")</f>
        <v>#VALUE!</v>
      </c>
      <c r="IK53" t="e">
        <f>AND(Sheet1!I714,"AAAAADr/7fQ=")</f>
        <v>#VALUE!</v>
      </c>
      <c r="IL53" t="e">
        <f>AND(Sheet1!J714,"AAAAADr/7fU=")</f>
        <v>#VALUE!</v>
      </c>
      <c r="IM53" t="e">
        <f>AND(Sheet1!K714,"AAAAADr/7fY=")</f>
        <v>#VALUE!</v>
      </c>
      <c r="IN53" t="e">
        <f>AND(Sheet1!L714,"AAAAADr/7fc=")</f>
        <v>#VALUE!</v>
      </c>
      <c r="IO53" t="e">
        <f>AND(Sheet1!M714,"AAAAADr/7fg=")</f>
        <v>#VALUE!</v>
      </c>
      <c r="IP53" t="e">
        <f>AND(Sheet1!N714,"AAAAADr/7fk=")</f>
        <v>#VALUE!</v>
      </c>
      <c r="IQ53" t="e">
        <f>AND(Sheet1!#REF!,"AAAAADr/7fo=")</f>
        <v>#REF!</v>
      </c>
      <c r="IR53" t="e">
        <f>AND(Sheet1!#REF!,"AAAAADr/7fs=")</f>
        <v>#REF!</v>
      </c>
      <c r="IS53" t="e">
        <f>AND(Sheet1!#REF!,"AAAAADr/7fw=")</f>
        <v>#REF!</v>
      </c>
      <c r="IT53" t="e">
        <f>AND(Sheet1!#REF!,"AAAAADr/7f0=")</f>
        <v>#REF!</v>
      </c>
      <c r="IU53">
        <f>IF(Sheet1!715:715,"AAAAADr/7f4=",0)</f>
        <v>0</v>
      </c>
      <c r="IV53" t="e">
        <f>AND(Sheet1!A715,"AAAAADr/7f8=")</f>
        <v>#VALUE!</v>
      </c>
    </row>
    <row r="54" spans="1:256" x14ac:dyDescent="0.2">
      <c r="A54" t="e">
        <f>AND(Sheet1!B715,"AAAAAG//HgA=")</f>
        <v>#VALUE!</v>
      </c>
      <c r="B54" t="e">
        <f>AND(Sheet1!C715,"AAAAAG//HgE=")</f>
        <v>#VALUE!</v>
      </c>
      <c r="C54" t="e">
        <f>AND(Sheet1!D715,"AAAAAG//HgI=")</f>
        <v>#VALUE!</v>
      </c>
      <c r="D54" t="e">
        <f>AND(Sheet1!E715,"AAAAAG//HgM=")</f>
        <v>#VALUE!</v>
      </c>
      <c r="E54" t="e">
        <f>AND(Sheet1!F715,"AAAAAG//HgQ=")</f>
        <v>#VALUE!</v>
      </c>
      <c r="F54" t="e">
        <f>AND(Sheet1!G715,"AAAAAG//HgU=")</f>
        <v>#VALUE!</v>
      </c>
      <c r="G54" t="e">
        <f>AND(Sheet1!H715,"AAAAAG//HgY=")</f>
        <v>#VALUE!</v>
      </c>
      <c r="H54" t="e">
        <f>AND(Sheet1!I715,"AAAAAG//Hgc=")</f>
        <v>#VALUE!</v>
      </c>
      <c r="I54" t="e">
        <f>AND(Sheet1!J715,"AAAAAG//Hgg=")</f>
        <v>#VALUE!</v>
      </c>
      <c r="J54" t="e">
        <f>AND(Sheet1!K715,"AAAAAG//Hgk=")</f>
        <v>#VALUE!</v>
      </c>
      <c r="K54" t="e">
        <f>AND(Sheet1!L715,"AAAAAG//Hgo=")</f>
        <v>#VALUE!</v>
      </c>
      <c r="L54" t="e">
        <f>AND(Sheet1!M715,"AAAAAG//Hgs=")</f>
        <v>#VALUE!</v>
      </c>
      <c r="M54" t="e">
        <f>AND(Sheet1!N715,"AAAAAG//Hgw=")</f>
        <v>#VALUE!</v>
      </c>
      <c r="N54" t="e">
        <f>AND(Sheet1!#REF!,"AAAAAG//Hg0=")</f>
        <v>#REF!</v>
      </c>
      <c r="O54" t="e">
        <f>AND(Sheet1!#REF!,"AAAAAG//Hg4=")</f>
        <v>#REF!</v>
      </c>
      <c r="P54" t="e">
        <f>AND(Sheet1!#REF!,"AAAAAG//Hg8=")</f>
        <v>#REF!</v>
      </c>
      <c r="Q54" t="e">
        <f>AND(Sheet1!#REF!,"AAAAAG//HhA=")</f>
        <v>#REF!</v>
      </c>
      <c r="R54">
        <f>IF(Sheet1!716:716,"AAAAAG//HhE=",0)</f>
        <v>0</v>
      </c>
      <c r="S54" t="e">
        <f>AND(Sheet1!A716,"AAAAAG//HhI=")</f>
        <v>#VALUE!</v>
      </c>
      <c r="T54" t="e">
        <f>AND(Sheet1!B716,"AAAAAG//HhM=")</f>
        <v>#VALUE!</v>
      </c>
      <c r="U54" t="e">
        <f>AND(Sheet1!C716,"AAAAAG//HhQ=")</f>
        <v>#VALUE!</v>
      </c>
      <c r="V54" t="e">
        <f>AND(Sheet1!D716,"AAAAAG//HhU=")</f>
        <v>#VALUE!</v>
      </c>
      <c r="W54" t="e">
        <f>AND(Sheet1!E716,"AAAAAG//HhY=")</f>
        <v>#VALUE!</v>
      </c>
      <c r="X54" t="e">
        <f>AND(Sheet1!F716,"AAAAAG//Hhc=")</f>
        <v>#VALUE!</v>
      </c>
      <c r="Y54" t="e">
        <f>AND(Sheet1!G716,"AAAAAG//Hhg=")</f>
        <v>#VALUE!</v>
      </c>
      <c r="Z54" t="e">
        <f>AND(Sheet1!H716,"AAAAAG//Hhk=")</f>
        <v>#VALUE!</v>
      </c>
      <c r="AA54" t="e">
        <f>AND(Sheet1!I716,"AAAAAG//Hho=")</f>
        <v>#VALUE!</v>
      </c>
      <c r="AB54" t="e">
        <f>AND(Sheet1!J716,"AAAAAG//Hhs=")</f>
        <v>#VALUE!</v>
      </c>
      <c r="AC54" t="e">
        <f>AND(Sheet1!K716,"AAAAAG//Hhw=")</f>
        <v>#VALUE!</v>
      </c>
      <c r="AD54" t="e">
        <f>AND(Sheet1!L716,"AAAAAG//Hh0=")</f>
        <v>#VALUE!</v>
      </c>
      <c r="AE54" t="e">
        <f>AND(Sheet1!M716,"AAAAAG//Hh4=")</f>
        <v>#VALUE!</v>
      </c>
      <c r="AF54" t="e">
        <f>AND(Sheet1!N716,"AAAAAG//Hh8=")</f>
        <v>#VALUE!</v>
      </c>
      <c r="AG54" t="e">
        <f>AND(Sheet1!#REF!,"AAAAAG//HiA=")</f>
        <v>#REF!</v>
      </c>
      <c r="AH54" t="e">
        <f>AND(Sheet1!#REF!,"AAAAAG//HiE=")</f>
        <v>#REF!</v>
      </c>
      <c r="AI54" t="e">
        <f>AND(Sheet1!#REF!,"AAAAAG//HiI=")</f>
        <v>#REF!</v>
      </c>
      <c r="AJ54" t="e">
        <f>AND(Sheet1!#REF!,"AAAAAG//HiM=")</f>
        <v>#REF!</v>
      </c>
      <c r="AK54">
        <f>IF(Sheet1!717:717,"AAAAAG//HiQ=",0)</f>
        <v>0</v>
      </c>
      <c r="AL54" t="e">
        <f>AND(Sheet1!A717,"AAAAAG//HiU=")</f>
        <v>#VALUE!</v>
      </c>
      <c r="AM54" t="e">
        <f>AND(Sheet1!B717,"AAAAAG//HiY=")</f>
        <v>#VALUE!</v>
      </c>
      <c r="AN54" t="e">
        <f>AND(Sheet1!C717,"AAAAAG//Hic=")</f>
        <v>#VALUE!</v>
      </c>
      <c r="AO54" t="e">
        <f>AND(Sheet1!D717,"AAAAAG//Hig=")</f>
        <v>#VALUE!</v>
      </c>
      <c r="AP54" t="e">
        <f>AND(Sheet1!E717,"AAAAAG//Hik=")</f>
        <v>#VALUE!</v>
      </c>
      <c r="AQ54" t="e">
        <f>AND(Sheet1!F717,"AAAAAG//Hio=")</f>
        <v>#VALUE!</v>
      </c>
      <c r="AR54" t="e">
        <f>AND(Sheet1!G717,"AAAAAG//His=")</f>
        <v>#VALUE!</v>
      </c>
      <c r="AS54" t="e">
        <f>AND(Sheet1!H717,"AAAAAG//Hiw=")</f>
        <v>#VALUE!</v>
      </c>
      <c r="AT54" t="e">
        <f>AND(Sheet1!I717,"AAAAAG//Hi0=")</f>
        <v>#VALUE!</v>
      </c>
      <c r="AU54" t="e">
        <f>AND(Sheet1!J717,"AAAAAG//Hi4=")</f>
        <v>#VALUE!</v>
      </c>
      <c r="AV54" t="e">
        <f>AND(Sheet1!K717,"AAAAAG//Hi8=")</f>
        <v>#VALUE!</v>
      </c>
      <c r="AW54" t="e">
        <f>AND(Sheet1!L717,"AAAAAG//HjA=")</f>
        <v>#VALUE!</v>
      </c>
      <c r="AX54" t="e">
        <f>AND(Sheet1!M717,"AAAAAG//HjE=")</f>
        <v>#VALUE!</v>
      </c>
      <c r="AY54" t="e">
        <f>AND(Sheet1!N717,"AAAAAG//HjI=")</f>
        <v>#VALUE!</v>
      </c>
      <c r="AZ54" t="e">
        <f>AND(Sheet1!#REF!,"AAAAAG//HjM=")</f>
        <v>#REF!</v>
      </c>
      <c r="BA54" t="e">
        <f>AND(Sheet1!#REF!,"AAAAAG//HjQ=")</f>
        <v>#REF!</v>
      </c>
      <c r="BB54" t="e">
        <f>AND(Sheet1!#REF!,"AAAAAG//HjU=")</f>
        <v>#REF!</v>
      </c>
      <c r="BC54" t="e">
        <f>AND(Sheet1!#REF!,"AAAAAG//HjY=")</f>
        <v>#REF!</v>
      </c>
      <c r="BD54">
        <f>IF(Sheet1!718:718,"AAAAAG//Hjc=",0)</f>
        <v>0</v>
      </c>
      <c r="BE54" t="e">
        <f>AND(Sheet1!A718,"AAAAAG//Hjg=")</f>
        <v>#VALUE!</v>
      </c>
      <c r="BF54" t="e">
        <f>AND(Sheet1!B718,"AAAAAG//Hjk=")</f>
        <v>#VALUE!</v>
      </c>
      <c r="BG54" t="e">
        <f>AND(Sheet1!C718,"AAAAAG//Hjo=")</f>
        <v>#VALUE!</v>
      </c>
      <c r="BH54" t="e">
        <f>AND(Sheet1!D718,"AAAAAG//Hjs=")</f>
        <v>#VALUE!</v>
      </c>
      <c r="BI54" t="e">
        <f>AND(Sheet1!E718,"AAAAAG//Hjw=")</f>
        <v>#VALUE!</v>
      </c>
      <c r="BJ54" t="e">
        <f>AND(Sheet1!F718,"AAAAAG//Hj0=")</f>
        <v>#VALUE!</v>
      </c>
      <c r="BK54" t="e">
        <f>AND(Sheet1!G718,"AAAAAG//Hj4=")</f>
        <v>#VALUE!</v>
      </c>
      <c r="BL54" t="e">
        <f>AND(Sheet1!H718,"AAAAAG//Hj8=")</f>
        <v>#VALUE!</v>
      </c>
      <c r="BM54" t="e">
        <f>AND(Sheet1!I718,"AAAAAG//HkA=")</f>
        <v>#VALUE!</v>
      </c>
      <c r="BN54" t="e">
        <f>AND(Sheet1!J718,"AAAAAG//HkE=")</f>
        <v>#VALUE!</v>
      </c>
      <c r="BO54" t="e">
        <f>AND(Sheet1!K718,"AAAAAG//HkI=")</f>
        <v>#VALUE!</v>
      </c>
      <c r="BP54" t="e">
        <f>AND(Sheet1!L718,"AAAAAG//HkM=")</f>
        <v>#VALUE!</v>
      </c>
      <c r="BQ54" t="e">
        <f>AND(Sheet1!M718,"AAAAAG//HkQ=")</f>
        <v>#VALUE!</v>
      </c>
      <c r="BR54" t="e">
        <f>AND(Sheet1!N718,"AAAAAG//HkU=")</f>
        <v>#VALUE!</v>
      </c>
      <c r="BS54" t="e">
        <f>AND(Sheet1!#REF!,"AAAAAG//HkY=")</f>
        <v>#REF!</v>
      </c>
      <c r="BT54" t="e">
        <f>AND(Sheet1!#REF!,"AAAAAG//Hkc=")</f>
        <v>#REF!</v>
      </c>
      <c r="BU54" t="e">
        <f>AND(Sheet1!#REF!,"AAAAAG//Hkg=")</f>
        <v>#REF!</v>
      </c>
      <c r="BV54" t="e">
        <f>AND(Sheet1!#REF!,"AAAAAG//Hkk=")</f>
        <v>#REF!</v>
      </c>
      <c r="BW54">
        <f>IF(Sheet1!719:719,"AAAAAG//Hko=",0)</f>
        <v>0</v>
      </c>
      <c r="BX54" t="e">
        <f>AND(Sheet1!A719,"AAAAAG//Hks=")</f>
        <v>#VALUE!</v>
      </c>
      <c r="BY54" t="e">
        <f>AND(Sheet1!B719,"AAAAAG//Hkw=")</f>
        <v>#VALUE!</v>
      </c>
      <c r="BZ54" t="e">
        <f>AND(Sheet1!C719,"AAAAAG//Hk0=")</f>
        <v>#VALUE!</v>
      </c>
      <c r="CA54" t="e">
        <f>AND(Sheet1!D719,"AAAAAG//Hk4=")</f>
        <v>#VALUE!</v>
      </c>
      <c r="CB54" t="e">
        <f>AND(Sheet1!E719,"AAAAAG//Hk8=")</f>
        <v>#VALUE!</v>
      </c>
      <c r="CC54" t="e">
        <f>AND(Sheet1!F719,"AAAAAG//HlA=")</f>
        <v>#VALUE!</v>
      </c>
      <c r="CD54" t="e">
        <f>AND(Sheet1!G719,"AAAAAG//HlE=")</f>
        <v>#VALUE!</v>
      </c>
      <c r="CE54" t="e">
        <f>AND(Sheet1!H719,"AAAAAG//HlI=")</f>
        <v>#VALUE!</v>
      </c>
      <c r="CF54" t="e">
        <f>AND(Sheet1!I719,"AAAAAG//HlM=")</f>
        <v>#VALUE!</v>
      </c>
      <c r="CG54" t="e">
        <f>AND(Sheet1!J719,"AAAAAG//HlQ=")</f>
        <v>#VALUE!</v>
      </c>
      <c r="CH54" t="e">
        <f>AND(Sheet1!K719,"AAAAAG//HlU=")</f>
        <v>#VALUE!</v>
      </c>
      <c r="CI54" t="e">
        <f>AND(Sheet1!L719,"AAAAAG//HlY=")</f>
        <v>#VALUE!</v>
      </c>
      <c r="CJ54" t="e">
        <f>AND(Sheet1!M719,"AAAAAG//Hlc=")</f>
        <v>#VALUE!</v>
      </c>
      <c r="CK54" t="e">
        <f>AND(Sheet1!N719,"AAAAAG//Hlg=")</f>
        <v>#VALUE!</v>
      </c>
      <c r="CL54" t="e">
        <f>AND(Sheet1!#REF!,"AAAAAG//Hlk=")</f>
        <v>#REF!</v>
      </c>
      <c r="CM54" t="e">
        <f>AND(Sheet1!#REF!,"AAAAAG//Hlo=")</f>
        <v>#REF!</v>
      </c>
      <c r="CN54" t="e">
        <f>AND(Sheet1!#REF!,"AAAAAG//Hls=")</f>
        <v>#REF!</v>
      </c>
      <c r="CO54" t="e">
        <f>AND(Sheet1!#REF!,"AAAAAG//Hlw=")</f>
        <v>#REF!</v>
      </c>
      <c r="CP54">
        <f>IF(Sheet1!720:720,"AAAAAG//Hl0=",0)</f>
        <v>0</v>
      </c>
      <c r="CQ54" t="e">
        <f>AND(Sheet1!A720,"AAAAAG//Hl4=")</f>
        <v>#VALUE!</v>
      </c>
      <c r="CR54" t="e">
        <f>AND(Sheet1!B720,"AAAAAG//Hl8=")</f>
        <v>#VALUE!</v>
      </c>
      <c r="CS54" t="e">
        <f>AND(Sheet1!C720,"AAAAAG//HmA=")</f>
        <v>#VALUE!</v>
      </c>
      <c r="CT54" t="e">
        <f>AND(Sheet1!D720,"AAAAAG//HmE=")</f>
        <v>#VALUE!</v>
      </c>
      <c r="CU54" t="e">
        <f>AND(Sheet1!E720,"AAAAAG//HmI=")</f>
        <v>#VALUE!</v>
      </c>
      <c r="CV54" t="e">
        <f>AND(Sheet1!F720,"AAAAAG//HmM=")</f>
        <v>#VALUE!</v>
      </c>
      <c r="CW54" t="e">
        <f>AND(Sheet1!G720,"AAAAAG//HmQ=")</f>
        <v>#VALUE!</v>
      </c>
      <c r="CX54" t="e">
        <f>AND(Sheet1!H720,"AAAAAG//HmU=")</f>
        <v>#VALUE!</v>
      </c>
      <c r="CY54" t="e">
        <f>AND(Sheet1!I720,"AAAAAG//HmY=")</f>
        <v>#VALUE!</v>
      </c>
      <c r="CZ54" t="e">
        <f>AND(Sheet1!J720,"AAAAAG//Hmc=")</f>
        <v>#VALUE!</v>
      </c>
      <c r="DA54" t="e">
        <f>AND(Sheet1!K720,"AAAAAG//Hmg=")</f>
        <v>#VALUE!</v>
      </c>
      <c r="DB54" t="e">
        <f>AND(Sheet1!L720,"AAAAAG//Hmk=")</f>
        <v>#VALUE!</v>
      </c>
      <c r="DC54" t="e">
        <f>AND(Sheet1!M720,"AAAAAG//Hmo=")</f>
        <v>#VALUE!</v>
      </c>
      <c r="DD54" t="e">
        <f>AND(Sheet1!N720,"AAAAAG//Hms=")</f>
        <v>#VALUE!</v>
      </c>
      <c r="DE54" t="e">
        <f>AND(Sheet1!#REF!,"AAAAAG//Hmw=")</f>
        <v>#REF!</v>
      </c>
      <c r="DF54" t="e">
        <f>AND(Sheet1!#REF!,"AAAAAG//Hm0=")</f>
        <v>#REF!</v>
      </c>
      <c r="DG54" t="e">
        <f>AND(Sheet1!#REF!,"AAAAAG//Hm4=")</f>
        <v>#REF!</v>
      </c>
      <c r="DH54" t="e">
        <f>AND(Sheet1!#REF!,"AAAAAG//Hm8=")</f>
        <v>#REF!</v>
      </c>
      <c r="DI54">
        <f>IF(Sheet1!721:721,"AAAAAG//HnA=",0)</f>
        <v>0</v>
      </c>
      <c r="DJ54" t="e">
        <f>AND(Sheet1!A721,"AAAAAG//HnE=")</f>
        <v>#VALUE!</v>
      </c>
      <c r="DK54" t="e">
        <f>AND(Sheet1!B721,"AAAAAG//HnI=")</f>
        <v>#VALUE!</v>
      </c>
      <c r="DL54" t="e">
        <f>AND(Sheet1!C721,"AAAAAG//HnM=")</f>
        <v>#VALUE!</v>
      </c>
      <c r="DM54" t="e">
        <f>AND(Sheet1!D721,"AAAAAG//HnQ=")</f>
        <v>#VALUE!</v>
      </c>
      <c r="DN54" t="e">
        <f>AND(Sheet1!E721,"AAAAAG//HnU=")</f>
        <v>#VALUE!</v>
      </c>
      <c r="DO54" t="e">
        <f>AND(Sheet1!F721,"AAAAAG//HnY=")</f>
        <v>#VALUE!</v>
      </c>
      <c r="DP54" t="e">
        <f>AND(Sheet1!G721,"AAAAAG//Hnc=")</f>
        <v>#VALUE!</v>
      </c>
      <c r="DQ54" t="e">
        <f>AND(Sheet1!H721,"AAAAAG//Hng=")</f>
        <v>#VALUE!</v>
      </c>
      <c r="DR54" t="e">
        <f>AND(Sheet1!I721,"AAAAAG//Hnk=")</f>
        <v>#VALUE!</v>
      </c>
      <c r="DS54" t="e">
        <f>AND(Sheet1!J721,"AAAAAG//Hno=")</f>
        <v>#VALUE!</v>
      </c>
      <c r="DT54" t="e">
        <f>AND(Sheet1!K721,"AAAAAG//Hns=")</f>
        <v>#VALUE!</v>
      </c>
      <c r="DU54" t="e">
        <f>AND(Sheet1!L721,"AAAAAG//Hnw=")</f>
        <v>#VALUE!</v>
      </c>
      <c r="DV54" t="e">
        <f>AND(Sheet1!M721,"AAAAAG//Hn0=")</f>
        <v>#VALUE!</v>
      </c>
      <c r="DW54" t="e">
        <f>AND(Sheet1!N721,"AAAAAG//Hn4=")</f>
        <v>#VALUE!</v>
      </c>
      <c r="DX54" t="e">
        <f>AND(Sheet1!#REF!,"AAAAAG//Hn8=")</f>
        <v>#REF!</v>
      </c>
      <c r="DY54" t="e">
        <f>AND(Sheet1!#REF!,"AAAAAG//HoA=")</f>
        <v>#REF!</v>
      </c>
      <c r="DZ54" t="e">
        <f>AND(Sheet1!#REF!,"AAAAAG//HoE=")</f>
        <v>#REF!</v>
      </c>
      <c r="EA54" t="e">
        <f>AND(Sheet1!#REF!,"AAAAAG//HoI=")</f>
        <v>#REF!</v>
      </c>
      <c r="EB54">
        <f>IF(Sheet1!722:722,"AAAAAG//HoM=",0)</f>
        <v>0</v>
      </c>
      <c r="EC54" t="e">
        <f>AND(Sheet1!A722,"AAAAAG//HoQ=")</f>
        <v>#VALUE!</v>
      </c>
      <c r="ED54" t="e">
        <f>AND(Sheet1!B722,"AAAAAG//HoU=")</f>
        <v>#VALUE!</v>
      </c>
      <c r="EE54" t="e">
        <f>AND(Sheet1!C722,"AAAAAG//HoY=")</f>
        <v>#VALUE!</v>
      </c>
      <c r="EF54" t="e">
        <f>AND(Sheet1!D722,"AAAAAG//Hoc=")</f>
        <v>#VALUE!</v>
      </c>
      <c r="EG54" t="e">
        <f>AND(Sheet1!E722,"AAAAAG//Hog=")</f>
        <v>#VALUE!</v>
      </c>
      <c r="EH54" t="e">
        <f>AND(Sheet1!F722,"AAAAAG//Hok=")</f>
        <v>#VALUE!</v>
      </c>
      <c r="EI54" t="e">
        <f>AND(Sheet1!G722,"AAAAAG//Hoo=")</f>
        <v>#VALUE!</v>
      </c>
      <c r="EJ54" t="e">
        <f>AND(Sheet1!H722,"AAAAAG//Hos=")</f>
        <v>#VALUE!</v>
      </c>
      <c r="EK54" t="e">
        <f>AND(Sheet1!I722,"AAAAAG//How=")</f>
        <v>#VALUE!</v>
      </c>
      <c r="EL54" t="e">
        <f>AND(Sheet1!J722,"AAAAAG//Ho0=")</f>
        <v>#VALUE!</v>
      </c>
      <c r="EM54" t="e">
        <f>AND(Sheet1!K722,"AAAAAG//Ho4=")</f>
        <v>#VALUE!</v>
      </c>
      <c r="EN54" t="e">
        <f>AND(Sheet1!L722,"AAAAAG//Ho8=")</f>
        <v>#VALUE!</v>
      </c>
      <c r="EO54" t="e">
        <f>AND(Sheet1!M722,"AAAAAG//HpA=")</f>
        <v>#VALUE!</v>
      </c>
      <c r="EP54" t="e">
        <f>AND(Sheet1!N722,"AAAAAG//HpE=")</f>
        <v>#VALUE!</v>
      </c>
      <c r="EQ54" t="e">
        <f>AND(Sheet1!#REF!,"AAAAAG//HpI=")</f>
        <v>#REF!</v>
      </c>
      <c r="ER54" t="e">
        <f>AND(Sheet1!#REF!,"AAAAAG//HpM=")</f>
        <v>#REF!</v>
      </c>
      <c r="ES54" t="e">
        <f>AND(Sheet1!#REF!,"AAAAAG//HpQ=")</f>
        <v>#REF!</v>
      </c>
      <c r="ET54" t="e">
        <f>AND(Sheet1!#REF!,"AAAAAG//HpU=")</f>
        <v>#REF!</v>
      </c>
      <c r="EU54">
        <f>IF(Sheet1!723:723,"AAAAAG//HpY=",0)</f>
        <v>0</v>
      </c>
      <c r="EV54" t="e">
        <f>AND(Sheet1!A723,"AAAAAG//Hpc=")</f>
        <v>#VALUE!</v>
      </c>
      <c r="EW54" t="e">
        <f>AND(Sheet1!B723,"AAAAAG//Hpg=")</f>
        <v>#VALUE!</v>
      </c>
      <c r="EX54" t="e">
        <f>AND(Sheet1!C723,"AAAAAG//Hpk=")</f>
        <v>#VALUE!</v>
      </c>
      <c r="EY54" t="e">
        <f>AND(Sheet1!D723,"AAAAAG//Hpo=")</f>
        <v>#VALUE!</v>
      </c>
      <c r="EZ54" t="e">
        <f>AND(Sheet1!E723,"AAAAAG//Hps=")</f>
        <v>#VALUE!</v>
      </c>
      <c r="FA54" t="e">
        <f>AND(Sheet1!F723,"AAAAAG//Hpw=")</f>
        <v>#VALUE!</v>
      </c>
      <c r="FB54" t="e">
        <f>AND(Sheet1!G723,"AAAAAG//Hp0=")</f>
        <v>#VALUE!</v>
      </c>
      <c r="FC54" t="e">
        <f>AND(Sheet1!H723,"AAAAAG//Hp4=")</f>
        <v>#VALUE!</v>
      </c>
      <c r="FD54" t="e">
        <f>AND(Sheet1!I723,"AAAAAG//Hp8=")</f>
        <v>#VALUE!</v>
      </c>
      <c r="FE54" t="e">
        <f>AND(Sheet1!J723,"AAAAAG//HqA=")</f>
        <v>#VALUE!</v>
      </c>
      <c r="FF54" t="e">
        <f>AND(Sheet1!K723,"AAAAAG//HqE=")</f>
        <v>#VALUE!</v>
      </c>
      <c r="FG54" t="e">
        <f>AND(Sheet1!L723,"AAAAAG//HqI=")</f>
        <v>#VALUE!</v>
      </c>
      <c r="FH54" t="e">
        <f>AND(Sheet1!M723,"AAAAAG//HqM=")</f>
        <v>#VALUE!</v>
      </c>
      <c r="FI54" t="e">
        <f>AND(Sheet1!N723,"AAAAAG//HqQ=")</f>
        <v>#VALUE!</v>
      </c>
      <c r="FJ54" t="e">
        <f>AND(Sheet1!#REF!,"AAAAAG//HqU=")</f>
        <v>#REF!</v>
      </c>
      <c r="FK54" t="e">
        <f>AND(Sheet1!#REF!,"AAAAAG//HqY=")</f>
        <v>#REF!</v>
      </c>
      <c r="FL54" t="e">
        <f>AND(Sheet1!#REF!,"AAAAAG//Hqc=")</f>
        <v>#REF!</v>
      </c>
      <c r="FM54" t="e">
        <f>AND(Sheet1!#REF!,"AAAAAG//Hqg=")</f>
        <v>#REF!</v>
      </c>
      <c r="FN54">
        <f>IF(Sheet1!724:724,"AAAAAG//Hqk=",0)</f>
        <v>0</v>
      </c>
      <c r="FO54" t="e">
        <f>AND(Sheet1!A724,"AAAAAG//Hqo=")</f>
        <v>#VALUE!</v>
      </c>
      <c r="FP54" t="e">
        <f>AND(Sheet1!B724,"AAAAAG//Hqs=")</f>
        <v>#VALUE!</v>
      </c>
      <c r="FQ54" t="e">
        <f>AND(Sheet1!C724,"AAAAAG//Hqw=")</f>
        <v>#VALUE!</v>
      </c>
      <c r="FR54" t="e">
        <f>AND(Sheet1!D724,"AAAAAG//Hq0=")</f>
        <v>#VALUE!</v>
      </c>
      <c r="FS54" t="e">
        <f>AND(Sheet1!E724,"AAAAAG//Hq4=")</f>
        <v>#VALUE!</v>
      </c>
      <c r="FT54" t="e">
        <f>AND(Sheet1!F724,"AAAAAG//Hq8=")</f>
        <v>#VALUE!</v>
      </c>
      <c r="FU54" t="e">
        <f>AND(Sheet1!G724,"AAAAAG//HrA=")</f>
        <v>#VALUE!</v>
      </c>
      <c r="FV54" t="e">
        <f>AND(Sheet1!H724,"AAAAAG//HrE=")</f>
        <v>#VALUE!</v>
      </c>
      <c r="FW54" t="e">
        <f>AND(Sheet1!I724,"AAAAAG//HrI=")</f>
        <v>#VALUE!</v>
      </c>
      <c r="FX54" t="e">
        <f>AND(Sheet1!J724,"AAAAAG//HrM=")</f>
        <v>#VALUE!</v>
      </c>
      <c r="FY54" t="e">
        <f>AND(Sheet1!K724,"AAAAAG//HrQ=")</f>
        <v>#VALUE!</v>
      </c>
      <c r="FZ54" t="e">
        <f>AND(Sheet1!L724,"AAAAAG//HrU=")</f>
        <v>#VALUE!</v>
      </c>
      <c r="GA54" t="e">
        <f>AND(Sheet1!M724,"AAAAAG//HrY=")</f>
        <v>#VALUE!</v>
      </c>
      <c r="GB54" t="e">
        <f>AND(Sheet1!N724,"AAAAAG//Hrc=")</f>
        <v>#VALUE!</v>
      </c>
      <c r="GC54" t="e">
        <f>AND(Sheet1!#REF!,"AAAAAG//Hrg=")</f>
        <v>#REF!</v>
      </c>
      <c r="GD54" t="e">
        <f>AND(Sheet1!#REF!,"AAAAAG//Hrk=")</f>
        <v>#REF!</v>
      </c>
      <c r="GE54" t="e">
        <f>AND(Sheet1!#REF!,"AAAAAG//Hro=")</f>
        <v>#REF!</v>
      </c>
      <c r="GF54" t="e">
        <f>AND(Sheet1!#REF!,"AAAAAG//Hrs=")</f>
        <v>#REF!</v>
      </c>
      <c r="GG54">
        <f>IF(Sheet1!725:725,"AAAAAG//Hrw=",0)</f>
        <v>0</v>
      </c>
      <c r="GH54" t="e">
        <f>AND(Sheet1!A725,"AAAAAG//Hr0=")</f>
        <v>#VALUE!</v>
      </c>
      <c r="GI54" t="e">
        <f>AND(Sheet1!B725,"AAAAAG//Hr4=")</f>
        <v>#VALUE!</v>
      </c>
      <c r="GJ54" t="e">
        <f>AND(Sheet1!C725,"AAAAAG//Hr8=")</f>
        <v>#VALUE!</v>
      </c>
      <c r="GK54" t="e">
        <f>AND(Sheet1!D725,"AAAAAG//HsA=")</f>
        <v>#VALUE!</v>
      </c>
      <c r="GL54" t="e">
        <f>AND(Sheet1!E725,"AAAAAG//HsE=")</f>
        <v>#VALUE!</v>
      </c>
      <c r="GM54" t="e">
        <f>AND(Sheet1!F725,"AAAAAG//HsI=")</f>
        <v>#VALUE!</v>
      </c>
      <c r="GN54" t="e">
        <f>AND(Sheet1!G725,"AAAAAG//HsM=")</f>
        <v>#VALUE!</v>
      </c>
      <c r="GO54" t="e">
        <f>AND(Sheet1!H725,"AAAAAG//HsQ=")</f>
        <v>#VALUE!</v>
      </c>
      <c r="GP54" t="e">
        <f>AND(Sheet1!I725,"AAAAAG//HsU=")</f>
        <v>#VALUE!</v>
      </c>
      <c r="GQ54" t="e">
        <f>AND(Sheet1!J725,"AAAAAG//HsY=")</f>
        <v>#VALUE!</v>
      </c>
      <c r="GR54" t="e">
        <f>AND(Sheet1!K725,"AAAAAG//Hsc=")</f>
        <v>#VALUE!</v>
      </c>
      <c r="GS54" t="e">
        <f>AND(Sheet1!L725,"AAAAAG//Hsg=")</f>
        <v>#VALUE!</v>
      </c>
      <c r="GT54" t="e">
        <f>AND(Sheet1!M725,"AAAAAG//Hsk=")</f>
        <v>#VALUE!</v>
      </c>
      <c r="GU54" t="e">
        <f>AND(Sheet1!N725,"AAAAAG//Hso=")</f>
        <v>#VALUE!</v>
      </c>
      <c r="GV54" t="e">
        <f>AND(Sheet1!#REF!,"AAAAAG//Hss=")</f>
        <v>#REF!</v>
      </c>
      <c r="GW54" t="e">
        <f>AND(Sheet1!#REF!,"AAAAAG//Hsw=")</f>
        <v>#REF!</v>
      </c>
      <c r="GX54" t="e">
        <f>AND(Sheet1!#REF!,"AAAAAG//Hs0=")</f>
        <v>#REF!</v>
      </c>
      <c r="GY54" t="e">
        <f>AND(Sheet1!#REF!,"AAAAAG//Hs4=")</f>
        <v>#REF!</v>
      </c>
      <c r="GZ54">
        <f>IF(Sheet1!726:726,"AAAAAG//Hs8=",0)</f>
        <v>0</v>
      </c>
      <c r="HA54" t="e">
        <f>AND(Sheet1!A726,"AAAAAG//HtA=")</f>
        <v>#VALUE!</v>
      </c>
      <c r="HB54" t="e">
        <f>AND(Sheet1!B726,"AAAAAG//HtE=")</f>
        <v>#VALUE!</v>
      </c>
      <c r="HC54" t="e">
        <f>AND(Sheet1!C726,"AAAAAG//HtI=")</f>
        <v>#VALUE!</v>
      </c>
      <c r="HD54" t="e">
        <f>AND(Sheet1!D726,"AAAAAG//HtM=")</f>
        <v>#VALUE!</v>
      </c>
      <c r="HE54" t="e">
        <f>AND(Sheet1!E726,"AAAAAG//HtQ=")</f>
        <v>#VALUE!</v>
      </c>
      <c r="HF54" t="e">
        <f>AND(Sheet1!F726,"AAAAAG//HtU=")</f>
        <v>#VALUE!</v>
      </c>
      <c r="HG54" t="e">
        <f>AND(Sheet1!G726,"AAAAAG//HtY=")</f>
        <v>#VALUE!</v>
      </c>
      <c r="HH54" t="e">
        <f>AND(Sheet1!H726,"AAAAAG//Htc=")</f>
        <v>#VALUE!</v>
      </c>
      <c r="HI54" t="e">
        <f>AND(Sheet1!I726,"AAAAAG//Htg=")</f>
        <v>#VALUE!</v>
      </c>
      <c r="HJ54" t="e">
        <f>AND(Sheet1!J726,"AAAAAG//Htk=")</f>
        <v>#VALUE!</v>
      </c>
      <c r="HK54" t="e">
        <f>AND(Sheet1!K726,"AAAAAG//Hto=")</f>
        <v>#VALUE!</v>
      </c>
      <c r="HL54" t="e">
        <f>AND(Sheet1!L726,"AAAAAG//Hts=")</f>
        <v>#VALUE!</v>
      </c>
      <c r="HM54" t="e">
        <f>AND(Sheet1!M726,"AAAAAG//Htw=")</f>
        <v>#VALUE!</v>
      </c>
      <c r="HN54" t="e">
        <f>AND(Sheet1!N726,"AAAAAG//Ht0=")</f>
        <v>#VALUE!</v>
      </c>
      <c r="HO54" t="e">
        <f>AND(Sheet1!#REF!,"AAAAAG//Ht4=")</f>
        <v>#REF!</v>
      </c>
      <c r="HP54" t="e">
        <f>AND(Sheet1!#REF!,"AAAAAG//Ht8=")</f>
        <v>#REF!</v>
      </c>
      <c r="HQ54" t="e">
        <f>AND(Sheet1!#REF!,"AAAAAG//HuA=")</f>
        <v>#REF!</v>
      </c>
      <c r="HR54" t="e">
        <f>AND(Sheet1!#REF!,"AAAAAG//HuE=")</f>
        <v>#REF!</v>
      </c>
      <c r="HS54">
        <f>IF(Sheet1!727:727,"AAAAAG//HuI=",0)</f>
        <v>0</v>
      </c>
      <c r="HT54" t="e">
        <f>AND(Sheet1!A727,"AAAAAG//HuM=")</f>
        <v>#VALUE!</v>
      </c>
      <c r="HU54" t="e">
        <f>AND(Sheet1!B727,"AAAAAG//HuQ=")</f>
        <v>#VALUE!</v>
      </c>
      <c r="HV54" t="e">
        <f>AND(Sheet1!C727,"AAAAAG//HuU=")</f>
        <v>#VALUE!</v>
      </c>
      <c r="HW54" t="e">
        <f>AND(Sheet1!D727,"AAAAAG//HuY=")</f>
        <v>#VALUE!</v>
      </c>
      <c r="HX54" t="e">
        <f>AND(Sheet1!E727,"AAAAAG//Huc=")</f>
        <v>#VALUE!</v>
      </c>
      <c r="HY54" t="e">
        <f>AND(Sheet1!F727,"AAAAAG//Hug=")</f>
        <v>#VALUE!</v>
      </c>
      <c r="HZ54" t="e">
        <f>AND(Sheet1!G727,"AAAAAG//Huk=")</f>
        <v>#VALUE!</v>
      </c>
      <c r="IA54" t="e">
        <f>AND(Sheet1!H727,"AAAAAG//Huo=")</f>
        <v>#VALUE!</v>
      </c>
      <c r="IB54" t="e">
        <f>AND(Sheet1!I727,"AAAAAG//Hus=")</f>
        <v>#VALUE!</v>
      </c>
      <c r="IC54" t="e">
        <f>AND(Sheet1!J727,"AAAAAG//Huw=")</f>
        <v>#VALUE!</v>
      </c>
      <c r="ID54" t="e">
        <f>AND(Sheet1!K727,"AAAAAG//Hu0=")</f>
        <v>#VALUE!</v>
      </c>
      <c r="IE54" t="e">
        <f>AND(Sheet1!L727,"AAAAAG//Hu4=")</f>
        <v>#VALUE!</v>
      </c>
      <c r="IF54" t="e">
        <f>AND(Sheet1!M727,"AAAAAG//Hu8=")</f>
        <v>#VALUE!</v>
      </c>
      <c r="IG54" t="e">
        <f>AND(Sheet1!N727,"AAAAAG//HvA=")</f>
        <v>#VALUE!</v>
      </c>
      <c r="IH54" t="e">
        <f>AND(Sheet1!#REF!,"AAAAAG//HvE=")</f>
        <v>#REF!</v>
      </c>
      <c r="II54" t="e">
        <f>AND(Sheet1!#REF!,"AAAAAG//HvI=")</f>
        <v>#REF!</v>
      </c>
      <c r="IJ54" t="e">
        <f>AND(Sheet1!#REF!,"AAAAAG//HvM=")</f>
        <v>#REF!</v>
      </c>
      <c r="IK54" t="e">
        <f>AND(Sheet1!#REF!,"AAAAAG//HvQ=")</f>
        <v>#REF!</v>
      </c>
      <c r="IL54">
        <f>IF(Sheet1!728:728,"AAAAAG//HvU=",0)</f>
        <v>0</v>
      </c>
      <c r="IM54" t="e">
        <f>AND(Sheet1!A728,"AAAAAG//HvY=")</f>
        <v>#VALUE!</v>
      </c>
      <c r="IN54" t="e">
        <f>AND(Sheet1!B728,"AAAAAG//Hvc=")</f>
        <v>#VALUE!</v>
      </c>
      <c r="IO54" t="e">
        <f>AND(Sheet1!C728,"AAAAAG//Hvg=")</f>
        <v>#VALUE!</v>
      </c>
      <c r="IP54" t="e">
        <f>AND(Sheet1!D728,"AAAAAG//Hvk=")</f>
        <v>#VALUE!</v>
      </c>
      <c r="IQ54" t="e">
        <f>AND(Sheet1!E728,"AAAAAG//Hvo=")</f>
        <v>#VALUE!</v>
      </c>
      <c r="IR54" t="e">
        <f>AND(Sheet1!F728,"AAAAAG//Hvs=")</f>
        <v>#VALUE!</v>
      </c>
      <c r="IS54" t="e">
        <f>AND(Sheet1!G728,"AAAAAG//Hvw=")</f>
        <v>#VALUE!</v>
      </c>
      <c r="IT54" t="e">
        <f>AND(Sheet1!H728,"AAAAAG//Hv0=")</f>
        <v>#VALUE!</v>
      </c>
      <c r="IU54" t="e">
        <f>AND(Sheet1!I728,"AAAAAG//Hv4=")</f>
        <v>#VALUE!</v>
      </c>
      <c r="IV54" t="e">
        <f>AND(Sheet1!J728,"AAAAAG//Hv8=")</f>
        <v>#VALUE!</v>
      </c>
    </row>
    <row r="55" spans="1:256" x14ac:dyDescent="0.2">
      <c r="A55" t="e">
        <f>AND(Sheet1!K728,"AAAAADvu/wA=")</f>
        <v>#VALUE!</v>
      </c>
      <c r="B55" t="e">
        <f>AND(Sheet1!L728,"AAAAADvu/wE=")</f>
        <v>#VALUE!</v>
      </c>
      <c r="C55" t="e">
        <f>AND(Sheet1!M728,"AAAAADvu/wI=")</f>
        <v>#VALUE!</v>
      </c>
      <c r="D55" t="e">
        <f>AND(Sheet1!N728,"AAAAADvu/wM=")</f>
        <v>#VALUE!</v>
      </c>
      <c r="E55" t="e">
        <f>AND(Sheet1!#REF!,"AAAAADvu/wQ=")</f>
        <v>#REF!</v>
      </c>
      <c r="F55" t="e">
        <f>AND(Sheet1!#REF!,"AAAAADvu/wU=")</f>
        <v>#REF!</v>
      </c>
      <c r="G55" t="e">
        <f>AND(Sheet1!#REF!,"AAAAADvu/wY=")</f>
        <v>#REF!</v>
      </c>
      <c r="H55" t="e">
        <f>AND(Sheet1!#REF!,"AAAAADvu/wc=")</f>
        <v>#REF!</v>
      </c>
      <c r="I55">
        <f>IF(Sheet1!729:729,"AAAAADvu/wg=",0)</f>
        <v>0</v>
      </c>
      <c r="J55" t="e">
        <f>AND(Sheet1!A729,"AAAAADvu/wk=")</f>
        <v>#VALUE!</v>
      </c>
      <c r="K55" t="e">
        <f>AND(Sheet1!B729,"AAAAADvu/wo=")</f>
        <v>#VALUE!</v>
      </c>
      <c r="L55" t="e">
        <f>AND(Sheet1!C729,"AAAAADvu/ws=")</f>
        <v>#VALUE!</v>
      </c>
      <c r="M55" t="e">
        <f>AND(Sheet1!D729,"AAAAADvu/ww=")</f>
        <v>#VALUE!</v>
      </c>
      <c r="N55" t="e">
        <f>AND(Sheet1!E729,"AAAAADvu/w0=")</f>
        <v>#VALUE!</v>
      </c>
      <c r="O55" t="e">
        <f>AND(Sheet1!F729,"AAAAADvu/w4=")</f>
        <v>#VALUE!</v>
      </c>
      <c r="P55" t="e">
        <f>AND(Sheet1!G729,"AAAAADvu/w8=")</f>
        <v>#VALUE!</v>
      </c>
      <c r="Q55" t="e">
        <f>AND(Sheet1!H729,"AAAAADvu/xA=")</f>
        <v>#VALUE!</v>
      </c>
      <c r="R55" t="e">
        <f>AND(Sheet1!I729,"AAAAADvu/xE=")</f>
        <v>#VALUE!</v>
      </c>
      <c r="S55" t="e">
        <f>AND(Sheet1!J729,"AAAAADvu/xI=")</f>
        <v>#VALUE!</v>
      </c>
      <c r="T55" t="e">
        <f>AND(Sheet1!K729,"AAAAADvu/xM=")</f>
        <v>#VALUE!</v>
      </c>
      <c r="U55" t="e">
        <f>AND(Sheet1!L729,"AAAAADvu/xQ=")</f>
        <v>#VALUE!</v>
      </c>
      <c r="V55" t="e">
        <f>AND(Sheet1!M729,"AAAAADvu/xU=")</f>
        <v>#VALUE!</v>
      </c>
      <c r="W55" t="e">
        <f>AND(Sheet1!N729,"AAAAADvu/xY=")</f>
        <v>#VALUE!</v>
      </c>
      <c r="X55" t="e">
        <f>AND(Sheet1!#REF!,"AAAAADvu/xc=")</f>
        <v>#REF!</v>
      </c>
      <c r="Y55" t="e">
        <f>AND(Sheet1!#REF!,"AAAAADvu/xg=")</f>
        <v>#REF!</v>
      </c>
      <c r="Z55" t="e">
        <f>AND(Sheet1!#REF!,"AAAAADvu/xk=")</f>
        <v>#REF!</v>
      </c>
      <c r="AA55" t="e">
        <f>AND(Sheet1!#REF!,"AAAAADvu/xo=")</f>
        <v>#REF!</v>
      </c>
      <c r="AB55">
        <f>IF(Sheet1!730:730,"AAAAADvu/xs=",0)</f>
        <v>0</v>
      </c>
      <c r="AC55" t="e">
        <f>AND(Sheet1!A730,"AAAAADvu/xw=")</f>
        <v>#VALUE!</v>
      </c>
      <c r="AD55" t="e">
        <f>AND(Sheet1!B730,"AAAAADvu/x0=")</f>
        <v>#VALUE!</v>
      </c>
      <c r="AE55" t="e">
        <f>AND(Sheet1!C730,"AAAAADvu/x4=")</f>
        <v>#VALUE!</v>
      </c>
      <c r="AF55" t="e">
        <f>AND(Sheet1!D730,"AAAAADvu/x8=")</f>
        <v>#VALUE!</v>
      </c>
      <c r="AG55" t="e">
        <f>AND(Sheet1!E730,"AAAAADvu/yA=")</f>
        <v>#VALUE!</v>
      </c>
      <c r="AH55" t="e">
        <f>AND(Sheet1!F730,"AAAAADvu/yE=")</f>
        <v>#VALUE!</v>
      </c>
      <c r="AI55" t="e">
        <f>AND(Sheet1!G730,"AAAAADvu/yI=")</f>
        <v>#VALUE!</v>
      </c>
      <c r="AJ55" t="e">
        <f>AND(Sheet1!H730,"AAAAADvu/yM=")</f>
        <v>#VALUE!</v>
      </c>
      <c r="AK55" t="e">
        <f>AND(Sheet1!I730,"AAAAADvu/yQ=")</f>
        <v>#VALUE!</v>
      </c>
      <c r="AL55" t="e">
        <f>AND(Sheet1!J730,"AAAAADvu/yU=")</f>
        <v>#VALUE!</v>
      </c>
      <c r="AM55" t="e">
        <f>AND(Sheet1!K730,"AAAAADvu/yY=")</f>
        <v>#VALUE!</v>
      </c>
      <c r="AN55" t="e">
        <f>AND(Sheet1!L730,"AAAAADvu/yc=")</f>
        <v>#VALUE!</v>
      </c>
      <c r="AO55" t="e">
        <f>AND(Sheet1!M730,"AAAAADvu/yg=")</f>
        <v>#VALUE!</v>
      </c>
      <c r="AP55" t="e">
        <f>AND(Sheet1!N730,"AAAAADvu/yk=")</f>
        <v>#VALUE!</v>
      </c>
      <c r="AQ55" t="e">
        <f>AND(Sheet1!#REF!,"AAAAADvu/yo=")</f>
        <v>#REF!</v>
      </c>
      <c r="AR55" t="e">
        <f>AND(Sheet1!#REF!,"AAAAADvu/ys=")</f>
        <v>#REF!</v>
      </c>
      <c r="AS55" t="e">
        <f>AND(Sheet1!#REF!,"AAAAADvu/yw=")</f>
        <v>#REF!</v>
      </c>
      <c r="AT55" t="e">
        <f>AND(Sheet1!#REF!,"AAAAADvu/y0=")</f>
        <v>#REF!</v>
      </c>
      <c r="AU55">
        <f>IF(Sheet1!731:731,"AAAAADvu/y4=",0)</f>
        <v>0</v>
      </c>
      <c r="AV55" t="e">
        <f>AND(Sheet1!A731,"AAAAADvu/y8=")</f>
        <v>#VALUE!</v>
      </c>
      <c r="AW55" t="e">
        <f>AND(Sheet1!B731,"AAAAADvu/zA=")</f>
        <v>#VALUE!</v>
      </c>
      <c r="AX55" t="e">
        <f>AND(Sheet1!C731,"AAAAADvu/zE=")</f>
        <v>#VALUE!</v>
      </c>
      <c r="AY55" t="e">
        <f>AND(Sheet1!D731,"AAAAADvu/zI=")</f>
        <v>#VALUE!</v>
      </c>
      <c r="AZ55" t="e">
        <f>AND(Sheet1!E731,"AAAAADvu/zM=")</f>
        <v>#VALUE!</v>
      </c>
      <c r="BA55" t="e">
        <f>AND(Sheet1!F731,"AAAAADvu/zQ=")</f>
        <v>#VALUE!</v>
      </c>
      <c r="BB55" t="e">
        <f>AND(Sheet1!G731,"AAAAADvu/zU=")</f>
        <v>#VALUE!</v>
      </c>
      <c r="BC55" t="e">
        <f>AND(Sheet1!H731,"AAAAADvu/zY=")</f>
        <v>#VALUE!</v>
      </c>
      <c r="BD55" t="e">
        <f>AND(Sheet1!I731,"AAAAADvu/zc=")</f>
        <v>#VALUE!</v>
      </c>
      <c r="BE55" t="e">
        <f>AND(Sheet1!J731,"AAAAADvu/zg=")</f>
        <v>#VALUE!</v>
      </c>
      <c r="BF55" t="e">
        <f>AND(Sheet1!K731,"AAAAADvu/zk=")</f>
        <v>#VALUE!</v>
      </c>
      <c r="BG55" t="e">
        <f>AND(Sheet1!L731,"AAAAADvu/zo=")</f>
        <v>#VALUE!</v>
      </c>
      <c r="BH55" t="e">
        <f>AND(Sheet1!M731,"AAAAADvu/zs=")</f>
        <v>#VALUE!</v>
      </c>
      <c r="BI55" t="e">
        <f>AND(Sheet1!N731,"AAAAADvu/zw=")</f>
        <v>#VALUE!</v>
      </c>
      <c r="BJ55" t="e">
        <f>AND(Sheet1!#REF!,"AAAAADvu/z0=")</f>
        <v>#REF!</v>
      </c>
      <c r="BK55" t="e">
        <f>AND(Sheet1!#REF!,"AAAAADvu/z4=")</f>
        <v>#REF!</v>
      </c>
      <c r="BL55" t="e">
        <f>AND(Sheet1!#REF!,"AAAAADvu/z8=")</f>
        <v>#REF!</v>
      </c>
      <c r="BM55" t="e">
        <f>AND(Sheet1!#REF!,"AAAAADvu/0A=")</f>
        <v>#REF!</v>
      </c>
      <c r="BN55">
        <f>IF(Sheet1!732:732,"AAAAADvu/0E=",0)</f>
        <v>0</v>
      </c>
      <c r="BO55" t="e">
        <f>AND(Sheet1!A732,"AAAAADvu/0I=")</f>
        <v>#VALUE!</v>
      </c>
      <c r="BP55" t="e">
        <f>AND(Sheet1!B732,"AAAAADvu/0M=")</f>
        <v>#VALUE!</v>
      </c>
      <c r="BQ55" t="e">
        <f>AND(Sheet1!C732,"AAAAADvu/0Q=")</f>
        <v>#VALUE!</v>
      </c>
      <c r="BR55" t="e">
        <f>AND(Sheet1!D732,"AAAAADvu/0U=")</f>
        <v>#VALUE!</v>
      </c>
      <c r="BS55" t="e">
        <f>AND(Sheet1!E732,"AAAAADvu/0Y=")</f>
        <v>#VALUE!</v>
      </c>
      <c r="BT55" t="e">
        <f>AND(Sheet1!F732,"AAAAADvu/0c=")</f>
        <v>#VALUE!</v>
      </c>
      <c r="BU55" t="e">
        <f>AND(Sheet1!G732,"AAAAADvu/0g=")</f>
        <v>#VALUE!</v>
      </c>
      <c r="BV55" t="e">
        <f>AND(Sheet1!H732,"AAAAADvu/0k=")</f>
        <v>#VALUE!</v>
      </c>
      <c r="BW55" t="e">
        <f>AND(Sheet1!I732,"AAAAADvu/0o=")</f>
        <v>#VALUE!</v>
      </c>
      <c r="BX55" t="e">
        <f>AND(Sheet1!J732,"AAAAADvu/0s=")</f>
        <v>#VALUE!</v>
      </c>
      <c r="BY55" t="e">
        <f>AND(Sheet1!K732,"AAAAADvu/0w=")</f>
        <v>#VALUE!</v>
      </c>
      <c r="BZ55" t="e">
        <f>AND(Sheet1!L732,"AAAAADvu/00=")</f>
        <v>#VALUE!</v>
      </c>
      <c r="CA55" t="e">
        <f>AND(Sheet1!M732,"AAAAADvu/04=")</f>
        <v>#VALUE!</v>
      </c>
      <c r="CB55" t="e">
        <f>AND(Sheet1!N732,"AAAAADvu/08=")</f>
        <v>#VALUE!</v>
      </c>
      <c r="CC55" t="e">
        <f>AND(Sheet1!#REF!,"AAAAADvu/1A=")</f>
        <v>#REF!</v>
      </c>
      <c r="CD55" t="e">
        <f>AND(Sheet1!#REF!,"AAAAADvu/1E=")</f>
        <v>#REF!</v>
      </c>
      <c r="CE55" t="e">
        <f>AND(Sheet1!#REF!,"AAAAADvu/1I=")</f>
        <v>#REF!</v>
      </c>
      <c r="CF55" t="e">
        <f>AND(Sheet1!#REF!,"AAAAADvu/1M=")</f>
        <v>#REF!</v>
      </c>
      <c r="CG55">
        <f>IF(Sheet1!733:733,"AAAAADvu/1Q=",0)</f>
        <v>0</v>
      </c>
      <c r="CH55" t="e">
        <f>AND(Sheet1!A733,"AAAAADvu/1U=")</f>
        <v>#VALUE!</v>
      </c>
      <c r="CI55" t="e">
        <f>AND(Sheet1!B733,"AAAAADvu/1Y=")</f>
        <v>#VALUE!</v>
      </c>
      <c r="CJ55" t="e">
        <f>AND(Sheet1!C733,"AAAAADvu/1c=")</f>
        <v>#VALUE!</v>
      </c>
      <c r="CK55" t="e">
        <f>AND(Sheet1!D733,"AAAAADvu/1g=")</f>
        <v>#VALUE!</v>
      </c>
      <c r="CL55" t="e">
        <f>AND(Sheet1!E733,"AAAAADvu/1k=")</f>
        <v>#VALUE!</v>
      </c>
      <c r="CM55" t="e">
        <f>AND(Sheet1!F733,"AAAAADvu/1o=")</f>
        <v>#VALUE!</v>
      </c>
      <c r="CN55" t="e">
        <f>AND(Sheet1!G733,"AAAAADvu/1s=")</f>
        <v>#VALUE!</v>
      </c>
      <c r="CO55" t="e">
        <f>AND(Sheet1!H733,"AAAAADvu/1w=")</f>
        <v>#VALUE!</v>
      </c>
      <c r="CP55" t="e">
        <f>AND(Sheet1!I733,"AAAAADvu/10=")</f>
        <v>#VALUE!</v>
      </c>
      <c r="CQ55" t="e">
        <f>AND(Sheet1!J733,"AAAAADvu/14=")</f>
        <v>#VALUE!</v>
      </c>
      <c r="CR55" t="e">
        <f>AND(Sheet1!K733,"AAAAADvu/18=")</f>
        <v>#VALUE!</v>
      </c>
      <c r="CS55" t="e">
        <f>AND(Sheet1!L733,"AAAAADvu/2A=")</f>
        <v>#VALUE!</v>
      </c>
      <c r="CT55" t="e">
        <f>AND(Sheet1!M733,"AAAAADvu/2E=")</f>
        <v>#VALUE!</v>
      </c>
      <c r="CU55" t="e">
        <f>AND(Sheet1!N733,"AAAAADvu/2I=")</f>
        <v>#VALUE!</v>
      </c>
      <c r="CV55" t="e">
        <f>AND(Sheet1!#REF!,"AAAAADvu/2M=")</f>
        <v>#REF!</v>
      </c>
      <c r="CW55" t="e">
        <f>AND(Sheet1!#REF!,"AAAAADvu/2Q=")</f>
        <v>#REF!</v>
      </c>
      <c r="CX55" t="e">
        <f>AND(Sheet1!#REF!,"AAAAADvu/2U=")</f>
        <v>#REF!</v>
      </c>
      <c r="CY55" t="e">
        <f>AND(Sheet1!#REF!,"AAAAADvu/2Y=")</f>
        <v>#REF!</v>
      </c>
      <c r="CZ55">
        <f>IF(Sheet1!734:734,"AAAAADvu/2c=",0)</f>
        <v>0</v>
      </c>
      <c r="DA55" t="e">
        <f>AND(Sheet1!A734,"AAAAADvu/2g=")</f>
        <v>#VALUE!</v>
      </c>
      <c r="DB55" t="e">
        <f>AND(Sheet1!B734,"AAAAADvu/2k=")</f>
        <v>#VALUE!</v>
      </c>
      <c r="DC55" t="e">
        <f>AND(Sheet1!C734,"AAAAADvu/2o=")</f>
        <v>#VALUE!</v>
      </c>
      <c r="DD55" t="e">
        <f>AND(Sheet1!D734,"AAAAADvu/2s=")</f>
        <v>#VALUE!</v>
      </c>
      <c r="DE55" t="e">
        <f>AND(Sheet1!E734,"AAAAADvu/2w=")</f>
        <v>#VALUE!</v>
      </c>
      <c r="DF55" t="e">
        <f>AND(Sheet1!F734,"AAAAADvu/20=")</f>
        <v>#VALUE!</v>
      </c>
      <c r="DG55" t="e">
        <f>AND(Sheet1!G734,"AAAAADvu/24=")</f>
        <v>#VALUE!</v>
      </c>
      <c r="DH55" t="e">
        <f>AND(Sheet1!H734,"AAAAADvu/28=")</f>
        <v>#VALUE!</v>
      </c>
      <c r="DI55" t="e">
        <f>AND(Sheet1!I734,"AAAAADvu/3A=")</f>
        <v>#VALUE!</v>
      </c>
      <c r="DJ55" t="e">
        <f>AND(Sheet1!J734,"AAAAADvu/3E=")</f>
        <v>#VALUE!</v>
      </c>
      <c r="DK55" t="e">
        <f>AND(Sheet1!K734,"AAAAADvu/3I=")</f>
        <v>#VALUE!</v>
      </c>
      <c r="DL55" t="e">
        <f>AND(Sheet1!L734,"AAAAADvu/3M=")</f>
        <v>#VALUE!</v>
      </c>
      <c r="DM55" t="e">
        <f>AND(Sheet1!M734,"AAAAADvu/3Q=")</f>
        <v>#VALUE!</v>
      </c>
      <c r="DN55" t="e">
        <f>AND(Sheet1!N734,"AAAAADvu/3U=")</f>
        <v>#VALUE!</v>
      </c>
      <c r="DO55" t="e">
        <f>AND(Sheet1!#REF!,"AAAAADvu/3Y=")</f>
        <v>#REF!</v>
      </c>
      <c r="DP55" t="e">
        <f>AND(Sheet1!#REF!,"AAAAADvu/3c=")</f>
        <v>#REF!</v>
      </c>
      <c r="DQ55" t="e">
        <f>AND(Sheet1!#REF!,"AAAAADvu/3g=")</f>
        <v>#REF!</v>
      </c>
      <c r="DR55" t="e">
        <f>AND(Sheet1!#REF!,"AAAAADvu/3k=")</f>
        <v>#REF!</v>
      </c>
      <c r="DS55">
        <f>IF(Sheet1!735:735,"AAAAADvu/3o=",0)</f>
        <v>0</v>
      </c>
      <c r="DT55" t="e">
        <f>AND(Sheet1!A735,"AAAAADvu/3s=")</f>
        <v>#VALUE!</v>
      </c>
      <c r="DU55" t="e">
        <f>AND(Sheet1!B735,"AAAAADvu/3w=")</f>
        <v>#VALUE!</v>
      </c>
      <c r="DV55" t="e">
        <f>AND(Sheet1!C735,"AAAAADvu/30=")</f>
        <v>#VALUE!</v>
      </c>
      <c r="DW55" t="e">
        <f>AND(Sheet1!D735,"AAAAADvu/34=")</f>
        <v>#VALUE!</v>
      </c>
      <c r="DX55" t="e">
        <f>AND(Sheet1!E735,"AAAAADvu/38=")</f>
        <v>#VALUE!</v>
      </c>
      <c r="DY55" t="e">
        <f>AND(Sheet1!F735,"AAAAADvu/4A=")</f>
        <v>#VALUE!</v>
      </c>
      <c r="DZ55" t="e">
        <f>AND(Sheet1!G735,"AAAAADvu/4E=")</f>
        <v>#VALUE!</v>
      </c>
      <c r="EA55" t="e">
        <f>AND(Sheet1!H735,"AAAAADvu/4I=")</f>
        <v>#VALUE!</v>
      </c>
      <c r="EB55" t="e">
        <f>AND(Sheet1!I735,"AAAAADvu/4M=")</f>
        <v>#VALUE!</v>
      </c>
      <c r="EC55" t="e">
        <f>AND(Sheet1!J735,"AAAAADvu/4Q=")</f>
        <v>#VALUE!</v>
      </c>
      <c r="ED55" t="e">
        <f>AND(Sheet1!K735,"AAAAADvu/4U=")</f>
        <v>#VALUE!</v>
      </c>
      <c r="EE55" t="e">
        <f>AND(Sheet1!L735,"AAAAADvu/4Y=")</f>
        <v>#VALUE!</v>
      </c>
      <c r="EF55" t="e">
        <f>AND(Sheet1!M735,"AAAAADvu/4c=")</f>
        <v>#VALUE!</v>
      </c>
      <c r="EG55" t="e">
        <f>AND(Sheet1!N735,"AAAAADvu/4g=")</f>
        <v>#VALUE!</v>
      </c>
      <c r="EH55" t="e">
        <f>AND(Sheet1!#REF!,"AAAAADvu/4k=")</f>
        <v>#REF!</v>
      </c>
      <c r="EI55" t="e">
        <f>AND(Sheet1!#REF!,"AAAAADvu/4o=")</f>
        <v>#REF!</v>
      </c>
      <c r="EJ55" t="e">
        <f>AND(Sheet1!#REF!,"AAAAADvu/4s=")</f>
        <v>#REF!</v>
      </c>
      <c r="EK55" t="e">
        <f>AND(Sheet1!#REF!,"AAAAADvu/4w=")</f>
        <v>#REF!</v>
      </c>
      <c r="EL55">
        <f>IF(Sheet1!736:736,"AAAAADvu/40=",0)</f>
        <v>0</v>
      </c>
      <c r="EM55" t="e">
        <f>AND(Sheet1!A736,"AAAAADvu/44=")</f>
        <v>#VALUE!</v>
      </c>
      <c r="EN55" t="e">
        <f>AND(Sheet1!B736,"AAAAADvu/48=")</f>
        <v>#VALUE!</v>
      </c>
      <c r="EO55" t="e">
        <f>AND(Sheet1!C736,"AAAAADvu/5A=")</f>
        <v>#VALUE!</v>
      </c>
      <c r="EP55" t="e">
        <f>AND(Sheet1!D736,"AAAAADvu/5E=")</f>
        <v>#VALUE!</v>
      </c>
      <c r="EQ55" t="e">
        <f>AND(Sheet1!E736,"AAAAADvu/5I=")</f>
        <v>#VALUE!</v>
      </c>
      <c r="ER55" t="e">
        <f>AND(Sheet1!F736,"AAAAADvu/5M=")</f>
        <v>#VALUE!</v>
      </c>
      <c r="ES55" t="e">
        <f>AND(Sheet1!G736,"AAAAADvu/5Q=")</f>
        <v>#VALUE!</v>
      </c>
      <c r="ET55" t="e">
        <f>AND(Sheet1!H736,"AAAAADvu/5U=")</f>
        <v>#VALUE!</v>
      </c>
      <c r="EU55" t="e">
        <f>AND(Sheet1!I736,"AAAAADvu/5Y=")</f>
        <v>#VALUE!</v>
      </c>
      <c r="EV55" t="e">
        <f>AND(Sheet1!J736,"AAAAADvu/5c=")</f>
        <v>#VALUE!</v>
      </c>
      <c r="EW55" t="e">
        <f>AND(Sheet1!K736,"AAAAADvu/5g=")</f>
        <v>#VALUE!</v>
      </c>
      <c r="EX55" t="e">
        <f>AND(Sheet1!L736,"AAAAADvu/5k=")</f>
        <v>#VALUE!</v>
      </c>
      <c r="EY55" t="e">
        <f>AND(Sheet1!M736,"AAAAADvu/5o=")</f>
        <v>#VALUE!</v>
      </c>
      <c r="EZ55" t="e">
        <f>AND(Sheet1!N736,"AAAAADvu/5s=")</f>
        <v>#VALUE!</v>
      </c>
      <c r="FA55" t="e">
        <f>AND(Sheet1!#REF!,"AAAAADvu/5w=")</f>
        <v>#REF!</v>
      </c>
      <c r="FB55" t="e">
        <f>AND(Sheet1!#REF!,"AAAAADvu/50=")</f>
        <v>#REF!</v>
      </c>
      <c r="FC55" t="e">
        <f>AND(Sheet1!#REF!,"AAAAADvu/54=")</f>
        <v>#REF!</v>
      </c>
      <c r="FD55" t="e">
        <f>AND(Sheet1!#REF!,"AAAAADvu/58=")</f>
        <v>#REF!</v>
      </c>
      <c r="FE55">
        <f>IF(Sheet1!737:737,"AAAAADvu/6A=",0)</f>
        <v>0</v>
      </c>
      <c r="FF55" t="e">
        <f>AND(Sheet1!A737,"AAAAADvu/6E=")</f>
        <v>#VALUE!</v>
      </c>
      <c r="FG55" t="e">
        <f>AND(Sheet1!B737,"AAAAADvu/6I=")</f>
        <v>#VALUE!</v>
      </c>
      <c r="FH55" t="e">
        <f>AND(Sheet1!C737,"AAAAADvu/6M=")</f>
        <v>#VALUE!</v>
      </c>
      <c r="FI55" t="e">
        <f>AND(Sheet1!D737,"AAAAADvu/6Q=")</f>
        <v>#VALUE!</v>
      </c>
      <c r="FJ55" t="e">
        <f>AND(Sheet1!E737,"AAAAADvu/6U=")</f>
        <v>#VALUE!</v>
      </c>
      <c r="FK55" t="e">
        <f>AND(Sheet1!F737,"AAAAADvu/6Y=")</f>
        <v>#VALUE!</v>
      </c>
      <c r="FL55" t="e">
        <f>AND(Sheet1!G737,"AAAAADvu/6c=")</f>
        <v>#VALUE!</v>
      </c>
      <c r="FM55" t="e">
        <f>AND(Sheet1!H737,"AAAAADvu/6g=")</f>
        <v>#VALUE!</v>
      </c>
      <c r="FN55" t="e">
        <f>AND(Sheet1!I737,"AAAAADvu/6k=")</f>
        <v>#VALUE!</v>
      </c>
      <c r="FO55" t="e">
        <f>AND(Sheet1!J737,"AAAAADvu/6o=")</f>
        <v>#VALUE!</v>
      </c>
      <c r="FP55" t="e">
        <f>AND(Sheet1!K737,"AAAAADvu/6s=")</f>
        <v>#VALUE!</v>
      </c>
      <c r="FQ55" t="e">
        <f>AND(Sheet1!L737,"AAAAADvu/6w=")</f>
        <v>#VALUE!</v>
      </c>
      <c r="FR55" t="e">
        <f>AND(Sheet1!M737,"AAAAADvu/60=")</f>
        <v>#VALUE!</v>
      </c>
      <c r="FS55" t="e">
        <f>AND(Sheet1!N737,"AAAAADvu/64=")</f>
        <v>#VALUE!</v>
      </c>
      <c r="FT55" t="e">
        <f>AND(Sheet1!#REF!,"AAAAADvu/68=")</f>
        <v>#REF!</v>
      </c>
      <c r="FU55" t="e">
        <f>AND(Sheet1!#REF!,"AAAAADvu/7A=")</f>
        <v>#REF!</v>
      </c>
      <c r="FV55" t="e">
        <f>AND(Sheet1!#REF!,"AAAAADvu/7E=")</f>
        <v>#REF!</v>
      </c>
      <c r="FW55" t="e">
        <f>AND(Sheet1!#REF!,"AAAAADvu/7I=")</f>
        <v>#REF!</v>
      </c>
      <c r="FX55">
        <f>IF(Sheet1!738:738,"AAAAADvu/7M=",0)</f>
        <v>0</v>
      </c>
      <c r="FY55" t="e">
        <f>AND(Sheet1!A738,"AAAAADvu/7Q=")</f>
        <v>#VALUE!</v>
      </c>
      <c r="FZ55" t="e">
        <f>AND(Sheet1!B738,"AAAAADvu/7U=")</f>
        <v>#VALUE!</v>
      </c>
      <c r="GA55" t="e">
        <f>AND(Sheet1!C738,"AAAAADvu/7Y=")</f>
        <v>#VALUE!</v>
      </c>
      <c r="GB55" t="e">
        <f>AND(Sheet1!D738,"AAAAADvu/7c=")</f>
        <v>#VALUE!</v>
      </c>
      <c r="GC55" t="e">
        <f>AND(Sheet1!E738,"AAAAADvu/7g=")</f>
        <v>#VALUE!</v>
      </c>
      <c r="GD55" t="e">
        <f>AND(Sheet1!F738,"AAAAADvu/7k=")</f>
        <v>#VALUE!</v>
      </c>
      <c r="GE55" t="e">
        <f>AND(Sheet1!G738,"AAAAADvu/7o=")</f>
        <v>#VALUE!</v>
      </c>
      <c r="GF55" t="e">
        <f>AND(Sheet1!H738,"AAAAADvu/7s=")</f>
        <v>#VALUE!</v>
      </c>
      <c r="GG55" t="e">
        <f>AND(Sheet1!I738,"AAAAADvu/7w=")</f>
        <v>#VALUE!</v>
      </c>
      <c r="GH55" t="e">
        <f>AND(Sheet1!J738,"AAAAADvu/70=")</f>
        <v>#VALUE!</v>
      </c>
      <c r="GI55" t="e">
        <f>AND(Sheet1!K738,"AAAAADvu/74=")</f>
        <v>#VALUE!</v>
      </c>
      <c r="GJ55" t="e">
        <f>AND(Sheet1!L738,"AAAAADvu/78=")</f>
        <v>#VALUE!</v>
      </c>
      <c r="GK55" t="e">
        <f>AND(Sheet1!M738,"AAAAADvu/8A=")</f>
        <v>#VALUE!</v>
      </c>
      <c r="GL55" t="e">
        <f>AND(Sheet1!N738,"AAAAADvu/8E=")</f>
        <v>#VALUE!</v>
      </c>
      <c r="GM55" t="e">
        <f>AND(Sheet1!#REF!,"AAAAADvu/8I=")</f>
        <v>#REF!</v>
      </c>
      <c r="GN55" t="e">
        <f>AND(Sheet1!#REF!,"AAAAADvu/8M=")</f>
        <v>#REF!</v>
      </c>
      <c r="GO55" t="e">
        <f>AND(Sheet1!#REF!,"AAAAADvu/8Q=")</f>
        <v>#REF!</v>
      </c>
      <c r="GP55" t="e">
        <f>AND(Sheet1!#REF!,"AAAAADvu/8U=")</f>
        <v>#REF!</v>
      </c>
      <c r="GQ55">
        <f>IF(Sheet1!739:739,"AAAAADvu/8Y=",0)</f>
        <v>0</v>
      </c>
      <c r="GR55" t="e">
        <f>AND(Sheet1!A739,"AAAAADvu/8c=")</f>
        <v>#VALUE!</v>
      </c>
      <c r="GS55" t="e">
        <f>AND(Sheet1!B739,"AAAAADvu/8g=")</f>
        <v>#VALUE!</v>
      </c>
      <c r="GT55" t="e">
        <f>AND(Sheet1!C739,"AAAAADvu/8k=")</f>
        <v>#VALUE!</v>
      </c>
      <c r="GU55" t="e">
        <f>AND(Sheet1!D739,"AAAAADvu/8o=")</f>
        <v>#VALUE!</v>
      </c>
      <c r="GV55" t="e">
        <f>AND(Sheet1!E739,"AAAAADvu/8s=")</f>
        <v>#VALUE!</v>
      </c>
      <c r="GW55" t="e">
        <f>AND(Sheet1!F739,"AAAAADvu/8w=")</f>
        <v>#VALUE!</v>
      </c>
      <c r="GX55" t="e">
        <f>AND(Sheet1!G739,"AAAAADvu/80=")</f>
        <v>#VALUE!</v>
      </c>
      <c r="GY55" t="e">
        <f>AND(Sheet1!H739,"AAAAADvu/84=")</f>
        <v>#VALUE!</v>
      </c>
      <c r="GZ55" t="e">
        <f>AND(Sheet1!I739,"AAAAADvu/88=")</f>
        <v>#VALUE!</v>
      </c>
      <c r="HA55" t="e">
        <f>AND(Sheet1!J739,"AAAAADvu/9A=")</f>
        <v>#VALUE!</v>
      </c>
      <c r="HB55" t="e">
        <f>AND(Sheet1!K739,"AAAAADvu/9E=")</f>
        <v>#VALUE!</v>
      </c>
      <c r="HC55" t="e">
        <f>AND(Sheet1!L739,"AAAAADvu/9I=")</f>
        <v>#VALUE!</v>
      </c>
      <c r="HD55" t="e">
        <f>AND(Sheet1!M739,"AAAAADvu/9M=")</f>
        <v>#VALUE!</v>
      </c>
      <c r="HE55" t="e">
        <f>AND(Sheet1!N739,"AAAAADvu/9Q=")</f>
        <v>#VALUE!</v>
      </c>
      <c r="HF55" t="e">
        <f>AND(Sheet1!#REF!,"AAAAADvu/9U=")</f>
        <v>#REF!</v>
      </c>
      <c r="HG55" t="e">
        <f>AND(Sheet1!#REF!,"AAAAADvu/9Y=")</f>
        <v>#REF!</v>
      </c>
      <c r="HH55" t="e">
        <f>AND(Sheet1!#REF!,"AAAAADvu/9c=")</f>
        <v>#REF!</v>
      </c>
      <c r="HI55" t="e">
        <f>AND(Sheet1!#REF!,"AAAAADvu/9g=")</f>
        <v>#REF!</v>
      </c>
      <c r="HJ55">
        <f>IF(Sheet1!740:740,"AAAAADvu/9k=",0)</f>
        <v>0</v>
      </c>
      <c r="HK55" t="e">
        <f>AND(Sheet1!A740,"AAAAADvu/9o=")</f>
        <v>#VALUE!</v>
      </c>
      <c r="HL55" t="e">
        <f>AND(Sheet1!B740,"AAAAADvu/9s=")</f>
        <v>#VALUE!</v>
      </c>
      <c r="HM55" t="e">
        <f>AND(Sheet1!C740,"AAAAADvu/9w=")</f>
        <v>#VALUE!</v>
      </c>
      <c r="HN55" t="e">
        <f>AND(Sheet1!D740,"AAAAADvu/90=")</f>
        <v>#VALUE!</v>
      </c>
      <c r="HO55" t="e">
        <f>AND(Sheet1!E740,"AAAAADvu/94=")</f>
        <v>#VALUE!</v>
      </c>
      <c r="HP55" t="e">
        <f>AND(Sheet1!F740,"AAAAADvu/98=")</f>
        <v>#VALUE!</v>
      </c>
      <c r="HQ55" t="e">
        <f>AND(Sheet1!G740,"AAAAADvu/+A=")</f>
        <v>#VALUE!</v>
      </c>
      <c r="HR55" t="e">
        <f>AND(Sheet1!H740,"AAAAADvu/+E=")</f>
        <v>#VALUE!</v>
      </c>
      <c r="HS55" t="e">
        <f>AND(Sheet1!I740,"AAAAADvu/+I=")</f>
        <v>#VALUE!</v>
      </c>
      <c r="HT55" t="e">
        <f>AND(Sheet1!J740,"AAAAADvu/+M=")</f>
        <v>#VALUE!</v>
      </c>
      <c r="HU55" t="e">
        <f>AND(Sheet1!K740,"AAAAADvu/+Q=")</f>
        <v>#VALUE!</v>
      </c>
      <c r="HV55" t="e">
        <f>AND(Sheet1!L740,"AAAAADvu/+U=")</f>
        <v>#VALUE!</v>
      </c>
      <c r="HW55" t="e">
        <f>AND(Sheet1!M740,"AAAAADvu/+Y=")</f>
        <v>#VALUE!</v>
      </c>
      <c r="HX55" t="e">
        <f>AND(Sheet1!N740,"AAAAADvu/+c=")</f>
        <v>#VALUE!</v>
      </c>
      <c r="HY55" t="e">
        <f>AND(Sheet1!#REF!,"AAAAADvu/+g=")</f>
        <v>#REF!</v>
      </c>
      <c r="HZ55" t="e">
        <f>AND(Sheet1!#REF!,"AAAAADvu/+k=")</f>
        <v>#REF!</v>
      </c>
      <c r="IA55" t="e">
        <f>AND(Sheet1!#REF!,"AAAAADvu/+o=")</f>
        <v>#REF!</v>
      </c>
      <c r="IB55" t="e">
        <f>AND(Sheet1!#REF!,"AAAAADvu/+s=")</f>
        <v>#REF!</v>
      </c>
      <c r="IC55">
        <f>IF(Sheet1!741:741,"AAAAADvu/+w=",0)</f>
        <v>0</v>
      </c>
      <c r="ID55" t="e">
        <f>AND(Sheet1!A741,"AAAAADvu/+0=")</f>
        <v>#VALUE!</v>
      </c>
      <c r="IE55" t="e">
        <f>AND(Sheet1!B741,"AAAAADvu/+4=")</f>
        <v>#VALUE!</v>
      </c>
      <c r="IF55" t="e">
        <f>AND(Sheet1!C741,"AAAAADvu/+8=")</f>
        <v>#VALUE!</v>
      </c>
      <c r="IG55" t="e">
        <f>AND(Sheet1!D741,"AAAAADvu//A=")</f>
        <v>#VALUE!</v>
      </c>
      <c r="IH55" t="e">
        <f>AND(Sheet1!E741,"AAAAADvu//E=")</f>
        <v>#VALUE!</v>
      </c>
      <c r="II55" t="e">
        <f>AND(Sheet1!F741,"AAAAADvu//I=")</f>
        <v>#VALUE!</v>
      </c>
      <c r="IJ55" t="e">
        <f>AND(Sheet1!G741,"AAAAADvu//M=")</f>
        <v>#VALUE!</v>
      </c>
      <c r="IK55" t="e">
        <f>AND(Sheet1!H741,"AAAAADvu//Q=")</f>
        <v>#VALUE!</v>
      </c>
      <c r="IL55" t="e">
        <f>AND(Sheet1!I741,"AAAAADvu//U=")</f>
        <v>#VALUE!</v>
      </c>
      <c r="IM55" t="e">
        <f>AND(Sheet1!J741,"AAAAADvu//Y=")</f>
        <v>#VALUE!</v>
      </c>
      <c r="IN55" t="e">
        <f>AND(Sheet1!K741,"AAAAADvu//c=")</f>
        <v>#VALUE!</v>
      </c>
      <c r="IO55" t="e">
        <f>AND(Sheet1!L741,"AAAAADvu//g=")</f>
        <v>#VALUE!</v>
      </c>
      <c r="IP55" t="e">
        <f>AND(Sheet1!M741,"AAAAADvu//k=")</f>
        <v>#VALUE!</v>
      </c>
      <c r="IQ55" t="e">
        <f>AND(Sheet1!N741,"AAAAADvu//o=")</f>
        <v>#VALUE!</v>
      </c>
      <c r="IR55" t="e">
        <f>AND(Sheet1!#REF!,"AAAAADvu//s=")</f>
        <v>#REF!</v>
      </c>
      <c r="IS55" t="e">
        <f>AND(Sheet1!#REF!,"AAAAADvu//w=")</f>
        <v>#REF!</v>
      </c>
      <c r="IT55" t="e">
        <f>AND(Sheet1!#REF!,"AAAAADvu//0=")</f>
        <v>#REF!</v>
      </c>
      <c r="IU55" t="e">
        <f>AND(Sheet1!#REF!,"AAAAADvu//4=")</f>
        <v>#REF!</v>
      </c>
      <c r="IV55">
        <f>IF(Sheet1!742:742,"AAAAADvu//8=",0)</f>
        <v>0</v>
      </c>
    </row>
    <row r="56" spans="1:256" x14ac:dyDescent="0.2">
      <c r="A56" t="e">
        <f>AND(Sheet1!A742,"AAAAAH6p7gA=")</f>
        <v>#VALUE!</v>
      </c>
      <c r="B56" t="e">
        <f>AND(Sheet1!B742,"AAAAAH6p7gE=")</f>
        <v>#VALUE!</v>
      </c>
      <c r="C56" t="e">
        <f>AND(Sheet1!C742,"AAAAAH6p7gI=")</f>
        <v>#VALUE!</v>
      </c>
      <c r="D56" t="e">
        <f>AND(Sheet1!D742,"AAAAAH6p7gM=")</f>
        <v>#VALUE!</v>
      </c>
      <c r="E56" t="e">
        <f>AND(Sheet1!E742,"AAAAAH6p7gQ=")</f>
        <v>#VALUE!</v>
      </c>
      <c r="F56" t="e">
        <f>AND(Sheet1!F742,"AAAAAH6p7gU=")</f>
        <v>#VALUE!</v>
      </c>
      <c r="G56" t="e">
        <f>AND(Sheet1!G742,"AAAAAH6p7gY=")</f>
        <v>#VALUE!</v>
      </c>
      <c r="H56" t="e">
        <f>AND(Sheet1!H742,"AAAAAH6p7gc=")</f>
        <v>#VALUE!</v>
      </c>
      <c r="I56" t="e">
        <f>AND(Sheet1!I742,"AAAAAH6p7gg=")</f>
        <v>#VALUE!</v>
      </c>
      <c r="J56" t="e">
        <f>AND(Sheet1!J742,"AAAAAH6p7gk=")</f>
        <v>#VALUE!</v>
      </c>
      <c r="K56" t="e">
        <f>AND(Sheet1!K742,"AAAAAH6p7go=")</f>
        <v>#VALUE!</v>
      </c>
      <c r="L56" t="e">
        <f>AND(Sheet1!L742,"AAAAAH6p7gs=")</f>
        <v>#VALUE!</v>
      </c>
      <c r="M56" t="e">
        <f>AND(Sheet1!M742,"AAAAAH6p7gw=")</f>
        <v>#VALUE!</v>
      </c>
      <c r="N56" t="e">
        <f>AND(Sheet1!N742,"AAAAAH6p7g0=")</f>
        <v>#VALUE!</v>
      </c>
      <c r="O56" t="e">
        <f>AND(Sheet1!#REF!,"AAAAAH6p7g4=")</f>
        <v>#REF!</v>
      </c>
      <c r="P56" t="e">
        <f>AND(Sheet1!#REF!,"AAAAAH6p7g8=")</f>
        <v>#REF!</v>
      </c>
      <c r="Q56" t="e">
        <f>AND(Sheet1!#REF!,"AAAAAH6p7hA=")</f>
        <v>#REF!</v>
      </c>
      <c r="R56" t="e">
        <f>AND(Sheet1!#REF!,"AAAAAH6p7hE=")</f>
        <v>#REF!</v>
      </c>
      <c r="S56">
        <f>IF(Sheet1!743:743,"AAAAAH6p7hI=",0)</f>
        <v>0</v>
      </c>
      <c r="T56" t="e">
        <f>AND(Sheet1!A743,"AAAAAH6p7hM=")</f>
        <v>#VALUE!</v>
      </c>
      <c r="U56" t="e">
        <f>AND(Sheet1!B743,"AAAAAH6p7hQ=")</f>
        <v>#VALUE!</v>
      </c>
      <c r="V56" t="e">
        <f>AND(Sheet1!C743,"AAAAAH6p7hU=")</f>
        <v>#VALUE!</v>
      </c>
      <c r="W56" t="e">
        <f>AND(Sheet1!D743,"AAAAAH6p7hY=")</f>
        <v>#VALUE!</v>
      </c>
      <c r="X56" t="e">
        <f>AND(Sheet1!E743,"AAAAAH6p7hc=")</f>
        <v>#VALUE!</v>
      </c>
      <c r="Y56" t="e">
        <f>AND(Sheet1!F743,"AAAAAH6p7hg=")</f>
        <v>#VALUE!</v>
      </c>
      <c r="Z56" t="e">
        <f>AND(Sheet1!G743,"AAAAAH6p7hk=")</f>
        <v>#VALUE!</v>
      </c>
      <c r="AA56" t="e">
        <f>AND(Sheet1!H743,"AAAAAH6p7ho=")</f>
        <v>#VALUE!</v>
      </c>
      <c r="AB56" t="e">
        <f>AND(Sheet1!I743,"AAAAAH6p7hs=")</f>
        <v>#VALUE!</v>
      </c>
      <c r="AC56" t="e">
        <f>AND(Sheet1!J743,"AAAAAH6p7hw=")</f>
        <v>#VALUE!</v>
      </c>
      <c r="AD56" t="e">
        <f>AND(Sheet1!K743,"AAAAAH6p7h0=")</f>
        <v>#VALUE!</v>
      </c>
      <c r="AE56" t="e">
        <f>AND(Sheet1!L743,"AAAAAH6p7h4=")</f>
        <v>#VALUE!</v>
      </c>
      <c r="AF56" t="e">
        <f>AND(Sheet1!M743,"AAAAAH6p7h8=")</f>
        <v>#VALUE!</v>
      </c>
      <c r="AG56" t="e">
        <f>AND(Sheet1!N743,"AAAAAH6p7iA=")</f>
        <v>#VALUE!</v>
      </c>
      <c r="AH56" t="e">
        <f>AND(Sheet1!#REF!,"AAAAAH6p7iE=")</f>
        <v>#REF!</v>
      </c>
      <c r="AI56" t="e">
        <f>AND(Sheet1!#REF!,"AAAAAH6p7iI=")</f>
        <v>#REF!</v>
      </c>
      <c r="AJ56" t="e">
        <f>AND(Sheet1!#REF!,"AAAAAH6p7iM=")</f>
        <v>#REF!</v>
      </c>
      <c r="AK56" t="e">
        <f>AND(Sheet1!#REF!,"AAAAAH6p7iQ=")</f>
        <v>#REF!</v>
      </c>
      <c r="AL56">
        <f>IF(Sheet1!744:744,"AAAAAH6p7iU=",0)</f>
        <v>0</v>
      </c>
      <c r="AM56" t="e">
        <f>AND(Sheet1!A744,"AAAAAH6p7iY=")</f>
        <v>#VALUE!</v>
      </c>
      <c r="AN56" t="e">
        <f>AND(Sheet1!B744,"AAAAAH6p7ic=")</f>
        <v>#VALUE!</v>
      </c>
      <c r="AO56" t="e">
        <f>AND(Sheet1!C744,"AAAAAH6p7ig=")</f>
        <v>#VALUE!</v>
      </c>
      <c r="AP56" t="e">
        <f>AND(Sheet1!D744,"AAAAAH6p7ik=")</f>
        <v>#VALUE!</v>
      </c>
      <c r="AQ56" t="e">
        <f>AND(Sheet1!E744,"AAAAAH6p7io=")</f>
        <v>#VALUE!</v>
      </c>
      <c r="AR56" t="e">
        <f>AND(Sheet1!F744,"AAAAAH6p7is=")</f>
        <v>#VALUE!</v>
      </c>
      <c r="AS56" t="e">
        <f>AND(Sheet1!G744,"AAAAAH6p7iw=")</f>
        <v>#VALUE!</v>
      </c>
      <c r="AT56" t="e">
        <f>AND(Sheet1!H744,"AAAAAH6p7i0=")</f>
        <v>#VALUE!</v>
      </c>
      <c r="AU56" t="e">
        <f>AND(Sheet1!I744,"AAAAAH6p7i4=")</f>
        <v>#VALUE!</v>
      </c>
      <c r="AV56" t="e">
        <f>AND(Sheet1!J744,"AAAAAH6p7i8=")</f>
        <v>#VALUE!</v>
      </c>
      <c r="AW56" t="e">
        <f>AND(Sheet1!K744,"AAAAAH6p7jA=")</f>
        <v>#VALUE!</v>
      </c>
      <c r="AX56" t="e">
        <f>AND(Sheet1!L744,"AAAAAH6p7jE=")</f>
        <v>#VALUE!</v>
      </c>
      <c r="AY56" t="e">
        <f>AND(Sheet1!M744,"AAAAAH6p7jI=")</f>
        <v>#VALUE!</v>
      </c>
      <c r="AZ56" t="e">
        <f>AND(Sheet1!N744,"AAAAAH6p7jM=")</f>
        <v>#VALUE!</v>
      </c>
      <c r="BA56" t="e">
        <f>AND(Sheet1!#REF!,"AAAAAH6p7jQ=")</f>
        <v>#REF!</v>
      </c>
      <c r="BB56" t="e">
        <f>AND(Sheet1!#REF!,"AAAAAH6p7jU=")</f>
        <v>#REF!</v>
      </c>
      <c r="BC56" t="e">
        <f>AND(Sheet1!#REF!,"AAAAAH6p7jY=")</f>
        <v>#REF!</v>
      </c>
      <c r="BD56" t="e">
        <f>AND(Sheet1!#REF!,"AAAAAH6p7jc=")</f>
        <v>#REF!</v>
      </c>
      <c r="BE56">
        <f>IF(Sheet1!745:745,"AAAAAH6p7jg=",0)</f>
        <v>0</v>
      </c>
      <c r="BF56" t="e">
        <f>AND(Sheet1!A745,"AAAAAH6p7jk=")</f>
        <v>#VALUE!</v>
      </c>
      <c r="BG56" t="e">
        <f>AND(Sheet1!B745,"AAAAAH6p7jo=")</f>
        <v>#VALUE!</v>
      </c>
      <c r="BH56" t="e">
        <f>AND(Sheet1!C745,"AAAAAH6p7js=")</f>
        <v>#VALUE!</v>
      </c>
      <c r="BI56" t="e">
        <f>AND(Sheet1!D745,"AAAAAH6p7jw=")</f>
        <v>#VALUE!</v>
      </c>
      <c r="BJ56" t="e">
        <f>AND(Sheet1!E745,"AAAAAH6p7j0=")</f>
        <v>#VALUE!</v>
      </c>
      <c r="BK56" t="e">
        <f>AND(Sheet1!F745,"AAAAAH6p7j4=")</f>
        <v>#VALUE!</v>
      </c>
      <c r="BL56" t="e">
        <f>AND(Sheet1!G745,"AAAAAH6p7j8=")</f>
        <v>#VALUE!</v>
      </c>
      <c r="BM56" t="e">
        <f>AND(Sheet1!H745,"AAAAAH6p7kA=")</f>
        <v>#VALUE!</v>
      </c>
      <c r="BN56" t="e">
        <f>AND(Sheet1!I745,"AAAAAH6p7kE=")</f>
        <v>#VALUE!</v>
      </c>
      <c r="BO56" t="e">
        <f>AND(Sheet1!J745,"AAAAAH6p7kI=")</f>
        <v>#VALUE!</v>
      </c>
      <c r="BP56" t="e">
        <f>AND(Sheet1!K745,"AAAAAH6p7kM=")</f>
        <v>#VALUE!</v>
      </c>
      <c r="BQ56" t="e">
        <f>AND(Sheet1!L745,"AAAAAH6p7kQ=")</f>
        <v>#VALUE!</v>
      </c>
      <c r="BR56" t="e">
        <f>AND(Sheet1!M745,"AAAAAH6p7kU=")</f>
        <v>#VALUE!</v>
      </c>
      <c r="BS56" t="e">
        <f>AND(Sheet1!N745,"AAAAAH6p7kY=")</f>
        <v>#VALUE!</v>
      </c>
      <c r="BT56" t="e">
        <f>AND(Sheet1!#REF!,"AAAAAH6p7kc=")</f>
        <v>#REF!</v>
      </c>
      <c r="BU56" t="e">
        <f>AND(Sheet1!#REF!,"AAAAAH6p7kg=")</f>
        <v>#REF!</v>
      </c>
      <c r="BV56" t="e">
        <f>AND(Sheet1!#REF!,"AAAAAH6p7kk=")</f>
        <v>#REF!</v>
      </c>
      <c r="BW56" t="e">
        <f>AND(Sheet1!#REF!,"AAAAAH6p7ko=")</f>
        <v>#REF!</v>
      </c>
      <c r="BX56">
        <f>IF(Sheet1!746:746,"AAAAAH6p7ks=",0)</f>
        <v>0</v>
      </c>
      <c r="BY56" t="e">
        <f>AND(Sheet1!A746,"AAAAAH6p7kw=")</f>
        <v>#VALUE!</v>
      </c>
      <c r="BZ56" t="e">
        <f>AND(Sheet1!B746,"AAAAAH6p7k0=")</f>
        <v>#VALUE!</v>
      </c>
      <c r="CA56" t="e">
        <f>AND(Sheet1!C746,"AAAAAH6p7k4=")</f>
        <v>#VALUE!</v>
      </c>
      <c r="CB56" t="e">
        <f>AND(Sheet1!D746,"AAAAAH6p7k8=")</f>
        <v>#VALUE!</v>
      </c>
      <c r="CC56" t="e">
        <f>AND(Sheet1!E746,"AAAAAH6p7lA=")</f>
        <v>#VALUE!</v>
      </c>
      <c r="CD56" t="e">
        <f>AND(Sheet1!F746,"AAAAAH6p7lE=")</f>
        <v>#VALUE!</v>
      </c>
      <c r="CE56" t="e">
        <f>AND(Sheet1!G746,"AAAAAH6p7lI=")</f>
        <v>#VALUE!</v>
      </c>
      <c r="CF56" t="e">
        <f>AND(Sheet1!H746,"AAAAAH6p7lM=")</f>
        <v>#VALUE!</v>
      </c>
      <c r="CG56" t="e">
        <f>AND(Sheet1!I746,"AAAAAH6p7lQ=")</f>
        <v>#VALUE!</v>
      </c>
      <c r="CH56" t="e">
        <f>AND(Sheet1!J746,"AAAAAH6p7lU=")</f>
        <v>#VALUE!</v>
      </c>
      <c r="CI56" t="e">
        <f>AND(Sheet1!K746,"AAAAAH6p7lY=")</f>
        <v>#VALUE!</v>
      </c>
      <c r="CJ56" t="e">
        <f>AND(Sheet1!L746,"AAAAAH6p7lc=")</f>
        <v>#VALUE!</v>
      </c>
      <c r="CK56" t="e">
        <f>AND(Sheet1!M746,"AAAAAH6p7lg=")</f>
        <v>#VALUE!</v>
      </c>
      <c r="CL56" t="e">
        <f>AND(Sheet1!N746,"AAAAAH6p7lk=")</f>
        <v>#VALUE!</v>
      </c>
      <c r="CM56" t="e">
        <f>AND(Sheet1!#REF!,"AAAAAH6p7lo=")</f>
        <v>#REF!</v>
      </c>
      <c r="CN56" t="e">
        <f>AND(Sheet1!#REF!,"AAAAAH6p7ls=")</f>
        <v>#REF!</v>
      </c>
      <c r="CO56" t="e">
        <f>AND(Sheet1!#REF!,"AAAAAH6p7lw=")</f>
        <v>#REF!</v>
      </c>
      <c r="CP56" t="e">
        <f>AND(Sheet1!#REF!,"AAAAAH6p7l0=")</f>
        <v>#REF!</v>
      </c>
      <c r="CQ56">
        <f>IF(Sheet1!747:747,"AAAAAH6p7l4=",0)</f>
        <v>0</v>
      </c>
      <c r="CR56" t="e">
        <f>AND(Sheet1!A747,"AAAAAH6p7l8=")</f>
        <v>#VALUE!</v>
      </c>
      <c r="CS56" t="e">
        <f>AND(Sheet1!B747,"AAAAAH6p7mA=")</f>
        <v>#VALUE!</v>
      </c>
      <c r="CT56" t="e">
        <f>AND(Sheet1!C747,"AAAAAH6p7mE=")</f>
        <v>#VALUE!</v>
      </c>
      <c r="CU56" t="e">
        <f>AND(Sheet1!D747,"AAAAAH6p7mI=")</f>
        <v>#VALUE!</v>
      </c>
      <c r="CV56" t="e">
        <f>AND(Sheet1!E747,"AAAAAH6p7mM=")</f>
        <v>#VALUE!</v>
      </c>
      <c r="CW56" t="e">
        <f>AND(Sheet1!F747,"AAAAAH6p7mQ=")</f>
        <v>#VALUE!</v>
      </c>
      <c r="CX56" t="e">
        <f>AND(Sheet1!G747,"AAAAAH6p7mU=")</f>
        <v>#VALUE!</v>
      </c>
      <c r="CY56" t="e">
        <f>AND(Sheet1!H747,"AAAAAH6p7mY=")</f>
        <v>#VALUE!</v>
      </c>
      <c r="CZ56" t="e">
        <f>AND(Sheet1!I747,"AAAAAH6p7mc=")</f>
        <v>#VALUE!</v>
      </c>
      <c r="DA56" t="e">
        <f>AND(Sheet1!J747,"AAAAAH6p7mg=")</f>
        <v>#VALUE!</v>
      </c>
      <c r="DB56" t="e">
        <f>AND(Sheet1!K747,"AAAAAH6p7mk=")</f>
        <v>#VALUE!</v>
      </c>
      <c r="DC56" t="e">
        <f>AND(Sheet1!L747,"AAAAAH6p7mo=")</f>
        <v>#VALUE!</v>
      </c>
      <c r="DD56" t="e">
        <f>AND(Sheet1!M747,"AAAAAH6p7ms=")</f>
        <v>#VALUE!</v>
      </c>
      <c r="DE56" t="e">
        <f>AND(Sheet1!N747,"AAAAAH6p7mw=")</f>
        <v>#VALUE!</v>
      </c>
      <c r="DF56" t="e">
        <f>AND(Sheet1!#REF!,"AAAAAH6p7m0=")</f>
        <v>#REF!</v>
      </c>
      <c r="DG56" t="e">
        <f>AND(Sheet1!#REF!,"AAAAAH6p7m4=")</f>
        <v>#REF!</v>
      </c>
      <c r="DH56" t="e">
        <f>AND(Sheet1!#REF!,"AAAAAH6p7m8=")</f>
        <v>#REF!</v>
      </c>
      <c r="DI56" t="e">
        <f>AND(Sheet1!#REF!,"AAAAAH6p7nA=")</f>
        <v>#REF!</v>
      </c>
      <c r="DJ56">
        <f>IF(Sheet1!748:748,"AAAAAH6p7nE=",0)</f>
        <v>0</v>
      </c>
      <c r="DK56" t="e">
        <f>AND(Sheet1!A748,"AAAAAH6p7nI=")</f>
        <v>#VALUE!</v>
      </c>
      <c r="DL56" t="e">
        <f>AND(Sheet1!B748,"AAAAAH6p7nM=")</f>
        <v>#VALUE!</v>
      </c>
      <c r="DM56" t="e">
        <f>AND(Sheet1!C748,"AAAAAH6p7nQ=")</f>
        <v>#VALUE!</v>
      </c>
      <c r="DN56" t="e">
        <f>AND(Sheet1!D748,"AAAAAH6p7nU=")</f>
        <v>#VALUE!</v>
      </c>
      <c r="DO56" t="e">
        <f>AND(Sheet1!E748,"AAAAAH6p7nY=")</f>
        <v>#VALUE!</v>
      </c>
      <c r="DP56" t="e">
        <f>AND(Sheet1!F748,"AAAAAH6p7nc=")</f>
        <v>#VALUE!</v>
      </c>
      <c r="DQ56" t="e">
        <f>AND(Sheet1!G748,"AAAAAH6p7ng=")</f>
        <v>#VALUE!</v>
      </c>
      <c r="DR56" t="e">
        <f>AND(Sheet1!H748,"AAAAAH6p7nk=")</f>
        <v>#VALUE!</v>
      </c>
      <c r="DS56" t="e">
        <f>AND(Sheet1!I748,"AAAAAH6p7no=")</f>
        <v>#VALUE!</v>
      </c>
      <c r="DT56" t="e">
        <f>AND(Sheet1!J748,"AAAAAH6p7ns=")</f>
        <v>#VALUE!</v>
      </c>
      <c r="DU56" t="e">
        <f>AND(Sheet1!K748,"AAAAAH6p7nw=")</f>
        <v>#VALUE!</v>
      </c>
      <c r="DV56" t="e">
        <f>AND(Sheet1!L748,"AAAAAH6p7n0=")</f>
        <v>#VALUE!</v>
      </c>
      <c r="DW56" t="e">
        <f>AND(Sheet1!M748,"AAAAAH6p7n4=")</f>
        <v>#VALUE!</v>
      </c>
      <c r="DX56" t="e">
        <f>AND(Sheet1!N748,"AAAAAH6p7n8=")</f>
        <v>#VALUE!</v>
      </c>
      <c r="DY56" t="e">
        <f>AND(Sheet1!#REF!,"AAAAAH6p7oA=")</f>
        <v>#REF!</v>
      </c>
      <c r="DZ56" t="e">
        <f>AND(Sheet1!#REF!,"AAAAAH6p7oE=")</f>
        <v>#REF!</v>
      </c>
      <c r="EA56" t="e">
        <f>AND(Sheet1!#REF!,"AAAAAH6p7oI=")</f>
        <v>#REF!</v>
      </c>
      <c r="EB56" t="e">
        <f>AND(Sheet1!#REF!,"AAAAAH6p7oM=")</f>
        <v>#REF!</v>
      </c>
      <c r="EC56">
        <f>IF(Sheet1!749:749,"AAAAAH6p7oQ=",0)</f>
        <v>0</v>
      </c>
      <c r="ED56" t="e">
        <f>AND(Sheet1!A749,"AAAAAH6p7oU=")</f>
        <v>#VALUE!</v>
      </c>
      <c r="EE56" t="e">
        <f>AND(Sheet1!B749,"AAAAAH6p7oY=")</f>
        <v>#VALUE!</v>
      </c>
      <c r="EF56" t="e">
        <f>AND(Sheet1!C749,"AAAAAH6p7oc=")</f>
        <v>#VALUE!</v>
      </c>
      <c r="EG56" t="e">
        <f>AND(Sheet1!D749,"AAAAAH6p7og=")</f>
        <v>#VALUE!</v>
      </c>
      <c r="EH56" t="e">
        <f>AND(Sheet1!E749,"AAAAAH6p7ok=")</f>
        <v>#VALUE!</v>
      </c>
      <c r="EI56" t="e">
        <f>AND(Sheet1!F749,"AAAAAH6p7oo=")</f>
        <v>#VALUE!</v>
      </c>
      <c r="EJ56" t="e">
        <f>AND(Sheet1!G749,"AAAAAH6p7os=")</f>
        <v>#VALUE!</v>
      </c>
      <c r="EK56" t="e">
        <f>AND(Sheet1!H749,"AAAAAH6p7ow=")</f>
        <v>#VALUE!</v>
      </c>
      <c r="EL56" t="e">
        <f>AND(Sheet1!I749,"AAAAAH6p7o0=")</f>
        <v>#VALUE!</v>
      </c>
      <c r="EM56" t="e">
        <f>AND(Sheet1!J749,"AAAAAH6p7o4=")</f>
        <v>#VALUE!</v>
      </c>
      <c r="EN56" t="e">
        <f>AND(Sheet1!K749,"AAAAAH6p7o8=")</f>
        <v>#VALUE!</v>
      </c>
      <c r="EO56" t="e">
        <f>AND(Sheet1!L749,"AAAAAH6p7pA=")</f>
        <v>#VALUE!</v>
      </c>
      <c r="EP56" t="e">
        <f>AND(Sheet1!M749,"AAAAAH6p7pE=")</f>
        <v>#VALUE!</v>
      </c>
      <c r="EQ56" t="e">
        <f>AND(Sheet1!N749,"AAAAAH6p7pI=")</f>
        <v>#VALUE!</v>
      </c>
      <c r="ER56" t="e">
        <f>AND(Sheet1!#REF!,"AAAAAH6p7pM=")</f>
        <v>#REF!</v>
      </c>
      <c r="ES56" t="e">
        <f>AND(Sheet1!#REF!,"AAAAAH6p7pQ=")</f>
        <v>#REF!</v>
      </c>
      <c r="ET56" t="e">
        <f>AND(Sheet1!#REF!,"AAAAAH6p7pU=")</f>
        <v>#REF!</v>
      </c>
      <c r="EU56" t="e">
        <f>AND(Sheet1!#REF!,"AAAAAH6p7pY=")</f>
        <v>#REF!</v>
      </c>
      <c r="EV56">
        <f>IF(Sheet1!750:750,"AAAAAH6p7pc=",0)</f>
        <v>0</v>
      </c>
      <c r="EW56" t="e">
        <f>AND(Sheet1!A750,"AAAAAH6p7pg=")</f>
        <v>#VALUE!</v>
      </c>
      <c r="EX56" t="e">
        <f>AND(Sheet1!B750,"AAAAAH6p7pk=")</f>
        <v>#VALUE!</v>
      </c>
      <c r="EY56" t="e">
        <f>AND(Sheet1!C750,"AAAAAH6p7po=")</f>
        <v>#VALUE!</v>
      </c>
      <c r="EZ56" t="e">
        <f>AND(Sheet1!D750,"AAAAAH6p7ps=")</f>
        <v>#VALUE!</v>
      </c>
      <c r="FA56" t="e">
        <f>AND(Sheet1!E750,"AAAAAH6p7pw=")</f>
        <v>#VALUE!</v>
      </c>
      <c r="FB56" t="e">
        <f>AND(Sheet1!F750,"AAAAAH6p7p0=")</f>
        <v>#VALUE!</v>
      </c>
      <c r="FC56" t="e">
        <f>AND(Sheet1!G750,"AAAAAH6p7p4=")</f>
        <v>#VALUE!</v>
      </c>
      <c r="FD56" t="e">
        <f>AND(Sheet1!H750,"AAAAAH6p7p8=")</f>
        <v>#VALUE!</v>
      </c>
      <c r="FE56" t="e">
        <f>AND(Sheet1!I750,"AAAAAH6p7qA=")</f>
        <v>#VALUE!</v>
      </c>
      <c r="FF56" t="e">
        <f>AND(Sheet1!J750,"AAAAAH6p7qE=")</f>
        <v>#VALUE!</v>
      </c>
      <c r="FG56" t="e">
        <f>AND(Sheet1!K750,"AAAAAH6p7qI=")</f>
        <v>#VALUE!</v>
      </c>
      <c r="FH56" t="e">
        <f>AND(Sheet1!L750,"AAAAAH6p7qM=")</f>
        <v>#VALUE!</v>
      </c>
      <c r="FI56" t="e">
        <f>AND(Sheet1!M750,"AAAAAH6p7qQ=")</f>
        <v>#VALUE!</v>
      </c>
      <c r="FJ56" t="e">
        <f>AND(Sheet1!N750,"AAAAAH6p7qU=")</f>
        <v>#VALUE!</v>
      </c>
      <c r="FK56" t="e">
        <f>AND(Sheet1!#REF!,"AAAAAH6p7qY=")</f>
        <v>#REF!</v>
      </c>
      <c r="FL56" t="e">
        <f>AND(Sheet1!#REF!,"AAAAAH6p7qc=")</f>
        <v>#REF!</v>
      </c>
      <c r="FM56" t="e">
        <f>AND(Sheet1!#REF!,"AAAAAH6p7qg=")</f>
        <v>#REF!</v>
      </c>
      <c r="FN56" t="e">
        <f>AND(Sheet1!#REF!,"AAAAAH6p7qk=")</f>
        <v>#REF!</v>
      </c>
      <c r="FO56">
        <f>IF(Sheet1!751:751,"AAAAAH6p7qo=",0)</f>
        <v>0</v>
      </c>
      <c r="FP56" t="e">
        <f>AND(Sheet1!A751,"AAAAAH6p7qs=")</f>
        <v>#VALUE!</v>
      </c>
      <c r="FQ56" t="e">
        <f>AND(Sheet1!B751,"AAAAAH6p7qw=")</f>
        <v>#VALUE!</v>
      </c>
      <c r="FR56" t="e">
        <f>AND(Sheet1!C751,"AAAAAH6p7q0=")</f>
        <v>#VALUE!</v>
      </c>
      <c r="FS56" t="e">
        <f>AND(Sheet1!D751,"AAAAAH6p7q4=")</f>
        <v>#VALUE!</v>
      </c>
      <c r="FT56" t="e">
        <f>AND(Sheet1!E751,"AAAAAH6p7q8=")</f>
        <v>#VALUE!</v>
      </c>
      <c r="FU56" t="e">
        <f>AND(Sheet1!F751,"AAAAAH6p7rA=")</f>
        <v>#VALUE!</v>
      </c>
      <c r="FV56" t="e">
        <f>AND(Sheet1!G751,"AAAAAH6p7rE=")</f>
        <v>#VALUE!</v>
      </c>
      <c r="FW56" t="e">
        <f>AND(Sheet1!H751,"AAAAAH6p7rI=")</f>
        <v>#VALUE!</v>
      </c>
      <c r="FX56" t="e">
        <f>AND(Sheet1!I751,"AAAAAH6p7rM=")</f>
        <v>#VALUE!</v>
      </c>
      <c r="FY56" t="e">
        <f>AND(Sheet1!J751,"AAAAAH6p7rQ=")</f>
        <v>#VALUE!</v>
      </c>
      <c r="FZ56" t="e">
        <f>AND(Sheet1!K751,"AAAAAH6p7rU=")</f>
        <v>#VALUE!</v>
      </c>
      <c r="GA56" t="e">
        <f>AND(Sheet1!L751,"AAAAAH6p7rY=")</f>
        <v>#VALUE!</v>
      </c>
      <c r="GB56" t="e">
        <f>AND(Sheet1!M751,"AAAAAH6p7rc=")</f>
        <v>#VALUE!</v>
      </c>
      <c r="GC56" t="e">
        <f>AND(Sheet1!N751,"AAAAAH6p7rg=")</f>
        <v>#VALUE!</v>
      </c>
      <c r="GD56" t="e">
        <f>AND(Sheet1!#REF!,"AAAAAH6p7rk=")</f>
        <v>#REF!</v>
      </c>
      <c r="GE56" t="e">
        <f>AND(Sheet1!#REF!,"AAAAAH6p7ro=")</f>
        <v>#REF!</v>
      </c>
      <c r="GF56" t="e">
        <f>AND(Sheet1!#REF!,"AAAAAH6p7rs=")</f>
        <v>#REF!</v>
      </c>
      <c r="GG56" t="e">
        <f>AND(Sheet1!#REF!,"AAAAAH6p7rw=")</f>
        <v>#REF!</v>
      </c>
      <c r="GH56">
        <f>IF(Sheet1!752:752,"AAAAAH6p7r0=",0)</f>
        <v>0</v>
      </c>
      <c r="GI56" t="e">
        <f>AND(Sheet1!A752,"AAAAAH6p7r4=")</f>
        <v>#VALUE!</v>
      </c>
      <c r="GJ56" t="e">
        <f>AND(Sheet1!B752,"AAAAAH6p7r8=")</f>
        <v>#VALUE!</v>
      </c>
      <c r="GK56" t="e">
        <f>AND(Sheet1!C752,"AAAAAH6p7sA=")</f>
        <v>#VALUE!</v>
      </c>
      <c r="GL56" t="e">
        <f>AND(Sheet1!D752,"AAAAAH6p7sE=")</f>
        <v>#VALUE!</v>
      </c>
      <c r="GM56" t="e">
        <f>AND(Sheet1!E752,"AAAAAH6p7sI=")</f>
        <v>#VALUE!</v>
      </c>
      <c r="GN56" t="e">
        <f>AND(Sheet1!F752,"AAAAAH6p7sM=")</f>
        <v>#VALUE!</v>
      </c>
      <c r="GO56" t="e">
        <f>AND(Sheet1!G752,"AAAAAH6p7sQ=")</f>
        <v>#VALUE!</v>
      </c>
      <c r="GP56" t="e">
        <f>AND(Sheet1!H752,"AAAAAH6p7sU=")</f>
        <v>#VALUE!</v>
      </c>
      <c r="GQ56" t="e">
        <f>AND(Sheet1!I752,"AAAAAH6p7sY=")</f>
        <v>#VALUE!</v>
      </c>
      <c r="GR56" t="e">
        <f>AND(Sheet1!J752,"AAAAAH6p7sc=")</f>
        <v>#VALUE!</v>
      </c>
      <c r="GS56" t="e">
        <f>AND(Sheet1!K752,"AAAAAH6p7sg=")</f>
        <v>#VALUE!</v>
      </c>
      <c r="GT56" t="e">
        <f>AND(Sheet1!L752,"AAAAAH6p7sk=")</f>
        <v>#VALUE!</v>
      </c>
      <c r="GU56" t="e">
        <f>AND(Sheet1!M752,"AAAAAH6p7so=")</f>
        <v>#VALUE!</v>
      </c>
      <c r="GV56" t="e">
        <f>AND(Sheet1!N752,"AAAAAH6p7ss=")</f>
        <v>#VALUE!</v>
      </c>
      <c r="GW56" t="e">
        <f>AND(Sheet1!#REF!,"AAAAAH6p7sw=")</f>
        <v>#REF!</v>
      </c>
      <c r="GX56" t="e">
        <f>AND(Sheet1!#REF!,"AAAAAH6p7s0=")</f>
        <v>#REF!</v>
      </c>
      <c r="GY56" t="e">
        <f>AND(Sheet1!#REF!,"AAAAAH6p7s4=")</f>
        <v>#REF!</v>
      </c>
      <c r="GZ56" t="e">
        <f>AND(Sheet1!#REF!,"AAAAAH6p7s8=")</f>
        <v>#REF!</v>
      </c>
      <c r="HA56">
        <f>IF(Sheet1!753:753,"AAAAAH6p7tA=",0)</f>
        <v>0</v>
      </c>
      <c r="HB56" t="e">
        <f>AND(Sheet1!A753,"AAAAAH6p7tE=")</f>
        <v>#VALUE!</v>
      </c>
      <c r="HC56" t="e">
        <f>AND(Sheet1!B753,"AAAAAH6p7tI=")</f>
        <v>#VALUE!</v>
      </c>
      <c r="HD56" t="e">
        <f>AND(Sheet1!C753,"AAAAAH6p7tM=")</f>
        <v>#VALUE!</v>
      </c>
      <c r="HE56" t="e">
        <f>AND(Sheet1!D753,"AAAAAH6p7tQ=")</f>
        <v>#VALUE!</v>
      </c>
      <c r="HF56" t="e">
        <f>AND(Sheet1!E753,"AAAAAH6p7tU=")</f>
        <v>#VALUE!</v>
      </c>
      <c r="HG56" t="e">
        <f>AND(Sheet1!F753,"AAAAAH6p7tY=")</f>
        <v>#VALUE!</v>
      </c>
      <c r="HH56" t="e">
        <f>AND(Sheet1!G753,"AAAAAH6p7tc=")</f>
        <v>#VALUE!</v>
      </c>
      <c r="HI56" t="e">
        <f>AND(Sheet1!H753,"AAAAAH6p7tg=")</f>
        <v>#VALUE!</v>
      </c>
      <c r="HJ56" t="e">
        <f>AND(Sheet1!I753,"AAAAAH6p7tk=")</f>
        <v>#VALUE!</v>
      </c>
      <c r="HK56" t="e">
        <f>AND(Sheet1!J753,"AAAAAH6p7to=")</f>
        <v>#VALUE!</v>
      </c>
      <c r="HL56" t="e">
        <f>AND(Sheet1!K753,"AAAAAH6p7ts=")</f>
        <v>#VALUE!</v>
      </c>
      <c r="HM56" t="e">
        <f>AND(Sheet1!L753,"AAAAAH6p7tw=")</f>
        <v>#VALUE!</v>
      </c>
      <c r="HN56" t="e">
        <f>AND(Sheet1!M753,"AAAAAH6p7t0=")</f>
        <v>#VALUE!</v>
      </c>
      <c r="HO56" t="e">
        <f>AND(Sheet1!N753,"AAAAAH6p7t4=")</f>
        <v>#VALUE!</v>
      </c>
      <c r="HP56" t="e">
        <f>AND(Sheet1!#REF!,"AAAAAH6p7t8=")</f>
        <v>#REF!</v>
      </c>
      <c r="HQ56" t="e">
        <f>AND(Sheet1!#REF!,"AAAAAH6p7uA=")</f>
        <v>#REF!</v>
      </c>
      <c r="HR56" t="e">
        <f>AND(Sheet1!#REF!,"AAAAAH6p7uE=")</f>
        <v>#REF!</v>
      </c>
      <c r="HS56" t="e">
        <f>AND(Sheet1!#REF!,"AAAAAH6p7uI=")</f>
        <v>#REF!</v>
      </c>
      <c r="HT56">
        <f>IF(Sheet1!754:754,"AAAAAH6p7uM=",0)</f>
        <v>0</v>
      </c>
      <c r="HU56" t="e">
        <f>AND(Sheet1!A754,"AAAAAH6p7uQ=")</f>
        <v>#VALUE!</v>
      </c>
      <c r="HV56" t="e">
        <f>AND(Sheet1!B754,"AAAAAH6p7uU=")</f>
        <v>#VALUE!</v>
      </c>
      <c r="HW56" t="e">
        <f>AND(Sheet1!C754,"AAAAAH6p7uY=")</f>
        <v>#VALUE!</v>
      </c>
      <c r="HX56" t="e">
        <f>AND(Sheet1!D754,"AAAAAH6p7uc=")</f>
        <v>#VALUE!</v>
      </c>
      <c r="HY56" t="e">
        <f>AND(Sheet1!E754,"AAAAAH6p7ug=")</f>
        <v>#VALUE!</v>
      </c>
      <c r="HZ56" t="e">
        <f>AND(Sheet1!F754,"AAAAAH6p7uk=")</f>
        <v>#VALUE!</v>
      </c>
      <c r="IA56" t="e">
        <f>AND(Sheet1!G754,"AAAAAH6p7uo=")</f>
        <v>#VALUE!</v>
      </c>
      <c r="IB56" t="e">
        <f>AND(Sheet1!H754,"AAAAAH6p7us=")</f>
        <v>#VALUE!</v>
      </c>
      <c r="IC56" t="e">
        <f>AND(Sheet1!I754,"AAAAAH6p7uw=")</f>
        <v>#VALUE!</v>
      </c>
      <c r="ID56" t="e">
        <f>AND(Sheet1!J754,"AAAAAH6p7u0=")</f>
        <v>#VALUE!</v>
      </c>
      <c r="IE56" t="e">
        <f>AND(Sheet1!K754,"AAAAAH6p7u4=")</f>
        <v>#VALUE!</v>
      </c>
      <c r="IF56" t="e">
        <f>AND(Sheet1!L754,"AAAAAH6p7u8=")</f>
        <v>#VALUE!</v>
      </c>
      <c r="IG56" t="e">
        <f>AND(Sheet1!M754,"AAAAAH6p7vA=")</f>
        <v>#VALUE!</v>
      </c>
      <c r="IH56" t="e">
        <f>AND(Sheet1!N754,"AAAAAH6p7vE=")</f>
        <v>#VALUE!</v>
      </c>
      <c r="II56" t="e">
        <f>AND(Sheet1!#REF!,"AAAAAH6p7vI=")</f>
        <v>#REF!</v>
      </c>
      <c r="IJ56" t="e">
        <f>AND(Sheet1!#REF!,"AAAAAH6p7vM=")</f>
        <v>#REF!</v>
      </c>
      <c r="IK56" t="e">
        <f>AND(Sheet1!#REF!,"AAAAAH6p7vQ=")</f>
        <v>#REF!</v>
      </c>
      <c r="IL56" t="e">
        <f>AND(Sheet1!#REF!,"AAAAAH6p7vU=")</f>
        <v>#REF!</v>
      </c>
      <c r="IM56">
        <f>IF(Sheet1!755:755,"AAAAAH6p7vY=",0)</f>
        <v>0</v>
      </c>
      <c r="IN56" t="e">
        <f>AND(Sheet1!A755,"AAAAAH6p7vc=")</f>
        <v>#VALUE!</v>
      </c>
      <c r="IO56" t="e">
        <f>AND(Sheet1!B755,"AAAAAH6p7vg=")</f>
        <v>#VALUE!</v>
      </c>
      <c r="IP56" t="e">
        <f>AND(Sheet1!C755,"AAAAAH6p7vk=")</f>
        <v>#VALUE!</v>
      </c>
      <c r="IQ56" t="e">
        <f>AND(Sheet1!D755,"AAAAAH6p7vo=")</f>
        <v>#VALUE!</v>
      </c>
      <c r="IR56" t="e">
        <f>AND(Sheet1!E755,"AAAAAH6p7vs=")</f>
        <v>#VALUE!</v>
      </c>
      <c r="IS56" t="e">
        <f>AND(Sheet1!F755,"AAAAAH6p7vw=")</f>
        <v>#VALUE!</v>
      </c>
      <c r="IT56" t="e">
        <f>AND(Sheet1!G755,"AAAAAH6p7v0=")</f>
        <v>#VALUE!</v>
      </c>
      <c r="IU56" t="e">
        <f>AND(Sheet1!H755,"AAAAAH6p7v4=")</f>
        <v>#VALUE!</v>
      </c>
      <c r="IV56" t="e">
        <f>AND(Sheet1!I755,"AAAAAH6p7v8=")</f>
        <v>#VALUE!</v>
      </c>
    </row>
    <row r="57" spans="1:256" x14ac:dyDescent="0.2">
      <c r="A57" t="e">
        <f>AND(Sheet1!J755,"AAAAAHb8OwA=")</f>
        <v>#VALUE!</v>
      </c>
      <c r="B57" t="e">
        <f>AND(Sheet1!K755,"AAAAAHb8OwE=")</f>
        <v>#VALUE!</v>
      </c>
      <c r="C57" t="e">
        <f>AND(Sheet1!L755,"AAAAAHb8OwI=")</f>
        <v>#VALUE!</v>
      </c>
      <c r="D57" t="e">
        <f>AND(Sheet1!M755,"AAAAAHb8OwM=")</f>
        <v>#VALUE!</v>
      </c>
      <c r="E57" t="e">
        <f>AND(Sheet1!N755,"AAAAAHb8OwQ=")</f>
        <v>#VALUE!</v>
      </c>
      <c r="F57" t="e">
        <f>AND(Sheet1!#REF!,"AAAAAHb8OwU=")</f>
        <v>#REF!</v>
      </c>
      <c r="G57" t="e">
        <f>AND(Sheet1!#REF!,"AAAAAHb8OwY=")</f>
        <v>#REF!</v>
      </c>
      <c r="H57" t="e">
        <f>AND(Sheet1!#REF!,"AAAAAHb8Owc=")</f>
        <v>#REF!</v>
      </c>
      <c r="I57" t="e">
        <f>AND(Sheet1!#REF!,"AAAAAHb8Owg=")</f>
        <v>#REF!</v>
      </c>
      <c r="J57" t="e">
        <f>IF(Sheet1!756:756,"AAAAAHb8Owk=",0)</f>
        <v>#VALUE!</v>
      </c>
      <c r="K57" t="e">
        <f>AND(Sheet1!A756,"AAAAAHb8Owo=")</f>
        <v>#VALUE!</v>
      </c>
      <c r="L57" t="e">
        <f>AND(Sheet1!B756,"AAAAAHb8Ows=")</f>
        <v>#VALUE!</v>
      </c>
      <c r="M57" t="e">
        <f>AND(Sheet1!C756,"AAAAAHb8Oww=")</f>
        <v>#VALUE!</v>
      </c>
      <c r="N57" t="e">
        <f>AND(Sheet1!D756,"AAAAAHb8Ow0=")</f>
        <v>#VALUE!</v>
      </c>
      <c r="O57" t="e">
        <f>AND(Sheet1!E756,"AAAAAHb8Ow4=")</f>
        <v>#VALUE!</v>
      </c>
      <c r="P57" t="e">
        <f>AND(Sheet1!F756,"AAAAAHb8Ow8=")</f>
        <v>#VALUE!</v>
      </c>
      <c r="Q57" t="e">
        <f>AND(Sheet1!G756,"AAAAAHb8OxA=")</f>
        <v>#VALUE!</v>
      </c>
      <c r="R57" t="e">
        <f>AND(Sheet1!H756,"AAAAAHb8OxE=")</f>
        <v>#VALUE!</v>
      </c>
      <c r="S57" t="e">
        <f>AND(Sheet1!I756,"AAAAAHb8OxI=")</f>
        <v>#VALUE!</v>
      </c>
      <c r="T57" t="e">
        <f>AND(Sheet1!J756,"AAAAAHb8OxM=")</f>
        <v>#VALUE!</v>
      </c>
      <c r="U57" t="e">
        <f>AND(Sheet1!K756,"AAAAAHb8OxQ=")</f>
        <v>#VALUE!</v>
      </c>
      <c r="V57" t="e">
        <f>AND(Sheet1!L756,"AAAAAHb8OxU=")</f>
        <v>#VALUE!</v>
      </c>
      <c r="W57" t="e">
        <f>AND(Sheet1!M756,"AAAAAHb8OxY=")</f>
        <v>#VALUE!</v>
      </c>
      <c r="X57" t="e">
        <f>AND(Sheet1!N756,"AAAAAHb8Oxc=")</f>
        <v>#VALUE!</v>
      </c>
      <c r="Y57" t="e">
        <f>AND(Sheet1!#REF!,"AAAAAHb8Oxg=")</f>
        <v>#REF!</v>
      </c>
      <c r="Z57" t="e">
        <f>AND(Sheet1!#REF!,"AAAAAHb8Oxk=")</f>
        <v>#REF!</v>
      </c>
      <c r="AA57" t="e">
        <f>AND(Sheet1!#REF!,"AAAAAHb8Oxo=")</f>
        <v>#REF!</v>
      </c>
      <c r="AB57" t="e">
        <f>AND(Sheet1!#REF!,"AAAAAHb8Oxs=")</f>
        <v>#REF!</v>
      </c>
      <c r="AC57">
        <f>IF(Sheet1!757:757,"AAAAAHb8Oxw=",0)</f>
        <v>0</v>
      </c>
      <c r="AD57" t="e">
        <f>AND(Sheet1!A757,"AAAAAHb8Ox0=")</f>
        <v>#VALUE!</v>
      </c>
      <c r="AE57" t="e">
        <f>AND(Sheet1!B757,"AAAAAHb8Ox4=")</f>
        <v>#VALUE!</v>
      </c>
      <c r="AF57" t="e">
        <f>AND(Sheet1!C757,"AAAAAHb8Ox8=")</f>
        <v>#VALUE!</v>
      </c>
      <c r="AG57" t="e">
        <f>AND(Sheet1!D757,"AAAAAHb8OyA=")</f>
        <v>#VALUE!</v>
      </c>
      <c r="AH57" t="e">
        <f>AND(Sheet1!E757,"AAAAAHb8OyE=")</f>
        <v>#VALUE!</v>
      </c>
      <c r="AI57" t="e">
        <f>AND(Sheet1!F757,"AAAAAHb8OyI=")</f>
        <v>#VALUE!</v>
      </c>
      <c r="AJ57" t="e">
        <f>AND(Sheet1!G757,"AAAAAHb8OyM=")</f>
        <v>#VALUE!</v>
      </c>
      <c r="AK57" t="e">
        <f>AND(Sheet1!H757,"AAAAAHb8OyQ=")</f>
        <v>#VALUE!</v>
      </c>
      <c r="AL57" t="e">
        <f>AND(Sheet1!I757,"AAAAAHb8OyU=")</f>
        <v>#VALUE!</v>
      </c>
      <c r="AM57" t="e">
        <f>AND(Sheet1!J757,"AAAAAHb8OyY=")</f>
        <v>#VALUE!</v>
      </c>
      <c r="AN57" t="e">
        <f>AND(Sheet1!K757,"AAAAAHb8Oyc=")</f>
        <v>#VALUE!</v>
      </c>
      <c r="AO57" t="e">
        <f>AND(Sheet1!L757,"AAAAAHb8Oyg=")</f>
        <v>#VALUE!</v>
      </c>
      <c r="AP57" t="e">
        <f>AND(Sheet1!M757,"AAAAAHb8Oyk=")</f>
        <v>#VALUE!</v>
      </c>
      <c r="AQ57" t="e">
        <f>AND(Sheet1!N757,"AAAAAHb8Oyo=")</f>
        <v>#VALUE!</v>
      </c>
      <c r="AR57" t="e">
        <f>AND(Sheet1!#REF!,"AAAAAHb8Oys=")</f>
        <v>#REF!</v>
      </c>
      <c r="AS57" t="e">
        <f>AND(Sheet1!#REF!,"AAAAAHb8Oyw=")</f>
        <v>#REF!</v>
      </c>
      <c r="AT57" t="e">
        <f>AND(Sheet1!#REF!,"AAAAAHb8Oy0=")</f>
        <v>#REF!</v>
      </c>
      <c r="AU57" t="e">
        <f>AND(Sheet1!#REF!,"AAAAAHb8Oy4=")</f>
        <v>#REF!</v>
      </c>
      <c r="AV57">
        <f>IF(Sheet1!758:758,"AAAAAHb8Oy8=",0)</f>
        <v>0</v>
      </c>
      <c r="AW57" t="e">
        <f>AND(Sheet1!A758,"AAAAAHb8OzA=")</f>
        <v>#VALUE!</v>
      </c>
      <c r="AX57" t="e">
        <f>AND(Sheet1!B758,"AAAAAHb8OzE=")</f>
        <v>#VALUE!</v>
      </c>
      <c r="AY57" t="e">
        <f>AND(Sheet1!C758,"AAAAAHb8OzI=")</f>
        <v>#VALUE!</v>
      </c>
      <c r="AZ57" t="e">
        <f>AND(Sheet1!D758,"AAAAAHb8OzM=")</f>
        <v>#VALUE!</v>
      </c>
      <c r="BA57" t="e">
        <f>AND(Sheet1!E758,"AAAAAHb8OzQ=")</f>
        <v>#VALUE!</v>
      </c>
      <c r="BB57" t="e">
        <f>AND(Sheet1!F758,"AAAAAHb8OzU=")</f>
        <v>#VALUE!</v>
      </c>
      <c r="BC57" t="e">
        <f>AND(Sheet1!G758,"AAAAAHb8OzY=")</f>
        <v>#VALUE!</v>
      </c>
      <c r="BD57" t="e">
        <f>AND(Sheet1!H758,"AAAAAHb8Ozc=")</f>
        <v>#VALUE!</v>
      </c>
      <c r="BE57" t="e">
        <f>AND(Sheet1!I758,"AAAAAHb8Ozg=")</f>
        <v>#VALUE!</v>
      </c>
      <c r="BF57" t="e">
        <f>AND(Sheet1!J758,"AAAAAHb8Ozk=")</f>
        <v>#VALUE!</v>
      </c>
      <c r="BG57" t="e">
        <f>AND(Sheet1!K758,"AAAAAHb8Ozo=")</f>
        <v>#VALUE!</v>
      </c>
      <c r="BH57" t="e">
        <f>AND(Sheet1!L758,"AAAAAHb8Ozs=")</f>
        <v>#VALUE!</v>
      </c>
      <c r="BI57" t="e">
        <f>AND(Sheet1!M758,"AAAAAHb8Ozw=")</f>
        <v>#VALUE!</v>
      </c>
      <c r="BJ57" t="e">
        <f>AND(Sheet1!N758,"AAAAAHb8Oz0=")</f>
        <v>#VALUE!</v>
      </c>
      <c r="BK57" t="e">
        <f>AND(Sheet1!#REF!,"AAAAAHb8Oz4=")</f>
        <v>#REF!</v>
      </c>
      <c r="BL57" t="e">
        <f>AND(Sheet1!#REF!,"AAAAAHb8Oz8=")</f>
        <v>#REF!</v>
      </c>
      <c r="BM57" t="e">
        <f>AND(Sheet1!#REF!,"AAAAAHb8O0A=")</f>
        <v>#REF!</v>
      </c>
      <c r="BN57" t="e">
        <f>AND(Sheet1!#REF!,"AAAAAHb8O0E=")</f>
        <v>#REF!</v>
      </c>
      <c r="BO57">
        <f>IF(Sheet1!759:759,"AAAAAHb8O0I=",0)</f>
        <v>0</v>
      </c>
      <c r="BP57" t="e">
        <f>AND(Sheet1!A759,"AAAAAHb8O0M=")</f>
        <v>#VALUE!</v>
      </c>
      <c r="BQ57" t="e">
        <f>AND(Sheet1!B759,"AAAAAHb8O0Q=")</f>
        <v>#VALUE!</v>
      </c>
      <c r="BR57" t="e">
        <f>AND(Sheet1!C759,"AAAAAHb8O0U=")</f>
        <v>#VALUE!</v>
      </c>
      <c r="BS57" t="e">
        <f>AND(Sheet1!D759,"AAAAAHb8O0Y=")</f>
        <v>#VALUE!</v>
      </c>
      <c r="BT57" t="e">
        <f>AND(Sheet1!E759,"AAAAAHb8O0c=")</f>
        <v>#VALUE!</v>
      </c>
      <c r="BU57" t="e">
        <f>AND(Sheet1!F759,"AAAAAHb8O0g=")</f>
        <v>#VALUE!</v>
      </c>
      <c r="BV57" t="e">
        <f>AND(Sheet1!G759,"AAAAAHb8O0k=")</f>
        <v>#VALUE!</v>
      </c>
      <c r="BW57" t="e">
        <f>AND(Sheet1!H759,"AAAAAHb8O0o=")</f>
        <v>#VALUE!</v>
      </c>
      <c r="BX57" t="e">
        <f>AND(Sheet1!I759,"AAAAAHb8O0s=")</f>
        <v>#VALUE!</v>
      </c>
      <c r="BY57" t="e">
        <f>AND(Sheet1!J759,"AAAAAHb8O0w=")</f>
        <v>#VALUE!</v>
      </c>
      <c r="BZ57" t="e">
        <f>AND(Sheet1!K759,"AAAAAHb8O00=")</f>
        <v>#VALUE!</v>
      </c>
      <c r="CA57" t="e">
        <f>AND(Sheet1!L759,"AAAAAHb8O04=")</f>
        <v>#VALUE!</v>
      </c>
      <c r="CB57" t="e">
        <f>AND(Sheet1!M759,"AAAAAHb8O08=")</f>
        <v>#VALUE!</v>
      </c>
      <c r="CC57" t="e">
        <f>AND(Sheet1!N759,"AAAAAHb8O1A=")</f>
        <v>#VALUE!</v>
      </c>
      <c r="CD57" t="e">
        <f>AND(Sheet1!#REF!,"AAAAAHb8O1E=")</f>
        <v>#REF!</v>
      </c>
      <c r="CE57" t="e">
        <f>AND(Sheet1!#REF!,"AAAAAHb8O1I=")</f>
        <v>#REF!</v>
      </c>
      <c r="CF57" t="e">
        <f>AND(Sheet1!#REF!,"AAAAAHb8O1M=")</f>
        <v>#REF!</v>
      </c>
      <c r="CG57" t="e">
        <f>AND(Sheet1!#REF!,"AAAAAHb8O1Q=")</f>
        <v>#REF!</v>
      </c>
      <c r="CH57">
        <f>IF(Sheet1!760:760,"AAAAAHb8O1U=",0)</f>
        <v>0</v>
      </c>
      <c r="CI57" t="e">
        <f>AND(Sheet1!A760,"AAAAAHb8O1Y=")</f>
        <v>#VALUE!</v>
      </c>
      <c r="CJ57" t="e">
        <f>AND(Sheet1!B760,"AAAAAHb8O1c=")</f>
        <v>#VALUE!</v>
      </c>
      <c r="CK57" t="e">
        <f>AND(Sheet1!C760,"AAAAAHb8O1g=")</f>
        <v>#VALUE!</v>
      </c>
      <c r="CL57" t="e">
        <f>AND(Sheet1!D760,"AAAAAHb8O1k=")</f>
        <v>#VALUE!</v>
      </c>
      <c r="CM57" t="e">
        <f>AND(Sheet1!E760,"AAAAAHb8O1o=")</f>
        <v>#VALUE!</v>
      </c>
      <c r="CN57" t="e">
        <f>AND(Sheet1!F760,"AAAAAHb8O1s=")</f>
        <v>#VALUE!</v>
      </c>
      <c r="CO57" t="e">
        <f>AND(Sheet1!G760,"AAAAAHb8O1w=")</f>
        <v>#VALUE!</v>
      </c>
      <c r="CP57" t="e">
        <f>AND(Sheet1!H760,"AAAAAHb8O10=")</f>
        <v>#VALUE!</v>
      </c>
      <c r="CQ57" t="e">
        <f>AND(Sheet1!I760,"AAAAAHb8O14=")</f>
        <v>#VALUE!</v>
      </c>
      <c r="CR57" t="e">
        <f>AND(Sheet1!J760,"AAAAAHb8O18=")</f>
        <v>#VALUE!</v>
      </c>
      <c r="CS57" t="e">
        <f>AND(Sheet1!K760,"AAAAAHb8O2A=")</f>
        <v>#VALUE!</v>
      </c>
      <c r="CT57" t="e">
        <f>AND(Sheet1!L760,"AAAAAHb8O2E=")</f>
        <v>#VALUE!</v>
      </c>
      <c r="CU57" t="e">
        <f>AND(Sheet1!M760,"AAAAAHb8O2I=")</f>
        <v>#VALUE!</v>
      </c>
      <c r="CV57" t="e">
        <f>AND(Sheet1!N760,"AAAAAHb8O2M=")</f>
        <v>#VALUE!</v>
      </c>
      <c r="CW57" t="e">
        <f>AND(Sheet1!#REF!,"AAAAAHb8O2Q=")</f>
        <v>#REF!</v>
      </c>
      <c r="CX57" t="e">
        <f>AND(Sheet1!#REF!,"AAAAAHb8O2U=")</f>
        <v>#REF!</v>
      </c>
      <c r="CY57" t="e">
        <f>AND(Sheet1!#REF!,"AAAAAHb8O2Y=")</f>
        <v>#REF!</v>
      </c>
      <c r="CZ57" t="e">
        <f>AND(Sheet1!#REF!,"AAAAAHb8O2c=")</f>
        <v>#REF!</v>
      </c>
      <c r="DA57">
        <f>IF(Sheet1!761:761,"AAAAAHb8O2g=",0)</f>
        <v>0</v>
      </c>
      <c r="DB57" t="e">
        <f>AND(Sheet1!A761,"AAAAAHb8O2k=")</f>
        <v>#VALUE!</v>
      </c>
      <c r="DC57" t="e">
        <f>AND(Sheet1!B761,"AAAAAHb8O2o=")</f>
        <v>#VALUE!</v>
      </c>
      <c r="DD57" t="e">
        <f>AND(Sheet1!C761,"AAAAAHb8O2s=")</f>
        <v>#VALUE!</v>
      </c>
      <c r="DE57" t="e">
        <f>AND(Sheet1!D761,"AAAAAHb8O2w=")</f>
        <v>#VALUE!</v>
      </c>
      <c r="DF57" t="e">
        <f>AND(Sheet1!E761,"AAAAAHb8O20=")</f>
        <v>#VALUE!</v>
      </c>
      <c r="DG57" t="e">
        <f>AND(Sheet1!F761,"AAAAAHb8O24=")</f>
        <v>#VALUE!</v>
      </c>
      <c r="DH57" t="e">
        <f>AND(Sheet1!G761,"AAAAAHb8O28=")</f>
        <v>#VALUE!</v>
      </c>
      <c r="DI57" t="e">
        <f>AND(Sheet1!H761,"AAAAAHb8O3A=")</f>
        <v>#VALUE!</v>
      </c>
      <c r="DJ57" t="e">
        <f>AND(Sheet1!I761,"AAAAAHb8O3E=")</f>
        <v>#VALUE!</v>
      </c>
      <c r="DK57" t="e">
        <f>AND(Sheet1!J761,"AAAAAHb8O3I=")</f>
        <v>#VALUE!</v>
      </c>
      <c r="DL57" t="e">
        <f>AND(Sheet1!K761,"AAAAAHb8O3M=")</f>
        <v>#VALUE!</v>
      </c>
      <c r="DM57" t="e">
        <f>AND(Sheet1!L761,"AAAAAHb8O3Q=")</f>
        <v>#VALUE!</v>
      </c>
      <c r="DN57" t="e">
        <f>AND(Sheet1!M761,"AAAAAHb8O3U=")</f>
        <v>#VALUE!</v>
      </c>
      <c r="DO57" t="e">
        <f>AND(Sheet1!N761,"AAAAAHb8O3Y=")</f>
        <v>#VALUE!</v>
      </c>
      <c r="DP57" t="e">
        <f>AND(Sheet1!#REF!,"AAAAAHb8O3c=")</f>
        <v>#REF!</v>
      </c>
      <c r="DQ57" t="e">
        <f>AND(Sheet1!#REF!,"AAAAAHb8O3g=")</f>
        <v>#REF!</v>
      </c>
      <c r="DR57" t="e">
        <f>AND(Sheet1!#REF!,"AAAAAHb8O3k=")</f>
        <v>#REF!</v>
      </c>
      <c r="DS57" t="e">
        <f>AND(Sheet1!#REF!,"AAAAAHb8O3o=")</f>
        <v>#REF!</v>
      </c>
      <c r="DT57">
        <f>IF(Sheet1!762:762,"AAAAAHb8O3s=",0)</f>
        <v>0</v>
      </c>
      <c r="DU57" t="e">
        <f>AND(Sheet1!A762,"AAAAAHb8O3w=")</f>
        <v>#VALUE!</v>
      </c>
      <c r="DV57" t="e">
        <f>AND(Sheet1!B762,"AAAAAHb8O30=")</f>
        <v>#VALUE!</v>
      </c>
      <c r="DW57" t="e">
        <f>AND(Sheet1!C762,"AAAAAHb8O34=")</f>
        <v>#VALUE!</v>
      </c>
      <c r="DX57" t="e">
        <f>AND(Sheet1!D762,"AAAAAHb8O38=")</f>
        <v>#VALUE!</v>
      </c>
      <c r="DY57" t="e">
        <f>AND(Sheet1!E762,"AAAAAHb8O4A=")</f>
        <v>#VALUE!</v>
      </c>
      <c r="DZ57" t="e">
        <f>AND(Sheet1!F762,"AAAAAHb8O4E=")</f>
        <v>#VALUE!</v>
      </c>
      <c r="EA57" t="e">
        <f>AND(Sheet1!G762,"AAAAAHb8O4I=")</f>
        <v>#VALUE!</v>
      </c>
      <c r="EB57" t="e">
        <f>AND(Sheet1!H762,"AAAAAHb8O4M=")</f>
        <v>#VALUE!</v>
      </c>
      <c r="EC57" t="e">
        <f>AND(Sheet1!I762,"AAAAAHb8O4Q=")</f>
        <v>#VALUE!</v>
      </c>
      <c r="ED57" t="e">
        <f>AND(Sheet1!J762,"AAAAAHb8O4U=")</f>
        <v>#VALUE!</v>
      </c>
      <c r="EE57" t="e">
        <f>AND(Sheet1!K762,"AAAAAHb8O4Y=")</f>
        <v>#VALUE!</v>
      </c>
      <c r="EF57" t="e">
        <f>AND(Sheet1!L762,"AAAAAHb8O4c=")</f>
        <v>#VALUE!</v>
      </c>
      <c r="EG57" t="e">
        <f>AND(Sheet1!M762,"AAAAAHb8O4g=")</f>
        <v>#VALUE!</v>
      </c>
      <c r="EH57" t="e">
        <f>AND(Sheet1!N762,"AAAAAHb8O4k=")</f>
        <v>#VALUE!</v>
      </c>
      <c r="EI57" t="e">
        <f>AND(Sheet1!#REF!,"AAAAAHb8O4o=")</f>
        <v>#REF!</v>
      </c>
      <c r="EJ57" t="e">
        <f>AND(Sheet1!#REF!,"AAAAAHb8O4s=")</f>
        <v>#REF!</v>
      </c>
      <c r="EK57" t="e">
        <f>AND(Sheet1!#REF!,"AAAAAHb8O4w=")</f>
        <v>#REF!</v>
      </c>
      <c r="EL57" t="e">
        <f>AND(Sheet1!#REF!,"AAAAAHb8O40=")</f>
        <v>#REF!</v>
      </c>
      <c r="EM57">
        <f>IF(Sheet1!763:763,"AAAAAHb8O44=",0)</f>
        <v>0</v>
      </c>
      <c r="EN57" t="e">
        <f>AND(Sheet1!A763,"AAAAAHb8O48=")</f>
        <v>#VALUE!</v>
      </c>
      <c r="EO57" t="e">
        <f>AND(Sheet1!B763,"AAAAAHb8O5A=")</f>
        <v>#VALUE!</v>
      </c>
      <c r="EP57" t="e">
        <f>AND(Sheet1!C763,"AAAAAHb8O5E=")</f>
        <v>#VALUE!</v>
      </c>
      <c r="EQ57" t="e">
        <f>AND(Sheet1!D763,"AAAAAHb8O5I=")</f>
        <v>#VALUE!</v>
      </c>
      <c r="ER57" t="e">
        <f>AND(Sheet1!E763,"AAAAAHb8O5M=")</f>
        <v>#VALUE!</v>
      </c>
      <c r="ES57" t="e">
        <f>AND(Sheet1!F763,"AAAAAHb8O5Q=")</f>
        <v>#VALUE!</v>
      </c>
      <c r="ET57" t="e">
        <f>AND(Sheet1!G763,"AAAAAHb8O5U=")</f>
        <v>#VALUE!</v>
      </c>
      <c r="EU57" t="e">
        <f>AND(Sheet1!H763,"AAAAAHb8O5Y=")</f>
        <v>#VALUE!</v>
      </c>
      <c r="EV57" t="e">
        <f>AND(Sheet1!I763,"AAAAAHb8O5c=")</f>
        <v>#VALUE!</v>
      </c>
      <c r="EW57" t="e">
        <f>AND(Sheet1!J763,"AAAAAHb8O5g=")</f>
        <v>#VALUE!</v>
      </c>
      <c r="EX57" t="e">
        <f>AND(Sheet1!K763,"AAAAAHb8O5k=")</f>
        <v>#VALUE!</v>
      </c>
      <c r="EY57" t="e">
        <f>AND(Sheet1!L763,"AAAAAHb8O5o=")</f>
        <v>#VALUE!</v>
      </c>
      <c r="EZ57" t="e">
        <f>AND(Sheet1!M763,"AAAAAHb8O5s=")</f>
        <v>#VALUE!</v>
      </c>
      <c r="FA57" t="e">
        <f>AND(Sheet1!N763,"AAAAAHb8O5w=")</f>
        <v>#VALUE!</v>
      </c>
      <c r="FB57" t="e">
        <f>AND(Sheet1!#REF!,"AAAAAHb8O50=")</f>
        <v>#REF!</v>
      </c>
      <c r="FC57" t="e">
        <f>AND(Sheet1!#REF!,"AAAAAHb8O54=")</f>
        <v>#REF!</v>
      </c>
      <c r="FD57" t="e">
        <f>AND(Sheet1!#REF!,"AAAAAHb8O58=")</f>
        <v>#REF!</v>
      </c>
      <c r="FE57" t="e">
        <f>AND(Sheet1!#REF!,"AAAAAHb8O6A=")</f>
        <v>#REF!</v>
      </c>
      <c r="FF57">
        <f>IF(Sheet1!764:764,"AAAAAHb8O6E=",0)</f>
        <v>0</v>
      </c>
      <c r="FG57" t="e">
        <f>AND(Sheet1!A764,"AAAAAHb8O6I=")</f>
        <v>#VALUE!</v>
      </c>
      <c r="FH57" t="e">
        <f>AND(Sheet1!B764,"AAAAAHb8O6M=")</f>
        <v>#VALUE!</v>
      </c>
      <c r="FI57" t="e">
        <f>AND(Sheet1!C764,"AAAAAHb8O6Q=")</f>
        <v>#VALUE!</v>
      </c>
      <c r="FJ57" t="e">
        <f>AND(Sheet1!D764,"AAAAAHb8O6U=")</f>
        <v>#VALUE!</v>
      </c>
      <c r="FK57" t="e">
        <f>AND(Sheet1!E764,"AAAAAHb8O6Y=")</f>
        <v>#VALUE!</v>
      </c>
      <c r="FL57" t="e">
        <f>AND(Sheet1!F764,"AAAAAHb8O6c=")</f>
        <v>#VALUE!</v>
      </c>
      <c r="FM57" t="e">
        <f>AND(Sheet1!G764,"AAAAAHb8O6g=")</f>
        <v>#VALUE!</v>
      </c>
      <c r="FN57" t="e">
        <f>AND(Sheet1!H764,"AAAAAHb8O6k=")</f>
        <v>#VALUE!</v>
      </c>
      <c r="FO57" t="e">
        <f>AND(Sheet1!I764,"AAAAAHb8O6o=")</f>
        <v>#VALUE!</v>
      </c>
      <c r="FP57" t="e">
        <f>AND(Sheet1!J764,"AAAAAHb8O6s=")</f>
        <v>#VALUE!</v>
      </c>
      <c r="FQ57" t="e">
        <f>AND(Sheet1!K764,"AAAAAHb8O6w=")</f>
        <v>#VALUE!</v>
      </c>
      <c r="FR57" t="e">
        <f>AND(Sheet1!L764,"AAAAAHb8O60=")</f>
        <v>#VALUE!</v>
      </c>
      <c r="FS57" t="e">
        <f>AND(Sheet1!M764,"AAAAAHb8O64=")</f>
        <v>#VALUE!</v>
      </c>
      <c r="FT57" t="e">
        <f>AND(Sheet1!N764,"AAAAAHb8O68=")</f>
        <v>#VALUE!</v>
      </c>
      <c r="FU57" t="e">
        <f>AND(Sheet1!#REF!,"AAAAAHb8O7A=")</f>
        <v>#REF!</v>
      </c>
      <c r="FV57" t="e">
        <f>AND(Sheet1!#REF!,"AAAAAHb8O7E=")</f>
        <v>#REF!</v>
      </c>
      <c r="FW57" t="e">
        <f>AND(Sheet1!#REF!,"AAAAAHb8O7I=")</f>
        <v>#REF!</v>
      </c>
      <c r="FX57" t="e">
        <f>AND(Sheet1!#REF!,"AAAAAHb8O7M=")</f>
        <v>#REF!</v>
      </c>
      <c r="FY57">
        <f>IF(Sheet1!765:765,"AAAAAHb8O7Q=",0)</f>
        <v>0</v>
      </c>
      <c r="FZ57" t="e">
        <f>AND(Sheet1!A765,"AAAAAHb8O7U=")</f>
        <v>#VALUE!</v>
      </c>
      <c r="GA57" t="e">
        <f>AND(Sheet1!B765,"AAAAAHb8O7Y=")</f>
        <v>#VALUE!</v>
      </c>
      <c r="GB57" t="e">
        <f>AND(Sheet1!C765,"AAAAAHb8O7c=")</f>
        <v>#VALUE!</v>
      </c>
      <c r="GC57" t="e">
        <f>AND(Sheet1!D765,"AAAAAHb8O7g=")</f>
        <v>#VALUE!</v>
      </c>
      <c r="GD57" t="e">
        <f>AND(Sheet1!E765,"AAAAAHb8O7k=")</f>
        <v>#VALUE!</v>
      </c>
      <c r="GE57" t="e">
        <f>AND(Sheet1!F765,"AAAAAHb8O7o=")</f>
        <v>#VALUE!</v>
      </c>
      <c r="GF57" t="e">
        <f>AND(Sheet1!G765,"AAAAAHb8O7s=")</f>
        <v>#VALUE!</v>
      </c>
      <c r="GG57" t="e">
        <f>AND(Sheet1!H765,"AAAAAHb8O7w=")</f>
        <v>#VALUE!</v>
      </c>
      <c r="GH57" t="e">
        <f>AND(Sheet1!I765,"AAAAAHb8O70=")</f>
        <v>#VALUE!</v>
      </c>
      <c r="GI57" t="e">
        <f>AND(Sheet1!J765,"AAAAAHb8O74=")</f>
        <v>#VALUE!</v>
      </c>
      <c r="GJ57" t="e">
        <f>AND(Sheet1!K765,"AAAAAHb8O78=")</f>
        <v>#VALUE!</v>
      </c>
      <c r="GK57" t="e">
        <f>AND(Sheet1!L765,"AAAAAHb8O8A=")</f>
        <v>#VALUE!</v>
      </c>
      <c r="GL57" t="e">
        <f>AND(Sheet1!M765,"AAAAAHb8O8E=")</f>
        <v>#VALUE!</v>
      </c>
      <c r="GM57" t="e">
        <f>AND(Sheet1!N765,"AAAAAHb8O8I=")</f>
        <v>#VALUE!</v>
      </c>
      <c r="GN57" t="e">
        <f>AND(Sheet1!#REF!,"AAAAAHb8O8M=")</f>
        <v>#REF!</v>
      </c>
      <c r="GO57" t="e">
        <f>AND(Sheet1!#REF!,"AAAAAHb8O8Q=")</f>
        <v>#REF!</v>
      </c>
      <c r="GP57" t="e">
        <f>AND(Sheet1!#REF!,"AAAAAHb8O8U=")</f>
        <v>#REF!</v>
      </c>
      <c r="GQ57" t="e">
        <f>AND(Sheet1!#REF!,"AAAAAHb8O8Y=")</f>
        <v>#REF!</v>
      </c>
      <c r="GR57">
        <f>IF(Sheet1!766:766,"AAAAAHb8O8c=",0)</f>
        <v>0</v>
      </c>
      <c r="GS57" t="e">
        <f>AND(Sheet1!A766,"AAAAAHb8O8g=")</f>
        <v>#VALUE!</v>
      </c>
      <c r="GT57" t="e">
        <f>AND(Sheet1!B766,"AAAAAHb8O8k=")</f>
        <v>#VALUE!</v>
      </c>
      <c r="GU57" t="e">
        <f>AND(Sheet1!C766,"AAAAAHb8O8o=")</f>
        <v>#VALUE!</v>
      </c>
      <c r="GV57" t="e">
        <f>AND(Sheet1!D766,"AAAAAHb8O8s=")</f>
        <v>#VALUE!</v>
      </c>
      <c r="GW57" t="e">
        <f>AND(Sheet1!E766,"AAAAAHb8O8w=")</f>
        <v>#VALUE!</v>
      </c>
      <c r="GX57" t="e">
        <f>AND(Sheet1!F766,"AAAAAHb8O80=")</f>
        <v>#VALUE!</v>
      </c>
      <c r="GY57" t="e">
        <f>AND(Sheet1!G766,"AAAAAHb8O84=")</f>
        <v>#VALUE!</v>
      </c>
      <c r="GZ57" t="e">
        <f>AND(Sheet1!H766,"AAAAAHb8O88=")</f>
        <v>#VALUE!</v>
      </c>
      <c r="HA57" t="e">
        <f>AND(Sheet1!I766,"AAAAAHb8O9A=")</f>
        <v>#VALUE!</v>
      </c>
      <c r="HB57" t="e">
        <f>AND(Sheet1!J766,"AAAAAHb8O9E=")</f>
        <v>#VALUE!</v>
      </c>
      <c r="HC57" t="e">
        <f>AND(Sheet1!K766,"AAAAAHb8O9I=")</f>
        <v>#VALUE!</v>
      </c>
      <c r="HD57" t="e">
        <f>AND(Sheet1!L766,"AAAAAHb8O9M=")</f>
        <v>#VALUE!</v>
      </c>
      <c r="HE57" t="e">
        <f>AND(Sheet1!M766,"AAAAAHb8O9Q=")</f>
        <v>#VALUE!</v>
      </c>
      <c r="HF57" t="e">
        <f>AND(Sheet1!N766,"AAAAAHb8O9U=")</f>
        <v>#VALUE!</v>
      </c>
      <c r="HG57" t="e">
        <f>AND(Sheet1!#REF!,"AAAAAHb8O9Y=")</f>
        <v>#REF!</v>
      </c>
      <c r="HH57" t="e">
        <f>AND(Sheet1!#REF!,"AAAAAHb8O9c=")</f>
        <v>#REF!</v>
      </c>
      <c r="HI57" t="e">
        <f>AND(Sheet1!#REF!,"AAAAAHb8O9g=")</f>
        <v>#REF!</v>
      </c>
      <c r="HJ57" t="e">
        <f>AND(Sheet1!#REF!,"AAAAAHb8O9k=")</f>
        <v>#REF!</v>
      </c>
      <c r="HK57">
        <f>IF(Sheet1!767:767,"AAAAAHb8O9o=",0)</f>
        <v>0</v>
      </c>
      <c r="HL57" t="e">
        <f>AND(Sheet1!A767,"AAAAAHb8O9s=")</f>
        <v>#VALUE!</v>
      </c>
      <c r="HM57" t="e">
        <f>AND(Sheet1!B767,"AAAAAHb8O9w=")</f>
        <v>#VALUE!</v>
      </c>
      <c r="HN57" t="e">
        <f>AND(Sheet1!C767,"AAAAAHb8O90=")</f>
        <v>#VALUE!</v>
      </c>
      <c r="HO57" t="e">
        <f>AND(Sheet1!D767,"AAAAAHb8O94=")</f>
        <v>#VALUE!</v>
      </c>
      <c r="HP57" t="e">
        <f>AND(Sheet1!E767,"AAAAAHb8O98=")</f>
        <v>#VALUE!</v>
      </c>
      <c r="HQ57" t="e">
        <f>AND(Sheet1!F767,"AAAAAHb8O+A=")</f>
        <v>#VALUE!</v>
      </c>
      <c r="HR57" t="e">
        <f>AND(Sheet1!G767,"AAAAAHb8O+E=")</f>
        <v>#VALUE!</v>
      </c>
      <c r="HS57" t="e">
        <f>AND(Sheet1!H767,"AAAAAHb8O+I=")</f>
        <v>#VALUE!</v>
      </c>
      <c r="HT57" t="e">
        <f>AND(Sheet1!I767,"AAAAAHb8O+M=")</f>
        <v>#VALUE!</v>
      </c>
      <c r="HU57" t="e">
        <f>AND(Sheet1!J767,"AAAAAHb8O+Q=")</f>
        <v>#VALUE!</v>
      </c>
      <c r="HV57" t="e">
        <f>AND(Sheet1!K767,"AAAAAHb8O+U=")</f>
        <v>#VALUE!</v>
      </c>
      <c r="HW57" t="e">
        <f>AND(Sheet1!L767,"AAAAAHb8O+Y=")</f>
        <v>#VALUE!</v>
      </c>
      <c r="HX57" t="e">
        <f>AND(Sheet1!M767,"AAAAAHb8O+c=")</f>
        <v>#VALUE!</v>
      </c>
      <c r="HY57" t="e">
        <f>AND(Sheet1!N767,"AAAAAHb8O+g=")</f>
        <v>#VALUE!</v>
      </c>
      <c r="HZ57" t="e">
        <f>AND(Sheet1!#REF!,"AAAAAHb8O+k=")</f>
        <v>#REF!</v>
      </c>
      <c r="IA57" t="e">
        <f>AND(Sheet1!#REF!,"AAAAAHb8O+o=")</f>
        <v>#REF!</v>
      </c>
      <c r="IB57" t="e">
        <f>AND(Sheet1!#REF!,"AAAAAHb8O+s=")</f>
        <v>#REF!</v>
      </c>
      <c r="IC57" t="e">
        <f>AND(Sheet1!#REF!,"AAAAAHb8O+w=")</f>
        <v>#REF!</v>
      </c>
      <c r="ID57">
        <f>IF(Sheet1!768:768,"AAAAAHb8O+0=",0)</f>
        <v>0</v>
      </c>
      <c r="IE57" t="e">
        <f>AND(Sheet1!A768,"AAAAAHb8O+4=")</f>
        <v>#VALUE!</v>
      </c>
      <c r="IF57" t="e">
        <f>AND(Sheet1!B768,"AAAAAHb8O+8=")</f>
        <v>#VALUE!</v>
      </c>
      <c r="IG57" t="e">
        <f>AND(Sheet1!C768,"AAAAAHb8O/A=")</f>
        <v>#VALUE!</v>
      </c>
      <c r="IH57" t="e">
        <f>AND(Sheet1!D768,"AAAAAHb8O/E=")</f>
        <v>#VALUE!</v>
      </c>
      <c r="II57" t="e">
        <f>AND(Sheet1!E768,"AAAAAHb8O/I=")</f>
        <v>#VALUE!</v>
      </c>
      <c r="IJ57" t="e">
        <f>AND(Sheet1!F768,"AAAAAHb8O/M=")</f>
        <v>#VALUE!</v>
      </c>
      <c r="IK57" t="e">
        <f>AND(Sheet1!G768,"AAAAAHb8O/Q=")</f>
        <v>#VALUE!</v>
      </c>
      <c r="IL57" t="e">
        <f>AND(Sheet1!H768,"AAAAAHb8O/U=")</f>
        <v>#VALUE!</v>
      </c>
      <c r="IM57" t="e">
        <f>AND(Sheet1!I768,"AAAAAHb8O/Y=")</f>
        <v>#VALUE!</v>
      </c>
      <c r="IN57" t="e">
        <f>AND(Sheet1!J768,"AAAAAHb8O/c=")</f>
        <v>#VALUE!</v>
      </c>
      <c r="IO57" t="e">
        <f>AND(Sheet1!K768,"AAAAAHb8O/g=")</f>
        <v>#VALUE!</v>
      </c>
      <c r="IP57" t="e">
        <f>AND(Sheet1!L768,"AAAAAHb8O/k=")</f>
        <v>#VALUE!</v>
      </c>
      <c r="IQ57" t="e">
        <f>AND(Sheet1!M768,"AAAAAHb8O/o=")</f>
        <v>#VALUE!</v>
      </c>
      <c r="IR57" t="e">
        <f>AND(Sheet1!N768,"AAAAAHb8O/s=")</f>
        <v>#VALUE!</v>
      </c>
      <c r="IS57" t="e">
        <f>AND(Sheet1!#REF!,"AAAAAHb8O/w=")</f>
        <v>#REF!</v>
      </c>
      <c r="IT57" t="e">
        <f>AND(Sheet1!#REF!,"AAAAAHb8O/0=")</f>
        <v>#REF!</v>
      </c>
      <c r="IU57" t="e">
        <f>AND(Sheet1!#REF!,"AAAAAHb8O/4=")</f>
        <v>#REF!</v>
      </c>
      <c r="IV57" t="e">
        <f>AND(Sheet1!#REF!,"AAAAAHb8O/8=")</f>
        <v>#REF!</v>
      </c>
    </row>
    <row r="58" spans="1:256" x14ac:dyDescent="0.2">
      <c r="A58" t="e">
        <f>IF(Sheet1!769:769,"AAAAAGnuewA=",0)</f>
        <v>#VALUE!</v>
      </c>
      <c r="B58" t="e">
        <f>AND(Sheet1!A769,"AAAAAGnuewE=")</f>
        <v>#VALUE!</v>
      </c>
      <c r="C58" t="e">
        <f>AND(Sheet1!B769,"AAAAAGnuewI=")</f>
        <v>#VALUE!</v>
      </c>
      <c r="D58" t="e">
        <f>AND(Sheet1!C769,"AAAAAGnuewM=")</f>
        <v>#VALUE!</v>
      </c>
      <c r="E58" t="e">
        <f>AND(Sheet1!D769,"AAAAAGnuewQ=")</f>
        <v>#VALUE!</v>
      </c>
      <c r="F58" t="e">
        <f>AND(Sheet1!E769,"AAAAAGnuewU=")</f>
        <v>#VALUE!</v>
      </c>
      <c r="G58" t="e">
        <f>AND(Sheet1!F769,"AAAAAGnuewY=")</f>
        <v>#VALUE!</v>
      </c>
      <c r="H58" t="e">
        <f>AND(Sheet1!G769,"AAAAAGnuewc=")</f>
        <v>#VALUE!</v>
      </c>
      <c r="I58" t="e">
        <f>AND(Sheet1!H769,"AAAAAGnuewg=")</f>
        <v>#VALUE!</v>
      </c>
      <c r="J58" t="e">
        <f>AND(Sheet1!I769,"AAAAAGnuewk=")</f>
        <v>#VALUE!</v>
      </c>
      <c r="K58" t="e">
        <f>AND(Sheet1!J769,"AAAAAGnuewo=")</f>
        <v>#VALUE!</v>
      </c>
      <c r="L58" t="e">
        <f>AND(Sheet1!K769,"AAAAAGnuews=")</f>
        <v>#VALUE!</v>
      </c>
      <c r="M58" t="e">
        <f>AND(Sheet1!L769,"AAAAAGnueww=")</f>
        <v>#VALUE!</v>
      </c>
      <c r="N58" t="e">
        <f>AND(Sheet1!M769,"AAAAAGnuew0=")</f>
        <v>#VALUE!</v>
      </c>
      <c r="O58" t="e">
        <f>AND(Sheet1!N769,"AAAAAGnuew4=")</f>
        <v>#VALUE!</v>
      </c>
      <c r="P58" t="e">
        <f>AND(Sheet1!#REF!,"AAAAAGnuew8=")</f>
        <v>#REF!</v>
      </c>
      <c r="Q58" t="e">
        <f>AND(Sheet1!#REF!,"AAAAAGnuexA=")</f>
        <v>#REF!</v>
      </c>
      <c r="R58" t="e">
        <f>AND(Sheet1!#REF!,"AAAAAGnuexE=")</f>
        <v>#REF!</v>
      </c>
      <c r="S58" t="e">
        <f>AND(Sheet1!#REF!,"AAAAAGnuexI=")</f>
        <v>#REF!</v>
      </c>
      <c r="T58">
        <f>IF(Sheet1!770:770,"AAAAAGnuexM=",0)</f>
        <v>0</v>
      </c>
      <c r="U58" t="e">
        <f>AND(Sheet1!A770,"AAAAAGnuexQ=")</f>
        <v>#VALUE!</v>
      </c>
      <c r="V58" t="e">
        <f>AND(Sheet1!B770,"AAAAAGnuexU=")</f>
        <v>#VALUE!</v>
      </c>
      <c r="W58" t="e">
        <f>AND(Sheet1!C770,"AAAAAGnuexY=")</f>
        <v>#VALUE!</v>
      </c>
      <c r="X58" t="e">
        <f>AND(Sheet1!D770,"AAAAAGnuexc=")</f>
        <v>#VALUE!</v>
      </c>
      <c r="Y58" t="e">
        <f>AND(Sheet1!E770,"AAAAAGnuexg=")</f>
        <v>#VALUE!</v>
      </c>
      <c r="Z58" t="e">
        <f>AND(Sheet1!F770,"AAAAAGnuexk=")</f>
        <v>#VALUE!</v>
      </c>
      <c r="AA58" t="e">
        <f>AND(Sheet1!G770,"AAAAAGnuexo=")</f>
        <v>#VALUE!</v>
      </c>
      <c r="AB58" t="e">
        <f>AND(Sheet1!H770,"AAAAAGnuexs=")</f>
        <v>#VALUE!</v>
      </c>
      <c r="AC58" t="e">
        <f>AND(Sheet1!I770,"AAAAAGnuexw=")</f>
        <v>#VALUE!</v>
      </c>
      <c r="AD58" t="e">
        <f>AND(Sheet1!J770,"AAAAAGnuex0=")</f>
        <v>#VALUE!</v>
      </c>
      <c r="AE58" t="e">
        <f>AND(Sheet1!K770,"AAAAAGnuex4=")</f>
        <v>#VALUE!</v>
      </c>
      <c r="AF58" t="e">
        <f>AND(Sheet1!L770,"AAAAAGnuex8=")</f>
        <v>#VALUE!</v>
      </c>
      <c r="AG58" t="e">
        <f>AND(Sheet1!M770,"AAAAAGnueyA=")</f>
        <v>#VALUE!</v>
      </c>
      <c r="AH58" t="e">
        <f>AND(Sheet1!N770,"AAAAAGnueyE=")</f>
        <v>#VALUE!</v>
      </c>
      <c r="AI58" t="e">
        <f>AND(Sheet1!#REF!,"AAAAAGnueyI=")</f>
        <v>#REF!</v>
      </c>
      <c r="AJ58" t="e">
        <f>AND(Sheet1!#REF!,"AAAAAGnueyM=")</f>
        <v>#REF!</v>
      </c>
      <c r="AK58" t="e">
        <f>AND(Sheet1!#REF!,"AAAAAGnueyQ=")</f>
        <v>#REF!</v>
      </c>
      <c r="AL58" t="e">
        <f>AND(Sheet1!#REF!,"AAAAAGnueyU=")</f>
        <v>#REF!</v>
      </c>
      <c r="AM58">
        <f>IF(Sheet1!771:771,"AAAAAGnueyY=",0)</f>
        <v>0</v>
      </c>
      <c r="AN58" t="e">
        <f>AND(Sheet1!A771,"AAAAAGnueyc=")</f>
        <v>#VALUE!</v>
      </c>
      <c r="AO58" t="e">
        <f>AND(Sheet1!B771,"AAAAAGnueyg=")</f>
        <v>#VALUE!</v>
      </c>
      <c r="AP58" t="e">
        <f>AND(Sheet1!C771,"AAAAAGnueyk=")</f>
        <v>#VALUE!</v>
      </c>
      <c r="AQ58" t="e">
        <f>AND(Sheet1!D771,"AAAAAGnueyo=")</f>
        <v>#VALUE!</v>
      </c>
      <c r="AR58" t="e">
        <f>AND(Sheet1!E771,"AAAAAGnueys=")</f>
        <v>#VALUE!</v>
      </c>
      <c r="AS58" t="e">
        <f>AND(Sheet1!F771,"AAAAAGnueyw=")</f>
        <v>#VALUE!</v>
      </c>
      <c r="AT58" t="e">
        <f>AND(Sheet1!G771,"AAAAAGnuey0=")</f>
        <v>#VALUE!</v>
      </c>
      <c r="AU58" t="e">
        <f>AND(Sheet1!H771,"AAAAAGnuey4=")</f>
        <v>#VALUE!</v>
      </c>
      <c r="AV58" t="e">
        <f>AND(Sheet1!I771,"AAAAAGnuey8=")</f>
        <v>#VALUE!</v>
      </c>
      <c r="AW58" t="e">
        <f>AND(Sheet1!J771,"AAAAAGnuezA=")</f>
        <v>#VALUE!</v>
      </c>
      <c r="AX58" t="e">
        <f>AND(Sheet1!K771,"AAAAAGnuezE=")</f>
        <v>#VALUE!</v>
      </c>
      <c r="AY58" t="e">
        <f>AND(Sheet1!L771,"AAAAAGnuezI=")</f>
        <v>#VALUE!</v>
      </c>
      <c r="AZ58" t="e">
        <f>AND(Sheet1!M771,"AAAAAGnuezM=")</f>
        <v>#VALUE!</v>
      </c>
      <c r="BA58" t="e">
        <f>AND(Sheet1!N771,"AAAAAGnuezQ=")</f>
        <v>#VALUE!</v>
      </c>
      <c r="BB58" t="e">
        <f>AND(Sheet1!#REF!,"AAAAAGnuezU=")</f>
        <v>#REF!</v>
      </c>
      <c r="BC58" t="e">
        <f>AND(Sheet1!#REF!,"AAAAAGnuezY=")</f>
        <v>#REF!</v>
      </c>
      <c r="BD58" t="e">
        <f>AND(Sheet1!#REF!,"AAAAAGnuezc=")</f>
        <v>#REF!</v>
      </c>
      <c r="BE58" t="e">
        <f>AND(Sheet1!#REF!,"AAAAAGnuezg=")</f>
        <v>#REF!</v>
      </c>
      <c r="BF58">
        <f>IF(Sheet1!772:772,"AAAAAGnuezk=",0)</f>
        <v>0</v>
      </c>
      <c r="BG58" t="e">
        <f>AND(Sheet1!A772,"AAAAAGnuezo=")</f>
        <v>#VALUE!</v>
      </c>
      <c r="BH58" t="e">
        <f>AND(Sheet1!B772,"AAAAAGnuezs=")</f>
        <v>#VALUE!</v>
      </c>
      <c r="BI58" t="e">
        <f>AND(Sheet1!C772,"AAAAAGnuezw=")</f>
        <v>#VALUE!</v>
      </c>
      <c r="BJ58" t="e">
        <f>AND(Sheet1!D772,"AAAAAGnuez0=")</f>
        <v>#VALUE!</v>
      </c>
      <c r="BK58" t="e">
        <f>AND(Sheet1!E772,"AAAAAGnuez4=")</f>
        <v>#VALUE!</v>
      </c>
      <c r="BL58" t="e">
        <f>AND(Sheet1!F772,"AAAAAGnuez8=")</f>
        <v>#VALUE!</v>
      </c>
      <c r="BM58" t="e">
        <f>AND(Sheet1!G772,"AAAAAGnue0A=")</f>
        <v>#VALUE!</v>
      </c>
      <c r="BN58" t="e">
        <f>AND(Sheet1!H772,"AAAAAGnue0E=")</f>
        <v>#VALUE!</v>
      </c>
      <c r="BO58" t="e">
        <f>AND(Sheet1!I772,"AAAAAGnue0I=")</f>
        <v>#VALUE!</v>
      </c>
      <c r="BP58" t="e">
        <f>AND(Sheet1!J772,"AAAAAGnue0M=")</f>
        <v>#VALUE!</v>
      </c>
      <c r="BQ58" t="e">
        <f>AND(Sheet1!K772,"AAAAAGnue0Q=")</f>
        <v>#VALUE!</v>
      </c>
      <c r="BR58" t="e">
        <f>AND(Sheet1!L772,"AAAAAGnue0U=")</f>
        <v>#VALUE!</v>
      </c>
      <c r="BS58" t="e">
        <f>AND(Sheet1!M772,"AAAAAGnue0Y=")</f>
        <v>#VALUE!</v>
      </c>
      <c r="BT58" t="e">
        <f>AND(Sheet1!N772,"AAAAAGnue0c=")</f>
        <v>#VALUE!</v>
      </c>
      <c r="BU58" t="e">
        <f>AND(Sheet1!#REF!,"AAAAAGnue0g=")</f>
        <v>#REF!</v>
      </c>
      <c r="BV58" t="e">
        <f>AND(Sheet1!#REF!,"AAAAAGnue0k=")</f>
        <v>#REF!</v>
      </c>
      <c r="BW58" t="e">
        <f>AND(Sheet1!#REF!,"AAAAAGnue0o=")</f>
        <v>#REF!</v>
      </c>
      <c r="BX58" t="e">
        <f>AND(Sheet1!#REF!,"AAAAAGnue0s=")</f>
        <v>#REF!</v>
      </c>
      <c r="BY58">
        <f>IF(Sheet1!773:773,"AAAAAGnue0w=",0)</f>
        <v>0</v>
      </c>
      <c r="BZ58" t="e">
        <f>AND(Sheet1!A773,"AAAAAGnue00=")</f>
        <v>#VALUE!</v>
      </c>
      <c r="CA58" t="e">
        <f>AND(Sheet1!B773,"AAAAAGnue04=")</f>
        <v>#VALUE!</v>
      </c>
      <c r="CB58" t="e">
        <f>AND(Sheet1!C773,"AAAAAGnue08=")</f>
        <v>#VALUE!</v>
      </c>
      <c r="CC58" t="e">
        <f>AND(Sheet1!D773,"AAAAAGnue1A=")</f>
        <v>#VALUE!</v>
      </c>
      <c r="CD58" t="e">
        <f>AND(Sheet1!E773,"AAAAAGnue1E=")</f>
        <v>#VALUE!</v>
      </c>
      <c r="CE58" t="e">
        <f>AND(Sheet1!F773,"AAAAAGnue1I=")</f>
        <v>#VALUE!</v>
      </c>
      <c r="CF58" t="e">
        <f>AND(Sheet1!G773,"AAAAAGnue1M=")</f>
        <v>#VALUE!</v>
      </c>
      <c r="CG58" t="e">
        <f>AND(Sheet1!H773,"AAAAAGnue1Q=")</f>
        <v>#VALUE!</v>
      </c>
      <c r="CH58" t="e">
        <f>AND(Sheet1!I773,"AAAAAGnue1U=")</f>
        <v>#VALUE!</v>
      </c>
      <c r="CI58" t="e">
        <f>AND(Sheet1!J773,"AAAAAGnue1Y=")</f>
        <v>#VALUE!</v>
      </c>
      <c r="CJ58" t="e">
        <f>AND(Sheet1!K773,"AAAAAGnue1c=")</f>
        <v>#VALUE!</v>
      </c>
      <c r="CK58" t="e">
        <f>AND(Sheet1!L773,"AAAAAGnue1g=")</f>
        <v>#VALUE!</v>
      </c>
      <c r="CL58" t="e">
        <f>AND(Sheet1!M773,"AAAAAGnue1k=")</f>
        <v>#VALUE!</v>
      </c>
      <c r="CM58" t="e">
        <f>AND(Sheet1!N773,"AAAAAGnue1o=")</f>
        <v>#VALUE!</v>
      </c>
      <c r="CN58" t="e">
        <f>AND(Sheet1!#REF!,"AAAAAGnue1s=")</f>
        <v>#REF!</v>
      </c>
      <c r="CO58" t="e">
        <f>AND(Sheet1!#REF!,"AAAAAGnue1w=")</f>
        <v>#REF!</v>
      </c>
      <c r="CP58" t="e">
        <f>AND(Sheet1!#REF!,"AAAAAGnue10=")</f>
        <v>#REF!</v>
      </c>
      <c r="CQ58" t="e">
        <f>AND(Sheet1!#REF!,"AAAAAGnue14=")</f>
        <v>#REF!</v>
      </c>
      <c r="CR58">
        <f>IF(Sheet1!774:774,"AAAAAGnue18=",0)</f>
        <v>0</v>
      </c>
      <c r="CS58" t="e">
        <f>AND(Sheet1!A774,"AAAAAGnue2A=")</f>
        <v>#VALUE!</v>
      </c>
      <c r="CT58" t="e">
        <f>AND(Sheet1!B774,"AAAAAGnue2E=")</f>
        <v>#VALUE!</v>
      </c>
      <c r="CU58" t="e">
        <f>AND(Sheet1!C774,"AAAAAGnue2I=")</f>
        <v>#VALUE!</v>
      </c>
      <c r="CV58" t="e">
        <f>AND(Sheet1!D774,"AAAAAGnue2M=")</f>
        <v>#VALUE!</v>
      </c>
      <c r="CW58" t="e">
        <f>AND(Sheet1!E774,"AAAAAGnue2Q=")</f>
        <v>#VALUE!</v>
      </c>
      <c r="CX58" t="e">
        <f>AND(Sheet1!F774,"AAAAAGnue2U=")</f>
        <v>#VALUE!</v>
      </c>
      <c r="CY58" t="e">
        <f>AND(Sheet1!G774,"AAAAAGnue2Y=")</f>
        <v>#VALUE!</v>
      </c>
      <c r="CZ58" t="e">
        <f>AND(Sheet1!H774,"AAAAAGnue2c=")</f>
        <v>#VALUE!</v>
      </c>
      <c r="DA58" t="e">
        <f>AND(Sheet1!I774,"AAAAAGnue2g=")</f>
        <v>#VALUE!</v>
      </c>
      <c r="DB58" t="e">
        <f>AND(Sheet1!J774,"AAAAAGnue2k=")</f>
        <v>#VALUE!</v>
      </c>
      <c r="DC58" t="e">
        <f>AND(Sheet1!K774,"AAAAAGnue2o=")</f>
        <v>#VALUE!</v>
      </c>
      <c r="DD58" t="e">
        <f>AND(Sheet1!L774,"AAAAAGnue2s=")</f>
        <v>#VALUE!</v>
      </c>
      <c r="DE58" t="e">
        <f>AND(Sheet1!M774,"AAAAAGnue2w=")</f>
        <v>#VALUE!</v>
      </c>
      <c r="DF58" t="e">
        <f>AND(Sheet1!N774,"AAAAAGnue20=")</f>
        <v>#VALUE!</v>
      </c>
      <c r="DG58" t="e">
        <f>AND(Sheet1!#REF!,"AAAAAGnue24=")</f>
        <v>#REF!</v>
      </c>
      <c r="DH58" t="e">
        <f>AND(Sheet1!#REF!,"AAAAAGnue28=")</f>
        <v>#REF!</v>
      </c>
      <c r="DI58" t="e">
        <f>AND(Sheet1!#REF!,"AAAAAGnue3A=")</f>
        <v>#REF!</v>
      </c>
      <c r="DJ58" t="e">
        <f>AND(Sheet1!#REF!,"AAAAAGnue3E=")</f>
        <v>#REF!</v>
      </c>
      <c r="DK58">
        <f>IF(Sheet1!775:775,"AAAAAGnue3I=",0)</f>
        <v>0</v>
      </c>
      <c r="DL58" t="e">
        <f>AND(Sheet1!A775,"AAAAAGnue3M=")</f>
        <v>#VALUE!</v>
      </c>
      <c r="DM58" t="e">
        <f>AND(Sheet1!B775,"AAAAAGnue3Q=")</f>
        <v>#VALUE!</v>
      </c>
      <c r="DN58" t="e">
        <f>AND(Sheet1!C775,"AAAAAGnue3U=")</f>
        <v>#VALUE!</v>
      </c>
      <c r="DO58" t="e">
        <f>AND(Sheet1!D775,"AAAAAGnue3Y=")</f>
        <v>#VALUE!</v>
      </c>
      <c r="DP58" t="e">
        <f>AND(Sheet1!E775,"AAAAAGnue3c=")</f>
        <v>#VALUE!</v>
      </c>
      <c r="DQ58" t="e">
        <f>AND(Sheet1!F775,"AAAAAGnue3g=")</f>
        <v>#VALUE!</v>
      </c>
      <c r="DR58" t="e">
        <f>AND(Sheet1!G775,"AAAAAGnue3k=")</f>
        <v>#VALUE!</v>
      </c>
      <c r="DS58" t="e">
        <f>AND(Sheet1!H775,"AAAAAGnue3o=")</f>
        <v>#VALUE!</v>
      </c>
      <c r="DT58" t="e">
        <f>AND(Sheet1!I775,"AAAAAGnue3s=")</f>
        <v>#VALUE!</v>
      </c>
      <c r="DU58" t="e">
        <f>AND(Sheet1!J775,"AAAAAGnue3w=")</f>
        <v>#VALUE!</v>
      </c>
      <c r="DV58" t="e">
        <f>AND(Sheet1!K775,"AAAAAGnue30=")</f>
        <v>#VALUE!</v>
      </c>
      <c r="DW58" t="e">
        <f>AND(Sheet1!L775,"AAAAAGnue34=")</f>
        <v>#VALUE!</v>
      </c>
      <c r="DX58" t="e">
        <f>AND(Sheet1!M775,"AAAAAGnue38=")</f>
        <v>#VALUE!</v>
      </c>
      <c r="DY58" t="e">
        <f>AND(Sheet1!N775,"AAAAAGnue4A=")</f>
        <v>#VALUE!</v>
      </c>
      <c r="DZ58" t="e">
        <f>AND(Sheet1!#REF!,"AAAAAGnue4E=")</f>
        <v>#REF!</v>
      </c>
      <c r="EA58" t="e">
        <f>AND(Sheet1!#REF!,"AAAAAGnue4I=")</f>
        <v>#REF!</v>
      </c>
      <c r="EB58" t="e">
        <f>AND(Sheet1!#REF!,"AAAAAGnue4M=")</f>
        <v>#REF!</v>
      </c>
      <c r="EC58" t="e">
        <f>AND(Sheet1!#REF!,"AAAAAGnue4Q=")</f>
        <v>#REF!</v>
      </c>
      <c r="ED58">
        <f>IF(Sheet1!776:776,"AAAAAGnue4U=",0)</f>
        <v>0</v>
      </c>
      <c r="EE58" t="e">
        <f>AND(Sheet1!A776,"AAAAAGnue4Y=")</f>
        <v>#VALUE!</v>
      </c>
      <c r="EF58" t="e">
        <f>AND(Sheet1!B776,"AAAAAGnue4c=")</f>
        <v>#VALUE!</v>
      </c>
      <c r="EG58" t="e">
        <f>AND(Sheet1!C776,"AAAAAGnue4g=")</f>
        <v>#VALUE!</v>
      </c>
      <c r="EH58" t="e">
        <f>AND(Sheet1!D776,"AAAAAGnue4k=")</f>
        <v>#VALUE!</v>
      </c>
      <c r="EI58" t="e">
        <f>AND(Sheet1!E776,"AAAAAGnue4o=")</f>
        <v>#VALUE!</v>
      </c>
      <c r="EJ58" t="e">
        <f>AND(Sheet1!F776,"AAAAAGnue4s=")</f>
        <v>#VALUE!</v>
      </c>
      <c r="EK58" t="e">
        <f>AND(Sheet1!G776,"AAAAAGnue4w=")</f>
        <v>#VALUE!</v>
      </c>
      <c r="EL58" t="e">
        <f>AND(Sheet1!H776,"AAAAAGnue40=")</f>
        <v>#VALUE!</v>
      </c>
      <c r="EM58" t="e">
        <f>AND(Sheet1!I776,"AAAAAGnue44=")</f>
        <v>#VALUE!</v>
      </c>
      <c r="EN58" t="e">
        <f>AND(Sheet1!J776,"AAAAAGnue48=")</f>
        <v>#VALUE!</v>
      </c>
      <c r="EO58" t="e">
        <f>AND(Sheet1!K776,"AAAAAGnue5A=")</f>
        <v>#VALUE!</v>
      </c>
      <c r="EP58" t="e">
        <f>AND(Sheet1!L776,"AAAAAGnue5E=")</f>
        <v>#VALUE!</v>
      </c>
      <c r="EQ58" t="e">
        <f>AND(Sheet1!M776,"AAAAAGnue5I=")</f>
        <v>#VALUE!</v>
      </c>
      <c r="ER58" t="e">
        <f>AND(Sheet1!N776,"AAAAAGnue5M=")</f>
        <v>#VALUE!</v>
      </c>
      <c r="ES58" t="e">
        <f>AND(Sheet1!#REF!,"AAAAAGnue5Q=")</f>
        <v>#REF!</v>
      </c>
      <c r="ET58" t="e">
        <f>AND(Sheet1!#REF!,"AAAAAGnue5U=")</f>
        <v>#REF!</v>
      </c>
      <c r="EU58" t="e">
        <f>AND(Sheet1!#REF!,"AAAAAGnue5Y=")</f>
        <v>#REF!</v>
      </c>
      <c r="EV58" t="e">
        <f>AND(Sheet1!#REF!,"AAAAAGnue5c=")</f>
        <v>#REF!</v>
      </c>
      <c r="EW58">
        <f>IF(Sheet1!777:777,"AAAAAGnue5g=",0)</f>
        <v>0</v>
      </c>
      <c r="EX58" t="e">
        <f>AND(Sheet1!A777,"AAAAAGnue5k=")</f>
        <v>#VALUE!</v>
      </c>
      <c r="EY58" t="e">
        <f>AND(Sheet1!B777,"AAAAAGnue5o=")</f>
        <v>#VALUE!</v>
      </c>
      <c r="EZ58" t="e">
        <f>AND(Sheet1!C777,"AAAAAGnue5s=")</f>
        <v>#VALUE!</v>
      </c>
      <c r="FA58" t="e">
        <f>AND(Sheet1!D777,"AAAAAGnue5w=")</f>
        <v>#VALUE!</v>
      </c>
      <c r="FB58" t="e">
        <f>AND(Sheet1!E777,"AAAAAGnue50=")</f>
        <v>#VALUE!</v>
      </c>
      <c r="FC58" t="e">
        <f>AND(Sheet1!F777,"AAAAAGnue54=")</f>
        <v>#VALUE!</v>
      </c>
      <c r="FD58" t="e">
        <f>AND(Sheet1!G777,"AAAAAGnue58=")</f>
        <v>#VALUE!</v>
      </c>
      <c r="FE58" t="e">
        <f>AND(Sheet1!H777,"AAAAAGnue6A=")</f>
        <v>#VALUE!</v>
      </c>
      <c r="FF58" t="e">
        <f>AND(Sheet1!I777,"AAAAAGnue6E=")</f>
        <v>#VALUE!</v>
      </c>
      <c r="FG58" t="e">
        <f>AND(Sheet1!J777,"AAAAAGnue6I=")</f>
        <v>#VALUE!</v>
      </c>
      <c r="FH58" t="e">
        <f>AND(Sheet1!K777,"AAAAAGnue6M=")</f>
        <v>#VALUE!</v>
      </c>
      <c r="FI58" t="e">
        <f>AND(Sheet1!L777,"AAAAAGnue6Q=")</f>
        <v>#VALUE!</v>
      </c>
      <c r="FJ58" t="e">
        <f>AND(Sheet1!M777,"AAAAAGnue6U=")</f>
        <v>#VALUE!</v>
      </c>
      <c r="FK58" t="e">
        <f>AND(Sheet1!N777,"AAAAAGnue6Y=")</f>
        <v>#VALUE!</v>
      </c>
      <c r="FL58" t="e">
        <f>AND(Sheet1!#REF!,"AAAAAGnue6c=")</f>
        <v>#REF!</v>
      </c>
      <c r="FM58" t="e">
        <f>AND(Sheet1!#REF!,"AAAAAGnue6g=")</f>
        <v>#REF!</v>
      </c>
      <c r="FN58" t="e">
        <f>AND(Sheet1!#REF!,"AAAAAGnue6k=")</f>
        <v>#REF!</v>
      </c>
      <c r="FO58" t="e">
        <f>AND(Sheet1!#REF!,"AAAAAGnue6o=")</f>
        <v>#REF!</v>
      </c>
      <c r="FP58">
        <f>IF(Sheet1!778:778,"AAAAAGnue6s=",0)</f>
        <v>0</v>
      </c>
      <c r="FQ58" t="e">
        <f>AND(Sheet1!A778,"AAAAAGnue6w=")</f>
        <v>#VALUE!</v>
      </c>
      <c r="FR58" t="e">
        <f>AND(Sheet1!B778,"AAAAAGnue60=")</f>
        <v>#VALUE!</v>
      </c>
      <c r="FS58" t="e">
        <f>AND(Sheet1!C778,"AAAAAGnue64=")</f>
        <v>#VALUE!</v>
      </c>
      <c r="FT58" t="e">
        <f>AND(Sheet1!D778,"AAAAAGnue68=")</f>
        <v>#VALUE!</v>
      </c>
      <c r="FU58" t="e">
        <f>AND(Sheet1!E778,"AAAAAGnue7A=")</f>
        <v>#VALUE!</v>
      </c>
      <c r="FV58" t="e">
        <f>AND(Sheet1!F778,"AAAAAGnue7E=")</f>
        <v>#VALUE!</v>
      </c>
      <c r="FW58" t="e">
        <f>AND(Sheet1!G778,"AAAAAGnue7I=")</f>
        <v>#VALUE!</v>
      </c>
      <c r="FX58" t="e">
        <f>AND(Sheet1!H778,"AAAAAGnue7M=")</f>
        <v>#VALUE!</v>
      </c>
      <c r="FY58" t="e">
        <f>AND(Sheet1!I778,"AAAAAGnue7Q=")</f>
        <v>#VALUE!</v>
      </c>
      <c r="FZ58" t="e">
        <f>AND(Sheet1!J778,"AAAAAGnue7U=")</f>
        <v>#VALUE!</v>
      </c>
      <c r="GA58" t="e">
        <f>AND(Sheet1!K778,"AAAAAGnue7Y=")</f>
        <v>#VALUE!</v>
      </c>
      <c r="GB58" t="e">
        <f>AND(Sheet1!L778,"AAAAAGnue7c=")</f>
        <v>#VALUE!</v>
      </c>
      <c r="GC58" t="e">
        <f>AND(Sheet1!M778,"AAAAAGnue7g=")</f>
        <v>#VALUE!</v>
      </c>
      <c r="GD58" t="e">
        <f>AND(Sheet1!N778,"AAAAAGnue7k=")</f>
        <v>#VALUE!</v>
      </c>
      <c r="GE58" t="e">
        <f>AND(Sheet1!#REF!,"AAAAAGnue7o=")</f>
        <v>#REF!</v>
      </c>
      <c r="GF58" t="e">
        <f>AND(Sheet1!#REF!,"AAAAAGnue7s=")</f>
        <v>#REF!</v>
      </c>
      <c r="GG58" t="e">
        <f>AND(Sheet1!#REF!,"AAAAAGnue7w=")</f>
        <v>#REF!</v>
      </c>
      <c r="GH58" t="e">
        <f>AND(Sheet1!#REF!,"AAAAAGnue70=")</f>
        <v>#REF!</v>
      </c>
      <c r="GI58">
        <f>IF(Sheet1!779:779,"AAAAAGnue74=",0)</f>
        <v>0</v>
      </c>
      <c r="GJ58" t="e">
        <f>AND(Sheet1!A779,"AAAAAGnue78=")</f>
        <v>#VALUE!</v>
      </c>
      <c r="GK58" t="e">
        <f>AND(Sheet1!B779,"AAAAAGnue8A=")</f>
        <v>#VALUE!</v>
      </c>
      <c r="GL58" t="e">
        <f>AND(Sheet1!C779,"AAAAAGnue8E=")</f>
        <v>#VALUE!</v>
      </c>
      <c r="GM58" t="e">
        <f>AND(Sheet1!D779,"AAAAAGnue8I=")</f>
        <v>#VALUE!</v>
      </c>
      <c r="GN58" t="e">
        <f>AND(Sheet1!E779,"AAAAAGnue8M=")</f>
        <v>#VALUE!</v>
      </c>
      <c r="GO58" t="e">
        <f>AND(Sheet1!F779,"AAAAAGnue8Q=")</f>
        <v>#VALUE!</v>
      </c>
      <c r="GP58" t="e">
        <f>AND(Sheet1!G779,"AAAAAGnue8U=")</f>
        <v>#VALUE!</v>
      </c>
      <c r="GQ58" t="e">
        <f>AND(Sheet1!H779,"AAAAAGnue8Y=")</f>
        <v>#VALUE!</v>
      </c>
      <c r="GR58" t="e">
        <f>AND(Sheet1!I779,"AAAAAGnue8c=")</f>
        <v>#VALUE!</v>
      </c>
      <c r="GS58" t="e">
        <f>AND(Sheet1!J779,"AAAAAGnue8g=")</f>
        <v>#VALUE!</v>
      </c>
      <c r="GT58" t="e">
        <f>AND(Sheet1!K779,"AAAAAGnue8k=")</f>
        <v>#VALUE!</v>
      </c>
      <c r="GU58" t="e">
        <f>AND(Sheet1!L779,"AAAAAGnue8o=")</f>
        <v>#VALUE!</v>
      </c>
      <c r="GV58" t="e">
        <f>AND(Sheet1!M779,"AAAAAGnue8s=")</f>
        <v>#VALUE!</v>
      </c>
      <c r="GW58" t="e">
        <f>AND(Sheet1!N779,"AAAAAGnue8w=")</f>
        <v>#VALUE!</v>
      </c>
      <c r="GX58" t="e">
        <f>AND(Sheet1!#REF!,"AAAAAGnue80=")</f>
        <v>#REF!</v>
      </c>
      <c r="GY58" t="e">
        <f>AND(Sheet1!#REF!,"AAAAAGnue84=")</f>
        <v>#REF!</v>
      </c>
      <c r="GZ58" t="e">
        <f>AND(Sheet1!#REF!,"AAAAAGnue88=")</f>
        <v>#REF!</v>
      </c>
      <c r="HA58" t="e">
        <f>AND(Sheet1!#REF!,"AAAAAGnue9A=")</f>
        <v>#REF!</v>
      </c>
      <c r="HB58">
        <f>IF(Sheet1!780:780,"AAAAAGnue9E=",0)</f>
        <v>0</v>
      </c>
      <c r="HC58" t="e">
        <f>AND(Sheet1!A780,"AAAAAGnue9I=")</f>
        <v>#VALUE!</v>
      </c>
      <c r="HD58" t="e">
        <f>AND(Sheet1!B780,"AAAAAGnue9M=")</f>
        <v>#VALUE!</v>
      </c>
      <c r="HE58" t="e">
        <f>AND(Sheet1!C780,"AAAAAGnue9Q=")</f>
        <v>#VALUE!</v>
      </c>
      <c r="HF58" t="e">
        <f>AND(Sheet1!D780,"AAAAAGnue9U=")</f>
        <v>#VALUE!</v>
      </c>
      <c r="HG58" t="e">
        <f>AND(Sheet1!E780,"AAAAAGnue9Y=")</f>
        <v>#VALUE!</v>
      </c>
      <c r="HH58" t="e">
        <f>AND(Sheet1!F780,"AAAAAGnue9c=")</f>
        <v>#VALUE!</v>
      </c>
      <c r="HI58" t="e">
        <f>AND(Sheet1!G780,"AAAAAGnue9g=")</f>
        <v>#VALUE!</v>
      </c>
      <c r="HJ58" t="e">
        <f>AND(Sheet1!H780,"AAAAAGnue9k=")</f>
        <v>#VALUE!</v>
      </c>
      <c r="HK58" t="e">
        <f>AND(Sheet1!I780,"AAAAAGnue9o=")</f>
        <v>#VALUE!</v>
      </c>
      <c r="HL58" t="e">
        <f>AND(Sheet1!J780,"AAAAAGnue9s=")</f>
        <v>#VALUE!</v>
      </c>
      <c r="HM58" t="e">
        <f>AND(Sheet1!K780,"AAAAAGnue9w=")</f>
        <v>#VALUE!</v>
      </c>
      <c r="HN58" t="e">
        <f>AND(Sheet1!L780,"AAAAAGnue90=")</f>
        <v>#VALUE!</v>
      </c>
      <c r="HO58" t="e">
        <f>AND(Sheet1!M780,"AAAAAGnue94=")</f>
        <v>#VALUE!</v>
      </c>
      <c r="HP58" t="e">
        <f>AND(Sheet1!N780,"AAAAAGnue98=")</f>
        <v>#VALUE!</v>
      </c>
      <c r="HQ58" t="e">
        <f>AND(Sheet1!#REF!,"AAAAAGnue+A=")</f>
        <v>#REF!</v>
      </c>
      <c r="HR58" t="e">
        <f>AND(Sheet1!#REF!,"AAAAAGnue+E=")</f>
        <v>#REF!</v>
      </c>
      <c r="HS58" t="e">
        <f>AND(Sheet1!#REF!,"AAAAAGnue+I=")</f>
        <v>#REF!</v>
      </c>
      <c r="HT58" t="e">
        <f>AND(Sheet1!#REF!,"AAAAAGnue+M=")</f>
        <v>#REF!</v>
      </c>
      <c r="HU58">
        <f>IF(Sheet1!781:781,"AAAAAGnue+Q=",0)</f>
        <v>0</v>
      </c>
      <c r="HV58" t="e">
        <f>AND(Sheet1!A781,"AAAAAGnue+U=")</f>
        <v>#VALUE!</v>
      </c>
      <c r="HW58" t="e">
        <f>AND(Sheet1!B781,"AAAAAGnue+Y=")</f>
        <v>#VALUE!</v>
      </c>
      <c r="HX58" t="e">
        <f>AND(Sheet1!C781,"AAAAAGnue+c=")</f>
        <v>#VALUE!</v>
      </c>
      <c r="HY58" t="e">
        <f>AND(Sheet1!D781,"AAAAAGnue+g=")</f>
        <v>#VALUE!</v>
      </c>
      <c r="HZ58" t="e">
        <f>AND(Sheet1!E781,"AAAAAGnue+k=")</f>
        <v>#VALUE!</v>
      </c>
      <c r="IA58" t="e">
        <f>AND(Sheet1!F781,"AAAAAGnue+o=")</f>
        <v>#VALUE!</v>
      </c>
      <c r="IB58" t="e">
        <f>AND(Sheet1!G781,"AAAAAGnue+s=")</f>
        <v>#VALUE!</v>
      </c>
      <c r="IC58" t="e">
        <f>AND(Sheet1!H781,"AAAAAGnue+w=")</f>
        <v>#VALUE!</v>
      </c>
      <c r="ID58" t="e">
        <f>AND(Sheet1!I781,"AAAAAGnue+0=")</f>
        <v>#VALUE!</v>
      </c>
      <c r="IE58" t="e">
        <f>AND(Sheet1!J781,"AAAAAGnue+4=")</f>
        <v>#VALUE!</v>
      </c>
      <c r="IF58" t="e">
        <f>AND(Sheet1!K781,"AAAAAGnue+8=")</f>
        <v>#VALUE!</v>
      </c>
      <c r="IG58" t="e">
        <f>AND(Sheet1!L781,"AAAAAGnue/A=")</f>
        <v>#VALUE!</v>
      </c>
      <c r="IH58" t="e">
        <f>AND(Sheet1!M781,"AAAAAGnue/E=")</f>
        <v>#VALUE!</v>
      </c>
      <c r="II58" t="e">
        <f>AND(Sheet1!N781,"AAAAAGnue/I=")</f>
        <v>#VALUE!</v>
      </c>
      <c r="IJ58" t="e">
        <f>AND(Sheet1!#REF!,"AAAAAGnue/M=")</f>
        <v>#REF!</v>
      </c>
      <c r="IK58" t="e">
        <f>AND(Sheet1!#REF!,"AAAAAGnue/Q=")</f>
        <v>#REF!</v>
      </c>
      <c r="IL58" t="e">
        <f>AND(Sheet1!#REF!,"AAAAAGnue/U=")</f>
        <v>#REF!</v>
      </c>
      <c r="IM58" t="e">
        <f>AND(Sheet1!#REF!,"AAAAAGnue/Y=")</f>
        <v>#REF!</v>
      </c>
      <c r="IN58">
        <f>IF(Sheet1!782:782,"AAAAAGnue/c=",0)</f>
        <v>0</v>
      </c>
      <c r="IO58" t="e">
        <f>AND(Sheet1!A782,"AAAAAGnue/g=")</f>
        <v>#VALUE!</v>
      </c>
      <c r="IP58" t="e">
        <f>AND(Sheet1!B782,"AAAAAGnue/k=")</f>
        <v>#VALUE!</v>
      </c>
      <c r="IQ58" t="e">
        <f>AND(Sheet1!C782,"AAAAAGnue/o=")</f>
        <v>#VALUE!</v>
      </c>
      <c r="IR58" t="e">
        <f>AND(Sheet1!D782,"AAAAAGnue/s=")</f>
        <v>#VALUE!</v>
      </c>
      <c r="IS58" t="e">
        <f>AND(Sheet1!E782,"AAAAAGnue/w=")</f>
        <v>#VALUE!</v>
      </c>
      <c r="IT58" t="e">
        <f>AND(Sheet1!F782,"AAAAAGnue/0=")</f>
        <v>#VALUE!</v>
      </c>
      <c r="IU58" t="e">
        <f>AND(Sheet1!G782,"AAAAAGnue/4=")</f>
        <v>#VALUE!</v>
      </c>
      <c r="IV58" t="e">
        <f>AND(Sheet1!H782,"AAAAAGnue/8=")</f>
        <v>#VALUE!</v>
      </c>
    </row>
    <row r="59" spans="1:256" x14ac:dyDescent="0.2">
      <c r="A59" t="e">
        <f>AND(Sheet1!I782,"AAAAAHf//wA=")</f>
        <v>#VALUE!</v>
      </c>
      <c r="B59" t="e">
        <f>AND(Sheet1!J782,"AAAAAHf//wE=")</f>
        <v>#VALUE!</v>
      </c>
      <c r="C59" t="e">
        <f>AND(Sheet1!K782,"AAAAAHf//wI=")</f>
        <v>#VALUE!</v>
      </c>
      <c r="D59" t="e">
        <f>AND(Sheet1!L782,"AAAAAHf//wM=")</f>
        <v>#VALUE!</v>
      </c>
      <c r="E59" t="e">
        <f>AND(Sheet1!M782,"AAAAAHf//wQ=")</f>
        <v>#VALUE!</v>
      </c>
      <c r="F59" t="e">
        <f>AND(Sheet1!N782,"AAAAAHf//wU=")</f>
        <v>#VALUE!</v>
      </c>
      <c r="G59" t="e">
        <f>AND(Sheet1!#REF!,"AAAAAHf//wY=")</f>
        <v>#REF!</v>
      </c>
      <c r="H59" t="e">
        <f>AND(Sheet1!#REF!,"AAAAAHf//wc=")</f>
        <v>#REF!</v>
      </c>
      <c r="I59" t="e">
        <f>AND(Sheet1!#REF!,"AAAAAHf//wg=")</f>
        <v>#REF!</v>
      </c>
      <c r="J59" t="e">
        <f>AND(Sheet1!#REF!,"AAAAAHf//wk=")</f>
        <v>#REF!</v>
      </c>
      <c r="K59" t="e">
        <f>IF(Sheet1!783:783,"AAAAAHf//wo=",0)</f>
        <v>#VALUE!</v>
      </c>
      <c r="L59" t="e">
        <f>AND(Sheet1!A783,"AAAAAHf//ws=")</f>
        <v>#VALUE!</v>
      </c>
      <c r="M59" t="e">
        <f>AND(Sheet1!B783,"AAAAAHf//ww=")</f>
        <v>#VALUE!</v>
      </c>
      <c r="N59" t="e">
        <f>AND(Sheet1!C783,"AAAAAHf//w0=")</f>
        <v>#VALUE!</v>
      </c>
      <c r="O59" t="e">
        <f>AND(Sheet1!D783,"AAAAAHf//w4=")</f>
        <v>#VALUE!</v>
      </c>
      <c r="P59" t="e">
        <f>AND(Sheet1!E783,"AAAAAHf//w8=")</f>
        <v>#VALUE!</v>
      </c>
      <c r="Q59" t="e">
        <f>AND(Sheet1!F783,"AAAAAHf//xA=")</f>
        <v>#VALUE!</v>
      </c>
      <c r="R59" t="e">
        <f>AND(Sheet1!G783,"AAAAAHf//xE=")</f>
        <v>#VALUE!</v>
      </c>
      <c r="S59" t="e">
        <f>AND(Sheet1!H783,"AAAAAHf//xI=")</f>
        <v>#VALUE!</v>
      </c>
      <c r="T59" t="e">
        <f>AND(Sheet1!I783,"AAAAAHf//xM=")</f>
        <v>#VALUE!</v>
      </c>
      <c r="U59" t="e">
        <f>AND(Sheet1!J783,"AAAAAHf//xQ=")</f>
        <v>#VALUE!</v>
      </c>
      <c r="V59" t="e">
        <f>AND(Sheet1!K783,"AAAAAHf//xU=")</f>
        <v>#VALUE!</v>
      </c>
      <c r="W59" t="e">
        <f>AND(Sheet1!L783,"AAAAAHf//xY=")</f>
        <v>#VALUE!</v>
      </c>
      <c r="X59" t="e">
        <f>AND(Sheet1!M783,"AAAAAHf//xc=")</f>
        <v>#VALUE!</v>
      </c>
      <c r="Y59" t="e">
        <f>AND(Sheet1!N783,"AAAAAHf//xg=")</f>
        <v>#VALUE!</v>
      </c>
      <c r="Z59" t="e">
        <f>AND(Sheet1!#REF!,"AAAAAHf//xk=")</f>
        <v>#REF!</v>
      </c>
      <c r="AA59" t="e">
        <f>AND(Sheet1!#REF!,"AAAAAHf//xo=")</f>
        <v>#REF!</v>
      </c>
      <c r="AB59" t="e">
        <f>AND(Sheet1!#REF!,"AAAAAHf//xs=")</f>
        <v>#REF!</v>
      </c>
      <c r="AC59" t="e">
        <f>AND(Sheet1!#REF!,"AAAAAHf//xw=")</f>
        <v>#REF!</v>
      </c>
      <c r="AD59">
        <f>IF(Sheet1!784:784,"AAAAAHf//x0=",0)</f>
        <v>0</v>
      </c>
      <c r="AE59" t="e">
        <f>AND(Sheet1!A784,"AAAAAHf//x4=")</f>
        <v>#VALUE!</v>
      </c>
      <c r="AF59" t="e">
        <f>AND(Sheet1!B784,"AAAAAHf//x8=")</f>
        <v>#VALUE!</v>
      </c>
      <c r="AG59" t="e">
        <f>AND(Sheet1!C784,"AAAAAHf//yA=")</f>
        <v>#VALUE!</v>
      </c>
      <c r="AH59" t="e">
        <f>AND(Sheet1!D784,"AAAAAHf//yE=")</f>
        <v>#VALUE!</v>
      </c>
      <c r="AI59" t="e">
        <f>AND(Sheet1!E784,"AAAAAHf//yI=")</f>
        <v>#VALUE!</v>
      </c>
      <c r="AJ59" t="e">
        <f>AND(Sheet1!F784,"AAAAAHf//yM=")</f>
        <v>#VALUE!</v>
      </c>
      <c r="AK59" t="e">
        <f>AND(Sheet1!G784,"AAAAAHf//yQ=")</f>
        <v>#VALUE!</v>
      </c>
      <c r="AL59" t="e">
        <f>AND(Sheet1!H784,"AAAAAHf//yU=")</f>
        <v>#VALUE!</v>
      </c>
      <c r="AM59" t="e">
        <f>AND(Sheet1!I784,"AAAAAHf//yY=")</f>
        <v>#VALUE!</v>
      </c>
      <c r="AN59" t="e">
        <f>AND(Sheet1!J784,"AAAAAHf//yc=")</f>
        <v>#VALUE!</v>
      </c>
      <c r="AO59" t="e">
        <f>AND(Sheet1!K784,"AAAAAHf//yg=")</f>
        <v>#VALUE!</v>
      </c>
      <c r="AP59" t="e">
        <f>AND(Sheet1!L784,"AAAAAHf//yk=")</f>
        <v>#VALUE!</v>
      </c>
      <c r="AQ59" t="e">
        <f>AND(Sheet1!M784,"AAAAAHf//yo=")</f>
        <v>#VALUE!</v>
      </c>
      <c r="AR59" t="e">
        <f>AND(Sheet1!N784,"AAAAAHf//ys=")</f>
        <v>#VALUE!</v>
      </c>
      <c r="AS59" t="e">
        <f>AND(Sheet1!#REF!,"AAAAAHf//yw=")</f>
        <v>#REF!</v>
      </c>
      <c r="AT59" t="e">
        <f>AND(Sheet1!#REF!,"AAAAAHf//y0=")</f>
        <v>#REF!</v>
      </c>
      <c r="AU59" t="e">
        <f>AND(Sheet1!#REF!,"AAAAAHf//y4=")</f>
        <v>#REF!</v>
      </c>
      <c r="AV59" t="e">
        <f>AND(Sheet1!#REF!,"AAAAAHf//y8=")</f>
        <v>#REF!</v>
      </c>
      <c r="AW59">
        <f>IF(Sheet1!785:785,"AAAAAHf//zA=",0)</f>
        <v>0</v>
      </c>
      <c r="AX59" t="e">
        <f>AND(Sheet1!A785,"AAAAAHf//zE=")</f>
        <v>#VALUE!</v>
      </c>
      <c r="AY59" t="e">
        <f>AND(Sheet1!B785,"AAAAAHf//zI=")</f>
        <v>#VALUE!</v>
      </c>
      <c r="AZ59" t="e">
        <f>AND(Sheet1!C785,"AAAAAHf//zM=")</f>
        <v>#VALUE!</v>
      </c>
      <c r="BA59" t="e">
        <f>AND(Sheet1!D785,"AAAAAHf//zQ=")</f>
        <v>#VALUE!</v>
      </c>
      <c r="BB59" t="e">
        <f>AND(Sheet1!E785,"AAAAAHf//zU=")</f>
        <v>#VALUE!</v>
      </c>
      <c r="BC59" t="e">
        <f>AND(Sheet1!F785,"AAAAAHf//zY=")</f>
        <v>#VALUE!</v>
      </c>
      <c r="BD59" t="e">
        <f>AND(Sheet1!G785,"AAAAAHf//zc=")</f>
        <v>#VALUE!</v>
      </c>
      <c r="BE59" t="e">
        <f>AND(Sheet1!H785,"AAAAAHf//zg=")</f>
        <v>#VALUE!</v>
      </c>
      <c r="BF59" t="e">
        <f>AND(Sheet1!I785,"AAAAAHf//zk=")</f>
        <v>#VALUE!</v>
      </c>
      <c r="BG59" t="e">
        <f>AND(Sheet1!J785,"AAAAAHf//zo=")</f>
        <v>#VALUE!</v>
      </c>
      <c r="BH59" t="e">
        <f>AND(Sheet1!K785,"AAAAAHf//zs=")</f>
        <v>#VALUE!</v>
      </c>
      <c r="BI59" t="e">
        <f>AND(Sheet1!L785,"AAAAAHf//zw=")</f>
        <v>#VALUE!</v>
      </c>
      <c r="BJ59" t="e">
        <f>AND(Sheet1!M785,"AAAAAHf//z0=")</f>
        <v>#VALUE!</v>
      </c>
      <c r="BK59" t="e">
        <f>AND(Sheet1!N785,"AAAAAHf//z4=")</f>
        <v>#VALUE!</v>
      </c>
      <c r="BL59" t="e">
        <f>AND(Sheet1!#REF!,"AAAAAHf//z8=")</f>
        <v>#REF!</v>
      </c>
      <c r="BM59" t="e">
        <f>AND(Sheet1!#REF!,"AAAAAHf//0A=")</f>
        <v>#REF!</v>
      </c>
      <c r="BN59" t="e">
        <f>AND(Sheet1!#REF!,"AAAAAHf//0E=")</f>
        <v>#REF!</v>
      </c>
      <c r="BO59" t="e">
        <f>AND(Sheet1!#REF!,"AAAAAHf//0I=")</f>
        <v>#REF!</v>
      </c>
      <c r="BP59">
        <f>IF(Sheet1!786:786,"AAAAAHf//0M=",0)</f>
        <v>0</v>
      </c>
      <c r="BQ59" t="e">
        <f>AND(Sheet1!A786,"AAAAAHf//0Q=")</f>
        <v>#VALUE!</v>
      </c>
      <c r="BR59" t="e">
        <f>AND(Sheet1!B786,"AAAAAHf//0U=")</f>
        <v>#VALUE!</v>
      </c>
      <c r="BS59" t="e">
        <f>AND(Sheet1!C786,"AAAAAHf//0Y=")</f>
        <v>#VALUE!</v>
      </c>
      <c r="BT59" t="e">
        <f>AND(Sheet1!D786,"AAAAAHf//0c=")</f>
        <v>#VALUE!</v>
      </c>
      <c r="BU59" t="e">
        <f>AND(Sheet1!E786,"AAAAAHf//0g=")</f>
        <v>#VALUE!</v>
      </c>
      <c r="BV59" t="e">
        <f>AND(Sheet1!F786,"AAAAAHf//0k=")</f>
        <v>#VALUE!</v>
      </c>
      <c r="BW59" t="e">
        <f>AND(Sheet1!G786,"AAAAAHf//0o=")</f>
        <v>#VALUE!</v>
      </c>
      <c r="BX59" t="e">
        <f>AND(Sheet1!H786,"AAAAAHf//0s=")</f>
        <v>#VALUE!</v>
      </c>
      <c r="BY59" t="e">
        <f>AND(Sheet1!I786,"AAAAAHf//0w=")</f>
        <v>#VALUE!</v>
      </c>
      <c r="BZ59" t="e">
        <f>AND(Sheet1!J786,"AAAAAHf//00=")</f>
        <v>#VALUE!</v>
      </c>
      <c r="CA59" t="e">
        <f>AND(Sheet1!K786,"AAAAAHf//04=")</f>
        <v>#VALUE!</v>
      </c>
      <c r="CB59" t="e">
        <f>AND(Sheet1!L786,"AAAAAHf//08=")</f>
        <v>#VALUE!</v>
      </c>
      <c r="CC59" t="e">
        <f>AND(Sheet1!M786,"AAAAAHf//1A=")</f>
        <v>#VALUE!</v>
      </c>
      <c r="CD59" t="e">
        <f>AND(Sheet1!N786,"AAAAAHf//1E=")</f>
        <v>#VALUE!</v>
      </c>
      <c r="CE59" t="e">
        <f>AND(Sheet1!#REF!,"AAAAAHf//1I=")</f>
        <v>#REF!</v>
      </c>
      <c r="CF59" t="e">
        <f>AND(Sheet1!#REF!,"AAAAAHf//1M=")</f>
        <v>#REF!</v>
      </c>
      <c r="CG59" t="e">
        <f>AND(Sheet1!#REF!,"AAAAAHf//1Q=")</f>
        <v>#REF!</v>
      </c>
      <c r="CH59" t="e">
        <f>AND(Sheet1!#REF!,"AAAAAHf//1U=")</f>
        <v>#REF!</v>
      </c>
      <c r="CI59">
        <f>IF(Sheet1!787:787,"AAAAAHf//1Y=",0)</f>
        <v>0</v>
      </c>
      <c r="CJ59" t="e">
        <f>AND(Sheet1!A787,"AAAAAHf//1c=")</f>
        <v>#VALUE!</v>
      </c>
      <c r="CK59" t="e">
        <f>AND(Sheet1!B787,"AAAAAHf//1g=")</f>
        <v>#VALUE!</v>
      </c>
      <c r="CL59" t="e">
        <f>AND(Sheet1!C787,"AAAAAHf//1k=")</f>
        <v>#VALUE!</v>
      </c>
      <c r="CM59" t="e">
        <f>AND(Sheet1!D787,"AAAAAHf//1o=")</f>
        <v>#VALUE!</v>
      </c>
      <c r="CN59" t="e">
        <f>AND(Sheet1!E787,"AAAAAHf//1s=")</f>
        <v>#VALUE!</v>
      </c>
      <c r="CO59" t="e">
        <f>AND(Sheet1!F787,"AAAAAHf//1w=")</f>
        <v>#VALUE!</v>
      </c>
      <c r="CP59" t="e">
        <f>AND(Sheet1!G787,"AAAAAHf//10=")</f>
        <v>#VALUE!</v>
      </c>
      <c r="CQ59" t="e">
        <f>AND(Sheet1!H787,"AAAAAHf//14=")</f>
        <v>#VALUE!</v>
      </c>
      <c r="CR59" t="e">
        <f>AND(Sheet1!I787,"AAAAAHf//18=")</f>
        <v>#VALUE!</v>
      </c>
      <c r="CS59" t="e">
        <f>AND(Sheet1!J787,"AAAAAHf//2A=")</f>
        <v>#VALUE!</v>
      </c>
      <c r="CT59" t="e">
        <f>AND(Sheet1!K787,"AAAAAHf//2E=")</f>
        <v>#VALUE!</v>
      </c>
      <c r="CU59" t="e">
        <f>AND(Sheet1!L787,"AAAAAHf//2I=")</f>
        <v>#VALUE!</v>
      </c>
      <c r="CV59" t="e">
        <f>AND(Sheet1!M787,"AAAAAHf//2M=")</f>
        <v>#VALUE!</v>
      </c>
      <c r="CW59" t="e">
        <f>AND(Sheet1!N787,"AAAAAHf//2Q=")</f>
        <v>#VALUE!</v>
      </c>
      <c r="CX59" t="e">
        <f>AND(Sheet1!#REF!,"AAAAAHf//2U=")</f>
        <v>#REF!</v>
      </c>
      <c r="CY59" t="e">
        <f>AND(Sheet1!#REF!,"AAAAAHf//2Y=")</f>
        <v>#REF!</v>
      </c>
      <c r="CZ59" t="e">
        <f>AND(Sheet1!#REF!,"AAAAAHf//2c=")</f>
        <v>#REF!</v>
      </c>
      <c r="DA59" t="e">
        <f>AND(Sheet1!#REF!,"AAAAAHf//2g=")</f>
        <v>#REF!</v>
      </c>
      <c r="DB59">
        <f>IF(Sheet1!788:788,"AAAAAHf//2k=",0)</f>
        <v>0</v>
      </c>
      <c r="DC59" t="e">
        <f>AND(Sheet1!A788,"AAAAAHf//2o=")</f>
        <v>#VALUE!</v>
      </c>
      <c r="DD59" t="e">
        <f>AND(Sheet1!B788,"AAAAAHf//2s=")</f>
        <v>#VALUE!</v>
      </c>
      <c r="DE59" t="e">
        <f>AND(Sheet1!C788,"AAAAAHf//2w=")</f>
        <v>#VALUE!</v>
      </c>
      <c r="DF59" t="e">
        <f>AND(Sheet1!D788,"AAAAAHf//20=")</f>
        <v>#VALUE!</v>
      </c>
      <c r="DG59" t="e">
        <f>AND(Sheet1!E788,"AAAAAHf//24=")</f>
        <v>#VALUE!</v>
      </c>
      <c r="DH59" t="e">
        <f>AND(Sheet1!F788,"AAAAAHf//28=")</f>
        <v>#VALUE!</v>
      </c>
      <c r="DI59" t="e">
        <f>AND(Sheet1!G788,"AAAAAHf//3A=")</f>
        <v>#VALUE!</v>
      </c>
      <c r="DJ59" t="e">
        <f>AND(Sheet1!H788,"AAAAAHf//3E=")</f>
        <v>#VALUE!</v>
      </c>
      <c r="DK59" t="e">
        <f>AND(Sheet1!I788,"AAAAAHf//3I=")</f>
        <v>#VALUE!</v>
      </c>
      <c r="DL59" t="e">
        <f>AND(Sheet1!J788,"AAAAAHf//3M=")</f>
        <v>#VALUE!</v>
      </c>
      <c r="DM59" t="e">
        <f>AND(Sheet1!K788,"AAAAAHf//3Q=")</f>
        <v>#VALUE!</v>
      </c>
      <c r="DN59" t="e">
        <f>AND(Sheet1!L788,"AAAAAHf//3U=")</f>
        <v>#VALUE!</v>
      </c>
      <c r="DO59" t="e">
        <f>AND(Sheet1!M788,"AAAAAHf//3Y=")</f>
        <v>#VALUE!</v>
      </c>
      <c r="DP59" t="e">
        <f>AND(Sheet1!N788,"AAAAAHf//3c=")</f>
        <v>#VALUE!</v>
      </c>
      <c r="DQ59" t="e">
        <f>AND(Sheet1!#REF!,"AAAAAHf//3g=")</f>
        <v>#REF!</v>
      </c>
      <c r="DR59" t="e">
        <f>AND(Sheet1!#REF!,"AAAAAHf//3k=")</f>
        <v>#REF!</v>
      </c>
      <c r="DS59" t="e">
        <f>AND(Sheet1!#REF!,"AAAAAHf//3o=")</f>
        <v>#REF!</v>
      </c>
      <c r="DT59" t="e">
        <f>AND(Sheet1!#REF!,"AAAAAHf//3s=")</f>
        <v>#REF!</v>
      </c>
      <c r="DU59">
        <f>IF(Sheet1!789:789,"AAAAAHf//3w=",0)</f>
        <v>0</v>
      </c>
      <c r="DV59" t="e">
        <f>AND(Sheet1!A789,"AAAAAHf//30=")</f>
        <v>#VALUE!</v>
      </c>
      <c r="DW59" t="e">
        <f>AND(Sheet1!B789,"AAAAAHf//34=")</f>
        <v>#VALUE!</v>
      </c>
      <c r="DX59" t="e">
        <f>AND(Sheet1!C789,"AAAAAHf//38=")</f>
        <v>#VALUE!</v>
      </c>
      <c r="DY59" t="e">
        <f>AND(Sheet1!D789,"AAAAAHf//4A=")</f>
        <v>#VALUE!</v>
      </c>
      <c r="DZ59" t="e">
        <f>AND(Sheet1!E789,"AAAAAHf//4E=")</f>
        <v>#VALUE!</v>
      </c>
      <c r="EA59" t="e">
        <f>AND(Sheet1!F789,"AAAAAHf//4I=")</f>
        <v>#VALUE!</v>
      </c>
      <c r="EB59" t="e">
        <f>AND(Sheet1!G789,"AAAAAHf//4M=")</f>
        <v>#VALUE!</v>
      </c>
      <c r="EC59" t="e">
        <f>AND(Sheet1!H789,"AAAAAHf//4Q=")</f>
        <v>#VALUE!</v>
      </c>
      <c r="ED59" t="e">
        <f>AND(Sheet1!I789,"AAAAAHf//4U=")</f>
        <v>#VALUE!</v>
      </c>
      <c r="EE59" t="e">
        <f>AND(Sheet1!J789,"AAAAAHf//4Y=")</f>
        <v>#VALUE!</v>
      </c>
      <c r="EF59" t="e">
        <f>AND(Sheet1!K789,"AAAAAHf//4c=")</f>
        <v>#VALUE!</v>
      </c>
      <c r="EG59" t="e">
        <f>AND(Sheet1!L789,"AAAAAHf//4g=")</f>
        <v>#VALUE!</v>
      </c>
      <c r="EH59" t="e">
        <f>AND(Sheet1!M789,"AAAAAHf//4k=")</f>
        <v>#VALUE!</v>
      </c>
      <c r="EI59" t="e">
        <f>AND(Sheet1!N789,"AAAAAHf//4o=")</f>
        <v>#VALUE!</v>
      </c>
      <c r="EJ59" t="e">
        <f>AND(Sheet1!#REF!,"AAAAAHf//4s=")</f>
        <v>#REF!</v>
      </c>
      <c r="EK59" t="e">
        <f>AND(Sheet1!#REF!,"AAAAAHf//4w=")</f>
        <v>#REF!</v>
      </c>
      <c r="EL59" t="e">
        <f>AND(Sheet1!#REF!,"AAAAAHf//40=")</f>
        <v>#REF!</v>
      </c>
      <c r="EM59" t="e">
        <f>AND(Sheet1!#REF!,"AAAAAHf//44=")</f>
        <v>#REF!</v>
      </c>
      <c r="EN59">
        <f>IF(Sheet1!790:790,"AAAAAHf//48=",0)</f>
        <v>0</v>
      </c>
      <c r="EO59" t="e">
        <f>AND(Sheet1!A790,"AAAAAHf//5A=")</f>
        <v>#VALUE!</v>
      </c>
      <c r="EP59" t="e">
        <f>AND(Sheet1!B790,"AAAAAHf//5E=")</f>
        <v>#VALUE!</v>
      </c>
      <c r="EQ59" t="e">
        <f>AND(Sheet1!C790,"AAAAAHf//5I=")</f>
        <v>#VALUE!</v>
      </c>
      <c r="ER59" t="e">
        <f>AND(Sheet1!D790,"AAAAAHf//5M=")</f>
        <v>#VALUE!</v>
      </c>
      <c r="ES59" t="e">
        <f>AND(Sheet1!E790,"AAAAAHf//5Q=")</f>
        <v>#VALUE!</v>
      </c>
      <c r="ET59" t="e">
        <f>AND(Sheet1!F790,"AAAAAHf//5U=")</f>
        <v>#VALUE!</v>
      </c>
      <c r="EU59" t="e">
        <f>AND(Sheet1!G790,"AAAAAHf//5Y=")</f>
        <v>#VALUE!</v>
      </c>
      <c r="EV59" t="e">
        <f>AND(Sheet1!H790,"AAAAAHf//5c=")</f>
        <v>#VALUE!</v>
      </c>
      <c r="EW59" t="e">
        <f>AND(Sheet1!I790,"AAAAAHf//5g=")</f>
        <v>#VALUE!</v>
      </c>
      <c r="EX59" t="e">
        <f>AND(Sheet1!J790,"AAAAAHf//5k=")</f>
        <v>#VALUE!</v>
      </c>
      <c r="EY59" t="e">
        <f>AND(Sheet1!K790,"AAAAAHf//5o=")</f>
        <v>#VALUE!</v>
      </c>
      <c r="EZ59" t="e">
        <f>AND(Sheet1!L790,"AAAAAHf//5s=")</f>
        <v>#VALUE!</v>
      </c>
      <c r="FA59" t="e">
        <f>AND(Sheet1!M790,"AAAAAHf//5w=")</f>
        <v>#VALUE!</v>
      </c>
      <c r="FB59" t="e">
        <f>AND(Sheet1!N790,"AAAAAHf//50=")</f>
        <v>#VALUE!</v>
      </c>
      <c r="FC59" t="e">
        <f>AND(Sheet1!#REF!,"AAAAAHf//54=")</f>
        <v>#REF!</v>
      </c>
      <c r="FD59" t="e">
        <f>AND(Sheet1!#REF!,"AAAAAHf//58=")</f>
        <v>#REF!</v>
      </c>
      <c r="FE59" t="e">
        <f>AND(Sheet1!#REF!,"AAAAAHf//6A=")</f>
        <v>#REF!</v>
      </c>
      <c r="FF59" t="e">
        <f>AND(Sheet1!#REF!,"AAAAAHf//6E=")</f>
        <v>#REF!</v>
      </c>
      <c r="FG59">
        <f>IF(Sheet1!791:791,"AAAAAHf//6I=",0)</f>
        <v>0</v>
      </c>
      <c r="FH59" t="e">
        <f>AND(Sheet1!A791,"AAAAAHf//6M=")</f>
        <v>#VALUE!</v>
      </c>
      <c r="FI59" t="e">
        <f>AND(Sheet1!B791,"AAAAAHf//6Q=")</f>
        <v>#VALUE!</v>
      </c>
      <c r="FJ59" t="e">
        <f>AND(Sheet1!C791,"AAAAAHf//6U=")</f>
        <v>#VALUE!</v>
      </c>
      <c r="FK59" t="e">
        <f>AND(Sheet1!D791,"AAAAAHf//6Y=")</f>
        <v>#VALUE!</v>
      </c>
      <c r="FL59" t="e">
        <f>AND(Sheet1!E791,"AAAAAHf//6c=")</f>
        <v>#VALUE!</v>
      </c>
      <c r="FM59" t="e">
        <f>AND(Sheet1!F791,"AAAAAHf//6g=")</f>
        <v>#VALUE!</v>
      </c>
      <c r="FN59" t="e">
        <f>AND(Sheet1!G791,"AAAAAHf//6k=")</f>
        <v>#VALUE!</v>
      </c>
      <c r="FO59" t="e">
        <f>AND(Sheet1!H791,"AAAAAHf//6o=")</f>
        <v>#VALUE!</v>
      </c>
      <c r="FP59" t="e">
        <f>AND(Sheet1!I791,"AAAAAHf//6s=")</f>
        <v>#VALUE!</v>
      </c>
      <c r="FQ59" t="e">
        <f>AND(Sheet1!J791,"AAAAAHf//6w=")</f>
        <v>#VALUE!</v>
      </c>
      <c r="FR59" t="e">
        <f>AND(Sheet1!K791,"AAAAAHf//60=")</f>
        <v>#VALUE!</v>
      </c>
      <c r="FS59" t="e">
        <f>AND(Sheet1!L791,"AAAAAHf//64=")</f>
        <v>#VALUE!</v>
      </c>
      <c r="FT59" t="e">
        <f>AND(Sheet1!M791,"AAAAAHf//68=")</f>
        <v>#VALUE!</v>
      </c>
      <c r="FU59" t="e">
        <f>AND(Sheet1!N791,"AAAAAHf//7A=")</f>
        <v>#VALUE!</v>
      </c>
      <c r="FV59" t="e">
        <f>AND(Sheet1!#REF!,"AAAAAHf//7E=")</f>
        <v>#REF!</v>
      </c>
      <c r="FW59" t="e">
        <f>AND(Sheet1!#REF!,"AAAAAHf//7I=")</f>
        <v>#REF!</v>
      </c>
      <c r="FX59" t="e">
        <f>AND(Sheet1!#REF!,"AAAAAHf//7M=")</f>
        <v>#REF!</v>
      </c>
      <c r="FY59" t="e">
        <f>AND(Sheet1!#REF!,"AAAAAHf//7Q=")</f>
        <v>#REF!</v>
      </c>
      <c r="FZ59">
        <f>IF(Sheet1!792:792,"AAAAAHf//7U=",0)</f>
        <v>0</v>
      </c>
      <c r="GA59" t="e">
        <f>AND(Sheet1!A792,"AAAAAHf//7Y=")</f>
        <v>#VALUE!</v>
      </c>
      <c r="GB59" t="e">
        <f>AND(Sheet1!B792,"AAAAAHf//7c=")</f>
        <v>#VALUE!</v>
      </c>
      <c r="GC59" t="e">
        <f>AND(Sheet1!C792,"AAAAAHf//7g=")</f>
        <v>#VALUE!</v>
      </c>
      <c r="GD59" t="e">
        <f>AND(Sheet1!D792,"AAAAAHf//7k=")</f>
        <v>#VALUE!</v>
      </c>
      <c r="GE59" t="e">
        <f>AND(Sheet1!E792,"AAAAAHf//7o=")</f>
        <v>#VALUE!</v>
      </c>
      <c r="GF59" t="e">
        <f>AND(Sheet1!F792,"AAAAAHf//7s=")</f>
        <v>#VALUE!</v>
      </c>
      <c r="GG59" t="e">
        <f>AND(Sheet1!G792,"AAAAAHf//7w=")</f>
        <v>#VALUE!</v>
      </c>
      <c r="GH59" t="e">
        <f>AND(Sheet1!H792,"AAAAAHf//70=")</f>
        <v>#VALUE!</v>
      </c>
      <c r="GI59" t="e">
        <f>AND(Sheet1!I792,"AAAAAHf//74=")</f>
        <v>#VALUE!</v>
      </c>
      <c r="GJ59" t="e">
        <f>AND(Sheet1!J792,"AAAAAHf//78=")</f>
        <v>#VALUE!</v>
      </c>
      <c r="GK59" t="e">
        <f>AND(Sheet1!K792,"AAAAAHf//8A=")</f>
        <v>#VALUE!</v>
      </c>
      <c r="GL59" t="e">
        <f>AND(Sheet1!L792,"AAAAAHf//8E=")</f>
        <v>#VALUE!</v>
      </c>
      <c r="GM59" t="e">
        <f>AND(Sheet1!M792,"AAAAAHf//8I=")</f>
        <v>#VALUE!</v>
      </c>
      <c r="GN59" t="e">
        <f>AND(Sheet1!N792,"AAAAAHf//8M=")</f>
        <v>#VALUE!</v>
      </c>
      <c r="GO59" t="e">
        <f>AND(Sheet1!#REF!,"AAAAAHf//8Q=")</f>
        <v>#REF!</v>
      </c>
      <c r="GP59" t="e">
        <f>AND(Sheet1!#REF!,"AAAAAHf//8U=")</f>
        <v>#REF!</v>
      </c>
      <c r="GQ59" t="e">
        <f>AND(Sheet1!#REF!,"AAAAAHf//8Y=")</f>
        <v>#REF!</v>
      </c>
      <c r="GR59" t="e">
        <f>AND(Sheet1!#REF!,"AAAAAHf//8c=")</f>
        <v>#REF!</v>
      </c>
      <c r="GS59">
        <f>IF(Sheet1!793:793,"AAAAAHf//8g=",0)</f>
        <v>0</v>
      </c>
      <c r="GT59" t="e">
        <f>AND(Sheet1!A793,"AAAAAHf//8k=")</f>
        <v>#VALUE!</v>
      </c>
      <c r="GU59" t="e">
        <f>AND(Sheet1!B793,"AAAAAHf//8o=")</f>
        <v>#VALUE!</v>
      </c>
      <c r="GV59" t="e">
        <f>AND(Sheet1!C793,"AAAAAHf//8s=")</f>
        <v>#VALUE!</v>
      </c>
      <c r="GW59" t="e">
        <f>AND(Sheet1!D793,"AAAAAHf//8w=")</f>
        <v>#VALUE!</v>
      </c>
      <c r="GX59" t="e">
        <f>AND(Sheet1!E793,"AAAAAHf//80=")</f>
        <v>#VALUE!</v>
      </c>
      <c r="GY59" t="e">
        <f>AND(Sheet1!F793,"AAAAAHf//84=")</f>
        <v>#VALUE!</v>
      </c>
      <c r="GZ59" t="e">
        <f>AND(Sheet1!G793,"AAAAAHf//88=")</f>
        <v>#VALUE!</v>
      </c>
      <c r="HA59" t="e">
        <f>AND(Sheet1!H793,"AAAAAHf//9A=")</f>
        <v>#VALUE!</v>
      </c>
      <c r="HB59" t="e">
        <f>AND(Sheet1!I793,"AAAAAHf//9E=")</f>
        <v>#VALUE!</v>
      </c>
      <c r="HC59" t="e">
        <f>AND(Sheet1!J793,"AAAAAHf//9I=")</f>
        <v>#VALUE!</v>
      </c>
      <c r="HD59" t="e">
        <f>AND(Sheet1!K793,"AAAAAHf//9M=")</f>
        <v>#VALUE!</v>
      </c>
      <c r="HE59" t="e">
        <f>AND(Sheet1!L793,"AAAAAHf//9Q=")</f>
        <v>#VALUE!</v>
      </c>
      <c r="HF59" t="e">
        <f>AND(Sheet1!M793,"AAAAAHf//9U=")</f>
        <v>#VALUE!</v>
      </c>
      <c r="HG59" t="e">
        <f>AND(Sheet1!N793,"AAAAAHf//9Y=")</f>
        <v>#VALUE!</v>
      </c>
      <c r="HH59" t="e">
        <f>AND(Sheet1!#REF!,"AAAAAHf//9c=")</f>
        <v>#REF!</v>
      </c>
      <c r="HI59" t="e">
        <f>AND(Sheet1!#REF!,"AAAAAHf//9g=")</f>
        <v>#REF!</v>
      </c>
      <c r="HJ59" t="e">
        <f>AND(Sheet1!#REF!,"AAAAAHf//9k=")</f>
        <v>#REF!</v>
      </c>
      <c r="HK59" t="e">
        <f>AND(Sheet1!#REF!,"AAAAAHf//9o=")</f>
        <v>#REF!</v>
      </c>
      <c r="HL59">
        <f>IF(Sheet1!794:794,"AAAAAHf//9s=",0)</f>
        <v>0</v>
      </c>
      <c r="HM59" t="e">
        <f>AND(Sheet1!A794,"AAAAAHf//9w=")</f>
        <v>#VALUE!</v>
      </c>
      <c r="HN59" t="e">
        <f>AND(Sheet1!B794,"AAAAAHf//90=")</f>
        <v>#VALUE!</v>
      </c>
      <c r="HO59" t="e">
        <f>AND(Sheet1!C794,"AAAAAHf//94=")</f>
        <v>#VALUE!</v>
      </c>
      <c r="HP59" t="e">
        <f>AND(Sheet1!D794,"AAAAAHf//98=")</f>
        <v>#VALUE!</v>
      </c>
      <c r="HQ59" t="e">
        <f>AND(Sheet1!E794,"AAAAAHf//+A=")</f>
        <v>#VALUE!</v>
      </c>
      <c r="HR59" t="e">
        <f>AND(Sheet1!F794,"AAAAAHf//+E=")</f>
        <v>#VALUE!</v>
      </c>
      <c r="HS59" t="e">
        <f>AND(Sheet1!G794,"AAAAAHf//+I=")</f>
        <v>#VALUE!</v>
      </c>
      <c r="HT59" t="e">
        <f>AND(Sheet1!H794,"AAAAAHf//+M=")</f>
        <v>#VALUE!</v>
      </c>
      <c r="HU59" t="e">
        <f>AND(Sheet1!I794,"AAAAAHf//+Q=")</f>
        <v>#VALUE!</v>
      </c>
      <c r="HV59" t="e">
        <f>AND(Sheet1!J794,"AAAAAHf//+U=")</f>
        <v>#VALUE!</v>
      </c>
      <c r="HW59" t="e">
        <f>AND(Sheet1!K794,"AAAAAHf//+Y=")</f>
        <v>#VALUE!</v>
      </c>
      <c r="HX59" t="e">
        <f>AND(Sheet1!L794,"AAAAAHf//+c=")</f>
        <v>#VALUE!</v>
      </c>
      <c r="HY59" t="e">
        <f>AND(Sheet1!M794,"AAAAAHf//+g=")</f>
        <v>#VALUE!</v>
      </c>
      <c r="HZ59" t="e">
        <f>AND(Sheet1!N794,"AAAAAHf//+k=")</f>
        <v>#VALUE!</v>
      </c>
      <c r="IA59" t="e">
        <f>AND(Sheet1!#REF!,"AAAAAHf//+o=")</f>
        <v>#REF!</v>
      </c>
      <c r="IB59" t="e">
        <f>AND(Sheet1!#REF!,"AAAAAHf//+s=")</f>
        <v>#REF!</v>
      </c>
      <c r="IC59" t="e">
        <f>AND(Sheet1!#REF!,"AAAAAHf//+w=")</f>
        <v>#REF!</v>
      </c>
      <c r="ID59" t="e">
        <f>AND(Sheet1!#REF!,"AAAAAHf//+0=")</f>
        <v>#REF!</v>
      </c>
      <c r="IE59">
        <f>IF(Sheet1!795:795,"AAAAAHf//+4=",0)</f>
        <v>0</v>
      </c>
      <c r="IF59" t="e">
        <f>AND(Sheet1!A795,"AAAAAHf//+8=")</f>
        <v>#VALUE!</v>
      </c>
      <c r="IG59" t="e">
        <f>AND(Sheet1!B795,"AAAAAHf///A=")</f>
        <v>#VALUE!</v>
      </c>
      <c r="IH59" t="e">
        <f>AND(Sheet1!C795,"AAAAAHf///E=")</f>
        <v>#VALUE!</v>
      </c>
      <c r="II59" t="e">
        <f>AND(Sheet1!D795,"AAAAAHf///I=")</f>
        <v>#VALUE!</v>
      </c>
      <c r="IJ59" t="e">
        <f>AND(Sheet1!E795,"AAAAAHf///M=")</f>
        <v>#VALUE!</v>
      </c>
      <c r="IK59" t="e">
        <f>AND(Sheet1!F795,"AAAAAHf///Q=")</f>
        <v>#VALUE!</v>
      </c>
      <c r="IL59" t="e">
        <f>AND(Sheet1!G795,"AAAAAHf///U=")</f>
        <v>#VALUE!</v>
      </c>
      <c r="IM59" t="e">
        <f>AND(Sheet1!H795,"AAAAAHf///Y=")</f>
        <v>#VALUE!</v>
      </c>
      <c r="IN59" t="e">
        <f>AND(Sheet1!I795,"AAAAAHf///c=")</f>
        <v>#VALUE!</v>
      </c>
      <c r="IO59" t="e">
        <f>AND(Sheet1!J795,"AAAAAHf///g=")</f>
        <v>#VALUE!</v>
      </c>
      <c r="IP59" t="e">
        <f>AND(Sheet1!K795,"AAAAAHf///k=")</f>
        <v>#VALUE!</v>
      </c>
      <c r="IQ59" t="e">
        <f>AND(Sheet1!L795,"AAAAAHf///o=")</f>
        <v>#VALUE!</v>
      </c>
      <c r="IR59" t="e">
        <f>AND(Sheet1!M795,"AAAAAHf///s=")</f>
        <v>#VALUE!</v>
      </c>
      <c r="IS59" t="e">
        <f>AND(Sheet1!N795,"AAAAAHf///w=")</f>
        <v>#VALUE!</v>
      </c>
      <c r="IT59" t="e">
        <f>AND(Sheet1!#REF!,"AAAAAHf///0=")</f>
        <v>#REF!</v>
      </c>
      <c r="IU59" t="e">
        <f>AND(Sheet1!#REF!,"AAAAAHf///4=")</f>
        <v>#REF!</v>
      </c>
      <c r="IV59" t="e">
        <f>AND(Sheet1!#REF!,"AAAAAHf///8=")</f>
        <v>#REF!</v>
      </c>
    </row>
    <row r="60" spans="1:256" x14ac:dyDescent="0.2">
      <c r="A60" t="e">
        <f>AND(Sheet1!#REF!,"AAAAAC/ErwA=")</f>
        <v>#REF!</v>
      </c>
      <c r="B60" t="e">
        <f>IF(Sheet1!796:796,"AAAAAC/ErwE=",0)</f>
        <v>#VALUE!</v>
      </c>
      <c r="C60" t="e">
        <f>AND(Sheet1!A796,"AAAAAC/ErwI=")</f>
        <v>#VALUE!</v>
      </c>
      <c r="D60" t="e">
        <f>AND(Sheet1!B796,"AAAAAC/ErwM=")</f>
        <v>#VALUE!</v>
      </c>
      <c r="E60" t="e">
        <f>AND(Sheet1!C796,"AAAAAC/ErwQ=")</f>
        <v>#VALUE!</v>
      </c>
      <c r="F60" t="e">
        <f>AND(Sheet1!D796,"AAAAAC/ErwU=")</f>
        <v>#VALUE!</v>
      </c>
      <c r="G60" t="e">
        <f>AND(Sheet1!E796,"AAAAAC/ErwY=")</f>
        <v>#VALUE!</v>
      </c>
      <c r="H60" t="e">
        <f>AND(Sheet1!F796,"AAAAAC/Erwc=")</f>
        <v>#VALUE!</v>
      </c>
      <c r="I60" t="e">
        <f>AND(Sheet1!G796,"AAAAAC/Erwg=")</f>
        <v>#VALUE!</v>
      </c>
      <c r="J60" t="e">
        <f>AND(Sheet1!H796,"AAAAAC/Erwk=")</f>
        <v>#VALUE!</v>
      </c>
      <c r="K60" t="e">
        <f>AND(Sheet1!I796,"AAAAAC/Erwo=")</f>
        <v>#VALUE!</v>
      </c>
      <c r="L60" t="e">
        <f>AND(Sheet1!J796,"AAAAAC/Erws=")</f>
        <v>#VALUE!</v>
      </c>
      <c r="M60" t="e">
        <f>AND(Sheet1!K796,"AAAAAC/Erww=")</f>
        <v>#VALUE!</v>
      </c>
      <c r="N60" t="e">
        <f>AND(Sheet1!L796,"AAAAAC/Erw0=")</f>
        <v>#VALUE!</v>
      </c>
      <c r="O60" t="e">
        <f>AND(Sheet1!M796,"AAAAAC/Erw4=")</f>
        <v>#VALUE!</v>
      </c>
      <c r="P60" t="e">
        <f>AND(Sheet1!N796,"AAAAAC/Erw8=")</f>
        <v>#VALUE!</v>
      </c>
      <c r="Q60" t="e">
        <f>AND(Sheet1!#REF!,"AAAAAC/ErxA=")</f>
        <v>#REF!</v>
      </c>
      <c r="R60" t="e">
        <f>AND(Sheet1!#REF!,"AAAAAC/ErxE=")</f>
        <v>#REF!</v>
      </c>
      <c r="S60" t="e">
        <f>AND(Sheet1!#REF!,"AAAAAC/ErxI=")</f>
        <v>#REF!</v>
      </c>
      <c r="T60" t="e">
        <f>AND(Sheet1!#REF!,"AAAAAC/ErxM=")</f>
        <v>#REF!</v>
      </c>
      <c r="U60">
        <f>IF(Sheet1!797:797,"AAAAAC/ErxQ=",0)</f>
        <v>0</v>
      </c>
      <c r="V60" t="e">
        <f>AND(Sheet1!A797,"AAAAAC/ErxU=")</f>
        <v>#VALUE!</v>
      </c>
      <c r="W60" t="e">
        <f>AND(Sheet1!B797,"AAAAAC/ErxY=")</f>
        <v>#VALUE!</v>
      </c>
      <c r="X60" t="e">
        <f>AND(Sheet1!C797,"AAAAAC/Erxc=")</f>
        <v>#VALUE!</v>
      </c>
      <c r="Y60" t="e">
        <f>AND(Sheet1!D797,"AAAAAC/Erxg=")</f>
        <v>#VALUE!</v>
      </c>
      <c r="Z60" t="e">
        <f>AND(Sheet1!E797,"AAAAAC/Erxk=")</f>
        <v>#VALUE!</v>
      </c>
      <c r="AA60" t="e">
        <f>AND(Sheet1!F797,"AAAAAC/Erxo=")</f>
        <v>#VALUE!</v>
      </c>
      <c r="AB60" t="e">
        <f>AND(Sheet1!G797,"AAAAAC/Erxs=")</f>
        <v>#VALUE!</v>
      </c>
      <c r="AC60" t="e">
        <f>AND(Sheet1!H797,"AAAAAC/Erxw=")</f>
        <v>#VALUE!</v>
      </c>
      <c r="AD60" t="e">
        <f>AND(Sheet1!I797,"AAAAAC/Erx0=")</f>
        <v>#VALUE!</v>
      </c>
      <c r="AE60" t="e">
        <f>AND(Sheet1!J797,"AAAAAC/Erx4=")</f>
        <v>#VALUE!</v>
      </c>
      <c r="AF60" t="e">
        <f>AND(Sheet1!K797,"AAAAAC/Erx8=")</f>
        <v>#VALUE!</v>
      </c>
      <c r="AG60" t="e">
        <f>AND(Sheet1!L797,"AAAAAC/EryA=")</f>
        <v>#VALUE!</v>
      </c>
      <c r="AH60" t="e">
        <f>AND(Sheet1!M797,"AAAAAC/EryE=")</f>
        <v>#VALUE!</v>
      </c>
      <c r="AI60" t="e">
        <f>AND(Sheet1!N797,"AAAAAC/EryI=")</f>
        <v>#VALUE!</v>
      </c>
      <c r="AJ60" t="e">
        <f>AND(Sheet1!#REF!,"AAAAAC/EryM=")</f>
        <v>#REF!</v>
      </c>
      <c r="AK60" t="e">
        <f>AND(Sheet1!#REF!,"AAAAAC/EryQ=")</f>
        <v>#REF!</v>
      </c>
      <c r="AL60" t="e">
        <f>AND(Sheet1!#REF!,"AAAAAC/EryU=")</f>
        <v>#REF!</v>
      </c>
      <c r="AM60" t="e">
        <f>AND(Sheet1!#REF!,"AAAAAC/EryY=")</f>
        <v>#REF!</v>
      </c>
      <c r="AN60">
        <f>IF(Sheet1!798:798,"AAAAAC/Eryc=",0)</f>
        <v>0</v>
      </c>
      <c r="AO60" t="e">
        <f>AND(Sheet1!A798,"AAAAAC/Eryg=")</f>
        <v>#VALUE!</v>
      </c>
      <c r="AP60" t="e">
        <f>AND(Sheet1!B798,"AAAAAC/Eryk=")</f>
        <v>#VALUE!</v>
      </c>
      <c r="AQ60" t="e">
        <f>AND(Sheet1!C798,"AAAAAC/Eryo=")</f>
        <v>#VALUE!</v>
      </c>
      <c r="AR60" t="e">
        <f>AND(Sheet1!D798,"AAAAAC/Erys=")</f>
        <v>#VALUE!</v>
      </c>
      <c r="AS60" t="e">
        <f>AND(Sheet1!E798,"AAAAAC/Eryw=")</f>
        <v>#VALUE!</v>
      </c>
      <c r="AT60" t="e">
        <f>AND(Sheet1!F798,"AAAAAC/Ery0=")</f>
        <v>#VALUE!</v>
      </c>
      <c r="AU60" t="e">
        <f>AND(Sheet1!G798,"AAAAAC/Ery4=")</f>
        <v>#VALUE!</v>
      </c>
      <c r="AV60" t="e">
        <f>AND(Sheet1!H798,"AAAAAC/Ery8=")</f>
        <v>#VALUE!</v>
      </c>
      <c r="AW60" t="e">
        <f>AND(Sheet1!I798,"AAAAAC/ErzA=")</f>
        <v>#VALUE!</v>
      </c>
      <c r="AX60" t="e">
        <f>AND(Sheet1!J798,"AAAAAC/ErzE=")</f>
        <v>#VALUE!</v>
      </c>
      <c r="AY60" t="e">
        <f>AND(Sheet1!K798,"AAAAAC/ErzI=")</f>
        <v>#VALUE!</v>
      </c>
      <c r="AZ60" t="e">
        <f>AND(Sheet1!L798,"AAAAAC/ErzM=")</f>
        <v>#VALUE!</v>
      </c>
      <c r="BA60" t="e">
        <f>AND(Sheet1!M798,"AAAAAC/ErzQ=")</f>
        <v>#VALUE!</v>
      </c>
      <c r="BB60" t="e">
        <f>AND(Sheet1!N798,"AAAAAC/ErzU=")</f>
        <v>#VALUE!</v>
      </c>
      <c r="BC60" t="e">
        <f>AND(Sheet1!#REF!,"AAAAAC/ErzY=")</f>
        <v>#REF!</v>
      </c>
      <c r="BD60" t="e">
        <f>AND(Sheet1!#REF!,"AAAAAC/Erzc=")</f>
        <v>#REF!</v>
      </c>
      <c r="BE60" t="e">
        <f>AND(Sheet1!#REF!,"AAAAAC/Erzg=")</f>
        <v>#REF!</v>
      </c>
      <c r="BF60" t="e">
        <f>AND(Sheet1!#REF!,"AAAAAC/Erzk=")</f>
        <v>#REF!</v>
      </c>
      <c r="BG60">
        <f>IF(Sheet1!799:799,"AAAAAC/Erzo=",0)</f>
        <v>0</v>
      </c>
      <c r="BH60" t="e">
        <f>AND(Sheet1!A799,"AAAAAC/Erzs=")</f>
        <v>#VALUE!</v>
      </c>
      <c r="BI60" t="e">
        <f>AND(Sheet1!B799,"AAAAAC/Erzw=")</f>
        <v>#VALUE!</v>
      </c>
      <c r="BJ60" t="e">
        <f>AND(Sheet1!C799,"AAAAAC/Erz0=")</f>
        <v>#VALUE!</v>
      </c>
      <c r="BK60" t="e">
        <f>AND(Sheet1!D799,"AAAAAC/Erz4=")</f>
        <v>#VALUE!</v>
      </c>
      <c r="BL60" t="e">
        <f>AND(Sheet1!E799,"AAAAAC/Erz8=")</f>
        <v>#VALUE!</v>
      </c>
      <c r="BM60" t="e">
        <f>AND(Sheet1!F799,"AAAAAC/Er0A=")</f>
        <v>#VALUE!</v>
      </c>
      <c r="BN60" t="e">
        <f>AND(Sheet1!G799,"AAAAAC/Er0E=")</f>
        <v>#VALUE!</v>
      </c>
      <c r="BO60" t="e">
        <f>AND(Sheet1!H799,"AAAAAC/Er0I=")</f>
        <v>#VALUE!</v>
      </c>
      <c r="BP60" t="e">
        <f>AND(Sheet1!I799,"AAAAAC/Er0M=")</f>
        <v>#VALUE!</v>
      </c>
      <c r="BQ60" t="e">
        <f>AND(Sheet1!J799,"AAAAAC/Er0Q=")</f>
        <v>#VALUE!</v>
      </c>
      <c r="BR60" t="e">
        <f>AND(Sheet1!K799,"AAAAAC/Er0U=")</f>
        <v>#VALUE!</v>
      </c>
      <c r="BS60" t="e">
        <f>AND(Sheet1!L799,"AAAAAC/Er0Y=")</f>
        <v>#VALUE!</v>
      </c>
      <c r="BT60" t="e">
        <f>AND(Sheet1!M799,"AAAAAC/Er0c=")</f>
        <v>#VALUE!</v>
      </c>
      <c r="BU60" t="e">
        <f>AND(Sheet1!N799,"AAAAAC/Er0g=")</f>
        <v>#VALUE!</v>
      </c>
      <c r="BV60" t="e">
        <f>AND(Sheet1!#REF!,"AAAAAC/Er0k=")</f>
        <v>#REF!</v>
      </c>
      <c r="BW60" t="e">
        <f>AND(Sheet1!#REF!,"AAAAAC/Er0o=")</f>
        <v>#REF!</v>
      </c>
      <c r="BX60" t="e">
        <f>AND(Sheet1!#REF!,"AAAAAC/Er0s=")</f>
        <v>#REF!</v>
      </c>
      <c r="BY60" t="e">
        <f>AND(Sheet1!#REF!,"AAAAAC/Er0w=")</f>
        <v>#REF!</v>
      </c>
      <c r="BZ60">
        <f>IF(Sheet1!800:800,"AAAAAC/Er00=",0)</f>
        <v>0</v>
      </c>
      <c r="CA60" t="e">
        <f>AND(Sheet1!A800,"AAAAAC/Er04=")</f>
        <v>#VALUE!</v>
      </c>
      <c r="CB60" t="e">
        <f>AND(Sheet1!B800,"AAAAAC/Er08=")</f>
        <v>#VALUE!</v>
      </c>
      <c r="CC60" t="e">
        <f>AND(Sheet1!C800,"AAAAAC/Er1A=")</f>
        <v>#VALUE!</v>
      </c>
      <c r="CD60" t="e">
        <f>AND(Sheet1!D800,"AAAAAC/Er1E=")</f>
        <v>#VALUE!</v>
      </c>
      <c r="CE60" t="e">
        <f>AND(Sheet1!E800,"AAAAAC/Er1I=")</f>
        <v>#VALUE!</v>
      </c>
      <c r="CF60" t="e">
        <f>AND(Sheet1!F800,"AAAAAC/Er1M=")</f>
        <v>#VALUE!</v>
      </c>
      <c r="CG60" t="e">
        <f>AND(Sheet1!G800,"AAAAAC/Er1Q=")</f>
        <v>#VALUE!</v>
      </c>
      <c r="CH60" t="e">
        <f>AND(Sheet1!H800,"AAAAAC/Er1U=")</f>
        <v>#VALUE!</v>
      </c>
      <c r="CI60" t="e">
        <f>AND(Sheet1!I800,"AAAAAC/Er1Y=")</f>
        <v>#VALUE!</v>
      </c>
      <c r="CJ60" t="e">
        <f>AND(Sheet1!J800,"AAAAAC/Er1c=")</f>
        <v>#VALUE!</v>
      </c>
      <c r="CK60" t="e">
        <f>AND(Sheet1!K800,"AAAAAC/Er1g=")</f>
        <v>#VALUE!</v>
      </c>
      <c r="CL60" t="e">
        <f>AND(Sheet1!L800,"AAAAAC/Er1k=")</f>
        <v>#VALUE!</v>
      </c>
      <c r="CM60" t="e">
        <f>AND(Sheet1!M800,"AAAAAC/Er1o=")</f>
        <v>#VALUE!</v>
      </c>
      <c r="CN60" t="e">
        <f>AND(Sheet1!N800,"AAAAAC/Er1s=")</f>
        <v>#VALUE!</v>
      </c>
      <c r="CO60" t="e">
        <f>AND(Sheet1!#REF!,"AAAAAC/Er1w=")</f>
        <v>#REF!</v>
      </c>
      <c r="CP60" t="e">
        <f>AND(Sheet1!#REF!,"AAAAAC/Er10=")</f>
        <v>#REF!</v>
      </c>
      <c r="CQ60" t="e">
        <f>AND(Sheet1!#REF!,"AAAAAC/Er14=")</f>
        <v>#REF!</v>
      </c>
      <c r="CR60" t="e">
        <f>AND(Sheet1!#REF!,"AAAAAC/Er18=")</f>
        <v>#REF!</v>
      </c>
      <c r="CS60">
        <f>IF(Sheet1!801:801,"AAAAAC/Er2A=",0)</f>
        <v>0</v>
      </c>
      <c r="CT60" t="e">
        <f>AND(Sheet1!A801,"AAAAAC/Er2E=")</f>
        <v>#VALUE!</v>
      </c>
      <c r="CU60" t="e">
        <f>AND(Sheet1!B801,"AAAAAC/Er2I=")</f>
        <v>#VALUE!</v>
      </c>
      <c r="CV60" t="e">
        <f>AND(Sheet1!C801,"AAAAAC/Er2M=")</f>
        <v>#VALUE!</v>
      </c>
      <c r="CW60" t="e">
        <f>AND(Sheet1!D801,"AAAAAC/Er2Q=")</f>
        <v>#VALUE!</v>
      </c>
      <c r="CX60" t="e">
        <f>AND(Sheet1!E801,"AAAAAC/Er2U=")</f>
        <v>#VALUE!</v>
      </c>
      <c r="CY60" t="e">
        <f>AND(Sheet1!F801,"AAAAAC/Er2Y=")</f>
        <v>#VALUE!</v>
      </c>
      <c r="CZ60" t="e">
        <f>AND(Sheet1!G801,"AAAAAC/Er2c=")</f>
        <v>#VALUE!</v>
      </c>
      <c r="DA60" t="e">
        <f>AND(Sheet1!H801,"AAAAAC/Er2g=")</f>
        <v>#VALUE!</v>
      </c>
      <c r="DB60" t="e">
        <f>AND(Sheet1!I801,"AAAAAC/Er2k=")</f>
        <v>#VALUE!</v>
      </c>
      <c r="DC60" t="e">
        <f>AND(Sheet1!J801,"AAAAAC/Er2o=")</f>
        <v>#VALUE!</v>
      </c>
      <c r="DD60" t="e">
        <f>AND(Sheet1!K801,"AAAAAC/Er2s=")</f>
        <v>#VALUE!</v>
      </c>
      <c r="DE60" t="e">
        <f>AND(Sheet1!L801,"AAAAAC/Er2w=")</f>
        <v>#VALUE!</v>
      </c>
      <c r="DF60" t="e">
        <f>AND(Sheet1!M801,"AAAAAC/Er20=")</f>
        <v>#VALUE!</v>
      </c>
      <c r="DG60" t="e">
        <f>AND(Sheet1!N801,"AAAAAC/Er24=")</f>
        <v>#VALUE!</v>
      </c>
      <c r="DH60" t="e">
        <f>AND(Sheet1!#REF!,"AAAAAC/Er28=")</f>
        <v>#REF!</v>
      </c>
      <c r="DI60" t="e">
        <f>AND(Sheet1!#REF!,"AAAAAC/Er3A=")</f>
        <v>#REF!</v>
      </c>
      <c r="DJ60" t="e">
        <f>AND(Sheet1!#REF!,"AAAAAC/Er3E=")</f>
        <v>#REF!</v>
      </c>
      <c r="DK60" t="e">
        <f>AND(Sheet1!#REF!,"AAAAAC/Er3I=")</f>
        <v>#REF!</v>
      </c>
      <c r="DL60">
        <f>IF(Sheet1!802:802,"AAAAAC/Er3M=",0)</f>
        <v>0</v>
      </c>
      <c r="DM60" t="e">
        <f>AND(Sheet1!A802,"AAAAAC/Er3Q=")</f>
        <v>#VALUE!</v>
      </c>
      <c r="DN60" t="e">
        <f>AND(Sheet1!B802,"AAAAAC/Er3U=")</f>
        <v>#VALUE!</v>
      </c>
      <c r="DO60" t="e">
        <f>AND(Sheet1!C802,"AAAAAC/Er3Y=")</f>
        <v>#VALUE!</v>
      </c>
      <c r="DP60" t="e">
        <f>AND(Sheet1!D802,"AAAAAC/Er3c=")</f>
        <v>#VALUE!</v>
      </c>
      <c r="DQ60" t="e">
        <f>AND(Sheet1!E802,"AAAAAC/Er3g=")</f>
        <v>#VALUE!</v>
      </c>
      <c r="DR60" t="e">
        <f>AND(Sheet1!F802,"AAAAAC/Er3k=")</f>
        <v>#VALUE!</v>
      </c>
      <c r="DS60" t="e">
        <f>AND(Sheet1!G802,"AAAAAC/Er3o=")</f>
        <v>#VALUE!</v>
      </c>
      <c r="DT60" t="e">
        <f>AND(Sheet1!H802,"AAAAAC/Er3s=")</f>
        <v>#VALUE!</v>
      </c>
      <c r="DU60" t="e">
        <f>AND(Sheet1!I802,"AAAAAC/Er3w=")</f>
        <v>#VALUE!</v>
      </c>
      <c r="DV60" t="e">
        <f>AND(Sheet1!J802,"AAAAAC/Er30=")</f>
        <v>#VALUE!</v>
      </c>
      <c r="DW60" t="e">
        <f>AND(Sheet1!K802,"AAAAAC/Er34=")</f>
        <v>#VALUE!</v>
      </c>
      <c r="DX60" t="e">
        <f>AND(Sheet1!L802,"AAAAAC/Er38=")</f>
        <v>#VALUE!</v>
      </c>
      <c r="DY60" t="e">
        <f>AND(Sheet1!M802,"AAAAAC/Er4A=")</f>
        <v>#VALUE!</v>
      </c>
      <c r="DZ60" t="e">
        <f>AND(Sheet1!N802,"AAAAAC/Er4E=")</f>
        <v>#VALUE!</v>
      </c>
      <c r="EA60" t="e">
        <f>AND(Sheet1!#REF!,"AAAAAC/Er4I=")</f>
        <v>#REF!</v>
      </c>
      <c r="EB60" t="e">
        <f>AND(Sheet1!#REF!,"AAAAAC/Er4M=")</f>
        <v>#REF!</v>
      </c>
      <c r="EC60" t="e">
        <f>AND(Sheet1!#REF!,"AAAAAC/Er4Q=")</f>
        <v>#REF!</v>
      </c>
      <c r="ED60" t="e">
        <f>AND(Sheet1!#REF!,"AAAAAC/Er4U=")</f>
        <v>#REF!</v>
      </c>
      <c r="EE60">
        <f>IF(Sheet1!803:803,"AAAAAC/Er4Y=",0)</f>
        <v>0</v>
      </c>
      <c r="EF60" t="e">
        <f>AND(Sheet1!A803,"AAAAAC/Er4c=")</f>
        <v>#VALUE!</v>
      </c>
      <c r="EG60" t="e">
        <f>AND(Sheet1!B803,"AAAAAC/Er4g=")</f>
        <v>#VALUE!</v>
      </c>
      <c r="EH60" t="e">
        <f>AND(Sheet1!C803,"AAAAAC/Er4k=")</f>
        <v>#VALUE!</v>
      </c>
      <c r="EI60" t="e">
        <f>AND(Sheet1!D803,"AAAAAC/Er4o=")</f>
        <v>#VALUE!</v>
      </c>
      <c r="EJ60" t="e">
        <f>AND(Sheet1!E803,"AAAAAC/Er4s=")</f>
        <v>#VALUE!</v>
      </c>
      <c r="EK60" t="e">
        <f>AND(Sheet1!F803,"AAAAAC/Er4w=")</f>
        <v>#VALUE!</v>
      </c>
      <c r="EL60" t="e">
        <f>AND(Sheet1!G803,"AAAAAC/Er40=")</f>
        <v>#VALUE!</v>
      </c>
      <c r="EM60" t="e">
        <f>AND(Sheet1!H803,"AAAAAC/Er44=")</f>
        <v>#VALUE!</v>
      </c>
      <c r="EN60" t="e">
        <f>AND(Sheet1!I803,"AAAAAC/Er48=")</f>
        <v>#VALUE!</v>
      </c>
      <c r="EO60" t="e">
        <f>AND(Sheet1!J803,"AAAAAC/Er5A=")</f>
        <v>#VALUE!</v>
      </c>
      <c r="EP60" t="e">
        <f>AND(Sheet1!K803,"AAAAAC/Er5E=")</f>
        <v>#VALUE!</v>
      </c>
      <c r="EQ60" t="e">
        <f>AND(Sheet1!L803,"AAAAAC/Er5I=")</f>
        <v>#VALUE!</v>
      </c>
      <c r="ER60" t="e">
        <f>AND(Sheet1!M803,"AAAAAC/Er5M=")</f>
        <v>#VALUE!</v>
      </c>
      <c r="ES60" t="e">
        <f>AND(Sheet1!N803,"AAAAAC/Er5Q=")</f>
        <v>#VALUE!</v>
      </c>
      <c r="ET60" t="e">
        <f>AND(Sheet1!#REF!,"AAAAAC/Er5U=")</f>
        <v>#REF!</v>
      </c>
      <c r="EU60" t="e">
        <f>AND(Sheet1!#REF!,"AAAAAC/Er5Y=")</f>
        <v>#REF!</v>
      </c>
      <c r="EV60" t="e">
        <f>AND(Sheet1!#REF!,"AAAAAC/Er5c=")</f>
        <v>#REF!</v>
      </c>
      <c r="EW60" t="e">
        <f>AND(Sheet1!#REF!,"AAAAAC/Er5g=")</f>
        <v>#REF!</v>
      </c>
      <c r="EX60">
        <f>IF(Sheet1!804:804,"AAAAAC/Er5k=",0)</f>
        <v>0</v>
      </c>
      <c r="EY60" t="e">
        <f>AND(Sheet1!A804,"AAAAAC/Er5o=")</f>
        <v>#VALUE!</v>
      </c>
      <c r="EZ60" t="e">
        <f>AND(Sheet1!B804,"AAAAAC/Er5s=")</f>
        <v>#VALUE!</v>
      </c>
      <c r="FA60" t="e">
        <f>AND(Sheet1!C804,"AAAAAC/Er5w=")</f>
        <v>#VALUE!</v>
      </c>
      <c r="FB60" t="e">
        <f>AND(Sheet1!D804,"AAAAAC/Er50=")</f>
        <v>#VALUE!</v>
      </c>
      <c r="FC60" t="e">
        <f>AND(Sheet1!E804,"AAAAAC/Er54=")</f>
        <v>#VALUE!</v>
      </c>
      <c r="FD60" t="e">
        <f>AND(Sheet1!F804,"AAAAAC/Er58=")</f>
        <v>#VALUE!</v>
      </c>
      <c r="FE60" t="e">
        <f>AND(Sheet1!G804,"AAAAAC/Er6A=")</f>
        <v>#VALUE!</v>
      </c>
      <c r="FF60" t="e">
        <f>AND(Sheet1!H804,"AAAAAC/Er6E=")</f>
        <v>#VALUE!</v>
      </c>
      <c r="FG60" t="e">
        <f>AND(Sheet1!I804,"AAAAAC/Er6I=")</f>
        <v>#VALUE!</v>
      </c>
      <c r="FH60" t="e">
        <f>AND(Sheet1!J804,"AAAAAC/Er6M=")</f>
        <v>#VALUE!</v>
      </c>
      <c r="FI60" t="e">
        <f>AND(Sheet1!K804,"AAAAAC/Er6Q=")</f>
        <v>#VALUE!</v>
      </c>
      <c r="FJ60" t="e">
        <f>AND(Sheet1!L804,"AAAAAC/Er6U=")</f>
        <v>#VALUE!</v>
      </c>
      <c r="FK60" t="e">
        <f>AND(Sheet1!M804,"AAAAAC/Er6Y=")</f>
        <v>#VALUE!</v>
      </c>
      <c r="FL60" t="e">
        <f>AND(Sheet1!N804,"AAAAAC/Er6c=")</f>
        <v>#VALUE!</v>
      </c>
      <c r="FM60" t="e">
        <f>AND(Sheet1!#REF!,"AAAAAC/Er6g=")</f>
        <v>#REF!</v>
      </c>
      <c r="FN60" t="e">
        <f>AND(Sheet1!#REF!,"AAAAAC/Er6k=")</f>
        <v>#REF!</v>
      </c>
      <c r="FO60" t="e">
        <f>AND(Sheet1!#REF!,"AAAAAC/Er6o=")</f>
        <v>#REF!</v>
      </c>
      <c r="FP60" t="e">
        <f>AND(Sheet1!#REF!,"AAAAAC/Er6s=")</f>
        <v>#REF!</v>
      </c>
      <c r="FQ60">
        <f>IF(Sheet1!805:805,"AAAAAC/Er6w=",0)</f>
        <v>0</v>
      </c>
      <c r="FR60" t="e">
        <f>AND(Sheet1!A805,"AAAAAC/Er60=")</f>
        <v>#VALUE!</v>
      </c>
      <c r="FS60" t="e">
        <f>AND(Sheet1!B805,"AAAAAC/Er64=")</f>
        <v>#VALUE!</v>
      </c>
      <c r="FT60" t="e">
        <f>AND(Sheet1!C805,"AAAAAC/Er68=")</f>
        <v>#VALUE!</v>
      </c>
      <c r="FU60" t="e">
        <f>AND(Sheet1!D805,"AAAAAC/Er7A=")</f>
        <v>#VALUE!</v>
      </c>
      <c r="FV60" t="e">
        <f>AND(Sheet1!E805,"AAAAAC/Er7E=")</f>
        <v>#VALUE!</v>
      </c>
      <c r="FW60" t="e">
        <f>AND(Sheet1!F805,"AAAAAC/Er7I=")</f>
        <v>#VALUE!</v>
      </c>
      <c r="FX60" t="e">
        <f>AND(Sheet1!G805,"AAAAAC/Er7M=")</f>
        <v>#VALUE!</v>
      </c>
      <c r="FY60" t="e">
        <f>AND(Sheet1!H805,"AAAAAC/Er7Q=")</f>
        <v>#VALUE!</v>
      </c>
      <c r="FZ60" t="e">
        <f>AND(Sheet1!I805,"AAAAAC/Er7U=")</f>
        <v>#VALUE!</v>
      </c>
      <c r="GA60" t="e">
        <f>AND(Sheet1!J805,"AAAAAC/Er7Y=")</f>
        <v>#VALUE!</v>
      </c>
      <c r="GB60" t="e">
        <f>AND(Sheet1!K805,"AAAAAC/Er7c=")</f>
        <v>#VALUE!</v>
      </c>
      <c r="GC60" t="e">
        <f>AND(Sheet1!L805,"AAAAAC/Er7g=")</f>
        <v>#VALUE!</v>
      </c>
      <c r="GD60" t="e">
        <f>AND(Sheet1!M805,"AAAAAC/Er7k=")</f>
        <v>#VALUE!</v>
      </c>
      <c r="GE60" t="e">
        <f>AND(Sheet1!N805,"AAAAAC/Er7o=")</f>
        <v>#VALUE!</v>
      </c>
      <c r="GF60" t="e">
        <f>AND(Sheet1!#REF!,"AAAAAC/Er7s=")</f>
        <v>#REF!</v>
      </c>
      <c r="GG60" t="e">
        <f>AND(Sheet1!#REF!,"AAAAAC/Er7w=")</f>
        <v>#REF!</v>
      </c>
      <c r="GH60" t="e">
        <f>AND(Sheet1!#REF!,"AAAAAC/Er70=")</f>
        <v>#REF!</v>
      </c>
      <c r="GI60" t="e">
        <f>AND(Sheet1!#REF!,"AAAAAC/Er74=")</f>
        <v>#REF!</v>
      </c>
      <c r="GJ60">
        <f>IF(Sheet1!806:806,"AAAAAC/Er78=",0)</f>
        <v>0</v>
      </c>
      <c r="GK60" t="e">
        <f>AND(Sheet1!A806,"AAAAAC/Er8A=")</f>
        <v>#VALUE!</v>
      </c>
      <c r="GL60" t="e">
        <f>AND(Sheet1!B806,"AAAAAC/Er8E=")</f>
        <v>#VALUE!</v>
      </c>
      <c r="GM60" t="e">
        <f>AND(Sheet1!C806,"AAAAAC/Er8I=")</f>
        <v>#VALUE!</v>
      </c>
      <c r="GN60" t="e">
        <f>AND(Sheet1!D806,"AAAAAC/Er8M=")</f>
        <v>#VALUE!</v>
      </c>
      <c r="GO60" t="e">
        <f>AND(Sheet1!E806,"AAAAAC/Er8Q=")</f>
        <v>#VALUE!</v>
      </c>
      <c r="GP60" t="e">
        <f>AND(Sheet1!F806,"AAAAAC/Er8U=")</f>
        <v>#VALUE!</v>
      </c>
      <c r="GQ60" t="e">
        <f>AND(Sheet1!G806,"AAAAAC/Er8Y=")</f>
        <v>#VALUE!</v>
      </c>
      <c r="GR60" t="e">
        <f>AND(Sheet1!H806,"AAAAAC/Er8c=")</f>
        <v>#VALUE!</v>
      </c>
      <c r="GS60" t="e">
        <f>AND(Sheet1!I806,"AAAAAC/Er8g=")</f>
        <v>#VALUE!</v>
      </c>
      <c r="GT60" t="e">
        <f>AND(Sheet1!J806,"AAAAAC/Er8k=")</f>
        <v>#VALUE!</v>
      </c>
      <c r="GU60" t="e">
        <f>AND(Sheet1!K806,"AAAAAC/Er8o=")</f>
        <v>#VALUE!</v>
      </c>
      <c r="GV60" t="e">
        <f>AND(Sheet1!L806,"AAAAAC/Er8s=")</f>
        <v>#VALUE!</v>
      </c>
      <c r="GW60" t="e">
        <f>AND(Sheet1!M806,"AAAAAC/Er8w=")</f>
        <v>#VALUE!</v>
      </c>
      <c r="GX60" t="e">
        <f>AND(Sheet1!N806,"AAAAAC/Er80=")</f>
        <v>#VALUE!</v>
      </c>
      <c r="GY60" t="e">
        <f>AND(Sheet1!#REF!,"AAAAAC/Er84=")</f>
        <v>#REF!</v>
      </c>
      <c r="GZ60" t="e">
        <f>AND(Sheet1!#REF!,"AAAAAC/Er88=")</f>
        <v>#REF!</v>
      </c>
      <c r="HA60" t="e">
        <f>AND(Sheet1!#REF!,"AAAAAC/Er9A=")</f>
        <v>#REF!</v>
      </c>
      <c r="HB60" t="e">
        <f>AND(Sheet1!#REF!,"AAAAAC/Er9E=")</f>
        <v>#REF!</v>
      </c>
      <c r="HC60">
        <f>IF(Sheet1!807:807,"AAAAAC/Er9I=",0)</f>
        <v>0</v>
      </c>
      <c r="HD60" t="e">
        <f>AND(Sheet1!A807,"AAAAAC/Er9M=")</f>
        <v>#VALUE!</v>
      </c>
      <c r="HE60" t="e">
        <f>AND(Sheet1!B807,"AAAAAC/Er9Q=")</f>
        <v>#VALUE!</v>
      </c>
      <c r="HF60" t="e">
        <f>AND(Sheet1!C807,"AAAAAC/Er9U=")</f>
        <v>#VALUE!</v>
      </c>
      <c r="HG60" t="e">
        <f>AND(Sheet1!D807,"AAAAAC/Er9Y=")</f>
        <v>#VALUE!</v>
      </c>
      <c r="HH60" t="e">
        <f>AND(Sheet1!E807,"AAAAAC/Er9c=")</f>
        <v>#VALUE!</v>
      </c>
      <c r="HI60" t="e">
        <f>AND(Sheet1!F807,"AAAAAC/Er9g=")</f>
        <v>#VALUE!</v>
      </c>
      <c r="HJ60" t="e">
        <f>AND(Sheet1!G807,"AAAAAC/Er9k=")</f>
        <v>#VALUE!</v>
      </c>
      <c r="HK60" t="e">
        <f>AND(Sheet1!H807,"AAAAAC/Er9o=")</f>
        <v>#VALUE!</v>
      </c>
      <c r="HL60" t="e">
        <f>AND(Sheet1!I807,"AAAAAC/Er9s=")</f>
        <v>#VALUE!</v>
      </c>
      <c r="HM60" t="e">
        <f>AND(Sheet1!J807,"AAAAAC/Er9w=")</f>
        <v>#VALUE!</v>
      </c>
      <c r="HN60" t="e">
        <f>AND(Sheet1!K807,"AAAAAC/Er90=")</f>
        <v>#VALUE!</v>
      </c>
      <c r="HO60" t="e">
        <f>AND(Sheet1!L807,"AAAAAC/Er94=")</f>
        <v>#VALUE!</v>
      </c>
      <c r="HP60" t="e">
        <f>AND(Sheet1!M807,"AAAAAC/Er98=")</f>
        <v>#VALUE!</v>
      </c>
      <c r="HQ60" t="e">
        <f>AND(Sheet1!N807,"AAAAAC/Er+A=")</f>
        <v>#VALUE!</v>
      </c>
      <c r="HR60" t="e">
        <f>AND(Sheet1!#REF!,"AAAAAC/Er+E=")</f>
        <v>#REF!</v>
      </c>
      <c r="HS60" t="e">
        <f>AND(Sheet1!#REF!,"AAAAAC/Er+I=")</f>
        <v>#REF!</v>
      </c>
      <c r="HT60" t="e">
        <f>AND(Sheet1!#REF!,"AAAAAC/Er+M=")</f>
        <v>#REF!</v>
      </c>
      <c r="HU60" t="e">
        <f>AND(Sheet1!#REF!,"AAAAAC/Er+Q=")</f>
        <v>#REF!</v>
      </c>
      <c r="HV60">
        <f>IF(Sheet1!808:808,"AAAAAC/Er+U=",0)</f>
        <v>0</v>
      </c>
      <c r="HW60" t="e">
        <f>AND(Sheet1!A808,"AAAAAC/Er+Y=")</f>
        <v>#VALUE!</v>
      </c>
      <c r="HX60" t="e">
        <f>AND(Sheet1!B808,"AAAAAC/Er+c=")</f>
        <v>#VALUE!</v>
      </c>
      <c r="HY60" t="e">
        <f>AND(Sheet1!C808,"AAAAAC/Er+g=")</f>
        <v>#VALUE!</v>
      </c>
      <c r="HZ60" t="e">
        <f>AND(Sheet1!D808,"AAAAAC/Er+k=")</f>
        <v>#VALUE!</v>
      </c>
      <c r="IA60" t="e">
        <f>AND(Sheet1!E808,"AAAAAC/Er+o=")</f>
        <v>#VALUE!</v>
      </c>
      <c r="IB60" t="e">
        <f>AND(Sheet1!F808,"AAAAAC/Er+s=")</f>
        <v>#VALUE!</v>
      </c>
      <c r="IC60" t="e">
        <f>AND(Sheet1!G808,"AAAAAC/Er+w=")</f>
        <v>#VALUE!</v>
      </c>
      <c r="ID60" t="e">
        <f>AND(Sheet1!H808,"AAAAAC/Er+0=")</f>
        <v>#VALUE!</v>
      </c>
      <c r="IE60" t="e">
        <f>AND(Sheet1!I808,"AAAAAC/Er+4=")</f>
        <v>#VALUE!</v>
      </c>
      <c r="IF60" t="e">
        <f>AND(Sheet1!J808,"AAAAAC/Er+8=")</f>
        <v>#VALUE!</v>
      </c>
      <c r="IG60" t="e">
        <f>AND(Sheet1!K808,"AAAAAC/Er/A=")</f>
        <v>#VALUE!</v>
      </c>
      <c r="IH60" t="e">
        <f>AND(Sheet1!L808,"AAAAAC/Er/E=")</f>
        <v>#VALUE!</v>
      </c>
      <c r="II60" t="e">
        <f>AND(Sheet1!M808,"AAAAAC/Er/I=")</f>
        <v>#VALUE!</v>
      </c>
      <c r="IJ60" t="e">
        <f>AND(Sheet1!N808,"AAAAAC/Er/M=")</f>
        <v>#VALUE!</v>
      </c>
      <c r="IK60" t="e">
        <f>AND(Sheet1!#REF!,"AAAAAC/Er/Q=")</f>
        <v>#REF!</v>
      </c>
      <c r="IL60" t="e">
        <f>AND(Sheet1!#REF!,"AAAAAC/Er/U=")</f>
        <v>#REF!</v>
      </c>
      <c r="IM60" t="e">
        <f>AND(Sheet1!#REF!,"AAAAAC/Er/Y=")</f>
        <v>#REF!</v>
      </c>
      <c r="IN60" t="e">
        <f>AND(Sheet1!#REF!,"AAAAAC/Er/c=")</f>
        <v>#REF!</v>
      </c>
      <c r="IO60">
        <f>IF(Sheet1!809:809,"AAAAAC/Er/g=",0)</f>
        <v>0</v>
      </c>
      <c r="IP60" t="e">
        <f>AND(Sheet1!A809,"AAAAAC/Er/k=")</f>
        <v>#VALUE!</v>
      </c>
      <c r="IQ60" t="e">
        <f>AND(Sheet1!B809,"AAAAAC/Er/o=")</f>
        <v>#VALUE!</v>
      </c>
      <c r="IR60" t="e">
        <f>AND(Sheet1!C809,"AAAAAC/Er/s=")</f>
        <v>#VALUE!</v>
      </c>
      <c r="IS60" t="e">
        <f>AND(Sheet1!D809,"AAAAAC/Er/w=")</f>
        <v>#VALUE!</v>
      </c>
      <c r="IT60" t="e">
        <f>AND(Sheet1!E809,"AAAAAC/Er/0=")</f>
        <v>#VALUE!</v>
      </c>
      <c r="IU60" t="e">
        <f>AND(Sheet1!F809,"AAAAAC/Er/4=")</f>
        <v>#VALUE!</v>
      </c>
      <c r="IV60" t="e">
        <f>AND(Sheet1!G809,"AAAAAC/Er/8=")</f>
        <v>#VALUE!</v>
      </c>
    </row>
    <row r="61" spans="1:256" x14ac:dyDescent="0.2">
      <c r="A61" t="e">
        <f>AND(Sheet1!H809,"AAAAAHz6/gA=")</f>
        <v>#VALUE!</v>
      </c>
      <c r="B61" t="e">
        <f>AND(Sheet1!I809,"AAAAAHz6/gE=")</f>
        <v>#VALUE!</v>
      </c>
      <c r="C61" t="e">
        <f>AND(Sheet1!J809,"AAAAAHz6/gI=")</f>
        <v>#VALUE!</v>
      </c>
      <c r="D61" t="e">
        <f>AND(Sheet1!K809,"AAAAAHz6/gM=")</f>
        <v>#VALUE!</v>
      </c>
      <c r="E61" t="e">
        <f>AND(Sheet1!L809,"AAAAAHz6/gQ=")</f>
        <v>#VALUE!</v>
      </c>
      <c r="F61" t="e">
        <f>AND(Sheet1!M809,"AAAAAHz6/gU=")</f>
        <v>#VALUE!</v>
      </c>
      <c r="G61" t="e">
        <f>AND(Sheet1!N809,"AAAAAHz6/gY=")</f>
        <v>#VALUE!</v>
      </c>
      <c r="H61" t="e">
        <f>AND(Sheet1!#REF!,"AAAAAHz6/gc=")</f>
        <v>#REF!</v>
      </c>
      <c r="I61" t="e">
        <f>AND(Sheet1!#REF!,"AAAAAHz6/gg=")</f>
        <v>#REF!</v>
      </c>
      <c r="J61" t="e">
        <f>AND(Sheet1!#REF!,"AAAAAHz6/gk=")</f>
        <v>#REF!</v>
      </c>
      <c r="K61" t="e">
        <f>AND(Sheet1!#REF!,"AAAAAHz6/go=")</f>
        <v>#REF!</v>
      </c>
      <c r="L61">
        <f>IF(Sheet1!810:810,"AAAAAHz6/gs=",0)</f>
        <v>0</v>
      </c>
      <c r="M61" t="e">
        <f>AND(Sheet1!A810,"AAAAAHz6/gw=")</f>
        <v>#VALUE!</v>
      </c>
      <c r="N61" t="e">
        <f>AND(Sheet1!B810,"AAAAAHz6/g0=")</f>
        <v>#VALUE!</v>
      </c>
      <c r="O61" t="e">
        <f>AND(Sheet1!C810,"AAAAAHz6/g4=")</f>
        <v>#VALUE!</v>
      </c>
      <c r="P61" t="e">
        <f>AND(Sheet1!D810,"AAAAAHz6/g8=")</f>
        <v>#VALUE!</v>
      </c>
      <c r="Q61" t="e">
        <f>AND(Sheet1!E810,"AAAAAHz6/hA=")</f>
        <v>#VALUE!</v>
      </c>
      <c r="R61" t="e">
        <f>AND(Sheet1!F810,"AAAAAHz6/hE=")</f>
        <v>#VALUE!</v>
      </c>
      <c r="S61" t="e">
        <f>AND(Sheet1!G810,"AAAAAHz6/hI=")</f>
        <v>#VALUE!</v>
      </c>
      <c r="T61" t="e">
        <f>AND(Sheet1!H810,"AAAAAHz6/hM=")</f>
        <v>#VALUE!</v>
      </c>
      <c r="U61" t="e">
        <f>AND(Sheet1!I810,"AAAAAHz6/hQ=")</f>
        <v>#VALUE!</v>
      </c>
      <c r="V61" t="e">
        <f>AND(Sheet1!J810,"AAAAAHz6/hU=")</f>
        <v>#VALUE!</v>
      </c>
      <c r="W61" t="e">
        <f>AND(Sheet1!K810,"AAAAAHz6/hY=")</f>
        <v>#VALUE!</v>
      </c>
      <c r="X61" t="e">
        <f>AND(Sheet1!L810,"AAAAAHz6/hc=")</f>
        <v>#VALUE!</v>
      </c>
      <c r="Y61" t="e">
        <f>AND(Sheet1!M810,"AAAAAHz6/hg=")</f>
        <v>#VALUE!</v>
      </c>
      <c r="Z61" t="e">
        <f>AND(Sheet1!N810,"AAAAAHz6/hk=")</f>
        <v>#VALUE!</v>
      </c>
      <c r="AA61" t="e">
        <f>AND(Sheet1!#REF!,"AAAAAHz6/ho=")</f>
        <v>#REF!</v>
      </c>
      <c r="AB61" t="e">
        <f>AND(Sheet1!#REF!,"AAAAAHz6/hs=")</f>
        <v>#REF!</v>
      </c>
      <c r="AC61" t="e">
        <f>AND(Sheet1!#REF!,"AAAAAHz6/hw=")</f>
        <v>#REF!</v>
      </c>
      <c r="AD61" t="e">
        <f>AND(Sheet1!#REF!,"AAAAAHz6/h0=")</f>
        <v>#REF!</v>
      </c>
      <c r="AE61">
        <f>IF(Sheet1!811:811,"AAAAAHz6/h4=",0)</f>
        <v>0</v>
      </c>
      <c r="AF61" t="e">
        <f>AND(Sheet1!A811,"AAAAAHz6/h8=")</f>
        <v>#VALUE!</v>
      </c>
      <c r="AG61" t="e">
        <f>AND(Sheet1!B811,"AAAAAHz6/iA=")</f>
        <v>#VALUE!</v>
      </c>
      <c r="AH61" t="e">
        <f>AND(Sheet1!C811,"AAAAAHz6/iE=")</f>
        <v>#VALUE!</v>
      </c>
      <c r="AI61" t="e">
        <f>AND(Sheet1!D811,"AAAAAHz6/iI=")</f>
        <v>#VALUE!</v>
      </c>
      <c r="AJ61" t="e">
        <f>AND(Sheet1!E811,"AAAAAHz6/iM=")</f>
        <v>#VALUE!</v>
      </c>
      <c r="AK61" t="e">
        <f>AND(Sheet1!F811,"AAAAAHz6/iQ=")</f>
        <v>#VALUE!</v>
      </c>
      <c r="AL61" t="e">
        <f>AND(Sheet1!G811,"AAAAAHz6/iU=")</f>
        <v>#VALUE!</v>
      </c>
      <c r="AM61" t="e">
        <f>AND(Sheet1!H811,"AAAAAHz6/iY=")</f>
        <v>#VALUE!</v>
      </c>
      <c r="AN61" t="e">
        <f>AND(Sheet1!I811,"AAAAAHz6/ic=")</f>
        <v>#VALUE!</v>
      </c>
      <c r="AO61" t="e">
        <f>AND(Sheet1!J811,"AAAAAHz6/ig=")</f>
        <v>#VALUE!</v>
      </c>
      <c r="AP61" t="e">
        <f>AND(Sheet1!K811,"AAAAAHz6/ik=")</f>
        <v>#VALUE!</v>
      </c>
      <c r="AQ61" t="e">
        <f>AND(Sheet1!L811,"AAAAAHz6/io=")</f>
        <v>#VALUE!</v>
      </c>
      <c r="AR61" t="e">
        <f>AND(Sheet1!M811,"AAAAAHz6/is=")</f>
        <v>#VALUE!</v>
      </c>
      <c r="AS61" t="e">
        <f>AND(Sheet1!N811,"AAAAAHz6/iw=")</f>
        <v>#VALUE!</v>
      </c>
      <c r="AT61" t="e">
        <f>AND(Sheet1!#REF!,"AAAAAHz6/i0=")</f>
        <v>#REF!</v>
      </c>
      <c r="AU61" t="e">
        <f>AND(Sheet1!#REF!,"AAAAAHz6/i4=")</f>
        <v>#REF!</v>
      </c>
      <c r="AV61" t="e">
        <f>AND(Sheet1!#REF!,"AAAAAHz6/i8=")</f>
        <v>#REF!</v>
      </c>
      <c r="AW61" t="e">
        <f>AND(Sheet1!#REF!,"AAAAAHz6/jA=")</f>
        <v>#REF!</v>
      </c>
      <c r="AX61">
        <f>IF(Sheet1!812:812,"AAAAAHz6/jE=",0)</f>
        <v>0</v>
      </c>
      <c r="AY61" t="e">
        <f>AND(Sheet1!A812,"AAAAAHz6/jI=")</f>
        <v>#VALUE!</v>
      </c>
      <c r="AZ61" t="e">
        <f>AND(Sheet1!B812,"AAAAAHz6/jM=")</f>
        <v>#VALUE!</v>
      </c>
      <c r="BA61" t="e">
        <f>AND(Sheet1!C812,"AAAAAHz6/jQ=")</f>
        <v>#VALUE!</v>
      </c>
      <c r="BB61" t="e">
        <f>AND(Sheet1!D812,"AAAAAHz6/jU=")</f>
        <v>#VALUE!</v>
      </c>
      <c r="BC61" t="e">
        <f>AND(Sheet1!E812,"AAAAAHz6/jY=")</f>
        <v>#VALUE!</v>
      </c>
      <c r="BD61" t="e">
        <f>AND(Sheet1!F812,"AAAAAHz6/jc=")</f>
        <v>#VALUE!</v>
      </c>
      <c r="BE61" t="e">
        <f>AND(Sheet1!G812,"AAAAAHz6/jg=")</f>
        <v>#VALUE!</v>
      </c>
      <c r="BF61" t="e">
        <f>AND(Sheet1!H812,"AAAAAHz6/jk=")</f>
        <v>#VALUE!</v>
      </c>
      <c r="BG61" t="e">
        <f>AND(Sheet1!I812,"AAAAAHz6/jo=")</f>
        <v>#VALUE!</v>
      </c>
      <c r="BH61" t="e">
        <f>AND(Sheet1!J812,"AAAAAHz6/js=")</f>
        <v>#VALUE!</v>
      </c>
      <c r="BI61" t="e">
        <f>AND(Sheet1!K812,"AAAAAHz6/jw=")</f>
        <v>#VALUE!</v>
      </c>
      <c r="BJ61" t="e">
        <f>AND(Sheet1!L812,"AAAAAHz6/j0=")</f>
        <v>#VALUE!</v>
      </c>
      <c r="BK61" t="e">
        <f>AND(Sheet1!M812,"AAAAAHz6/j4=")</f>
        <v>#VALUE!</v>
      </c>
      <c r="BL61" t="e">
        <f>AND(Sheet1!N812,"AAAAAHz6/j8=")</f>
        <v>#VALUE!</v>
      </c>
      <c r="BM61" t="e">
        <f>AND(Sheet1!#REF!,"AAAAAHz6/kA=")</f>
        <v>#REF!</v>
      </c>
      <c r="BN61" t="e">
        <f>AND(Sheet1!#REF!,"AAAAAHz6/kE=")</f>
        <v>#REF!</v>
      </c>
      <c r="BO61" t="e">
        <f>AND(Sheet1!#REF!,"AAAAAHz6/kI=")</f>
        <v>#REF!</v>
      </c>
      <c r="BP61" t="e">
        <f>AND(Sheet1!#REF!,"AAAAAHz6/kM=")</f>
        <v>#REF!</v>
      </c>
      <c r="BQ61">
        <f>IF(Sheet1!813:813,"AAAAAHz6/kQ=",0)</f>
        <v>0</v>
      </c>
      <c r="BR61" t="e">
        <f>AND(Sheet1!A813,"AAAAAHz6/kU=")</f>
        <v>#VALUE!</v>
      </c>
      <c r="BS61" t="e">
        <f>AND(Sheet1!B813,"AAAAAHz6/kY=")</f>
        <v>#VALUE!</v>
      </c>
      <c r="BT61" t="e">
        <f>AND(Sheet1!C813,"AAAAAHz6/kc=")</f>
        <v>#VALUE!</v>
      </c>
      <c r="BU61" t="e">
        <f>AND(Sheet1!D813,"AAAAAHz6/kg=")</f>
        <v>#VALUE!</v>
      </c>
      <c r="BV61" t="e">
        <f>AND(Sheet1!E813,"AAAAAHz6/kk=")</f>
        <v>#VALUE!</v>
      </c>
      <c r="BW61" t="e">
        <f>AND(Sheet1!F813,"AAAAAHz6/ko=")</f>
        <v>#VALUE!</v>
      </c>
      <c r="BX61" t="e">
        <f>AND(Sheet1!G813,"AAAAAHz6/ks=")</f>
        <v>#VALUE!</v>
      </c>
      <c r="BY61" t="e">
        <f>AND(Sheet1!H813,"AAAAAHz6/kw=")</f>
        <v>#VALUE!</v>
      </c>
      <c r="BZ61" t="e">
        <f>AND(Sheet1!I813,"AAAAAHz6/k0=")</f>
        <v>#VALUE!</v>
      </c>
      <c r="CA61" t="e">
        <f>AND(Sheet1!J813,"AAAAAHz6/k4=")</f>
        <v>#VALUE!</v>
      </c>
      <c r="CB61" t="e">
        <f>AND(Sheet1!K813,"AAAAAHz6/k8=")</f>
        <v>#VALUE!</v>
      </c>
      <c r="CC61" t="e">
        <f>AND(Sheet1!L813,"AAAAAHz6/lA=")</f>
        <v>#VALUE!</v>
      </c>
      <c r="CD61" t="e">
        <f>AND(Sheet1!M813,"AAAAAHz6/lE=")</f>
        <v>#VALUE!</v>
      </c>
      <c r="CE61" t="e">
        <f>AND(Sheet1!N813,"AAAAAHz6/lI=")</f>
        <v>#VALUE!</v>
      </c>
      <c r="CF61" t="e">
        <f>AND(Sheet1!#REF!,"AAAAAHz6/lM=")</f>
        <v>#REF!</v>
      </c>
      <c r="CG61" t="e">
        <f>AND(Sheet1!#REF!,"AAAAAHz6/lQ=")</f>
        <v>#REF!</v>
      </c>
      <c r="CH61" t="e">
        <f>AND(Sheet1!#REF!,"AAAAAHz6/lU=")</f>
        <v>#REF!</v>
      </c>
      <c r="CI61" t="e">
        <f>AND(Sheet1!#REF!,"AAAAAHz6/lY=")</f>
        <v>#REF!</v>
      </c>
      <c r="CJ61">
        <f>IF(Sheet1!814:814,"AAAAAHz6/lc=",0)</f>
        <v>0</v>
      </c>
      <c r="CK61" t="e">
        <f>AND(Sheet1!A814,"AAAAAHz6/lg=")</f>
        <v>#VALUE!</v>
      </c>
      <c r="CL61" t="e">
        <f>AND(Sheet1!B814,"AAAAAHz6/lk=")</f>
        <v>#VALUE!</v>
      </c>
      <c r="CM61" t="e">
        <f>AND(Sheet1!C814,"AAAAAHz6/lo=")</f>
        <v>#VALUE!</v>
      </c>
      <c r="CN61" t="e">
        <f>AND(Sheet1!D814,"AAAAAHz6/ls=")</f>
        <v>#VALUE!</v>
      </c>
      <c r="CO61" t="e">
        <f>AND(Sheet1!E814,"AAAAAHz6/lw=")</f>
        <v>#VALUE!</v>
      </c>
      <c r="CP61" t="e">
        <f>AND(Sheet1!F814,"AAAAAHz6/l0=")</f>
        <v>#VALUE!</v>
      </c>
      <c r="CQ61" t="e">
        <f>AND(Sheet1!G814,"AAAAAHz6/l4=")</f>
        <v>#VALUE!</v>
      </c>
      <c r="CR61" t="e">
        <f>AND(Sheet1!H814,"AAAAAHz6/l8=")</f>
        <v>#VALUE!</v>
      </c>
      <c r="CS61" t="e">
        <f>AND(Sheet1!I814,"AAAAAHz6/mA=")</f>
        <v>#VALUE!</v>
      </c>
      <c r="CT61" t="e">
        <f>AND(Sheet1!J814,"AAAAAHz6/mE=")</f>
        <v>#VALUE!</v>
      </c>
      <c r="CU61" t="e">
        <f>AND(Sheet1!K814,"AAAAAHz6/mI=")</f>
        <v>#VALUE!</v>
      </c>
      <c r="CV61" t="e">
        <f>AND(Sheet1!L814,"AAAAAHz6/mM=")</f>
        <v>#VALUE!</v>
      </c>
      <c r="CW61" t="e">
        <f>AND(Sheet1!M814,"AAAAAHz6/mQ=")</f>
        <v>#VALUE!</v>
      </c>
      <c r="CX61" t="e">
        <f>AND(Sheet1!N814,"AAAAAHz6/mU=")</f>
        <v>#VALUE!</v>
      </c>
      <c r="CY61" t="e">
        <f>AND(Sheet1!#REF!,"AAAAAHz6/mY=")</f>
        <v>#REF!</v>
      </c>
      <c r="CZ61" t="e">
        <f>AND(Sheet1!#REF!,"AAAAAHz6/mc=")</f>
        <v>#REF!</v>
      </c>
      <c r="DA61" t="e">
        <f>AND(Sheet1!#REF!,"AAAAAHz6/mg=")</f>
        <v>#REF!</v>
      </c>
      <c r="DB61" t="e">
        <f>AND(Sheet1!#REF!,"AAAAAHz6/mk=")</f>
        <v>#REF!</v>
      </c>
      <c r="DC61">
        <f>IF(Sheet1!815:815,"AAAAAHz6/mo=",0)</f>
        <v>0</v>
      </c>
      <c r="DD61" t="e">
        <f>AND(Sheet1!A815,"AAAAAHz6/ms=")</f>
        <v>#VALUE!</v>
      </c>
      <c r="DE61" t="e">
        <f>AND(Sheet1!B815,"AAAAAHz6/mw=")</f>
        <v>#VALUE!</v>
      </c>
      <c r="DF61" t="e">
        <f>AND(Sheet1!C815,"AAAAAHz6/m0=")</f>
        <v>#VALUE!</v>
      </c>
      <c r="DG61" t="e">
        <f>AND(Sheet1!D815,"AAAAAHz6/m4=")</f>
        <v>#VALUE!</v>
      </c>
      <c r="DH61" t="e">
        <f>AND(Sheet1!E815,"AAAAAHz6/m8=")</f>
        <v>#VALUE!</v>
      </c>
      <c r="DI61" t="e">
        <f>AND(Sheet1!F815,"AAAAAHz6/nA=")</f>
        <v>#VALUE!</v>
      </c>
      <c r="DJ61" t="e">
        <f>AND(Sheet1!G815,"AAAAAHz6/nE=")</f>
        <v>#VALUE!</v>
      </c>
      <c r="DK61" t="e">
        <f>AND(Sheet1!H815,"AAAAAHz6/nI=")</f>
        <v>#VALUE!</v>
      </c>
      <c r="DL61" t="e">
        <f>AND(Sheet1!I815,"AAAAAHz6/nM=")</f>
        <v>#VALUE!</v>
      </c>
      <c r="DM61" t="e">
        <f>AND(Sheet1!J815,"AAAAAHz6/nQ=")</f>
        <v>#VALUE!</v>
      </c>
      <c r="DN61" t="e">
        <f>AND(Sheet1!K815,"AAAAAHz6/nU=")</f>
        <v>#VALUE!</v>
      </c>
      <c r="DO61" t="e">
        <f>AND(Sheet1!L815,"AAAAAHz6/nY=")</f>
        <v>#VALUE!</v>
      </c>
      <c r="DP61" t="e">
        <f>AND(Sheet1!M815,"AAAAAHz6/nc=")</f>
        <v>#VALUE!</v>
      </c>
      <c r="DQ61" t="e">
        <f>AND(Sheet1!N815,"AAAAAHz6/ng=")</f>
        <v>#VALUE!</v>
      </c>
      <c r="DR61" t="e">
        <f>AND(Sheet1!#REF!,"AAAAAHz6/nk=")</f>
        <v>#REF!</v>
      </c>
      <c r="DS61" t="e">
        <f>AND(Sheet1!#REF!,"AAAAAHz6/no=")</f>
        <v>#REF!</v>
      </c>
      <c r="DT61" t="e">
        <f>AND(Sheet1!#REF!,"AAAAAHz6/ns=")</f>
        <v>#REF!</v>
      </c>
      <c r="DU61" t="e">
        <f>AND(Sheet1!#REF!,"AAAAAHz6/nw=")</f>
        <v>#REF!</v>
      </c>
      <c r="DV61">
        <f>IF(Sheet1!816:816,"AAAAAHz6/n0=",0)</f>
        <v>0</v>
      </c>
      <c r="DW61" t="e">
        <f>AND(Sheet1!A816,"AAAAAHz6/n4=")</f>
        <v>#VALUE!</v>
      </c>
      <c r="DX61" t="e">
        <f>AND(Sheet1!B816,"AAAAAHz6/n8=")</f>
        <v>#VALUE!</v>
      </c>
      <c r="DY61" t="e">
        <f>AND(Sheet1!C816,"AAAAAHz6/oA=")</f>
        <v>#VALUE!</v>
      </c>
      <c r="DZ61" t="e">
        <f>AND(Sheet1!D816,"AAAAAHz6/oE=")</f>
        <v>#VALUE!</v>
      </c>
      <c r="EA61" t="e">
        <f>AND(Sheet1!E816,"AAAAAHz6/oI=")</f>
        <v>#VALUE!</v>
      </c>
      <c r="EB61" t="e">
        <f>AND(Sheet1!F816,"AAAAAHz6/oM=")</f>
        <v>#VALUE!</v>
      </c>
      <c r="EC61" t="e">
        <f>AND(Sheet1!G816,"AAAAAHz6/oQ=")</f>
        <v>#VALUE!</v>
      </c>
      <c r="ED61" t="e">
        <f>AND(Sheet1!H816,"AAAAAHz6/oU=")</f>
        <v>#VALUE!</v>
      </c>
      <c r="EE61" t="e">
        <f>AND(Sheet1!I816,"AAAAAHz6/oY=")</f>
        <v>#VALUE!</v>
      </c>
      <c r="EF61" t="e">
        <f>AND(Sheet1!J816,"AAAAAHz6/oc=")</f>
        <v>#VALUE!</v>
      </c>
      <c r="EG61" t="e">
        <f>AND(Sheet1!K816,"AAAAAHz6/og=")</f>
        <v>#VALUE!</v>
      </c>
      <c r="EH61" t="e">
        <f>AND(Sheet1!L816,"AAAAAHz6/ok=")</f>
        <v>#VALUE!</v>
      </c>
      <c r="EI61" t="e">
        <f>AND(Sheet1!M816,"AAAAAHz6/oo=")</f>
        <v>#VALUE!</v>
      </c>
      <c r="EJ61" t="e">
        <f>AND(Sheet1!N816,"AAAAAHz6/os=")</f>
        <v>#VALUE!</v>
      </c>
      <c r="EK61" t="e">
        <f>AND(Sheet1!#REF!,"AAAAAHz6/ow=")</f>
        <v>#REF!</v>
      </c>
      <c r="EL61" t="e">
        <f>AND(Sheet1!#REF!,"AAAAAHz6/o0=")</f>
        <v>#REF!</v>
      </c>
      <c r="EM61" t="e">
        <f>AND(Sheet1!#REF!,"AAAAAHz6/o4=")</f>
        <v>#REF!</v>
      </c>
      <c r="EN61" t="e">
        <f>AND(Sheet1!#REF!,"AAAAAHz6/o8=")</f>
        <v>#REF!</v>
      </c>
      <c r="EO61">
        <f>IF(Sheet1!817:817,"AAAAAHz6/pA=",0)</f>
        <v>0</v>
      </c>
      <c r="EP61" t="e">
        <f>AND(Sheet1!A817,"AAAAAHz6/pE=")</f>
        <v>#VALUE!</v>
      </c>
      <c r="EQ61" t="e">
        <f>AND(Sheet1!B817,"AAAAAHz6/pI=")</f>
        <v>#VALUE!</v>
      </c>
      <c r="ER61" t="e">
        <f>AND(Sheet1!C817,"AAAAAHz6/pM=")</f>
        <v>#VALUE!</v>
      </c>
      <c r="ES61" t="e">
        <f>AND(Sheet1!D817,"AAAAAHz6/pQ=")</f>
        <v>#VALUE!</v>
      </c>
      <c r="ET61" t="e">
        <f>AND(Sheet1!E817,"AAAAAHz6/pU=")</f>
        <v>#VALUE!</v>
      </c>
      <c r="EU61" t="e">
        <f>AND(Sheet1!F817,"AAAAAHz6/pY=")</f>
        <v>#VALUE!</v>
      </c>
      <c r="EV61" t="e">
        <f>AND(Sheet1!G817,"AAAAAHz6/pc=")</f>
        <v>#VALUE!</v>
      </c>
      <c r="EW61" t="e">
        <f>AND(Sheet1!H817,"AAAAAHz6/pg=")</f>
        <v>#VALUE!</v>
      </c>
      <c r="EX61" t="e">
        <f>AND(Sheet1!I817,"AAAAAHz6/pk=")</f>
        <v>#VALUE!</v>
      </c>
      <c r="EY61" t="e">
        <f>AND(Sheet1!J817,"AAAAAHz6/po=")</f>
        <v>#VALUE!</v>
      </c>
      <c r="EZ61" t="e">
        <f>AND(Sheet1!K817,"AAAAAHz6/ps=")</f>
        <v>#VALUE!</v>
      </c>
      <c r="FA61" t="e">
        <f>AND(Sheet1!L817,"AAAAAHz6/pw=")</f>
        <v>#VALUE!</v>
      </c>
      <c r="FB61" t="e">
        <f>AND(Sheet1!M817,"AAAAAHz6/p0=")</f>
        <v>#VALUE!</v>
      </c>
      <c r="FC61" t="e">
        <f>AND(Sheet1!N817,"AAAAAHz6/p4=")</f>
        <v>#VALUE!</v>
      </c>
      <c r="FD61" t="e">
        <f>AND(Sheet1!#REF!,"AAAAAHz6/p8=")</f>
        <v>#REF!</v>
      </c>
      <c r="FE61" t="e">
        <f>AND(Sheet1!#REF!,"AAAAAHz6/qA=")</f>
        <v>#REF!</v>
      </c>
      <c r="FF61" t="e">
        <f>AND(Sheet1!#REF!,"AAAAAHz6/qE=")</f>
        <v>#REF!</v>
      </c>
      <c r="FG61" t="e">
        <f>AND(Sheet1!#REF!,"AAAAAHz6/qI=")</f>
        <v>#REF!</v>
      </c>
      <c r="FH61">
        <f>IF(Sheet1!818:818,"AAAAAHz6/qM=",0)</f>
        <v>0</v>
      </c>
      <c r="FI61" t="e">
        <f>AND(Sheet1!A818,"AAAAAHz6/qQ=")</f>
        <v>#VALUE!</v>
      </c>
      <c r="FJ61" t="e">
        <f>AND(Sheet1!B818,"AAAAAHz6/qU=")</f>
        <v>#VALUE!</v>
      </c>
      <c r="FK61" t="e">
        <f>AND(Sheet1!C818,"AAAAAHz6/qY=")</f>
        <v>#VALUE!</v>
      </c>
      <c r="FL61" t="e">
        <f>AND(Sheet1!D818,"AAAAAHz6/qc=")</f>
        <v>#VALUE!</v>
      </c>
      <c r="FM61" t="e">
        <f>AND(Sheet1!E818,"AAAAAHz6/qg=")</f>
        <v>#VALUE!</v>
      </c>
      <c r="FN61" t="e">
        <f>AND(Sheet1!F818,"AAAAAHz6/qk=")</f>
        <v>#VALUE!</v>
      </c>
      <c r="FO61" t="e">
        <f>AND(Sheet1!G818,"AAAAAHz6/qo=")</f>
        <v>#VALUE!</v>
      </c>
      <c r="FP61" t="e">
        <f>AND(Sheet1!H818,"AAAAAHz6/qs=")</f>
        <v>#VALUE!</v>
      </c>
      <c r="FQ61" t="e">
        <f>AND(Sheet1!I818,"AAAAAHz6/qw=")</f>
        <v>#VALUE!</v>
      </c>
      <c r="FR61" t="e">
        <f>AND(Sheet1!J818,"AAAAAHz6/q0=")</f>
        <v>#VALUE!</v>
      </c>
      <c r="FS61" t="e">
        <f>AND(Sheet1!K818,"AAAAAHz6/q4=")</f>
        <v>#VALUE!</v>
      </c>
      <c r="FT61" t="e">
        <f>AND(Sheet1!L818,"AAAAAHz6/q8=")</f>
        <v>#VALUE!</v>
      </c>
      <c r="FU61" t="e">
        <f>AND(Sheet1!M818,"AAAAAHz6/rA=")</f>
        <v>#VALUE!</v>
      </c>
      <c r="FV61" t="e">
        <f>AND(Sheet1!N818,"AAAAAHz6/rE=")</f>
        <v>#VALUE!</v>
      </c>
      <c r="FW61" t="e">
        <f>AND(Sheet1!#REF!,"AAAAAHz6/rI=")</f>
        <v>#REF!</v>
      </c>
      <c r="FX61" t="e">
        <f>AND(Sheet1!#REF!,"AAAAAHz6/rM=")</f>
        <v>#REF!</v>
      </c>
      <c r="FY61" t="e">
        <f>AND(Sheet1!#REF!,"AAAAAHz6/rQ=")</f>
        <v>#REF!</v>
      </c>
      <c r="FZ61" t="e">
        <f>AND(Sheet1!#REF!,"AAAAAHz6/rU=")</f>
        <v>#REF!</v>
      </c>
      <c r="GA61">
        <f>IF(Sheet1!819:819,"AAAAAHz6/rY=",0)</f>
        <v>0</v>
      </c>
      <c r="GB61" t="e">
        <f>AND(Sheet1!A819,"AAAAAHz6/rc=")</f>
        <v>#VALUE!</v>
      </c>
      <c r="GC61" t="e">
        <f>AND(Sheet1!B819,"AAAAAHz6/rg=")</f>
        <v>#VALUE!</v>
      </c>
      <c r="GD61" t="e">
        <f>AND(Sheet1!C819,"AAAAAHz6/rk=")</f>
        <v>#VALUE!</v>
      </c>
      <c r="GE61" t="e">
        <f>AND(Sheet1!D819,"AAAAAHz6/ro=")</f>
        <v>#VALUE!</v>
      </c>
      <c r="GF61" t="e">
        <f>AND(Sheet1!E819,"AAAAAHz6/rs=")</f>
        <v>#VALUE!</v>
      </c>
      <c r="GG61" t="e">
        <f>AND(Sheet1!F819,"AAAAAHz6/rw=")</f>
        <v>#VALUE!</v>
      </c>
      <c r="GH61" t="e">
        <f>AND(Sheet1!G819,"AAAAAHz6/r0=")</f>
        <v>#VALUE!</v>
      </c>
      <c r="GI61" t="e">
        <f>AND(Sheet1!H819,"AAAAAHz6/r4=")</f>
        <v>#VALUE!</v>
      </c>
      <c r="GJ61" t="e">
        <f>AND(Sheet1!I819,"AAAAAHz6/r8=")</f>
        <v>#VALUE!</v>
      </c>
      <c r="GK61" t="e">
        <f>AND(Sheet1!J819,"AAAAAHz6/sA=")</f>
        <v>#VALUE!</v>
      </c>
      <c r="GL61" t="e">
        <f>AND(Sheet1!K819,"AAAAAHz6/sE=")</f>
        <v>#VALUE!</v>
      </c>
      <c r="GM61" t="e">
        <f>AND(Sheet1!L819,"AAAAAHz6/sI=")</f>
        <v>#VALUE!</v>
      </c>
      <c r="GN61" t="e">
        <f>AND(Sheet1!M819,"AAAAAHz6/sM=")</f>
        <v>#VALUE!</v>
      </c>
      <c r="GO61" t="e">
        <f>AND(Sheet1!N819,"AAAAAHz6/sQ=")</f>
        <v>#VALUE!</v>
      </c>
      <c r="GP61" t="e">
        <f>AND(Sheet1!#REF!,"AAAAAHz6/sU=")</f>
        <v>#REF!</v>
      </c>
      <c r="GQ61" t="e">
        <f>AND(Sheet1!#REF!,"AAAAAHz6/sY=")</f>
        <v>#REF!</v>
      </c>
      <c r="GR61" t="e">
        <f>AND(Sheet1!#REF!,"AAAAAHz6/sc=")</f>
        <v>#REF!</v>
      </c>
      <c r="GS61" t="e">
        <f>AND(Sheet1!#REF!,"AAAAAHz6/sg=")</f>
        <v>#REF!</v>
      </c>
      <c r="GT61">
        <f>IF(Sheet1!820:820,"AAAAAHz6/sk=",0)</f>
        <v>0</v>
      </c>
      <c r="GU61" t="e">
        <f>AND(Sheet1!A820,"AAAAAHz6/so=")</f>
        <v>#VALUE!</v>
      </c>
      <c r="GV61" t="e">
        <f>AND(Sheet1!B820,"AAAAAHz6/ss=")</f>
        <v>#VALUE!</v>
      </c>
      <c r="GW61" t="e">
        <f>AND(Sheet1!C820,"AAAAAHz6/sw=")</f>
        <v>#VALUE!</v>
      </c>
      <c r="GX61" t="e">
        <f>AND(Sheet1!D820,"AAAAAHz6/s0=")</f>
        <v>#VALUE!</v>
      </c>
      <c r="GY61" t="e">
        <f>AND(Sheet1!E820,"AAAAAHz6/s4=")</f>
        <v>#VALUE!</v>
      </c>
      <c r="GZ61" t="e">
        <f>AND(Sheet1!F820,"AAAAAHz6/s8=")</f>
        <v>#VALUE!</v>
      </c>
      <c r="HA61" t="e">
        <f>AND(Sheet1!G820,"AAAAAHz6/tA=")</f>
        <v>#VALUE!</v>
      </c>
      <c r="HB61" t="e">
        <f>AND(Sheet1!H820,"AAAAAHz6/tE=")</f>
        <v>#VALUE!</v>
      </c>
      <c r="HC61" t="e">
        <f>AND(Sheet1!I820,"AAAAAHz6/tI=")</f>
        <v>#VALUE!</v>
      </c>
      <c r="HD61" t="e">
        <f>AND(Sheet1!J820,"AAAAAHz6/tM=")</f>
        <v>#VALUE!</v>
      </c>
      <c r="HE61" t="e">
        <f>AND(Sheet1!K820,"AAAAAHz6/tQ=")</f>
        <v>#VALUE!</v>
      </c>
      <c r="HF61" t="e">
        <f>AND(Sheet1!L820,"AAAAAHz6/tU=")</f>
        <v>#VALUE!</v>
      </c>
      <c r="HG61" t="e">
        <f>AND(Sheet1!M820,"AAAAAHz6/tY=")</f>
        <v>#VALUE!</v>
      </c>
      <c r="HH61" t="e">
        <f>AND(Sheet1!N820,"AAAAAHz6/tc=")</f>
        <v>#VALUE!</v>
      </c>
      <c r="HI61" t="e">
        <f>AND(Sheet1!#REF!,"AAAAAHz6/tg=")</f>
        <v>#REF!</v>
      </c>
      <c r="HJ61" t="e">
        <f>AND(Sheet1!#REF!,"AAAAAHz6/tk=")</f>
        <v>#REF!</v>
      </c>
      <c r="HK61" t="e">
        <f>AND(Sheet1!#REF!,"AAAAAHz6/to=")</f>
        <v>#REF!</v>
      </c>
      <c r="HL61" t="e">
        <f>AND(Sheet1!#REF!,"AAAAAHz6/ts=")</f>
        <v>#REF!</v>
      </c>
      <c r="HM61">
        <f>IF(Sheet1!821:821,"AAAAAHz6/tw=",0)</f>
        <v>0</v>
      </c>
      <c r="HN61" t="e">
        <f>AND(Sheet1!A821,"AAAAAHz6/t0=")</f>
        <v>#VALUE!</v>
      </c>
      <c r="HO61" t="e">
        <f>AND(Sheet1!B821,"AAAAAHz6/t4=")</f>
        <v>#VALUE!</v>
      </c>
      <c r="HP61" t="e">
        <f>AND(Sheet1!C821,"AAAAAHz6/t8=")</f>
        <v>#VALUE!</v>
      </c>
      <c r="HQ61" t="e">
        <f>AND(Sheet1!D821,"AAAAAHz6/uA=")</f>
        <v>#VALUE!</v>
      </c>
      <c r="HR61" t="e">
        <f>AND(Sheet1!E821,"AAAAAHz6/uE=")</f>
        <v>#VALUE!</v>
      </c>
      <c r="HS61" t="e">
        <f>AND(Sheet1!F821,"AAAAAHz6/uI=")</f>
        <v>#VALUE!</v>
      </c>
      <c r="HT61" t="e">
        <f>AND(Sheet1!G821,"AAAAAHz6/uM=")</f>
        <v>#VALUE!</v>
      </c>
      <c r="HU61" t="e">
        <f>AND(Sheet1!H821,"AAAAAHz6/uQ=")</f>
        <v>#VALUE!</v>
      </c>
      <c r="HV61" t="e">
        <f>AND(Sheet1!I821,"AAAAAHz6/uU=")</f>
        <v>#VALUE!</v>
      </c>
      <c r="HW61" t="e">
        <f>AND(Sheet1!J821,"AAAAAHz6/uY=")</f>
        <v>#VALUE!</v>
      </c>
      <c r="HX61" t="e">
        <f>AND(Sheet1!K821,"AAAAAHz6/uc=")</f>
        <v>#VALUE!</v>
      </c>
      <c r="HY61" t="e">
        <f>AND(Sheet1!L821,"AAAAAHz6/ug=")</f>
        <v>#VALUE!</v>
      </c>
      <c r="HZ61" t="e">
        <f>AND(Sheet1!M821,"AAAAAHz6/uk=")</f>
        <v>#VALUE!</v>
      </c>
      <c r="IA61" t="e">
        <f>AND(Sheet1!N821,"AAAAAHz6/uo=")</f>
        <v>#VALUE!</v>
      </c>
      <c r="IB61" t="e">
        <f>AND(Sheet1!#REF!,"AAAAAHz6/us=")</f>
        <v>#REF!</v>
      </c>
      <c r="IC61" t="e">
        <f>AND(Sheet1!#REF!,"AAAAAHz6/uw=")</f>
        <v>#REF!</v>
      </c>
      <c r="ID61" t="e">
        <f>AND(Sheet1!#REF!,"AAAAAHz6/u0=")</f>
        <v>#REF!</v>
      </c>
      <c r="IE61" t="e">
        <f>AND(Sheet1!#REF!,"AAAAAHz6/u4=")</f>
        <v>#REF!</v>
      </c>
      <c r="IF61">
        <f>IF(Sheet1!822:822,"AAAAAHz6/u8=",0)</f>
        <v>0</v>
      </c>
      <c r="IG61" t="e">
        <f>AND(Sheet1!A822,"AAAAAHz6/vA=")</f>
        <v>#VALUE!</v>
      </c>
      <c r="IH61" t="e">
        <f>AND(Sheet1!B822,"AAAAAHz6/vE=")</f>
        <v>#VALUE!</v>
      </c>
      <c r="II61" t="e">
        <f>AND(Sheet1!C822,"AAAAAHz6/vI=")</f>
        <v>#VALUE!</v>
      </c>
      <c r="IJ61" t="e">
        <f>AND(Sheet1!D822,"AAAAAHz6/vM=")</f>
        <v>#VALUE!</v>
      </c>
      <c r="IK61" t="e">
        <f>AND(Sheet1!E822,"AAAAAHz6/vQ=")</f>
        <v>#VALUE!</v>
      </c>
      <c r="IL61" t="e">
        <f>AND(Sheet1!F822,"AAAAAHz6/vU=")</f>
        <v>#VALUE!</v>
      </c>
      <c r="IM61" t="e">
        <f>AND(Sheet1!G822,"AAAAAHz6/vY=")</f>
        <v>#VALUE!</v>
      </c>
      <c r="IN61" t="e">
        <f>AND(Sheet1!H822,"AAAAAHz6/vc=")</f>
        <v>#VALUE!</v>
      </c>
      <c r="IO61" t="e">
        <f>AND(Sheet1!I822,"AAAAAHz6/vg=")</f>
        <v>#VALUE!</v>
      </c>
      <c r="IP61" t="e">
        <f>AND(Sheet1!J822,"AAAAAHz6/vk=")</f>
        <v>#VALUE!</v>
      </c>
      <c r="IQ61" t="e">
        <f>AND(Sheet1!K822,"AAAAAHz6/vo=")</f>
        <v>#VALUE!</v>
      </c>
      <c r="IR61" t="e">
        <f>AND(Sheet1!L822,"AAAAAHz6/vs=")</f>
        <v>#VALUE!</v>
      </c>
      <c r="IS61" t="e">
        <f>AND(Sheet1!M822,"AAAAAHz6/vw=")</f>
        <v>#VALUE!</v>
      </c>
      <c r="IT61" t="e">
        <f>AND(Sheet1!N822,"AAAAAHz6/v0=")</f>
        <v>#VALUE!</v>
      </c>
      <c r="IU61" t="e">
        <f>AND(Sheet1!#REF!,"AAAAAHz6/v4=")</f>
        <v>#REF!</v>
      </c>
      <c r="IV61" t="e">
        <f>AND(Sheet1!#REF!,"AAAAAHz6/v8=")</f>
        <v>#REF!</v>
      </c>
    </row>
    <row r="62" spans="1:256" x14ac:dyDescent="0.2">
      <c r="A62" t="e">
        <f>AND(Sheet1!#REF!,"AAAAAD/+8gA=")</f>
        <v>#REF!</v>
      </c>
      <c r="B62" t="e">
        <f>AND(Sheet1!#REF!,"AAAAAD/+8gE=")</f>
        <v>#REF!</v>
      </c>
      <c r="C62" t="e">
        <f>IF(Sheet1!823:823,"AAAAAD/+8gI=",0)</f>
        <v>#VALUE!</v>
      </c>
      <c r="D62" t="e">
        <f>AND(Sheet1!A823,"AAAAAD/+8gM=")</f>
        <v>#VALUE!</v>
      </c>
      <c r="E62" t="e">
        <f>AND(Sheet1!B823,"AAAAAD/+8gQ=")</f>
        <v>#VALUE!</v>
      </c>
      <c r="F62" t="e">
        <f>AND(Sheet1!C823,"AAAAAD/+8gU=")</f>
        <v>#VALUE!</v>
      </c>
      <c r="G62" t="e">
        <f>AND(Sheet1!D823,"AAAAAD/+8gY=")</f>
        <v>#VALUE!</v>
      </c>
      <c r="H62" t="e">
        <f>AND(Sheet1!E823,"AAAAAD/+8gc=")</f>
        <v>#VALUE!</v>
      </c>
      <c r="I62" t="e">
        <f>AND(Sheet1!F823,"AAAAAD/+8gg=")</f>
        <v>#VALUE!</v>
      </c>
      <c r="J62" t="e">
        <f>AND(Sheet1!G823,"AAAAAD/+8gk=")</f>
        <v>#VALUE!</v>
      </c>
      <c r="K62" t="e">
        <f>AND(Sheet1!H823,"AAAAAD/+8go=")</f>
        <v>#VALUE!</v>
      </c>
      <c r="L62" t="e">
        <f>AND(Sheet1!I823,"AAAAAD/+8gs=")</f>
        <v>#VALUE!</v>
      </c>
      <c r="M62" t="e">
        <f>AND(Sheet1!J823,"AAAAAD/+8gw=")</f>
        <v>#VALUE!</v>
      </c>
      <c r="N62" t="e">
        <f>AND(Sheet1!K823,"AAAAAD/+8g0=")</f>
        <v>#VALUE!</v>
      </c>
      <c r="O62" t="e">
        <f>AND(Sheet1!L823,"AAAAAD/+8g4=")</f>
        <v>#VALUE!</v>
      </c>
      <c r="P62" t="e">
        <f>AND(Sheet1!M823,"AAAAAD/+8g8=")</f>
        <v>#VALUE!</v>
      </c>
      <c r="Q62" t="e">
        <f>AND(Sheet1!N823,"AAAAAD/+8hA=")</f>
        <v>#VALUE!</v>
      </c>
      <c r="R62" t="e">
        <f>AND(Sheet1!#REF!,"AAAAAD/+8hE=")</f>
        <v>#REF!</v>
      </c>
      <c r="S62" t="e">
        <f>AND(Sheet1!#REF!,"AAAAAD/+8hI=")</f>
        <v>#REF!</v>
      </c>
      <c r="T62" t="e">
        <f>AND(Sheet1!#REF!,"AAAAAD/+8hM=")</f>
        <v>#REF!</v>
      </c>
      <c r="U62" t="e">
        <f>AND(Sheet1!#REF!,"AAAAAD/+8hQ=")</f>
        <v>#REF!</v>
      </c>
      <c r="V62">
        <f>IF(Sheet1!824:824,"AAAAAD/+8hU=",0)</f>
        <v>0</v>
      </c>
      <c r="W62" t="e">
        <f>AND(Sheet1!A824,"AAAAAD/+8hY=")</f>
        <v>#VALUE!</v>
      </c>
      <c r="X62" t="e">
        <f>AND(Sheet1!B824,"AAAAAD/+8hc=")</f>
        <v>#VALUE!</v>
      </c>
      <c r="Y62" t="e">
        <f>AND(Sheet1!C824,"AAAAAD/+8hg=")</f>
        <v>#VALUE!</v>
      </c>
      <c r="Z62" t="e">
        <f>AND(Sheet1!D824,"AAAAAD/+8hk=")</f>
        <v>#VALUE!</v>
      </c>
      <c r="AA62" t="e">
        <f>AND(Sheet1!E824,"AAAAAD/+8ho=")</f>
        <v>#VALUE!</v>
      </c>
      <c r="AB62" t="e">
        <f>AND(Sheet1!F824,"AAAAAD/+8hs=")</f>
        <v>#VALUE!</v>
      </c>
      <c r="AC62" t="e">
        <f>AND(Sheet1!G824,"AAAAAD/+8hw=")</f>
        <v>#VALUE!</v>
      </c>
      <c r="AD62" t="e">
        <f>AND(Sheet1!H824,"AAAAAD/+8h0=")</f>
        <v>#VALUE!</v>
      </c>
      <c r="AE62" t="e">
        <f>AND(Sheet1!I824,"AAAAAD/+8h4=")</f>
        <v>#VALUE!</v>
      </c>
      <c r="AF62" t="e">
        <f>AND(Sheet1!J824,"AAAAAD/+8h8=")</f>
        <v>#VALUE!</v>
      </c>
      <c r="AG62" t="e">
        <f>AND(Sheet1!K824,"AAAAAD/+8iA=")</f>
        <v>#VALUE!</v>
      </c>
      <c r="AH62" t="e">
        <f>AND(Sheet1!L824,"AAAAAD/+8iE=")</f>
        <v>#VALUE!</v>
      </c>
      <c r="AI62" t="e">
        <f>AND(Sheet1!M824,"AAAAAD/+8iI=")</f>
        <v>#VALUE!</v>
      </c>
      <c r="AJ62" t="e">
        <f>AND(Sheet1!N824,"AAAAAD/+8iM=")</f>
        <v>#VALUE!</v>
      </c>
      <c r="AK62" t="e">
        <f>AND(Sheet1!#REF!,"AAAAAD/+8iQ=")</f>
        <v>#REF!</v>
      </c>
      <c r="AL62" t="e">
        <f>AND(Sheet1!#REF!,"AAAAAD/+8iU=")</f>
        <v>#REF!</v>
      </c>
      <c r="AM62" t="e">
        <f>AND(Sheet1!#REF!,"AAAAAD/+8iY=")</f>
        <v>#REF!</v>
      </c>
      <c r="AN62" t="e">
        <f>AND(Sheet1!#REF!,"AAAAAD/+8ic=")</f>
        <v>#REF!</v>
      </c>
      <c r="AO62">
        <f>IF(Sheet1!825:825,"AAAAAD/+8ig=",0)</f>
        <v>0</v>
      </c>
      <c r="AP62" t="e">
        <f>AND(Sheet1!A825,"AAAAAD/+8ik=")</f>
        <v>#VALUE!</v>
      </c>
      <c r="AQ62" t="e">
        <f>AND(Sheet1!B825,"AAAAAD/+8io=")</f>
        <v>#VALUE!</v>
      </c>
      <c r="AR62" t="e">
        <f>AND(Sheet1!C825,"AAAAAD/+8is=")</f>
        <v>#VALUE!</v>
      </c>
      <c r="AS62" t="e">
        <f>AND(Sheet1!D825,"AAAAAD/+8iw=")</f>
        <v>#VALUE!</v>
      </c>
      <c r="AT62" t="e">
        <f>AND(Sheet1!E825,"AAAAAD/+8i0=")</f>
        <v>#VALUE!</v>
      </c>
      <c r="AU62" t="e">
        <f>AND(Sheet1!F825,"AAAAAD/+8i4=")</f>
        <v>#VALUE!</v>
      </c>
      <c r="AV62" t="e">
        <f>AND(Sheet1!G825,"AAAAAD/+8i8=")</f>
        <v>#VALUE!</v>
      </c>
      <c r="AW62" t="e">
        <f>AND(Sheet1!H825,"AAAAAD/+8jA=")</f>
        <v>#VALUE!</v>
      </c>
      <c r="AX62" t="e">
        <f>AND(Sheet1!I825,"AAAAAD/+8jE=")</f>
        <v>#VALUE!</v>
      </c>
      <c r="AY62" t="e">
        <f>AND(Sheet1!J825,"AAAAAD/+8jI=")</f>
        <v>#VALUE!</v>
      </c>
      <c r="AZ62" t="e">
        <f>AND(Sheet1!K825,"AAAAAD/+8jM=")</f>
        <v>#VALUE!</v>
      </c>
      <c r="BA62" t="e">
        <f>AND(Sheet1!L825,"AAAAAD/+8jQ=")</f>
        <v>#VALUE!</v>
      </c>
      <c r="BB62" t="e">
        <f>AND(Sheet1!M825,"AAAAAD/+8jU=")</f>
        <v>#VALUE!</v>
      </c>
      <c r="BC62" t="e">
        <f>AND(Sheet1!N825,"AAAAAD/+8jY=")</f>
        <v>#VALUE!</v>
      </c>
      <c r="BD62" t="e">
        <f>AND(Sheet1!#REF!,"AAAAAD/+8jc=")</f>
        <v>#REF!</v>
      </c>
      <c r="BE62" t="e">
        <f>AND(Sheet1!#REF!,"AAAAAD/+8jg=")</f>
        <v>#REF!</v>
      </c>
      <c r="BF62" t="e">
        <f>AND(Sheet1!#REF!,"AAAAAD/+8jk=")</f>
        <v>#REF!</v>
      </c>
      <c r="BG62" t="e">
        <f>AND(Sheet1!#REF!,"AAAAAD/+8jo=")</f>
        <v>#REF!</v>
      </c>
      <c r="BH62">
        <f>IF(Sheet1!826:826,"AAAAAD/+8js=",0)</f>
        <v>0</v>
      </c>
      <c r="BI62" t="e">
        <f>AND(Sheet1!A826,"AAAAAD/+8jw=")</f>
        <v>#VALUE!</v>
      </c>
      <c r="BJ62" t="e">
        <f>AND(Sheet1!B826,"AAAAAD/+8j0=")</f>
        <v>#VALUE!</v>
      </c>
      <c r="BK62" t="e">
        <f>AND(Sheet1!C826,"AAAAAD/+8j4=")</f>
        <v>#VALUE!</v>
      </c>
      <c r="BL62" t="e">
        <f>AND(Sheet1!D826,"AAAAAD/+8j8=")</f>
        <v>#VALUE!</v>
      </c>
      <c r="BM62" t="e">
        <f>AND(Sheet1!E826,"AAAAAD/+8kA=")</f>
        <v>#VALUE!</v>
      </c>
      <c r="BN62" t="e">
        <f>AND(Sheet1!F826,"AAAAAD/+8kE=")</f>
        <v>#VALUE!</v>
      </c>
      <c r="BO62" t="e">
        <f>AND(Sheet1!G826,"AAAAAD/+8kI=")</f>
        <v>#VALUE!</v>
      </c>
      <c r="BP62" t="e">
        <f>AND(Sheet1!H826,"AAAAAD/+8kM=")</f>
        <v>#VALUE!</v>
      </c>
      <c r="BQ62" t="e">
        <f>AND(Sheet1!I826,"AAAAAD/+8kQ=")</f>
        <v>#VALUE!</v>
      </c>
      <c r="BR62" t="e">
        <f>AND(Sheet1!J826,"AAAAAD/+8kU=")</f>
        <v>#VALUE!</v>
      </c>
      <c r="BS62" t="e">
        <f>AND(Sheet1!K826,"AAAAAD/+8kY=")</f>
        <v>#VALUE!</v>
      </c>
      <c r="BT62" t="e">
        <f>AND(Sheet1!L826,"AAAAAD/+8kc=")</f>
        <v>#VALUE!</v>
      </c>
      <c r="BU62" t="e">
        <f>AND(Sheet1!M826,"AAAAAD/+8kg=")</f>
        <v>#VALUE!</v>
      </c>
      <c r="BV62" t="e">
        <f>AND(Sheet1!N826,"AAAAAD/+8kk=")</f>
        <v>#VALUE!</v>
      </c>
      <c r="BW62" t="e">
        <f>AND(Sheet1!#REF!,"AAAAAD/+8ko=")</f>
        <v>#REF!</v>
      </c>
      <c r="BX62" t="e">
        <f>AND(Sheet1!#REF!,"AAAAAD/+8ks=")</f>
        <v>#REF!</v>
      </c>
      <c r="BY62" t="e">
        <f>AND(Sheet1!#REF!,"AAAAAD/+8kw=")</f>
        <v>#REF!</v>
      </c>
      <c r="BZ62" t="e">
        <f>AND(Sheet1!#REF!,"AAAAAD/+8k0=")</f>
        <v>#REF!</v>
      </c>
      <c r="CA62">
        <f>IF(Sheet1!827:827,"AAAAAD/+8k4=",0)</f>
        <v>0</v>
      </c>
      <c r="CB62" t="e">
        <f>AND(Sheet1!A827,"AAAAAD/+8k8=")</f>
        <v>#VALUE!</v>
      </c>
      <c r="CC62" t="e">
        <f>AND(Sheet1!B827,"AAAAAD/+8lA=")</f>
        <v>#VALUE!</v>
      </c>
      <c r="CD62" t="e">
        <f>AND(Sheet1!C827,"AAAAAD/+8lE=")</f>
        <v>#VALUE!</v>
      </c>
      <c r="CE62" t="e">
        <f>AND(Sheet1!D827,"AAAAAD/+8lI=")</f>
        <v>#VALUE!</v>
      </c>
      <c r="CF62" t="e">
        <f>AND(Sheet1!E827,"AAAAAD/+8lM=")</f>
        <v>#VALUE!</v>
      </c>
      <c r="CG62" t="e">
        <f>AND(Sheet1!F827,"AAAAAD/+8lQ=")</f>
        <v>#VALUE!</v>
      </c>
      <c r="CH62" t="e">
        <f>AND(Sheet1!G827,"AAAAAD/+8lU=")</f>
        <v>#VALUE!</v>
      </c>
      <c r="CI62" t="e">
        <f>AND(Sheet1!H827,"AAAAAD/+8lY=")</f>
        <v>#VALUE!</v>
      </c>
      <c r="CJ62" t="e">
        <f>AND(Sheet1!I827,"AAAAAD/+8lc=")</f>
        <v>#VALUE!</v>
      </c>
      <c r="CK62" t="e">
        <f>AND(Sheet1!J827,"AAAAAD/+8lg=")</f>
        <v>#VALUE!</v>
      </c>
      <c r="CL62" t="e">
        <f>AND(Sheet1!K827,"AAAAAD/+8lk=")</f>
        <v>#VALUE!</v>
      </c>
      <c r="CM62" t="e">
        <f>AND(Sheet1!L827,"AAAAAD/+8lo=")</f>
        <v>#VALUE!</v>
      </c>
      <c r="CN62" t="e">
        <f>AND(Sheet1!M827,"AAAAAD/+8ls=")</f>
        <v>#VALUE!</v>
      </c>
      <c r="CO62" t="e">
        <f>AND(Sheet1!N827,"AAAAAD/+8lw=")</f>
        <v>#VALUE!</v>
      </c>
      <c r="CP62" t="e">
        <f>AND(Sheet1!#REF!,"AAAAAD/+8l0=")</f>
        <v>#REF!</v>
      </c>
      <c r="CQ62" t="e">
        <f>AND(Sheet1!#REF!,"AAAAAD/+8l4=")</f>
        <v>#REF!</v>
      </c>
      <c r="CR62" t="e">
        <f>AND(Sheet1!#REF!,"AAAAAD/+8l8=")</f>
        <v>#REF!</v>
      </c>
      <c r="CS62" t="e">
        <f>AND(Sheet1!#REF!,"AAAAAD/+8mA=")</f>
        <v>#REF!</v>
      </c>
      <c r="CT62">
        <f>IF(Sheet1!828:828,"AAAAAD/+8mE=",0)</f>
        <v>0</v>
      </c>
      <c r="CU62" t="e">
        <f>AND(Sheet1!A828,"AAAAAD/+8mI=")</f>
        <v>#VALUE!</v>
      </c>
      <c r="CV62" t="e">
        <f>AND(Sheet1!B828,"AAAAAD/+8mM=")</f>
        <v>#VALUE!</v>
      </c>
      <c r="CW62" t="e">
        <f>AND(Sheet1!C828,"AAAAAD/+8mQ=")</f>
        <v>#VALUE!</v>
      </c>
      <c r="CX62" t="e">
        <f>AND(Sheet1!D828,"AAAAAD/+8mU=")</f>
        <v>#VALUE!</v>
      </c>
      <c r="CY62" t="e">
        <f>AND(Sheet1!E828,"AAAAAD/+8mY=")</f>
        <v>#VALUE!</v>
      </c>
      <c r="CZ62" t="e">
        <f>AND(Sheet1!F828,"AAAAAD/+8mc=")</f>
        <v>#VALUE!</v>
      </c>
      <c r="DA62" t="e">
        <f>AND(Sheet1!G828,"AAAAAD/+8mg=")</f>
        <v>#VALUE!</v>
      </c>
      <c r="DB62" t="e">
        <f>AND(Sheet1!H828,"AAAAAD/+8mk=")</f>
        <v>#VALUE!</v>
      </c>
      <c r="DC62" t="e">
        <f>AND(Sheet1!I828,"AAAAAD/+8mo=")</f>
        <v>#VALUE!</v>
      </c>
      <c r="DD62" t="e">
        <f>AND(Sheet1!J828,"AAAAAD/+8ms=")</f>
        <v>#VALUE!</v>
      </c>
      <c r="DE62" t="e">
        <f>AND(Sheet1!K828,"AAAAAD/+8mw=")</f>
        <v>#VALUE!</v>
      </c>
      <c r="DF62" t="e">
        <f>AND(Sheet1!L828,"AAAAAD/+8m0=")</f>
        <v>#VALUE!</v>
      </c>
      <c r="DG62" t="e">
        <f>AND(Sheet1!M828,"AAAAAD/+8m4=")</f>
        <v>#VALUE!</v>
      </c>
      <c r="DH62" t="e">
        <f>AND(Sheet1!N828,"AAAAAD/+8m8=")</f>
        <v>#VALUE!</v>
      </c>
      <c r="DI62" t="e">
        <f>AND(Sheet1!#REF!,"AAAAAD/+8nA=")</f>
        <v>#REF!</v>
      </c>
      <c r="DJ62" t="e">
        <f>AND(Sheet1!#REF!,"AAAAAD/+8nE=")</f>
        <v>#REF!</v>
      </c>
      <c r="DK62" t="e">
        <f>AND(Sheet1!#REF!,"AAAAAD/+8nI=")</f>
        <v>#REF!</v>
      </c>
      <c r="DL62" t="e">
        <f>AND(Sheet1!#REF!,"AAAAAD/+8nM=")</f>
        <v>#REF!</v>
      </c>
      <c r="DM62">
        <f>IF(Sheet1!829:829,"AAAAAD/+8nQ=",0)</f>
        <v>0</v>
      </c>
      <c r="DN62" t="e">
        <f>AND(Sheet1!A829,"AAAAAD/+8nU=")</f>
        <v>#VALUE!</v>
      </c>
      <c r="DO62" t="e">
        <f>AND(Sheet1!B829,"AAAAAD/+8nY=")</f>
        <v>#VALUE!</v>
      </c>
      <c r="DP62" t="e">
        <f>AND(Sheet1!C829,"AAAAAD/+8nc=")</f>
        <v>#VALUE!</v>
      </c>
      <c r="DQ62" t="e">
        <f>AND(Sheet1!D829,"AAAAAD/+8ng=")</f>
        <v>#VALUE!</v>
      </c>
      <c r="DR62" t="e">
        <f>AND(Sheet1!E829,"AAAAAD/+8nk=")</f>
        <v>#VALUE!</v>
      </c>
      <c r="DS62" t="e">
        <f>AND(Sheet1!F829,"AAAAAD/+8no=")</f>
        <v>#VALUE!</v>
      </c>
      <c r="DT62" t="e">
        <f>AND(Sheet1!G829,"AAAAAD/+8ns=")</f>
        <v>#VALUE!</v>
      </c>
      <c r="DU62" t="e">
        <f>AND(Sheet1!H829,"AAAAAD/+8nw=")</f>
        <v>#VALUE!</v>
      </c>
      <c r="DV62" t="e">
        <f>AND(Sheet1!I829,"AAAAAD/+8n0=")</f>
        <v>#VALUE!</v>
      </c>
      <c r="DW62" t="e">
        <f>AND(Sheet1!J829,"AAAAAD/+8n4=")</f>
        <v>#VALUE!</v>
      </c>
      <c r="DX62" t="e">
        <f>AND(Sheet1!K829,"AAAAAD/+8n8=")</f>
        <v>#VALUE!</v>
      </c>
      <c r="DY62" t="e">
        <f>AND(Sheet1!L829,"AAAAAD/+8oA=")</f>
        <v>#VALUE!</v>
      </c>
      <c r="DZ62" t="e">
        <f>AND(Sheet1!M829,"AAAAAD/+8oE=")</f>
        <v>#VALUE!</v>
      </c>
      <c r="EA62" t="e">
        <f>AND(Sheet1!N829,"AAAAAD/+8oI=")</f>
        <v>#VALUE!</v>
      </c>
      <c r="EB62" t="e">
        <f>AND(Sheet1!#REF!,"AAAAAD/+8oM=")</f>
        <v>#REF!</v>
      </c>
      <c r="EC62" t="e">
        <f>AND(Sheet1!#REF!,"AAAAAD/+8oQ=")</f>
        <v>#REF!</v>
      </c>
      <c r="ED62" t="e">
        <f>AND(Sheet1!#REF!,"AAAAAD/+8oU=")</f>
        <v>#REF!</v>
      </c>
      <c r="EE62" t="e">
        <f>AND(Sheet1!#REF!,"AAAAAD/+8oY=")</f>
        <v>#REF!</v>
      </c>
      <c r="EF62">
        <f>IF(Sheet1!830:830,"AAAAAD/+8oc=",0)</f>
        <v>0</v>
      </c>
      <c r="EG62" t="e">
        <f>AND(Sheet1!A830,"AAAAAD/+8og=")</f>
        <v>#VALUE!</v>
      </c>
      <c r="EH62" t="e">
        <f>AND(Sheet1!B830,"AAAAAD/+8ok=")</f>
        <v>#VALUE!</v>
      </c>
      <c r="EI62" t="e">
        <f>AND(Sheet1!C830,"AAAAAD/+8oo=")</f>
        <v>#VALUE!</v>
      </c>
      <c r="EJ62" t="e">
        <f>AND(Sheet1!D830,"AAAAAD/+8os=")</f>
        <v>#VALUE!</v>
      </c>
      <c r="EK62" t="e">
        <f>AND(Sheet1!E830,"AAAAAD/+8ow=")</f>
        <v>#VALUE!</v>
      </c>
      <c r="EL62" t="e">
        <f>AND(Sheet1!F830,"AAAAAD/+8o0=")</f>
        <v>#VALUE!</v>
      </c>
      <c r="EM62" t="e">
        <f>AND(Sheet1!G830,"AAAAAD/+8o4=")</f>
        <v>#VALUE!</v>
      </c>
      <c r="EN62" t="e">
        <f>AND(Sheet1!H830,"AAAAAD/+8o8=")</f>
        <v>#VALUE!</v>
      </c>
      <c r="EO62" t="e">
        <f>AND(Sheet1!I830,"AAAAAD/+8pA=")</f>
        <v>#VALUE!</v>
      </c>
      <c r="EP62" t="e">
        <f>AND(Sheet1!J830,"AAAAAD/+8pE=")</f>
        <v>#VALUE!</v>
      </c>
      <c r="EQ62" t="e">
        <f>AND(Sheet1!K830,"AAAAAD/+8pI=")</f>
        <v>#VALUE!</v>
      </c>
      <c r="ER62" t="e">
        <f>AND(Sheet1!L830,"AAAAAD/+8pM=")</f>
        <v>#VALUE!</v>
      </c>
      <c r="ES62" t="e">
        <f>AND(Sheet1!M830,"AAAAAD/+8pQ=")</f>
        <v>#VALUE!</v>
      </c>
      <c r="ET62" t="e">
        <f>AND(Sheet1!N830,"AAAAAD/+8pU=")</f>
        <v>#VALUE!</v>
      </c>
      <c r="EU62" t="e">
        <f>AND(Sheet1!#REF!,"AAAAAD/+8pY=")</f>
        <v>#REF!</v>
      </c>
      <c r="EV62" t="e">
        <f>AND(Sheet1!#REF!,"AAAAAD/+8pc=")</f>
        <v>#REF!</v>
      </c>
      <c r="EW62" t="e">
        <f>AND(Sheet1!#REF!,"AAAAAD/+8pg=")</f>
        <v>#REF!</v>
      </c>
      <c r="EX62" t="e">
        <f>AND(Sheet1!#REF!,"AAAAAD/+8pk=")</f>
        <v>#REF!</v>
      </c>
      <c r="EY62">
        <f>IF(Sheet1!831:831,"AAAAAD/+8po=",0)</f>
        <v>0</v>
      </c>
      <c r="EZ62" t="e">
        <f>AND(Sheet1!A831,"AAAAAD/+8ps=")</f>
        <v>#VALUE!</v>
      </c>
      <c r="FA62" t="e">
        <f>AND(Sheet1!B831,"AAAAAD/+8pw=")</f>
        <v>#VALUE!</v>
      </c>
      <c r="FB62" t="e">
        <f>AND(Sheet1!C831,"AAAAAD/+8p0=")</f>
        <v>#VALUE!</v>
      </c>
      <c r="FC62" t="e">
        <f>AND(Sheet1!D831,"AAAAAD/+8p4=")</f>
        <v>#VALUE!</v>
      </c>
      <c r="FD62" t="e">
        <f>AND(Sheet1!E831,"AAAAAD/+8p8=")</f>
        <v>#VALUE!</v>
      </c>
      <c r="FE62" t="e">
        <f>AND(Sheet1!F831,"AAAAAD/+8qA=")</f>
        <v>#VALUE!</v>
      </c>
      <c r="FF62" t="e">
        <f>AND(Sheet1!G831,"AAAAAD/+8qE=")</f>
        <v>#VALUE!</v>
      </c>
      <c r="FG62" t="e">
        <f>AND(Sheet1!H831,"AAAAAD/+8qI=")</f>
        <v>#VALUE!</v>
      </c>
      <c r="FH62" t="e">
        <f>AND(Sheet1!I831,"AAAAAD/+8qM=")</f>
        <v>#VALUE!</v>
      </c>
      <c r="FI62" t="e">
        <f>AND(Sheet1!J831,"AAAAAD/+8qQ=")</f>
        <v>#VALUE!</v>
      </c>
      <c r="FJ62" t="e">
        <f>AND(Sheet1!K831,"AAAAAD/+8qU=")</f>
        <v>#VALUE!</v>
      </c>
      <c r="FK62" t="e">
        <f>AND(Sheet1!L831,"AAAAAD/+8qY=")</f>
        <v>#VALUE!</v>
      </c>
      <c r="FL62" t="e">
        <f>AND(Sheet1!M831,"AAAAAD/+8qc=")</f>
        <v>#VALUE!</v>
      </c>
      <c r="FM62" t="e">
        <f>AND(Sheet1!N831,"AAAAAD/+8qg=")</f>
        <v>#VALUE!</v>
      </c>
      <c r="FN62" t="e">
        <f>AND(Sheet1!#REF!,"AAAAAD/+8qk=")</f>
        <v>#REF!</v>
      </c>
      <c r="FO62" t="e">
        <f>AND(Sheet1!#REF!,"AAAAAD/+8qo=")</f>
        <v>#REF!</v>
      </c>
      <c r="FP62" t="e">
        <f>AND(Sheet1!#REF!,"AAAAAD/+8qs=")</f>
        <v>#REF!</v>
      </c>
      <c r="FQ62" t="e">
        <f>AND(Sheet1!#REF!,"AAAAAD/+8qw=")</f>
        <v>#REF!</v>
      </c>
      <c r="FR62">
        <f>IF(Sheet1!832:832,"AAAAAD/+8q0=",0)</f>
        <v>0</v>
      </c>
      <c r="FS62" t="e">
        <f>AND(Sheet1!A832,"AAAAAD/+8q4=")</f>
        <v>#VALUE!</v>
      </c>
      <c r="FT62" t="e">
        <f>AND(Sheet1!B832,"AAAAAD/+8q8=")</f>
        <v>#VALUE!</v>
      </c>
      <c r="FU62" t="e">
        <f>AND(Sheet1!C832,"AAAAAD/+8rA=")</f>
        <v>#VALUE!</v>
      </c>
      <c r="FV62" t="e">
        <f>AND(Sheet1!D832,"AAAAAD/+8rE=")</f>
        <v>#VALUE!</v>
      </c>
      <c r="FW62" t="e">
        <f>AND(Sheet1!E832,"AAAAAD/+8rI=")</f>
        <v>#VALUE!</v>
      </c>
      <c r="FX62" t="e">
        <f>AND(Sheet1!F832,"AAAAAD/+8rM=")</f>
        <v>#VALUE!</v>
      </c>
      <c r="FY62" t="e">
        <f>AND(Sheet1!G832,"AAAAAD/+8rQ=")</f>
        <v>#VALUE!</v>
      </c>
      <c r="FZ62" t="e">
        <f>AND(Sheet1!H832,"AAAAAD/+8rU=")</f>
        <v>#VALUE!</v>
      </c>
      <c r="GA62" t="e">
        <f>AND(Sheet1!I832,"AAAAAD/+8rY=")</f>
        <v>#VALUE!</v>
      </c>
      <c r="GB62" t="e">
        <f>AND(Sheet1!J832,"AAAAAD/+8rc=")</f>
        <v>#VALUE!</v>
      </c>
      <c r="GC62" t="e">
        <f>AND(Sheet1!K832,"AAAAAD/+8rg=")</f>
        <v>#VALUE!</v>
      </c>
      <c r="GD62" t="e">
        <f>AND(Sheet1!L832,"AAAAAD/+8rk=")</f>
        <v>#VALUE!</v>
      </c>
      <c r="GE62" t="e">
        <f>AND(Sheet1!M832,"AAAAAD/+8ro=")</f>
        <v>#VALUE!</v>
      </c>
      <c r="GF62" t="e">
        <f>AND(Sheet1!N832,"AAAAAD/+8rs=")</f>
        <v>#VALUE!</v>
      </c>
      <c r="GG62" t="e">
        <f>AND(Sheet1!#REF!,"AAAAAD/+8rw=")</f>
        <v>#REF!</v>
      </c>
      <c r="GH62" t="e">
        <f>AND(Sheet1!#REF!,"AAAAAD/+8r0=")</f>
        <v>#REF!</v>
      </c>
      <c r="GI62" t="e">
        <f>AND(Sheet1!#REF!,"AAAAAD/+8r4=")</f>
        <v>#REF!</v>
      </c>
      <c r="GJ62" t="e">
        <f>AND(Sheet1!#REF!,"AAAAAD/+8r8=")</f>
        <v>#REF!</v>
      </c>
      <c r="GK62">
        <f>IF(Sheet1!833:833,"AAAAAD/+8sA=",0)</f>
        <v>0</v>
      </c>
      <c r="GL62" t="e">
        <f>AND(Sheet1!A833,"AAAAAD/+8sE=")</f>
        <v>#VALUE!</v>
      </c>
      <c r="GM62" t="e">
        <f>AND(Sheet1!B833,"AAAAAD/+8sI=")</f>
        <v>#VALUE!</v>
      </c>
      <c r="GN62" t="e">
        <f>AND(Sheet1!C833,"AAAAAD/+8sM=")</f>
        <v>#VALUE!</v>
      </c>
      <c r="GO62" t="e">
        <f>AND(Sheet1!D833,"AAAAAD/+8sQ=")</f>
        <v>#VALUE!</v>
      </c>
      <c r="GP62" t="e">
        <f>AND(Sheet1!E833,"AAAAAD/+8sU=")</f>
        <v>#VALUE!</v>
      </c>
      <c r="GQ62" t="e">
        <f>AND(Sheet1!F833,"AAAAAD/+8sY=")</f>
        <v>#VALUE!</v>
      </c>
      <c r="GR62" t="e">
        <f>AND(Sheet1!G833,"AAAAAD/+8sc=")</f>
        <v>#VALUE!</v>
      </c>
      <c r="GS62" t="e">
        <f>AND(Sheet1!H833,"AAAAAD/+8sg=")</f>
        <v>#VALUE!</v>
      </c>
      <c r="GT62" t="e">
        <f>AND(Sheet1!I833,"AAAAAD/+8sk=")</f>
        <v>#VALUE!</v>
      </c>
      <c r="GU62" t="e">
        <f>AND(Sheet1!J833,"AAAAAD/+8so=")</f>
        <v>#VALUE!</v>
      </c>
      <c r="GV62" t="e">
        <f>AND(Sheet1!K833,"AAAAAD/+8ss=")</f>
        <v>#VALUE!</v>
      </c>
      <c r="GW62" t="e">
        <f>AND(Sheet1!L833,"AAAAAD/+8sw=")</f>
        <v>#VALUE!</v>
      </c>
      <c r="GX62" t="e">
        <f>AND(Sheet1!M833,"AAAAAD/+8s0=")</f>
        <v>#VALUE!</v>
      </c>
      <c r="GY62" t="e">
        <f>AND(Sheet1!N833,"AAAAAD/+8s4=")</f>
        <v>#VALUE!</v>
      </c>
      <c r="GZ62" t="e">
        <f>AND(Sheet1!#REF!,"AAAAAD/+8s8=")</f>
        <v>#REF!</v>
      </c>
      <c r="HA62" t="e">
        <f>AND(Sheet1!#REF!,"AAAAAD/+8tA=")</f>
        <v>#REF!</v>
      </c>
      <c r="HB62" t="e">
        <f>AND(Sheet1!#REF!,"AAAAAD/+8tE=")</f>
        <v>#REF!</v>
      </c>
      <c r="HC62" t="e">
        <f>AND(Sheet1!#REF!,"AAAAAD/+8tI=")</f>
        <v>#REF!</v>
      </c>
      <c r="HD62">
        <f>IF(Sheet1!834:834,"AAAAAD/+8tM=",0)</f>
        <v>0</v>
      </c>
      <c r="HE62" t="e">
        <f>AND(Sheet1!A834,"AAAAAD/+8tQ=")</f>
        <v>#VALUE!</v>
      </c>
      <c r="HF62" t="e">
        <f>AND(Sheet1!B834,"AAAAAD/+8tU=")</f>
        <v>#VALUE!</v>
      </c>
      <c r="HG62" t="e">
        <f>AND(Sheet1!C834,"AAAAAD/+8tY=")</f>
        <v>#VALUE!</v>
      </c>
      <c r="HH62" t="e">
        <f>AND(Sheet1!D834,"AAAAAD/+8tc=")</f>
        <v>#VALUE!</v>
      </c>
      <c r="HI62" t="e">
        <f>AND(Sheet1!E834,"AAAAAD/+8tg=")</f>
        <v>#VALUE!</v>
      </c>
      <c r="HJ62" t="e">
        <f>AND(Sheet1!F834,"AAAAAD/+8tk=")</f>
        <v>#VALUE!</v>
      </c>
      <c r="HK62" t="e">
        <f>AND(Sheet1!G834,"AAAAAD/+8to=")</f>
        <v>#VALUE!</v>
      </c>
      <c r="HL62" t="e">
        <f>AND(Sheet1!H834,"AAAAAD/+8ts=")</f>
        <v>#VALUE!</v>
      </c>
      <c r="HM62" t="e">
        <f>AND(Sheet1!I834,"AAAAAD/+8tw=")</f>
        <v>#VALUE!</v>
      </c>
      <c r="HN62" t="e">
        <f>AND(Sheet1!J834,"AAAAAD/+8t0=")</f>
        <v>#VALUE!</v>
      </c>
      <c r="HO62" t="e">
        <f>AND(Sheet1!K834,"AAAAAD/+8t4=")</f>
        <v>#VALUE!</v>
      </c>
      <c r="HP62" t="e">
        <f>AND(Sheet1!L834,"AAAAAD/+8t8=")</f>
        <v>#VALUE!</v>
      </c>
      <c r="HQ62" t="e">
        <f>AND(Sheet1!M834,"AAAAAD/+8uA=")</f>
        <v>#VALUE!</v>
      </c>
      <c r="HR62" t="e">
        <f>AND(Sheet1!N834,"AAAAAD/+8uE=")</f>
        <v>#VALUE!</v>
      </c>
      <c r="HS62" t="e">
        <f>AND(Sheet1!#REF!,"AAAAAD/+8uI=")</f>
        <v>#REF!</v>
      </c>
      <c r="HT62" t="e">
        <f>AND(Sheet1!#REF!,"AAAAAD/+8uM=")</f>
        <v>#REF!</v>
      </c>
      <c r="HU62" t="e">
        <f>AND(Sheet1!#REF!,"AAAAAD/+8uQ=")</f>
        <v>#REF!</v>
      </c>
      <c r="HV62" t="e">
        <f>AND(Sheet1!#REF!,"AAAAAD/+8uU=")</f>
        <v>#REF!</v>
      </c>
      <c r="HW62">
        <f>IF(Sheet1!835:835,"AAAAAD/+8uY=",0)</f>
        <v>0</v>
      </c>
      <c r="HX62" t="e">
        <f>AND(Sheet1!A835,"AAAAAD/+8uc=")</f>
        <v>#VALUE!</v>
      </c>
      <c r="HY62" t="e">
        <f>AND(Sheet1!B835,"AAAAAD/+8ug=")</f>
        <v>#VALUE!</v>
      </c>
      <c r="HZ62" t="e">
        <f>AND(Sheet1!C835,"AAAAAD/+8uk=")</f>
        <v>#VALUE!</v>
      </c>
      <c r="IA62" t="e">
        <f>AND(Sheet1!D835,"AAAAAD/+8uo=")</f>
        <v>#VALUE!</v>
      </c>
      <c r="IB62" t="e">
        <f>AND(Sheet1!E835,"AAAAAD/+8us=")</f>
        <v>#VALUE!</v>
      </c>
      <c r="IC62" t="e">
        <f>AND(Sheet1!F835,"AAAAAD/+8uw=")</f>
        <v>#VALUE!</v>
      </c>
      <c r="ID62" t="e">
        <f>AND(Sheet1!G835,"AAAAAD/+8u0=")</f>
        <v>#VALUE!</v>
      </c>
      <c r="IE62" t="e">
        <f>AND(Sheet1!H835,"AAAAAD/+8u4=")</f>
        <v>#VALUE!</v>
      </c>
      <c r="IF62" t="e">
        <f>AND(Sheet1!I835,"AAAAAD/+8u8=")</f>
        <v>#VALUE!</v>
      </c>
      <c r="IG62" t="e">
        <f>AND(Sheet1!J835,"AAAAAD/+8vA=")</f>
        <v>#VALUE!</v>
      </c>
      <c r="IH62" t="e">
        <f>AND(Sheet1!K835,"AAAAAD/+8vE=")</f>
        <v>#VALUE!</v>
      </c>
      <c r="II62" t="e">
        <f>AND(Sheet1!L835,"AAAAAD/+8vI=")</f>
        <v>#VALUE!</v>
      </c>
      <c r="IJ62" t="e">
        <f>AND(Sheet1!M835,"AAAAAD/+8vM=")</f>
        <v>#VALUE!</v>
      </c>
      <c r="IK62" t="e">
        <f>AND(Sheet1!N835,"AAAAAD/+8vQ=")</f>
        <v>#VALUE!</v>
      </c>
      <c r="IL62" t="e">
        <f>AND(Sheet1!#REF!,"AAAAAD/+8vU=")</f>
        <v>#REF!</v>
      </c>
      <c r="IM62" t="e">
        <f>AND(Sheet1!#REF!,"AAAAAD/+8vY=")</f>
        <v>#REF!</v>
      </c>
      <c r="IN62" t="e">
        <f>AND(Sheet1!#REF!,"AAAAAD/+8vc=")</f>
        <v>#REF!</v>
      </c>
      <c r="IO62" t="e">
        <f>AND(Sheet1!#REF!,"AAAAAD/+8vg=")</f>
        <v>#REF!</v>
      </c>
      <c r="IP62">
        <f>IF(Sheet1!836:836,"AAAAAD/+8vk=",0)</f>
        <v>0</v>
      </c>
      <c r="IQ62" t="e">
        <f>AND(Sheet1!A836,"AAAAAD/+8vo=")</f>
        <v>#VALUE!</v>
      </c>
      <c r="IR62" t="e">
        <f>AND(Sheet1!B836,"AAAAAD/+8vs=")</f>
        <v>#VALUE!</v>
      </c>
      <c r="IS62" t="e">
        <f>AND(Sheet1!C836,"AAAAAD/+8vw=")</f>
        <v>#VALUE!</v>
      </c>
      <c r="IT62" t="e">
        <f>AND(Sheet1!D836,"AAAAAD/+8v0=")</f>
        <v>#VALUE!</v>
      </c>
      <c r="IU62" t="e">
        <f>AND(Sheet1!E836,"AAAAAD/+8v4=")</f>
        <v>#VALUE!</v>
      </c>
      <c r="IV62" t="e">
        <f>AND(Sheet1!F836,"AAAAAD/+8v8=")</f>
        <v>#VALUE!</v>
      </c>
    </row>
    <row r="63" spans="1:256" x14ac:dyDescent="0.2">
      <c r="A63" t="e">
        <f>AND(Sheet1!G836,"AAAAAE3fvAA=")</f>
        <v>#VALUE!</v>
      </c>
      <c r="B63" t="e">
        <f>AND(Sheet1!H836,"AAAAAE3fvAE=")</f>
        <v>#VALUE!</v>
      </c>
      <c r="C63" t="e">
        <f>AND(Sheet1!I836,"AAAAAE3fvAI=")</f>
        <v>#VALUE!</v>
      </c>
      <c r="D63" t="e">
        <f>AND(Sheet1!J836,"AAAAAE3fvAM=")</f>
        <v>#VALUE!</v>
      </c>
      <c r="E63" t="e">
        <f>AND(Sheet1!K836,"AAAAAE3fvAQ=")</f>
        <v>#VALUE!</v>
      </c>
      <c r="F63" t="e">
        <f>AND(Sheet1!L836,"AAAAAE3fvAU=")</f>
        <v>#VALUE!</v>
      </c>
      <c r="G63" t="e">
        <f>AND(Sheet1!M836,"AAAAAE3fvAY=")</f>
        <v>#VALUE!</v>
      </c>
      <c r="H63" t="e">
        <f>AND(Sheet1!N836,"AAAAAE3fvAc=")</f>
        <v>#VALUE!</v>
      </c>
      <c r="I63" t="e">
        <f>AND(Sheet1!#REF!,"AAAAAE3fvAg=")</f>
        <v>#REF!</v>
      </c>
      <c r="J63" t="e">
        <f>AND(Sheet1!#REF!,"AAAAAE3fvAk=")</f>
        <v>#REF!</v>
      </c>
      <c r="K63" t="e">
        <f>AND(Sheet1!#REF!,"AAAAAE3fvAo=")</f>
        <v>#REF!</v>
      </c>
      <c r="L63" t="e">
        <f>AND(Sheet1!#REF!,"AAAAAE3fvAs=")</f>
        <v>#REF!</v>
      </c>
      <c r="M63" t="str">
        <f>IF(Sheet1!837:837,"AAAAAE3fvAw=",0)</f>
        <v>AAAAAE3fvAw=</v>
      </c>
      <c r="N63" t="e">
        <f>AND(Sheet1!A837,"AAAAAE3fvA0=")</f>
        <v>#VALUE!</v>
      </c>
      <c r="O63" t="e">
        <f>AND(Sheet1!B837,"AAAAAE3fvA4=")</f>
        <v>#VALUE!</v>
      </c>
      <c r="P63" t="e">
        <f>AND(Sheet1!C837,"AAAAAE3fvA8=")</f>
        <v>#VALUE!</v>
      </c>
      <c r="Q63" t="e">
        <f>AND(Sheet1!D837,"AAAAAE3fvBA=")</f>
        <v>#VALUE!</v>
      </c>
      <c r="R63" t="e">
        <f>AND(Sheet1!E837,"AAAAAE3fvBE=")</f>
        <v>#VALUE!</v>
      </c>
      <c r="S63" t="e">
        <f>AND(Sheet1!F837,"AAAAAE3fvBI=")</f>
        <v>#VALUE!</v>
      </c>
      <c r="T63" t="e">
        <f>AND(Sheet1!G837,"AAAAAE3fvBM=")</f>
        <v>#VALUE!</v>
      </c>
      <c r="U63" t="e">
        <f>AND(Sheet1!H837,"AAAAAE3fvBQ=")</f>
        <v>#VALUE!</v>
      </c>
      <c r="V63" t="e">
        <f>AND(Sheet1!I837,"AAAAAE3fvBU=")</f>
        <v>#VALUE!</v>
      </c>
      <c r="W63" t="e">
        <f>AND(Sheet1!J837,"AAAAAE3fvBY=")</f>
        <v>#VALUE!</v>
      </c>
      <c r="X63" t="e">
        <f>AND(Sheet1!K837,"AAAAAE3fvBc=")</f>
        <v>#VALUE!</v>
      </c>
      <c r="Y63" t="e">
        <f>AND(Sheet1!L837,"AAAAAE3fvBg=")</f>
        <v>#VALUE!</v>
      </c>
      <c r="Z63" t="e">
        <f>AND(Sheet1!M837,"AAAAAE3fvBk=")</f>
        <v>#VALUE!</v>
      </c>
      <c r="AA63" t="e">
        <f>AND(Sheet1!N837,"AAAAAE3fvBo=")</f>
        <v>#VALUE!</v>
      </c>
      <c r="AB63" t="e">
        <f>AND(Sheet1!#REF!,"AAAAAE3fvBs=")</f>
        <v>#REF!</v>
      </c>
      <c r="AC63" t="e">
        <f>AND(Sheet1!#REF!,"AAAAAE3fvBw=")</f>
        <v>#REF!</v>
      </c>
      <c r="AD63" t="e">
        <f>AND(Sheet1!#REF!,"AAAAAE3fvB0=")</f>
        <v>#REF!</v>
      </c>
      <c r="AE63" t="e">
        <f>AND(Sheet1!#REF!,"AAAAAE3fvB4=")</f>
        <v>#REF!</v>
      </c>
      <c r="AF63">
        <f>IF(Sheet1!838:838,"AAAAAE3fvB8=",0)</f>
        <v>0</v>
      </c>
      <c r="AG63" t="e">
        <f>AND(Sheet1!A838,"AAAAAE3fvCA=")</f>
        <v>#VALUE!</v>
      </c>
      <c r="AH63" t="e">
        <f>AND(Sheet1!B838,"AAAAAE3fvCE=")</f>
        <v>#VALUE!</v>
      </c>
      <c r="AI63" t="e">
        <f>AND(Sheet1!C838,"AAAAAE3fvCI=")</f>
        <v>#VALUE!</v>
      </c>
      <c r="AJ63" t="e">
        <f>AND(Sheet1!D838,"AAAAAE3fvCM=")</f>
        <v>#VALUE!</v>
      </c>
      <c r="AK63" t="e">
        <f>AND(Sheet1!E838,"AAAAAE3fvCQ=")</f>
        <v>#VALUE!</v>
      </c>
      <c r="AL63" t="e">
        <f>AND(Sheet1!F838,"AAAAAE3fvCU=")</f>
        <v>#VALUE!</v>
      </c>
      <c r="AM63" t="e">
        <f>AND(Sheet1!G838,"AAAAAE3fvCY=")</f>
        <v>#VALUE!</v>
      </c>
      <c r="AN63" t="e">
        <f>AND(Sheet1!H838,"AAAAAE3fvCc=")</f>
        <v>#VALUE!</v>
      </c>
      <c r="AO63" t="e">
        <f>AND(Sheet1!I838,"AAAAAE3fvCg=")</f>
        <v>#VALUE!</v>
      </c>
      <c r="AP63" t="e">
        <f>AND(Sheet1!J838,"AAAAAE3fvCk=")</f>
        <v>#VALUE!</v>
      </c>
      <c r="AQ63" t="e">
        <f>AND(Sheet1!K838,"AAAAAE3fvCo=")</f>
        <v>#VALUE!</v>
      </c>
      <c r="AR63" t="e">
        <f>AND(Sheet1!L838,"AAAAAE3fvCs=")</f>
        <v>#VALUE!</v>
      </c>
      <c r="AS63" t="e">
        <f>AND(Sheet1!M838,"AAAAAE3fvCw=")</f>
        <v>#VALUE!</v>
      </c>
      <c r="AT63" t="e">
        <f>AND(Sheet1!N838,"AAAAAE3fvC0=")</f>
        <v>#VALUE!</v>
      </c>
      <c r="AU63" t="e">
        <f>AND(Sheet1!#REF!,"AAAAAE3fvC4=")</f>
        <v>#REF!</v>
      </c>
      <c r="AV63" t="e">
        <f>AND(Sheet1!#REF!,"AAAAAE3fvC8=")</f>
        <v>#REF!</v>
      </c>
      <c r="AW63" t="e">
        <f>AND(Sheet1!#REF!,"AAAAAE3fvDA=")</f>
        <v>#REF!</v>
      </c>
      <c r="AX63" t="e">
        <f>AND(Sheet1!#REF!,"AAAAAE3fvDE=")</f>
        <v>#REF!</v>
      </c>
      <c r="AY63">
        <f>IF(Sheet1!839:839,"AAAAAE3fvDI=",0)</f>
        <v>0</v>
      </c>
      <c r="AZ63" t="e">
        <f>AND(Sheet1!A839,"AAAAAE3fvDM=")</f>
        <v>#VALUE!</v>
      </c>
      <c r="BA63" t="e">
        <f>AND(Sheet1!B839,"AAAAAE3fvDQ=")</f>
        <v>#VALUE!</v>
      </c>
      <c r="BB63" t="e">
        <f>AND(Sheet1!C839,"AAAAAE3fvDU=")</f>
        <v>#VALUE!</v>
      </c>
      <c r="BC63" t="e">
        <f>AND(Sheet1!D839,"AAAAAE3fvDY=")</f>
        <v>#VALUE!</v>
      </c>
      <c r="BD63" t="e">
        <f>AND(Sheet1!E839,"AAAAAE3fvDc=")</f>
        <v>#VALUE!</v>
      </c>
      <c r="BE63" t="e">
        <f>AND(Sheet1!F839,"AAAAAE3fvDg=")</f>
        <v>#VALUE!</v>
      </c>
      <c r="BF63" t="e">
        <f>AND(Sheet1!G839,"AAAAAE3fvDk=")</f>
        <v>#VALUE!</v>
      </c>
      <c r="BG63" t="e">
        <f>AND(Sheet1!H839,"AAAAAE3fvDo=")</f>
        <v>#VALUE!</v>
      </c>
      <c r="BH63" t="e">
        <f>AND(Sheet1!I839,"AAAAAE3fvDs=")</f>
        <v>#VALUE!</v>
      </c>
      <c r="BI63" t="e">
        <f>AND(Sheet1!J839,"AAAAAE3fvDw=")</f>
        <v>#VALUE!</v>
      </c>
      <c r="BJ63" t="e">
        <f>AND(Sheet1!K839,"AAAAAE3fvD0=")</f>
        <v>#VALUE!</v>
      </c>
      <c r="BK63" t="e">
        <f>AND(Sheet1!L839,"AAAAAE3fvD4=")</f>
        <v>#VALUE!</v>
      </c>
      <c r="BL63" t="e">
        <f>AND(Sheet1!M839,"AAAAAE3fvD8=")</f>
        <v>#VALUE!</v>
      </c>
      <c r="BM63" t="e">
        <f>AND(Sheet1!N839,"AAAAAE3fvEA=")</f>
        <v>#VALUE!</v>
      </c>
      <c r="BN63" t="e">
        <f>AND(Sheet1!#REF!,"AAAAAE3fvEE=")</f>
        <v>#REF!</v>
      </c>
      <c r="BO63" t="e">
        <f>AND(Sheet1!#REF!,"AAAAAE3fvEI=")</f>
        <v>#REF!</v>
      </c>
      <c r="BP63" t="e">
        <f>AND(Sheet1!#REF!,"AAAAAE3fvEM=")</f>
        <v>#REF!</v>
      </c>
      <c r="BQ63" t="e">
        <f>AND(Sheet1!#REF!,"AAAAAE3fvEQ=")</f>
        <v>#REF!</v>
      </c>
      <c r="BR63">
        <f>IF(Sheet1!840:840,"AAAAAE3fvEU=",0)</f>
        <v>0</v>
      </c>
      <c r="BS63" t="e">
        <f>AND(Sheet1!A840,"AAAAAE3fvEY=")</f>
        <v>#VALUE!</v>
      </c>
      <c r="BT63" t="e">
        <f>AND(Sheet1!B840,"AAAAAE3fvEc=")</f>
        <v>#VALUE!</v>
      </c>
      <c r="BU63" t="e">
        <f>AND(Sheet1!C840,"AAAAAE3fvEg=")</f>
        <v>#VALUE!</v>
      </c>
      <c r="BV63" t="e">
        <f>AND(Sheet1!D840,"AAAAAE3fvEk=")</f>
        <v>#VALUE!</v>
      </c>
      <c r="BW63" t="e">
        <f>AND(Sheet1!E840,"AAAAAE3fvEo=")</f>
        <v>#VALUE!</v>
      </c>
      <c r="BX63" t="e">
        <f>AND(Sheet1!F840,"AAAAAE3fvEs=")</f>
        <v>#VALUE!</v>
      </c>
      <c r="BY63" t="e">
        <f>AND(Sheet1!G840,"AAAAAE3fvEw=")</f>
        <v>#VALUE!</v>
      </c>
      <c r="BZ63" t="e">
        <f>AND(Sheet1!H840,"AAAAAE3fvE0=")</f>
        <v>#VALUE!</v>
      </c>
      <c r="CA63" t="e">
        <f>AND(Sheet1!I840,"AAAAAE3fvE4=")</f>
        <v>#VALUE!</v>
      </c>
      <c r="CB63" t="e">
        <f>AND(Sheet1!J840,"AAAAAE3fvE8=")</f>
        <v>#VALUE!</v>
      </c>
      <c r="CC63" t="e">
        <f>AND(Sheet1!K840,"AAAAAE3fvFA=")</f>
        <v>#VALUE!</v>
      </c>
      <c r="CD63" t="e">
        <f>AND(Sheet1!L840,"AAAAAE3fvFE=")</f>
        <v>#VALUE!</v>
      </c>
      <c r="CE63" t="e">
        <f>AND(Sheet1!M840,"AAAAAE3fvFI=")</f>
        <v>#VALUE!</v>
      </c>
      <c r="CF63" t="e">
        <f>AND(Sheet1!N840,"AAAAAE3fvFM=")</f>
        <v>#VALUE!</v>
      </c>
      <c r="CG63" t="e">
        <f>AND(Sheet1!#REF!,"AAAAAE3fvFQ=")</f>
        <v>#REF!</v>
      </c>
      <c r="CH63" t="e">
        <f>AND(Sheet1!#REF!,"AAAAAE3fvFU=")</f>
        <v>#REF!</v>
      </c>
      <c r="CI63" t="e">
        <f>AND(Sheet1!#REF!,"AAAAAE3fvFY=")</f>
        <v>#REF!</v>
      </c>
      <c r="CJ63" t="e">
        <f>AND(Sheet1!#REF!,"AAAAAE3fvFc=")</f>
        <v>#REF!</v>
      </c>
      <c r="CK63">
        <f>IF(Sheet1!841:841,"AAAAAE3fvFg=",0)</f>
        <v>0</v>
      </c>
      <c r="CL63" t="e">
        <f>AND(Sheet1!A841,"AAAAAE3fvFk=")</f>
        <v>#VALUE!</v>
      </c>
      <c r="CM63" t="e">
        <f>AND(Sheet1!B841,"AAAAAE3fvFo=")</f>
        <v>#VALUE!</v>
      </c>
      <c r="CN63" t="e">
        <f>AND(Sheet1!C841,"AAAAAE3fvFs=")</f>
        <v>#VALUE!</v>
      </c>
      <c r="CO63" t="e">
        <f>AND(Sheet1!D841,"AAAAAE3fvFw=")</f>
        <v>#VALUE!</v>
      </c>
      <c r="CP63" t="e">
        <f>AND(Sheet1!E841,"AAAAAE3fvF0=")</f>
        <v>#VALUE!</v>
      </c>
      <c r="CQ63" t="e">
        <f>AND(Sheet1!F841,"AAAAAE3fvF4=")</f>
        <v>#VALUE!</v>
      </c>
      <c r="CR63" t="e">
        <f>AND(Sheet1!G841,"AAAAAE3fvF8=")</f>
        <v>#VALUE!</v>
      </c>
      <c r="CS63" t="e">
        <f>AND(Sheet1!H841,"AAAAAE3fvGA=")</f>
        <v>#VALUE!</v>
      </c>
      <c r="CT63" t="e">
        <f>AND(Sheet1!I841,"AAAAAE3fvGE=")</f>
        <v>#VALUE!</v>
      </c>
      <c r="CU63" t="e">
        <f>AND(Sheet1!J841,"AAAAAE3fvGI=")</f>
        <v>#VALUE!</v>
      </c>
      <c r="CV63" t="e">
        <f>AND(Sheet1!K841,"AAAAAE3fvGM=")</f>
        <v>#VALUE!</v>
      </c>
      <c r="CW63" t="e">
        <f>AND(Sheet1!L841,"AAAAAE3fvGQ=")</f>
        <v>#VALUE!</v>
      </c>
      <c r="CX63" t="e">
        <f>AND(Sheet1!M841,"AAAAAE3fvGU=")</f>
        <v>#VALUE!</v>
      </c>
      <c r="CY63" t="e">
        <f>AND(Sheet1!N841,"AAAAAE3fvGY=")</f>
        <v>#VALUE!</v>
      </c>
      <c r="CZ63" t="e">
        <f>AND(Sheet1!#REF!,"AAAAAE3fvGc=")</f>
        <v>#REF!</v>
      </c>
      <c r="DA63" t="e">
        <f>AND(Sheet1!#REF!,"AAAAAE3fvGg=")</f>
        <v>#REF!</v>
      </c>
      <c r="DB63" t="e">
        <f>AND(Sheet1!#REF!,"AAAAAE3fvGk=")</f>
        <v>#REF!</v>
      </c>
      <c r="DC63" t="e">
        <f>AND(Sheet1!#REF!,"AAAAAE3fvGo=")</f>
        <v>#REF!</v>
      </c>
      <c r="DD63">
        <f>IF(Sheet1!842:842,"AAAAAE3fvGs=",0)</f>
        <v>0</v>
      </c>
      <c r="DE63" t="e">
        <f>AND(Sheet1!A842,"AAAAAE3fvGw=")</f>
        <v>#VALUE!</v>
      </c>
      <c r="DF63" t="e">
        <f>AND(Sheet1!B842,"AAAAAE3fvG0=")</f>
        <v>#VALUE!</v>
      </c>
      <c r="DG63" t="e">
        <f>AND(Sheet1!C842,"AAAAAE3fvG4=")</f>
        <v>#VALUE!</v>
      </c>
      <c r="DH63" t="e">
        <f>AND(Sheet1!D842,"AAAAAE3fvG8=")</f>
        <v>#VALUE!</v>
      </c>
      <c r="DI63" t="e">
        <f>AND(Sheet1!E842,"AAAAAE3fvHA=")</f>
        <v>#VALUE!</v>
      </c>
      <c r="DJ63" t="e">
        <f>AND(Sheet1!F842,"AAAAAE3fvHE=")</f>
        <v>#VALUE!</v>
      </c>
      <c r="DK63" t="e">
        <f>AND(Sheet1!G842,"AAAAAE3fvHI=")</f>
        <v>#VALUE!</v>
      </c>
      <c r="DL63" t="e">
        <f>AND(Sheet1!H842,"AAAAAE3fvHM=")</f>
        <v>#VALUE!</v>
      </c>
      <c r="DM63" t="e">
        <f>AND(Sheet1!I842,"AAAAAE3fvHQ=")</f>
        <v>#VALUE!</v>
      </c>
      <c r="DN63" t="e">
        <f>AND(Sheet1!J842,"AAAAAE3fvHU=")</f>
        <v>#VALUE!</v>
      </c>
      <c r="DO63" t="e">
        <f>AND(Sheet1!K842,"AAAAAE3fvHY=")</f>
        <v>#VALUE!</v>
      </c>
      <c r="DP63" t="e">
        <f>AND(Sheet1!L842,"AAAAAE3fvHc=")</f>
        <v>#VALUE!</v>
      </c>
      <c r="DQ63" t="e">
        <f>AND(Sheet1!M842,"AAAAAE3fvHg=")</f>
        <v>#VALUE!</v>
      </c>
      <c r="DR63" t="e">
        <f>AND(Sheet1!N842,"AAAAAE3fvHk=")</f>
        <v>#VALUE!</v>
      </c>
      <c r="DS63" t="e">
        <f>AND(Sheet1!#REF!,"AAAAAE3fvHo=")</f>
        <v>#REF!</v>
      </c>
      <c r="DT63" t="e">
        <f>AND(Sheet1!#REF!,"AAAAAE3fvHs=")</f>
        <v>#REF!</v>
      </c>
      <c r="DU63" t="e">
        <f>AND(Sheet1!#REF!,"AAAAAE3fvHw=")</f>
        <v>#REF!</v>
      </c>
      <c r="DV63" t="e">
        <f>AND(Sheet1!#REF!,"AAAAAE3fvH0=")</f>
        <v>#REF!</v>
      </c>
      <c r="DW63">
        <f>IF(Sheet1!843:843,"AAAAAE3fvH4=",0)</f>
        <v>0</v>
      </c>
      <c r="DX63" t="e">
        <f>AND(Sheet1!A843,"AAAAAE3fvH8=")</f>
        <v>#VALUE!</v>
      </c>
      <c r="DY63" t="e">
        <f>AND(Sheet1!B843,"AAAAAE3fvIA=")</f>
        <v>#VALUE!</v>
      </c>
      <c r="DZ63" t="e">
        <f>AND(Sheet1!C843,"AAAAAE3fvIE=")</f>
        <v>#VALUE!</v>
      </c>
      <c r="EA63" t="e">
        <f>AND(Sheet1!D843,"AAAAAE3fvII=")</f>
        <v>#VALUE!</v>
      </c>
      <c r="EB63" t="e">
        <f>AND(Sheet1!E843,"AAAAAE3fvIM=")</f>
        <v>#VALUE!</v>
      </c>
      <c r="EC63" t="e">
        <f>AND(Sheet1!F843,"AAAAAE3fvIQ=")</f>
        <v>#VALUE!</v>
      </c>
      <c r="ED63" t="e">
        <f>AND(Sheet1!G843,"AAAAAE3fvIU=")</f>
        <v>#VALUE!</v>
      </c>
      <c r="EE63" t="e">
        <f>AND(Sheet1!H843,"AAAAAE3fvIY=")</f>
        <v>#VALUE!</v>
      </c>
      <c r="EF63" t="e">
        <f>AND(Sheet1!I843,"AAAAAE3fvIc=")</f>
        <v>#VALUE!</v>
      </c>
      <c r="EG63" t="e">
        <f>AND(Sheet1!J843,"AAAAAE3fvIg=")</f>
        <v>#VALUE!</v>
      </c>
      <c r="EH63" t="e">
        <f>AND(Sheet1!K843,"AAAAAE3fvIk=")</f>
        <v>#VALUE!</v>
      </c>
      <c r="EI63" t="e">
        <f>AND(Sheet1!L843,"AAAAAE3fvIo=")</f>
        <v>#VALUE!</v>
      </c>
      <c r="EJ63" t="e">
        <f>AND(Sheet1!M843,"AAAAAE3fvIs=")</f>
        <v>#VALUE!</v>
      </c>
      <c r="EK63" t="e">
        <f>AND(Sheet1!N843,"AAAAAE3fvIw=")</f>
        <v>#VALUE!</v>
      </c>
      <c r="EL63" t="e">
        <f>AND(Sheet1!#REF!,"AAAAAE3fvI0=")</f>
        <v>#REF!</v>
      </c>
      <c r="EM63" t="e">
        <f>AND(Sheet1!#REF!,"AAAAAE3fvI4=")</f>
        <v>#REF!</v>
      </c>
      <c r="EN63" t="e">
        <f>AND(Sheet1!#REF!,"AAAAAE3fvI8=")</f>
        <v>#REF!</v>
      </c>
      <c r="EO63" t="e">
        <f>AND(Sheet1!#REF!,"AAAAAE3fvJA=")</f>
        <v>#REF!</v>
      </c>
      <c r="EP63">
        <f>IF(Sheet1!844:844,"AAAAAE3fvJE=",0)</f>
        <v>0</v>
      </c>
      <c r="EQ63" t="e">
        <f>AND(Sheet1!A844,"AAAAAE3fvJI=")</f>
        <v>#VALUE!</v>
      </c>
      <c r="ER63" t="e">
        <f>AND(Sheet1!B844,"AAAAAE3fvJM=")</f>
        <v>#VALUE!</v>
      </c>
      <c r="ES63" t="e">
        <f>AND(Sheet1!C844,"AAAAAE3fvJQ=")</f>
        <v>#VALUE!</v>
      </c>
      <c r="ET63" t="e">
        <f>AND(Sheet1!D844,"AAAAAE3fvJU=")</f>
        <v>#VALUE!</v>
      </c>
      <c r="EU63" t="e">
        <f>AND(Sheet1!E844,"AAAAAE3fvJY=")</f>
        <v>#VALUE!</v>
      </c>
      <c r="EV63" t="e">
        <f>AND(Sheet1!F844,"AAAAAE3fvJc=")</f>
        <v>#VALUE!</v>
      </c>
      <c r="EW63" t="e">
        <f>AND(Sheet1!G844,"AAAAAE3fvJg=")</f>
        <v>#VALUE!</v>
      </c>
      <c r="EX63" t="e">
        <f>AND(Sheet1!H844,"AAAAAE3fvJk=")</f>
        <v>#VALUE!</v>
      </c>
      <c r="EY63" t="e">
        <f>AND(Sheet1!I844,"AAAAAE3fvJo=")</f>
        <v>#VALUE!</v>
      </c>
      <c r="EZ63" t="e">
        <f>AND(Sheet1!J844,"AAAAAE3fvJs=")</f>
        <v>#VALUE!</v>
      </c>
      <c r="FA63" t="e">
        <f>AND(Sheet1!K844,"AAAAAE3fvJw=")</f>
        <v>#VALUE!</v>
      </c>
      <c r="FB63" t="e">
        <f>AND(Sheet1!L844,"AAAAAE3fvJ0=")</f>
        <v>#VALUE!</v>
      </c>
      <c r="FC63" t="e">
        <f>AND(Sheet1!M844,"AAAAAE3fvJ4=")</f>
        <v>#VALUE!</v>
      </c>
      <c r="FD63" t="e">
        <f>AND(Sheet1!N844,"AAAAAE3fvJ8=")</f>
        <v>#VALUE!</v>
      </c>
      <c r="FE63" t="e">
        <f>AND(Sheet1!#REF!,"AAAAAE3fvKA=")</f>
        <v>#REF!</v>
      </c>
      <c r="FF63" t="e">
        <f>AND(Sheet1!#REF!,"AAAAAE3fvKE=")</f>
        <v>#REF!</v>
      </c>
      <c r="FG63" t="e">
        <f>AND(Sheet1!#REF!,"AAAAAE3fvKI=")</f>
        <v>#REF!</v>
      </c>
      <c r="FH63" t="e">
        <f>AND(Sheet1!#REF!,"AAAAAE3fvKM=")</f>
        <v>#REF!</v>
      </c>
      <c r="FI63">
        <f>IF(Sheet1!845:845,"AAAAAE3fvKQ=",0)</f>
        <v>0</v>
      </c>
      <c r="FJ63" t="e">
        <f>AND(Sheet1!A845,"AAAAAE3fvKU=")</f>
        <v>#VALUE!</v>
      </c>
      <c r="FK63" t="e">
        <f>AND(Sheet1!B845,"AAAAAE3fvKY=")</f>
        <v>#VALUE!</v>
      </c>
      <c r="FL63" t="e">
        <f>AND(Sheet1!C845,"AAAAAE3fvKc=")</f>
        <v>#VALUE!</v>
      </c>
      <c r="FM63" t="e">
        <f>AND(Sheet1!D845,"AAAAAE3fvKg=")</f>
        <v>#VALUE!</v>
      </c>
      <c r="FN63" t="e">
        <f>AND(Sheet1!E845,"AAAAAE3fvKk=")</f>
        <v>#VALUE!</v>
      </c>
      <c r="FO63" t="e">
        <f>AND(Sheet1!F845,"AAAAAE3fvKo=")</f>
        <v>#VALUE!</v>
      </c>
      <c r="FP63" t="e">
        <f>AND(Sheet1!G845,"AAAAAE3fvKs=")</f>
        <v>#VALUE!</v>
      </c>
      <c r="FQ63" t="e">
        <f>AND(Sheet1!H845,"AAAAAE3fvKw=")</f>
        <v>#VALUE!</v>
      </c>
      <c r="FR63" t="e">
        <f>AND(Sheet1!I845,"AAAAAE3fvK0=")</f>
        <v>#VALUE!</v>
      </c>
      <c r="FS63" t="e">
        <f>AND(Sheet1!J845,"AAAAAE3fvK4=")</f>
        <v>#VALUE!</v>
      </c>
      <c r="FT63" t="e">
        <f>AND(Sheet1!K845,"AAAAAE3fvK8=")</f>
        <v>#VALUE!</v>
      </c>
      <c r="FU63" t="e">
        <f>AND(Sheet1!L845,"AAAAAE3fvLA=")</f>
        <v>#VALUE!</v>
      </c>
      <c r="FV63" t="e">
        <f>AND(Sheet1!M845,"AAAAAE3fvLE=")</f>
        <v>#VALUE!</v>
      </c>
      <c r="FW63" t="e">
        <f>AND(Sheet1!N845,"AAAAAE3fvLI=")</f>
        <v>#VALUE!</v>
      </c>
      <c r="FX63" t="e">
        <f>AND(Sheet1!#REF!,"AAAAAE3fvLM=")</f>
        <v>#REF!</v>
      </c>
      <c r="FY63" t="e">
        <f>AND(Sheet1!#REF!,"AAAAAE3fvLQ=")</f>
        <v>#REF!</v>
      </c>
      <c r="FZ63" t="e">
        <f>AND(Sheet1!#REF!,"AAAAAE3fvLU=")</f>
        <v>#REF!</v>
      </c>
      <c r="GA63" t="e">
        <f>AND(Sheet1!#REF!,"AAAAAE3fvLY=")</f>
        <v>#REF!</v>
      </c>
      <c r="GB63">
        <f>IF(Sheet1!846:846,"AAAAAE3fvLc=",0)</f>
        <v>0</v>
      </c>
      <c r="GC63" t="e">
        <f>AND(Sheet1!A846,"AAAAAE3fvLg=")</f>
        <v>#VALUE!</v>
      </c>
      <c r="GD63" t="e">
        <f>AND(Sheet1!B846,"AAAAAE3fvLk=")</f>
        <v>#VALUE!</v>
      </c>
      <c r="GE63" t="e">
        <f>AND(Sheet1!C846,"AAAAAE3fvLo=")</f>
        <v>#VALUE!</v>
      </c>
      <c r="GF63" t="e">
        <f>AND(Sheet1!D846,"AAAAAE3fvLs=")</f>
        <v>#VALUE!</v>
      </c>
      <c r="GG63" t="e">
        <f>AND(Sheet1!E846,"AAAAAE3fvLw=")</f>
        <v>#VALUE!</v>
      </c>
      <c r="GH63" t="e">
        <f>AND(Sheet1!F846,"AAAAAE3fvL0=")</f>
        <v>#VALUE!</v>
      </c>
      <c r="GI63" t="e">
        <f>AND(Sheet1!G846,"AAAAAE3fvL4=")</f>
        <v>#VALUE!</v>
      </c>
      <c r="GJ63" t="e">
        <f>AND(Sheet1!H846,"AAAAAE3fvL8=")</f>
        <v>#VALUE!</v>
      </c>
      <c r="GK63" t="e">
        <f>AND(Sheet1!I846,"AAAAAE3fvMA=")</f>
        <v>#VALUE!</v>
      </c>
      <c r="GL63" t="e">
        <f>AND(Sheet1!J846,"AAAAAE3fvME=")</f>
        <v>#VALUE!</v>
      </c>
      <c r="GM63" t="e">
        <f>AND(Sheet1!K846,"AAAAAE3fvMI=")</f>
        <v>#VALUE!</v>
      </c>
      <c r="GN63" t="e">
        <f>AND(Sheet1!L846,"AAAAAE3fvMM=")</f>
        <v>#VALUE!</v>
      </c>
      <c r="GO63" t="e">
        <f>AND(Sheet1!M846,"AAAAAE3fvMQ=")</f>
        <v>#VALUE!</v>
      </c>
      <c r="GP63" t="e">
        <f>AND(Sheet1!N846,"AAAAAE3fvMU=")</f>
        <v>#VALUE!</v>
      </c>
      <c r="GQ63" t="e">
        <f>AND(Sheet1!#REF!,"AAAAAE3fvMY=")</f>
        <v>#REF!</v>
      </c>
      <c r="GR63" t="e">
        <f>AND(Sheet1!#REF!,"AAAAAE3fvMc=")</f>
        <v>#REF!</v>
      </c>
      <c r="GS63" t="e">
        <f>AND(Sheet1!#REF!,"AAAAAE3fvMg=")</f>
        <v>#REF!</v>
      </c>
      <c r="GT63" t="e">
        <f>AND(Sheet1!#REF!,"AAAAAE3fvMk=")</f>
        <v>#REF!</v>
      </c>
      <c r="GU63">
        <f>IF(Sheet1!847:847,"AAAAAE3fvMo=",0)</f>
        <v>0</v>
      </c>
      <c r="GV63" t="e">
        <f>AND(Sheet1!A847,"AAAAAE3fvMs=")</f>
        <v>#VALUE!</v>
      </c>
      <c r="GW63" t="e">
        <f>AND(Sheet1!B847,"AAAAAE3fvMw=")</f>
        <v>#VALUE!</v>
      </c>
      <c r="GX63" t="e">
        <f>AND(Sheet1!C847,"AAAAAE3fvM0=")</f>
        <v>#VALUE!</v>
      </c>
      <c r="GY63" t="e">
        <f>AND(Sheet1!D847,"AAAAAE3fvM4=")</f>
        <v>#VALUE!</v>
      </c>
      <c r="GZ63" t="e">
        <f>AND(Sheet1!E847,"AAAAAE3fvM8=")</f>
        <v>#VALUE!</v>
      </c>
      <c r="HA63" t="e">
        <f>AND(Sheet1!F847,"AAAAAE3fvNA=")</f>
        <v>#VALUE!</v>
      </c>
      <c r="HB63" t="e">
        <f>AND(Sheet1!G847,"AAAAAE3fvNE=")</f>
        <v>#VALUE!</v>
      </c>
      <c r="HC63" t="e">
        <f>AND(Sheet1!H847,"AAAAAE3fvNI=")</f>
        <v>#VALUE!</v>
      </c>
      <c r="HD63" t="e">
        <f>AND(Sheet1!I847,"AAAAAE3fvNM=")</f>
        <v>#VALUE!</v>
      </c>
      <c r="HE63" t="e">
        <f>AND(Sheet1!J847,"AAAAAE3fvNQ=")</f>
        <v>#VALUE!</v>
      </c>
      <c r="HF63" t="e">
        <f>AND(Sheet1!K847,"AAAAAE3fvNU=")</f>
        <v>#VALUE!</v>
      </c>
      <c r="HG63" t="e">
        <f>AND(Sheet1!L847,"AAAAAE3fvNY=")</f>
        <v>#VALUE!</v>
      </c>
      <c r="HH63" t="e">
        <f>AND(Sheet1!M847,"AAAAAE3fvNc=")</f>
        <v>#VALUE!</v>
      </c>
      <c r="HI63" t="e">
        <f>AND(Sheet1!N847,"AAAAAE3fvNg=")</f>
        <v>#VALUE!</v>
      </c>
      <c r="HJ63" t="e">
        <f>AND(Sheet1!#REF!,"AAAAAE3fvNk=")</f>
        <v>#REF!</v>
      </c>
      <c r="HK63" t="e">
        <f>AND(Sheet1!#REF!,"AAAAAE3fvNo=")</f>
        <v>#REF!</v>
      </c>
      <c r="HL63" t="e">
        <f>AND(Sheet1!#REF!,"AAAAAE3fvNs=")</f>
        <v>#REF!</v>
      </c>
      <c r="HM63" t="e">
        <f>AND(Sheet1!#REF!,"AAAAAE3fvNw=")</f>
        <v>#REF!</v>
      </c>
      <c r="HN63">
        <f>IF(Sheet1!848:848,"AAAAAE3fvN0=",0)</f>
        <v>0</v>
      </c>
      <c r="HO63" t="e">
        <f>AND(Sheet1!A848,"AAAAAE3fvN4=")</f>
        <v>#VALUE!</v>
      </c>
      <c r="HP63" t="e">
        <f>AND(Sheet1!B848,"AAAAAE3fvN8=")</f>
        <v>#VALUE!</v>
      </c>
      <c r="HQ63" t="e">
        <f>AND(Sheet1!C848,"AAAAAE3fvOA=")</f>
        <v>#VALUE!</v>
      </c>
      <c r="HR63" t="e">
        <f>AND(Sheet1!D848,"AAAAAE3fvOE=")</f>
        <v>#VALUE!</v>
      </c>
      <c r="HS63" t="e">
        <f>AND(Sheet1!E848,"AAAAAE3fvOI=")</f>
        <v>#VALUE!</v>
      </c>
      <c r="HT63" t="e">
        <f>AND(Sheet1!F848,"AAAAAE3fvOM=")</f>
        <v>#VALUE!</v>
      </c>
      <c r="HU63" t="e">
        <f>AND(Sheet1!G848,"AAAAAE3fvOQ=")</f>
        <v>#VALUE!</v>
      </c>
      <c r="HV63" t="e">
        <f>AND(Sheet1!H848,"AAAAAE3fvOU=")</f>
        <v>#VALUE!</v>
      </c>
      <c r="HW63" t="e">
        <f>AND(Sheet1!I848,"AAAAAE3fvOY=")</f>
        <v>#VALUE!</v>
      </c>
      <c r="HX63" t="e">
        <f>AND(Sheet1!J848,"AAAAAE3fvOc=")</f>
        <v>#VALUE!</v>
      </c>
      <c r="HY63" t="e">
        <f>AND(Sheet1!K848,"AAAAAE3fvOg=")</f>
        <v>#VALUE!</v>
      </c>
      <c r="HZ63" t="e">
        <f>AND(Sheet1!L848,"AAAAAE3fvOk=")</f>
        <v>#VALUE!</v>
      </c>
      <c r="IA63" t="e">
        <f>AND(Sheet1!M848,"AAAAAE3fvOo=")</f>
        <v>#VALUE!</v>
      </c>
      <c r="IB63" t="e">
        <f>AND(Sheet1!N848,"AAAAAE3fvOs=")</f>
        <v>#VALUE!</v>
      </c>
      <c r="IC63" t="e">
        <f>AND(Sheet1!#REF!,"AAAAAE3fvOw=")</f>
        <v>#REF!</v>
      </c>
      <c r="ID63" t="e">
        <f>AND(Sheet1!#REF!,"AAAAAE3fvO0=")</f>
        <v>#REF!</v>
      </c>
      <c r="IE63" t="e">
        <f>AND(Sheet1!#REF!,"AAAAAE3fvO4=")</f>
        <v>#REF!</v>
      </c>
      <c r="IF63" t="e">
        <f>AND(Sheet1!#REF!,"AAAAAE3fvO8=")</f>
        <v>#REF!</v>
      </c>
      <c r="IG63">
        <f>IF(Sheet1!849:849,"AAAAAE3fvPA=",0)</f>
        <v>0</v>
      </c>
      <c r="IH63" t="e">
        <f>AND(Sheet1!A849,"AAAAAE3fvPE=")</f>
        <v>#VALUE!</v>
      </c>
      <c r="II63" t="e">
        <f>AND(Sheet1!B849,"AAAAAE3fvPI=")</f>
        <v>#VALUE!</v>
      </c>
      <c r="IJ63" t="e">
        <f>AND(Sheet1!C849,"AAAAAE3fvPM=")</f>
        <v>#VALUE!</v>
      </c>
      <c r="IK63" t="e">
        <f>AND(Sheet1!D849,"AAAAAE3fvPQ=")</f>
        <v>#VALUE!</v>
      </c>
      <c r="IL63" t="e">
        <f>AND(Sheet1!E849,"AAAAAE3fvPU=")</f>
        <v>#VALUE!</v>
      </c>
      <c r="IM63" t="e">
        <f>AND(Sheet1!F849,"AAAAAE3fvPY=")</f>
        <v>#VALUE!</v>
      </c>
      <c r="IN63" t="e">
        <f>AND(Sheet1!G849,"AAAAAE3fvPc=")</f>
        <v>#VALUE!</v>
      </c>
      <c r="IO63" t="e">
        <f>AND(Sheet1!H849,"AAAAAE3fvPg=")</f>
        <v>#VALUE!</v>
      </c>
      <c r="IP63" t="e">
        <f>AND(Sheet1!I849,"AAAAAE3fvPk=")</f>
        <v>#VALUE!</v>
      </c>
      <c r="IQ63" t="e">
        <f>AND(Sheet1!J849,"AAAAAE3fvPo=")</f>
        <v>#VALUE!</v>
      </c>
      <c r="IR63" t="e">
        <f>AND(Sheet1!K849,"AAAAAE3fvPs=")</f>
        <v>#VALUE!</v>
      </c>
      <c r="IS63" t="e">
        <f>AND(Sheet1!L849,"AAAAAE3fvPw=")</f>
        <v>#VALUE!</v>
      </c>
      <c r="IT63" t="e">
        <f>AND(Sheet1!M849,"AAAAAE3fvP0=")</f>
        <v>#VALUE!</v>
      </c>
      <c r="IU63" t="e">
        <f>AND(Sheet1!N849,"AAAAAE3fvP4=")</f>
        <v>#VALUE!</v>
      </c>
      <c r="IV63" t="e">
        <f>AND(Sheet1!#REF!,"AAAAAE3fvP8=")</f>
        <v>#REF!</v>
      </c>
    </row>
    <row r="64" spans="1:256" x14ac:dyDescent="0.2">
      <c r="A64" t="e">
        <f>AND(Sheet1!#REF!,"AAAAAG519QA=")</f>
        <v>#REF!</v>
      </c>
      <c r="B64" t="e">
        <f>AND(Sheet1!#REF!,"AAAAAG519QE=")</f>
        <v>#REF!</v>
      </c>
      <c r="C64" t="e">
        <f>AND(Sheet1!#REF!,"AAAAAG519QI=")</f>
        <v>#REF!</v>
      </c>
      <c r="D64" t="e">
        <f>IF(Sheet1!850:850,"AAAAAG519QM=",0)</f>
        <v>#VALUE!</v>
      </c>
      <c r="E64" t="e">
        <f>AND(Sheet1!A850,"AAAAAG519QQ=")</f>
        <v>#VALUE!</v>
      </c>
      <c r="F64" t="e">
        <f>AND(Sheet1!B850,"AAAAAG519QU=")</f>
        <v>#VALUE!</v>
      </c>
      <c r="G64" t="e">
        <f>AND(Sheet1!C850,"AAAAAG519QY=")</f>
        <v>#VALUE!</v>
      </c>
      <c r="H64" t="e">
        <f>AND(Sheet1!D850,"AAAAAG519Qc=")</f>
        <v>#VALUE!</v>
      </c>
      <c r="I64" t="e">
        <f>AND(Sheet1!E850,"AAAAAG519Qg=")</f>
        <v>#VALUE!</v>
      </c>
      <c r="J64" t="e">
        <f>AND(Sheet1!F850,"AAAAAG519Qk=")</f>
        <v>#VALUE!</v>
      </c>
      <c r="K64" t="e">
        <f>AND(Sheet1!G850,"AAAAAG519Qo=")</f>
        <v>#VALUE!</v>
      </c>
      <c r="L64" t="e">
        <f>AND(Sheet1!H850,"AAAAAG519Qs=")</f>
        <v>#VALUE!</v>
      </c>
      <c r="M64" t="e">
        <f>AND(Sheet1!I850,"AAAAAG519Qw=")</f>
        <v>#VALUE!</v>
      </c>
      <c r="N64" t="e">
        <f>AND(Sheet1!J850,"AAAAAG519Q0=")</f>
        <v>#VALUE!</v>
      </c>
      <c r="O64" t="e">
        <f>AND(Sheet1!K850,"AAAAAG519Q4=")</f>
        <v>#VALUE!</v>
      </c>
      <c r="P64" t="e">
        <f>AND(Sheet1!L850,"AAAAAG519Q8=")</f>
        <v>#VALUE!</v>
      </c>
      <c r="Q64" t="e">
        <f>AND(Sheet1!M850,"AAAAAG519RA=")</f>
        <v>#VALUE!</v>
      </c>
      <c r="R64" t="e">
        <f>AND(Sheet1!N850,"AAAAAG519RE=")</f>
        <v>#VALUE!</v>
      </c>
      <c r="S64" t="e">
        <f>AND(Sheet1!#REF!,"AAAAAG519RI=")</f>
        <v>#REF!</v>
      </c>
      <c r="T64" t="e">
        <f>AND(Sheet1!#REF!,"AAAAAG519RM=")</f>
        <v>#REF!</v>
      </c>
      <c r="U64" t="e">
        <f>AND(Sheet1!#REF!,"AAAAAG519RQ=")</f>
        <v>#REF!</v>
      </c>
      <c r="V64" t="e">
        <f>AND(Sheet1!#REF!,"AAAAAG519RU=")</f>
        <v>#REF!</v>
      </c>
      <c r="W64">
        <f>IF(Sheet1!851:851,"AAAAAG519RY=",0)</f>
        <v>0</v>
      </c>
      <c r="X64" t="e">
        <f>AND(Sheet1!A851,"AAAAAG519Rc=")</f>
        <v>#VALUE!</v>
      </c>
      <c r="Y64" t="e">
        <f>AND(Sheet1!B851,"AAAAAG519Rg=")</f>
        <v>#VALUE!</v>
      </c>
      <c r="Z64" t="e">
        <f>AND(Sheet1!C851,"AAAAAG519Rk=")</f>
        <v>#VALUE!</v>
      </c>
      <c r="AA64" t="e">
        <f>AND(Sheet1!D851,"AAAAAG519Ro=")</f>
        <v>#VALUE!</v>
      </c>
      <c r="AB64" t="e">
        <f>AND(Sheet1!E851,"AAAAAG519Rs=")</f>
        <v>#VALUE!</v>
      </c>
      <c r="AC64" t="e">
        <f>AND(Sheet1!F851,"AAAAAG519Rw=")</f>
        <v>#VALUE!</v>
      </c>
      <c r="AD64" t="e">
        <f>AND(Sheet1!G851,"AAAAAG519R0=")</f>
        <v>#VALUE!</v>
      </c>
      <c r="AE64" t="e">
        <f>AND(Sheet1!H851,"AAAAAG519R4=")</f>
        <v>#VALUE!</v>
      </c>
      <c r="AF64" t="e">
        <f>AND(Sheet1!I851,"AAAAAG519R8=")</f>
        <v>#VALUE!</v>
      </c>
      <c r="AG64" t="e">
        <f>AND(Sheet1!J851,"AAAAAG519SA=")</f>
        <v>#VALUE!</v>
      </c>
      <c r="AH64" t="e">
        <f>AND(Sheet1!K851,"AAAAAG519SE=")</f>
        <v>#VALUE!</v>
      </c>
      <c r="AI64" t="e">
        <f>AND(Sheet1!L851,"AAAAAG519SI=")</f>
        <v>#VALUE!</v>
      </c>
      <c r="AJ64" t="e">
        <f>AND(Sheet1!M851,"AAAAAG519SM=")</f>
        <v>#VALUE!</v>
      </c>
      <c r="AK64" t="e">
        <f>AND(Sheet1!N851,"AAAAAG519SQ=")</f>
        <v>#VALUE!</v>
      </c>
      <c r="AL64" t="e">
        <f>AND(Sheet1!#REF!,"AAAAAG519SU=")</f>
        <v>#REF!</v>
      </c>
      <c r="AM64" t="e">
        <f>AND(Sheet1!#REF!,"AAAAAG519SY=")</f>
        <v>#REF!</v>
      </c>
      <c r="AN64" t="e">
        <f>AND(Sheet1!#REF!,"AAAAAG519Sc=")</f>
        <v>#REF!</v>
      </c>
      <c r="AO64" t="e">
        <f>AND(Sheet1!#REF!,"AAAAAG519Sg=")</f>
        <v>#REF!</v>
      </c>
      <c r="AP64">
        <f>IF(Sheet1!852:852,"AAAAAG519Sk=",0)</f>
        <v>0</v>
      </c>
      <c r="AQ64" t="e">
        <f>AND(Sheet1!A852,"AAAAAG519So=")</f>
        <v>#VALUE!</v>
      </c>
      <c r="AR64" t="e">
        <f>AND(Sheet1!B852,"AAAAAG519Ss=")</f>
        <v>#VALUE!</v>
      </c>
      <c r="AS64" t="e">
        <f>AND(Sheet1!C852,"AAAAAG519Sw=")</f>
        <v>#VALUE!</v>
      </c>
      <c r="AT64" t="e">
        <f>AND(Sheet1!D852,"AAAAAG519S0=")</f>
        <v>#VALUE!</v>
      </c>
      <c r="AU64" t="e">
        <f>AND(Sheet1!E852,"AAAAAG519S4=")</f>
        <v>#VALUE!</v>
      </c>
      <c r="AV64" t="e">
        <f>AND(Sheet1!F852,"AAAAAG519S8=")</f>
        <v>#VALUE!</v>
      </c>
      <c r="AW64" t="e">
        <f>AND(Sheet1!G852,"AAAAAG519TA=")</f>
        <v>#VALUE!</v>
      </c>
      <c r="AX64" t="e">
        <f>AND(Sheet1!H852,"AAAAAG519TE=")</f>
        <v>#VALUE!</v>
      </c>
      <c r="AY64" t="e">
        <f>AND(Sheet1!I852,"AAAAAG519TI=")</f>
        <v>#VALUE!</v>
      </c>
      <c r="AZ64" t="e">
        <f>AND(Sheet1!J852,"AAAAAG519TM=")</f>
        <v>#VALUE!</v>
      </c>
      <c r="BA64" t="e">
        <f>AND(Sheet1!K852,"AAAAAG519TQ=")</f>
        <v>#VALUE!</v>
      </c>
      <c r="BB64" t="e">
        <f>AND(Sheet1!L852,"AAAAAG519TU=")</f>
        <v>#VALUE!</v>
      </c>
      <c r="BC64" t="e">
        <f>AND(Sheet1!M852,"AAAAAG519TY=")</f>
        <v>#VALUE!</v>
      </c>
      <c r="BD64" t="e">
        <f>AND(Sheet1!N852,"AAAAAG519Tc=")</f>
        <v>#VALUE!</v>
      </c>
      <c r="BE64" t="e">
        <f>AND(Sheet1!#REF!,"AAAAAG519Tg=")</f>
        <v>#REF!</v>
      </c>
      <c r="BF64" t="e">
        <f>AND(Sheet1!#REF!,"AAAAAG519Tk=")</f>
        <v>#REF!</v>
      </c>
      <c r="BG64" t="e">
        <f>AND(Sheet1!#REF!,"AAAAAG519To=")</f>
        <v>#REF!</v>
      </c>
      <c r="BH64" t="e">
        <f>AND(Sheet1!#REF!,"AAAAAG519Ts=")</f>
        <v>#REF!</v>
      </c>
      <c r="BI64">
        <f>IF(Sheet1!853:853,"AAAAAG519Tw=",0)</f>
        <v>0</v>
      </c>
      <c r="BJ64" t="e">
        <f>AND(Sheet1!A853,"AAAAAG519T0=")</f>
        <v>#VALUE!</v>
      </c>
      <c r="BK64" t="e">
        <f>AND(Sheet1!B853,"AAAAAG519T4=")</f>
        <v>#VALUE!</v>
      </c>
      <c r="BL64" t="e">
        <f>AND(Sheet1!C853,"AAAAAG519T8=")</f>
        <v>#VALUE!</v>
      </c>
      <c r="BM64" t="e">
        <f>AND(Sheet1!D853,"AAAAAG519UA=")</f>
        <v>#VALUE!</v>
      </c>
      <c r="BN64" t="e">
        <f>AND(Sheet1!E853,"AAAAAG519UE=")</f>
        <v>#VALUE!</v>
      </c>
      <c r="BO64" t="e">
        <f>AND(Sheet1!F853,"AAAAAG519UI=")</f>
        <v>#VALUE!</v>
      </c>
      <c r="BP64" t="e">
        <f>AND(Sheet1!G853,"AAAAAG519UM=")</f>
        <v>#VALUE!</v>
      </c>
      <c r="BQ64" t="e">
        <f>AND(Sheet1!H853,"AAAAAG519UQ=")</f>
        <v>#VALUE!</v>
      </c>
      <c r="BR64" t="e">
        <f>AND(Sheet1!I853,"AAAAAG519UU=")</f>
        <v>#VALUE!</v>
      </c>
      <c r="BS64" t="e">
        <f>AND(Sheet1!J853,"AAAAAG519UY=")</f>
        <v>#VALUE!</v>
      </c>
      <c r="BT64" t="e">
        <f>AND(Sheet1!K853,"AAAAAG519Uc=")</f>
        <v>#VALUE!</v>
      </c>
      <c r="BU64" t="e">
        <f>AND(Sheet1!L853,"AAAAAG519Ug=")</f>
        <v>#VALUE!</v>
      </c>
      <c r="BV64" t="e">
        <f>AND(Sheet1!M853,"AAAAAG519Uk=")</f>
        <v>#VALUE!</v>
      </c>
      <c r="BW64" t="e">
        <f>AND(Sheet1!N853,"AAAAAG519Uo=")</f>
        <v>#VALUE!</v>
      </c>
      <c r="BX64" t="e">
        <f>AND(Sheet1!#REF!,"AAAAAG519Us=")</f>
        <v>#REF!</v>
      </c>
      <c r="BY64" t="e">
        <f>AND(Sheet1!#REF!,"AAAAAG519Uw=")</f>
        <v>#REF!</v>
      </c>
      <c r="BZ64" t="e">
        <f>AND(Sheet1!#REF!,"AAAAAG519U0=")</f>
        <v>#REF!</v>
      </c>
      <c r="CA64" t="e">
        <f>AND(Sheet1!#REF!,"AAAAAG519U4=")</f>
        <v>#REF!</v>
      </c>
      <c r="CB64">
        <f>IF(Sheet1!854:854,"AAAAAG519U8=",0)</f>
        <v>0</v>
      </c>
      <c r="CC64" t="e">
        <f>AND(Sheet1!A854,"AAAAAG519VA=")</f>
        <v>#VALUE!</v>
      </c>
      <c r="CD64" t="e">
        <f>AND(Sheet1!B854,"AAAAAG519VE=")</f>
        <v>#VALUE!</v>
      </c>
      <c r="CE64" t="e">
        <f>AND(Sheet1!C854,"AAAAAG519VI=")</f>
        <v>#VALUE!</v>
      </c>
      <c r="CF64" t="e">
        <f>AND(Sheet1!D854,"AAAAAG519VM=")</f>
        <v>#VALUE!</v>
      </c>
      <c r="CG64" t="e">
        <f>AND(Sheet1!E854,"AAAAAG519VQ=")</f>
        <v>#VALUE!</v>
      </c>
      <c r="CH64" t="e">
        <f>AND(Sheet1!F854,"AAAAAG519VU=")</f>
        <v>#VALUE!</v>
      </c>
      <c r="CI64" t="e">
        <f>AND(Sheet1!G854,"AAAAAG519VY=")</f>
        <v>#VALUE!</v>
      </c>
      <c r="CJ64" t="e">
        <f>AND(Sheet1!H854,"AAAAAG519Vc=")</f>
        <v>#VALUE!</v>
      </c>
      <c r="CK64" t="e">
        <f>AND(Sheet1!I854,"AAAAAG519Vg=")</f>
        <v>#VALUE!</v>
      </c>
      <c r="CL64" t="e">
        <f>AND(Sheet1!J854,"AAAAAG519Vk=")</f>
        <v>#VALUE!</v>
      </c>
      <c r="CM64" t="e">
        <f>AND(Sheet1!K854,"AAAAAG519Vo=")</f>
        <v>#VALUE!</v>
      </c>
      <c r="CN64" t="e">
        <f>AND(Sheet1!L854,"AAAAAG519Vs=")</f>
        <v>#VALUE!</v>
      </c>
      <c r="CO64" t="e">
        <f>AND(Sheet1!M854,"AAAAAG519Vw=")</f>
        <v>#VALUE!</v>
      </c>
      <c r="CP64" t="e">
        <f>AND(Sheet1!N854,"AAAAAG519V0=")</f>
        <v>#VALUE!</v>
      </c>
      <c r="CQ64" t="e">
        <f>AND(Sheet1!#REF!,"AAAAAG519V4=")</f>
        <v>#REF!</v>
      </c>
      <c r="CR64" t="e">
        <f>AND(Sheet1!#REF!,"AAAAAG519V8=")</f>
        <v>#REF!</v>
      </c>
      <c r="CS64" t="e">
        <f>AND(Sheet1!#REF!,"AAAAAG519WA=")</f>
        <v>#REF!</v>
      </c>
      <c r="CT64" t="e">
        <f>AND(Sheet1!#REF!,"AAAAAG519WE=")</f>
        <v>#REF!</v>
      </c>
      <c r="CU64">
        <f>IF(Sheet1!855:855,"AAAAAG519WI=",0)</f>
        <v>0</v>
      </c>
      <c r="CV64" t="e">
        <f>AND(Sheet1!A855,"AAAAAG519WM=")</f>
        <v>#VALUE!</v>
      </c>
      <c r="CW64" t="e">
        <f>AND(Sheet1!B855,"AAAAAG519WQ=")</f>
        <v>#VALUE!</v>
      </c>
      <c r="CX64" t="e">
        <f>AND(Sheet1!C855,"AAAAAG519WU=")</f>
        <v>#VALUE!</v>
      </c>
      <c r="CY64" t="e">
        <f>AND(Sheet1!D855,"AAAAAG519WY=")</f>
        <v>#VALUE!</v>
      </c>
      <c r="CZ64" t="e">
        <f>AND(Sheet1!E855,"AAAAAG519Wc=")</f>
        <v>#VALUE!</v>
      </c>
      <c r="DA64" t="e">
        <f>AND(Sheet1!F855,"AAAAAG519Wg=")</f>
        <v>#VALUE!</v>
      </c>
      <c r="DB64" t="e">
        <f>AND(Sheet1!G855,"AAAAAG519Wk=")</f>
        <v>#VALUE!</v>
      </c>
      <c r="DC64" t="e">
        <f>AND(Sheet1!H855,"AAAAAG519Wo=")</f>
        <v>#VALUE!</v>
      </c>
      <c r="DD64" t="e">
        <f>AND(Sheet1!I855,"AAAAAG519Ws=")</f>
        <v>#VALUE!</v>
      </c>
      <c r="DE64" t="e">
        <f>AND(Sheet1!J855,"AAAAAG519Ww=")</f>
        <v>#VALUE!</v>
      </c>
      <c r="DF64" t="e">
        <f>AND(Sheet1!K855,"AAAAAG519W0=")</f>
        <v>#VALUE!</v>
      </c>
      <c r="DG64" t="e">
        <f>AND(Sheet1!L855,"AAAAAG519W4=")</f>
        <v>#VALUE!</v>
      </c>
      <c r="DH64" t="e">
        <f>AND(Sheet1!M855,"AAAAAG519W8=")</f>
        <v>#VALUE!</v>
      </c>
      <c r="DI64" t="e">
        <f>AND(Sheet1!N855,"AAAAAG519XA=")</f>
        <v>#VALUE!</v>
      </c>
      <c r="DJ64" t="e">
        <f>AND(Sheet1!#REF!,"AAAAAG519XE=")</f>
        <v>#REF!</v>
      </c>
      <c r="DK64" t="e">
        <f>AND(Sheet1!#REF!,"AAAAAG519XI=")</f>
        <v>#REF!</v>
      </c>
      <c r="DL64" t="e">
        <f>AND(Sheet1!#REF!,"AAAAAG519XM=")</f>
        <v>#REF!</v>
      </c>
      <c r="DM64" t="e">
        <f>AND(Sheet1!#REF!,"AAAAAG519XQ=")</f>
        <v>#REF!</v>
      </c>
      <c r="DN64">
        <f>IF(Sheet1!856:856,"AAAAAG519XU=",0)</f>
        <v>0</v>
      </c>
      <c r="DO64" t="e">
        <f>AND(Sheet1!A856,"AAAAAG519XY=")</f>
        <v>#VALUE!</v>
      </c>
      <c r="DP64" t="e">
        <f>AND(Sheet1!B856,"AAAAAG519Xc=")</f>
        <v>#VALUE!</v>
      </c>
      <c r="DQ64" t="e">
        <f>AND(Sheet1!C856,"AAAAAG519Xg=")</f>
        <v>#VALUE!</v>
      </c>
      <c r="DR64" t="e">
        <f>AND(Sheet1!D856,"AAAAAG519Xk=")</f>
        <v>#VALUE!</v>
      </c>
      <c r="DS64" t="e">
        <f>AND(Sheet1!E856,"AAAAAG519Xo=")</f>
        <v>#VALUE!</v>
      </c>
      <c r="DT64" t="e">
        <f>AND(Sheet1!F856,"AAAAAG519Xs=")</f>
        <v>#VALUE!</v>
      </c>
      <c r="DU64" t="e">
        <f>AND(Sheet1!G856,"AAAAAG519Xw=")</f>
        <v>#VALUE!</v>
      </c>
      <c r="DV64" t="e">
        <f>AND(Sheet1!H856,"AAAAAG519X0=")</f>
        <v>#VALUE!</v>
      </c>
      <c r="DW64" t="e">
        <f>AND(Sheet1!I856,"AAAAAG519X4=")</f>
        <v>#VALUE!</v>
      </c>
      <c r="DX64" t="e">
        <f>AND(Sheet1!J856,"AAAAAG519X8=")</f>
        <v>#VALUE!</v>
      </c>
      <c r="DY64" t="e">
        <f>AND(Sheet1!K856,"AAAAAG519YA=")</f>
        <v>#VALUE!</v>
      </c>
      <c r="DZ64" t="e">
        <f>AND(Sheet1!L856,"AAAAAG519YE=")</f>
        <v>#VALUE!</v>
      </c>
      <c r="EA64" t="e">
        <f>AND(Sheet1!M856,"AAAAAG519YI=")</f>
        <v>#VALUE!</v>
      </c>
      <c r="EB64" t="e">
        <f>AND(Sheet1!N856,"AAAAAG519YM=")</f>
        <v>#VALUE!</v>
      </c>
      <c r="EC64" t="e">
        <f>AND(Sheet1!#REF!,"AAAAAG519YQ=")</f>
        <v>#REF!</v>
      </c>
      <c r="ED64" t="e">
        <f>AND(Sheet1!#REF!,"AAAAAG519YU=")</f>
        <v>#REF!</v>
      </c>
      <c r="EE64" t="e">
        <f>AND(Sheet1!#REF!,"AAAAAG519YY=")</f>
        <v>#REF!</v>
      </c>
      <c r="EF64" t="e">
        <f>AND(Sheet1!#REF!,"AAAAAG519Yc=")</f>
        <v>#REF!</v>
      </c>
      <c r="EG64">
        <f>IF(Sheet1!857:857,"AAAAAG519Yg=",0)</f>
        <v>0</v>
      </c>
      <c r="EH64" t="e">
        <f>AND(Sheet1!A857,"AAAAAG519Yk=")</f>
        <v>#VALUE!</v>
      </c>
      <c r="EI64" t="e">
        <f>AND(Sheet1!B857,"AAAAAG519Yo=")</f>
        <v>#VALUE!</v>
      </c>
      <c r="EJ64" t="e">
        <f>AND(Sheet1!C857,"AAAAAG519Ys=")</f>
        <v>#VALUE!</v>
      </c>
      <c r="EK64" t="e">
        <f>AND(Sheet1!D857,"AAAAAG519Yw=")</f>
        <v>#VALUE!</v>
      </c>
      <c r="EL64" t="e">
        <f>AND(Sheet1!E857,"AAAAAG519Y0=")</f>
        <v>#VALUE!</v>
      </c>
      <c r="EM64" t="e">
        <f>AND(Sheet1!F857,"AAAAAG519Y4=")</f>
        <v>#VALUE!</v>
      </c>
      <c r="EN64" t="e">
        <f>AND(Sheet1!G857,"AAAAAG519Y8=")</f>
        <v>#VALUE!</v>
      </c>
      <c r="EO64" t="e">
        <f>AND(Sheet1!H857,"AAAAAG519ZA=")</f>
        <v>#VALUE!</v>
      </c>
      <c r="EP64" t="e">
        <f>AND(Sheet1!I857,"AAAAAG519ZE=")</f>
        <v>#VALUE!</v>
      </c>
      <c r="EQ64" t="e">
        <f>AND(Sheet1!J857,"AAAAAG519ZI=")</f>
        <v>#VALUE!</v>
      </c>
      <c r="ER64" t="e">
        <f>AND(Sheet1!K857,"AAAAAG519ZM=")</f>
        <v>#VALUE!</v>
      </c>
      <c r="ES64" t="e">
        <f>AND(Sheet1!L857,"AAAAAG519ZQ=")</f>
        <v>#VALUE!</v>
      </c>
      <c r="ET64" t="e">
        <f>AND(Sheet1!M857,"AAAAAG519ZU=")</f>
        <v>#VALUE!</v>
      </c>
      <c r="EU64" t="e">
        <f>AND(Sheet1!N857,"AAAAAG519ZY=")</f>
        <v>#VALUE!</v>
      </c>
      <c r="EV64" t="e">
        <f>AND(Sheet1!#REF!,"AAAAAG519Zc=")</f>
        <v>#REF!</v>
      </c>
      <c r="EW64" t="e">
        <f>AND(Sheet1!#REF!,"AAAAAG519Zg=")</f>
        <v>#REF!</v>
      </c>
      <c r="EX64" t="e">
        <f>AND(Sheet1!#REF!,"AAAAAG519Zk=")</f>
        <v>#REF!</v>
      </c>
      <c r="EY64" t="e">
        <f>AND(Sheet1!#REF!,"AAAAAG519Zo=")</f>
        <v>#REF!</v>
      </c>
      <c r="EZ64">
        <f>IF(Sheet1!858:858,"AAAAAG519Zs=",0)</f>
        <v>0</v>
      </c>
      <c r="FA64" t="e">
        <f>AND(Sheet1!A858,"AAAAAG519Zw=")</f>
        <v>#VALUE!</v>
      </c>
      <c r="FB64" t="e">
        <f>AND(Sheet1!B858,"AAAAAG519Z0=")</f>
        <v>#VALUE!</v>
      </c>
      <c r="FC64" t="e">
        <f>AND(Sheet1!C858,"AAAAAG519Z4=")</f>
        <v>#VALUE!</v>
      </c>
      <c r="FD64" t="e">
        <f>AND(Sheet1!D858,"AAAAAG519Z8=")</f>
        <v>#VALUE!</v>
      </c>
      <c r="FE64" t="e">
        <f>AND(Sheet1!E858,"AAAAAG519aA=")</f>
        <v>#VALUE!</v>
      </c>
      <c r="FF64" t="e">
        <f>AND(Sheet1!F858,"AAAAAG519aE=")</f>
        <v>#VALUE!</v>
      </c>
      <c r="FG64" t="e">
        <f>AND(Sheet1!G858,"AAAAAG519aI=")</f>
        <v>#VALUE!</v>
      </c>
      <c r="FH64" t="e">
        <f>AND(Sheet1!H858,"AAAAAG519aM=")</f>
        <v>#VALUE!</v>
      </c>
      <c r="FI64" t="e">
        <f>AND(Sheet1!I858,"AAAAAG519aQ=")</f>
        <v>#VALUE!</v>
      </c>
      <c r="FJ64" t="e">
        <f>AND(Sheet1!J858,"AAAAAG519aU=")</f>
        <v>#VALUE!</v>
      </c>
      <c r="FK64" t="e">
        <f>AND(Sheet1!K858,"AAAAAG519aY=")</f>
        <v>#VALUE!</v>
      </c>
      <c r="FL64" t="e">
        <f>AND(Sheet1!L858,"AAAAAG519ac=")</f>
        <v>#VALUE!</v>
      </c>
      <c r="FM64" t="e">
        <f>AND(Sheet1!M858,"AAAAAG519ag=")</f>
        <v>#VALUE!</v>
      </c>
      <c r="FN64" t="e">
        <f>AND(Sheet1!N858,"AAAAAG519ak=")</f>
        <v>#VALUE!</v>
      </c>
      <c r="FO64" t="e">
        <f>AND(Sheet1!#REF!,"AAAAAG519ao=")</f>
        <v>#REF!</v>
      </c>
      <c r="FP64" t="e">
        <f>AND(Sheet1!#REF!,"AAAAAG519as=")</f>
        <v>#REF!</v>
      </c>
      <c r="FQ64" t="e">
        <f>AND(Sheet1!#REF!,"AAAAAG519aw=")</f>
        <v>#REF!</v>
      </c>
      <c r="FR64" t="e">
        <f>AND(Sheet1!#REF!,"AAAAAG519a0=")</f>
        <v>#REF!</v>
      </c>
      <c r="FS64">
        <f>IF(Sheet1!859:859,"AAAAAG519a4=",0)</f>
        <v>0</v>
      </c>
      <c r="FT64" t="e">
        <f>AND(Sheet1!A859,"AAAAAG519a8=")</f>
        <v>#VALUE!</v>
      </c>
      <c r="FU64" t="e">
        <f>AND(Sheet1!B859,"AAAAAG519bA=")</f>
        <v>#VALUE!</v>
      </c>
      <c r="FV64" t="e">
        <f>AND(Sheet1!C859,"AAAAAG519bE=")</f>
        <v>#VALUE!</v>
      </c>
      <c r="FW64" t="e">
        <f>AND(Sheet1!D859,"AAAAAG519bI=")</f>
        <v>#VALUE!</v>
      </c>
      <c r="FX64" t="e">
        <f>AND(Sheet1!E859,"AAAAAG519bM=")</f>
        <v>#VALUE!</v>
      </c>
      <c r="FY64" t="e">
        <f>AND(Sheet1!F859,"AAAAAG519bQ=")</f>
        <v>#VALUE!</v>
      </c>
      <c r="FZ64" t="e">
        <f>AND(Sheet1!G859,"AAAAAG519bU=")</f>
        <v>#VALUE!</v>
      </c>
      <c r="GA64" t="e">
        <f>AND(Sheet1!H859,"AAAAAG519bY=")</f>
        <v>#VALUE!</v>
      </c>
      <c r="GB64" t="e">
        <f>AND(Sheet1!I859,"AAAAAG519bc=")</f>
        <v>#VALUE!</v>
      </c>
      <c r="GC64" t="e">
        <f>AND(Sheet1!J859,"AAAAAG519bg=")</f>
        <v>#VALUE!</v>
      </c>
      <c r="GD64" t="e">
        <f>AND(Sheet1!K859,"AAAAAG519bk=")</f>
        <v>#VALUE!</v>
      </c>
      <c r="GE64" t="e">
        <f>AND(Sheet1!L859,"AAAAAG519bo=")</f>
        <v>#VALUE!</v>
      </c>
      <c r="GF64" t="e">
        <f>AND(Sheet1!M859,"AAAAAG519bs=")</f>
        <v>#VALUE!</v>
      </c>
      <c r="GG64" t="e">
        <f>AND(Sheet1!N859,"AAAAAG519bw=")</f>
        <v>#VALUE!</v>
      </c>
      <c r="GH64" t="e">
        <f>AND(Sheet1!#REF!,"AAAAAG519b0=")</f>
        <v>#REF!</v>
      </c>
      <c r="GI64" t="e">
        <f>AND(Sheet1!#REF!,"AAAAAG519b4=")</f>
        <v>#REF!</v>
      </c>
      <c r="GJ64" t="e">
        <f>AND(Sheet1!#REF!,"AAAAAG519b8=")</f>
        <v>#REF!</v>
      </c>
      <c r="GK64" t="e">
        <f>AND(Sheet1!#REF!,"AAAAAG519cA=")</f>
        <v>#REF!</v>
      </c>
      <c r="GL64">
        <f>IF(Sheet1!860:860,"AAAAAG519cE=",0)</f>
        <v>0</v>
      </c>
      <c r="GM64" t="e">
        <f>AND(Sheet1!A860,"AAAAAG519cI=")</f>
        <v>#VALUE!</v>
      </c>
      <c r="GN64" t="e">
        <f>AND(Sheet1!B860,"AAAAAG519cM=")</f>
        <v>#VALUE!</v>
      </c>
      <c r="GO64" t="e">
        <f>AND(Sheet1!C860,"AAAAAG519cQ=")</f>
        <v>#VALUE!</v>
      </c>
      <c r="GP64" t="e">
        <f>AND(Sheet1!D860,"AAAAAG519cU=")</f>
        <v>#VALUE!</v>
      </c>
      <c r="GQ64" t="e">
        <f>AND(Sheet1!E860,"AAAAAG519cY=")</f>
        <v>#VALUE!</v>
      </c>
      <c r="GR64" t="e">
        <f>AND(Sheet1!F860,"AAAAAG519cc=")</f>
        <v>#VALUE!</v>
      </c>
      <c r="GS64" t="e">
        <f>AND(Sheet1!G860,"AAAAAG519cg=")</f>
        <v>#VALUE!</v>
      </c>
      <c r="GT64" t="e">
        <f>AND(Sheet1!H860,"AAAAAG519ck=")</f>
        <v>#VALUE!</v>
      </c>
      <c r="GU64" t="e">
        <f>AND(Sheet1!I860,"AAAAAG519co=")</f>
        <v>#VALUE!</v>
      </c>
      <c r="GV64" t="e">
        <f>AND(Sheet1!J860,"AAAAAG519cs=")</f>
        <v>#VALUE!</v>
      </c>
      <c r="GW64" t="e">
        <f>AND(Sheet1!K860,"AAAAAG519cw=")</f>
        <v>#VALUE!</v>
      </c>
      <c r="GX64" t="e">
        <f>AND(Sheet1!L860,"AAAAAG519c0=")</f>
        <v>#VALUE!</v>
      </c>
      <c r="GY64" t="e">
        <f>AND(Sheet1!M860,"AAAAAG519c4=")</f>
        <v>#VALUE!</v>
      </c>
      <c r="GZ64" t="e">
        <f>AND(Sheet1!N860,"AAAAAG519c8=")</f>
        <v>#VALUE!</v>
      </c>
      <c r="HA64" t="e">
        <f>AND(Sheet1!#REF!,"AAAAAG519dA=")</f>
        <v>#REF!</v>
      </c>
      <c r="HB64" t="e">
        <f>AND(Sheet1!#REF!,"AAAAAG519dE=")</f>
        <v>#REF!</v>
      </c>
      <c r="HC64" t="e">
        <f>AND(Sheet1!#REF!,"AAAAAG519dI=")</f>
        <v>#REF!</v>
      </c>
      <c r="HD64" t="e">
        <f>AND(Sheet1!#REF!,"AAAAAG519dM=")</f>
        <v>#REF!</v>
      </c>
      <c r="HE64">
        <f>IF(Sheet1!861:861,"AAAAAG519dQ=",0)</f>
        <v>0</v>
      </c>
      <c r="HF64" t="e">
        <f>AND(Sheet1!A861,"AAAAAG519dU=")</f>
        <v>#VALUE!</v>
      </c>
      <c r="HG64" t="e">
        <f>AND(Sheet1!B861,"AAAAAG519dY=")</f>
        <v>#VALUE!</v>
      </c>
      <c r="HH64" t="e">
        <f>AND(Sheet1!C861,"AAAAAG519dc=")</f>
        <v>#VALUE!</v>
      </c>
      <c r="HI64" t="e">
        <f>AND(Sheet1!D861,"AAAAAG519dg=")</f>
        <v>#VALUE!</v>
      </c>
      <c r="HJ64" t="e">
        <f>AND(Sheet1!E861,"AAAAAG519dk=")</f>
        <v>#VALUE!</v>
      </c>
      <c r="HK64" t="e">
        <f>AND(Sheet1!F861,"AAAAAG519do=")</f>
        <v>#VALUE!</v>
      </c>
      <c r="HL64" t="e">
        <f>AND(Sheet1!G861,"AAAAAG519ds=")</f>
        <v>#VALUE!</v>
      </c>
      <c r="HM64" t="e">
        <f>AND(Sheet1!H861,"AAAAAG519dw=")</f>
        <v>#VALUE!</v>
      </c>
      <c r="HN64" t="e">
        <f>AND(Sheet1!I861,"AAAAAG519d0=")</f>
        <v>#VALUE!</v>
      </c>
      <c r="HO64" t="e">
        <f>AND(Sheet1!J861,"AAAAAG519d4=")</f>
        <v>#VALUE!</v>
      </c>
      <c r="HP64" t="e">
        <f>AND(Sheet1!K861,"AAAAAG519d8=")</f>
        <v>#VALUE!</v>
      </c>
      <c r="HQ64" t="e">
        <f>AND(Sheet1!L861,"AAAAAG519eA=")</f>
        <v>#VALUE!</v>
      </c>
      <c r="HR64" t="e">
        <f>AND(Sheet1!M861,"AAAAAG519eE=")</f>
        <v>#VALUE!</v>
      </c>
      <c r="HS64" t="e">
        <f>AND(Sheet1!N861,"AAAAAG519eI=")</f>
        <v>#VALUE!</v>
      </c>
      <c r="HT64" t="e">
        <f>AND(Sheet1!#REF!,"AAAAAG519eM=")</f>
        <v>#REF!</v>
      </c>
      <c r="HU64" t="e">
        <f>AND(Sheet1!#REF!,"AAAAAG519eQ=")</f>
        <v>#REF!</v>
      </c>
      <c r="HV64" t="e">
        <f>AND(Sheet1!#REF!,"AAAAAG519eU=")</f>
        <v>#REF!</v>
      </c>
      <c r="HW64" t="e">
        <f>AND(Sheet1!#REF!,"AAAAAG519eY=")</f>
        <v>#REF!</v>
      </c>
      <c r="HX64">
        <f>IF(Sheet1!862:862,"AAAAAG519ec=",0)</f>
        <v>0</v>
      </c>
      <c r="HY64" t="e">
        <f>AND(Sheet1!A862,"AAAAAG519eg=")</f>
        <v>#VALUE!</v>
      </c>
      <c r="HZ64" t="e">
        <f>AND(Sheet1!B862,"AAAAAG519ek=")</f>
        <v>#VALUE!</v>
      </c>
      <c r="IA64" t="e">
        <f>AND(Sheet1!C862,"AAAAAG519eo=")</f>
        <v>#VALUE!</v>
      </c>
      <c r="IB64" t="e">
        <f>AND(Sheet1!D862,"AAAAAG519es=")</f>
        <v>#VALUE!</v>
      </c>
      <c r="IC64" t="e">
        <f>AND(Sheet1!E862,"AAAAAG519ew=")</f>
        <v>#VALUE!</v>
      </c>
      <c r="ID64" t="e">
        <f>AND(Sheet1!F862,"AAAAAG519e0=")</f>
        <v>#VALUE!</v>
      </c>
      <c r="IE64" t="e">
        <f>AND(Sheet1!G862,"AAAAAG519e4=")</f>
        <v>#VALUE!</v>
      </c>
      <c r="IF64" t="e">
        <f>AND(Sheet1!H862,"AAAAAG519e8=")</f>
        <v>#VALUE!</v>
      </c>
      <c r="IG64" t="e">
        <f>AND(Sheet1!I862,"AAAAAG519fA=")</f>
        <v>#VALUE!</v>
      </c>
      <c r="IH64" t="e">
        <f>AND(Sheet1!J862,"AAAAAG519fE=")</f>
        <v>#VALUE!</v>
      </c>
      <c r="II64" t="e">
        <f>AND(Sheet1!K862,"AAAAAG519fI=")</f>
        <v>#VALUE!</v>
      </c>
      <c r="IJ64" t="e">
        <f>AND(Sheet1!L862,"AAAAAG519fM=")</f>
        <v>#VALUE!</v>
      </c>
      <c r="IK64" t="e">
        <f>AND(Sheet1!M862,"AAAAAG519fQ=")</f>
        <v>#VALUE!</v>
      </c>
      <c r="IL64" t="e">
        <f>AND(Sheet1!N862,"AAAAAG519fU=")</f>
        <v>#VALUE!</v>
      </c>
      <c r="IM64" t="e">
        <f>AND(Sheet1!#REF!,"AAAAAG519fY=")</f>
        <v>#REF!</v>
      </c>
      <c r="IN64" t="e">
        <f>AND(Sheet1!#REF!,"AAAAAG519fc=")</f>
        <v>#REF!</v>
      </c>
      <c r="IO64" t="e">
        <f>AND(Sheet1!#REF!,"AAAAAG519fg=")</f>
        <v>#REF!</v>
      </c>
      <c r="IP64" t="e">
        <f>AND(Sheet1!#REF!,"AAAAAG519fk=")</f>
        <v>#REF!</v>
      </c>
      <c r="IQ64">
        <f>IF(Sheet1!863:863,"AAAAAG519fo=",0)</f>
        <v>0</v>
      </c>
      <c r="IR64" t="e">
        <f>AND(Sheet1!A863,"AAAAAG519fs=")</f>
        <v>#VALUE!</v>
      </c>
      <c r="IS64" t="e">
        <f>AND(Sheet1!B863,"AAAAAG519fw=")</f>
        <v>#VALUE!</v>
      </c>
      <c r="IT64" t="e">
        <f>AND(Sheet1!C863,"AAAAAG519f0=")</f>
        <v>#VALUE!</v>
      </c>
      <c r="IU64" t="e">
        <f>AND(Sheet1!D863,"AAAAAG519f4=")</f>
        <v>#VALUE!</v>
      </c>
      <c r="IV64" t="e">
        <f>AND(Sheet1!E863,"AAAAAG519f8=")</f>
        <v>#VALUE!</v>
      </c>
    </row>
    <row r="65" spans="1:256" x14ac:dyDescent="0.2">
      <c r="A65" t="e">
        <f>AND(Sheet1!F863,"AAAAABv//wA=")</f>
        <v>#VALUE!</v>
      </c>
      <c r="B65" t="e">
        <f>AND(Sheet1!G863,"AAAAABv//wE=")</f>
        <v>#VALUE!</v>
      </c>
      <c r="C65" t="e">
        <f>AND(Sheet1!H863,"AAAAABv//wI=")</f>
        <v>#VALUE!</v>
      </c>
      <c r="D65" t="e">
        <f>AND(Sheet1!I863,"AAAAABv//wM=")</f>
        <v>#VALUE!</v>
      </c>
      <c r="E65" t="e">
        <f>AND(Sheet1!J863,"AAAAABv//wQ=")</f>
        <v>#VALUE!</v>
      </c>
      <c r="F65" t="e">
        <f>AND(Sheet1!K863,"AAAAABv//wU=")</f>
        <v>#VALUE!</v>
      </c>
      <c r="G65" t="e">
        <f>AND(Sheet1!L863,"AAAAABv//wY=")</f>
        <v>#VALUE!</v>
      </c>
      <c r="H65" t="e">
        <f>AND(Sheet1!M863,"AAAAABv//wc=")</f>
        <v>#VALUE!</v>
      </c>
      <c r="I65" t="e">
        <f>AND(Sheet1!N863,"AAAAABv//wg=")</f>
        <v>#VALUE!</v>
      </c>
      <c r="J65" t="e">
        <f>AND(Sheet1!#REF!,"AAAAABv//wk=")</f>
        <v>#REF!</v>
      </c>
      <c r="K65" t="e">
        <f>AND(Sheet1!#REF!,"AAAAABv//wo=")</f>
        <v>#REF!</v>
      </c>
      <c r="L65" t="e">
        <f>AND(Sheet1!#REF!,"AAAAABv//ws=")</f>
        <v>#REF!</v>
      </c>
      <c r="M65" t="e">
        <f>AND(Sheet1!#REF!,"AAAAABv//ww=")</f>
        <v>#REF!</v>
      </c>
      <c r="N65" t="e">
        <f>IF(Sheet1!864:864,"AAAAABv//w0=",0)</f>
        <v>#VALUE!</v>
      </c>
      <c r="O65" t="e">
        <f>AND(Sheet1!A864,"AAAAABv//w4=")</f>
        <v>#VALUE!</v>
      </c>
      <c r="P65" t="e">
        <f>AND(Sheet1!B864,"AAAAABv//w8=")</f>
        <v>#VALUE!</v>
      </c>
      <c r="Q65" t="e">
        <f>AND(Sheet1!C864,"AAAAABv//xA=")</f>
        <v>#VALUE!</v>
      </c>
      <c r="R65" t="e">
        <f>AND(Sheet1!D864,"AAAAABv//xE=")</f>
        <v>#VALUE!</v>
      </c>
      <c r="S65" t="e">
        <f>AND(Sheet1!E864,"AAAAABv//xI=")</f>
        <v>#VALUE!</v>
      </c>
      <c r="T65" t="e">
        <f>AND(Sheet1!F864,"AAAAABv//xM=")</f>
        <v>#VALUE!</v>
      </c>
      <c r="U65" t="e">
        <f>AND(Sheet1!G864,"AAAAABv//xQ=")</f>
        <v>#VALUE!</v>
      </c>
      <c r="V65" t="e">
        <f>AND(Sheet1!H864,"AAAAABv//xU=")</f>
        <v>#VALUE!</v>
      </c>
      <c r="W65" t="e">
        <f>AND(Sheet1!I864,"AAAAABv//xY=")</f>
        <v>#VALUE!</v>
      </c>
      <c r="X65" t="e">
        <f>AND(Sheet1!J864,"AAAAABv//xc=")</f>
        <v>#VALUE!</v>
      </c>
      <c r="Y65" t="e">
        <f>AND(Sheet1!K864,"AAAAABv//xg=")</f>
        <v>#VALUE!</v>
      </c>
      <c r="Z65" t="e">
        <f>AND(Sheet1!L864,"AAAAABv//xk=")</f>
        <v>#VALUE!</v>
      </c>
      <c r="AA65" t="e">
        <f>AND(Sheet1!M864,"AAAAABv//xo=")</f>
        <v>#VALUE!</v>
      </c>
      <c r="AB65" t="e">
        <f>AND(Sheet1!N864,"AAAAABv//xs=")</f>
        <v>#VALUE!</v>
      </c>
      <c r="AC65" t="e">
        <f>AND(Sheet1!#REF!,"AAAAABv//xw=")</f>
        <v>#REF!</v>
      </c>
      <c r="AD65" t="e">
        <f>AND(Sheet1!#REF!,"AAAAABv//x0=")</f>
        <v>#REF!</v>
      </c>
      <c r="AE65" t="e">
        <f>AND(Sheet1!#REF!,"AAAAABv//x4=")</f>
        <v>#REF!</v>
      </c>
      <c r="AF65" t="e">
        <f>AND(Sheet1!#REF!,"AAAAABv//x8=")</f>
        <v>#REF!</v>
      </c>
      <c r="AG65">
        <f>IF(Sheet1!865:865,"AAAAABv//yA=",0)</f>
        <v>0</v>
      </c>
      <c r="AH65" t="e">
        <f>AND(Sheet1!A865,"AAAAABv//yE=")</f>
        <v>#VALUE!</v>
      </c>
      <c r="AI65" t="e">
        <f>AND(Sheet1!B865,"AAAAABv//yI=")</f>
        <v>#VALUE!</v>
      </c>
      <c r="AJ65" t="e">
        <f>AND(Sheet1!C865,"AAAAABv//yM=")</f>
        <v>#VALUE!</v>
      </c>
      <c r="AK65" t="e">
        <f>AND(Sheet1!D865,"AAAAABv//yQ=")</f>
        <v>#VALUE!</v>
      </c>
      <c r="AL65" t="e">
        <f>AND(Sheet1!E865,"AAAAABv//yU=")</f>
        <v>#VALUE!</v>
      </c>
      <c r="AM65" t="e">
        <f>AND(Sheet1!F865,"AAAAABv//yY=")</f>
        <v>#VALUE!</v>
      </c>
      <c r="AN65" t="e">
        <f>AND(Sheet1!G865,"AAAAABv//yc=")</f>
        <v>#VALUE!</v>
      </c>
      <c r="AO65" t="e">
        <f>AND(Sheet1!H865,"AAAAABv//yg=")</f>
        <v>#VALUE!</v>
      </c>
      <c r="AP65" t="e">
        <f>AND(Sheet1!I865,"AAAAABv//yk=")</f>
        <v>#VALUE!</v>
      </c>
      <c r="AQ65" t="e">
        <f>AND(Sheet1!J865,"AAAAABv//yo=")</f>
        <v>#VALUE!</v>
      </c>
      <c r="AR65" t="e">
        <f>AND(Sheet1!K865,"AAAAABv//ys=")</f>
        <v>#VALUE!</v>
      </c>
      <c r="AS65" t="e">
        <f>AND(Sheet1!L865,"AAAAABv//yw=")</f>
        <v>#VALUE!</v>
      </c>
      <c r="AT65" t="e">
        <f>AND(Sheet1!M865,"AAAAABv//y0=")</f>
        <v>#VALUE!</v>
      </c>
      <c r="AU65" t="e">
        <f>AND(Sheet1!N865,"AAAAABv//y4=")</f>
        <v>#VALUE!</v>
      </c>
      <c r="AV65" t="e">
        <f>AND(Sheet1!#REF!,"AAAAABv//y8=")</f>
        <v>#REF!</v>
      </c>
      <c r="AW65" t="e">
        <f>AND(Sheet1!#REF!,"AAAAABv//zA=")</f>
        <v>#REF!</v>
      </c>
      <c r="AX65" t="e">
        <f>AND(Sheet1!#REF!,"AAAAABv//zE=")</f>
        <v>#REF!</v>
      </c>
      <c r="AY65" t="e">
        <f>AND(Sheet1!#REF!,"AAAAABv//zI=")</f>
        <v>#REF!</v>
      </c>
      <c r="AZ65">
        <f>IF(Sheet1!866:866,"AAAAABv//zM=",0)</f>
        <v>0</v>
      </c>
      <c r="BA65" t="e">
        <f>AND(Sheet1!A866,"AAAAABv//zQ=")</f>
        <v>#VALUE!</v>
      </c>
      <c r="BB65" t="e">
        <f>AND(Sheet1!B866,"AAAAABv//zU=")</f>
        <v>#VALUE!</v>
      </c>
      <c r="BC65" t="e">
        <f>AND(Sheet1!C866,"AAAAABv//zY=")</f>
        <v>#VALUE!</v>
      </c>
      <c r="BD65" t="e">
        <f>AND(Sheet1!D866,"AAAAABv//zc=")</f>
        <v>#VALUE!</v>
      </c>
      <c r="BE65" t="e">
        <f>AND(Sheet1!E866,"AAAAABv//zg=")</f>
        <v>#VALUE!</v>
      </c>
      <c r="BF65" t="e">
        <f>AND(Sheet1!F866,"AAAAABv//zk=")</f>
        <v>#VALUE!</v>
      </c>
      <c r="BG65" t="e">
        <f>AND(Sheet1!G866,"AAAAABv//zo=")</f>
        <v>#VALUE!</v>
      </c>
      <c r="BH65" t="e">
        <f>AND(Sheet1!H866,"AAAAABv//zs=")</f>
        <v>#VALUE!</v>
      </c>
      <c r="BI65" t="e">
        <f>AND(Sheet1!I866,"AAAAABv//zw=")</f>
        <v>#VALUE!</v>
      </c>
      <c r="BJ65" t="e">
        <f>AND(Sheet1!J866,"AAAAABv//z0=")</f>
        <v>#VALUE!</v>
      </c>
      <c r="BK65" t="e">
        <f>AND(Sheet1!K866,"AAAAABv//z4=")</f>
        <v>#VALUE!</v>
      </c>
      <c r="BL65" t="e">
        <f>AND(Sheet1!L866,"AAAAABv//z8=")</f>
        <v>#VALUE!</v>
      </c>
      <c r="BM65" t="e">
        <f>AND(Sheet1!M866,"AAAAABv//0A=")</f>
        <v>#VALUE!</v>
      </c>
      <c r="BN65" t="e">
        <f>AND(Sheet1!N866,"AAAAABv//0E=")</f>
        <v>#VALUE!</v>
      </c>
      <c r="BO65" t="e">
        <f>AND(Sheet1!#REF!,"AAAAABv//0I=")</f>
        <v>#REF!</v>
      </c>
      <c r="BP65" t="e">
        <f>AND(Sheet1!#REF!,"AAAAABv//0M=")</f>
        <v>#REF!</v>
      </c>
      <c r="BQ65" t="e">
        <f>AND(Sheet1!#REF!,"AAAAABv//0Q=")</f>
        <v>#REF!</v>
      </c>
      <c r="BR65" t="e">
        <f>AND(Sheet1!#REF!,"AAAAABv//0U=")</f>
        <v>#REF!</v>
      </c>
      <c r="BS65">
        <f>IF(Sheet1!867:867,"AAAAABv//0Y=",0)</f>
        <v>0</v>
      </c>
      <c r="BT65" t="e">
        <f>AND(Sheet1!A867,"AAAAABv//0c=")</f>
        <v>#VALUE!</v>
      </c>
      <c r="BU65" t="e">
        <f>AND(Sheet1!B867,"AAAAABv//0g=")</f>
        <v>#VALUE!</v>
      </c>
      <c r="BV65" t="e">
        <f>AND(Sheet1!C867,"AAAAABv//0k=")</f>
        <v>#VALUE!</v>
      </c>
      <c r="BW65" t="e">
        <f>AND(Sheet1!D867,"AAAAABv//0o=")</f>
        <v>#VALUE!</v>
      </c>
      <c r="BX65" t="e">
        <f>AND(Sheet1!E867,"AAAAABv//0s=")</f>
        <v>#VALUE!</v>
      </c>
      <c r="BY65" t="e">
        <f>AND(Sheet1!F867,"AAAAABv//0w=")</f>
        <v>#VALUE!</v>
      </c>
      <c r="BZ65" t="e">
        <f>AND(Sheet1!G867,"AAAAABv//00=")</f>
        <v>#VALUE!</v>
      </c>
      <c r="CA65" t="e">
        <f>AND(Sheet1!H867,"AAAAABv//04=")</f>
        <v>#VALUE!</v>
      </c>
      <c r="CB65" t="e">
        <f>AND(Sheet1!I867,"AAAAABv//08=")</f>
        <v>#VALUE!</v>
      </c>
      <c r="CC65" t="e">
        <f>AND(Sheet1!J867,"AAAAABv//1A=")</f>
        <v>#VALUE!</v>
      </c>
      <c r="CD65" t="e">
        <f>AND(Sheet1!K867,"AAAAABv//1E=")</f>
        <v>#VALUE!</v>
      </c>
      <c r="CE65" t="e">
        <f>AND(Sheet1!L867,"AAAAABv//1I=")</f>
        <v>#VALUE!</v>
      </c>
      <c r="CF65" t="e">
        <f>AND(Sheet1!M867,"AAAAABv//1M=")</f>
        <v>#VALUE!</v>
      </c>
      <c r="CG65" t="e">
        <f>AND(Sheet1!N867,"AAAAABv//1Q=")</f>
        <v>#VALUE!</v>
      </c>
      <c r="CH65" t="e">
        <f>AND(Sheet1!#REF!,"AAAAABv//1U=")</f>
        <v>#REF!</v>
      </c>
      <c r="CI65" t="e">
        <f>AND(Sheet1!#REF!,"AAAAABv//1Y=")</f>
        <v>#REF!</v>
      </c>
      <c r="CJ65" t="e">
        <f>AND(Sheet1!#REF!,"AAAAABv//1c=")</f>
        <v>#REF!</v>
      </c>
      <c r="CK65" t="e">
        <f>AND(Sheet1!#REF!,"AAAAABv//1g=")</f>
        <v>#REF!</v>
      </c>
      <c r="CL65">
        <f>IF(Sheet1!868:868,"AAAAABv//1k=",0)</f>
        <v>0</v>
      </c>
      <c r="CM65" t="e">
        <f>AND(Sheet1!A868,"AAAAABv//1o=")</f>
        <v>#VALUE!</v>
      </c>
      <c r="CN65" t="e">
        <f>AND(Sheet1!B868,"AAAAABv//1s=")</f>
        <v>#VALUE!</v>
      </c>
      <c r="CO65" t="e">
        <f>AND(Sheet1!C868,"AAAAABv//1w=")</f>
        <v>#VALUE!</v>
      </c>
      <c r="CP65" t="e">
        <f>AND(Sheet1!D868,"AAAAABv//10=")</f>
        <v>#VALUE!</v>
      </c>
      <c r="CQ65" t="e">
        <f>AND(Sheet1!E868,"AAAAABv//14=")</f>
        <v>#VALUE!</v>
      </c>
      <c r="CR65" t="e">
        <f>AND(Sheet1!F868,"AAAAABv//18=")</f>
        <v>#VALUE!</v>
      </c>
      <c r="CS65" t="e">
        <f>AND(Sheet1!G868,"AAAAABv//2A=")</f>
        <v>#VALUE!</v>
      </c>
      <c r="CT65" t="e">
        <f>AND(Sheet1!H868,"AAAAABv//2E=")</f>
        <v>#VALUE!</v>
      </c>
      <c r="CU65" t="e">
        <f>AND(Sheet1!I868,"AAAAABv//2I=")</f>
        <v>#VALUE!</v>
      </c>
      <c r="CV65" t="e">
        <f>AND(Sheet1!J868,"AAAAABv//2M=")</f>
        <v>#VALUE!</v>
      </c>
      <c r="CW65" t="e">
        <f>AND(Sheet1!K868,"AAAAABv//2Q=")</f>
        <v>#VALUE!</v>
      </c>
      <c r="CX65" t="e">
        <f>AND(Sheet1!L868,"AAAAABv//2U=")</f>
        <v>#VALUE!</v>
      </c>
      <c r="CY65" t="e">
        <f>AND(Sheet1!M868,"AAAAABv//2Y=")</f>
        <v>#VALUE!</v>
      </c>
      <c r="CZ65" t="e">
        <f>AND(Sheet1!N868,"AAAAABv//2c=")</f>
        <v>#VALUE!</v>
      </c>
      <c r="DA65" t="e">
        <f>AND(Sheet1!#REF!,"AAAAABv//2g=")</f>
        <v>#REF!</v>
      </c>
      <c r="DB65" t="e">
        <f>AND(Sheet1!#REF!,"AAAAABv//2k=")</f>
        <v>#REF!</v>
      </c>
      <c r="DC65" t="e">
        <f>AND(Sheet1!#REF!,"AAAAABv//2o=")</f>
        <v>#REF!</v>
      </c>
      <c r="DD65" t="e">
        <f>AND(Sheet1!#REF!,"AAAAABv//2s=")</f>
        <v>#REF!</v>
      </c>
      <c r="DE65">
        <f>IF(Sheet1!869:869,"AAAAABv//2w=",0)</f>
        <v>0</v>
      </c>
      <c r="DF65" t="e">
        <f>AND(Sheet1!A869,"AAAAABv//20=")</f>
        <v>#VALUE!</v>
      </c>
      <c r="DG65" t="e">
        <f>AND(Sheet1!B869,"AAAAABv//24=")</f>
        <v>#VALUE!</v>
      </c>
      <c r="DH65" t="e">
        <f>AND(Sheet1!C869,"AAAAABv//28=")</f>
        <v>#VALUE!</v>
      </c>
      <c r="DI65" t="e">
        <f>AND(Sheet1!D869,"AAAAABv//3A=")</f>
        <v>#VALUE!</v>
      </c>
      <c r="DJ65" t="e">
        <f>AND(Sheet1!E869,"AAAAABv//3E=")</f>
        <v>#VALUE!</v>
      </c>
      <c r="DK65" t="e">
        <f>AND(Sheet1!F869,"AAAAABv//3I=")</f>
        <v>#VALUE!</v>
      </c>
      <c r="DL65" t="e">
        <f>AND(Sheet1!G869,"AAAAABv//3M=")</f>
        <v>#VALUE!</v>
      </c>
      <c r="DM65" t="e">
        <f>AND(Sheet1!H869,"AAAAABv//3Q=")</f>
        <v>#VALUE!</v>
      </c>
      <c r="DN65" t="e">
        <f>AND(Sheet1!I869,"AAAAABv//3U=")</f>
        <v>#VALUE!</v>
      </c>
      <c r="DO65" t="e">
        <f>AND(Sheet1!J869,"AAAAABv//3Y=")</f>
        <v>#VALUE!</v>
      </c>
      <c r="DP65" t="e">
        <f>AND(Sheet1!K869,"AAAAABv//3c=")</f>
        <v>#VALUE!</v>
      </c>
      <c r="DQ65" t="e">
        <f>AND(Sheet1!L869,"AAAAABv//3g=")</f>
        <v>#VALUE!</v>
      </c>
      <c r="DR65" t="e">
        <f>AND(Sheet1!M869,"AAAAABv//3k=")</f>
        <v>#VALUE!</v>
      </c>
      <c r="DS65" t="e">
        <f>AND(Sheet1!N869,"AAAAABv//3o=")</f>
        <v>#VALUE!</v>
      </c>
      <c r="DT65" t="e">
        <f>AND(Sheet1!#REF!,"AAAAABv//3s=")</f>
        <v>#REF!</v>
      </c>
      <c r="DU65" t="e">
        <f>AND(Sheet1!#REF!,"AAAAABv//3w=")</f>
        <v>#REF!</v>
      </c>
      <c r="DV65" t="e">
        <f>AND(Sheet1!#REF!,"AAAAABv//30=")</f>
        <v>#REF!</v>
      </c>
      <c r="DW65" t="e">
        <f>AND(Sheet1!#REF!,"AAAAABv//34=")</f>
        <v>#REF!</v>
      </c>
      <c r="DX65">
        <f>IF(Sheet1!870:870,"AAAAABv//38=",0)</f>
        <v>0</v>
      </c>
      <c r="DY65" t="e">
        <f>AND(Sheet1!A870,"AAAAABv//4A=")</f>
        <v>#VALUE!</v>
      </c>
      <c r="DZ65" t="e">
        <f>AND(Sheet1!B870,"AAAAABv//4E=")</f>
        <v>#VALUE!</v>
      </c>
      <c r="EA65" t="e">
        <f>AND(Sheet1!C870,"AAAAABv//4I=")</f>
        <v>#VALUE!</v>
      </c>
      <c r="EB65" t="e">
        <f>AND(Sheet1!D870,"AAAAABv//4M=")</f>
        <v>#VALUE!</v>
      </c>
      <c r="EC65" t="e">
        <f>AND(Sheet1!E870,"AAAAABv//4Q=")</f>
        <v>#VALUE!</v>
      </c>
      <c r="ED65" t="e">
        <f>AND(Sheet1!F870,"AAAAABv//4U=")</f>
        <v>#VALUE!</v>
      </c>
      <c r="EE65" t="e">
        <f>AND(Sheet1!G870,"AAAAABv//4Y=")</f>
        <v>#VALUE!</v>
      </c>
      <c r="EF65" t="e">
        <f>AND(Sheet1!H870,"AAAAABv//4c=")</f>
        <v>#VALUE!</v>
      </c>
      <c r="EG65" t="e">
        <f>AND(Sheet1!I870,"AAAAABv//4g=")</f>
        <v>#VALUE!</v>
      </c>
      <c r="EH65" t="e">
        <f>AND(Sheet1!J870,"AAAAABv//4k=")</f>
        <v>#VALUE!</v>
      </c>
      <c r="EI65" t="e">
        <f>AND(Sheet1!K870,"AAAAABv//4o=")</f>
        <v>#VALUE!</v>
      </c>
      <c r="EJ65" t="e">
        <f>AND(Sheet1!L870,"AAAAABv//4s=")</f>
        <v>#VALUE!</v>
      </c>
      <c r="EK65" t="e">
        <f>AND(Sheet1!M870,"AAAAABv//4w=")</f>
        <v>#VALUE!</v>
      </c>
      <c r="EL65" t="e">
        <f>AND(Sheet1!N870,"AAAAABv//40=")</f>
        <v>#VALUE!</v>
      </c>
      <c r="EM65" t="e">
        <f>AND(Sheet1!#REF!,"AAAAABv//44=")</f>
        <v>#REF!</v>
      </c>
      <c r="EN65" t="e">
        <f>AND(Sheet1!#REF!,"AAAAABv//48=")</f>
        <v>#REF!</v>
      </c>
      <c r="EO65" t="e">
        <f>AND(Sheet1!#REF!,"AAAAABv//5A=")</f>
        <v>#REF!</v>
      </c>
      <c r="EP65" t="e">
        <f>AND(Sheet1!#REF!,"AAAAABv//5E=")</f>
        <v>#REF!</v>
      </c>
      <c r="EQ65">
        <f>IF(Sheet1!871:871,"AAAAABv//5I=",0)</f>
        <v>0</v>
      </c>
      <c r="ER65" t="e">
        <f>AND(Sheet1!A871,"AAAAABv//5M=")</f>
        <v>#VALUE!</v>
      </c>
      <c r="ES65" t="e">
        <f>AND(Sheet1!B871,"AAAAABv//5Q=")</f>
        <v>#VALUE!</v>
      </c>
      <c r="ET65" t="e">
        <f>AND(Sheet1!C871,"AAAAABv//5U=")</f>
        <v>#VALUE!</v>
      </c>
      <c r="EU65" t="e">
        <f>AND(Sheet1!D871,"AAAAABv//5Y=")</f>
        <v>#VALUE!</v>
      </c>
      <c r="EV65" t="e">
        <f>AND(Sheet1!E871,"AAAAABv//5c=")</f>
        <v>#VALUE!</v>
      </c>
      <c r="EW65" t="e">
        <f>AND(Sheet1!F871,"AAAAABv//5g=")</f>
        <v>#VALUE!</v>
      </c>
      <c r="EX65" t="e">
        <f>AND(Sheet1!G871,"AAAAABv//5k=")</f>
        <v>#VALUE!</v>
      </c>
      <c r="EY65" t="e">
        <f>AND(Sheet1!H871,"AAAAABv//5o=")</f>
        <v>#VALUE!</v>
      </c>
      <c r="EZ65" t="e">
        <f>AND(Sheet1!I871,"AAAAABv//5s=")</f>
        <v>#VALUE!</v>
      </c>
      <c r="FA65" t="e">
        <f>AND(Sheet1!J871,"AAAAABv//5w=")</f>
        <v>#VALUE!</v>
      </c>
      <c r="FB65" t="e">
        <f>AND(Sheet1!K871,"AAAAABv//50=")</f>
        <v>#VALUE!</v>
      </c>
      <c r="FC65" t="e">
        <f>AND(Sheet1!L871,"AAAAABv//54=")</f>
        <v>#VALUE!</v>
      </c>
      <c r="FD65" t="e">
        <f>AND(Sheet1!M871,"AAAAABv//58=")</f>
        <v>#VALUE!</v>
      </c>
      <c r="FE65" t="e">
        <f>AND(Sheet1!N871,"AAAAABv//6A=")</f>
        <v>#VALUE!</v>
      </c>
      <c r="FF65" t="e">
        <f>AND(Sheet1!#REF!,"AAAAABv//6E=")</f>
        <v>#REF!</v>
      </c>
      <c r="FG65" t="e">
        <f>AND(Sheet1!#REF!,"AAAAABv//6I=")</f>
        <v>#REF!</v>
      </c>
      <c r="FH65" t="e">
        <f>AND(Sheet1!#REF!,"AAAAABv//6M=")</f>
        <v>#REF!</v>
      </c>
      <c r="FI65" t="e">
        <f>AND(Sheet1!#REF!,"AAAAABv//6Q=")</f>
        <v>#REF!</v>
      </c>
      <c r="FJ65">
        <f>IF(Sheet1!872:872,"AAAAABv//6U=",0)</f>
        <v>0</v>
      </c>
      <c r="FK65" t="e">
        <f>AND(Sheet1!A872,"AAAAABv//6Y=")</f>
        <v>#VALUE!</v>
      </c>
      <c r="FL65" t="e">
        <f>AND(Sheet1!B872,"AAAAABv//6c=")</f>
        <v>#VALUE!</v>
      </c>
      <c r="FM65" t="e">
        <f>AND(Sheet1!C872,"AAAAABv//6g=")</f>
        <v>#VALUE!</v>
      </c>
      <c r="FN65" t="e">
        <f>AND(Sheet1!D872,"AAAAABv//6k=")</f>
        <v>#VALUE!</v>
      </c>
      <c r="FO65" t="e">
        <f>AND(Sheet1!E872,"AAAAABv//6o=")</f>
        <v>#VALUE!</v>
      </c>
      <c r="FP65" t="e">
        <f>AND(Sheet1!F872,"AAAAABv//6s=")</f>
        <v>#VALUE!</v>
      </c>
      <c r="FQ65" t="e">
        <f>AND(Sheet1!G872,"AAAAABv//6w=")</f>
        <v>#VALUE!</v>
      </c>
      <c r="FR65" t="e">
        <f>AND(Sheet1!H872,"AAAAABv//60=")</f>
        <v>#VALUE!</v>
      </c>
      <c r="FS65" t="e">
        <f>AND(Sheet1!I872,"AAAAABv//64=")</f>
        <v>#VALUE!</v>
      </c>
      <c r="FT65" t="e">
        <f>AND(Sheet1!J872,"AAAAABv//68=")</f>
        <v>#VALUE!</v>
      </c>
      <c r="FU65" t="e">
        <f>AND(Sheet1!K872,"AAAAABv//7A=")</f>
        <v>#VALUE!</v>
      </c>
      <c r="FV65" t="e">
        <f>AND(Sheet1!L872,"AAAAABv//7E=")</f>
        <v>#VALUE!</v>
      </c>
      <c r="FW65" t="e">
        <f>AND(Sheet1!M872,"AAAAABv//7I=")</f>
        <v>#VALUE!</v>
      </c>
      <c r="FX65" t="e">
        <f>AND(Sheet1!N872,"AAAAABv//7M=")</f>
        <v>#VALUE!</v>
      </c>
      <c r="FY65" t="e">
        <f>AND(Sheet1!#REF!,"AAAAABv//7Q=")</f>
        <v>#REF!</v>
      </c>
      <c r="FZ65" t="e">
        <f>AND(Sheet1!#REF!,"AAAAABv//7U=")</f>
        <v>#REF!</v>
      </c>
      <c r="GA65" t="e">
        <f>AND(Sheet1!#REF!,"AAAAABv//7Y=")</f>
        <v>#REF!</v>
      </c>
      <c r="GB65" t="e">
        <f>AND(Sheet1!#REF!,"AAAAABv//7c=")</f>
        <v>#REF!</v>
      </c>
      <c r="GC65">
        <f>IF(Sheet1!873:873,"AAAAABv//7g=",0)</f>
        <v>0</v>
      </c>
      <c r="GD65" t="e">
        <f>AND(Sheet1!A873,"AAAAABv//7k=")</f>
        <v>#VALUE!</v>
      </c>
      <c r="GE65" t="e">
        <f>AND(Sheet1!B873,"AAAAABv//7o=")</f>
        <v>#VALUE!</v>
      </c>
      <c r="GF65" t="e">
        <f>AND(Sheet1!C873,"AAAAABv//7s=")</f>
        <v>#VALUE!</v>
      </c>
      <c r="GG65" t="e">
        <f>AND(Sheet1!D873,"AAAAABv//7w=")</f>
        <v>#VALUE!</v>
      </c>
      <c r="GH65" t="e">
        <f>AND(Sheet1!E873,"AAAAABv//70=")</f>
        <v>#VALUE!</v>
      </c>
      <c r="GI65" t="e">
        <f>AND(Sheet1!F873,"AAAAABv//74=")</f>
        <v>#VALUE!</v>
      </c>
      <c r="GJ65" t="e">
        <f>AND(Sheet1!G873,"AAAAABv//78=")</f>
        <v>#VALUE!</v>
      </c>
      <c r="GK65" t="e">
        <f>AND(Sheet1!H873,"AAAAABv//8A=")</f>
        <v>#VALUE!</v>
      </c>
      <c r="GL65" t="e">
        <f>AND(Sheet1!I873,"AAAAABv//8E=")</f>
        <v>#VALUE!</v>
      </c>
      <c r="GM65" t="e">
        <f>AND(Sheet1!J873,"AAAAABv//8I=")</f>
        <v>#VALUE!</v>
      </c>
      <c r="GN65" t="e">
        <f>AND(Sheet1!K873,"AAAAABv//8M=")</f>
        <v>#VALUE!</v>
      </c>
      <c r="GO65" t="e">
        <f>AND(Sheet1!L873,"AAAAABv//8Q=")</f>
        <v>#VALUE!</v>
      </c>
      <c r="GP65" t="e">
        <f>AND(Sheet1!M873,"AAAAABv//8U=")</f>
        <v>#VALUE!</v>
      </c>
      <c r="GQ65" t="e">
        <f>AND(Sheet1!N873,"AAAAABv//8Y=")</f>
        <v>#VALUE!</v>
      </c>
      <c r="GR65" t="e">
        <f>AND(Sheet1!#REF!,"AAAAABv//8c=")</f>
        <v>#REF!</v>
      </c>
      <c r="GS65" t="e">
        <f>AND(Sheet1!#REF!,"AAAAABv//8g=")</f>
        <v>#REF!</v>
      </c>
      <c r="GT65" t="e">
        <f>AND(Sheet1!#REF!,"AAAAABv//8k=")</f>
        <v>#REF!</v>
      </c>
      <c r="GU65" t="e">
        <f>AND(Sheet1!#REF!,"AAAAABv//8o=")</f>
        <v>#REF!</v>
      </c>
      <c r="GV65">
        <f>IF(Sheet1!874:874,"AAAAABv//8s=",0)</f>
        <v>0</v>
      </c>
      <c r="GW65" t="e">
        <f>AND(Sheet1!A874,"AAAAABv//8w=")</f>
        <v>#VALUE!</v>
      </c>
      <c r="GX65" t="e">
        <f>AND(Sheet1!B874,"AAAAABv//80=")</f>
        <v>#VALUE!</v>
      </c>
      <c r="GY65" t="e">
        <f>AND(Sheet1!C874,"AAAAABv//84=")</f>
        <v>#VALUE!</v>
      </c>
      <c r="GZ65" t="e">
        <f>AND(Sheet1!D874,"AAAAABv//88=")</f>
        <v>#VALUE!</v>
      </c>
      <c r="HA65" t="e">
        <f>AND(Sheet1!E874,"AAAAABv//9A=")</f>
        <v>#VALUE!</v>
      </c>
      <c r="HB65" t="e">
        <f>AND(Sheet1!F874,"AAAAABv//9E=")</f>
        <v>#VALUE!</v>
      </c>
      <c r="HC65" t="e">
        <f>AND(Sheet1!G874,"AAAAABv//9I=")</f>
        <v>#VALUE!</v>
      </c>
      <c r="HD65" t="e">
        <f>AND(Sheet1!H874,"AAAAABv//9M=")</f>
        <v>#VALUE!</v>
      </c>
      <c r="HE65" t="e">
        <f>AND(Sheet1!I874,"AAAAABv//9Q=")</f>
        <v>#VALUE!</v>
      </c>
      <c r="HF65" t="e">
        <f>AND(Sheet1!J874,"AAAAABv//9U=")</f>
        <v>#VALUE!</v>
      </c>
      <c r="HG65" t="e">
        <f>AND(Sheet1!K874,"AAAAABv//9Y=")</f>
        <v>#VALUE!</v>
      </c>
      <c r="HH65" t="e">
        <f>AND(Sheet1!L874,"AAAAABv//9c=")</f>
        <v>#VALUE!</v>
      </c>
      <c r="HI65" t="e">
        <f>AND(Sheet1!M874,"AAAAABv//9g=")</f>
        <v>#VALUE!</v>
      </c>
      <c r="HJ65" t="e">
        <f>AND(Sheet1!N874,"AAAAABv//9k=")</f>
        <v>#VALUE!</v>
      </c>
      <c r="HK65" t="e">
        <f>AND(Sheet1!#REF!,"AAAAABv//9o=")</f>
        <v>#REF!</v>
      </c>
      <c r="HL65" t="e">
        <f>AND(Sheet1!#REF!,"AAAAABv//9s=")</f>
        <v>#REF!</v>
      </c>
      <c r="HM65" t="e">
        <f>AND(Sheet1!#REF!,"AAAAABv//9w=")</f>
        <v>#REF!</v>
      </c>
      <c r="HN65" t="e">
        <f>AND(Sheet1!#REF!,"AAAAABv//90=")</f>
        <v>#REF!</v>
      </c>
      <c r="HO65">
        <f>IF(Sheet1!875:875,"AAAAABv//94=",0)</f>
        <v>0</v>
      </c>
      <c r="HP65" t="e">
        <f>AND(Sheet1!A875,"AAAAABv//98=")</f>
        <v>#VALUE!</v>
      </c>
      <c r="HQ65" t="e">
        <f>AND(Sheet1!B875,"AAAAABv//+A=")</f>
        <v>#VALUE!</v>
      </c>
      <c r="HR65" t="e">
        <f>AND(Sheet1!C875,"AAAAABv//+E=")</f>
        <v>#VALUE!</v>
      </c>
      <c r="HS65" t="e">
        <f>AND(Sheet1!D875,"AAAAABv//+I=")</f>
        <v>#VALUE!</v>
      </c>
      <c r="HT65" t="e">
        <f>AND(Sheet1!E875,"AAAAABv//+M=")</f>
        <v>#VALUE!</v>
      </c>
      <c r="HU65" t="e">
        <f>AND(Sheet1!F875,"AAAAABv//+Q=")</f>
        <v>#VALUE!</v>
      </c>
      <c r="HV65" t="e">
        <f>AND(Sheet1!G875,"AAAAABv//+U=")</f>
        <v>#VALUE!</v>
      </c>
      <c r="HW65" t="e">
        <f>AND(Sheet1!H875,"AAAAABv//+Y=")</f>
        <v>#VALUE!</v>
      </c>
      <c r="HX65" t="e">
        <f>AND(Sheet1!I875,"AAAAABv//+c=")</f>
        <v>#VALUE!</v>
      </c>
      <c r="HY65" t="e">
        <f>AND(Sheet1!J875,"AAAAABv//+g=")</f>
        <v>#VALUE!</v>
      </c>
      <c r="HZ65" t="e">
        <f>AND(Sheet1!K875,"AAAAABv//+k=")</f>
        <v>#VALUE!</v>
      </c>
      <c r="IA65" t="e">
        <f>AND(Sheet1!L875,"AAAAABv//+o=")</f>
        <v>#VALUE!</v>
      </c>
      <c r="IB65" t="e">
        <f>AND(Sheet1!M875,"AAAAABv//+s=")</f>
        <v>#VALUE!</v>
      </c>
      <c r="IC65" t="e">
        <f>AND(Sheet1!N875,"AAAAABv//+w=")</f>
        <v>#VALUE!</v>
      </c>
      <c r="ID65" t="e">
        <f>AND(Sheet1!#REF!,"AAAAABv//+0=")</f>
        <v>#REF!</v>
      </c>
      <c r="IE65" t="e">
        <f>AND(Sheet1!#REF!,"AAAAABv//+4=")</f>
        <v>#REF!</v>
      </c>
      <c r="IF65" t="e">
        <f>AND(Sheet1!#REF!,"AAAAABv//+8=")</f>
        <v>#REF!</v>
      </c>
      <c r="IG65" t="e">
        <f>AND(Sheet1!#REF!,"AAAAABv///A=")</f>
        <v>#REF!</v>
      </c>
      <c r="IH65">
        <f>IF(Sheet1!876:876,"AAAAABv///E=",0)</f>
        <v>0</v>
      </c>
      <c r="II65" t="e">
        <f>AND(Sheet1!A876,"AAAAABv///I=")</f>
        <v>#VALUE!</v>
      </c>
      <c r="IJ65" t="e">
        <f>AND(Sheet1!B876,"AAAAABv///M=")</f>
        <v>#VALUE!</v>
      </c>
      <c r="IK65" t="e">
        <f>AND(Sheet1!C876,"AAAAABv///Q=")</f>
        <v>#VALUE!</v>
      </c>
      <c r="IL65" t="e">
        <f>AND(Sheet1!D876,"AAAAABv///U=")</f>
        <v>#VALUE!</v>
      </c>
      <c r="IM65" t="e">
        <f>AND(Sheet1!E876,"AAAAABv///Y=")</f>
        <v>#VALUE!</v>
      </c>
      <c r="IN65" t="e">
        <f>AND(Sheet1!F876,"AAAAABv///c=")</f>
        <v>#VALUE!</v>
      </c>
      <c r="IO65" t="e">
        <f>AND(Sheet1!G876,"AAAAABv///g=")</f>
        <v>#VALUE!</v>
      </c>
      <c r="IP65" t="e">
        <f>AND(Sheet1!H876,"AAAAABv///k=")</f>
        <v>#VALUE!</v>
      </c>
      <c r="IQ65" t="e">
        <f>AND(Sheet1!I876,"AAAAABv///o=")</f>
        <v>#VALUE!</v>
      </c>
      <c r="IR65" t="e">
        <f>AND(Sheet1!J876,"AAAAABv///s=")</f>
        <v>#VALUE!</v>
      </c>
      <c r="IS65" t="e">
        <f>AND(Sheet1!K876,"AAAAABv///w=")</f>
        <v>#VALUE!</v>
      </c>
      <c r="IT65" t="e">
        <f>AND(Sheet1!L876,"AAAAABv///0=")</f>
        <v>#VALUE!</v>
      </c>
      <c r="IU65" t="e">
        <f>AND(Sheet1!M876,"AAAAABv///4=")</f>
        <v>#VALUE!</v>
      </c>
      <c r="IV65" t="e">
        <f>AND(Sheet1!N876,"AAAAABv///8=")</f>
        <v>#VALUE!</v>
      </c>
    </row>
    <row r="66" spans="1:256" x14ac:dyDescent="0.2">
      <c r="A66" t="e">
        <f>AND(Sheet1!#REF!,"AAAAAH7m+wA=")</f>
        <v>#REF!</v>
      </c>
      <c r="B66" t="e">
        <f>AND(Sheet1!#REF!,"AAAAAH7m+wE=")</f>
        <v>#REF!</v>
      </c>
      <c r="C66" t="e">
        <f>AND(Sheet1!#REF!,"AAAAAH7m+wI=")</f>
        <v>#REF!</v>
      </c>
      <c r="D66" t="e">
        <f>AND(Sheet1!#REF!,"AAAAAH7m+wM=")</f>
        <v>#REF!</v>
      </c>
      <c r="E66" t="e">
        <f>IF(Sheet1!877:877,"AAAAAH7m+wQ=",0)</f>
        <v>#VALUE!</v>
      </c>
      <c r="F66" t="e">
        <f>AND(Sheet1!A877,"AAAAAH7m+wU=")</f>
        <v>#VALUE!</v>
      </c>
      <c r="G66" t="e">
        <f>AND(Sheet1!B877,"AAAAAH7m+wY=")</f>
        <v>#VALUE!</v>
      </c>
      <c r="H66" t="e">
        <f>AND(Sheet1!C877,"AAAAAH7m+wc=")</f>
        <v>#VALUE!</v>
      </c>
      <c r="I66" t="e">
        <f>AND(Sheet1!D877,"AAAAAH7m+wg=")</f>
        <v>#VALUE!</v>
      </c>
      <c r="J66" t="e">
        <f>AND(Sheet1!E877,"AAAAAH7m+wk=")</f>
        <v>#VALUE!</v>
      </c>
      <c r="K66" t="e">
        <f>AND(Sheet1!F877,"AAAAAH7m+wo=")</f>
        <v>#VALUE!</v>
      </c>
      <c r="L66" t="e">
        <f>AND(Sheet1!G877,"AAAAAH7m+ws=")</f>
        <v>#VALUE!</v>
      </c>
      <c r="M66" t="e">
        <f>AND(Sheet1!H877,"AAAAAH7m+ww=")</f>
        <v>#VALUE!</v>
      </c>
      <c r="N66" t="e">
        <f>AND(Sheet1!I877,"AAAAAH7m+w0=")</f>
        <v>#VALUE!</v>
      </c>
      <c r="O66" t="e">
        <f>AND(Sheet1!J877,"AAAAAH7m+w4=")</f>
        <v>#VALUE!</v>
      </c>
      <c r="P66" t="e">
        <f>AND(Sheet1!K877,"AAAAAH7m+w8=")</f>
        <v>#VALUE!</v>
      </c>
      <c r="Q66" t="e">
        <f>AND(Sheet1!L877,"AAAAAH7m+xA=")</f>
        <v>#VALUE!</v>
      </c>
      <c r="R66" t="e">
        <f>AND(Sheet1!M877,"AAAAAH7m+xE=")</f>
        <v>#VALUE!</v>
      </c>
      <c r="S66" t="e">
        <f>AND(Sheet1!N877,"AAAAAH7m+xI=")</f>
        <v>#VALUE!</v>
      </c>
      <c r="T66" t="e">
        <f>AND(Sheet1!#REF!,"AAAAAH7m+xM=")</f>
        <v>#REF!</v>
      </c>
      <c r="U66" t="e">
        <f>AND(Sheet1!#REF!,"AAAAAH7m+xQ=")</f>
        <v>#REF!</v>
      </c>
      <c r="V66" t="e">
        <f>AND(Sheet1!#REF!,"AAAAAH7m+xU=")</f>
        <v>#REF!</v>
      </c>
      <c r="W66" t="e">
        <f>AND(Sheet1!#REF!,"AAAAAH7m+xY=")</f>
        <v>#REF!</v>
      </c>
      <c r="X66">
        <f>IF(Sheet1!878:878,"AAAAAH7m+xc=",0)</f>
        <v>0</v>
      </c>
      <c r="Y66" t="e">
        <f>AND(Sheet1!A878,"AAAAAH7m+xg=")</f>
        <v>#VALUE!</v>
      </c>
      <c r="Z66" t="e">
        <f>AND(Sheet1!B878,"AAAAAH7m+xk=")</f>
        <v>#VALUE!</v>
      </c>
      <c r="AA66" t="e">
        <f>AND(Sheet1!C878,"AAAAAH7m+xo=")</f>
        <v>#VALUE!</v>
      </c>
      <c r="AB66" t="e">
        <f>AND(Sheet1!D878,"AAAAAH7m+xs=")</f>
        <v>#VALUE!</v>
      </c>
      <c r="AC66" t="e">
        <f>AND(Sheet1!E878,"AAAAAH7m+xw=")</f>
        <v>#VALUE!</v>
      </c>
      <c r="AD66" t="e">
        <f>AND(Sheet1!F878,"AAAAAH7m+x0=")</f>
        <v>#VALUE!</v>
      </c>
      <c r="AE66" t="e">
        <f>AND(Sheet1!G878,"AAAAAH7m+x4=")</f>
        <v>#VALUE!</v>
      </c>
      <c r="AF66" t="e">
        <f>AND(Sheet1!H878,"AAAAAH7m+x8=")</f>
        <v>#VALUE!</v>
      </c>
      <c r="AG66" t="e">
        <f>AND(Sheet1!I878,"AAAAAH7m+yA=")</f>
        <v>#VALUE!</v>
      </c>
      <c r="AH66" t="e">
        <f>AND(Sheet1!J878,"AAAAAH7m+yE=")</f>
        <v>#VALUE!</v>
      </c>
      <c r="AI66" t="e">
        <f>AND(Sheet1!K878,"AAAAAH7m+yI=")</f>
        <v>#VALUE!</v>
      </c>
      <c r="AJ66" t="e">
        <f>AND(Sheet1!L878,"AAAAAH7m+yM=")</f>
        <v>#VALUE!</v>
      </c>
      <c r="AK66" t="e">
        <f>AND(Sheet1!M878,"AAAAAH7m+yQ=")</f>
        <v>#VALUE!</v>
      </c>
      <c r="AL66" t="e">
        <f>AND(Sheet1!N878,"AAAAAH7m+yU=")</f>
        <v>#VALUE!</v>
      </c>
      <c r="AM66" t="e">
        <f>AND(Sheet1!#REF!,"AAAAAH7m+yY=")</f>
        <v>#REF!</v>
      </c>
      <c r="AN66" t="e">
        <f>AND(Sheet1!#REF!,"AAAAAH7m+yc=")</f>
        <v>#REF!</v>
      </c>
      <c r="AO66" t="e">
        <f>AND(Sheet1!#REF!,"AAAAAH7m+yg=")</f>
        <v>#REF!</v>
      </c>
      <c r="AP66" t="e">
        <f>AND(Sheet1!#REF!,"AAAAAH7m+yk=")</f>
        <v>#REF!</v>
      </c>
      <c r="AQ66">
        <f>IF(Sheet1!879:879,"AAAAAH7m+yo=",0)</f>
        <v>0</v>
      </c>
      <c r="AR66" t="e">
        <f>AND(Sheet1!A879,"AAAAAH7m+ys=")</f>
        <v>#VALUE!</v>
      </c>
      <c r="AS66" t="e">
        <f>AND(Sheet1!B879,"AAAAAH7m+yw=")</f>
        <v>#VALUE!</v>
      </c>
      <c r="AT66" t="e">
        <f>AND(Sheet1!C879,"AAAAAH7m+y0=")</f>
        <v>#VALUE!</v>
      </c>
      <c r="AU66" t="e">
        <f>AND(Sheet1!D879,"AAAAAH7m+y4=")</f>
        <v>#VALUE!</v>
      </c>
      <c r="AV66" t="e">
        <f>AND(Sheet1!E879,"AAAAAH7m+y8=")</f>
        <v>#VALUE!</v>
      </c>
      <c r="AW66" t="e">
        <f>AND(Sheet1!F879,"AAAAAH7m+zA=")</f>
        <v>#VALUE!</v>
      </c>
      <c r="AX66" t="e">
        <f>AND(Sheet1!G879,"AAAAAH7m+zE=")</f>
        <v>#VALUE!</v>
      </c>
      <c r="AY66" t="e">
        <f>AND(Sheet1!H879,"AAAAAH7m+zI=")</f>
        <v>#VALUE!</v>
      </c>
      <c r="AZ66" t="e">
        <f>AND(Sheet1!I879,"AAAAAH7m+zM=")</f>
        <v>#VALUE!</v>
      </c>
      <c r="BA66" t="e">
        <f>AND(Sheet1!J879,"AAAAAH7m+zQ=")</f>
        <v>#VALUE!</v>
      </c>
      <c r="BB66" t="e">
        <f>AND(Sheet1!K879,"AAAAAH7m+zU=")</f>
        <v>#VALUE!</v>
      </c>
      <c r="BC66" t="e">
        <f>AND(Sheet1!L879,"AAAAAH7m+zY=")</f>
        <v>#VALUE!</v>
      </c>
      <c r="BD66" t="e">
        <f>AND(Sheet1!M879,"AAAAAH7m+zc=")</f>
        <v>#VALUE!</v>
      </c>
      <c r="BE66" t="e">
        <f>AND(Sheet1!N879,"AAAAAH7m+zg=")</f>
        <v>#VALUE!</v>
      </c>
      <c r="BF66" t="e">
        <f>AND(Sheet1!#REF!,"AAAAAH7m+zk=")</f>
        <v>#REF!</v>
      </c>
      <c r="BG66" t="e">
        <f>AND(Sheet1!#REF!,"AAAAAH7m+zo=")</f>
        <v>#REF!</v>
      </c>
      <c r="BH66" t="e">
        <f>AND(Sheet1!#REF!,"AAAAAH7m+zs=")</f>
        <v>#REF!</v>
      </c>
      <c r="BI66" t="e">
        <f>AND(Sheet1!#REF!,"AAAAAH7m+zw=")</f>
        <v>#REF!</v>
      </c>
      <c r="BJ66">
        <f>IF(Sheet1!880:880,"AAAAAH7m+z0=",0)</f>
        <v>0</v>
      </c>
      <c r="BK66" t="e">
        <f>AND(Sheet1!A880,"AAAAAH7m+z4=")</f>
        <v>#VALUE!</v>
      </c>
      <c r="BL66" t="e">
        <f>AND(Sheet1!B880,"AAAAAH7m+z8=")</f>
        <v>#VALUE!</v>
      </c>
      <c r="BM66" t="e">
        <f>AND(Sheet1!C880,"AAAAAH7m+0A=")</f>
        <v>#VALUE!</v>
      </c>
      <c r="BN66" t="e">
        <f>AND(Sheet1!D880,"AAAAAH7m+0E=")</f>
        <v>#VALUE!</v>
      </c>
      <c r="BO66" t="e">
        <f>AND(Sheet1!E880,"AAAAAH7m+0I=")</f>
        <v>#VALUE!</v>
      </c>
      <c r="BP66" t="e">
        <f>AND(Sheet1!F880,"AAAAAH7m+0M=")</f>
        <v>#VALUE!</v>
      </c>
      <c r="BQ66" t="e">
        <f>AND(Sheet1!G880,"AAAAAH7m+0Q=")</f>
        <v>#VALUE!</v>
      </c>
      <c r="BR66" t="e">
        <f>AND(Sheet1!H880,"AAAAAH7m+0U=")</f>
        <v>#VALUE!</v>
      </c>
      <c r="BS66" t="e">
        <f>AND(Sheet1!I880,"AAAAAH7m+0Y=")</f>
        <v>#VALUE!</v>
      </c>
      <c r="BT66" t="e">
        <f>AND(Sheet1!J880,"AAAAAH7m+0c=")</f>
        <v>#VALUE!</v>
      </c>
      <c r="BU66" t="e">
        <f>AND(Sheet1!K880,"AAAAAH7m+0g=")</f>
        <v>#VALUE!</v>
      </c>
      <c r="BV66" t="e">
        <f>AND(Sheet1!L880,"AAAAAH7m+0k=")</f>
        <v>#VALUE!</v>
      </c>
      <c r="BW66" t="e">
        <f>AND(Sheet1!M880,"AAAAAH7m+0o=")</f>
        <v>#VALUE!</v>
      </c>
      <c r="BX66" t="e">
        <f>AND(Sheet1!N880,"AAAAAH7m+0s=")</f>
        <v>#VALUE!</v>
      </c>
      <c r="BY66" t="e">
        <f>AND(Sheet1!#REF!,"AAAAAH7m+0w=")</f>
        <v>#REF!</v>
      </c>
      <c r="BZ66" t="e">
        <f>AND(Sheet1!#REF!,"AAAAAH7m+00=")</f>
        <v>#REF!</v>
      </c>
      <c r="CA66" t="e">
        <f>AND(Sheet1!#REF!,"AAAAAH7m+04=")</f>
        <v>#REF!</v>
      </c>
      <c r="CB66" t="e">
        <f>AND(Sheet1!#REF!,"AAAAAH7m+08=")</f>
        <v>#REF!</v>
      </c>
      <c r="CC66">
        <f>IF(Sheet1!881:881,"AAAAAH7m+1A=",0)</f>
        <v>0</v>
      </c>
      <c r="CD66" t="e">
        <f>AND(Sheet1!A881,"AAAAAH7m+1E=")</f>
        <v>#VALUE!</v>
      </c>
      <c r="CE66" t="e">
        <f>AND(Sheet1!B881,"AAAAAH7m+1I=")</f>
        <v>#VALUE!</v>
      </c>
      <c r="CF66" t="e">
        <f>AND(Sheet1!C881,"AAAAAH7m+1M=")</f>
        <v>#VALUE!</v>
      </c>
      <c r="CG66" t="e">
        <f>AND(Sheet1!D881,"AAAAAH7m+1Q=")</f>
        <v>#VALUE!</v>
      </c>
      <c r="CH66" t="e">
        <f>AND(Sheet1!E881,"AAAAAH7m+1U=")</f>
        <v>#VALUE!</v>
      </c>
      <c r="CI66" t="e">
        <f>AND(Sheet1!F881,"AAAAAH7m+1Y=")</f>
        <v>#VALUE!</v>
      </c>
      <c r="CJ66" t="e">
        <f>AND(Sheet1!G881,"AAAAAH7m+1c=")</f>
        <v>#VALUE!</v>
      </c>
      <c r="CK66" t="e">
        <f>AND(Sheet1!H881,"AAAAAH7m+1g=")</f>
        <v>#VALUE!</v>
      </c>
      <c r="CL66" t="e">
        <f>AND(Sheet1!I881,"AAAAAH7m+1k=")</f>
        <v>#VALUE!</v>
      </c>
      <c r="CM66" t="e">
        <f>AND(Sheet1!J881,"AAAAAH7m+1o=")</f>
        <v>#VALUE!</v>
      </c>
      <c r="CN66" t="e">
        <f>AND(Sheet1!K881,"AAAAAH7m+1s=")</f>
        <v>#VALUE!</v>
      </c>
      <c r="CO66" t="e">
        <f>AND(Sheet1!L881,"AAAAAH7m+1w=")</f>
        <v>#VALUE!</v>
      </c>
      <c r="CP66" t="e">
        <f>AND(Sheet1!M881,"AAAAAH7m+10=")</f>
        <v>#VALUE!</v>
      </c>
      <c r="CQ66" t="e">
        <f>AND(Sheet1!N881,"AAAAAH7m+14=")</f>
        <v>#VALUE!</v>
      </c>
      <c r="CR66" t="e">
        <f>AND(Sheet1!#REF!,"AAAAAH7m+18=")</f>
        <v>#REF!</v>
      </c>
      <c r="CS66" t="e">
        <f>AND(Sheet1!#REF!,"AAAAAH7m+2A=")</f>
        <v>#REF!</v>
      </c>
      <c r="CT66" t="e">
        <f>AND(Sheet1!#REF!,"AAAAAH7m+2E=")</f>
        <v>#REF!</v>
      </c>
      <c r="CU66" t="e">
        <f>AND(Sheet1!#REF!,"AAAAAH7m+2I=")</f>
        <v>#REF!</v>
      </c>
      <c r="CV66">
        <f>IF(Sheet1!882:882,"AAAAAH7m+2M=",0)</f>
        <v>0</v>
      </c>
      <c r="CW66" t="e">
        <f>AND(Sheet1!A882,"AAAAAH7m+2Q=")</f>
        <v>#VALUE!</v>
      </c>
      <c r="CX66" t="e">
        <f>AND(Sheet1!B882,"AAAAAH7m+2U=")</f>
        <v>#VALUE!</v>
      </c>
      <c r="CY66" t="e">
        <f>AND(Sheet1!C882,"AAAAAH7m+2Y=")</f>
        <v>#VALUE!</v>
      </c>
      <c r="CZ66" t="e">
        <f>AND(Sheet1!D882,"AAAAAH7m+2c=")</f>
        <v>#VALUE!</v>
      </c>
      <c r="DA66" t="e">
        <f>AND(Sheet1!E882,"AAAAAH7m+2g=")</f>
        <v>#VALUE!</v>
      </c>
      <c r="DB66" t="e">
        <f>AND(Sheet1!F882,"AAAAAH7m+2k=")</f>
        <v>#VALUE!</v>
      </c>
      <c r="DC66" t="e">
        <f>AND(Sheet1!G882,"AAAAAH7m+2o=")</f>
        <v>#VALUE!</v>
      </c>
      <c r="DD66" t="e">
        <f>AND(Sheet1!H882,"AAAAAH7m+2s=")</f>
        <v>#VALUE!</v>
      </c>
      <c r="DE66" t="e">
        <f>AND(Sheet1!I882,"AAAAAH7m+2w=")</f>
        <v>#VALUE!</v>
      </c>
      <c r="DF66" t="e">
        <f>AND(Sheet1!J882,"AAAAAH7m+20=")</f>
        <v>#VALUE!</v>
      </c>
      <c r="DG66" t="e">
        <f>AND(Sheet1!K882,"AAAAAH7m+24=")</f>
        <v>#VALUE!</v>
      </c>
      <c r="DH66" t="e">
        <f>AND(Sheet1!L882,"AAAAAH7m+28=")</f>
        <v>#VALUE!</v>
      </c>
      <c r="DI66" t="e">
        <f>AND(Sheet1!M882,"AAAAAH7m+3A=")</f>
        <v>#VALUE!</v>
      </c>
      <c r="DJ66" t="e">
        <f>AND(Sheet1!N882,"AAAAAH7m+3E=")</f>
        <v>#VALUE!</v>
      </c>
      <c r="DK66" t="e">
        <f>AND(Sheet1!#REF!,"AAAAAH7m+3I=")</f>
        <v>#REF!</v>
      </c>
      <c r="DL66" t="e">
        <f>AND(Sheet1!#REF!,"AAAAAH7m+3M=")</f>
        <v>#REF!</v>
      </c>
      <c r="DM66" t="e">
        <f>AND(Sheet1!#REF!,"AAAAAH7m+3Q=")</f>
        <v>#REF!</v>
      </c>
      <c r="DN66" t="e">
        <f>AND(Sheet1!#REF!,"AAAAAH7m+3U=")</f>
        <v>#REF!</v>
      </c>
      <c r="DO66">
        <f>IF(Sheet1!883:883,"AAAAAH7m+3Y=",0)</f>
        <v>0</v>
      </c>
      <c r="DP66" t="e">
        <f>AND(Sheet1!A883,"AAAAAH7m+3c=")</f>
        <v>#VALUE!</v>
      </c>
      <c r="DQ66" t="e">
        <f>AND(Sheet1!B883,"AAAAAH7m+3g=")</f>
        <v>#VALUE!</v>
      </c>
      <c r="DR66" t="e">
        <f>AND(Sheet1!C883,"AAAAAH7m+3k=")</f>
        <v>#VALUE!</v>
      </c>
      <c r="DS66" t="e">
        <f>AND(Sheet1!D883,"AAAAAH7m+3o=")</f>
        <v>#VALUE!</v>
      </c>
      <c r="DT66" t="e">
        <f>AND(Sheet1!E883,"AAAAAH7m+3s=")</f>
        <v>#VALUE!</v>
      </c>
      <c r="DU66" t="e">
        <f>AND(Sheet1!F883,"AAAAAH7m+3w=")</f>
        <v>#VALUE!</v>
      </c>
      <c r="DV66" t="e">
        <f>AND(Sheet1!G883,"AAAAAH7m+30=")</f>
        <v>#VALUE!</v>
      </c>
      <c r="DW66" t="e">
        <f>AND(Sheet1!H883,"AAAAAH7m+34=")</f>
        <v>#VALUE!</v>
      </c>
      <c r="DX66" t="e">
        <f>AND(Sheet1!I883,"AAAAAH7m+38=")</f>
        <v>#VALUE!</v>
      </c>
      <c r="DY66" t="e">
        <f>AND(Sheet1!J883,"AAAAAH7m+4A=")</f>
        <v>#VALUE!</v>
      </c>
      <c r="DZ66" t="e">
        <f>AND(Sheet1!K883,"AAAAAH7m+4E=")</f>
        <v>#VALUE!</v>
      </c>
      <c r="EA66" t="e">
        <f>AND(Sheet1!L883,"AAAAAH7m+4I=")</f>
        <v>#VALUE!</v>
      </c>
      <c r="EB66" t="e">
        <f>AND(Sheet1!M883,"AAAAAH7m+4M=")</f>
        <v>#VALUE!</v>
      </c>
      <c r="EC66" t="e">
        <f>AND(Sheet1!N883,"AAAAAH7m+4Q=")</f>
        <v>#VALUE!</v>
      </c>
      <c r="ED66" t="e">
        <f>AND(Sheet1!#REF!,"AAAAAH7m+4U=")</f>
        <v>#REF!</v>
      </c>
      <c r="EE66" t="e">
        <f>AND(Sheet1!#REF!,"AAAAAH7m+4Y=")</f>
        <v>#REF!</v>
      </c>
      <c r="EF66" t="e">
        <f>AND(Sheet1!#REF!,"AAAAAH7m+4c=")</f>
        <v>#REF!</v>
      </c>
      <c r="EG66" t="e">
        <f>AND(Sheet1!#REF!,"AAAAAH7m+4g=")</f>
        <v>#REF!</v>
      </c>
      <c r="EH66">
        <f>IF(Sheet1!884:884,"AAAAAH7m+4k=",0)</f>
        <v>0</v>
      </c>
      <c r="EI66" t="e">
        <f>AND(Sheet1!A884,"AAAAAH7m+4o=")</f>
        <v>#VALUE!</v>
      </c>
      <c r="EJ66" t="e">
        <f>AND(Sheet1!B884,"AAAAAH7m+4s=")</f>
        <v>#VALUE!</v>
      </c>
      <c r="EK66" t="e">
        <f>AND(Sheet1!C884,"AAAAAH7m+4w=")</f>
        <v>#VALUE!</v>
      </c>
      <c r="EL66" t="e">
        <f>AND(Sheet1!D884,"AAAAAH7m+40=")</f>
        <v>#VALUE!</v>
      </c>
      <c r="EM66" t="e">
        <f>AND(Sheet1!E884,"AAAAAH7m+44=")</f>
        <v>#VALUE!</v>
      </c>
      <c r="EN66" t="e">
        <f>AND(Sheet1!F884,"AAAAAH7m+48=")</f>
        <v>#VALUE!</v>
      </c>
      <c r="EO66" t="e">
        <f>AND(Sheet1!G884,"AAAAAH7m+5A=")</f>
        <v>#VALUE!</v>
      </c>
      <c r="EP66" t="e">
        <f>AND(Sheet1!H884,"AAAAAH7m+5E=")</f>
        <v>#VALUE!</v>
      </c>
      <c r="EQ66" t="e">
        <f>AND(Sheet1!I884,"AAAAAH7m+5I=")</f>
        <v>#VALUE!</v>
      </c>
      <c r="ER66" t="e">
        <f>AND(Sheet1!J884,"AAAAAH7m+5M=")</f>
        <v>#VALUE!</v>
      </c>
      <c r="ES66" t="e">
        <f>AND(Sheet1!K884,"AAAAAH7m+5Q=")</f>
        <v>#VALUE!</v>
      </c>
      <c r="ET66" t="e">
        <f>AND(Sheet1!L884,"AAAAAH7m+5U=")</f>
        <v>#VALUE!</v>
      </c>
      <c r="EU66" t="e">
        <f>AND(Sheet1!M884,"AAAAAH7m+5Y=")</f>
        <v>#VALUE!</v>
      </c>
      <c r="EV66" t="e">
        <f>AND(Sheet1!N884,"AAAAAH7m+5c=")</f>
        <v>#VALUE!</v>
      </c>
      <c r="EW66" t="e">
        <f>AND(Sheet1!#REF!,"AAAAAH7m+5g=")</f>
        <v>#REF!</v>
      </c>
      <c r="EX66" t="e">
        <f>AND(Sheet1!#REF!,"AAAAAH7m+5k=")</f>
        <v>#REF!</v>
      </c>
      <c r="EY66" t="e">
        <f>AND(Sheet1!#REF!,"AAAAAH7m+5o=")</f>
        <v>#REF!</v>
      </c>
      <c r="EZ66" t="e">
        <f>AND(Sheet1!#REF!,"AAAAAH7m+5s=")</f>
        <v>#REF!</v>
      </c>
      <c r="FA66">
        <f>IF(Sheet1!885:885,"AAAAAH7m+5w=",0)</f>
        <v>0</v>
      </c>
      <c r="FB66" t="e">
        <f>AND(Sheet1!A885,"AAAAAH7m+50=")</f>
        <v>#VALUE!</v>
      </c>
      <c r="FC66" t="e">
        <f>AND(Sheet1!B885,"AAAAAH7m+54=")</f>
        <v>#VALUE!</v>
      </c>
      <c r="FD66" t="e">
        <f>AND(Sheet1!C885,"AAAAAH7m+58=")</f>
        <v>#VALUE!</v>
      </c>
      <c r="FE66" t="e">
        <f>AND(Sheet1!D885,"AAAAAH7m+6A=")</f>
        <v>#VALUE!</v>
      </c>
      <c r="FF66" t="e">
        <f>AND(Sheet1!E885,"AAAAAH7m+6E=")</f>
        <v>#VALUE!</v>
      </c>
      <c r="FG66" t="e">
        <f>AND(Sheet1!F885,"AAAAAH7m+6I=")</f>
        <v>#VALUE!</v>
      </c>
      <c r="FH66" t="e">
        <f>AND(Sheet1!G885,"AAAAAH7m+6M=")</f>
        <v>#VALUE!</v>
      </c>
      <c r="FI66" t="e">
        <f>AND(Sheet1!H885,"AAAAAH7m+6Q=")</f>
        <v>#VALUE!</v>
      </c>
      <c r="FJ66" t="e">
        <f>AND(Sheet1!I885,"AAAAAH7m+6U=")</f>
        <v>#VALUE!</v>
      </c>
      <c r="FK66" t="e">
        <f>AND(Sheet1!J885,"AAAAAH7m+6Y=")</f>
        <v>#VALUE!</v>
      </c>
      <c r="FL66" t="e">
        <f>AND(Sheet1!K885,"AAAAAH7m+6c=")</f>
        <v>#VALUE!</v>
      </c>
      <c r="FM66" t="e">
        <f>AND(Sheet1!L885,"AAAAAH7m+6g=")</f>
        <v>#VALUE!</v>
      </c>
      <c r="FN66" t="e">
        <f>AND(Sheet1!M885,"AAAAAH7m+6k=")</f>
        <v>#VALUE!</v>
      </c>
      <c r="FO66" t="e">
        <f>AND(Sheet1!N885,"AAAAAH7m+6o=")</f>
        <v>#VALUE!</v>
      </c>
      <c r="FP66" t="e">
        <f>AND(Sheet1!#REF!,"AAAAAH7m+6s=")</f>
        <v>#REF!</v>
      </c>
      <c r="FQ66" t="e">
        <f>AND(Sheet1!#REF!,"AAAAAH7m+6w=")</f>
        <v>#REF!</v>
      </c>
      <c r="FR66" t="e">
        <f>AND(Sheet1!#REF!,"AAAAAH7m+60=")</f>
        <v>#REF!</v>
      </c>
      <c r="FS66" t="e">
        <f>AND(Sheet1!#REF!,"AAAAAH7m+64=")</f>
        <v>#REF!</v>
      </c>
      <c r="FT66">
        <f>IF(Sheet1!886:886,"AAAAAH7m+68=",0)</f>
        <v>0</v>
      </c>
      <c r="FU66" t="e">
        <f>AND(Sheet1!A886,"AAAAAH7m+7A=")</f>
        <v>#VALUE!</v>
      </c>
      <c r="FV66" t="e">
        <f>AND(Sheet1!B886,"AAAAAH7m+7E=")</f>
        <v>#VALUE!</v>
      </c>
      <c r="FW66" t="e">
        <f>AND(Sheet1!C886,"AAAAAH7m+7I=")</f>
        <v>#VALUE!</v>
      </c>
      <c r="FX66" t="e">
        <f>AND(Sheet1!D886,"AAAAAH7m+7M=")</f>
        <v>#VALUE!</v>
      </c>
      <c r="FY66" t="e">
        <f>AND(Sheet1!E886,"AAAAAH7m+7Q=")</f>
        <v>#VALUE!</v>
      </c>
      <c r="FZ66" t="e">
        <f>AND(Sheet1!F886,"AAAAAH7m+7U=")</f>
        <v>#VALUE!</v>
      </c>
      <c r="GA66" t="e">
        <f>AND(Sheet1!G886,"AAAAAH7m+7Y=")</f>
        <v>#VALUE!</v>
      </c>
      <c r="GB66" t="e">
        <f>AND(Sheet1!H886,"AAAAAH7m+7c=")</f>
        <v>#VALUE!</v>
      </c>
      <c r="GC66" t="e">
        <f>AND(Sheet1!I886,"AAAAAH7m+7g=")</f>
        <v>#VALUE!</v>
      </c>
      <c r="GD66" t="e">
        <f>AND(Sheet1!J886,"AAAAAH7m+7k=")</f>
        <v>#VALUE!</v>
      </c>
      <c r="GE66" t="e">
        <f>AND(Sheet1!K886,"AAAAAH7m+7o=")</f>
        <v>#VALUE!</v>
      </c>
      <c r="GF66" t="e">
        <f>AND(Sheet1!L886,"AAAAAH7m+7s=")</f>
        <v>#VALUE!</v>
      </c>
      <c r="GG66" t="e">
        <f>AND(Sheet1!M886,"AAAAAH7m+7w=")</f>
        <v>#VALUE!</v>
      </c>
      <c r="GH66" t="e">
        <f>AND(Sheet1!N886,"AAAAAH7m+70=")</f>
        <v>#VALUE!</v>
      </c>
      <c r="GI66" t="e">
        <f>AND(Sheet1!#REF!,"AAAAAH7m+74=")</f>
        <v>#REF!</v>
      </c>
      <c r="GJ66" t="e">
        <f>AND(Sheet1!#REF!,"AAAAAH7m+78=")</f>
        <v>#REF!</v>
      </c>
      <c r="GK66" t="e">
        <f>AND(Sheet1!#REF!,"AAAAAH7m+8A=")</f>
        <v>#REF!</v>
      </c>
      <c r="GL66" t="e">
        <f>AND(Sheet1!#REF!,"AAAAAH7m+8E=")</f>
        <v>#REF!</v>
      </c>
      <c r="GM66">
        <f>IF(Sheet1!887:887,"AAAAAH7m+8I=",0)</f>
        <v>0</v>
      </c>
      <c r="GN66" t="e">
        <f>AND(Sheet1!A887,"AAAAAH7m+8M=")</f>
        <v>#VALUE!</v>
      </c>
      <c r="GO66" t="e">
        <f>AND(Sheet1!B887,"AAAAAH7m+8Q=")</f>
        <v>#VALUE!</v>
      </c>
      <c r="GP66" t="e">
        <f>AND(Sheet1!C887,"AAAAAH7m+8U=")</f>
        <v>#VALUE!</v>
      </c>
      <c r="GQ66" t="e">
        <f>AND(Sheet1!D887,"AAAAAH7m+8Y=")</f>
        <v>#VALUE!</v>
      </c>
      <c r="GR66" t="e">
        <f>AND(Sheet1!E887,"AAAAAH7m+8c=")</f>
        <v>#VALUE!</v>
      </c>
      <c r="GS66" t="e">
        <f>AND(Sheet1!F887,"AAAAAH7m+8g=")</f>
        <v>#VALUE!</v>
      </c>
      <c r="GT66" t="e">
        <f>AND(Sheet1!G887,"AAAAAH7m+8k=")</f>
        <v>#VALUE!</v>
      </c>
      <c r="GU66" t="e">
        <f>AND(Sheet1!H887,"AAAAAH7m+8o=")</f>
        <v>#VALUE!</v>
      </c>
      <c r="GV66" t="e">
        <f>AND(Sheet1!I887,"AAAAAH7m+8s=")</f>
        <v>#VALUE!</v>
      </c>
      <c r="GW66" t="e">
        <f>AND(Sheet1!J887,"AAAAAH7m+8w=")</f>
        <v>#VALUE!</v>
      </c>
      <c r="GX66" t="e">
        <f>AND(Sheet1!K887,"AAAAAH7m+80=")</f>
        <v>#VALUE!</v>
      </c>
      <c r="GY66" t="e">
        <f>AND(Sheet1!L887,"AAAAAH7m+84=")</f>
        <v>#VALUE!</v>
      </c>
      <c r="GZ66" t="e">
        <f>AND(Sheet1!M887,"AAAAAH7m+88=")</f>
        <v>#VALUE!</v>
      </c>
      <c r="HA66" t="e">
        <f>AND(Sheet1!N887,"AAAAAH7m+9A=")</f>
        <v>#VALUE!</v>
      </c>
      <c r="HB66" t="e">
        <f>AND(Sheet1!#REF!,"AAAAAH7m+9E=")</f>
        <v>#REF!</v>
      </c>
      <c r="HC66" t="e">
        <f>AND(Sheet1!#REF!,"AAAAAH7m+9I=")</f>
        <v>#REF!</v>
      </c>
      <c r="HD66" t="e">
        <f>AND(Sheet1!#REF!,"AAAAAH7m+9M=")</f>
        <v>#REF!</v>
      </c>
      <c r="HE66" t="e">
        <f>AND(Sheet1!#REF!,"AAAAAH7m+9Q=")</f>
        <v>#REF!</v>
      </c>
      <c r="HF66">
        <f>IF(Sheet1!888:888,"AAAAAH7m+9U=",0)</f>
        <v>0</v>
      </c>
      <c r="HG66" t="e">
        <f>AND(Sheet1!A888,"AAAAAH7m+9Y=")</f>
        <v>#VALUE!</v>
      </c>
      <c r="HH66" t="e">
        <f>AND(Sheet1!B888,"AAAAAH7m+9c=")</f>
        <v>#VALUE!</v>
      </c>
      <c r="HI66" t="e">
        <f>AND(Sheet1!C888,"AAAAAH7m+9g=")</f>
        <v>#VALUE!</v>
      </c>
      <c r="HJ66" t="e">
        <f>AND(Sheet1!D888,"AAAAAH7m+9k=")</f>
        <v>#VALUE!</v>
      </c>
      <c r="HK66" t="e">
        <f>AND(Sheet1!E888,"AAAAAH7m+9o=")</f>
        <v>#VALUE!</v>
      </c>
      <c r="HL66" t="e">
        <f>AND(Sheet1!F888,"AAAAAH7m+9s=")</f>
        <v>#VALUE!</v>
      </c>
      <c r="HM66" t="e">
        <f>AND(Sheet1!G888,"AAAAAH7m+9w=")</f>
        <v>#VALUE!</v>
      </c>
      <c r="HN66" t="e">
        <f>AND(Sheet1!H888,"AAAAAH7m+90=")</f>
        <v>#VALUE!</v>
      </c>
      <c r="HO66" t="e">
        <f>AND(Sheet1!I888,"AAAAAH7m+94=")</f>
        <v>#VALUE!</v>
      </c>
      <c r="HP66" t="e">
        <f>AND(Sheet1!J888,"AAAAAH7m+98=")</f>
        <v>#VALUE!</v>
      </c>
      <c r="HQ66" t="e">
        <f>AND(Sheet1!K888,"AAAAAH7m++A=")</f>
        <v>#VALUE!</v>
      </c>
      <c r="HR66" t="e">
        <f>AND(Sheet1!L888,"AAAAAH7m++E=")</f>
        <v>#VALUE!</v>
      </c>
      <c r="HS66" t="e">
        <f>AND(Sheet1!M888,"AAAAAH7m++I=")</f>
        <v>#VALUE!</v>
      </c>
      <c r="HT66" t="e">
        <f>AND(Sheet1!N888,"AAAAAH7m++M=")</f>
        <v>#VALUE!</v>
      </c>
      <c r="HU66" t="e">
        <f>AND(Sheet1!#REF!,"AAAAAH7m++Q=")</f>
        <v>#REF!</v>
      </c>
      <c r="HV66" t="e">
        <f>AND(Sheet1!#REF!,"AAAAAH7m++U=")</f>
        <v>#REF!</v>
      </c>
      <c r="HW66" t="e">
        <f>AND(Sheet1!#REF!,"AAAAAH7m++Y=")</f>
        <v>#REF!</v>
      </c>
      <c r="HX66" t="e">
        <f>AND(Sheet1!#REF!,"AAAAAH7m++c=")</f>
        <v>#REF!</v>
      </c>
      <c r="HY66">
        <f>IF(Sheet1!889:889,"AAAAAH7m++g=",0)</f>
        <v>0</v>
      </c>
      <c r="HZ66" t="e">
        <f>AND(Sheet1!A889,"AAAAAH7m++k=")</f>
        <v>#VALUE!</v>
      </c>
      <c r="IA66" t="e">
        <f>AND(Sheet1!B889,"AAAAAH7m++o=")</f>
        <v>#VALUE!</v>
      </c>
      <c r="IB66" t="e">
        <f>AND(Sheet1!C889,"AAAAAH7m++s=")</f>
        <v>#VALUE!</v>
      </c>
      <c r="IC66" t="e">
        <f>AND(Sheet1!D889,"AAAAAH7m++w=")</f>
        <v>#VALUE!</v>
      </c>
      <c r="ID66" t="e">
        <f>AND(Sheet1!E889,"AAAAAH7m++0=")</f>
        <v>#VALUE!</v>
      </c>
      <c r="IE66" t="e">
        <f>AND(Sheet1!F889,"AAAAAH7m++4=")</f>
        <v>#VALUE!</v>
      </c>
      <c r="IF66" t="e">
        <f>AND(Sheet1!G889,"AAAAAH7m++8=")</f>
        <v>#VALUE!</v>
      </c>
      <c r="IG66" t="e">
        <f>AND(Sheet1!H889,"AAAAAH7m+/A=")</f>
        <v>#VALUE!</v>
      </c>
      <c r="IH66" t="e">
        <f>AND(Sheet1!I889,"AAAAAH7m+/E=")</f>
        <v>#VALUE!</v>
      </c>
      <c r="II66" t="e">
        <f>AND(Sheet1!J889,"AAAAAH7m+/I=")</f>
        <v>#VALUE!</v>
      </c>
      <c r="IJ66" t="e">
        <f>AND(Sheet1!K889,"AAAAAH7m+/M=")</f>
        <v>#VALUE!</v>
      </c>
      <c r="IK66" t="e">
        <f>AND(Sheet1!L889,"AAAAAH7m+/Q=")</f>
        <v>#VALUE!</v>
      </c>
      <c r="IL66" t="e">
        <f>AND(Sheet1!M889,"AAAAAH7m+/U=")</f>
        <v>#VALUE!</v>
      </c>
      <c r="IM66" t="e">
        <f>AND(Sheet1!N889,"AAAAAH7m+/Y=")</f>
        <v>#VALUE!</v>
      </c>
      <c r="IN66" t="e">
        <f>AND(Sheet1!#REF!,"AAAAAH7m+/c=")</f>
        <v>#REF!</v>
      </c>
      <c r="IO66" t="e">
        <f>AND(Sheet1!#REF!,"AAAAAH7m+/g=")</f>
        <v>#REF!</v>
      </c>
      <c r="IP66" t="e">
        <f>AND(Sheet1!#REF!,"AAAAAH7m+/k=")</f>
        <v>#REF!</v>
      </c>
      <c r="IQ66" t="e">
        <f>AND(Sheet1!#REF!,"AAAAAH7m+/o=")</f>
        <v>#REF!</v>
      </c>
      <c r="IR66">
        <f>IF(Sheet1!890:890,"AAAAAH7m+/s=",0)</f>
        <v>0</v>
      </c>
      <c r="IS66" t="e">
        <f>AND(Sheet1!A890,"AAAAAH7m+/w=")</f>
        <v>#VALUE!</v>
      </c>
      <c r="IT66" t="e">
        <f>AND(Sheet1!B890,"AAAAAH7m+/0=")</f>
        <v>#VALUE!</v>
      </c>
      <c r="IU66" t="e">
        <f>AND(Sheet1!C890,"AAAAAH7m+/4=")</f>
        <v>#VALUE!</v>
      </c>
      <c r="IV66" t="e">
        <f>AND(Sheet1!D890,"AAAAAH7m+/8=")</f>
        <v>#VALUE!</v>
      </c>
    </row>
    <row r="67" spans="1:256" x14ac:dyDescent="0.2">
      <c r="A67" t="e">
        <f>AND(Sheet1!E890,"AAAAAFm0zwA=")</f>
        <v>#VALUE!</v>
      </c>
      <c r="B67" t="e">
        <f>AND(Sheet1!F890,"AAAAAFm0zwE=")</f>
        <v>#VALUE!</v>
      </c>
      <c r="C67" t="e">
        <f>AND(Sheet1!G890,"AAAAAFm0zwI=")</f>
        <v>#VALUE!</v>
      </c>
      <c r="D67" t="e">
        <f>AND(Sheet1!H890,"AAAAAFm0zwM=")</f>
        <v>#VALUE!</v>
      </c>
      <c r="E67" t="e">
        <f>AND(Sheet1!I890,"AAAAAFm0zwQ=")</f>
        <v>#VALUE!</v>
      </c>
      <c r="F67" t="e">
        <f>AND(Sheet1!J890,"AAAAAFm0zwU=")</f>
        <v>#VALUE!</v>
      </c>
      <c r="G67" t="e">
        <f>AND(Sheet1!K890,"AAAAAFm0zwY=")</f>
        <v>#VALUE!</v>
      </c>
      <c r="H67" t="e">
        <f>AND(Sheet1!L890,"AAAAAFm0zwc=")</f>
        <v>#VALUE!</v>
      </c>
      <c r="I67" t="e">
        <f>AND(Sheet1!M890,"AAAAAFm0zwg=")</f>
        <v>#VALUE!</v>
      </c>
      <c r="J67" t="e">
        <f>AND(Sheet1!N890,"AAAAAFm0zwk=")</f>
        <v>#VALUE!</v>
      </c>
      <c r="K67" t="e">
        <f>AND(Sheet1!#REF!,"AAAAAFm0zwo=")</f>
        <v>#REF!</v>
      </c>
      <c r="L67" t="e">
        <f>AND(Sheet1!#REF!,"AAAAAFm0zws=")</f>
        <v>#REF!</v>
      </c>
      <c r="M67" t="e">
        <f>AND(Sheet1!#REF!,"AAAAAFm0zww=")</f>
        <v>#REF!</v>
      </c>
      <c r="N67" t="e">
        <f>AND(Sheet1!#REF!,"AAAAAFm0zw0=")</f>
        <v>#REF!</v>
      </c>
      <c r="O67">
        <f>IF(Sheet1!891:891,"AAAAAFm0zw4=",0)</f>
        <v>0</v>
      </c>
      <c r="P67" t="e">
        <f>AND(Sheet1!A891,"AAAAAFm0zw8=")</f>
        <v>#VALUE!</v>
      </c>
      <c r="Q67" t="e">
        <f>AND(Sheet1!B891,"AAAAAFm0zxA=")</f>
        <v>#VALUE!</v>
      </c>
      <c r="R67" t="e">
        <f>AND(Sheet1!C891,"AAAAAFm0zxE=")</f>
        <v>#VALUE!</v>
      </c>
      <c r="S67" t="e">
        <f>AND(Sheet1!D891,"AAAAAFm0zxI=")</f>
        <v>#VALUE!</v>
      </c>
      <c r="T67" t="e">
        <f>AND(Sheet1!E891,"AAAAAFm0zxM=")</f>
        <v>#VALUE!</v>
      </c>
      <c r="U67" t="e">
        <f>AND(Sheet1!F891,"AAAAAFm0zxQ=")</f>
        <v>#VALUE!</v>
      </c>
      <c r="V67" t="e">
        <f>AND(Sheet1!G891,"AAAAAFm0zxU=")</f>
        <v>#VALUE!</v>
      </c>
      <c r="W67" t="e">
        <f>AND(Sheet1!H891,"AAAAAFm0zxY=")</f>
        <v>#VALUE!</v>
      </c>
      <c r="X67" t="e">
        <f>AND(Sheet1!I891,"AAAAAFm0zxc=")</f>
        <v>#VALUE!</v>
      </c>
      <c r="Y67" t="e">
        <f>AND(Sheet1!J891,"AAAAAFm0zxg=")</f>
        <v>#VALUE!</v>
      </c>
      <c r="Z67" t="e">
        <f>AND(Sheet1!K891,"AAAAAFm0zxk=")</f>
        <v>#VALUE!</v>
      </c>
      <c r="AA67" t="e">
        <f>AND(Sheet1!L891,"AAAAAFm0zxo=")</f>
        <v>#VALUE!</v>
      </c>
      <c r="AB67" t="e">
        <f>AND(Sheet1!M891,"AAAAAFm0zxs=")</f>
        <v>#VALUE!</v>
      </c>
      <c r="AC67" t="e">
        <f>AND(Sheet1!N891,"AAAAAFm0zxw=")</f>
        <v>#VALUE!</v>
      </c>
      <c r="AD67" t="e">
        <f>AND(Sheet1!#REF!,"AAAAAFm0zx0=")</f>
        <v>#REF!</v>
      </c>
      <c r="AE67" t="e">
        <f>AND(Sheet1!#REF!,"AAAAAFm0zx4=")</f>
        <v>#REF!</v>
      </c>
      <c r="AF67" t="e">
        <f>AND(Sheet1!#REF!,"AAAAAFm0zx8=")</f>
        <v>#REF!</v>
      </c>
      <c r="AG67" t="e">
        <f>AND(Sheet1!#REF!,"AAAAAFm0zyA=")</f>
        <v>#REF!</v>
      </c>
      <c r="AH67">
        <f>IF(Sheet1!892:892,"AAAAAFm0zyE=",0)</f>
        <v>0</v>
      </c>
      <c r="AI67" t="e">
        <f>AND(Sheet1!A892,"AAAAAFm0zyI=")</f>
        <v>#VALUE!</v>
      </c>
      <c r="AJ67" t="e">
        <f>AND(Sheet1!B892,"AAAAAFm0zyM=")</f>
        <v>#VALUE!</v>
      </c>
      <c r="AK67" t="e">
        <f>AND(Sheet1!C892,"AAAAAFm0zyQ=")</f>
        <v>#VALUE!</v>
      </c>
      <c r="AL67" t="e">
        <f>AND(Sheet1!D892,"AAAAAFm0zyU=")</f>
        <v>#VALUE!</v>
      </c>
      <c r="AM67" t="e">
        <f>AND(Sheet1!E892,"AAAAAFm0zyY=")</f>
        <v>#VALUE!</v>
      </c>
      <c r="AN67" t="e">
        <f>AND(Sheet1!F892,"AAAAAFm0zyc=")</f>
        <v>#VALUE!</v>
      </c>
      <c r="AO67" t="e">
        <f>AND(Sheet1!G892,"AAAAAFm0zyg=")</f>
        <v>#VALUE!</v>
      </c>
      <c r="AP67" t="e">
        <f>AND(Sheet1!H892,"AAAAAFm0zyk=")</f>
        <v>#VALUE!</v>
      </c>
      <c r="AQ67" t="e">
        <f>AND(Sheet1!I892,"AAAAAFm0zyo=")</f>
        <v>#VALUE!</v>
      </c>
      <c r="AR67" t="e">
        <f>AND(Sheet1!J892,"AAAAAFm0zys=")</f>
        <v>#VALUE!</v>
      </c>
      <c r="AS67" t="e">
        <f>AND(Sheet1!K892,"AAAAAFm0zyw=")</f>
        <v>#VALUE!</v>
      </c>
      <c r="AT67" t="e">
        <f>AND(Sheet1!L892,"AAAAAFm0zy0=")</f>
        <v>#VALUE!</v>
      </c>
      <c r="AU67" t="e">
        <f>AND(Sheet1!M892,"AAAAAFm0zy4=")</f>
        <v>#VALUE!</v>
      </c>
      <c r="AV67" t="e">
        <f>AND(Sheet1!N892,"AAAAAFm0zy8=")</f>
        <v>#VALUE!</v>
      </c>
      <c r="AW67" t="e">
        <f>AND(Sheet1!#REF!,"AAAAAFm0zzA=")</f>
        <v>#REF!</v>
      </c>
      <c r="AX67" t="e">
        <f>AND(Sheet1!#REF!,"AAAAAFm0zzE=")</f>
        <v>#REF!</v>
      </c>
      <c r="AY67" t="e">
        <f>AND(Sheet1!#REF!,"AAAAAFm0zzI=")</f>
        <v>#REF!</v>
      </c>
      <c r="AZ67" t="e">
        <f>AND(Sheet1!#REF!,"AAAAAFm0zzM=")</f>
        <v>#REF!</v>
      </c>
      <c r="BA67">
        <f>IF(Sheet1!893:893,"AAAAAFm0zzQ=",0)</f>
        <v>0</v>
      </c>
      <c r="BB67" t="e">
        <f>AND(Sheet1!A893,"AAAAAFm0zzU=")</f>
        <v>#VALUE!</v>
      </c>
      <c r="BC67" t="e">
        <f>AND(Sheet1!B893,"AAAAAFm0zzY=")</f>
        <v>#VALUE!</v>
      </c>
      <c r="BD67" t="e">
        <f>AND(Sheet1!C893,"AAAAAFm0zzc=")</f>
        <v>#VALUE!</v>
      </c>
      <c r="BE67" t="e">
        <f>AND(Sheet1!D893,"AAAAAFm0zzg=")</f>
        <v>#VALUE!</v>
      </c>
      <c r="BF67" t="e">
        <f>AND(Sheet1!E893,"AAAAAFm0zzk=")</f>
        <v>#VALUE!</v>
      </c>
      <c r="BG67" t="e">
        <f>AND(Sheet1!F893,"AAAAAFm0zzo=")</f>
        <v>#VALUE!</v>
      </c>
      <c r="BH67" t="e">
        <f>AND(Sheet1!G893,"AAAAAFm0zzs=")</f>
        <v>#VALUE!</v>
      </c>
      <c r="BI67" t="e">
        <f>AND(Sheet1!H893,"AAAAAFm0zzw=")</f>
        <v>#VALUE!</v>
      </c>
      <c r="BJ67" t="e">
        <f>AND(Sheet1!I893,"AAAAAFm0zz0=")</f>
        <v>#VALUE!</v>
      </c>
      <c r="BK67" t="e">
        <f>AND(Sheet1!J893,"AAAAAFm0zz4=")</f>
        <v>#VALUE!</v>
      </c>
      <c r="BL67" t="e">
        <f>AND(Sheet1!K893,"AAAAAFm0zz8=")</f>
        <v>#VALUE!</v>
      </c>
      <c r="BM67" t="e">
        <f>AND(Sheet1!L893,"AAAAAFm0z0A=")</f>
        <v>#VALUE!</v>
      </c>
      <c r="BN67" t="e">
        <f>AND(Sheet1!M893,"AAAAAFm0z0E=")</f>
        <v>#VALUE!</v>
      </c>
      <c r="BO67" t="e">
        <f>AND(Sheet1!N893,"AAAAAFm0z0I=")</f>
        <v>#VALUE!</v>
      </c>
      <c r="BP67" t="e">
        <f>AND(Sheet1!#REF!,"AAAAAFm0z0M=")</f>
        <v>#REF!</v>
      </c>
      <c r="BQ67" t="e">
        <f>AND(Sheet1!#REF!,"AAAAAFm0z0Q=")</f>
        <v>#REF!</v>
      </c>
      <c r="BR67" t="e">
        <f>AND(Sheet1!#REF!,"AAAAAFm0z0U=")</f>
        <v>#REF!</v>
      </c>
      <c r="BS67" t="e">
        <f>AND(Sheet1!#REF!,"AAAAAFm0z0Y=")</f>
        <v>#REF!</v>
      </c>
      <c r="BT67">
        <f>IF(Sheet1!894:894,"AAAAAFm0z0c=",0)</f>
        <v>0</v>
      </c>
      <c r="BU67" t="e">
        <f>AND(Sheet1!A894,"AAAAAFm0z0g=")</f>
        <v>#VALUE!</v>
      </c>
      <c r="BV67" t="e">
        <f>AND(Sheet1!B894,"AAAAAFm0z0k=")</f>
        <v>#VALUE!</v>
      </c>
      <c r="BW67" t="e">
        <f>AND(Sheet1!C894,"AAAAAFm0z0o=")</f>
        <v>#VALUE!</v>
      </c>
      <c r="BX67" t="e">
        <f>AND(Sheet1!D894,"AAAAAFm0z0s=")</f>
        <v>#VALUE!</v>
      </c>
      <c r="BY67" t="e">
        <f>AND(Sheet1!E894,"AAAAAFm0z0w=")</f>
        <v>#VALUE!</v>
      </c>
      <c r="BZ67" t="e">
        <f>AND(Sheet1!F894,"AAAAAFm0z00=")</f>
        <v>#VALUE!</v>
      </c>
      <c r="CA67" t="e">
        <f>AND(Sheet1!G894,"AAAAAFm0z04=")</f>
        <v>#VALUE!</v>
      </c>
      <c r="CB67" t="e">
        <f>AND(Sheet1!H894,"AAAAAFm0z08=")</f>
        <v>#VALUE!</v>
      </c>
      <c r="CC67" t="e">
        <f>AND(Sheet1!I894,"AAAAAFm0z1A=")</f>
        <v>#VALUE!</v>
      </c>
      <c r="CD67" t="e">
        <f>AND(Sheet1!J894,"AAAAAFm0z1E=")</f>
        <v>#VALUE!</v>
      </c>
      <c r="CE67" t="e">
        <f>AND(Sheet1!K894,"AAAAAFm0z1I=")</f>
        <v>#VALUE!</v>
      </c>
      <c r="CF67" t="e">
        <f>AND(Sheet1!L894,"AAAAAFm0z1M=")</f>
        <v>#VALUE!</v>
      </c>
      <c r="CG67" t="e">
        <f>AND(Sheet1!M894,"AAAAAFm0z1Q=")</f>
        <v>#VALUE!</v>
      </c>
      <c r="CH67" t="e">
        <f>AND(Sheet1!N894,"AAAAAFm0z1U=")</f>
        <v>#VALUE!</v>
      </c>
      <c r="CI67" t="e">
        <f>AND(Sheet1!#REF!,"AAAAAFm0z1Y=")</f>
        <v>#REF!</v>
      </c>
      <c r="CJ67" t="e">
        <f>AND(Sheet1!#REF!,"AAAAAFm0z1c=")</f>
        <v>#REF!</v>
      </c>
      <c r="CK67" t="e">
        <f>AND(Sheet1!#REF!,"AAAAAFm0z1g=")</f>
        <v>#REF!</v>
      </c>
      <c r="CL67" t="e">
        <f>AND(Sheet1!#REF!,"AAAAAFm0z1k=")</f>
        <v>#REF!</v>
      </c>
      <c r="CM67">
        <f>IF(Sheet1!895:895,"AAAAAFm0z1o=",0)</f>
        <v>0</v>
      </c>
      <c r="CN67" t="e">
        <f>AND(Sheet1!A895,"AAAAAFm0z1s=")</f>
        <v>#VALUE!</v>
      </c>
      <c r="CO67" t="e">
        <f>AND(Sheet1!B895,"AAAAAFm0z1w=")</f>
        <v>#VALUE!</v>
      </c>
      <c r="CP67" t="e">
        <f>AND(Sheet1!C895,"AAAAAFm0z10=")</f>
        <v>#VALUE!</v>
      </c>
      <c r="CQ67" t="e">
        <f>AND(Sheet1!D895,"AAAAAFm0z14=")</f>
        <v>#VALUE!</v>
      </c>
      <c r="CR67" t="e">
        <f>AND(Sheet1!E895,"AAAAAFm0z18=")</f>
        <v>#VALUE!</v>
      </c>
      <c r="CS67" t="e">
        <f>AND(Sheet1!F895,"AAAAAFm0z2A=")</f>
        <v>#VALUE!</v>
      </c>
      <c r="CT67" t="e">
        <f>AND(Sheet1!G895,"AAAAAFm0z2E=")</f>
        <v>#VALUE!</v>
      </c>
      <c r="CU67" t="e">
        <f>AND(Sheet1!H895,"AAAAAFm0z2I=")</f>
        <v>#VALUE!</v>
      </c>
      <c r="CV67" t="e">
        <f>AND(Sheet1!I895,"AAAAAFm0z2M=")</f>
        <v>#VALUE!</v>
      </c>
      <c r="CW67" t="e">
        <f>AND(Sheet1!J895,"AAAAAFm0z2Q=")</f>
        <v>#VALUE!</v>
      </c>
      <c r="CX67" t="e">
        <f>AND(Sheet1!K895,"AAAAAFm0z2U=")</f>
        <v>#VALUE!</v>
      </c>
      <c r="CY67" t="e">
        <f>AND(Sheet1!L895,"AAAAAFm0z2Y=")</f>
        <v>#VALUE!</v>
      </c>
      <c r="CZ67" t="e">
        <f>AND(Sheet1!M895,"AAAAAFm0z2c=")</f>
        <v>#VALUE!</v>
      </c>
      <c r="DA67" t="e">
        <f>AND(Sheet1!N895,"AAAAAFm0z2g=")</f>
        <v>#VALUE!</v>
      </c>
      <c r="DB67" t="e">
        <f>AND(Sheet1!#REF!,"AAAAAFm0z2k=")</f>
        <v>#REF!</v>
      </c>
      <c r="DC67" t="e">
        <f>AND(Sheet1!#REF!,"AAAAAFm0z2o=")</f>
        <v>#REF!</v>
      </c>
      <c r="DD67" t="e">
        <f>AND(Sheet1!#REF!,"AAAAAFm0z2s=")</f>
        <v>#REF!</v>
      </c>
      <c r="DE67" t="e">
        <f>AND(Sheet1!#REF!,"AAAAAFm0z2w=")</f>
        <v>#REF!</v>
      </c>
      <c r="DF67">
        <f>IF(Sheet1!896:896,"AAAAAFm0z20=",0)</f>
        <v>0</v>
      </c>
      <c r="DG67" t="e">
        <f>AND(Sheet1!A896,"AAAAAFm0z24=")</f>
        <v>#VALUE!</v>
      </c>
      <c r="DH67" t="e">
        <f>AND(Sheet1!B896,"AAAAAFm0z28=")</f>
        <v>#VALUE!</v>
      </c>
      <c r="DI67" t="e">
        <f>AND(Sheet1!C896,"AAAAAFm0z3A=")</f>
        <v>#VALUE!</v>
      </c>
      <c r="DJ67" t="e">
        <f>AND(Sheet1!D896,"AAAAAFm0z3E=")</f>
        <v>#VALUE!</v>
      </c>
      <c r="DK67" t="e">
        <f>AND(Sheet1!E896,"AAAAAFm0z3I=")</f>
        <v>#VALUE!</v>
      </c>
      <c r="DL67" t="e">
        <f>AND(Sheet1!F896,"AAAAAFm0z3M=")</f>
        <v>#VALUE!</v>
      </c>
      <c r="DM67" t="e">
        <f>AND(Sheet1!G896,"AAAAAFm0z3Q=")</f>
        <v>#VALUE!</v>
      </c>
      <c r="DN67" t="e">
        <f>AND(Sheet1!H896,"AAAAAFm0z3U=")</f>
        <v>#VALUE!</v>
      </c>
      <c r="DO67" t="e">
        <f>AND(Sheet1!I896,"AAAAAFm0z3Y=")</f>
        <v>#VALUE!</v>
      </c>
      <c r="DP67" t="e">
        <f>AND(Sheet1!J896,"AAAAAFm0z3c=")</f>
        <v>#VALUE!</v>
      </c>
      <c r="DQ67" t="e">
        <f>AND(Sheet1!K896,"AAAAAFm0z3g=")</f>
        <v>#VALUE!</v>
      </c>
      <c r="DR67" t="e">
        <f>AND(Sheet1!L896,"AAAAAFm0z3k=")</f>
        <v>#VALUE!</v>
      </c>
      <c r="DS67" t="e">
        <f>AND(Sheet1!M896,"AAAAAFm0z3o=")</f>
        <v>#VALUE!</v>
      </c>
      <c r="DT67" t="e">
        <f>AND(Sheet1!N896,"AAAAAFm0z3s=")</f>
        <v>#VALUE!</v>
      </c>
      <c r="DU67" t="e">
        <f>AND(Sheet1!#REF!,"AAAAAFm0z3w=")</f>
        <v>#REF!</v>
      </c>
      <c r="DV67" t="e">
        <f>AND(Sheet1!#REF!,"AAAAAFm0z30=")</f>
        <v>#REF!</v>
      </c>
      <c r="DW67" t="e">
        <f>AND(Sheet1!#REF!,"AAAAAFm0z34=")</f>
        <v>#REF!</v>
      </c>
      <c r="DX67" t="e">
        <f>AND(Sheet1!#REF!,"AAAAAFm0z38=")</f>
        <v>#REF!</v>
      </c>
      <c r="DY67">
        <f>IF(Sheet1!897:897,"AAAAAFm0z4A=",0)</f>
        <v>0</v>
      </c>
      <c r="DZ67" t="e">
        <f>AND(Sheet1!A897,"AAAAAFm0z4E=")</f>
        <v>#VALUE!</v>
      </c>
      <c r="EA67" t="e">
        <f>AND(Sheet1!B897,"AAAAAFm0z4I=")</f>
        <v>#VALUE!</v>
      </c>
      <c r="EB67" t="e">
        <f>AND(Sheet1!C897,"AAAAAFm0z4M=")</f>
        <v>#VALUE!</v>
      </c>
      <c r="EC67" t="e">
        <f>AND(Sheet1!D897,"AAAAAFm0z4Q=")</f>
        <v>#VALUE!</v>
      </c>
      <c r="ED67" t="e">
        <f>AND(Sheet1!E897,"AAAAAFm0z4U=")</f>
        <v>#VALUE!</v>
      </c>
      <c r="EE67" t="e">
        <f>AND(Sheet1!F897,"AAAAAFm0z4Y=")</f>
        <v>#VALUE!</v>
      </c>
      <c r="EF67" t="e">
        <f>AND(Sheet1!G897,"AAAAAFm0z4c=")</f>
        <v>#VALUE!</v>
      </c>
      <c r="EG67" t="e">
        <f>AND(Sheet1!H897,"AAAAAFm0z4g=")</f>
        <v>#VALUE!</v>
      </c>
      <c r="EH67" t="e">
        <f>AND(Sheet1!I897,"AAAAAFm0z4k=")</f>
        <v>#VALUE!</v>
      </c>
      <c r="EI67" t="e">
        <f>AND(Sheet1!J897,"AAAAAFm0z4o=")</f>
        <v>#VALUE!</v>
      </c>
      <c r="EJ67" t="e">
        <f>AND(Sheet1!K897,"AAAAAFm0z4s=")</f>
        <v>#VALUE!</v>
      </c>
      <c r="EK67" t="e">
        <f>AND(Sheet1!L897,"AAAAAFm0z4w=")</f>
        <v>#VALUE!</v>
      </c>
      <c r="EL67" t="e">
        <f>AND(Sheet1!M897,"AAAAAFm0z40=")</f>
        <v>#VALUE!</v>
      </c>
      <c r="EM67" t="e">
        <f>AND(Sheet1!N897,"AAAAAFm0z44=")</f>
        <v>#VALUE!</v>
      </c>
      <c r="EN67" t="e">
        <f>AND(Sheet1!#REF!,"AAAAAFm0z48=")</f>
        <v>#REF!</v>
      </c>
      <c r="EO67" t="e">
        <f>AND(Sheet1!#REF!,"AAAAAFm0z5A=")</f>
        <v>#REF!</v>
      </c>
      <c r="EP67" t="e">
        <f>AND(Sheet1!#REF!,"AAAAAFm0z5E=")</f>
        <v>#REF!</v>
      </c>
      <c r="EQ67" t="e">
        <f>AND(Sheet1!#REF!,"AAAAAFm0z5I=")</f>
        <v>#REF!</v>
      </c>
      <c r="ER67">
        <f>IF(Sheet1!898:898,"AAAAAFm0z5M=",0)</f>
        <v>0</v>
      </c>
      <c r="ES67" t="e">
        <f>AND(Sheet1!A898,"AAAAAFm0z5Q=")</f>
        <v>#VALUE!</v>
      </c>
      <c r="ET67" t="e">
        <f>AND(Sheet1!B898,"AAAAAFm0z5U=")</f>
        <v>#VALUE!</v>
      </c>
      <c r="EU67" t="e">
        <f>AND(Sheet1!C898,"AAAAAFm0z5Y=")</f>
        <v>#VALUE!</v>
      </c>
      <c r="EV67" t="e">
        <f>AND(Sheet1!D898,"AAAAAFm0z5c=")</f>
        <v>#VALUE!</v>
      </c>
      <c r="EW67" t="e">
        <f>AND(Sheet1!E898,"AAAAAFm0z5g=")</f>
        <v>#VALUE!</v>
      </c>
      <c r="EX67" t="e">
        <f>AND(Sheet1!F898,"AAAAAFm0z5k=")</f>
        <v>#VALUE!</v>
      </c>
      <c r="EY67" t="e">
        <f>AND(Sheet1!G898,"AAAAAFm0z5o=")</f>
        <v>#VALUE!</v>
      </c>
      <c r="EZ67" t="e">
        <f>AND(Sheet1!H898,"AAAAAFm0z5s=")</f>
        <v>#VALUE!</v>
      </c>
      <c r="FA67" t="e">
        <f>AND(Sheet1!I898,"AAAAAFm0z5w=")</f>
        <v>#VALUE!</v>
      </c>
      <c r="FB67" t="e">
        <f>AND(Sheet1!J898,"AAAAAFm0z50=")</f>
        <v>#VALUE!</v>
      </c>
      <c r="FC67" t="e">
        <f>AND(Sheet1!K898,"AAAAAFm0z54=")</f>
        <v>#VALUE!</v>
      </c>
      <c r="FD67" t="e">
        <f>AND(Sheet1!L898,"AAAAAFm0z58=")</f>
        <v>#VALUE!</v>
      </c>
      <c r="FE67" t="e">
        <f>AND(Sheet1!M898,"AAAAAFm0z6A=")</f>
        <v>#VALUE!</v>
      </c>
      <c r="FF67" t="e">
        <f>AND(Sheet1!N898,"AAAAAFm0z6E=")</f>
        <v>#VALUE!</v>
      </c>
      <c r="FG67" t="e">
        <f>AND(Sheet1!#REF!,"AAAAAFm0z6I=")</f>
        <v>#REF!</v>
      </c>
      <c r="FH67" t="e">
        <f>AND(Sheet1!#REF!,"AAAAAFm0z6M=")</f>
        <v>#REF!</v>
      </c>
      <c r="FI67" t="e">
        <f>AND(Sheet1!#REF!,"AAAAAFm0z6Q=")</f>
        <v>#REF!</v>
      </c>
      <c r="FJ67" t="e">
        <f>AND(Sheet1!#REF!,"AAAAAFm0z6U=")</f>
        <v>#REF!</v>
      </c>
      <c r="FK67">
        <f>IF(Sheet1!899:899,"AAAAAFm0z6Y=",0)</f>
        <v>0</v>
      </c>
      <c r="FL67" t="e">
        <f>AND(Sheet1!A899,"AAAAAFm0z6c=")</f>
        <v>#VALUE!</v>
      </c>
      <c r="FM67" t="e">
        <f>AND(Sheet1!B899,"AAAAAFm0z6g=")</f>
        <v>#VALUE!</v>
      </c>
      <c r="FN67" t="e">
        <f>AND(Sheet1!C899,"AAAAAFm0z6k=")</f>
        <v>#VALUE!</v>
      </c>
      <c r="FO67" t="e">
        <f>AND(Sheet1!D899,"AAAAAFm0z6o=")</f>
        <v>#VALUE!</v>
      </c>
      <c r="FP67" t="e">
        <f>AND(Sheet1!E899,"AAAAAFm0z6s=")</f>
        <v>#VALUE!</v>
      </c>
      <c r="FQ67" t="e">
        <f>AND(Sheet1!F899,"AAAAAFm0z6w=")</f>
        <v>#VALUE!</v>
      </c>
      <c r="FR67" t="e">
        <f>AND(Sheet1!G899,"AAAAAFm0z60=")</f>
        <v>#VALUE!</v>
      </c>
      <c r="FS67" t="e">
        <f>AND(Sheet1!H899,"AAAAAFm0z64=")</f>
        <v>#VALUE!</v>
      </c>
      <c r="FT67" t="e">
        <f>AND(Sheet1!I899,"AAAAAFm0z68=")</f>
        <v>#VALUE!</v>
      </c>
      <c r="FU67" t="e">
        <f>AND(Sheet1!J899,"AAAAAFm0z7A=")</f>
        <v>#VALUE!</v>
      </c>
      <c r="FV67" t="e">
        <f>AND(Sheet1!K899,"AAAAAFm0z7E=")</f>
        <v>#VALUE!</v>
      </c>
      <c r="FW67" t="e">
        <f>AND(Sheet1!L899,"AAAAAFm0z7I=")</f>
        <v>#VALUE!</v>
      </c>
      <c r="FX67" t="e">
        <f>AND(Sheet1!M899,"AAAAAFm0z7M=")</f>
        <v>#VALUE!</v>
      </c>
      <c r="FY67" t="e">
        <f>AND(Sheet1!N899,"AAAAAFm0z7Q=")</f>
        <v>#VALUE!</v>
      </c>
      <c r="FZ67" t="e">
        <f>AND(Sheet1!#REF!,"AAAAAFm0z7U=")</f>
        <v>#REF!</v>
      </c>
      <c r="GA67" t="e">
        <f>AND(Sheet1!#REF!,"AAAAAFm0z7Y=")</f>
        <v>#REF!</v>
      </c>
      <c r="GB67" t="e">
        <f>AND(Sheet1!#REF!,"AAAAAFm0z7c=")</f>
        <v>#REF!</v>
      </c>
      <c r="GC67" t="e">
        <f>AND(Sheet1!#REF!,"AAAAAFm0z7g=")</f>
        <v>#REF!</v>
      </c>
      <c r="GD67">
        <f>IF(Sheet1!900:900,"AAAAAFm0z7k=",0)</f>
        <v>0</v>
      </c>
      <c r="GE67" t="e">
        <f>AND(Sheet1!A900,"AAAAAFm0z7o=")</f>
        <v>#VALUE!</v>
      </c>
      <c r="GF67" t="e">
        <f>AND(Sheet1!B900,"AAAAAFm0z7s=")</f>
        <v>#VALUE!</v>
      </c>
      <c r="GG67" t="e">
        <f>AND(Sheet1!C900,"AAAAAFm0z7w=")</f>
        <v>#VALUE!</v>
      </c>
      <c r="GH67" t="e">
        <f>AND(Sheet1!D900,"AAAAAFm0z70=")</f>
        <v>#VALUE!</v>
      </c>
      <c r="GI67" t="e">
        <f>AND(Sheet1!E900,"AAAAAFm0z74=")</f>
        <v>#VALUE!</v>
      </c>
      <c r="GJ67" t="e">
        <f>AND(Sheet1!F900,"AAAAAFm0z78=")</f>
        <v>#VALUE!</v>
      </c>
      <c r="GK67" t="e">
        <f>AND(Sheet1!G900,"AAAAAFm0z8A=")</f>
        <v>#VALUE!</v>
      </c>
      <c r="GL67" t="e">
        <f>AND(Sheet1!H900,"AAAAAFm0z8E=")</f>
        <v>#VALUE!</v>
      </c>
      <c r="GM67" t="e">
        <f>AND(Sheet1!I900,"AAAAAFm0z8I=")</f>
        <v>#VALUE!</v>
      </c>
      <c r="GN67" t="e">
        <f>AND(Sheet1!J900,"AAAAAFm0z8M=")</f>
        <v>#VALUE!</v>
      </c>
      <c r="GO67" t="e">
        <f>AND(Sheet1!K900,"AAAAAFm0z8Q=")</f>
        <v>#VALUE!</v>
      </c>
      <c r="GP67" t="e">
        <f>AND(Sheet1!L900,"AAAAAFm0z8U=")</f>
        <v>#VALUE!</v>
      </c>
      <c r="GQ67" t="e">
        <f>AND(Sheet1!M900,"AAAAAFm0z8Y=")</f>
        <v>#VALUE!</v>
      </c>
      <c r="GR67" t="e">
        <f>AND(Sheet1!N900,"AAAAAFm0z8c=")</f>
        <v>#VALUE!</v>
      </c>
      <c r="GS67" t="e">
        <f>AND(Sheet1!#REF!,"AAAAAFm0z8g=")</f>
        <v>#REF!</v>
      </c>
      <c r="GT67" t="e">
        <f>AND(Sheet1!#REF!,"AAAAAFm0z8k=")</f>
        <v>#REF!</v>
      </c>
      <c r="GU67" t="e">
        <f>AND(Sheet1!#REF!,"AAAAAFm0z8o=")</f>
        <v>#REF!</v>
      </c>
      <c r="GV67" t="e">
        <f>AND(Sheet1!#REF!,"AAAAAFm0z8s=")</f>
        <v>#REF!</v>
      </c>
      <c r="GW67">
        <f>IF(Sheet1!901:901,"AAAAAFm0z8w=",0)</f>
        <v>0</v>
      </c>
      <c r="GX67" t="e">
        <f>AND(Sheet1!A901,"AAAAAFm0z80=")</f>
        <v>#VALUE!</v>
      </c>
      <c r="GY67" t="e">
        <f>AND(Sheet1!B901,"AAAAAFm0z84=")</f>
        <v>#VALUE!</v>
      </c>
      <c r="GZ67" t="e">
        <f>AND(Sheet1!C901,"AAAAAFm0z88=")</f>
        <v>#VALUE!</v>
      </c>
      <c r="HA67" t="e">
        <f>AND(Sheet1!D901,"AAAAAFm0z9A=")</f>
        <v>#VALUE!</v>
      </c>
      <c r="HB67" t="e">
        <f>AND(Sheet1!E901,"AAAAAFm0z9E=")</f>
        <v>#VALUE!</v>
      </c>
      <c r="HC67" t="e">
        <f>AND(Sheet1!F901,"AAAAAFm0z9I=")</f>
        <v>#VALUE!</v>
      </c>
      <c r="HD67" t="e">
        <f>AND(Sheet1!G901,"AAAAAFm0z9M=")</f>
        <v>#VALUE!</v>
      </c>
      <c r="HE67" t="e">
        <f>AND(Sheet1!H901,"AAAAAFm0z9Q=")</f>
        <v>#VALUE!</v>
      </c>
      <c r="HF67" t="e">
        <f>AND(Sheet1!I901,"AAAAAFm0z9U=")</f>
        <v>#VALUE!</v>
      </c>
      <c r="HG67" t="e">
        <f>AND(Sheet1!J901,"AAAAAFm0z9Y=")</f>
        <v>#VALUE!</v>
      </c>
      <c r="HH67" t="e">
        <f>AND(Sheet1!K901,"AAAAAFm0z9c=")</f>
        <v>#VALUE!</v>
      </c>
      <c r="HI67" t="e">
        <f>AND(Sheet1!L901,"AAAAAFm0z9g=")</f>
        <v>#VALUE!</v>
      </c>
      <c r="HJ67" t="e">
        <f>AND(Sheet1!M901,"AAAAAFm0z9k=")</f>
        <v>#VALUE!</v>
      </c>
      <c r="HK67" t="e">
        <f>AND(Sheet1!N901,"AAAAAFm0z9o=")</f>
        <v>#VALUE!</v>
      </c>
      <c r="HL67" t="e">
        <f>AND(Sheet1!#REF!,"AAAAAFm0z9s=")</f>
        <v>#REF!</v>
      </c>
      <c r="HM67" t="e">
        <f>AND(Sheet1!#REF!,"AAAAAFm0z9w=")</f>
        <v>#REF!</v>
      </c>
      <c r="HN67" t="e">
        <f>AND(Sheet1!#REF!,"AAAAAFm0z90=")</f>
        <v>#REF!</v>
      </c>
      <c r="HO67" t="e">
        <f>AND(Sheet1!#REF!,"AAAAAFm0z94=")</f>
        <v>#REF!</v>
      </c>
      <c r="HP67">
        <f>IF(Sheet1!902:902,"AAAAAFm0z98=",0)</f>
        <v>0</v>
      </c>
      <c r="HQ67" t="e">
        <f>AND(Sheet1!A902,"AAAAAFm0z+A=")</f>
        <v>#VALUE!</v>
      </c>
      <c r="HR67" t="e">
        <f>AND(Sheet1!B902,"AAAAAFm0z+E=")</f>
        <v>#VALUE!</v>
      </c>
      <c r="HS67" t="e">
        <f>AND(Sheet1!C902,"AAAAAFm0z+I=")</f>
        <v>#VALUE!</v>
      </c>
      <c r="HT67" t="e">
        <f>AND(Sheet1!D902,"AAAAAFm0z+M=")</f>
        <v>#VALUE!</v>
      </c>
      <c r="HU67" t="e">
        <f>AND(Sheet1!E902,"AAAAAFm0z+Q=")</f>
        <v>#VALUE!</v>
      </c>
      <c r="HV67" t="e">
        <f>AND(Sheet1!F902,"AAAAAFm0z+U=")</f>
        <v>#VALUE!</v>
      </c>
      <c r="HW67" t="e">
        <f>AND(Sheet1!G902,"AAAAAFm0z+Y=")</f>
        <v>#VALUE!</v>
      </c>
      <c r="HX67" t="e">
        <f>AND(Sheet1!H902,"AAAAAFm0z+c=")</f>
        <v>#VALUE!</v>
      </c>
      <c r="HY67" t="e">
        <f>AND(Sheet1!I902,"AAAAAFm0z+g=")</f>
        <v>#VALUE!</v>
      </c>
      <c r="HZ67" t="e">
        <f>AND(Sheet1!J902,"AAAAAFm0z+k=")</f>
        <v>#VALUE!</v>
      </c>
      <c r="IA67" t="e">
        <f>AND(Sheet1!K902,"AAAAAFm0z+o=")</f>
        <v>#VALUE!</v>
      </c>
      <c r="IB67" t="e">
        <f>AND(Sheet1!L902,"AAAAAFm0z+s=")</f>
        <v>#VALUE!</v>
      </c>
      <c r="IC67" t="e">
        <f>AND(Sheet1!M902,"AAAAAFm0z+w=")</f>
        <v>#VALUE!</v>
      </c>
      <c r="ID67" t="e">
        <f>AND(Sheet1!N902,"AAAAAFm0z+0=")</f>
        <v>#VALUE!</v>
      </c>
      <c r="IE67" t="e">
        <f>AND(Sheet1!#REF!,"AAAAAFm0z+4=")</f>
        <v>#REF!</v>
      </c>
      <c r="IF67" t="e">
        <f>AND(Sheet1!#REF!,"AAAAAFm0z+8=")</f>
        <v>#REF!</v>
      </c>
      <c r="IG67" t="e">
        <f>AND(Sheet1!#REF!,"AAAAAFm0z/A=")</f>
        <v>#REF!</v>
      </c>
      <c r="IH67" t="e">
        <f>AND(Sheet1!#REF!,"AAAAAFm0z/E=")</f>
        <v>#REF!</v>
      </c>
      <c r="II67">
        <f>IF(Sheet1!903:903,"AAAAAFm0z/I=",0)</f>
        <v>0</v>
      </c>
      <c r="IJ67" t="e">
        <f>AND(Sheet1!A903,"AAAAAFm0z/M=")</f>
        <v>#VALUE!</v>
      </c>
      <c r="IK67" t="e">
        <f>AND(Sheet1!B903,"AAAAAFm0z/Q=")</f>
        <v>#VALUE!</v>
      </c>
      <c r="IL67" t="e">
        <f>AND(Sheet1!C903,"AAAAAFm0z/U=")</f>
        <v>#VALUE!</v>
      </c>
      <c r="IM67" t="e">
        <f>AND(Sheet1!D903,"AAAAAFm0z/Y=")</f>
        <v>#VALUE!</v>
      </c>
      <c r="IN67" t="e">
        <f>AND(Sheet1!E903,"AAAAAFm0z/c=")</f>
        <v>#VALUE!</v>
      </c>
      <c r="IO67" t="e">
        <f>AND(Sheet1!F903,"AAAAAFm0z/g=")</f>
        <v>#VALUE!</v>
      </c>
      <c r="IP67" t="e">
        <f>AND(Sheet1!G903,"AAAAAFm0z/k=")</f>
        <v>#VALUE!</v>
      </c>
      <c r="IQ67" t="e">
        <f>AND(Sheet1!H903,"AAAAAFm0z/o=")</f>
        <v>#VALUE!</v>
      </c>
      <c r="IR67" t="e">
        <f>AND(Sheet1!I903,"AAAAAFm0z/s=")</f>
        <v>#VALUE!</v>
      </c>
      <c r="IS67" t="e">
        <f>AND(Sheet1!J903,"AAAAAFm0z/w=")</f>
        <v>#VALUE!</v>
      </c>
      <c r="IT67" t="e">
        <f>AND(Sheet1!K903,"AAAAAFm0z/0=")</f>
        <v>#VALUE!</v>
      </c>
      <c r="IU67" t="e">
        <f>AND(Sheet1!L903,"AAAAAFm0z/4=")</f>
        <v>#VALUE!</v>
      </c>
      <c r="IV67" t="e">
        <f>AND(Sheet1!M903,"AAAAAFm0z/8=")</f>
        <v>#VALUE!</v>
      </c>
    </row>
    <row r="68" spans="1:256" x14ac:dyDescent="0.2">
      <c r="A68" t="e">
        <f>AND(Sheet1!N903,"AAAAAH/tvQA=")</f>
        <v>#VALUE!</v>
      </c>
      <c r="B68" t="e">
        <f>AND(Sheet1!#REF!,"AAAAAH/tvQE=")</f>
        <v>#REF!</v>
      </c>
      <c r="C68" t="e">
        <f>AND(Sheet1!#REF!,"AAAAAH/tvQI=")</f>
        <v>#REF!</v>
      </c>
      <c r="D68" t="e">
        <f>AND(Sheet1!#REF!,"AAAAAH/tvQM=")</f>
        <v>#REF!</v>
      </c>
      <c r="E68" t="e">
        <f>AND(Sheet1!#REF!,"AAAAAH/tvQQ=")</f>
        <v>#REF!</v>
      </c>
      <c r="F68" t="e">
        <f>IF(Sheet1!904:904,"AAAAAH/tvQU=",0)</f>
        <v>#VALUE!</v>
      </c>
      <c r="G68" t="e">
        <f>AND(Sheet1!A904,"AAAAAH/tvQY=")</f>
        <v>#VALUE!</v>
      </c>
      <c r="H68" t="e">
        <f>AND(Sheet1!B904,"AAAAAH/tvQc=")</f>
        <v>#VALUE!</v>
      </c>
      <c r="I68" t="e">
        <f>AND(Sheet1!C904,"AAAAAH/tvQg=")</f>
        <v>#VALUE!</v>
      </c>
      <c r="J68" t="e">
        <f>AND(Sheet1!D904,"AAAAAH/tvQk=")</f>
        <v>#VALUE!</v>
      </c>
      <c r="K68" t="e">
        <f>AND(Sheet1!E904,"AAAAAH/tvQo=")</f>
        <v>#VALUE!</v>
      </c>
      <c r="L68" t="e">
        <f>AND(Sheet1!F904,"AAAAAH/tvQs=")</f>
        <v>#VALUE!</v>
      </c>
      <c r="M68" t="e">
        <f>AND(Sheet1!G904,"AAAAAH/tvQw=")</f>
        <v>#VALUE!</v>
      </c>
      <c r="N68" t="e">
        <f>AND(Sheet1!H904,"AAAAAH/tvQ0=")</f>
        <v>#VALUE!</v>
      </c>
      <c r="O68" t="e">
        <f>AND(Sheet1!I904,"AAAAAH/tvQ4=")</f>
        <v>#VALUE!</v>
      </c>
      <c r="P68" t="e">
        <f>AND(Sheet1!J904,"AAAAAH/tvQ8=")</f>
        <v>#VALUE!</v>
      </c>
      <c r="Q68" t="e">
        <f>AND(Sheet1!K904,"AAAAAH/tvRA=")</f>
        <v>#VALUE!</v>
      </c>
      <c r="R68" t="e">
        <f>AND(Sheet1!L904,"AAAAAH/tvRE=")</f>
        <v>#VALUE!</v>
      </c>
      <c r="S68" t="e">
        <f>AND(Sheet1!M904,"AAAAAH/tvRI=")</f>
        <v>#VALUE!</v>
      </c>
      <c r="T68" t="e">
        <f>AND(Sheet1!N904,"AAAAAH/tvRM=")</f>
        <v>#VALUE!</v>
      </c>
      <c r="U68" t="e">
        <f>AND(Sheet1!#REF!,"AAAAAH/tvRQ=")</f>
        <v>#REF!</v>
      </c>
      <c r="V68" t="e">
        <f>AND(Sheet1!#REF!,"AAAAAH/tvRU=")</f>
        <v>#REF!</v>
      </c>
      <c r="W68" t="e">
        <f>AND(Sheet1!#REF!,"AAAAAH/tvRY=")</f>
        <v>#REF!</v>
      </c>
      <c r="X68" t="e">
        <f>AND(Sheet1!#REF!,"AAAAAH/tvRc=")</f>
        <v>#REF!</v>
      </c>
      <c r="Y68">
        <f>IF(Sheet1!905:905,"AAAAAH/tvRg=",0)</f>
        <v>0</v>
      </c>
      <c r="Z68" t="e">
        <f>AND(Sheet1!A905,"AAAAAH/tvRk=")</f>
        <v>#VALUE!</v>
      </c>
      <c r="AA68" t="e">
        <f>AND(Sheet1!B905,"AAAAAH/tvRo=")</f>
        <v>#VALUE!</v>
      </c>
      <c r="AB68" t="e">
        <f>AND(Sheet1!C905,"AAAAAH/tvRs=")</f>
        <v>#VALUE!</v>
      </c>
      <c r="AC68" t="e">
        <f>AND(Sheet1!D905,"AAAAAH/tvRw=")</f>
        <v>#VALUE!</v>
      </c>
      <c r="AD68" t="e">
        <f>AND(Sheet1!E905,"AAAAAH/tvR0=")</f>
        <v>#VALUE!</v>
      </c>
      <c r="AE68" t="e">
        <f>AND(Sheet1!F905,"AAAAAH/tvR4=")</f>
        <v>#VALUE!</v>
      </c>
      <c r="AF68" t="e">
        <f>AND(Sheet1!G905,"AAAAAH/tvR8=")</f>
        <v>#VALUE!</v>
      </c>
      <c r="AG68" t="e">
        <f>AND(Sheet1!H905,"AAAAAH/tvSA=")</f>
        <v>#VALUE!</v>
      </c>
      <c r="AH68" t="e">
        <f>AND(Sheet1!I905,"AAAAAH/tvSE=")</f>
        <v>#VALUE!</v>
      </c>
      <c r="AI68" t="e">
        <f>AND(Sheet1!J905,"AAAAAH/tvSI=")</f>
        <v>#VALUE!</v>
      </c>
      <c r="AJ68" t="e">
        <f>AND(Sheet1!K905,"AAAAAH/tvSM=")</f>
        <v>#VALUE!</v>
      </c>
      <c r="AK68" t="e">
        <f>AND(Sheet1!L905,"AAAAAH/tvSQ=")</f>
        <v>#VALUE!</v>
      </c>
      <c r="AL68" t="e">
        <f>AND(Sheet1!M905,"AAAAAH/tvSU=")</f>
        <v>#VALUE!</v>
      </c>
      <c r="AM68" t="e">
        <f>AND(Sheet1!N905,"AAAAAH/tvSY=")</f>
        <v>#VALUE!</v>
      </c>
      <c r="AN68" t="e">
        <f>AND(Sheet1!#REF!,"AAAAAH/tvSc=")</f>
        <v>#REF!</v>
      </c>
      <c r="AO68" t="e">
        <f>AND(Sheet1!#REF!,"AAAAAH/tvSg=")</f>
        <v>#REF!</v>
      </c>
      <c r="AP68" t="e">
        <f>AND(Sheet1!#REF!,"AAAAAH/tvSk=")</f>
        <v>#REF!</v>
      </c>
      <c r="AQ68" t="e">
        <f>AND(Sheet1!#REF!,"AAAAAH/tvSo=")</f>
        <v>#REF!</v>
      </c>
      <c r="AR68">
        <f>IF(Sheet1!906:906,"AAAAAH/tvSs=",0)</f>
        <v>0</v>
      </c>
      <c r="AS68" t="e">
        <f>AND(Sheet1!A906,"AAAAAH/tvSw=")</f>
        <v>#VALUE!</v>
      </c>
      <c r="AT68" t="e">
        <f>AND(Sheet1!B906,"AAAAAH/tvS0=")</f>
        <v>#VALUE!</v>
      </c>
      <c r="AU68" t="e">
        <f>AND(Sheet1!C906,"AAAAAH/tvS4=")</f>
        <v>#VALUE!</v>
      </c>
      <c r="AV68" t="e">
        <f>AND(Sheet1!D906,"AAAAAH/tvS8=")</f>
        <v>#VALUE!</v>
      </c>
      <c r="AW68" t="e">
        <f>AND(Sheet1!E906,"AAAAAH/tvTA=")</f>
        <v>#VALUE!</v>
      </c>
      <c r="AX68" t="e">
        <f>AND(Sheet1!F906,"AAAAAH/tvTE=")</f>
        <v>#VALUE!</v>
      </c>
      <c r="AY68" t="e">
        <f>AND(Sheet1!G906,"AAAAAH/tvTI=")</f>
        <v>#VALUE!</v>
      </c>
      <c r="AZ68" t="e">
        <f>AND(Sheet1!H906,"AAAAAH/tvTM=")</f>
        <v>#VALUE!</v>
      </c>
      <c r="BA68" t="e">
        <f>AND(Sheet1!I906,"AAAAAH/tvTQ=")</f>
        <v>#VALUE!</v>
      </c>
      <c r="BB68" t="e">
        <f>AND(Sheet1!J906,"AAAAAH/tvTU=")</f>
        <v>#VALUE!</v>
      </c>
      <c r="BC68" t="e">
        <f>AND(Sheet1!K906,"AAAAAH/tvTY=")</f>
        <v>#VALUE!</v>
      </c>
      <c r="BD68" t="e">
        <f>AND(Sheet1!L906,"AAAAAH/tvTc=")</f>
        <v>#VALUE!</v>
      </c>
      <c r="BE68" t="e">
        <f>AND(Sheet1!M906,"AAAAAH/tvTg=")</f>
        <v>#VALUE!</v>
      </c>
      <c r="BF68" t="e">
        <f>AND(Sheet1!N906,"AAAAAH/tvTk=")</f>
        <v>#VALUE!</v>
      </c>
      <c r="BG68" t="e">
        <f>AND(Sheet1!#REF!,"AAAAAH/tvTo=")</f>
        <v>#REF!</v>
      </c>
      <c r="BH68" t="e">
        <f>AND(Sheet1!#REF!,"AAAAAH/tvTs=")</f>
        <v>#REF!</v>
      </c>
      <c r="BI68" t="e">
        <f>AND(Sheet1!#REF!,"AAAAAH/tvTw=")</f>
        <v>#REF!</v>
      </c>
      <c r="BJ68" t="e">
        <f>AND(Sheet1!#REF!,"AAAAAH/tvT0=")</f>
        <v>#REF!</v>
      </c>
      <c r="BK68">
        <f>IF(Sheet1!907:907,"AAAAAH/tvT4=",0)</f>
        <v>0</v>
      </c>
      <c r="BL68" t="e">
        <f>AND(Sheet1!A907,"AAAAAH/tvT8=")</f>
        <v>#VALUE!</v>
      </c>
      <c r="BM68" t="e">
        <f>AND(Sheet1!B907,"AAAAAH/tvUA=")</f>
        <v>#VALUE!</v>
      </c>
      <c r="BN68" t="e">
        <f>AND(Sheet1!C907,"AAAAAH/tvUE=")</f>
        <v>#VALUE!</v>
      </c>
      <c r="BO68" t="e">
        <f>AND(Sheet1!D907,"AAAAAH/tvUI=")</f>
        <v>#VALUE!</v>
      </c>
      <c r="BP68" t="e">
        <f>AND(Sheet1!E907,"AAAAAH/tvUM=")</f>
        <v>#VALUE!</v>
      </c>
      <c r="BQ68" t="e">
        <f>AND(Sheet1!F907,"AAAAAH/tvUQ=")</f>
        <v>#VALUE!</v>
      </c>
      <c r="BR68" t="e">
        <f>AND(Sheet1!G907,"AAAAAH/tvUU=")</f>
        <v>#VALUE!</v>
      </c>
      <c r="BS68" t="e">
        <f>AND(Sheet1!H907,"AAAAAH/tvUY=")</f>
        <v>#VALUE!</v>
      </c>
      <c r="BT68" t="e">
        <f>AND(Sheet1!I907,"AAAAAH/tvUc=")</f>
        <v>#VALUE!</v>
      </c>
      <c r="BU68" t="e">
        <f>AND(Sheet1!J907,"AAAAAH/tvUg=")</f>
        <v>#VALUE!</v>
      </c>
      <c r="BV68" t="e">
        <f>AND(Sheet1!K907,"AAAAAH/tvUk=")</f>
        <v>#VALUE!</v>
      </c>
      <c r="BW68" t="e">
        <f>AND(Sheet1!L907,"AAAAAH/tvUo=")</f>
        <v>#VALUE!</v>
      </c>
      <c r="BX68" t="e">
        <f>AND(Sheet1!M907,"AAAAAH/tvUs=")</f>
        <v>#VALUE!</v>
      </c>
      <c r="BY68" t="e">
        <f>AND(Sheet1!N907,"AAAAAH/tvUw=")</f>
        <v>#VALUE!</v>
      </c>
      <c r="BZ68" t="e">
        <f>AND(Sheet1!#REF!,"AAAAAH/tvU0=")</f>
        <v>#REF!</v>
      </c>
      <c r="CA68" t="e">
        <f>AND(Sheet1!#REF!,"AAAAAH/tvU4=")</f>
        <v>#REF!</v>
      </c>
      <c r="CB68" t="e">
        <f>AND(Sheet1!#REF!,"AAAAAH/tvU8=")</f>
        <v>#REF!</v>
      </c>
      <c r="CC68" t="e">
        <f>AND(Sheet1!#REF!,"AAAAAH/tvVA=")</f>
        <v>#REF!</v>
      </c>
      <c r="CD68">
        <f>IF(Sheet1!908:908,"AAAAAH/tvVE=",0)</f>
        <v>0</v>
      </c>
      <c r="CE68" t="e">
        <f>AND(Sheet1!A908,"AAAAAH/tvVI=")</f>
        <v>#VALUE!</v>
      </c>
      <c r="CF68" t="e">
        <f>AND(Sheet1!B908,"AAAAAH/tvVM=")</f>
        <v>#VALUE!</v>
      </c>
      <c r="CG68" t="e">
        <f>AND(Sheet1!C908,"AAAAAH/tvVQ=")</f>
        <v>#VALUE!</v>
      </c>
      <c r="CH68" t="e">
        <f>AND(Sheet1!D908,"AAAAAH/tvVU=")</f>
        <v>#VALUE!</v>
      </c>
      <c r="CI68" t="e">
        <f>AND(Sheet1!E908,"AAAAAH/tvVY=")</f>
        <v>#VALUE!</v>
      </c>
      <c r="CJ68" t="e">
        <f>AND(Sheet1!F908,"AAAAAH/tvVc=")</f>
        <v>#VALUE!</v>
      </c>
      <c r="CK68" t="e">
        <f>AND(Sheet1!G908,"AAAAAH/tvVg=")</f>
        <v>#VALUE!</v>
      </c>
      <c r="CL68" t="e">
        <f>AND(Sheet1!H908,"AAAAAH/tvVk=")</f>
        <v>#VALUE!</v>
      </c>
      <c r="CM68" t="e">
        <f>AND(Sheet1!I908,"AAAAAH/tvVo=")</f>
        <v>#VALUE!</v>
      </c>
      <c r="CN68" t="e">
        <f>AND(Sheet1!J908,"AAAAAH/tvVs=")</f>
        <v>#VALUE!</v>
      </c>
      <c r="CO68" t="e">
        <f>AND(Sheet1!K908,"AAAAAH/tvVw=")</f>
        <v>#VALUE!</v>
      </c>
      <c r="CP68" t="e">
        <f>AND(Sheet1!L908,"AAAAAH/tvV0=")</f>
        <v>#VALUE!</v>
      </c>
      <c r="CQ68" t="e">
        <f>AND(Sheet1!M908,"AAAAAH/tvV4=")</f>
        <v>#VALUE!</v>
      </c>
      <c r="CR68" t="e">
        <f>AND(Sheet1!N908,"AAAAAH/tvV8=")</f>
        <v>#VALUE!</v>
      </c>
      <c r="CS68" t="e">
        <f>AND(Sheet1!#REF!,"AAAAAH/tvWA=")</f>
        <v>#REF!</v>
      </c>
      <c r="CT68" t="e">
        <f>AND(Sheet1!#REF!,"AAAAAH/tvWE=")</f>
        <v>#REF!</v>
      </c>
      <c r="CU68" t="e">
        <f>AND(Sheet1!#REF!,"AAAAAH/tvWI=")</f>
        <v>#REF!</v>
      </c>
      <c r="CV68" t="e">
        <f>AND(Sheet1!#REF!,"AAAAAH/tvWM=")</f>
        <v>#REF!</v>
      </c>
      <c r="CW68">
        <f>IF(Sheet1!909:909,"AAAAAH/tvWQ=",0)</f>
        <v>0</v>
      </c>
      <c r="CX68" t="e">
        <f>AND(Sheet1!A909,"AAAAAH/tvWU=")</f>
        <v>#VALUE!</v>
      </c>
      <c r="CY68" t="e">
        <f>AND(Sheet1!B909,"AAAAAH/tvWY=")</f>
        <v>#VALUE!</v>
      </c>
      <c r="CZ68" t="e">
        <f>AND(Sheet1!C909,"AAAAAH/tvWc=")</f>
        <v>#VALUE!</v>
      </c>
      <c r="DA68" t="e">
        <f>AND(Sheet1!D909,"AAAAAH/tvWg=")</f>
        <v>#VALUE!</v>
      </c>
      <c r="DB68" t="e">
        <f>AND(Sheet1!E909,"AAAAAH/tvWk=")</f>
        <v>#VALUE!</v>
      </c>
      <c r="DC68" t="e">
        <f>AND(Sheet1!F909,"AAAAAH/tvWo=")</f>
        <v>#VALUE!</v>
      </c>
      <c r="DD68" t="e">
        <f>AND(Sheet1!G909,"AAAAAH/tvWs=")</f>
        <v>#VALUE!</v>
      </c>
      <c r="DE68" t="e">
        <f>AND(Sheet1!H909,"AAAAAH/tvWw=")</f>
        <v>#VALUE!</v>
      </c>
      <c r="DF68" t="e">
        <f>AND(Sheet1!I909,"AAAAAH/tvW0=")</f>
        <v>#VALUE!</v>
      </c>
      <c r="DG68" t="e">
        <f>AND(Sheet1!J909,"AAAAAH/tvW4=")</f>
        <v>#VALUE!</v>
      </c>
      <c r="DH68" t="e">
        <f>AND(Sheet1!K909,"AAAAAH/tvW8=")</f>
        <v>#VALUE!</v>
      </c>
      <c r="DI68" t="e">
        <f>AND(Sheet1!L909,"AAAAAH/tvXA=")</f>
        <v>#VALUE!</v>
      </c>
      <c r="DJ68" t="e">
        <f>AND(Sheet1!M909,"AAAAAH/tvXE=")</f>
        <v>#VALUE!</v>
      </c>
      <c r="DK68" t="e">
        <f>AND(Sheet1!N909,"AAAAAH/tvXI=")</f>
        <v>#VALUE!</v>
      </c>
      <c r="DL68" t="e">
        <f>AND(Sheet1!#REF!,"AAAAAH/tvXM=")</f>
        <v>#REF!</v>
      </c>
      <c r="DM68" t="e">
        <f>AND(Sheet1!#REF!,"AAAAAH/tvXQ=")</f>
        <v>#REF!</v>
      </c>
      <c r="DN68" t="e">
        <f>AND(Sheet1!#REF!,"AAAAAH/tvXU=")</f>
        <v>#REF!</v>
      </c>
      <c r="DO68" t="e">
        <f>AND(Sheet1!#REF!,"AAAAAH/tvXY=")</f>
        <v>#REF!</v>
      </c>
      <c r="DP68">
        <f>IF(Sheet1!910:910,"AAAAAH/tvXc=",0)</f>
        <v>0</v>
      </c>
      <c r="DQ68" t="e">
        <f>AND(Sheet1!A910,"AAAAAH/tvXg=")</f>
        <v>#VALUE!</v>
      </c>
      <c r="DR68" t="e">
        <f>AND(Sheet1!B910,"AAAAAH/tvXk=")</f>
        <v>#VALUE!</v>
      </c>
      <c r="DS68" t="e">
        <f>AND(Sheet1!C910,"AAAAAH/tvXo=")</f>
        <v>#VALUE!</v>
      </c>
      <c r="DT68" t="e">
        <f>AND(Sheet1!D910,"AAAAAH/tvXs=")</f>
        <v>#VALUE!</v>
      </c>
      <c r="DU68" t="e">
        <f>AND(Sheet1!E910,"AAAAAH/tvXw=")</f>
        <v>#VALUE!</v>
      </c>
      <c r="DV68" t="e">
        <f>AND(Sheet1!F910,"AAAAAH/tvX0=")</f>
        <v>#VALUE!</v>
      </c>
      <c r="DW68" t="e">
        <f>AND(Sheet1!G910,"AAAAAH/tvX4=")</f>
        <v>#VALUE!</v>
      </c>
      <c r="DX68" t="e">
        <f>AND(Sheet1!H910,"AAAAAH/tvX8=")</f>
        <v>#VALUE!</v>
      </c>
      <c r="DY68" t="e">
        <f>AND(Sheet1!I910,"AAAAAH/tvYA=")</f>
        <v>#VALUE!</v>
      </c>
      <c r="DZ68" t="e">
        <f>AND(Sheet1!J910,"AAAAAH/tvYE=")</f>
        <v>#VALUE!</v>
      </c>
      <c r="EA68" t="e">
        <f>AND(Sheet1!K910,"AAAAAH/tvYI=")</f>
        <v>#VALUE!</v>
      </c>
      <c r="EB68" t="e">
        <f>AND(Sheet1!L910,"AAAAAH/tvYM=")</f>
        <v>#VALUE!</v>
      </c>
      <c r="EC68" t="e">
        <f>AND(Sheet1!M910,"AAAAAH/tvYQ=")</f>
        <v>#VALUE!</v>
      </c>
      <c r="ED68" t="e">
        <f>AND(Sheet1!N910,"AAAAAH/tvYU=")</f>
        <v>#VALUE!</v>
      </c>
      <c r="EE68" t="e">
        <f>AND(Sheet1!#REF!,"AAAAAH/tvYY=")</f>
        <v>#REF!</v>
      </c>
      <c r="EF68" t="e">
        <f>AND(Sheet1!#REF!,"AAAAAH/tvYc=")</f>
        <v>#REF!</v>
      </c>
      <c r="EG68" t="e">
        <f>AND(Sheet1!#REF!,"AAAAAH/tvYg=")</f>
        <v>#REF!</v>
      </c>
      <c r="EH68" t="e">
        <f>AND(Sheet1!#REF!,"AAAAAH/tvYk=")</f>
        <v>#REF!</v>
      </c>
      <c r="EI68">
        <f>IF(Sheet1!911:911,"AAAAAH/tvYo=",0)</f>
        <v>0</v>
      </c>
      <c r="EJ68" t="e">
        <f>AND(Sheet1!A911,"AAAAAH/tvYs=")</f>
        <v>#VALUE!</v>
      </c>
      <c r="EK68" t="e">
        <f>AND(Sheet1!B911,"AAAAAH/tvYw=")</f>
        <v>#VALUE!</v>
      </c>
      <c r="EL68" t="e">
        <f>AND(Sheet1!C911,"AAAAAH/tvY0=")</f>
        <v>#VALUE!</v>
      </c>
      <c r="EM68" t="e">
        <f>AND(Sheet1!D911,"AAAAAH/tvY4=")</f>
        <v>#VALUE!</v>
      </c>
      <c r="EN68" t="e">
        <f>AND(Sheet1!E911,"AAAAAH/tvY8=")</f>
        <v>#VALUE!</v>
      </c>
      <c r="EO68" t="e">
        <f>AND(Sheet1!F911,"AAAAAH/tvZA=")</f>
        <v>#VALUE!</v>
      </c>
      <c r="EP68" t="e">
        <f>AND(Sheet1!G911,"AAAAAH/tvZE=")</f>
        <v>#VALUE!</v>
      </c>
      <c r="EQ68" t="e">
        <f>AND(Sheet1!H911,"AAAAAH/tvZI=")</f>
        <v>#VALUE!</v>
      </c>
      <c r="ER68" t="e">
        <f>AND(Sheet1!I911,"AAAAAH/tvZM=")</f>
        <v>#VALUE!</v>
      </c>
      <c r="ES68" t="e">
        <f>AND(Sheet1!J911,"AAAAAH/tvZQ=")</f>
        <v>#VALUE!</v>
      </c>
      <c r="ET68" t="e">
        <f>AND(Sheet1!K911,"AAAAAH/tvZU=")</f>
        <v>#VALUE!</v>
      </c>
      <c r="EU68" t="e">
        <f>AND(Sheet1!L911,"AAAAAH/tvZY=")</f>
        <v>#VALUE!</v>
      </c>
      <c r="EV68" t="e">
        <f>AND(Sheet1!M911,"AAAAAH/tvZc=")</f>
        <v>#VALUE!</v>
      </c>
      <c r="EW68" t="e">
        <f>AND(Sheet1!N911,"AAAAAH/tvZg=")</f>
        <v>#VALUE!</v>
      </c>
      <c r="EX68" t="e">
        <f>AND(Sheet1!#REF!,"AAAAAH/tvZk=")</f>
        <v>#REF!</v>
      </c>
      <c r="EY68" t="e">
        <f>AND(Sheet1!#REF!,"AAAAAH/tvZo=")</f>
        <v>#REF!</v>
      </c>
      <c r="EZ68" t="e">
        <f>AND(Sheet1!#REF!,"AAAAAH/tvZs=")</f>
        <v>#REF!</v>
      </c>
      <c r="FA68" t="e">
        <f>AND(Sheet1!#REF!,"AAAAAH/tvZw=")</f>
        <v>#REF!</v>
      </c>
      <c r="FB68">
        <f>IF(Sheet1!912:912,"AAAAAH/tvZ0=",0)</f>
        <v>0</v>
      </c>
      <c r="FC68" t="e">
        <f>AND(Sheet1!A912,"AAAAAH/tvZ4=")</f>
        <v>#VALUE!</v>
      </c>
      <c r="FD68" t="e">
        <f>AND(Sheet1!B912,"AAAAAH/tvZ8=")</f>
        <v>#VALUE!</v>
      </c>
      <c r="FE68" t="e">
        <f>AND(Sheet1!C912,"AAAAAH/tvaA=")</f>
        <v>#VALUE!</v>
      </c>
      <c r="FF68" t="e">
        <f>AND(Sheet1!D912,"AAAAAH/tvaE=")</f>
        <v>#VALUE!</v>
      </c>
      <c r="FG68" t="e">
        <f>AND(Sheet1!E912,"AAAAAH/tvaI=")</f>
        <v>#VALUE!</v>
      </c>
      <c r="FH68" t="e">
        <f>AND(Sheet1!F912,"AAAAAH/tvaM=")</f>
        <v>#VALUE!</v>
      </c>
      <c r="FI68" t="e">
        <f>AND(Sheet1!G912,"AAAAAH/tvaQ=")</f>
        <v>#VALUE!</v>
      </c>
      <c r="FJ68" t="e">
        <f>AND(Sheet1!H912,"AAAAAH/tvaU=")</f>
        <v>#VALUE!</v>
      </c>
      <c r="FK68" t="e">
        <f>AND(Sheet1!I912,"AAAAAH/tvaY=")</f>
        <v>#VALUE!</v>
      </c>
      <c r="FL68" t="e">
        <f>AND(Sheet1!J912,"AAAAAH/tvac=")</f>
        <v>#VALUE!</v>
      </c>
      <c r="FM68" t="e">
        <f>AND(Sheet1!K912,"AAAAAH/tvag=")</f>
        <v>#VALUE!</v>
      </c>
      <c r="FN68" t="e">
        <f>AND(Sheet1!L912,"AAAAAH/tvak=")</f>
        <v>#VALUE!</v>
      </c>
      <c r="FO68" t="e">
        <f>AND(Sheet1!M912,"AAAAAH/tvao=")</f>
        <v>#VALUE!</v>
      </c>
      <c r="FP68" t="e">
        <f>AND(Sheet1!N912,"AAAAAH/tvas=")</f>
        <v>#VALUE!</v>
      </c>
      <c r="FQ68" t="e">
        <f>AND(Sheet1!#REF!,"AAAAAH/tvaw=")</f>
        <v>#REF!</v>
      </c>
      <c r="FR68" t="e">
        <f>AND(Sheet1!#REF!,"AAAAAH/tva0=")</f>
        <v>#REF!</v>
      </c>
      <c r="FS68" t="e">
        <f>AND(Sheet1!#REF!,"AAAAAH/tva4=")</f>
        <v>#REF!</v>
      </c>
      <c r="FT68" t="e">
        <f>AND(Sheet1!#REF!,"AAAAAH/tva8=")</f>
        <v>#REF!</v>
      </c>
      <c r="FU68">
        <f>IF(Sheet1!913:913,"AAAAAH/tvbA=",0)</f>
        <v>0</v>
      </c>
      <c r="FV68" t="e">
        <f>AND(Sheet1!A913,"AAAAAH/tvbE=")</f>
        <v>#VALUE!</v>
      </c>
      <c r="FW68" t="e">
        <f>AND(Sheet1!B913,"AAAAAH/tvbI=")</f>
        <v>#VALUE!</v>
      </c>
      <c r="FX68" t="e">
        <f>AND(Sheet1!C913,"AAAAAH/tvbM=")</f>
        <v>#VALUE!</v>
      </c>
      <c r="FY68" t="e">
        <f>AND(Sheet1!D913,"AAAAAH/tvbQ=")</f>
        <v>#VALUE!</v>
      </c>
      <c r="FZ68" t="e">
        <f>AND(Sheet1!E913,"AAAAAH/tvbU=")</f>
        <v>#VALUE!</v>
      </c>
      <c r="GA68" t="e">
        <f>AND(Sheet1!F913,"AAAAAH/tvbY=")</f>
        <v>#VALUE!</v>
      </c>
      <c r="GB68" t="e">
        <f>AND(Sheet1!G913,"AAAAAH/tvbc=")</f>
        <v>#VALUE!</v>
      </c>
      <c r="GC68" t="e">
        <f>AND(Sheet1!H913,"AAAAAH/tvbg=")</f>
        <v>#VALUE!</v>
      </c>
      <c r="GD68" t="e">
        <f>AND(Sheet1!I913,"AAAAAH/tvbk=")</f>
        <v>#VALUE!</v>
      </c>
      <c r="GE68" t="e">
        <f>AND(Sheet1!J913,"AAAAAH/tvbo=")</f>
        <v>#VALUE!</v>
      </c>
      <c r="GF68" t="e">
        <f>AND(Sheet1!K913,"AAAAAH/tvbs=")</f>
        <v>#VALUE!</v>
      </c>
      <c r="GG68" t="e">
        <f>AND(Sheet1!L913,"AAAAAH/tvbw=")</f>
        <v>#VALUE!</v>
      </c>
      <c r="GH68" t="e">
        <f>AND(Sheet1!M913,"AAAAAH/tvb0=")</f>
        <v>#VALUE!</v>
      </c>
      <c r="GI68" t="e">
        <f>AND(Sheet1!N913,"AAAAAH/tvb4=")</f>
        <v>#VALUE!</v>
      </c>
      <c r="GJ68" t="e">
        <f>AND(Sheet1!#REF!,"AAAAAH/tvb8=")</f>
        <v>#REF!</v>
      </c>
      <c r="GK68" t="e">
        <f>AND(Sheet1!#REF!,"AAAAAH/tvcA=")</f>
        <v>#REF!</v>
      </c>
      <c r="GL68" t="e">
        <f>AND(Sheet1!#REF!,"AAAAAH/tvcE=")</f>
        <v>#REF!</v>
      </c>
      <c r="GM68" t="e">
        <f>AND(Sheet1!#REF!,"AAAAAH/tvcI=")</f>
        <v>#REF!</v>
      </c>
      <c r="GN68">
        <f>IF(Sheet1!914:914,"AAAAAH/tvcM=",0)</f>
        <v>0</v>
      </c>
      <c r="GO68" t="e">
        <f>AND(Sheet1!A914,"AAAAAH/tvcQ=")</f>
        <v>#VALUE!</v>
      </c>
      <c r="GP68" t="e">
        <f>AND(Sheet1!B914,"AAAAAH/tvcU=")</f>
        <v>#VALUE!</v>
      </c>
      <c r="GQ68" t="e">
        <f>AND(Sheet1!C914,"AAAAAH/tvcY=")</f>
        <v>#VALUE!</v>
      </c>
      <c r="GR68" t="e">
        <f>AND(Sheet1!D914,"AAAAAH/tvcc=")</f>
        <v>#VALUE!</v>
      </c>
      <c r="GS68" t="e">
        <f>AND(Sheet1!E914,"AAAAAH/tvcg=")</f>
        <v>#VALUE!</v>
      </c>
      <c r="GT68" t="e">
        <f>AND(Sheet1!F914,"AAAAAH/tvck=")</f>
        <v>#VALUE!</v>
      </c>
      <c r="GU68" t="e">
        <f>AND(Sheet1!G914,"AAAAAH/tvco=")</f>
        <v>#VALUE!</v>
      </c>
      <c r="GV68" t="e">
        <f>AND(Sheet1!H914,"AAAAAH/tvcs=")</f>
        <v>#VALUE!</v>
      </c>
      <c r="GW68" t="e">
        <f>AND(Sheet1!I914,"AAAAAH/tvcw=")</f>
        <v>#VALUE!</v>
      </c>
      <c r="GX68" t="e">
        <f>AND(Sheet1!J914,"AAAAAH/tvc0=")</f>
        <v>#VALUE!</v>
      </c>
      <c r="GY68" t="e">
        <f>AND(Sheet1!K914,"AAAAAH/tvc4=")</f>
        <v>#VALUE!</v>
      </c>
      <c r="GZ68" t="e">
        <f>AND(Sheet1!L914,"AAAAAH/tvc8=")</f>
        <v>#VALUE!</v>
      </c>
      <c r="HA68" t="e">
        <f>AND(Sheet1!M914,"AAAAAH/tvdA=")</f>
        <v>#VALUE!</v>
      </c>
      <c r="HB68" t="e">
        <f>AND(Sheet1!N914,"AAAAAH/tvdE=")</f>
        <v>#VALUE!</v>
      </c>
      <c r="HC68" t="e">
        <f>AND(Sheet1!#REF!,"AAAAAH/tvdI=")</f>
        <v>#REF!</v>
      </c>
      <c r="HD68" t="e">
        <f>AND(Sheet1!#REF!,"AAAAAH/tvdM=")</f>
        <v>#REF!</v>
      </c>
      <c r="HE68" t="e">
        <f>AND(Sheet1!#REF!,"AAAAAH/tvdQ=")</f>
        <v>#REF!</v>
      </c>
      <c r="HF68" t="e">
        <f>AND(Sheet1!#REF!,"AAAAAH/tvdU=")</f>
        <v>#REF!</v>
      </c>
      <c r="HG68">
        <f>IF(Sheet1!915:915,"AAAAAH/tvdY=",0)</f>
        <v>0</v>
      </c>
      <c r="HH68" t="e">
        <f>AND(Sheet1!A915,"AAAAAH/tvdc=")</f>
        <v>#VALUE!</v>
      </c>
      <c r="HI68" t="e">
        <f>AND(Sheet1!B915,"AAAAAH/tvdg=")</f>
        <v>#VALUE!</v>
      </c>
      <c r="HJ68" t="e">
        <f>AND(Sheet1!C915,"AAAAAH/tvdk=")</f>
        <v>#VALUE!</v>
      </c>
      <c r="HK68" t="e">
        <f>AND(Sheet1!D915,"AAAAAH/tvdo=")</f>
        <v>#VALUE!</v>
      </c>
      <c r="HL68" t="e">
        <f>AND(Sheet1!E915,"AAAAAH/tvds=")</f>
        <v>#VALUE!</v>
      </c>
      <c r="HM68" t="e">
        <f>AND(Sheet1!F915,"AAAAAH/tvdw=")</f>
        <v>#VALUE!</v>
      </c>
      <c r="HN68" t="e">
        <f>AND(Sheet1!G915,"AAAAAH/tvd0=")</f>
        <v>#VALUE!</v>
      </c>
      <c r="HO68" t="e">
        <f>AND(Sheet1!H915,"AAAAAH/tvd4=")</f>
        <v>#VALUE!</v>
      </c>
      <c r="HP68" t="e">
        <f>AND(Sheet1!I915,"AAAAAH/tvd8=")</f>
        <v>#VALUE!</v>
      </c>
      <c r="HQ68" t="e">
        <f>AND(Sheet1!J915,"AAAAAH/tveA=")</f>
        <v>#VALUE!</v>
      </c>
      <c r="HR68" t="e">
        <f>AND(Sheet1!K915,"AAAAAH/tveE=")</f>
        <v>#VALUE!</v>
      </c>
      <c r="HS68" t="e">
        <f>AND(Sheet1!L915,"AAAAAH/tveI=")</f>
        <v>#VALUE!</v>
      </c>
      <c r="HT68" t="e">
        <f>AND(Sheet1!M915,"AAAAAH/tveM=")</f>
        <v>#VALUE!</v>
      </c>
      <c r="HU68" t="e">
        <f>AND(Sheet1!N915,"AAAAAH/tveQ=")</f>
        <v>#VALUE!</v>
      </c>
      <c r="HV68" t="e">
        <f>AND(Sheet1!#REF!,"AAAAAH/tveU=")</f>
        <v>#REF!</v>
      </c>
      <c r="HW68" t="e">
        <f>AND(Sheet1!#REF!,"AAAAAH/tveY=")</f>
        <v>#REF!</v>
      </c>
      <c r="HX68" t="e">
        <f>AND(Sheet1!#REF!,"AAAAAH/tvec=")</f>
        <v>#REF!</v>
      </c>
      <c r="HY68" t="e">
        <f>AND(Sheet1!#REF!,"AAAAAH/tveg=")</f>
        <v>#REF!</v>
      </c>
      <c r="HZ68">
        <f>IF(Sheet1!916:916,"AAAAAH/tvek=",0)</f>
        <v>0</v>
      </c>
      <c r="IA68" t="e">
        <f>AND(Sheet1!A916,"AAAAAH/tveo=")</f>
        <v>#VALUE!</v>
      </c>
      <c r="IB68" t="e">
        <f>AND(Sheet1!B916,"AAAAAH/tves=")</f>
        <v>#VALUE!</v>
      </c>
      <c r="IC68" t="e">
        <f>AND(Sheet1!C916,"AAAAAH/tvew=")</f>
        <v>#VALUE!</v>
      </c>
      <c r="ID68" t="e">
        <f>AND(Sheet1!D916,"AAAAAH/tve0=")</f>
        <v>#VALUE!</v>
      </c>
      <c r="IE68" t="e">
        <f>AND(Sheet1!E916,"AAAAAH/tve4=")</f>
        <v>#VALUE!</v>
      </c>
      <c r="IF68" t="e">
        <f>AND(Sheet1!F916,"AAAAAH/tve8=")</f>
        <v>#VALUE!</v>
      </c>
      <c r="IG68" t="e">
        <f>AND(Sheet1!G916,"AAAAAH/tvfA=")</f>
        <v>#VALUE!</v>
      </c>
      <c r="IH68" t="e">
        <f>AND(Sheet1!H916,"AAAAAH/tvfE=")</f>
        <v>#VALUE!</v>
      </c>
      <c r="II68" t="e">
        <f>AND(Sheet1!I916,"AAAAAH/tvfI=")</f>
        <v>#VALUE!</v>
      </c>
      <c r="IJ68" t="e">
        <f>AND(Sheet1!J916,"AAAAAH/tvfM=")</f>
        <v>#VALUE!</v>
      </c>
      <c r="IK68" t="e">
        <f>AND(Sheet1!K916,"AAAAAH/tvfQ=")</f>
        <v>#VALUE!</v>
      </c>
      <c r="IL68" t="e">
        <f>AND(Sheet1!L916,"AAAAAH/tvfU=")</f>
        <v>#VALUE!</v>
      </c>
      <c r="IM68" t="e">
        <f>AND(Sheet1!M916,"AAAAAH/tvfY=")</f>
        <v>#VALUE!</v>
      </c>
      <c r="IN68" t="e">
        <f>AND(Sheet1!N916,"AAAAAH/tvfc=")</f>
        <v>#VALUE!</v>
      </c>
      <c r="IO68" t="e">
        <f>AND(Sheet1!#REF!,"AAAAAH/tvfg=")</f>
        <v>#REF!</v>
      </c>
      <c r="IP68" t="e">
        <f>AND(Sheet1!#REF!,"AAAAAH/tvfk=")</f>
        <v>#REF!</v>
      </c>
      <c r="IQ68" t="e">
        <f>AND(Sheet1!#REF!,"AAAAAH/tvfo=")</f>
        <v>#REF!</v>
      </c>
      <c r="IR68" t="e">
        <f>AND(Sheet1!#REF!,"AAAAAH/tvfs=")</f>
        <v>#REF!</v>
      </c>
      <c r="IS68">
        <f>IF(Sheet1!917:917,"AAAAAH/tvfw=",0)</f>
        <v>0</v>
      </c>
      <c r="IT68" t="e">
        <f>AND(Sheet1!A917,"AAAAAH/tvf0=")</f>
        <v>#VALUE!</v>
      </c>
      <c r="IU68" t="e">
        <f>AND(Sheet1!B917,"AAAAAH/tvf4=")</f>
        <v>#VALUE!</v>
      </c>
      <c r="IV68" t="e">
        <f>AND(Sheet1!C917,"AAAAAH/tvf8=")</f>
        <v>#VALUE!</v>
      </c>
    </row>
    <row r="69" spans="1:256" x14ac:dyDescent="0.2">
      <c r="A69" t="e">
        <f>AND(Sheet1!D917,"AAAAAB3/ywA=")</f>
        <v>#VALUE!</v>
      </c>
      <c r="B69" t="e">
        <f>AND(Sheet1!E917,"AAAAAB3/ywE=")</f>
        <v>#VALUE!</v>
      </c>
      <c r="C69" t="e">
        <f>AND(Sheet1!F917,"AAAAAB3/ywI=")</f>
        <v>#VALUE!</v>
      </c>
      <c r="D69" t="e">
        <f>AND(Sheet1!G917,"AAAAAB3/ywM=")</f>
        <v>#VALUE!</v>
      </c>
      <c r="E69" t="e">
        <f>AND(Sheet1!H917,"AAAAAB3/ywQ=")</f>
        <v>#VALUE!</v>
      </c>
      <c r="F69" t="e">
        <f>AND(Sheet1!I917,"AAAAAB3/ywU=")</f>
        <v>#VALUE!</v>
      </c>
      <c r="G69" t="e">
        <f>AND(Sheet1!J917,"AAAAAB3/ywY=")</f>
        <v>#VALUE!</v>
      </c>
      <c r="H69" t="e">
        <f>AND(Sheet1!K917,"AAAAAB3/ywc=")</f>
        <v>#VALUE!</v>
      </c>
      <c r="I69" t="e">
        <f>AND(Sheet1!L917,"AAAAAB3/ywg=")</f>
        <v>#VALUE!</v>
      </c>
      <c r="J69" t="e">
        <f>AND(Sheet1!M917,"AAAAAB3/ywk=")</f>
        <v>#VALUE!</v>
      </c>
      <c r="K69" t="e">
        <f>AND(Sheet1!N917,"AAAAAB3/ywo=")</f>
        <v>#VALUE!</v>
      </c>
      <c r="L69" t="e">
        <f>AND(Sheet1!#REF!,"AAAAAB3/yws=")</f>
        <v>#REF!</v>
      </c>
      <c r="M69" t="e">
        <f>AND(Sheet1!#REF!,"AAAAAB3/yww=")</f>
        <v>#REF!</v>
      </c>
      <c r="N69" t="e">
        <f>AND(Sheet1!#REF!,"AAAAAB3/yw0=")</f>
        <v>#REF!</v>
      </c>
      <c r="O69" t="e">
        <f>AND(Sheet1!#REF!,"AAAAAB3/yw4=")</f>
        <v>#REF!</v>
      </c>
      <c r="P69">
        <f>IF(Sheet1!918:918,"AAAAAB3/yw8=",0)</f>
        <v>0</v>
      </c>
      <c r="Q69" t="e">
        <f>AND(Sheet1!A918,"AAAAAB3/yxA=")</f>
        <v>#VALUE!</v>
      </c>
      <c r="R69" t="e">
        <f>AND(Sheet1!B918,"AAAAAB3/yxE=")</f>
        <v>#VALUE!</v>
      </c>
      <c r="S69" t="e">
        <f>AND(Sheet1!C918,"AAAAAB3/yxI=")</f>
        <v>#VALUE!</v>
      </c>
      <c r="T69" t="e">
        <f>AND(Sheet1!D918,"AAAAAB3/yxM=")</f>
        <v>#VALUE!</v>
      </c>
      <c r="U69" t="e">
        <f>AND(Sheet1!E918,"AAAAAB3/yxQ=")</f>
        <v>#VALUE!</v>
      </c>
      <c r="V69" t="e">
        <f>AND(Sheet1!F918,"AAAAAB3/yxU=")</f>
        <v>#VALUE!</v>
      </c>
      <c r="W69" t="e">
        <f>AND(Sheet1!G918,"AAAAAB3/yxY=")</f>
        <v>#VALUE!</v>
      </c>
      <c r="X69" t="e">
        <f>AND(Sheet1!H918,"AAAAAB3/yxc=")</f>
        <v>#VALUE!</v>
      </c>
      <c r="Y69" t="e">
        <f>AND(Sheet1!I918,"AAAAAB3/yxg=")</f>
        <v>#VALUE!</v>
      </c>
      <c r="Z69" t="e">
        <f>AND(Sheet1!J918,"AAAAAB3/yxk=")</f>
        <v>#VALUE!</v>
      </c>
      <c r="AA69" t="e">
        <f>AND(Sheet1!K918,"AAAAAB3/yxo=")</f>
        <v>#VALUE!</v>
      </c>
      <c r="AB69" t="e">
        <f>AND(Sheet1!L918,"AAAAAB3/yxs=")</f>
        <v>#VALUE!</v>
      </c>
      <c r="AC69" t="e">
        <f>AND(Sheet1!M918,"AAAAAB3/yxw=")</f>
        <v>#VALUE!</v>
      </c>
      <c r="AD69" t="e">
        <f>AND(Sheet1!N918,"AAAAAB3/yx0=")</f>
        <v>#VALUE!</v>
      </c>
      <c r="AE69" t="e">
        <f>AND(Sheet1!#REF!,"AAAAAB3/yx4=")</f>
        <v>#REF!</v>
      </c>
      <c r="AF69" t="e">
        <f>AND(Sheet1!#REF!,"AAAAAB3/yx8=")</f>
        <v>#REF!</v>
      </c>
      <c r="AG69" t="e">
        <f>AND(Sheet1!#REF!,"AAAAAB3/yyA=")</f>
        <v>#REF!</v>
      </c>
      <c r="AH69" t="e">
        <f>AND(Sheet1!#REF!,"AAAAAB3/yyE=")</f>
        <v>#REF!</v>
      </c>
      <c r="AI69">
        <f>IF(Sheet1!919:919,"AAAAAB3/yyI=",0)</f>
        <v>0</v>
      </c>
      <c r="AJ69" t="e">
        <f>AND(Sheet1!A919,"AAAAAB3/yyM=")</f>
        <v>#VALUE!</v>
      </c>
      <c r="AK69" t="e">
        <f>AND(Sheet1!B919,"AAAAAB3/yyQ=")</f>
        <v>#VALUE!</v>
      </c>
      <c r="AL69" t="e">
        <f>AND(Sheet1!C919,"AAAAAB3/yyU=")</f>
        <v>#VALUE!</v>
      </c>
      <c r="AM69" t="e">
        <f>AND(Sheet1!D919,"AAAAAB3/yyY=")</f>
        <v>#VALUE!</v>
      </c>
      <c r="AN69" t="e">
        <f>AND(Sheet1!E919,"AAAAAB3/yyc=")</f>
        <v>#VALUE!</v>
      </c>
      <c r="AO69" t="e">
        <f>AND(Sheet1!F919,"AAAAAB3/yyg=")</f>
        <v>#VALUE!</v>
      </c>
      <c r="AP69" t="e">
        <f>AND(Sheet1!G919,"AAAAAB3/yyk=")</f>
        <v>#VALUE!</v>
      </c>
      <c r="AQ69" t="e">
        <f>AND(Sheet1!H919,"AAAAAB3/yyo=")</f>
        <v>#VALUE!</v>
      </c>
      <c r="AR69" t="e">
        <f>AND(Sheet1!I919,"AAAAAB3/yys=")</f>
        <v>#VALUE!</v>
      </c>
      <c r="AS69" t="e">
        <f>AND(Sheet1!J919,"AAAAAB3/yyw=")</f>
        <v>#VALUE!</v>
      </c>
      <c r="AT69" t="e">
        <f>AND(Sheet1!K919,"AAAAAB3/yy0=")</f>
        <v>#VALUE!</v>
      </c>
      <c r="AU69" t="e">
        <f>AND(Sheet1!L919,"AAAAAB3/yy4=")</f>
        <v>#VALUE!</v>
      </c>
      <c r="AV69" t="e">
        <f>AND(Sheet1!M919,"AAAAAB3/yy8=")</f>
        <v>#VALUE!</v>
      </c>
      <c r="AW69" t="e">
        <f>AND(Sheet1!N919,"AAAAAB3/yzA=")</f>
        <v>#VALUE!</v>
      </c>
      <c r="AX69" t="e">
        <f>AND(Sheet1!#REF!,"AAAAAB3/yzE=")</f>
        <v>#REF!</v>
      </c>
      <c r="AY69" t="e">
        <f>AND(Sheet1!#REF!,"AAAAAB3/yzI=")</f>
        <v>#REF!</v>
      </c>
      <c r="AZ69" t="e">
        <f>AND(Sheet1!#REF!,"AAAAAB3/yzM=")</f>
        <v>#REF!</v>
      </c>
      <c r="BA69" t="e">
        <f>AND(Sheet1!#REF!,"AAAAAB3/yzQ=")</f>
        <v>#REF!</v>
      </c>
      <c r="BB69">
        <f>IF(Sheet1!920:920,"AAAAAB3/yzU=",0)</f>
        <v>0</v>
      </c>
      <c r="BC69" t="e">
        <f>AND(Sheet1!A920,"AAAAAB3/yzY=")</f>
        <v>#VALUE!</v>
      </c>
      <c r="BD69" t="e">
        <f>AND(Sheet1!B920,"AAAAAB3/yzc=")</f>
        <v>#VALUE!</v>
      </c>
      <c r="BE69" t="e">
        <f>AND(Sheet1!C920,"AAAAAB3/yzg=")</f>
        <v>#VALUE!</v>
      </c>
      <c r="BF69" t="e">
        <f>AND(Sheet1!D920,"AAAAAB3/yzk=")</f>
        <v>#VALUE!</v>
      </c>
      <c r="BG69" t="e">
        <f>AND(Sheet1!E920,"AAAAAB3/yzo=")</f>
        <v>#VALUE!</v>
      </c>
      <c r="BH69" t="e">
        <f>AND(Sheet1!F920,"AAAAAB3/yzs=")</f>
        <v>#VALUE!</v>
      </c>
      <c r="BI69" t="e">
        <f>AND(Sheet1!G920,"AAAAAB3/yzw=")</f>
        <v>#VALUE!</v>
      </c>
      <c r="BJ69" t="e">
        <f>AND(Sheet1!H920,"AAAAAB3/yz0=")</f>
        <v>#VALUE!</v>
      </c>
      <c r="BK69" t="e">
        <f>AND(Sheet1!I920,"AAAAAB3/yz4=")</f>
        <v>#VALUE!</v>
      </c>
      <c r="BL69" t="e">
        <f>AND(Sheet1!J920,"AAAAAB3/yz8=")</f>
        <v>#VALUE!</v>
      </c>
      <c r="BM69" t="e">
        <f>AND(Sheet1!K920,"AAAAAB3/y0A=")</f>
        <v>#VALUE!</v>
      </c>
      <c r="BN69" t="e">
        <f>AND(Sheet1!L920,"AAAAAB3/y0E=")</f>
        <v>#VALUE!</v>
      </c>
      <c r="BO69" t="e">
        <f>AND(Sheet1!M920,"AAAAAB3/y0I=")</f>
        <v>#VALUE!</v>
      </c>
      <c r="BP69" t="e">
        <f>AND(Sheet1!N920,"AAAAAB3/y0M=")</f>
        <v>#VALUE!</v>
      </c>
      <c r="BQ69" t="e">
        <f>AND(Sheet1!#REF!,"AAAAAB3/y0Q=")</f>
        <v>#REF!</v>
      </c>
      <c r="BR69" t="e">
        <f>AND(Sheet1!#REF!,"AAAAAB3/y0U=")</f>
        <v>#REF!</v>
      </c>
      <c r="BS69" t="e">
        <f>AND(Sheet1!#REF!,"AAAAAB3/y0Y=")</f>
        <v>#REF!</v>
      </c>
      <c r="BT69" t="e">
        <f>AND(Sheet1!#REF!,"AAAAAB3/y0c=")</f>
        <v>#REF!</v>
      </c>
      <c r="BU69">
        <f>IF(Sheet1!921:921,"AAAAAB3/y0g=",0)</f>
        <v>0</v>
      </c>
      <c r="BV69" t="e">
        <f>AND(Sheet1!A921,"AAAAAB3/y0k=")</f>
        <v>#VALUE!</v>
      </c>
      <c r="BW69" t="e">
        <f>AND(Sheet1!B921,"AAAAAB3/y0o=")</f>
        <v>#VALUE!</v>
      </c>
      <c r="BX69" t="e">
        <f>AND(Sheet1!C921,"AAAAAB3/y0s=")</f>
        <v>#VALUE!</v>
      </c>
      <c r="BY69" t="e">
        <f>AND(Sheet1!D921,"AAAAAB3/y0w=")</f>
        <v>#VALUE!</v>
      </c>
      <c r="BZ69" t="e">
        <f>AND(Sheet1!E921,"AAAAAB3/y00=")</f>
        <v>#VALUE!</v>
      </c>
      <c r="CA69" t="e">
        <f>AND(Sheet1!F921,"AAAAAB3/y04=")</f>
        <v>#VALUE!</v>
      </c>
      <c r="CB69" t="e">
        <f>AND(Sheet1!G921,"AAAAAB3/y08=")</f>
        <v>#VALUE!</v>
      </c>
      <c r="CC69" t="e">
        <f>AND(Sheet1!H921,"AAAAAB3/y1A=")</f>
        <v>#VALUE!</v>
      </c>
      <c r="CD69" t="e">
        <f>AND(Sheet1!I921,"AAAAAB3/y1E=")</f>
        <v>#VALUE!</v>
      </c>
      <c r="CE69" t="e">
        <f>AND(Sheet1!J921,"AAAAAB3/y1I=")</f>
        <v>#VALUE!</v>
      </c>
      <c r="CF69" t="e">
        <f>AND(Sheet1!K921,"AAAAAB3/y1M=")</f>
        <v>#VALUE!</v>
      </c>
      <c r="CG69" t="e">
        <f>AND(Sheet1!L921,"AAAAAB3/y1Q=")</f>
        <v>#VALUE!</v>
      </c>
      <c r="CH69" t="e">
        <f>AND(Sheet1!M921,"AAAAAB3/y1U=")</f>
        <v>#VALUE!</v>
      </c>
      <c r="CI69" t="e">
        <f>AND(Sheet1!N921,"AAAAAB3/y1Y=")</f>
        <v>#VALUE!</v>
      </c>
      <c r="CJ69" t="e">
        <f>AND(Sheet1!#REF!,"AAAAAB3/y1c=")</f>
        <v>#REF!</v>
      </c>
      <c r="CK69" t="e">
        <f>AND(Sheet1!#REF!,"AAAAAB3/y1g=")</f>
        <v>#REF!</v>
      </c>
      <c r="CL69" t="e">
        <f>AND(Sheet1!#REF!,"AAAAAB3/y1k=")</f>
        <v>#REF!</v>
      </c>
      <c r="CM69" t="e">
        <f>AND(Sheet1!#REF!,"AAAAAB3/y1o=")</f>
        <v>#REF!</v>
      </c>
      <c r="CN69">
        <f>IF(Sheet1!922:922,"AAAAAB3/y1s=",0)</f>
        <v>0</v>
      </c>
      <c r="CO69" t="e">
        <f>AND(Sheet1!A922,"AAAAAB3/y1w=")</f>
        <v>#VALUE!</v>
      </c>
      <c r="CP69" t="e">
        <f>AND(Sheet1!B922,"AAAAAB3/y10=")</f>
        <v>#VALUE!</v>
      </c>
      <c r="CQ69" t="e">
        <f>AND(Sheet1!C922,"AAAAAB3/y14=")</f>
        <v>#VALUE!</v>
      </c>
      <c r="CR69" t="e">
        <f>AND(Sheet1!D922,"AAAAAB3/y18=")</f>
        <v>#VALUE!</v>
      </c>
      <c r="CS69" t="e">
        <f>AND(Sheet1!E922,"AAAAAB3/y2A=")</f>
        <v>#VALUE!</v>
      </c>
      <c r="CT69" t="e">
        <f>AND(Sheet1!F922,"AAAAAB3/y2E=")</f>
        <v>#VALUE!</v>
      </c>
      <c r="CU69" t="e">
        <f>AND(Sheet1!G922,"AAAAAB3/y2I=")</f>
        <v>#VALUE!</v>
      </c>
      <c r="CV69" t="e">
        <f>AND(Sheet1!H922,"AAAAAB3/y2M=")</f>
        <v>#VALUE!</v>
      </c>
      <c r="CW69" t="e">
        <f>AND(Sheet1!I922,"AAAAAB3/y2Q=")</f>
        <v>#VALUE!</v>
      </c>
      <c r="CX69" t="e">
        <f>AND(Sheet1!J922,"AAAAAB3/y2U=")</f>
        <v>#VALUE!</v>
      </c>
      <c r="CY69" t="e">
        <f>AND(Sheet1!K922,"AAAAAB3/y2Y=")</f>
        <v>#VALUE!</v>
      </c>
      <c r="CZ69" t="e">
        <f>AND(Sheet1!L922,"AAAAAB3/y2c=")</f>
        <v>#VALUE!</v>
      </c>
      <c r="DA69" t="e">
        <f>AND(Sheet1!M922,"AAAAAB3/y2g=")</f>
        <v>#VALUE!</v>
      </c>
      <c r="DB69" t="e">
        <f>AND(Sheet1!N922,"AAAAAB3/y2k=")</f>
        <v>#VALUE!</v>
      </c>
      <c r="DC69" t="e">
        <f>AND(Sheet1!#REF!,"AAAAAB3/y2o=")</f>
        <v>#REF!</v>
      </c>
      <c r="DD69" t="e">
        <f>AND(Sheet1!#REF!,"AAAAAB3/y2s=")</f>
        <v>#REF!</v>
      </c>
      <c r="DE69" t="e">
        <f>AND(Sheet1!#REF!,"AAAAAB3/y2w=")</f>
        <v>#REF!</v>
      </c>
      <c r="DF69" t="e">
        <f>AND(Sheet1!#REF!,"AAAAAB3/y20=")</f>
        <v>#REF!</v>
      </c>
      <c r="DG69">
        <f>IF(Sheet1!923:923,"AAAAAB3/y24=",0)</f>
        <v>0</v>
      </c>
      <c r="DH69" t="e">
        <f>AND(Sheet1!A923,"AAAAAB3/y28=")</f>
        <v>#VALUE!</v>
      </c>
      <c r="DI69" t="e">
        <f>AND(Sheet1!B923,"AAAAAB3/y3A=")</f>
        <v>#VALUE!</v>
      </c>
      <c r="DJ69" t="e">
        <f>AND(Sheet1!C923,"AAAAAB3/y3E=")</f>
        <v>#VALUE!</v>
      </c>
      <c r="DK69" t="e">
        <f>AND(Sheet1!D923,"AAAAAB3/y3I=")</f>
        <v>#VALUE!</v>
      </c>
      <c r="DL69" t="e">
        <f>AND(Sheet1!E923,"AAAAAB3/y3M=")</f>
        <v>#VALUE!</v>
      </c>
      <c r="DM69" t="e">
        <f>AND(Sheet1!F923,"AAAAAB3/y3Q=")</f>
        <v>#VALUE!</v>
      </c>
      <c r="DN69" t="e">
        <f>AND(Sheet1!G923,"AAAAAB3/y3U=")</f>
        <v>#VALUE!</v>
      </c>
      <c r="DO69" t="e">
        <f>AND(Sheet1!H923,"AAAAAB3/y3Y=")</f>
        <v>#VALUE!</v>
      </c>
      <c r="DP69" t="e">
        <f>AND(Sheet1!I923,"AAAAAB3/y3c=")</f>
        <v>#VALUE!</v>
      </c>
      <c r="DQ69" t="e">
        <f>AND(Sheet1!J923,"AAAAAB3/y3g=")</f>
        <v>#VALUE!</v>
      </c>
      <c r="DR69" t="e">
        <f>AND(Sheet1!K923,"AAAAAB3/y3k=")</f>
        <v>#VALUE!</v>
      </c>
      <c r="DS69" t="e">
        <f>AND(Sheet1!L923,"AAAAAB3/y3o=")</f>
        <v>#VALUE!</v>
      </c>
      <c r="DT69" t="e">
        <f>AND(Sheet1!M923,"AAAAAB3/y3s=")</f>
        <v>#VALUE!</v>
      </c>
      <c r="DU69" t="e">
        <f>AND(Sheet1!N923,"AAAAAB3/y3w=")</f>
        <v>#VALUE!</v>
      </c>
      <c r="DV69" t="e">
        <f>AND(Sheet1!#REF!,"AAAAAB3/y30=")</f>
        <v>#REF!</v>
      </c>
      <c r="DW69" t="e">
        <f>AND(Sheet1!#REF!,"AAAAAB3/y34=")</f>
        <v>#REF!</v>
      </c>
      <c r="DX69" t="e">
        <f>AND(Sheet1!#REF!,"AAAAAB3/y38=")</f>
        <v>#REF!</v>
      </c>
      <c r="DY69" t="e">
        <f>AND(Sheet1!#REF!,"AAAAAB3/y4A=")</f>
        <v>#REF!</v>
      </c>
      <c r="DZ69">
        <f>IF(Sheet1!924:924,"AAAAAB3/y4E=",0)</f>
        <v>0</v>
      </c>
      <c r="EA69" t="e">
        <f>AND(Sheet1!A924,"AAAAAB3/y4I=")</f>
        <v>#VALUE!</v>
      </c>
      <c r="EB69" t="e">
        <f>AND(Sheet1!B924,"AAAAAB3/y4M=")</f>
        <v>#VALUE!</v>
      </c>
      <c r="EC69" t="e">
        <f>AND(Sheet1!C924,"AAAAAB3/y4Q=")</f>
        <v>#VALUE!</v>
      </c>
      <c r="ED69" t="e">
        <f>AND(Sheet1!D924,"AAAAAB3/y4U=")</f>
        <v>#VALUE!</v>
      </c>
      <c r="EE69" t="e">
        <f>AND(Sheet1!E924,"AAAAAB3/y4Y=")</f>
        <v>#VALUE!</v>
      </c>
      <c r="EF69" t="e">
        <f>AND(Sheet1!F924,"AAAAAB3/y4c=")</f>
        <v>#VALUE!</v>
      </c>
      <c r="EG69" t="e">
        <f>AND(Sheet1!G924,"AAAAAB3/y4g=")</f>
        <v>#VALUE!</v>
      </c>
      <c r="EH69" t="e">
        <f>AND(Sheet1!H924,"AAAAAB3/y4k=")</f>
        <v>#VALUE!</v>
      </c>
      <c r="EI69" t="e">
        <f>AND(Sheet1!I924,"AAAAAB3/y4o=")</f>
        <v>#VALUE!</v>
      </c>
      <c r="EJ69" t="e">
        <f>AND(Sheet1!J924,"AAAAAB3/y4s=")</f>
        <v>#VALUE!</v>
      </c>
      <c r="EK69" t="e">
        <f>AND(Sheet1!K924,"AAAAAB3/y4w=")</f>
        <v>#VALUE!</v>
      </c>
      <c r="EL69" t="e">
        <f>AND(Sheet1!L924,"AAAAAB3/y40=")</f>
        <v>#VALUE!</v>
      </c>
      <c r="EM69" t="e">
        <f>AND(Sheet1!M924,"AAAAAB3/y44=")</f>
        <v>#VALUE!</v>
      </c>
      <c r="EN69" t="e">
        <f>AND(Sheet1!N924,"AAAAAB3/y48=")</f>
        <v>#VALUE!</v>
      </c>
      <c r="EO69" t="e">
        <f>AND(Sheet1!#REF!,"AAAAAB3/y5A=")</f>
        <v>#REF!</v>
      </c>
      <c r="EP69" t="e">
        <f>AND(Sheet1!#REF!,"AAAAAB3/y5E=")</f>
        <v>#REF!</v>
      </c>
      <c r="EQ69" t="e">
        <f>AND(Sheet1!#REF!,"AAAAAB3/y5I=")</f>
        <v>#REF!</v>
      </c>
      <c r="ER69" t="e">
        <f>AND(Sheet1!#REF!,"AAAAAB3/y5M=")</f>
        <v>#REF!</v>
      </c>
      <c r="ES69">
        <f>IF(Sheet1!925:925,"AAAAAB3/y5Q=",0)</f>
        <v>0</v>
      </c>
      <c r="ET69" t="e">
        <f>AND(Sheet1!A925,"AAAAAB3/y5U=")</f>
        <v>#VALUE!</v>
      </c>
      <c r="EU69" t="e">
        <f>AND(Sheet1!B925,"AAAAAB3/y5Y=")</f>
        <v>#VALUE!</v>
      </c>
      <c r="EV69" t="e">
        <f>AND(Sheet1!C925,"AAAAAB3/y5c=")</f>
        <v>#VALUE!</v>
      </c>
      <c r="EW69" t="e">
        <f>AND(Sheet1!D925,"AAAAAB3/y5g=")</f>
        <v>#VALUE!</v>
      </c>
      <c r="EX69" t="e">
        <f>AND(Sheet1!E925,"AAAAAB3/y5k=")</f>
        <v>#VALUE!</v>
      </c>
      <c r="EY69" t="e">
        <f>AND(Sheet1!F925,"AAAAAB3/y5o=")</f>
        <v>#VALUE!</v>
      </c>
      <c r="EZ69" t="e">
        <f>AND(Sheet1!G925,"AAAAAB3/y5s=")</f>
        <v>#VALUE!</v>
      </c>
      <c r="FA69" t="e">
        <f>AND(Sheet1!H925,"AAAAAB3/y5w=")</f>
        <v>#VALUE!</v>
      </c>
      <c r="FB69" t="e">
        <f>AND(Sheet1!I925,"AAAAAB3/y50=")</f>
        <v>#VALUE!</v>
      </c>
      <c r="FC69" t="e">
        <f>AND(Sheet1!J925,"AAAAAB3/y54=")</f>
        <v>#VALUE!</v>
      </c>
      <c r="FD69" t="e">
        <f>AND(Sheet1!K925,"AAAAAB3/y58=")</f>
        <v>#VALUE!</v>
      </c>
      <c r="FE69" t="e">
        <f>AND(Sheet1!L925,"AAAAAB3/y6A=")</f>
        <v>#VALUE!</v>
      </c>
      <c r="FF69" t="e">
        <f>AND(Sheet1!M925,"AAAAAB3/y6E=")</f>
        <v>#VALUE!</v>
      </c>
      <c r="FG69" t="e">
        <f>AND(Sheet1!N925,"AAAAAB3/y6I=")</f>
        <v>#VALUE!</v>
      </c>
      <c r="FH69" t="e">
        <f>AND(Sheet1!#REF!,"AAAAAB3/y6M=")</f>
        <v>#REF!</v>
      </c>
      <c r="FI69" t="e">
        <f>AND(Sheet1!#REF!,"AAAAAB3/y6Q=")</f>
        <v>#REF!</v>
      </c>
      <c r="FJ69" t="e">
        <f>AND(Sheet1!#REF!,"AAAAAB3/y6U=")</f>
        <v>#REF!</v>
      </c>
      <c r="FK69" t="e">
        <f>AND(Sheet1!#REF!,"AAAAAB3/y6Y=")</f>
        <v>#REF!</v>
      </c>
      <c r="FL69">
        <f>IF(Sheet1!926:926,"AAAAAB3/y6c=",0)</f>
        <v>0</v>
      </c>
      <c r="FM69" t="e">
        <f>AND(Sheet1!A926,"AAAAAB3/y6g=")</f>
        <v>#VALUE!</v>
      </c>
      <c r="FN69" t="e">
        <f>AND(Sheet1!B926,"AAAAAB3/y6k=")</f>
        <v>#VALUE!</v>
      </c>
      <c r="FO69" t="e">
        <f>AND(Sheet1!C926,"AAAAAB3/y6o=")</f>
        <v>#VALUE!</v>
      </c>
      <c r="FP69" t="e">
        <f>AND(Sheet1!D926,"AAAAAB3/y6s=")</f>
        <v>#VALUE!</v>
      </c>
      <c r="FQ69" t="e">
        <f>AND(Sheet1!E926,"AAAAAB3/y6w=")</f>
        <v>#VALUE!</v>
      </c>
      <c r="FR69" t="e">
        <f>AND(Sheet1!F926,"AAAAAB3/y60=")</f>
        <v>#VALUE!</v>
      </c>
      <c r="FS69" t="e">
        <f>AND(Sheet1!G926,"AAAAAB3/y64=")</f>
        <v>#VALUE!</v>
      </c>
      <c r="FT69" t="e">
        <f>AND(Sheet1!H926,"AAAAAB3/y68=")</f>
        <v>#VALUE!</v>
      </c>
      <c r="FU69" t="e">
        <f>AND(Sheet1!I926,"AAAAAB3/y7A=")</f>
        <v>#VALUE!</v>
      </c>
      <c r="FV69" t="e">
        <f>AND(Sheet1!J926,"AAAAAB3/y7E=")</f>
        <v>#VALUE!</v>
      </c>
      <c r="FW69" t="e">
        <f>AND(Sheet1!K926,"AAAAAB3/y7I=")</f>
        <v>#VALUE!</v>
      </c>
      <c r="FX69" t="e">
        <f>AND(Sheet1!L926,"AAAAAB3/y7M=")</f>
        <v>#VALUE!</v>
      </c>
      <c r="FY69" t="e">
        <f>AND(Sheet1!M926,"AAAAAB3/y7Q=")</f>
        <v>#VALUE!</v>
      </c>
      <c r="FZ69" t="e">
        <f>AND(Sheet1!N926,"AAAAAB3/y7U=")</f>
        <v>#VALUE!</v>
      </c>
      <c r="GA69" t="e">
        <f>AND(Sheet1!#REF!,"AAAAAB3/y7Y=")</f>
        <v>#REF!</v>
      </c>
      <c r="GB69" t="e">
        <f>AND(Sheet1!#REF!,"AAAAAB3/y7c=")</f>
        <v>#REF!</v>
      </c>
      <c r="GC69" t="e">
        <f>AND(Sheet1!#REF!,"AAAAAB3/y7g=")</f>
        <v>#REF!</v>
      </c>
      <c r="GD69" t="e">
        <f>AND(Sheet1!#REF!,"AAAAAB3/y7k=")</f>
        <v>#REF!</v>
      </c>
      <c r="GE69">
        <f>IF(Sheet1!927:927,"AAAAAB3/y7o=",0)</f>
        <v>0</v>
      </c>
      <c r="GF69" t="e">
        <f>AND(Sheet1!A927,"AAAAAB3/y7s=")</f>
        <v>#VALUE!</v>
      </c>
      <c r="GG69" t="e">
        <f>AND(Sheet1!B927,"AAAAAB3/y7w=")</f>
        <v>#VALUE!</v>
      </c>
      <c r="GH69" t="e">
        <f>AND(Sheet1!C927,"AAAAAB3/y70=")</f>
        <v>#VALUE!</v>
      </c>
      <c r="GI69" t="e">
        <f>AND(Sheet1!D927,"AAAAAB3/y74=")</f>
        <v>#VALUE!</v>
      </c>
      <c r="GJ69" t="e">
        <f>AND(Sheet1!E927,"AAAAAB3/y78=")</f>
        <v>#VALUE!</v>
      </c>
      <c r="GK69" t="e">
        <f>AND(Sheet1!F927,"AAAAAB3/y8A=")</f>
        <v>#VALUE!</v>
      </c>
      <c r="GL69" t="e">
        <f>AND(Sheet1!G927,"AAAAAB3/y8E=")</f>
        <v>#VALUE!</v>
      </c>
      <c r="GM69" t="e">
        <f>AND(Sheet1!H927,"AAAAAB3/y8I=")</f>
        <v>#VALUE!</v>
      </c>
      <c r="GN69" t="e">
        <f>AND(Sheet1!I927,"AAAAAB3/y8M=")</f>
        <v>#VALUE!</v>
      </c>
      <c r="GO69" t="e">
        <f>AND(Sheet1!J927,"AAAAAB3/y8Q=")</f>
        <v>#VALUE!</v>
      </c>
      <c r="GP69" t="e">
        <f>AND(Sheet1!K927,"AAAAAB3/y8U=")</f>
        <v>#VALUE!</v>
      </c>
      <c r="GQ69" t="e">
        <f>AND(Sheet1!L927,"AAAAAB3/y8Y=")</f>
        <v>#VALUE!</v>
      </c>
      <c r="GR69" t="e">
        <f>AND(Sheet1!M927,"AAAAAB3/y8c=")</f>
        <v>#VALUE!</v>
      </c>
      <c r="GS69" t="e">
        <f>AND(Sheet1!N927,"AAAAAB3/y8g=")</f>
        <v>#VALUE!</v>
      </c>
      <c r="GT69" t="e">
        <f>AND(Sheet1!#REF!,"AAAAAB3/y8k=")</f>
        <v>#REF!</v>
      </c>
      <c r="GU69" t="e">
        <f>AND(Sheet1!#REF!,"AAAAAB3/y8o=")</f>
        <v>#REF!</v>
      </c>
      <c r="GV69" t="e">
        <f>AND(Sheet1!#REF!,"AAAAAB3/y8s=")</f>
        <v>#REF!</v>
      </c>
      <c r="GW69" t="e">
        <f>AND(Sheet1!#REF!,"AAAAAB3/y8w=")</f>
        <v>#REF!</v>
      </c>
      <c r="GX69">
        <f>IF(Sheet1!928:928,"AAAAAB3/y80=",0)</f>
        <v>0</v>
      </c>
      <c r="GY69" t="e">
        <f>AND(Sheet1!A928,"AAAAAB3/y84=")</f>
        <v>#VALUE!</v>
      </c>
      <c r="GZ69" t="e">
        <f>AND(Sheet1!B928,"AAAAAB3/y88=")</f>
        <v>#VALUE!</v>
      </c>
      <c r="HA69" t="e">
        <f>AND(Sheet1!C928,"AAAAAB3/y9A=")</f>
        <v>#VALUE!</v>
      </c>
      <c r="HB69" t="e">
        <f>AND(Sheet1!D928,"AAAAAB3/y9E=")</f>
        <v>#VALUE!</v>
      </c>
      <c r="HC69" t="e">
        <f>AND(Sheet1!E928,"AAAAAB3/y9I=")</f>
        <v>#VALUE!</v>
      </c>
      <c r="HD69" t="e">
        <f>AND(Sheet1!F928,"AAAAAB3/y9M=")</f>
        <v>#VALUE!</v>
      </c>
      <c r="HE69" t="e">
        <f>AND(Sheet1!G928,"AAAAAB3/y9Q=")</f>
        <v>#VALUE!</v>
      </c>
      <c r="HF69" t="e">
        <f>AND(Sheet1!H928,"AAAAAB3/y9U=")</f>
        <v>#VALUE!</v>
      </c>
      <c r="HG69" t="e">
        <f>AND(Sheet1!I928,"AAAAAB3/y9Y=")</f>
        <v>#VALUE!</v>
      </c>
      <c r="HH69" t="e">
        <f>AND(Sheet1!J928,"AAAAAB3/y9c=")</f>
        <v>#VALUE!</v>
      </c>
      <c r="HI69" t="e">
        <f>AND(Sheet1!K928,"AAAAAB3/y9g=")</f>
        <v>#VALUE!</v>
      </c>
      <c r="HJ69" t="e">
        <f>AND(Sheet1!L928,"AAAAAB3/y9k=")</f>
        <v>#VALUE!</v>
      </c>
      <c r="HK69" t="e">
        <f>AND(Sheet1!M928,"AAAAAB3/y9o=")</f>
        <v>#VALUE!</v>
      </c>
      <c r="HL69" t="e">
        <f>AND(Sheet1!N928,"AAAAAB3/y9s=")</f>
        <v>#VALUE!</v>
      </c>
      <c r="HM69" t="e">
        <f>AND(Sheet1!#REF!,"AAAAAB3/y9w=")</f>
        <v>#REF!</v>
      </c>
      <c r="HN69" t="e">
        <f>AND(Sheet1!#REF!,"AAAAAB3/y90=")</f>
        <v>#REF!</v>
      </c>
      <c r="HO69" t="e">
        <f>AND(Sheet1!#REF!,"AAAAAB3/y94=")</f>
        <v>#REF!</v>
      </c>
      <c r="HP69" t="e">
        <f>AND(Sheet1!#REF!,"AAAAAB3/y98=")</f>
        <v>#REF!</v>
      </c>
      <c r="HQ69">
        <f>IF(Sheet1!929:929,"AAAAAB3/y+A=",0)</f>
        <v>0</v>
      </c>
      <c r="HR69" t="e">
        <f>AND(Sheet1!A929,"AAAAAB3/y+E=")</f>
        <v>#VALUE!</v>
      </c>
      <c r="HS69" t="e">
        <f>AND(Sheet1!B929,"AAAAAB3/y+I=")</f>
        <v>#VALUE!</v>
      </c>
      <c r="HT69" t="e">
        <f>AND(Sheet1!C929,"AAAAAB3/y+M=")</f>
        <v>#VALUE!</v>
      </c>
      <c r="HU69" t="e">
        <f>AND(Sheet1!D929,"AAAAAB3/y+Q=")</f>
        <v>#VALUE!</v>
      </c>
      <c r="HV69" t="e">
        <f>AND(Sheet1!E929,"AAAAAB3/y+U=")</f>
        <v>#VALUE!</v>
      </c>
      <c r="HW69" t="e">
        <f>AND(Sheet1!F929,"AAAAAB3/y+Y=")</f>
        <v>#VALUE!</v>
      </c>
      <c r="HX69" t="e">
        <f>AND(Sheet1!G929,"AAAAAB3/y+c=")</f>
        <v>#VALUE!</v>
      </c>
      <c r="HY69" t="e">
        <f>AND(Sheet1!H929,"AAAAAB3/y+g=")</f>
        <v>#VALUE!</v>
      </c>
      <c r="HZ69" t="e">
        <f>AND(Sheet1!I929,"AAAAAB3/y+k=")</f>
        <v>#VALUE!</v>
      </c>
      <c r="IA69" t="e">
        <f>AND(Sheet1!J929,"AAAAAB3/y+o=")</f>
        <v>#VALUE!</v>
      </c>
      <c r="IB69" t="e">
        <f>AND(Sheet1!K929,"AAAAAB3/y+s=")</f>
        <v>#VALUE!</v>
      </c>
      <c r="IC69" t="e">
        <f>AND(Sheet1!L929,"AAAAAB3/y+w=")</f>
        <v>#VALUE!</v>
      </c>
      <c r="ID69" t="e">
        <f>AND(Sheet1!M929,"AAAAAB3/y+0=")</f>
        <v>#VALUE!</v>
      </c>
      <c r="IE69" t="e">
        <f>AND(Sheet1!N929,"AAAAAB3/y+4=")</f>
        <v>#VALUE!</v>
      </c>
      <c r="IF69" t="e">
        <f>AND(Sheet1!#REF!,"AAAAAB3/y+8=")</f>
        <v>#REF!</v>
      </c>
      <c r="IG69" t="e">
        <f>AND(Sheet1!#REF!,"AAAAAB3/y/A=")</f>
        <v>#REF!</v>
      </c>
      <c r="IH69" t="e">
        <f>AND(Sheet1!#REF!,"AAAAAB3/y/E=")</f>
        <v>#REF!</v>
      </c>
      <c r="II69" t="e">
        <f>AND(Sheet1!#REF!,"AAAAAB3/y/I=")</f>
        <v>#REF!</v>
      </c>
      <c r="IJ69">
        <f>IF(Sheet1!930:930,"AAAAAB3/y/M=",0)</f>
        <v>0</v>
      </c>
      <c r="IK69" t="e">
        <f>AND(Sheet1!A930,"AAAAAB3/y/Q=")</f>
        <v>#VALUE!</v>
      </c>
      <c r="IL69" t="e">
        <f>AND(Sheet1!B930,"AAAAAB3/y/U=")</f>
        <v>#VALUE!</v>
      </c>
      <c r="IM69" t="e">
        <f>AND(Sheet1!C930,"AAAAAB3/y/Y=")</f>
        <v>#VALUE!</v>
      </c>
      <c r="IN69" t="e">
        <f>AND(Sheet1!D930,"AAAAAB3/y/c=")</f>
        <v>#VALUE!</v>
      </c>
      <c r="IO69" t="e">
        <f>AND(Sheet1!E930,"AAAAAB3/y/g=")</f>
        <v>#VALUE!</v>
      </c>
      <c r="IP69" t="e">
        <f>AND(Sheet1!F930,"AAAAAB3/y/k=")</f>
        <v>#VALUE!</v>
      </c>
      <c r="IQ69" t="e">
        <f>AND(Sheet1!G930,"AAAAAB3/y/o=")</f>
        <v>#VALUE!</v>
      </c>
      <c r="IR69" t="e">
        <f>AND(Sheet1!H930,"AAAAAB3/y/s=")</f>
        <v>#VALUE!</v>
      </c>
      <c r="IS69" t="e">
        <f>AND(Sheet1!I930,"AAAAAB3/y/w=")</f>
        <v>#VALUE!</v>
      </c>
      <c r="IT69" t="e">
        <f>AND(Sheet1!J930,"AAAAAB3/y/0=")</f>
        <v>#VALUE!</v>
      </c>
      <c r="IU69" t="e">
        <f>AND(Sheet1!K930,"AAAAAB3/y/4=")</f>
        <v>#VALUE!</v>
      </c>
      <c r="IV69" t="e">
        <f>AND(Sheet1!L930,"AAAAAB3/y/8=")</f>
        <v>#VALUE!</v>
      </c>
    </row>
    <row r="70" spans="1:256" x14ac:dyDescent="0.2">
      <c r="A70" t="e">
        <f>AND(Sheet1!M930,"AAAAAD2lrwA=")</f>
        <v>#VALUE!</v>
      </c>
      <c r="B70" t="e">
        <f>AND(Sheet1!N930,"AAAAAD2lrwE=")</f>
        <v>#VALUE!</v>
      </c>
      <c r="C70" t="e">
        <f>AND(Sheet1!#REF!,"AAAAAD2lrwI=")</f>
        <v>#REF!</v>
      </c>
      <c r="D70" t="e">
        <f>AND(Sheet1!#REF!,"AAAAAD2lrwM=")</f>
        <v>#REF!</v>
      </c>
      <c r="E70" t="e">
        <f>AND(Sheet1!#REF!,"AAAAAD2lrwQ=")</f>
        <v>#REF!</v>
      </c>
      <c r="F70" t="e">
        <f>AND(Sheet1!#REF!,"AAAAAD2lrwU=")</f>
        <v>#REF!</v>
      </c>
      <c r="G70" t="str">
        <f>IF(Sheet1!931:931,"AAAAAD2lrwY=",0)</f>
        <v>AAAAAD2lrwY=</v>
      </c>
      <c r="H70" t="e">
        <f>AND(Sheet1!A931,"AAAAAD2lrwc=")</f>
        <v>#VALUE!</v>
      </c>
      <c r="I70" t="e">
        <f>AND(Sheet1!B931,"AAAAAD2lrwg=")</f>
        <v>#VALUE!</v>
      </c>
      <c r="J70" t="e">
        <f>AND(Sheet1!C931,"AAAAAD2lrwk=")</f>
        <v>#VALUE!</v>
      </c>
      <c r="K70" t="e">
        <f>AND(Sheet1!D931,"AAAAAD2lrwo=")</f>
        <v>#VALUE!</v>
      </c>
      <c r="L70" t="e">
        <f>AND(Sheet1!E931,"AAAAAD2lrws=")</f>
        <v>#VALUE!</v>
      </c>
      <c r="M70" t="e">
        <f>AND(Sheet1!F931,"AAAAAD2lrww=")</f>
        <v>#VALUE!</v>
      </c>
      <c r="N70" t="e">
        <f>AND(Sheet1!G931,"AAAAAD2lrw0=")</f>
        <v>#VALUE!</v>
      </c>
      <c r="O70" t="e">
        <f>AND(Sheet1!H931,"AAAAAD2lrw4=")</f>
        <v>#VALUE!</v>
      </c>
      <c r="P70" t="e">
        <f>AND(Sheet1!I931,"AAAAAD2lrw8=")</f>
        <v>#VALUE!</v>
      </c>
      <c r="Q70" t="e">
        <f>AND(Sheet1!J931,"AAAAAD2lrxA=")</f>
        <v>#VALUE!</v>
      </c>
      <c r="R70" t="e">
        <f>AND(Sheet1!K931,"AAAAAD2lrxE=")</f>
        <v>#VALUE!</v>
      </c>
      <c r="S70" t="e">
        <f>AND(Sheet1!L931,"AAAAAD2lrxI=")</f>
        <v>#VALUE!</v>
      </c>
      <c r="T70" t="e">
        <f>AND(Sheet1!M931,"AAAAAD2lrxM=")</f>
        <v>#VALUE!</v>
      </c>
      <c r="U70" t="e">
        <f>AND(Sheet1!N931,"AAAAAD2lrxQ=")</f>
        <v>#VALUE!</v>
      </c>
      <c r="V70" t="e">
        <f>AND(Sheet1!#REF!,"AAAAAD2lrxU=")</f>
        <v>#REF!</v>
      </c>
      <c r="W70" t="e">
        <f>AND(Sheet1!#REF!,"AAAAAD2lrxY=")</f>
        <v>#REF!</v>
      </c>
      <c r="X70" t="e">
        <f>AND(Sheet1!#REF!,"AAAAAD2lrxc=")</f>
        <v>#REF!</v>
      </c>
      <c r="Y70" t="e">
        <f>AND(Sheet1!#REF!,"AAAAAD2lrxg=")</f>
        <v>#REF!</v>
      </c>
      <c r="Z70">
        <f>IF(Sheet1!932:932,"AAAAAD2lrxk=",0)</f>
        <v>0</v>
      </c>
      <c r="AA70" t="e">
        <f>AND(Sheet1!A932,"AAAAAD2lrxo=")</f>
        <v>#VALUE!</v>
      </c>
      <c r="AB70" t="e">
        <f>AND(Sheet1!B932,"AAAAAD2lrxs=")</f>
        <v>#VALUE!</v>
      </c>
      <c r="AC70" t="e">
        <f>AND(Sheet1!C932,"AAAAAD2lrxw=")</f>
        <v>#VALUE!</v>
      </c>
      <c r="AD70" t="e">
        <f>AND(Sheet1!D932,"AAAAAD2lrx0=")</f>
        <v>#VALUE!</v>
      </c>
      <c r="AE70" t="e">
        <f>AND(Sheet1!E932,"AAAAAD2lrx4=")</f>
        <v>#VALUE!</v>
      </c>
      <c r="AF70" t="e">
        <f>AND(Sheet1!F932,"AAAAAD2lrx8=")</f>
        <v>#VALUE!</v>
      </c>
      <c r="AG70" t="e">
        <f>AND(Sheet1!G932,"AAAAAD2lryA=")</f>
        <v>#VALUE!</v>
      </c>
      <c r="AH70" t="e">
        <f>AND(Sheet1!H932,"AAAAAD2lryE=")</f>
        <v>#VALUE!</v>
      </c>
      <c r="AI70" t="e">
        <f>AND(Sheet1!I932,"AAAAAD2lryI=")</f>
        <v>#VALUE!</v>
      </c>
      <c r="AJ70" t="e">
        <f>AND(Sheet1!J932,"AAAAAD2lryM=")</f>
        <v>#VALUE!</v>
      </c>
      <c r="AK70" t="e">
        <f>AND(Sheet1!K932,"AAAAAD2lryQ=")</f>
        <v>#VALUE!</v>
      </c>
      <c r="AL70" t="e">
        <f>AND(Sheet1!L932,"AAAAAD2lryU=")</f>
        <v>#VALUE!</v>
      </c>
      <c r="AM70" t="e">
        <f>AND(Sheet1!M932,"AAAAAD2lryY=")</f>
        <v>#VALUE!</v>
      </c>
      <c r="AN70" t="e">
        <f>AND(Sheet1!N932,"AAAAAD2lryc=")</f>
        <v>#VALUE!</v>
      </c>
      <c r="AO70" t="e">
        <f>AND(Sheet1!#REF!,"AAAAAD2lryg=")</f>
        <v>#REF!</v>
      </c>
      <c r="AP70" t="e">
        <f>AND(Sheet1!#REF!,"AAAAAD2lryk=")</f>
        <v>#REF!</v>
      </c>
      <c r="AQ70" t="e">
        <f>AND(Sheet1!#REF!,"AAAAAD2lryo=")</f>
        <v>#REF!</v>
      </c>
      <c r="AR70" t="e">
        <f>AND(Sheet1!#REF!,"AAAAAD2lrys=")</f>
        <v>#REF!</v>
      </c>
      <c r="AS70">
        <f>IF(Sheet1!933:933,"AAAAAD2lryw=",0)</f>
        <v>0</v>
      </c>
      <c r="AT70" t="e">
        <f>AND(Sheet1!A933,"AAAAAD2lry0=")</f>
        <v>#VALUE!</v>
      </c>
      <c r="AU70" t="e">
        <f>AND(Sheet1!B933,"AAAAAD2lry4=")</f>
        <v>#VALUE!</v>
      </c>
      <c r="AV70" t="e">
        <f>AND(Sheet1!C933,"AAAAAD2lry8=")</f>
        <v>#VALUE!</v>
      </c>
      <c r="AW70" t="e">
        <f>AND(Sheet1!D933,"AAAAAD2lrzA=")</f>
        <v>#VALUE!</v>
      </c>
      <c r="AX70" t="e">
        <f>AND(Sheet1!E933,"AAAAAD2lrzE=")</f>
        <v>#VALUE!</v>
      </c>
      <c r="AY70" t="e">
        <f>AND(Sheet1!F933,"AAAAAD2lrzI=")</f>
        <v>#VALUE!</v>
      </c>
      <c r="AZ70" t="e">
        <f>AND(Sheet1!G933,"AAAAAD2lrzM=")</f>
        <v>#VALUE!</v>
      </c>
      <c r="BA70" t="e">
        <f>AND(Sheet1!H933,"AAAAAD2lrzQ=")</f>
        <v>#VALUE!</v>
      </c>
      <c r="BB70" t="e">
        <f>AND(Sheet1!I933,"AAAAAD2lrzU=")</f>
        <v>#VALUE!</v>
      </c>
      <c r="BC70" t="e">
        <f>AND(Sheet1!J933,"AAAAAD2lrzY=")</f>
        <v>#VALUE!</v>
      </c>
      <c r="BD70" t="e">
        <f>AND(Sheet1!K933,"AAAAAD2lrzc=")</f>
        <v>#VALUE!</v>
      </c>
      <c r="BE70" t="e">
        <f>AND(Sheet1!L933,"AAAAAD2lrzg=")</f>
        <v>#VALUE!</v>
      </c>
      <c r="BF70" t="e">
        <f>AND(Sheet1!M933,"AAAAAD2lrzk=")</f>
        <v>#VALUE!</v>
      </c>
      <c r="BG70" t="e">
        <f>AND(Sheet1!N933,"AAAAAD2lrzo=")</f>
        <v>#VALUE!</v>
      </c>
      <c r="BH70" t="e">
        <f>AND(Sheet1!#REF!,"AAAAAD2lrzs=")</f>
        <v>#REF!</v>
      </c>
      <c r="BI70" t="e">
        <f>AND(Sheet1!#REF!,"AAAAAD2lrzw=")</f>
        <v>#REF!</v>
      </c>
      <c r="BJ70" t="e">
        <f>AND(Sheet1!#REF!,"AAAAAD2lrz0=")</f>
        <v>#REF!</v>
      </c>
      <c r="BK70" t="e">
        <f>AND(Sheet1!#REF!,"AAAAAD2lrz4=")</f>
        <v>#REF!</v>
      </c>
      <c r="BL70">
        <f>IF(Sheet1!934:934,"AAAAAD2lrz8=",0)</f>
        <v>0</v>
      </c>
      <c r="BM70" t="e">
        <f>AND(Sheet1!A934,"AAAAAD2lr0A=")</f>
        <v>#VALUE!</v>
      </c>
      <c r="BN70" t="e">
        <f>AND(Sheet1!B934,"AAAAAD2lr0E=")</f>
        <v>#VALUE!</v>
      </c>
      <c r="BO70" t="e">
        <f>AND(Sheet1!C934,"AAAAAD2lr0I=")</f>
        <v>#VALUE!</v>
      </c>
      <c r="BP70" t="e">
        <f>AND(Sheet1!D934,"AAAAAD2lr0M=")</f>
        <v>#VALUE!</v>
      </c>
      <c r="BQ70" t="e">
        <f>AND(Sheet1!E934,"AAAAAD2lr0Q=")</f>
        <v>#VALUE!</v>
      </c>
      <c r="BR70" t="e">
        <f>AND(Sheet1!F934,"AAAAAD2lr0U=")</f>
        <v>#VALUE!</v>
      </c>
      <c r="BS70" t="e">
        <f>AND(Sheet1!G934,"AAAAAD2lr0Y=")</f>
        <v>#VALUE!</v>
      </c>
      <c r="BT70" t="e">
        <f>AND(Sheet1!H934,"AAAAAD2lr0c=")</f>
        <v>#VALUE!</v>
      </c>
      <c r="BU70" t="e">
        <f>AND(Sheet1!I934,"AAAAAD2lr0g=")</f>
        <v>#VALUE!</v>
      </c>
      <c r="BV70" t="e">
        <f>AND(Sheet1!J934,"AAAAAD2lr0k=")</f>
        <v>#VALUE!</v>
      </c>
      <c r="BW70" t="e">
        <f>AND(Sheet1!K934,"AAAAAD2lr0o=")</f>
        <v>#VALUE!</v>
      </c>
      <c r="BX70" t="e">
        <f>AND(Sheet1!L934,"AAAAAD2lr0s=")</f>
        <v>#VALUE!</v>
      </c>
      <c r="BY70" t="e">
        <f>AND(Sheet1!M934,"AAAAAD2lr0w=")</f>
        <v>#VALUE!</v>
      </c>
      <c r="BZ70" t="e">
        <f>AND(Sheet1!N934,"AAAAAD2lr00=")</f>
        <v>#VALUE!</v>
      </c>
      <c r="CA70" t="e">
        <f>AND(Sheet1!#REF!,"AAAAAD2lr04=")</f>
        <v>#REF!</v>
      </c>
      <c r="CB70" t="e">
        <f>AND(Sheet1!#REF!,"AAAAAD2lr08=")</f>
        <v>#REF!</v>
      </c>
      <c r="CC70" t="e">
        <f>AND(Sheet1!#REF!,"AAAAAD2lr1A=")</f>
        <v>#REF!</v>
      </c>
      <c r="CD70" t="e">
        <f>AND(Sheet1!#REF!,"AAAAAD2lr1E=")</f>
        <v>#REF!</v>
      </c>
      <c r="CE70">
        <f>IF(Sheet1!935:935,"AAAAAD2lr1I=",0)</f>
        <v>0</v>
      </c>
      <c r="CF70" t="e">
        <f>AND(Sheet1!A935,"AAAAAD2lr1M=")</f>
        <v>#VALUE!</v>
      </c>
      <c r="CG70" t="e">
        <f>AND(Sheet1!B935,"AAAAAD2lr1Q=")</f>
        <v>#VALUE!</v>
      </c>
      <c r="CH70" t="e">
        <f>AND(Sheet1!C935,"AAAAAD2lr1U=")</f>
        <v>#VALUE!</v>
      </c>
      <c r="CI70" t="e">
        <f>AND(Sheet1!D935,"AAAAAD2lr1Y=")</f>
        <v>#VALUE!</v>
      </c>
      <c r="CJ70" t="e">
        <f>AND(Sheet1!E935,"AAAAAD2lr1c=")</f>
        <v>#VALUE!</v>
      </c>
      <c r="CK70" t="e">
        <f>AND(Sheet1!F935,"AAAAAD2lr1g=")</f>
        <v>#VALUE!</v>
      </c>
      <c r="CL70" t="e">
        <f>AND(Sheet1!G935,"AAAAAD2lr1k=")</f>
        <v>#VALUE!</v>
      </c>
      <c r="CM70" t="e">
        <f>AND(Sheet1!H935,"AAAAAD2lr1o=")</f>
        <v>#VALUE!</v>
      </c>
      <c r="CN70" t="e">
        <f>AND(Sheet1!I935,"AAAAAD2lr1s=")</f>
        <v>#VALUE!</v>
      </c>
      <c r="CO70" t="e">
        <f>AND(Sheet1!J935,"AAAAAD2lr1w=")</f>
        <v>#VALUE!</v>
      </c>
      <c r="CP70" t="e">
        <f>AND(Sheet1!K935,"AAAAAD2lr10=")</f>
        <v>#VALUE!</v>
      </c>
      <c r="CQ70" t="e">
        <f>AND(Sheet1!L935,"AAAAAD2lr14=")</f>
        <v>#VALUE!</v>
      </c>
      <c r="CR70" t="e">
        <f>AND(Sheet1!M935,"AAAAAD2lr18=")</f>
        <v>#VALUE!</v>
      </c>
      <c r="CS70" t="e">
        <f>AND(Sheet1!N935,"AAAAAD2lr2A=")</f>
        <v>#VALUE!</v>
      </c>
      <c r="CT70" t="e">
        <f>AND(Sheet1!#REF!,"AAAAAD2lr2E=")</f>
        <v>#REF!</v>
      </c>
      <c r="CU70" t="e">
        <f>AND(Sheet1!#REF!,"AAAAAD2lr2I=")</f>
        <v>#REF!</v>
      </c>
      <c r="CV70" t="e">
        <f>AND(Sheet1!#REF!,"AAAAAD2lr2M=")</f>
        <v>#REF!</v>
      </c>
      <c r="CW70" t="e">
        <f>AND(Sheet1!#REF!,"AAAAAD2lr2Q=")</f>
        <v>#REF!</v>
      </c>
      <c r="CX70">
        <f>IF(Sheet1!936:936,"AAAAAD2lr2U=",0)</f>
        <v>0</v>
      </c>
      <c r="CY70" t="e">
        <f>AND(Sheet1!A936,"AAAAAD2lr2Y=")</f>
        <v>#VALUE!</v>
      </c>
      <c r="CZ70" t="e">
        <f>AND(Sheet1!B936,"AAAAAD2lr2c=")</f>
        <v>#VALUE!</v>
      </c>
      <c r="DA70" t="e">
        <f>AND(Sheet1!C936,"AAAAAD2lr2g=")</f>
        <v>#VALUE!</v>
      </c>
      <c r="DB70" t="e">
        <f>AND(Sheet1!D936,"AAAAAD2lr2k=")</f>
        <v>#VALUE!</v>
      </c>
      <c r="DC70" t="e">
        <f>AND(Sheet1!E936,"AAAAAD2lr2o=")</f>
        <v>#VALUE!</v>
      </c>
      <c r="DD70" t="e">
        <f>AND(Sheet1!F936,"AAAAAD2lr2s=")</f>
        <v>#VALUE!</v>
      </c>
      <c r="DE70" t="e">
        <f>AND(Sheet1!G936,"AAAAAD2lr2w=")</f>
        <v>#VALUE!</v>
      </c>
      <c r="DF70" t="e">
        <f>AND(Sheet1!H936,"AAAAAD2lr20=")</f>
        <v>#VALUE!</v>
      </c>
      <c r="DG70" t="e">
        <f>AND(Sheet1!I936,"AAAAAD2lr24=")</f>
        <v>#VALUE!</v>
      </c>
      <c r="DH70" t="e">
        <f>AND(Sheet1!J936,"AAAAAD2lr28=")</f>
        <v>#VALUE!</v>
      </c>
      <c r="DI70" t="e">
        <f>AND(Sheet1!K936,"AAAAAD2lr3A=")</f>
        <v>#VALUE!</v>
      </c>
      <c r="DJ70" t="e">
        <f>AND(Sheet1!L936,"AAAAAD2lr3E=")</f>
        <v>#VALUE!</v>
      </c>
      <c r="DK70" t="e">
        <f>AND(Sheet1!M936,"AAAAAD2lr3I=")</f>
        <v>#VALUE!</v>
      </c>
      <c r="DL70" t="e">
        <f>AND(Sheet1!N936,"AAAAAD2lr3M=")</f>
        <v>#VALUE!</v>
      </c>
      <c r="DM70" t="e">
        <f>AND(Sheet1!#REF!,"AAAAAD2lr3Q=")</f>
        <v>#REF!</v>
      </c>
      <c r="DN70" t="e">
        <f>AND(Sheet1!#REF!,"AAAAAD2lr3U=")</f>
        <v>#REF!</v>
      </c>
      <c r="DO70" t="e">
        <f>AND(Sheet1!#REF!,"AAAAAD2lr3Y=")</f>
        <v>#REF!</v>
      </c>
      <c r="DP70" t="e">
        <f>AND(Sheet1!#REF!,"AAAAAD2lr3c=")</f>
        <v>#REF!</v>
      </c>
      <c r="DQ70">
        <f>IF(Sheet1!937:937,"AAAAAD2lr3g=",0)</f>
        <v>0</v>
      </c>
      <c r="DR70" t="e">
        <f>AND(Sheet1!A937,"AAAAAD2lr3k=")</f>
        <v>#VALUE!</v>
      </c>
      <c r="DS70" t="e">
        <f>AND(Sheet1!B937,"AAAAAD2lr3o=")</f>
        <v>#VALUE!</v>
      </c>
      <c r="DT70" t="e">
        <f>AND(Sheet1!C937,"AAAAAD2lr3s=")</f>
        <v>#VALUE!</v>
      </c>
      <c r="DU70" t="e">
        <f>AND(Sheet1!D937,"AAAAAD2lr3w=")</f>
        <v>#VALUE!</v>
      </c>
      <c r="DV70" t="e">
        <f>AND(Sheet1!E937,"AAAAAD2lr30=")</f>
        <v>#VALUE!</v>
      </c>
      <c r="DW70" t="e">
        <f>AND(Sheet1!F937,"AAAAAD2lr34=")</f>
        <v>#VALUE!</v>
      </c>
      <c r="DX70" t="e">
        <f>AND(Sheet1!G937,"AAAAAD2lr38=")</f>
        <v>#VALUE!</v>
      </c>
      <c r="DY70" t="e">
        <f>AND(Sheet1!H937,"AAAAAD2lr4A=")</f>
        <v>#VALUE!</v>
      </c>
      <c r="DZ70" t="e">
        <f>AND(Sheet1!I937,"AAAAAD2lr4E=")</f>
        <v>#VALUE!</v>
      </c>
      <c r="EA70" t="e">
        <f>AND(Sheet1!J937,"AAAAAD2lr4I=")</f>
        <v>#VALUE!</v>
      </c>
      <c r="EB70" t="e">
        <f>AND(Sheet1!K937,"AAAAAD2lr4M=")</f>
        <v>#VALUE!</v>
      </c>
      <c r="EC70" t="e">
        <f>AND(Sheet1!L937,"AAAAAD2lr4Q=")</f>
        <v>#VALUE!</v>
      </c>
      <c r="ED70" t="e">
        <f>AND(Sheet1!M937,"AAAAAD2lr4U=")</f>
        <v>#VALUE!</v>
      </c>
      <c r="EE70" t="e">
        <f>AND(Sheet1!N937,"AAAAAD2lr4Y=")</f>
        <v>#VALUE!</v>
      </c>
      <c r="EF70" t="e">
        <f>AND(Sheet1!#REF!,"AAAAAD2lr4c=")</f>
        <v>#REF!</v>
      </c>
      <c r="EG70" t="e">
        <f>AND(Sheet1!#REF!,"AAAAAD2lr4g=")</f>
        <v>#REF!</v>
      </c>
      <c r="EH70" t="e">
        <f>AND(Sheet1!#REF!,"AAAAAD2lr4k=")</f>
        <v>#REF!</v>
      </c>
      <c r="EI70" t="e">
        <f>AND(Sheet1!#REF!,"AAAAAD2lr4o=")</f>
        <v>#REF!</v>
      </c>
      <c r="EJ70">
        <f>IF(Sheet1!938:938,"AAAAAD2lr4s=",0)</f>
        <v>0</v>
      </c>
      <c r="EK70" t="e">
        <f>AND(Sheet1!A938,"AAAAAD2lr4w=")</f>
        <v>#VALUE!</v>
      </c>
      <c r="EL70" t="e">
        <f>AND(Sheet1!B938,"AAAAAD2lr40=")</f>
        <v>#VALUE!</v>
      </c>
      <c r="EM70" t="e">
        <f>AND(Sheet1!C938,"AAAAAD2lr44=")</f>
        <v>#VALUE!</v>
      </c>
      <c r="EN70" t="e">
        <f>AND(Sheet1!D938,"AAAAAD2lr48=")</f>
        <v>#VALUE!</v>
      </c>
      <c r="EO70" t="e">
        <f>AND(Sheet1!E938,"AAAAAD2lr5A=")</f>
        <v>#VALUE!</v>
      </c>
      <c r="EP70" t="e">
        <f>AND(Sheet1!F938,"AAAAAD2lr5E=")</f>
        <v>#VALUE!</v>
      </c>
      <c r="EQ70" t="e">
        <f>AND(Sheet1!G938,"AAAAAD2lr5I=")</f>
        <v>#VALUE!</v>
      </c>
      <c r="ER70" t="e">
        <f>AND(Sheet1!H938,"AAAAAD2lr5M=")</f>
        <v>#VALUE!</v>
      </c>
      <c r="ES70" t="e">
        <f>AND(Sheet1!I938,"AAAAAD2lr5Q=")</f>
        <v>#VALUE!</v>
      </c>
      <c r="ET70" t="e">
        <f>AND(Sheet1!J938,"AAAAAD2lr5U=")</f>
        <v>#VALUE!</v>
      </c>
      <c r="EU70" t="e">
        <f>AND(Sheet1!K938,"AAAAAD2lr5Y=")</f>
        <v>#VALUE!</v>
      </c>
      <c r="EV70" t="e">
        <f>AND(Sheet1!L938,"AAAAAD2lr5c=")</f>
        <v>#VALUE!</v>
      </c>
      <c r="EW70" t="e">
        <f>AND(Sheet1!M938,"AAAAAD2lr5g=")</f>
        <v>#VALUE!</v>
      </c>
      <c r="EX70" t="e">
        <f>AND(Sheet1!N938,"AAAAAD2lr5k=")</f>
        <v>#VALUE!</v>
      </c>
      <c r="EY70" t="e">
        <f>AND(Sheet1!#REF!,"AAAAAD2lr5o=")</f>
        <v>#REF!</v>
      </c>
      <c r="EZ70" t="e">
        <f>AND(Sheet1!#REF!,"AAAAAD2lr5s=")</f>
        <v>#REF!</v>
      </c>
      <c r="FA70" t="e">
        <f>AND(Sheet1!#REF!,"AAAAAD2lr5w=")</f>
        <v>#REF!</v>
      </c>
      <c r="FB70" t="e">
        <f>AND(Sheet1!#REF!,"AAAAAD2lr50=")</f>
        <v>#REF!</v>
      </c>
      <c r="FC70">
        <f>IF(Sheet1!939:939,"AAAAAD2lr54=",0)</f>
        <v>0</v>
      </c>
      <c r="FD70" t="e">
        <f>AND(Sheet1!A939,"AAAAAD2lr58=")</f>
        <v>#VALUE!</v>
      </c>
      <c r="FE70" t="e">
        <f>AND(Sheet1!B939,"AAAAAD2lr6A=")</f>
        <v>#VALUE!</v>
      </c>
      <c r="FF70" t="e">
        <f>AND(Sheet1!C939,"AAAAAD2lr6E=")</f>
        <v>#VALUE!</v>
      </c>
      <c r="FG70" t="e">
        <f>AND(Sheet1!D939,"AAAAAD2lr6I=")</f>
        <v>#VALUE!</v>
      </c>
      <c r="FH70" t="e">
        <f>AND(Sheet1!E939,"AAAAAD2lr6M=")</f>
        <v>#VALUE!</v>
      </c>
      <c r="FI70" t="e">
        <f>AND(Sheet1!F939,"AAAAAD2lr6Q=")</f>
        <v>#VALUE!</v>
      </c>
      <c r="FJ70" t="e">
        <f>AND(Sheet1!G939,"AAAAAD2lr6U=")</f>
        <v>#VALUE!</v>
      </c>
      <c r="FK70" t="e">
        <f>AND(Sheet1!H939,"AAAAAD2lr6Y=")</f>
        <v>#VALUE!</v>
      </c>
      <c r="FL70" t="e">
        <f>AND(Sheet1!I939,"AAAAAD2lr6c=")</f>
        <v>#VALUE!</v>
      </c>
      <c r="FM70" t="e">
        <f>AND(Sheet1!J939,"AAAAAD2lr6g=")</f>
        <v>#VALUE!</v>
      </c>
      <c r="FN70" t="e">
        <f>AND(Sheet1!K939,"AAAAAD2lr6k=")</f>
        <v>#VALUE!</v>
      </c>
      <c r="FO70" t="e">
        <f>AND(Sheet1!L939,"AAAAAD2lr6o=")</f>
        <v>#VALUE!</v>
      </c>
      <c r="FP70" t="e">
        <f>AND(Sheet1!M939,"AAAAAD2lr6s=")</f>
        <v>#VALUE!</v>
      </c>
      <c r="FQ70" t="e">
        <f>AND(Sheet1!N939,"AAAAAD2lr6w=")</f>
        <v>#VALUE!</v>
      </c>
      <c r="FR70" t="e">
        <f>AND(Sheet1!#REF!,"AAAAAD2lr60=")</f>
        <v>#REF!</v>
      </c>
      <c r="FS70" t="e">
        <f>AND(Sheet1!#REF!,"AAAAAD2lr64=")</f>
        <v>#REF!</v>
      </c>
      <c r="FT70" t="e">
        <f>AND(Sheet1!#REF!,"AAAAAD2lr68=")</f>
        <v>#REF!</v>
      </c>
      <c r="FU70" t="e">
        <f>AND(Sheet1!#REF!,"AAAAAD2lr7A=")</f>
        <v>#REF!</v>
      </c>
      <c r="FV70">
        <f>IF(Sheet1!940:940,"AAAAAD2lr7E=",0)</f>
        <v>0</v>
      </c>
      <c r="FW70" t="e">
        <f>AND(Sheet1!A940,"AAAAAD2lr7I=")</f>
        <v>#VALUE!</v>
      </c>
      <c r="FX70" t="e">
        <f>AND(Sheet1!B940,"AAAAAD2lr7M=")</f>
        <v>#VALUE!</v>
      </c>
      <c r="FY70" t="e">
        <f>AND(Sheet1!C940,"AAAAAD2lr7Q=")</f>
        <v>#VALUE!</v>
      </c>
      <c r="FZ70" t="e">
        <f>AND(Sheet1!D940,"AAAAAD2lr7U=")</f>
        <v>#VALUE!</v>
      </c>
      <c r="GA70" t="e">
        <f>AND(Sheet1!E940,"AAAAAD2lr7Y=")</f>
        <v>#VALUE!</v>
      </c>
      <c r="GB70" t="e">
        <f>AND(Sheet1!F940,"AAAAAD2lr7c=")</f>
        <v>#VALUE!</v>
      </c>
      <c r="GC70" t="e">
        <f>AND(Sheet1!G940,"AAAAAD2lr7g=")</f>
        <v>#VALUE!</v>
      </c>
      <c r="GD70" t="e">
        <f>AND(Sheet1!H940,"AAAAAD2lr7k=")</f>
        <v>#VALUE!</v>
      </c>
      <c r="GE70" t="e">
        <f>AND(Sheet1!I940,"AAAAAD2lr7o=")</f>
        <v>#VALUE!</v>
      </c>
      <c r="GF70" t="e">
        <f>AND(Sheet1!J940,"AAAAAD2lr7s=")</f>
        <v>#VALUE!</v>
      </c>
      <c r="GG70" t="e">
        <f>AND(Sheet1!K940,"AAAAAD2lr7w=")</f>
        <v>#VALUE!</v>
      </c>
      <c r="GH70" t="e">
        <f>AND(Sheet1!L940,"AAAAAD2lr70=")</f>
        <v>#VALUE!</v>
      </c>
      <c r="GI70" t="e">
        <f>AND(Sheet1!M940,"AAAAAD2lr74=")</f>
        <v>#VALUE!</v>
      </c>
      <c r="GJ70" t="e">
        <f>AND(Sheet1!N940,"AAAAAD2lr78=")</f>
        <v>#VALUE!</v>
      </c>
      <c r="GK70" t="e">
        <f>AND(Sheet1!#REF!,"AAAAAD2lr8A=")</f>
        <v>#REF!</v>
      </c>
      <c r="GL70" t="e">
        <f>AND(Sheet1!#REF!,"AAAAAD2lr8E=")</f>
        <v>#REF!</v>
      </c>
      <c r="GM70" t="e">
        <f>AND(Sheet1!#REF!,"AAAAAD2lr8I=")</f>
        <v>#REF!</v>
      </c>
      <c r="GN70" t="e">
        <f>AND(Sheet1!#REF!,"AAAAAD2lr8M=")</f>
        <v>#REF!</v>
      </c>
      <c r="GO70">
        <f>IF(Sheet1!941:941,"AAAAAD2lr8Q=",0)</f>
        <v>0</v>
      </c>
      <c r="GP70" t="e">
        <f>AND(Sheet1!A941,"AAAAAD2lr8U=")</f>
        <v>#VALUE!</v>
      </c>
      <c r="GQ70" t="e">
        <f>AND(Sheet1!B941,"AAAAAD2lr8Y=")</f>
        <v>#VALUE!</v>
      </c>
      <c r="GR70" t="e">
        <f>AND(Sheet1!C941,"AAAAAD2lr8c=")</f>
        <v>#VALUE!</v>
      </c>
      <c r="GS70" t="e">
        <f>AND(Sheet1!D941,"AAAAAD2lr8g=")</f>
        <v>#VALUE!</v>
      </c>
      <c r="GT70" t="e">
        <f>AND(Sheet1!E941,"AAAAAD2lr8k=")</f>
        <v>#VALUE!</v>
      </c>
      <c r="GU70" t="e">
        <f>AND(Sheet1!F941,"AAAAAD2lr8o=")</f>
        <v>#VALUE!</v>
      </c>
      <c r="GV70" t="e">
        <f>AND(Sheet1!G941,"AAAAAD2lr8s=")</f>
        <v>#VALUE!</v>
      </c>
      <c r="GW70" t="e">
        <f>AND(Sheet1!H941,"AAAAAD2lr8w=")</f>
        <v>#VALUE!</v>
      </c>
      <c r="GX70" t="e">
        <f>AND(Sheet1!I941,"AAAAAD2lr80=")</f>
        <v>#VALUE!</v>
      </c>
      <c r="GY70" t="e">
        <f>AND(Sheet1!J941,"AAAAAD2lr84=")</f>
        <v>#VALUE!</v>
      </c>
      <c r="GZ70" t="e">
        <f>AND(Sheet1!K941,"AAAAAD2lr88=")</f>
        <v>#VALUE!</v>
      </c>
      <c r="HA70" t="e">
        <f>AND(Sheet1!L941,"AAAAAD2lr9A=")</f>
        <v>#VALUE!</v>
      </c>
      <c r="HB70" t="e">
        <f>AND(Sheet1!M941,"AAAAAD2lr9E=")</f>
        <v>#VALUE!</v>
      </c>
      <c r="HC70" t="e">
        <f>AND(Sheet1!N941,"AAAAAD2lr9I=")</f>
        <v>#VALUE!</v>
      </c>
      <c r="HD70" t="e">
        <f>AND(Sheet1!#REF!,"AAAAAD2lr9M=")</f>
        <v>#REF!</v>
      </c>
      <c r="HE70" t="e">
        <f>AND(Sheet1!#REF!,"AAAAAD2lr9Q=")</f>
        <v>#REF!</v>
      </c>
      <c r="HF70" t="e">
        <f>AND(Sheet1!#REF!,"AAAAAD2lr9U=")</f>
        <v>#REF!</v>
      </c>
      <c r="HG70" t="e">
        <f>AND(Sheet1!#REF!,"AAAAAD2lr9Y=")</f>
        <v>#REF!</v>
      </c>
      <c r="HH70">
        <f>IF(Sheet1!942:942,"AAAAAD2lr9c=",0)</f>
        <v>0</v>
      </c>
      <c r="HI70" t="e">
        <f>AND(Sheet1!A942,"AAAAAD2lr9g=")</f>
        <v>#VALUE!</v>
      </c>
      <c r="HJ70" t="e">
        <f>AND(Sheet1!B942,"AAAAAD2lr9k=")</f>
        <v>#VALUE!</v>
      </c>
      <c r="HK70" t="e">
        <f>AND(Sheet1!C942,"AAAAAD2lr9o=")</f>
        <v>#VALUE!</v>
      </c>
      <c r="HL70" t="e">
        <f>AND(Sheet1!D942,"AAAAAD2lr9s=")</f>
        <v>#VALUE!</v>
      </c>
      <c r="HM70" t="e">
        <f>AND(Sheet1!E942,"AAAAAD2lr9w=")</f>
        <v>#VALUE!</v>
      </c>
      <c r="HN70" t="e">
        <f>AND(Sheet1!F942,"AAAAAD2lr90=")</f>
        <v>#VALUE!</v>
      </c>
      <c r="HO70" t="e">
        <f>AND(Sheet1!G942,"AAAAAD2lr94=")</f>
        <v>#VALUE!</v>
      </c>
      <c r="HP70" t="e">
        <f>AND(Sheet1!H942,"AAAAAD2lr98=")</f>
        <v>#VALUE!</v>
      </c>
      <c r="HQ70" t="e">
        <f>AND(Sheet1!I942,"AAAAAD2lr+A=")</f>
        <v>#VALUE!</v>
      </c>
      <c r="HR70" t="e">
        <f>AND(Sheet1!J942,"AAAAAD2lr+E=")</f>
        <v>#VALUE!</v>
      </c>
      <c r="HS70" t="e">
        <f>AND(Sheet1!K942,"AAAAAD2lr+I=")</f>
        <v>#VALUE!</v>
      </c>
      <c r="HT70" t="e">
        <f>AND(Sheet1!L942,"AAAAAD2lr+M=")</f>
        <v>#VALUE!</v>
      </c>
      <c r="HU70" t="e">
        <f>AND(Sheet1!M942,"AAAAAD2lr+Q=")</f>
        <v>#VALUE!</v>
      </c>
      <c r="HV70" t="e">
        <f>AND(Sheet1!N942,"AAAAAD2lr+U=")</f>
        <v>#VALUE!</v>
      </c>
      <c r="HW70" t="e">
        <f>AND(Sheet1!#REF!,"AAAAAD2lr+Y=")</f>
        <v>#REF!</v>
      </c>
      <c r="HX70" t="e">
        <f>AND(Sheet1!#REF!,"AAAAAD2lr+c=")</f>
        <v>#REF!</v>
      </c>
      <c r="HY70" t="e">
        <f>AND(Sheet1!#REF!,"AAAAAD2lr+g=")</f>
        <v>#REF!</v>
      </c>
      <c r="HZ70" t="e">
        <f>AND(Sheet1!#REF!,"AAAAAD2lr+k=")</f>
        <v>#REF!</v>
      </c>
      <c r="IA70">
        <f>IF(Sheet1!943:943,"AAAAAD2lr+o=",0)</f>
        <v>0</v>
      </c>
      <c r="IB70" t="e">
        <f>AND(Sheet1!A943,"AAAAAD2lr+s=")</f>
        <v>#VALUE!</v>
      </c>
      <c r="IC70" t="e">
        <f>AND(Sheet1!B943,"AAAAAD2lr+w=")</f>
        <v>#VALUE!</v>
      </c>
      <c r="ID70" t="e">
        <f>AND(Sheet1!C943,"AAAAAD2lr+0=")</f>
        <v>#VALUE!</v>
      </c>
      <c r="IE70" t="e">
        <f>AND(Sheet1!D943,"AAAAAD2lr+4=")</f>
        <v>#VALUE!</v>
      </c>
      <c r="IF70" t="e">
        <f>AND(Sheet1!E943,"AAAAAD2lr+8=")</f>
        <v>#VALUE!</v>
      </c>
      <c r="IG70" t="e">
        <f>AND(Sheet1!F943,"AAAAAD2lr/A=")</f>
        <v>#VALUE!</v>
      </c>
      <c r="IH70" t="e">
        <f>AND(Sheet1!G943,"AAAAAD2lr/E=")</f>
        <v>#VALUE!</v>
      </c>
      <c r="II70" t="e">
        <f>AND(Sheet1!H943,"AAAAAD2lr/I=")</f>
        <v>#VALUE!</v>
      </c>
      <c r="IJ70" t="e">
        <f>AND(Sheet1!I943,"AAAAAD2lr/M=")</f>
        <v>#VALUE!</v>
      </c>
      <c r="IK70" t="e">
        <f>AND(Sheet1!J943,"AAAAAD2lr/Q=")</f>
        <v>#VALUE!</v>
      </c>
      <c r="IL70" t="e">
        <f>AND(Sheet1!K943,"AAAAAD2lr/U=")</f>
        <v>#VALUE!</v>
      </c>
      <c r="IM70" t="e">
        <f>AND(Sheet1!L943,"AAAAAD2lr/Y=")</f>
        <v>#VALUE!</v>
      </c>
      <c r="IN70" t="e">
        <f>AND(Sheet1!M943,"AAAAAD2lr/c=")</f>
        <v>#VALUE!</v>
      </c>
      <c r="IO70" t="e">
        <f>AND(Sheet1!N943,"AAAAAD2lr/g=")</f>
        <v>#VALUE!</v>
      </c>
      <c r="IP70" t="e">
        <f>AND(Sheet1!#REF!,"AAAAAD2lr/k=")</f>
        <v>#REF!</v>
      </c>
      <c r="IQ70" t="e">
        <f>AND(Sheet1!#REF!,"AAAAAD2lr/o=")</f>
        <v>#REF!</v>
      </c>
      <c r="IR70" t="e">
        <f>AND(Sheet1!#REF!,"AAAAAD2lr/s=")</f>
        <v>#REF!</v>
      </c>
      <c r="IS70" t="e">
        <f>AND(Sheet1!#REF!,"AAAAAD2lr/w=")</f>
        <v>#REF!</v>
      </c>
      <c r="IT70">
        <f>IF(Sheet1!944:944,"AAAAAD2lr/0=",0)</f>
        <v>0</v>
      </c>
      <c r="IU70" t="e">
        <f>AND(Sheet1!A944,"AAAAAD2lr/4=")</f>
        <v>#VALUE!</v>
      </c>
      <c r="IV70" t="e">
        <f>AND(Sheet1!B944,"AAAAAD2lr/8=")</f>
        <v>#VALUE!</v>
      </c>
    </row>
    <row r="71" spans="1:256" x14ac:dyDescent="0.2">
      <c r="A71" t="e">
        <f>AND(Sheet1!C944,"AAAAAHbr7QA=")</f>
        <v>#VALUE!</v>
      </c>
      <c r="B71" t="e">
        <f>AND(Sheet1!D944,"AAAAAHbr7QE=")</f>
        <v>#VALUE!</v>
      </c>
      <c r="C71" t="e">
        <f>AND(Sheet1!E944,"AAAAAHbr7QI=")</f>
        <v>#VALUE!</v>
      </c>
      <c r="D71" t="e">
        <f>AND(Sheet1!F944,"AAAAAHbr7QM=")</f>
        <v>#VALUE!</v>
      </c>
      <c r="E71" t="e">
        <f>AND(Sheet1!G944,"AAAAAHbr7QQ=")</f>
        <v>#VALUE!</v>
      </c>
      <c r="F71" t="e">
        <f>AND(Sheet1!H944,"AAAAAHbr7QU=")</f>
        <v>#VALUE!</v>
      </c>
      <c r="G71" t="e">
        <f>AND(Sheet1!I944,"AAAAAHbr7QY=")</f>
        <v>#VALUE!</v>
      </c>
      <c r="H71" t="e">
        <f>AND(Sheet1!J944,"AAAAAHbr7Qc=")</f>
        <v>#VALUE!</v>
      </c>
      <c r="I71" t="e">
        <f>AND(Sheet1!K944,"AAAAAHbr7Qg=")</f>
        <v>#VALUE!</v>
      </c>
      <c r="J71" t="e">
        <f>AND(Sheet1!L944,"AAAAAHbr7Qk=")</f>
        <v>#VALUE!</v>
      </c>
      <c r="K71" t="e">
        <f>AND(Sheet1!M944,"AAAAAHbr7Qo=")</f>
        <v>#VALUE!</v>
      </c>
      <c r="L71" t="e">
        <f>AND(Sheet1!N944,"AAAAAHbr7Qs=")</f>
        <v>#VALUE!</v>
      </c>
      <c r="M71" t="e">
        <f>AND(Sheet1!#REF!,"AAAAAHbr7Qw=")</f>
        <v>#REF!</v>
      </c>
      <c r="N71" t="e">
        <f>AND(Sheet1!#REF!,"AAAAAHbr7Q0=")</f>
        <v>#REF!</v>
      </c>
      <c r="O71" t="e">
        <f>AND(Sheet1!#REF!,"AAAAAHbr7Q4=")</f>
        <v>#REF!</v>
      </c>
      <c r="P71" t="e">
        <f>AND(Sheet1!#REF!,"AAAAAHbr7Q8=")</f>
        <v>#REF!</v>
      </c>
      <c r="Q71">
        <f>IF(Sheet1!945:945,"AAAAAHbr7RA=",0)</f>
        <v>0</v>
      </c>
      <c r="R71" t="e">
        <f>AND(Sheet1!A945,"AAAAAHbr7RE=")</f>
        <v>#VALUE!</v>
      </c>
      <c r="S71" t="e">
        <f>AND(Sheet1!B945,"AAAAAHbr7RI=")</f>
        <v>#VALUE!</v>
      </c>
      <c r="T71" t="e">
        <f>AND(Sheet1!C945,"AAAAAHbr7RM=")</f>
        <v>#VALUE!</v>
      </c>
      <c r="U71" t="e">
        <f>AND(Sheet1!D945,"AAAAAHbr7RQ=")</f>
        <v>#VALUE!</v>
      </c>
      <c r="V71" t="e">
        <f>AND(Sheet1!E945,"AAAAAHbr7RU=")</f>
        <v>#VALUE!</v>
      </c>
      <c r="W71" t="e">
        <f>AND(Sheet1!F945,"AAAAAHbr7RY=")</f>
        <v>#VALUE!</v>
      </c>
      <c r="X71" t="e">
        <f>AND(Sheet1!G945,"AAAAAHbr7Rc=")</f>
        <v>#VALUE!</v>
      </c>
      <c r="Y71" t="e">
        <f>AND(Sheet1!H945,"AAAAAHbr7Rg=")</f>
        <v>#VALUE!</v>
      </c>
      <c r="Z71" t="e">
        <f>AND(Sheet1!I945,"AAAAAHbr7Rk=")</f>
        <v>#VALUE!</v>
      </c>
      <c r="AA71" t="e">
        <f>AND(Sheet1!J945,"AAAAAHbr7Ro=")</f>
        <v>#VALUE!</v>
      </c>
      <c r="AB71" t="e">
        <f>AND(Sheet1!K945,"AAAAAHbr7Rs=")</f>
        <v>#VALUE!</v>
      </c>
      <c r="AC71" t="e">
        <f>AND(Sheet1!L945,"AAAAAHbr7Rw=")</f>
        <v>#VALUE!</v>
      </c>
      <c r="AD71" t="e">
        <f>AND(Sheet1!M945,"AAAAAHbr7R0=")</f>
        <v>#VALUE!</v>
      </c>
      <c r="AE71" t="e">
        <f>AND(Sheet1!N945,"AAAAAHbr7R4=")</f>
        <v>#VALUE!</v>
      </c>
      <c r="AF71" t="e">
        <f>AND(Sheet1!#REF!,"AAAAAHbr7R8=")</f>
        <v>#REF!</v>
      </c>
      <c r="AG71" t="e">
        <f>AND(Sheet1!#REF!,"AAAAAHbr7SA=")</f>
        <v>#REF!</v>
      </c>
      <c r="AH71" t="e">
        <f>AND(Sheet1!#REF!,"AAAAAHbr7SE=")</f>
        <v>#REF!</v>
      </c>
      <c r="AI71" t="e">
        <f>AND(Sheet1!#REF!,"AAAAAHbr7SI=")</f>
        <v>#REF!</v>
      </c>
      <c r="AJ71">
        <f>IF(Sheet1!946:946,"AAAAAHbr7SM=",0)</f>
        <v>0</v>
      </c>
      <c r="AK71" t="e">
        <f>AND(Sheet1!A946,"AAAAAHbr7SQ=")</f>
        <v>#VALUE!</v>
      </c>
      <c r="AL71" t="e">
        <f>AND(Sheet1!B946,"AAAAAHbr7SU=")</f>
        <v>#VALUE!</v>
      </c>
      <c r="AM71" t="e">
        <f>AND(Sheet1!C946,"AAAAAHbr7SY=")</f>
        <v>#VALUE!</v>
      </c>
      <c r="AN71" t="e">
        <f>AND(Sheet1!D946,"AAAAAHbr7Sc=")</f>
        <v>#VALUE!</v>
      </c>
      <c r="AO71" t="e">
        <f>AND(Sheet1!E946,"AAAAAHbr7Sg=")</f>
        <v>#VALUE!</v>
      </c>
      <c r="AP71" t="e">
        <f>AND(Sheet1!F946,"AAAAAHbr7Sk=")</f>
        <v>#VALUE!</v>
      </c>
      <c r="AQ71" t="e">
        <f>AND(Sheet1!G946,"AAAAAHbr7So=")</f>
        <v>#VALUE!</v>
      </c>
      <c r="AR71" t="e">
        <f>AND(Sheet1!H946,"AAAAAHbr7Ss=")</f>
        <v>#VALUE!</v>
      </c>
      <c r="AS71" t="e">
        <f>AND(Sheet1!I946,"AAAAAHbr7Sw=")</f>
        <v>#VALUE!</v>
      </c>
      <c r="AT71" t="e">
        <f>AND(Sheet1!J946,"AAAAAHbr7S0=")</f>
        <v>#VALUE!</v>
      </c>
      <c r="AU71" t="e">
        <f>AND(Sheet1!K946,"AAAAAHbr7S4=")</f>
        <v>#VALUE!</v>
      </c>
      <c r="AV71" t="e">
        <f>AND(Sheet1!L946,"AAAAAHbr7S8=")</f>
        <v>#VALUE!</v>
      </c>
      <c r="AW71" t="e">
        <f>AND(Sheet1!M946,"AAAAAHbr7TA=")</f>
        <v>#VALUE!</v>
      </c>
      <c r="AX71" t="e">
        <f>AND(Sheet1!N946,"AAAAAHbr7TE=")</f>
        <v>#VALUE!</v>
      </c>
      <c r="AY71" t="e">
        <f>AND(Sheet1!#REF!,"AAAAAHbr7TI=")</f>
        <v>#REF!</v>
      </c>
      <c r="AZ71" t="e">
        <f>AND(Sheet1!#REF!,"AAAAAHbr7TM=")</f>
        <v>#REF!</v>
      </c>
      <c r="BA71" t="e">
        <f>AND(Sheet1!#REF!,"AAAAAHbr7TQ=")</f>
        <v>#REF!</v>
      </c>
      <c r="BB71" t="e">
        <f>AND(Sheet1!#REF!,"AAAAAHbr7TU=")</f>
        <v>#REF!</v>
      </c>
      <c r="BC71">
        <f>IF(Sheet1!947:947,"AAAAAHbr7TY=",0)</f>
        <v>0</v>
      </c>
      <c r="BD71" t="e">
        <f>AND(Sheet1!A947,"AAAAAHbr7Tc=")</f>
        <v>#VALUE!</v>
      </c>
      <c r="BE71" t="e">
        <f>AND(Sheet1!B947,"AAAAAHbr7Tg=")</f>
        <v>#VALUE!</v>
      </c>
      <c r="BF71" t="e">
        <f>AND(Sheet1!C947,"AAAAAHbr7Tk=")</f>
        <v>#VALUE!</v>
      </c>
      <c r="BG71" t="e">
        <f>AND(Sheet1!D947,"AAAAAHbr7To=")</f>
        <v>#VALUE!</v>
      </c>
      <c r="BH71" t="e">
        <f>AND(Sheet1!E947,"AAAAAHbr7Ts=")</f>
        <v>#VALUE!</v>
      </c>
      <c r="BI71" t="e">
        <f>AND(Sheet1!F947,"AAAAAHbr7Tw=")</f>
        <v>#VALUE!</v>
      </c>
      <c r="BJ71" t="e">
        <f>AND(Sheet1!G947,"AAAAAHbr7T0=")</f>
        <v>#VALUE!</v>
      </c>
      <c r="BK71" t="e">
        <f>AND(Sheet1!H947,"AAAAAHbr7T4=")</f>
        <v>#VALUE!</v>
      </c>
      <c r="BL71" t="e">
        <f>AND(Sheet1!I947,"AAAAAHbr7T8=")</f>
        <v>#VALUE!</v>
      </c>
      <c r="BM71" t="e">
        <f>AND(Sheet1!J947,"AAAAAHbr7UA=")</f>
        <v>#VALUE!</v>
      </c>
      <c r="BN71" t="e">
        <f>AND(Sheet1!K947,"AAAAAHbr7UE=")</f>
        <v>#VALUE!</v>
      </c>
      <c r="BO71" t="e">
        <f>AND(Sheet1!L947,"AAAAAHbr7UI=")</f>
        <v>#VALUE!</v>
      </c>
      <c r="BP71" t="e">
        <f>AND(Sheet1!M947,"AAAAAHbr7UM=")</f>
        <v>#VALUE!</v>
      </c>
      <c r="BQ71" t="e">
        <f>AND(Sheet1!N947,"AAAAAHbr7UQ=")</f>
        <v>#VALUE!</v>
      </c>
      <c r="BR71" t="e">
        <f>AND(Sheet1!#REF!,"AAAAAHbr7UU=")</f>
        <v>#REF!</v>
      </c>
      <c r="BS71" t="e">
        <f>AND(Sheet1!#REF!,"AAAAAHbr7UY=")</f>
        <v>#REF!</v>
      </c>
      <c r="BT71" t="e">
        <f>AND(Sheet1!#REF!,"AAAAAHbr7Uc=")</f>
        <v>#REF!</v>
      </c>
      <c r="BU71" t="e">
        <f>AND(Sheet1!#REF!,"AAAAAHbr7Ug=")</f>
        <v>#REF!</v>
      </c>
      <c r="BV71">
        <f>IF(Sheet1!948:948,"AAAAAHbr7Uk=",0)</f>
        <v>0</v>
      </c>
      <c r="BW71" t="e">
        <f>AND(Sheet1!A948,"AAAAAHbr7Uo=")</f>
        <v>#VALUE!</v>
      </c>
      <c r="BX71" t="e">
        <f>AND(Sheet1!B948,"AAAAAHbr7Us=")</f>
        <v>#VALUE!</v>
      </c>
      <c r="BY71" t="e">
        <f>AND(Sheet1!C948,"AAAAAHbr7Uw=")</f>
        <v>#VALUE!</v>
      </c>
      <c r="BZ71" t="e">
        <f>AND(Sheet1!D948,"AAAAAHbr7U0=")</f>
        <v>#VALUE!</v>
      </c>
      <c r="CA71" t="e">
        <f>AND(Sheet1!E948,"AAAAAHbr7U4=")</f>
        <v>#VALUE!</v>
      </c>
      <c r="CB71" t="e">
        <f>AND(Sheet1!F948,"AAAAAHbr7U8=")</f>
        <v>#VALUE!</v>
      </c>
      <c r="CC71" t="e">
        <f>AND(Sheet1!G948,"AAAAAHbr7VA=")</f>
        <v>#VALUE!</v>
      </c>
      <c r="CD71" t="e">
        <f>AND(Sheet1!H948,"AAAAAHbr7VE=")</f>
        <v>#VALUE!</v>
      </c>
      <c r="CE71" t="e">
        <f>AND(Sheet1!I948,"AAAAAHbr7VI=")</f>
        <v>#VALUE!</v>
      </c>
      <c r="CF71" t="e">
        <f>AND(Sheet1!J948,"AAAAAHbr7VM=")</f>
        <v>#VALUE!</v>
      </c>
      <c r="CG71" t="e">
        <f>AND(Sheet1!K948,"AAAAAHbr7VQ=")</f>
        <v>#VALUE!</v>
      </c>
      <c r="CH71" t="e">
        <f>AND(Sheet1!L948,"AAAAAHbr7VU=")</f>
        <v>#VALUE!</v>
      </c>
      <c r="CI71" t="e">
        <f>AND(Sheet1!M948,"AAAAAHbr7VY=")</f>
        <v>#VALUE!</v>
      </c>
      <c r="CJ71" t="e">
        <f>AND(Sheet1!N948,"AAAAAHbr7Vc=")</f>
        <v>#VALUE!</v>
      </c>
      <c r="CK71" t="e">
        <f>AND(Sheet1!#REF!,"AAAAAHbr7Vg=")</f>
        <v>#REF!</v>
      </c>
      <c r="CL71" t="e">
        <f>AND(Sheet1!#REF!,"AAAAAHbr7Vk=")</f>
        <v>#REF!</v>
      </c>
      <c r="CM71" t="e">
        <f>AND(Sheet1!#REF!,"AAAAAHbr7Vo=")</f>
        <v>#REF!</v>
      </c>
      <c r="CN71" t="e">
        <f>AND(Sheet1!#REF!,"AAAAAHbr7Vs=")</f>
        <v>#REF!</v>
      </c>
      <c r="CO71">
        <f>IF(Sheet1!949:949,"AAAAAHbr7Vw=",0)</f>
        <v>0</v>
      </c>
      <c r="CP71" t="e">
        <f>AND(Sheet1!A949,"AAAAAHbr7V0=")</f>
        <v>#VALUE!</v>
      </c>
      <c r="CQ71" t="e">
        <f>AND(Sheet1!B949,"AAAAAHbr7V4=")</f>
        <v>#VALUE!</v>
      </c>
      <c r="CR71" t="e">
        <f>AND(Sheet1!C949,"AAAAAHbr7V8=")</f>
        <v>#VALUE!</v>
      </c>
      <c r="CS71" t="e">
        <f>AND(Sheet1!D949,"AAAAAHbr7WA=")</f>
        <v>#VALUE!</v>
      </c>
      <c r="CT71" t="e">
        <f>AND(Sheet1!E949,"AAAAAHbr7WE=")</f>
        <v>#VALUE!</v>
      </c>
      <c r="CU71" t="e">
        <f>AND(Sheet1!F949,"AAAAAHbr7WI=")</f>
        <v>#VALUE!</v>
      </c>
      <c r="CV71" t="e">
        <f>AND(Sheet1!G949,"AAAAAHbr7WM=")</f>
        <v>#VALUE!</v>
      </c>
      <c r="CW71" t="e">
        <f>AND(Sheet1!H949,"AAAAAHbr7WQ=")</f>
        <v>#VALUE!</v>
      </c>
      <c r="CX71" t="e">
        <f>AND(Sheet1!I949,"AAAAAHbr7WU=")</f>
        <v>#VALUE!</v>
      </c>
      <c r="CY71" t="e">
        <f>AND(Sheet1!J949,"AAAAAHbr7WY=")</f>
        <v>#VALUE!</v>
      </c>
      <c r="CZ71" t="e">
        <f>AND(Sheet1!K949,"AAAAAHbr7Wc=")</f>
        <v>#VALUE!</v>
      </c>
      <c r="DA71" t="e">
        <f>AND(Sheet1!L949,"AAAAAHbr7Wg=")</f>
        <v>#VALUE!</v>
      </c>
      <c r="DB71" t="e">
        <f>AND(Sheet1!M949,"AAAAAHbr7Wk=")</f>
        <v>#VALUE!</v>
      </c>
      <c r="DC71" t="e">
        <f>AND(Sheet1!N949,"AAAAAHbr7Wo=")</f>
        <v>#VALUE!</v>
      </c>
      <c r="DD71" t="e">
        <f>AND(Sheet1!#REF!,"AAAAAHbr7Ws=")</f>
        <v>#REF!</v>
      </c>
      <c r="DE71" t="e">
        <f>AND(Sheet1!#REF!,"AAAAAHbr7Ww=")</f>
        <v>#REF!</v>
      </c>
      <c r="DF71" t="e">
        <f>AND(Sheet1!#REF!,"AAAAAHbr7W0=")</f>
        <v>#REF!</v>
      </c>
      <c r="DG71" t="e">
        <f>AND(Sheet1!#REF!,"AAAAAHbr7W4=")</f>
        <v>#REF!</v>
      </c>
      <c r="DH71">
        <f>IF(Sheet1!950:950,"AAAAAHbr7W8=",0)</f>
        <v>0</v>
      </c>
      <c r="DI71" t="e">
        <f>AND(Sheet1!A950,"AAAAAHbr7XA=")</f>
        <v>#VALUE!</v>
      </c>
      <c r="DJ71" t="e">
        <f>AND(Sheet1!B950,"AAAAAHbr7XE=")</f>
        <v>#VALUE!</v>
      </c>
      <c r="DK71" t="e">
        <f>AND(Sheet1!C950,"AAAAAHbr7XI=")</f>
        <v>#VALUE!</v>
      </c>
      <c r="DL71" t="e">
        <f>AND(Sheet1!D950,"AAAAAHbr7XM=")</f>
        <v>#VALUE!</v>
      </c>
      <c r="DM71" t="e">
        <f>AND(Sheet1!E950,"AAAAAHbr7XQ=")</f>
        <v>#VALUE!</v>
      </c>
      <c r="DN71" t="e">
        <f>AND(Sheet1!F950,"AAAAAHbr7XU=")</f>
        <v>#VALUE!</v>
      </c>
      <c r="DO71" t="e">
        <f>AND(Sheet1!G950,"AAAAAHbr7XY=")</f>
        <v>#VALUE!</v>
      </c>
      <c r="DP71" t="e">
        <f>AND(Sheet1!H950,"AAAAAHbr7Xc=")</f>
        <v>#VALUE!</v>
      </c>
      <c r="DQ71" t="e">
        <f>AND(Sheet1!I950,"AAAAAHbr7Xg=")</f>
        <v>#VALUE!</v>
      </c>
      <c r="DR71" t="e">
        <f>AND(Sheet1!J950,"AAAAAHbr7Xk=")</f>
        <v>#VALUE!</v>
      </c>
      <c r="DS71" t="e">
        <f>AND(Sheet1!K950,"AAAAAHbr7Xo=")</f>
        <v>#VALUE!</v>
      </c>
      <c r="DT71" t="e">
        <f>AND(Sheet1!L950,"AAAAAHbr7Xs=")</f>
        <v>#VALUE!</v>
      </c>
      <c r="DU71" t="e">
        <f>AND(Sheet1!M950,"AAAAAHbr7Xw=")</f>
        <v>#VALUE!</v>
      </c>
      <c r="DV71" t="e">
        <f>AND(Sheet1!N950,"AAAAAHbr7X0=")</f>
        <v>#VALUE!</v>
      </c>
      <c r="DW71" t="e">
        <f>AND(Sheet1!#REF!,"AAAAAHbr7X4=")</f>
        <v>#REF!</v>
      </c>
      <c r="DX71" t="e">
        <f>AND(Sheet1!#REF!,"AAAAAHbr7X8=")</f>
        <v>#REF!</v>
      </c>
      <c r="DY71" t="e">
        <f>AND(Sheet1!#REF!,"AAAAAHbr7YA=")</f>
        <v>#REF!</v>
      </c>
      <c r="DZ71" t="e">
        <f>AND(Sheet1!#REF!,"AAAAAHbr7YE=")</f>
        <v>#REF!</v>
      </c>
      <c r="EA71">
        <f>IF(Sheet1!951:951,"AAAAAHbr7YI=",0)</f>
        <v>0</v>
      </c>
      <c r="EB71" t="e">
        <f>AND(Sheet1!A951,"AAAAAHbr7YM=")</f>
        <v>#VALUE!</v>
      </c>
      <c r="EC71" t="e">
        <f>AND(Sheet1!B951,"AAAAAHbr7YQ=")</f>
        <v>#VALUE!</v>
      </c>
      <c r="ED71" t="e">
        <f>AND(Sheet1!C951,"AAAAAHbr7YU=")</f>
        <v>#VALUE!</v>
      </c>
      <c r="EE71" t="e">
        <f>AND(Sheet1!D951,"AAAAAHbr7YY=")</f>
        <v>#VALUE!</v>
      </c>
      <c r="EF71" t="e">
        <f>AND(Sheet1!E951,"AAAAAHbr7Yc=")</f>
        <v>#VALUE!</v>
      </c>
      <c r="EG71" t="e">
        <f>AND(Sheet1!F951,"AAAAAHbr7Yg=")</f>
        <v>#VALUE!</v>
      </c>
      <c r="EH71" t="e">
        <f>AND(Sheet1!G951,"AAAAAHbr7Yk=")</f>
        <v>#VALUE!</v>
      </c>
      <c r="EI71" t="e">
        <f>AND(Sheet1!H951,"AAAAAHbr7Yo=")</f>
        <v>#VALUE!</v>
      </c>
      <c r="EJ71" t="e">
        <f>AND(Sheet1!I951,"AAAAAHbr7Ys=")</f>
        <v>#VALUE!</v>
      </c>
      <c r="EK71" t="e">
        <f>AND(Sheet1!J951,"AAAAAHbr7Yw=")</f>
        <v>#VALUE!</v>
      </c>
      <c r="EL71" t="e">
        <f>AND(Sheet1!K951,"AAAAAHbr7Y0=")</f>
        <v>#VALUE!</v>
      </c>
      <c r="EM71" t="e">
        <f>AND(Sheet1!L951,"AAAAAHbr7Y4=")</f>
        <v>#VALUE!</v>
      </c>
      <c r="EN71" t="e">
        <f>AND(Sheet1!M951,"AAAAAHbr7Y8=")</f>
        <v>#VALUE!</v>
      </c>
      <c r="EO71" t="e">
        <f>AND(Sheet1!N951,"AAAAAHbr7ZA=")</f>
        <v>#VALUE!</v>
      </c>
      <c r="EP71" t="e">
        <f>AND(Sheet1!#REF!,"AAAAAHbr7ZE=")</f>
        <v>#REF!</v>
      </c>
      <c r="EQ71" t="e">
        <f>AND(Sheet1!#REF!,"AAAAAHbr7ZI=")</f>
        <v>#REF!</v>
      </c>
      <c r="ER71" t="e">
        <f>AND(Sheet1!#REF!,"AAAAAHbr7ZM=")</f>
        <v>#REF!</v>
      </c>
      <c r="ES71" t="e">
        <f>AND(Sheet1!#REF!,"AAAAAHbr7ZQ=")</f>
        <v>#REF!</v>
      </c>
      <c r="ET71">
        <f>IF(Sheet1!952:952,"AAAAAHbr7ZU=",0)</f>
        <v>0</v>
      </c>
      <c r="EU71" t="e">
        <f>AND(Sheet1!A952,"AAAAAHbr7ZY=")</f>
        <v>#VALUE!</v>
      </c>
      <c r="EV71" t="e">
        <f>AND(Sheet1!B952,"AAAAAHbr7Zc=")</f>
        <v>#VALUE!</v>
      </c>
      <c r="EW71" t="e">
        <f>AND(Sheet1!C952,"AAAAAHbr7Zg=")</f>
        <v>#VALUE!</v>
      </c>
      <c r="EX71" t="e">
        <f>AND(Sheet1!D952,"AAAAAHbr7Zk=")</f>
        <v>#VALUE!</v>
      </c>
      <c r="EY71" t="e">
        <f>AND(Sheet1!E952,"AAAAAHbr7Zo=")</f>
        <v>#VALUE!</v>
      </c>
      <c r="EZ71" t="e">
        <f>AND(Sheet1!F952,"AAAAAHbr7Zs=")</f>
        <v>#VALUE!</v>
      </c>
      <c r="FA71" t="e">
        <f>AND(Sheet1!G952,"AAAAAHbr7Zw=")</f>
        <v>#VALUE!</v>
      </c>
      <c r="FB71" t="e">
        <f>AND(Sheet1!H952,"AAAAAHbr7Z0=")</f>
        <v>#VALUE!</v>
      </c>
      <c r="FC71" t="e">
        <f>AND(Sheet1!I952,"AAAAAHbr7Z4=")</f>
        <v>#VALUE!</v>
      </c>
      <c r="FD71" t="e">
        <f>AND(Sheet1!J952,"AAAAAHbr7Z8=")</f>
        <v>#VALUE!</v>
      </c>
      <c r="FE71" t="e">
        <f>AND(Sheet1!K952,"AAAAAHbr7aA=")</f>
        <v>#VALUE!</v>
      </c>
      <c r="FF71" t="e">
        <f>AND(Sheet1!L952,"AAAAAHbr7aE=")</f>
        <v>#VALUE!</v>
      </c>
      <c r="FG71" t="e">
        <f>AND(Sheet1!M952,"AAAAAHbr7aI=")</f>
        <v>#VALUE!</v>
      </c>
      <c r="FH71" t="e">
        <f>AND(Sheet1!N952,"AAAAAHbr7aM=")</f>
        <v>#VALUE!</v>
      </c>
      <c r="FI71" t="e">
        <f>AND(Sheet1!#REF!,"AAAAAHbr7aQ=")</f>
        <v>#REF!</v>
      </c>
      <c r="FJ71" t="e">
        <f>AND(Sheet1!#REF!,"AAAAAHbr7aU=")</f>
        <v>#REF!</v>
      </c>
      <c r="FK71" t="e">
        <f>AND(Sheet1!#REF!,"AAAAAHbr7aY=")</f>
        <v>#REF!</v>
      </c>
      <c r="FL71" t="e">
        <f>AND(Sheet1!#REF!,"AAAAAHbr7ac=")</f>
        <v>#REF!</v>
      </c>
      <c r="FM71">
        <f>IF(Sheet1!953:953,"AAAAAHbr7ag=",0)</f>
        <v>0</v>
      </c>
      <c r="FN71" t="e">
        <f>AND(Sheet1!A953,"AAAAAHbr7ak=")</f>
        <v>#VALUE!</v>
      </c>
      <c r="FO71" t="e">
        <f>AND(Sheet1!B953,"AAAAAHbr7ao=")</f>
        <v>#VALUE!</v>
      </c>
      <c r="FP71" t="e">
        <f>AND(Sheet1!C953,"AAAAAHbr7as=")</f>
        <v>#VALUE!</v>
      </c>
      <c r="FQ71" t="e">
        <f>AND(Sheet1!D953,"AAAAAHbr7aw=")</f>
        <v>#VALUE!</v>
      </c>
      <c r="FR71" t="e">
        <f>AND(Sheet1!E953,"AAAAAHbr7a0=")</f>
        <v>#VALUE!</v>
      </c>
      <c r="FS71" t="e">
        <f>AND(Sheet1!F953,"AAAAAHbr7a4=")</f>
        <v>#VALUE!</v>
      </c>
      <c r="FT71" t="e">
        <f>AND(Sheet1!G953,"AAAAAHbr7a8=")</f>
        <v>#VALUE!</v>
      </c>
      <c r="FU71" t="e">
        <f>AND(Sheet1!H953,"AAAAAHbr7bA=")</f>
        <v>#VALUE!</v>
      </c>
      <c r="FV71" t="e">
        <f>AND(Sheet1!I953,"AAAAAHbr7bE=")</f>
        <v>#VALUE!</v>
      </c>
      <c r="FW71" t="e">
        <f>AND(Sheet1!J953,"AAAAAHbr7bI=")</f>
        <v>#VALUE!</v>
      </c>
      <c r="FX71" t="e">
        <f>AND(Sheet1!K953,"AAAAAHbr7bM=")</f>
        <v>#VALUE!</v>
      </c>
      <c r="FY71" t="e">
        <f>AND(Sheet1!L953,"AAAAAHbr7bQ=")</f>
        <v>#VALUE!</v>
      </c>
      <c r="FZ71" t="e">
        <f>AND(Sheet1!M953,"AAAAAHbr7bU=")</f>
        <v>#VALUE!</v>
      </c>
      <c r="GA71" t="e">
        <f>AND(Sheet1!N953,"AAAAAHbr7bY=")</f>
        <v>#VALUE!</v>
      </c>
      <c r="GB71" t="e">
        <f>AND(Sheet1!#REF!,"AAAAAHbr7bc=")</f>
        <v>#REF!</v>
      </c>
      <c r="GC71" t="e">
        <f>AND(Sheet1!#REF!,"AAAAAHbr7bg=")</f>
        <v>#REF!</v>
      </c>
      <c r="GD71" t="e">
        <f>AND(Sheet1!#REF!,"AAAAAHbr7bk=")</f>
        <v>#REF!</v>
      </c>
      <c r="GE71" t="e">
        <f>AND(Sheet1!#REF!,"AAAAAHbr7bo=")</f>
        <v>#REF!</v>
      </c>
      <c r="GF71">
        <f>IF(Sheet1!954:954,"AAAAAHbr7bs=",0)</f>
        <v>0</v>
      </c>
      <c r="GG71" t="e">
        <f>AND(Sheet1!A954,"AAAAAHbr7bw=")</f>
        <v>#VALUE!</v>
      </c>
      <c r="GH71" t="e">
        <f>AND(Sheet1!B954,"AAAAAHbr7b0=")</f>
        <v>#VALUE!</v>
      </c>
      <c r="GI71" t="e">
        <f>AND(Sheet1!C954,"AAAAAHbr7b4=")</f>
        <v>#VALUE!</v>
      </c>
      <c r="GJ71" t="e">
        <f>AND(Sheet1!D954,"AAAAAHbr7b8=")</f>
        <v>#VALUE!</v>
      </c>
      <c r="GK71" t="e">
        <f>AND(Sheet1!E954,"AAAAAHbr7cA=")</f>
        <v>#VALUE!</v>
      </c>
      <c r="GL71" t="e">
        <f>AND(Sheet1!F954,"AAAAAHbr7cE=")</f>
        <v>#VALUE!</v>
      </c>
      <c r="GM71" t="e">
        <f>AND(Sheet1!G954,"AAAAAHbr7cI=")</f>
        <v>#VALUE!</v>
      </c>
      <c r="GN71" t="e">
        <f>AND(Sheet1!H954,"AAAAAHbr7cM=")</f>
        <v>#VALUE!</v>
      </c>
      <c r="GO71" t="e">
        <f>AND(Sheet1!I954,"AAAAAHbr7cQ=")</f>
        <v>#VALUE!</v>
      </c>
      <c r="GP71" t="e">
        <f>AND(Sheet1!J954,"AAAAAHbr7cU=")</f>
        <v>#VALUE!</v>
      </c>
      <c r="GQ71" t="e">
        <f>AND(Sheet1!K954,"AAAAAHbr7cY=")</f>
        <v>#VALUE!</v>
      </c>
      <c r="GR71" t="e">
        <f>AND(Sheet1!L954,"AAAAAHbr7cc=")</f>
        <v>#VALUE!</v>
      </c>
      <c r="GS71" t="e">
        <f>AND(Sheet1!M954,"AAAAAHbr7cg=")</f>
        <v>#VALUE!</v>
      </c>
      <c r="GT71" t="e">
        <f>AND(Sheet1!N954,"AAAAAHbr7ck=")</f>
        <v>#VALUE!</v>
      </c>
      <c r="GU71" t="e">
        <f>AND(Sheet1!#REF!,"AAAAAHbr7co=")</f>
        <v>#REF!</v>
      </c>
      <c r="GV71" t="e">
        <f>AND(Sheet1!#REF!,"AAAAAHbr7cs=")</f>
        <v>#REF!</v>
      </c>
      <c r="GW71" t="e">
        <f>AND(Sheet1!#REF!,"AAAAAHbr7cw=")</f>
        <v>#REF!</v>
      </c>
      <c r="GX71" t="e">
        <f>AND(Sheet1!#REF!,"AAAAAHbr7c0=")</f>
        <v>#REF!</v>
      </c>
      <c r="GY71">
        <f>IF(Sheet1!955:955,"AAAAAHbr7c4=",0)</f>
        <v>0</v>
      </c>
      <c r="GZ71" t="e">
        <f>AND(Sheet1!A955,"AAAAAHbr7c8=")</f>
        <v>#VALUE!</v>
      </c>
      <c r="HA71" t="e">
        <f>AND(Sheet1!B955,"AAAAAHbr7dA=")</f>
        <v>#VALUE!</v>
      </c>
      <c r="HB71" t="e">
        <f>AND(Sheet1!C955,"AAAAAHbr7dE=")</f>
        <v>#VALUE!</v>
      </c>
      <c r="HC71" t="e">
        <f>AND(Sheet1!D955,"AAAAAHbr7dI=")</f>
        <v>#VALUE!</v>
      </c>
      <c r="HD71" t="e">
        <f>AND(Sheet1!E955,"AAAAAHbr7dM=")</f>
        <v>#VALUE!</v>
      </c>
      <c r="HE71" t="e">
        <f>AND(Sheet1!F955,"AAAAAHbr7dQ=")</f>
        <v>#VALUE!</v>
      </c>
      <c r="HF71" t="e">
        <f>AND(Sheet1!G955,"AAAAAHbr7dU=")</f>
        <v>#VALUE!</v>
      </c>
      <c r="HG71" t="e">
        <f>AND(Sheet1!H955,"AAAAAHbr7dY=")</f>
        <v>#VALUE!</v>
      </c>
      <c r="HH71" t="e">
        <f>AND(Sheet1!I955,"AAAAAHbr7dc=")</f>
        <v>#VALUE!</v>
      </c>
      <c r="HI71" t="e">
        <f>AND(Sheet1!J955,"AAAAAHbr7dg=")</f>
        <v>#VALUE!</v>
      </c>
      <c r="HJ71" t="e">
        <f>AND(Sheet1!K955,"AAAAAHbr7dk=")</f>
        <v>#VALUE!</v>
      </c>
      <c r="HK71" t="e">
        <f>AND(Sheet1!L955,"AAAAAHbr7do=")</f>
        <v>#VALUE!</v>
      </c>
      <c r="HL71" t="e">
        <f>AND(Sheet1!M955,"AAAAAHbr7ds=")</f>
        <v>#VALUE!</v>
      </c>
      <c r="HM71" t="e">
        <f>AND(Sheet1!N955,"AAAAAHbr7dw=")</f>
        <v>#VALUE!</v>
      </c>
      <c r="HN71" t="e">
        <f>AND(Sheet1!#REF!,"AAAAAHbr7d0=")</f>
        <v>#REF!</v>
      </c>
      <c r="HO71" t="e">
        <f>AND(Sheet1!#REF!,"AAAAAHbr7d4=")</f>
        <v>#REF!</v>
      </c>
      <c r="HP71" t="e">
        <f>AND(Sheet1!#REF!,"AAAAAHbr7d8=")</f>
        <v>#REF!</v>
      </c>
      <c r="HQ71" t="e">
        <f>AND(Sheet1!#REF!,"AAAAAHbr7eA=")</f>
        <v>#REF!</v>
      </c>
      <c r="HR71">
        <f>IF(Sheet1!956:956,"AAAAAHbr7eE=",0)</f>
        <v>0</v>
      </c>
      <c r="HS71" t="e">
        <f>AND(Sheet1!A956,"AAAAAHbr7eI=")</f>
        <v>#VALUE!</v>
      </c>
      <c r="HT71" t="e">
        <f>AND(Sheet1!B956,"AAAAAHbr7eM=")</f>
        <v>#VALUE!</v>
      </c>
      <c r="HU71" t="e">
        <f>AND(Sheet1!C956,"AAAAAHbr7eQ=")</f>
        <v>#VALUE!</v>
      </c>
      <c r="HV71" t="e">
        <f>AND(Sheet1!D956,"AAAAAHbr7eU=")</f>
        <v>#VALUE!</v>
      </c>
      <c r="HW71" t="e">
        <f>AND(Sheet1!E956,"AAAAAHbr7eY=")</f>
        <v>#VALUE!</v>
      </c>
      <c r="HX71" t="e">
        <f>AND(Sheet1!F956,"AAAAAHbr7ec=")</f>
        <v>#VALUE!</v>
      </c>
      <c r="HY71" t="e">
        <f>AND(Sheet1!G956,"AAAAAHbr7eg=")</f>
        <v>#VALUE!</v>
      </c>
      <c r="HZ71" t="e">
        <f>AND(Sheet1!H956,"AAAAAHbr7ek=")</f>
        <v>#VALUE!</v>
      </c>
      <c r="IA71" t="e">
        <f>AND(Sheet1!I956,"AAAAAHbr7eo=")</f>
        <v>#VALUE!</v>
      </c>
      <c r="IB71" t="e">
        <f>AND(Sheet1!J956,"AAAAAHbr7es=")</f>
        <v>#VALUE!</v>
      </c>
      <c r="IC71" t="e">
        <f>AND(Sheet1!K956,"AAAAAHbr7ew=")</f>
        <v>#VALUE!</v>
      </c>
      <c r="ID71" t="e">
        <f>AND(Sheet1!L956,"AAAAAHbr7e0=")</f>
        <v>#VALUE!</v>
      </c>
      <c r="IE71" t="e">
        <f>AND(Sheet1!M956,"AAAAAHbr7e4=")</f>
        <v>#VALUE!</v>
      </c>
      <c r="IF71" t="e">
        <f>AND(Sheet1!N956,"AAAAAHbr7e8=")</f>
        <v>#VALUE!</v>
      </c>
      <c r="IG71" t="e">
        <f>AND(Sheet1!#REF!,"AAAAAHbr7fA=")</f>
        <v>#REF!</v>
      </c>
      <c r="IH71" t="e">
        <f>AND(Sheet1!#REF!,"AAAAAHbr7fE=")</f>
        <v>#REF!</v>
      </c>
      <c r="II71" t="e">
        <f>AND(Sheet1!#REF!,"AAAAAHbr7fI=")</f>
        <v>#REF!</v>
      </c>
      <c r="IJ71" t="e">
        <f>AND(Sheet1!#REF!,"AAAAAHbr7fM=")</f>
        <v>#REF!</v>
      </c>
      <c r="IK71">
        <f>IF(Sheet1!957:957,"AAAAAHbr7fQ=",0)</f>
        <v>0</v>
      </c>
      <c r="IL71" t="e">
        <f>AND(Sheet1!A957,"AAAAAHbr7fU=")</f>
        <v>#VALUE!</v>
      </c>
      <c r="IM71" t="e">
        <f>AND(Sheet1!B957,"AAAAAHbr7fY=")</f>
        <v>#VALUE!</v>
      </c>
      <c r="IN71" t="e">
        <f>AND(Sheet1!C957,"AAAAAHbr7fc=")</f>
        <v>#VALUE!</v>
      </c>
      <c r="IO71" t="e">
        <f>AND(Sheet1!D957,"AAAAAHbr7fg=")</f>
        <v>#VALUE!</v>
      </c>
      <c r="IP71" t="e">
        <f>AND(Sheet1!E957,"AAAAAHbr7fk=")</f>
        <v>#VALUE!</v>
      </c>
      <c r="IQ71" t="e">
        <f>AND(Sheet1!F957,"AAAAAHbr7fo=")</f>
        <v>#VALUE!</v>
      </c>
      <c r="IR71" t="e">
        <f>AND(Sheet1!G957,"AAAAAHbr7fs=")</f>
        <v>#VALUE!</v>
      </c>
      <c r="IS71" t="e">
        <f>AND(Sheet1!H957,"AAAAAHbr7fw=")</f>
        <v>#VALUE!</v>
      </c>
      <c r="IT71" t="e">
        <f>AND(Sheet1!I957,"AAAAAHbr7f0=")</f>
        <v>#VALUE!</v>
      </c>
      <c r="IU71" t="e">
        <f>AND(Sheet1!J957,"AAAAAHbr7f4=")</f>
        <v>#VALUE!</v>
      </c>
      <c r="IV71" t="e">
        <f>AND(Sheet1!K957,"AAAAAHbr7f8=")</f>
        <v>#VALUE!</v>
      </c>
    </row>
    <row r="72" spans="1:256" x14ac:dyDescent="0.2">
      <c r="A72" t="e">
        <f>AND(Sheet1!L957,"AAAAAF3aXgA=")</f>
        <v>#VALUE!</v>
      </c>
      <c r="B72" t="e">
        <f>AND(Sheet1!M957,"AAAAAF3aXgE=")</f>
        <v>#VALUE!</v>
      </c>
      <c r="C72" t="e">
        <f>AND(Sheet1!N957,"AAAAAF3aXgI=")</f>
        <v>#VALUE!</v>
      </c>
      <c r="D72" t="e">
        <f>AND(Sheet1!#REF!,"AAAAAF3aXgM=")</f>
        <v>#REF!</v>
      </c>
      <c r="E72" t="e">
        <f>AND(Sheet1!#REF!,"AAAAAF3aXgQ=")</f>
        <v>#REF!</v>
      </c>
      <c r="F72" t="e">
        <f>AND(Sheet1!#REF!,"AAAAAF3aXgU=")</f>
        <v>#REF!</v>
      </c>
      <c r="G72" t="e">
        <f>AND(Sheet1!#REF!,"AAAAAF3aXgY=")</f>
        <v>#REF!</v>
      </c>
      <c r="H72">
        <f>IF(Sheet1!958:958,"AAAAAF3aXgc=",0)</f>
        <v>0</v>
      </c>
      <c r="I72" t="e">
        <f>AND(Sheet1!A958,"AAAAAF3aXgg=")</f>
        <v>#VALUE!</v>
      </c>
      <c r="J72" t="e">
        <f>AND(Sheet1!B958,"AAAAAF3aXgk=")</f>
        <v>#VALUE!</v>
      </c>
      <c r="K72" t="e">
        <f>AND(Sheet1!C958,"AAAAAF3aXgo=")</f>
        <v>#VALUE!</v>
      </c>
      <c r="L72" t="e">
        <f>AND(Sheet1!D958,"AAAAAF3aXgs=")</f>
        <v>#VALUE!</v>
      </c>
      <c r="M72" t="e">
        <f>AND(Sheet1!E958,"AAAAAF3aXgw=")</f>
        <v>#VALUE!</v>
      </c>
      <c r="N72" t="e">
        <f>AND(Sheet1!F958,"AAAAAF3aXg0=")</f>
        <v>#VALUE!</v>
      </c>
      <c r="O72" t="e">
        <f>AND(Sheet1!G958,"AAAAAF3aXg4=")</f>
        <v>#VALUE!</v>
      </c>
      <c r="P72" t="e">
        <f>AND(Sheet1!H958,"AAAAAF3aXg8=")</f>
        <v>#VALUE!</v>
      </c>
      <c r="Q72" t="e">
        <f>AND(Sheet1!I958,"AAAAAF3aXhA=")</f>
        <v>#VALUE!</v>
      </c>
      <c r="R72" t="e">
        <f>AND(Sheet1!J958,"AAAAAF3aXhE=")</f>
        <v>#VALUE!</v>
      </c>
      <c r="S72" t="e">
        <f>AND(Sheet1!K958,"AAAAAF3aXhI=")</f>
        <v>#VALUE!</v>
      </c>
      <c r="T72" t="e">
        <f>AND(Sheet1!L958,"AAAAAF3aXhM=")</f>
        <v>#VALUE!</v>
      </c>
      <c r="U72" t="e">
        <f>AND(Sheet1!M958,"AAAAAF3aXhQ=")</f>
        <v>#VALUE!</v>
      </c>
      <c r="V72" t="e">
        <f>AND(Sheet1!N958,"AAAAAF3aXhU=")</f>
        <v>#VALUE!</v>
      </c>
      <c r="W72" t="e">
        <f>AND(Sheet1!#REF!,"AAAAAF3aXhY=")</f>
        <v>#REF!</v>
      </c>
      <c r="X72" t="e">
        <f>AND(Sheet1!#REF!,"AAAAAF3aXhc=")</f>
        <v>#REF!</v>
      </c>
      <c r="Y72" t="e">
        <f>AND(Sheet1!#REF!,"AAAAAF3aXhg=")</f>
        <v>#REF!</v>
      </c>
      <c r="Z72" t="e">
        <f>AND(Sheet1!#REF!,"AAAAAF3aXhk=")</f>
        <v>#REF!</v>
      </c>
      <c r="AA72">
        <f>IF(Sheet1!959:959,"AAAAAF3aXho=",0)</f>
        <v>0</v>
      </c>
      <c r="AB72" t="e">
        <f>AND(Sheet1!A959,"AAAAAF3aXhs=")</f>
        <v>#VALUE!</v>
      </c>
      <c r="AC72" t="e">
        <f>AND(Sheet1!B959,"AAAAAF3aXhw=")</f>
        <v>#VALUE!</v>
      </c>
      <c r="AD72" t="e">
        <f>AND(Sheet1!C959,"AAAAAF3aXh0=")</f>
        <v>#VALUE!</v>
      </c>
      <c r="AE72" t="e">
        <f>AND(Sheet1!D959,"AAAAAF3aXh4=")</f>
        <v>#VALUE!</v>
      </c>
      <c r="AF72" t="e">
        <f>AND(Sheet1!E959,"AAAAAF3aXh8=")</f>
        <v>#VALUE!</v>
      </c>
      <c r="AG72" t="e">
        <f>AND(Sheet1!F959,"AAAAAF3aXiA=")</f>
        <v>#VALUE!</v>
      </c>
      <c r="AH72" t="e">
        <f>AND(Sheet1!G959,"AAAAAF3aXiE=")</f>
        <v>#VALUE!</v>
      </c>
      <c r="AI72" t="e">
        <f>AND(Sheet1!H959,"AAAAAF3aXiI=")</f>
        <v>#VALUE!</v>
      </c>
      <c r="AJ72" t="e">
        <f>AND(Sheet1!I959,"AAAAAF3aXiM=")</f>
        <v>#VALUE!</v>
      </c>
      <c r="AK72" t="e">
        <f>AND(Sheet1!J959,"AAAAAF3aXiQ=")</f>
        <v>#VALUE!</v>
      </c>
      <c r="AL72" t="e">
        <f>AND(Sheet1!K959,"AAAAAF3aXiU=")</f>
        <v>#VALUE!</v>
      </c>
      <c r="AM72" t="e">
        <f>AND(Sheet1!L959,"AAAAAF3aXiY=")</f>
        <v>#VALUE!</v>
      </c>
      <c r="AN72" t="e">
        <f>AND(Sheet1!M959,"AAAAAF3aXic=")</f>
        <v>#VALUE!</v>
      </c>
      <c r="AO72" t="e">
        <f>AND(Sheet1!N959,"AAAAAF3aXig=")</f>
        <v>#VALUE!</v>
      </c>
      <c r="AP72" t="e">
        <f>AND(Sheet1!#REF!,"AAAAAF3aXik=")</f>
        <v>#REF!</v>
      </c>
      <c r="AQ72" t="e">
        <f>AND(Sheet1!#REF!,"AAAAAF3aXio=")</f>
        <v>#REF!</v>
      </c>
      <c r="AR72" t="e">
        <f>AND(Sheet1!#REF!,"AAAAAF3aXis=")</f>
        <v>#REF!</v>
      </c>
      <c r="AS72" t="e">
        <f>AND(Sheet1!#REF!,"AAAAAF3aXiw=")</f>
        <v>#REF!</v>
      </c>
      <c r="AT72">
        <f>IF(Sheet1!960:960,"AAAAAF3aXi0=",0)</f>
        <v>0</v>
      </c>
      <c r="AU72" t="e">
        <f>AND(Sheet1!A960,"AAAAAF3aXi4=")</f>
        <v>#VALUE!</v>
      </c>
      <c r="AV72" t="e">
        <f>AND(Sheet1!B960,"AAAAAF3aXi8=")</f>
        <v>#VALUE!</v>
      </c>
      <c r="AW72" t="e">
        <f>AND(Sheet1!C960,"AAAAAF3aXjA=")</f>
        <v>#VALUE!</v>
      </c>
      <c r="AX72" t="e">
        <f>AND(Sheet1!D960,"AAAAAF3aXjE=")</f>
        <v>#VALUE!</v>
      </c>
      <c r="AY72" t="e">
        <f>AND(Sheet1!E960,"AAAAAF3aXjI=")</f>
        <v>#VALUE!</v>
      </c>
      <c r="AZ72" t="e">
        <f>AND(Sheet1!F960,"AAAAAF3aXjM=")</f>
        <v>#VALUE!</v>
      </c>
      <c r="BA72" t="e">
        <f>AND(Sheet1!G960,"AAAAAF3aXjQ=")</f>
        <v>#VALUE!</v>
      </c>
      <c r="BB72" t="e">
        <f>AND(Sheet1!H960,"AAAAAF3aXjU=")</f>
        <v>#VALUE!</v>
      </c>
      <c r="BC72" t="e">
        <f>AND(Sheet1!I960,"AAAAAF3aXjY=")</f>
        <v>#VALUE!</v>
      </c>
      <c r="BD72" t="e">
        <f>AND(Sheet1!J960,"AAAAAF3aXjc=")</f>
        <v>#VALUE!</v>
      </c>
      <c r="BE72" t="e">
        <f>AND(Sheet1!K960,"AAAAAF3aXjg=")</f>
        <v>#VALUE!</v>
      </c>
      <c r="BF72" t="e">
        <f>AND(Sheet1!L960,"AAAAAF3aXjk=")</f>
        <v>#VALUE!</v>
      </c>
      <c r="BG72" t="e">
        <f>AND(Sheet1!M960,"AAAAAF3aXjo=")</f>
        <v>#VALUE!</v>
      </c>
      <c r="BH72" t="e">
        <f>AND(Sheet1!N960,"AAAAAF3aXjs=")</f>
        <v>#VALUE!</v>
      </c>
      <c r="BI72" t="e">
        <f>AND(Sheet1!#REF!,"AAAAAF3aXjw=")</f>
        <v>#REF!</v>
      </c>
      <c r="BJ72" t="e">
        <f>AND(Sheet1!#REF!,"AAAAAF3aXj0=")</f>
        <v>#REF!</v>
      </c>
      <c r="BK72" t="e">
        <f>AND(Sheet1!#REF!,"AAAAAF3aXj4=")</f>
        <v>#REF!</v>
      </c>
      <c r="BL72" t="e">
        <f>AND(Sheet1!#REF!,"AAAAAF3aXj8=")</f>
        <v>#REF!</v>
      </c>
      <c r="BM72">
        <f>IF(Sheet1!961:961,"AAAAAF3aXkA=",0)</f>
        <v>0</v>
      </c>
      <c r="BN72" t="e">
        <f>AND(Sheet1!A961,"AAAAAF3aXkE=")</f>
        <v>#VALUE!</v>
      </c>
      <c r="BO72" t="e">
        <f>AND(Sheet1!B961,"AAAAAF3aXkI=")</f>
        <v>#VALUE!</v>
      </c>
      <c r="BP72" t="e">
        <f>AND(Sheet1!C961,"AAAAAF3aXkM=")</f>
        <v>#VALUE!</v>
      </c>
      <c r="BQ72" t="e">
        <f>AND(Sheet1!D961,"AAAAAF3aXkQ=")</f>
        <v>#VALUE!</v>
      </c>
      <c r="BR72" t="e">
        <f>AND(Sheet1!E961,"AAAAAF3aXkU=")</f>
        <v>#VALUE!</v>
      </c>
      <c r="BS72" t="e">
        <f>AND(Sheet1!F961,"AAAAAF3aXkY=")</f>
        <v>#VALUE!</v>
      </c>
      <c r="BT72" t="e">
        <f>AND(Sheet1!G961,"AAAAAF3aXkc=")</f>
        <v>#VALUE!</v>
      </c>
      <c r="BU72" t="e">
        <f>AND(Sheet1!H961,"AAAAAF3aXkg=")</f>
        <v>#VALUE!</v>
      </c>
      <c r="BV72" t="e">
        <f>AND(Sheet1!I961,"AAAAAF3aXkk=")</f>
        <v>#VALUE!</v>
      </c>
      <c r="BW72" t="e">
        <f>AND(Sheet1!J961,"AAAAAF3aXko=")</f>
        <v>#VALUE!</v>
      </c>
      <c r="BX72" t="e">
        <f>AND(Sheet1!K961,"AAAAAF3aXks=")</f>
        <v>#VALUE!</v>
      </c>
      <c r="BY72" t="e">
        <f>AND(Sheet1!L961,"AAAAAF3aXkw=")</f>
        <v>#VALUE!</v>
      </c>
      <c r="BZ72" t="e">
        <f>AND(Sheet1!M961,"AAAAAF3aXk0=")</f>
        <v>#VALUE!</v>
      </c>
      <c r="CA72" t="e">
        <f>AND(Sheet1!N961,"AAAAAF3aXk4=")</f>
        <v>#VALUE!</v>
      </c>
      <c r="CB72" t="e">
        <f>AND(Sheet1!#REF!,"AAAAAF3aXk8=")</f>
        <v>#REF!</v>
      </c>
      <c r="CC72" t="e">
        <f>AND(Sheet1!#REF!,"AAAAAF3aXlA=")</f>
        <v>#REF!</v>
      </c>
      <c r="CD72" t="e">
        <f>AND(Sheet1!#REF!,"AAAAAF3aXlE=")</f>
        <v>#REF!</v>
      </c>
      <c r="CE72" t="e">
        <f>AND(Sheet1!#REF!,"AAAAAF3aXlI=")</f>
        <v>#REF!</v>
      </c>
      <c r="CF72">
        <f>IF(Sheet1!962:962,"AAAAAF3aXlM=",0)</f>
        <v>0</v>
      </c>
      <c r="CG72" t="e">
        <f>AND(Sheet1!A962,"AAAAAF3aXlQ=")</f>
        <v>#VALUE!</v>
      </c>
      <c r="CH72" t="e">
        <f>AND(Sheet1!B962,"AAAAAF3aXlU=")</f>
        <v>#VALUE!</v>
      </c>
      <c r="CI72" t="e">
        <f>AND(Sheet1!C962,"AAAAAF3aXlY=")</f>
        <v>#VALUE!</v>
      </c>
      <c r="CJ72" t="e">
        <f>AND(Sheet1!D962,"AAAAAF3aXlc=")</f>
        <v>#VALUE!</v>
      </c>
      <c r="CK72" t="e">
        <f>AND(Sheet1!E962,"AAAAAF3aXlg=")</f>
        <v>#VALUE!</v>
      </c>
      <c r="CL72" t="e">
        <f>AND(Sheet1!F962,"AAAAAF3aXlk=")</f>
        <v>#VALUE!</v>
      </c>
      <c r="CM72" t="e">
        <f>AND(Sheet1!G962,"AAAAAF3aXlo=")</f>
        <v>#VALUE!</v>
      </c>
      <c r="CN72" t="e">
        <f>AND(Sheet1!H962,"AAAAAF3aXls=")</f>
        <v>#VALUE!</v>
      </c>
      <c r="CO72" t="e">
        <f>AND(Sheet1!I962,"AAAAAF3aXlw=")</f>
        <v>#VALUE!</v>
      </c>
      <c r="CP72" t="e">
        <f>AND(Sheet1!J962,"AAAAAF3aXl0=")</f>
        <v>#VALUE!</v>
      </c>
      <c r="CQ72" t="e">
        <f>AND(Sheet1!K962,"AAAAAF3aXl4=")</f>
        <v>#VALUE!</v>
      </c>
      <c r="CR72" t="e">
        <f>AND(Sheet1!L962,"AAAAAF3aXl8=")</f>
        <v>#VALUE!</v>
      </c>
      <c r="CS72" t="e">
        <f>AND(Sheet1!M962,"AAAAAF3aXmA=")</f>
        <v>#VALUE!</v>
      </c>
      <c r="CT72" t="e">
        <f>AND(Sheet1!N962,"AAAAAF3aXmE=")</f>
        <v>#VALUE!</v>
      </c>
      <c r="CU72" t="e">
        <f>AND(Sheet1!#REF!,"AAAAAF3aXmI=")</f>
        <v>#REF!</v>
      </c>
      <c r="CV72" t="e">
        <f>AND(Sheet1!#REF!,"AAAAAF3aXmM=")</f>
        <v>#REF!</v>
      </c>
      <c r="CW72" t="e">
        <f>AND(Sheet1!#REF!,"AAAAAF3aXmQ=")</f>
        <v>#REF!</v>
      </c>
      <c r="CX72" t="e">
        <f>AND(Sheet1!#REF!,"AAAAAF3aXmU=")</f>
        <v>#REF!</v>
      </c>
      <c r="CY72">
        <f>IF(Sheet1!963:963,"AAAAAF3aXmY=",0)</f>
        <v>0</v>
      </c>
      <c r="CZ72" t="e">
        <f>AND(Sheet1!A963,"AAAAAF3aXmc=")</f>
        <v>#VALUE!</v>
      </c>
      <c r="DA72" t="e">
        <f>AND(Sheet1!B963,"AAAAAF3aXmg=")</f>
        <v>#VALUE!</v>
      </c>
      <c r="DB72" t="e">
        <f>AND(Sheet1!C963,"AAAAAF3aXmk=")</f>
        <v>#VALUE!</v>
      </c>
      <c r="DC72" t="e">
        <f>AND(Sheet1!D963,"AAAAAF3aXmo=")</f>
        <v>#VALUE!</v>
      </c>
      <c r="DD72" t="e">
        <f>AND(Sheet1!E963,"AAAAAF3aXms=")</f>
        <v>#VALUE!</v>
      </c>
      <c r="DE72" t="e">
        <f>AND(Sheet1!F963,"AAAAAF3aXmw=")</f>
        <v>#VALUE!</v>
      </c>
      <c r="DF72" t="e">
        <f>AND(Sheet1!G963,"AAAAAF3aXm0=")</f>
        <v>#VALUE!</v>
      </c>
      <c r="DG72" t="e">
        <f>AND(Sheet1!H963,"AAAAAF3aXm4=")</f>
        <v>#VALUE!</v>
      </c>
      <c r="DH72" t="e">
        <f>AND(Sheet1!I963,"AAAAAF3aXm8=")</f>
        <v>#VALUE!</v>
      </c>
      <c r="DI72" t="e">
        <f>AND(Sheet1!J963,"AAAAAF3aXnA=")</f>
        <v>#VALUE!</v>
      </c>
      <c r="DJ72" t="e">
        <f>AND(Sheet1!K963,"AAAAAF3aXnE=")</f>
        <v>#VALUE!</v>
      </c>
      <c r="DK72" t="e">
        <f>AND(Sheet1!L963,"AAAAAF3aXnI=")</f>
        <v>#VALUE!</v>
      </c>
      <c r="DL72" t="e">
        <f>AND(Sheet1!M963,"AAAAAF3aXnM=")</f>
        <v>#VALUE!</v>
      </c>
      <c r="DM72" t="e">
        <f>AND(Sheet1!N963,"AAAAAF3aXnQ=")</f>
        <v>#VALUE!</v>
      </c>
      <c r="DN72" t="e">
        <f>AND(Sheet1!#REF!,"AAAAAF3aXnU=")</f>
        <v>#REF!</v>
      </c>
      <c r="DO72" t="e">
        <f>AND(Sheet1!#REF!,"AAAAAF3aXnY=")</f>
        <v>#REF!</v>
      </c>
      <c r="DP72" t="e">
        <f>AND(Sheet1!#REF!,"AAAAAF3aXnc=")</f>
        <v>#REF!</v>
      </c>
      <c r="DQ72" t="e">
        <f>AND(Sheet1!#REF!,"AAAAAF3aXng=")</f>
        <v>#REF!</v>
      </c>
      <c r="DR72">
        <f>IF(Sheet1!964:964,"AAAAAF3aXnk=",0)</f>
        <v>0</v>
      </c>
      <c r="DS72" t="e">
        <f>AND(Sheet1!A964,"AAAAAF3aXno=")</f>
        <v>#VALUE!</v>
      </c>
      <c r="DT72" t="e">
        <f>AND(Sheet1!B964,"AAAAAF3aXns=")</f>
        <v>#VALUE!</v>
      </c>
      <c r="DU72" t="e">
        <f>AND(Sheet1!C964,"AAAAAF3aXnw=")</f>
        <v>#VALUE!</v>
      </c>
      <c r="DV72" t="e">
        <f>AND(Sheet1!D964,"AAAAAF3aXn0=")</f>
        <v>#VALUE!</v>
      </c>
      <c r="DW72" t="e">
        <f>AND(Sheet1!E964,"AAAAAF3aXn4=")</f>
        <v>#VALUE!</v>
      </c>
      <c r="DX72" t="e">
        <f>AND(Sheet1!F964,"AAAAAF3aXn8=")</f>
        <v>#VALUE!</v>
      </c>
      <c r="DY72" t="e">
        <f>AND(Sheet1!G964,"AAAAAF3aXoA=")</f>
        <v>#VALUE!</v>
      </c>
      <c r="DZ72" t="e">
        <f>AND(Sheet1!H964,"AAAAAF3aXoE=")</f>
        <v>#VALUE!</v>
      </c>
      <c r="EA72" t="e">
        <f>AND(Sheet1!I964,"AAAAAF3aXoI=")</f>
        <v>#VALUE!</v>
      </c>
      <c r="EB72" t="e">
        <f>AND(Sheet1!J964,"AAAAAF3aXoM=")</f>
        <v>#VALUE!</v>
      </c>
      <c r="EC72" t="e">
        <f>AND(Sheet1!K964,"AAAAAF3aXoQ=")</f>
        <v>#VALUE!</v>
      </c>
      <c r="ED72" t="e">
        <f>AND(Sheet1!L964,"AAAAAF3aXoU=")</f>
        <v>#VALUE!</v>
      </c>
      <c r="EE72" t="e">
        <f>AND(Sheet1!M964,"AAAAAF3aXoY=")</f>
        <v>#VALUE!</v>
      </c>
      <c r="EF72" t="e">
        <f>AND(Sheet1!N964,"AAAAAF3aXoc=")</f>
        <v>#VALUE!</v>
      </c>
      <c r="EG72" t="e">
        <f>AND(Sheet1!#REF!,"AAAAAF3aXog=")</f>
        <v>#REF!</v>
      </c>
      <c r="EH72" t="e">
        <f>AND(Sheet1!#REF!,"AAAAAF3aXok=")</f>
        <v>#REF!</v>
      </c>
      <c r="EI72" t="e">
        <f>AND(Sheet1!#REF!,"AAAAAF3aXoo=")</f>
        <v>#REF!</v>
      </c>
      <c r="EJ72" t="e">
        <f>AND(Sheet1!#REF!,"AAAAAF3aXos=")</f>
        <v>#REF!</v>
      </c>
      <c r="EK72">
        <f>IF(Sheet1!965:965,"AAAAAF3aXow=",0)</f>
        <v>0</v>
      </c>
      <c r="EL72" t="e">
        <f>AND(Sheet1!A965,"AAAAAF3aXo0=")</f>
        <v>#VALUE!</v>
      </c>
      <c r="EM72" t="e">
        <f>AND(Sheet1!B965,"AAAAAF3aXo4=")</f>
        <v>#VALUE!</v>
      </c>
      <c r="EN72" t="e">
        <f>AND(Sheet1!C965,"AAAAAF3aXo8=")</f>
        <v>#VALUE!</v>
      </c>
      <c r="EO72" t="e">
        <f>AND(Sheet1!D965,"AAAAAF3aXpA=")</f>
        <v>#VALUE!</v>
      </c>
      <c r="EP72" t="e">
        <f>AND(Sheet1!E965,"AAAAAF3aXpE=")</f>
        <v>#VALUE!</v>
      </c>
      <c r="EQ72" t="e">
        <f>AND(Sheet1!F965,"AAAAAF3aXpI=")</f>
        <v>#VALUE!</v>
      </c>
      <c r="ER72" t="e">
        <f>AND(Sheet1!G965,"AAAAAF3aXpM=")</f>
        <v>#VALUE!</v>
      </c>
      <c r="ES72" t="e">
        <f>AND(Sheet1!H965,"AAAAAF3aXpQ=")</f>
        <v>#VALUE!</v>
      </c>
      <c r="ET72" t="e">
        <f>AND(Sheet1!I965,"AAAAAF3aXpU=")</f>
        <v>#VALUE!</v>
      </c>
      <c r="EU72" t="e">
        <f>AND(Sheet1!J965,"AAAAAF3aXpY=")</f>
        <v>#VALUE!</v>
      </c>
      <c r="EV72" t="e">
        <f>AND(Sheet1!K965,"AAAAAF3aXpc=")</f>
        <v>#VALUE!</v>
      </c>
      <c r="EW72" t="e">
        <f>AND(Sheet1!L965,"AAAAAF3aXpg=")</f>
        <v>#VALUE!</v>
      </c>
      <c r="EX72" t="e">
        <f>AND(Sheet1!M965,"AAAAAF3aXpk=")</f>
        <v>#VALUE!</v>
      </c>
      <c r="EY72" t="e">
        <f>AND(Sheet1!N965,"AAAAAF3aXpo=")</f>
        <v>#VALUE!</v>
      </c>
      <c r="EZ72" t="e">
        <f>AND(Sheet1!#REF!,"AAAAAF3aXps=")</f>
        <v>#REF!</v>
      </c>
      <c r="FA72" t="e">
        <f>AND(Sheet1!#REF!,"AAAAAF3aXpw=")</f>
        <v>#REF!</v>
      </c>
      <c r="FB72" t="e">
        <f>AND(Sheet1!#REF!,"AAAAAF3aXp0=")</f>
        <v>#REF!</v>
      </c>
      <c r="FC72" t="e">
        <f>AND(Sheet1!#REF!,"AAAAAF3aXp4=")</f>
        <v>#REF!</v>
      </c>
      <c r="FD72">
        <f>IF(Sheet1!966:966,"AAAAAF3aXp8=",0)</f>
        <v>0</v>
      </c>
      <c r="FE72" t="e">
        <f>AND(Sheet1!A966,"AAAAAF3aXqA=")</f>
        <v>#VALUE!</v>
      </c>
      <c r="FF72" t="e">
        <f>AND(Sheet1!B966,"AAAAAF3aXqE=")</f>
        <v>#VALUE!</v>
      </c>
      <c r="FG72" t="e">
        <f>AND(Sheet1!C966,"AAAAAF3aXqI=")</f>
        <v>#VALUE!</v>
      </c>
      <c r="FH72" t="e">
        <f>AND(Sheet1!D966,"AAAAAF3aXqM=")</f>
        <v>#VALUE!</v>
      </c>
      <c r="FI72" t="e">
        <f>AND(Sheet1!E966,"AAAAAF3aXqQ=")</f>
        <v>#VALUE!</v>
      </c>
      <c r="FJ72" t="e">
        <f>AND(Sheet1!F966,"AAAAAF3aXqU=")</f>
        <v>#VALUE!</v>
      </c>
      <c r="FK72" t="e">
        <f>AND(Sheet1!G966,"AAAAAF3aXqY=")</f>
        <v>#VALUE!</v>
      </c>
      <c r="FL72" t="e">
        <f>AND(Sheet1!H966,"AAAAAF3aXqc=")</f>
        <v>#VALUE!</v>
      </c>
      <c r="FM72" t="e">
        <f>AND(Sheet1!I966,"AAAAAF3aXqg=")</f>
        <v>#VALUE!</v>
      </c>
      <c r="FN72" t="e">
        <f>AND(Sheet1!J966,"AAAAAF3aXqk=")</f>
        <v>#VALUE!</v>
      </c>
      <c r="FO72" t="e">
        <f>AND(Sheet1!K966,"AAAAAF3aXqo=")</f>
        <v>#VALUE!</v>
      </c>
      <c r="FP72" t="e">
        <f>AND(Sheet1!L966,"AAAAAF3aXqs=")</f>
        <v>#VALUE!</v>
      </c>
      <c r="FQ72" t="e">
        <f>AND(Sheet1!M966,"AAAAAF3aXqw=")</f>
        <v>#VALUE!</v>
      </c>
      <c r="FR72" t="e">
        <f>AND(Sheet1!N966,"AAAAAF3aXq0=")</f>
        <v>#VALUE!</v>
      </c>
      <c r="FS72" t="e">
        <f>AND(Sheet1!#REF!,"AAAAAF3aXq4=")</f>
        <v>#REF!</v>
      </c>
      <c r="FT72" t="e">
        <f>AND(Sheet1!#REF!,"AAAAAF3aXq8=")</f>
        <v>#REF!</v>
      </c>
      <c r="FU72" t="e">
        <f>AND(Sheet1!#REF!,"AAAAAF3aXrA=")</f>
        <v>#REF!</v>
      </c>
      <c r="FV72" t="e">
        <f>AND(Sheet1!#REF!,"AAAAAF3aXrE=")</f>
        <v>#REF!</v>
      </c>
      <c r="FW72">
        <f>IF(Sheet1!967:967,"AAAAAF3aXrI=",0)</f>
        <v>0</v>
      </c>
      <c r="FX72" t="e">
        <f>AND(Sheet1!A967,"AAAAAF3aXrM=")</f>
        <v>#VALUE!</v>
      </c>
      <c r="FY72" t="e">
        <f>AND(Sheet1!B967,"AAAAAF3aXrQ=")</f>
        <v>#VALUE!</v>
      </c>
      <c r="FZ72" t="e">
        <f>AND(Sheet1!C967,"AAAAAF3aXrU=")</f>
        <v>#VALUE!</v>
      </c>
      <c r="GA72" t="e">
        <f>AND(Sheet1!D967,"AAAAAF3aXrY=")</f>
        <v>#VALUE!</v>
      </c>
      <c r="GB72" t="e">
        <f>AND(Sheet1!E967,"AAAAAF3aXrc=")</f>
        <v>#VALUE!</v>
      </c>
      <c r="GC72" t="e">
        <f>AND(Sheet1!F967,"AAAAAF3aXrg=")</f>
        <v>#VALUE!</v>
      </c>
      <c r="GD72" t="e">
        <f>AND(Sheet1!G967,"AAAAAF3aXrk=")</f>
        <v>#VALUE!</v>
      </c>
      <c r="GE72" t="e">
        <f>AND(Sheet1!H967,"AAAAAF3aXro=")</f>
        <v>#VALUE!</v>
      </c>
      <c r="GF72" t="e">
        <f>AND(Sheet1!I967,"AAAAAF3aXrs=")</f>
        <v>#VALUE!</v>
      </c>
      <c r="GG72" t="e">
        <f>AND(Sheet1!J967,"AAAAAF3aXrw=")</f>
        <v>#VALUE!</v>
      </c>
      <c r="GH72" t="e">
        <f>AND(Sheet1!K967,"AAAAAF3aXr0=")</f>
        <v>#VALUE!</v>
      </c>
      <c r="GI72" t="e">
        <f>AND(Sheet1!L967,"AAAAAF3aXr4=")</f>
        <v>#VALUE!</v>
      </c>
      <c r="GJ72" t="e">
        <f>AND(Sheet1!M967,"AAAAAF3aXr8=")</f>
        <v>#VALUE!</v>
      </c>
      <c r="GK72" t="e">
        <f>AND(Sheet1!N967,"AAAAAF3aXsA=")</f>
        <v>#VALUE!</v>
      </c>
      <c r="GL72" t="e">
        <f>AND(Sheet1!#REF!,"AAAAAF3aXsE=")</f>
        <v>#REF!</v>
      </c>
      <c r="GM72" t="e">
        <f>AND(Sheet1!#REF!,"AAAAAF3aXsI=")</f>
        <v>#REF!</v>
      </c>
      <c r="GN72" t="e">
        <f>AND(Sheet1!#REF!,"AAAAAF3aXsM=")</f>
        <v>#REF!</v>
      </c>
      <c r="GO72" t="e">
        <f>AND(Sheet1!#REF!,"AAAAAF3aXsQ=")</f>
        <v>#REF!</v>
      </c>
      <c r="GP72">
        <f>IF(Sheet1!968:968,"AAAAAF3aXsU=",0)</f>
        <v>0</v>
      </c>
      <c r="GQ72" t="e">
        <f>AND(Sheet1!A968,"AAAAAF3aXsY=")</f>
        <v>#VALUE!</v>
      </c>
      <c r="GR72" t="e">
        <f>AND(Sheet1!B968,"AAAAAF3aXsc=")</f>
        <v>#VALUE!</v>
      </c>
      <c r="GS72" t="e">
        <f>AND(Sheet1!C968,"AAAAAF3aXsg=")</f>
        <v>#VALUE!</v>
      </c>
      <c r="GT72" t="e">
        <f>AND(Sheet1!D968,"AAAAAF3aXsk=")</f>
        <v>#VALUE!</v>
      </c>
      <c r="GU72" t="e">
        <f>AND(Sheet1!E968,"AAAAAF3aXso=")</f>
        <v>#VALUE!</v>
      </c>
      <c r="GV72" t="e">
        <f>AND(Sheet1!F968,"AAAAAF3aXss=")</f>
        <v>#VALUE!</v>
      </c>
      <c r="GW72" t="e">
        <f>AND(Sheet1!G968,"AAAAAF3aXsw=")</f>
        <v>#VALUE!</v>
      </c>
      <c r="GX72" t="e">
        <f>AND(Sheet1!H968,"AAAAAF3aXs0=")</f>
        <v>#VALUE!</v>
      </c>
      <c r="GY72" t="e">
        <f>AND(Sheet1!I968,"AAAAAF3aXs4=")</f>
        <v>#VALUE!</v>
      </c>
      <c r="GZ72" t="e">
        <f>AND(Sheet1!J968,"AAAAAF3aXs8=")</f>
        <v>#VALUE!</v>
      </c>
      <c r="HA72" t="e">
        <f>AND(Sheet1!K968,"AAAAAF3aXtA=")</f>
        <v>#VALUE!</v>
      </c>
      <c r="HB72" t="e">
        <f>AND(Sheet1!L968,"AAAAAF3aXtE=")</f>
        <v>#VALUE!</v>
      </c>
      <c r="HC72" t="e">
        <f>AND(Sheet1!M968,"AAAAAF3aXtI=")</f>
        <v>#VALUE!</v>
      </c>
      <c r="HD72" t="e">
        <f>AND(Sheet1!N968,"AAAAAF3aXtM=")</f>
        <v>#VALUE!</v>
      </c>
      <c r="HE72" t="e">
        <f>AND(Sheet1!#REF!,"AAAAAF3aXtQ=")</f>
        <v>#REF!</v>
      </c>
      <c r="HF72" t="e">
        <f>AND(Sheet1!#REF!,"AAAAAF3aXtU=")</f>
        <v>#REF!</v>
      </c>
      <c r="HG72" t="e">
        <f>AND(Sheet1!#REF!,"AAAAAF3aXtY=")</f>
        <v>#REF!</v>
      </c>
      <c r="HH72" t="e">
        <f>AND(Sheet1!#REF!,"AAAAAF3aXtc=")</f>
        <v>#REF!</v>
      </c>
      <c r="HI72">
        <f>IF(Sheet1!969:969,"AAAAAF3aXtg=",0)</f>
        <v>0</v>
      </c>
      <c r="HJ72" t="e">
        <f>AND(Sheet1!A969,"AAAAAF3aXtk=")</f>
        <v>#VALUE!</v>
      </c>
      <c r="HK72" t="e">
        <f>AND(Sheet1!B969,"AAAAAF3aXto=")</f>
        <v>#VALUE!</v>
      </c>
      <c r="HL72" t="e">
        <f>AND(Sheet1!C969,"AAAAAF3aXts=")</f>
        <v>#VALUE!</v>
      </c>
      <c r="HM72" t="e">
        <f>AND(Sheet1!D969,"AAAAAF3aXtw=")</f>
        <v>#VALUE!</v>
      </c>
      <c r="HN72" t="e">
        <f>AND(Sheet1!E969,"AAAAAF3aXt0=")</f>
        <v>#VALUE!</v>
      </c>
      <c r="HO72" t="e">
        <f>AND(Sheet1!F969,"AAAAAF3aXt4=")</f>
        <v>#VALUE!</v>
      </c>
      <c r="HP72" t="e">
        <f>AND(Sheet1!G969,"AAAAAF3aXt8=")</f>
        <v>#VALUE!</v>
      </c>
      <c r="HQ72" t="e">
        <f>AND(Sheet1!H969,"AAAAAF3aXuA=")</f>
        <v>#VALUE!</v>
      </c>
      <c r="HR72" t="e">
        <f>AND(Sheet1!I969,"AAAAAF3aXuE=")</f>
        <v>#VALUE!</v>
      </c>
      <c r="HS72" t="e">
        <f>AND(Sheet1!J969,"AAAAAF3aXuI=")</f>
        <v>#VALUE!</v>
      </c>
      <c r="HT72" t="e">
        <f>AND(Sheet1!K969,"AAAAAF3aXuM=")</f>
        <v>#VALUE!</v>
      </c>
      <c r="HU72" t="e">
        <f>AND(Sheet1!L969,"AAAAAF3aXuQ=")</f>
        <v>#VALUE!</v>
      </c>
      <c r="HV72" t="e">
        <f>AND(Sheet1!M969,"AAAAAF3aXuU=")</f>
        <v>#VALUE!</v>
      </c>
      <c r="HW72" t="e">
        <f>AND(Sheet1!N969,"AAAAAF3aXuY=")</f>
        <v>#VALUE!</v>
      </c>
      <c r="HX72" t="e">
        <f>AND(Sheet1!#REF!,"AAAAAF3aXuc=")</f>
        <v>#REF!</v>
      </c>
      <c r="HY72" t="e">
        <f>AND(Sheet1!#REF!,"AAAAAF3aXug=")</f>
        <v>#REF!</v>
      </c>
      <c r="HZ72" t="e">
        <f>AND(Sheet1!#REF!,"AAAAAF3aXuk=")</f>
        <v>#REF!</v>
      </c>
      <c r="IA72" t="e">
        <f>AND(Sheet1!#REF!,"AAAAAF3aXuo=")</f>
        <v>#REF!</v>
      </c>
      <c r="IB72">
        <f>IF(Sheet1!970:970,"AAAAAF3aXus=",0)</f>
        <v>0</v>
      </c>
      <c r="IC72" t="e">
        <f>AND(Sheet1!A970,"AAAAAF3aXuw=")</f>
        <v>#VALUE!</v>
      </c>
      <c r="ID72" t="e">
        <f>AND(Sheet1!B970,"AAAAAF3aXu0=")</f>
        <v>#VALUE!</v>
      </c>
      <c r="IE72" t="e">
        <f>AND(Sheet1!C970,"AAAAAF3aXu4=")</f>
        <v>#VALUE!</v>
      </c>
      <c r="IF72" t="e">
        <f>AND(Sheet1!D970,"AAAAAF3aXu8=")</f>
        <v>#VALUE!</v>
      </c>
      <c r="IG72" t="e">
        <f>AND(Sheet1!E970,"AAAAAF3aXvA=")</f>
        <v>#VALUE!</v>
      </c>
      <c r="IH72" t="e">
        <f>AND(Sheet1!F970,"AAAAAF3aXvE=")</f>
        <v>#VALUE!</v>
      </c>
      <c r="II72" t="e">
        <f>AND(Sheet1!G970,"AAAAAF3aXvI=")</f>
        <v>#VALUE!</v>
      </c>
      <c r="IJ72" t="e">
        <f>AND(Sheet1!H970,"AAAAAF3aXvM=")</f>
        <v>#VALUE!</v>
      </c>
      <c r="IK72" t="e">
        <f>AND(Sheet1!I970,"AAAAAF3aXvQ=")</f>
        <v>#VALUE!</v>
      </c>
      <c r="IL72" t="e">
        <f>AND(Sheet1!J970,"AAAAAF3aXvU=")</f>
        <v>#VALUE!</v>
      </c>
      <c r="IM72" t="e">
        <f>AND(Sheet1!K970,"AAAAAF3aXvY=")</f>
        <v>#VALUE!</v>
      </c>
      <c r="IN72" t="e">
        <f>AND(Sheet1!L970,"AAAAAF3aXvc=")</f>
        <v>#VALUE!</v>
      </c>
      <c r="IO72" t="e">
        <f>AND(Sheet1!M970,"AAAAAF3aXvg=")</f>
        <v>#VALUE!</v>
      </c>
      <c r="IP72" t="e">
        <f>AND(Sheet1!N970,"AAAAAF3aXvk=")</f>
        <v>#VALUE!</v>
      </c>
      <c r="IQ72" t="e">
        <f>AND(Sheet1!#REF!,"AAAAAF3aXvo=")</f>
        <v>#REF!</v>
      </c>
      <c r="IR72" t="e">
        <f>AND(Sheet1!#REF!,"AAAAAF3aXvs=")</f>
        <v>#REF!</v>
      </c>
      <c r="IS72" t="e">
        <f>AND(Sheet1!#REF!,"AAAAAF3aXvw=")</f>
        <v>#REF!</v>
      </c>
      <c r="IT72" t="e">
        <f>AND(Sheet1!#REF!,"AAAAAF3aXv0=")</f>
        <v>#REF!</v>
      </c>
      <c r="IU72">
        <f>IF(Sheet1!971:971,"AAAAAF3aXv4=",0)</f>
        <v>0</v>
      </c>
      <c r="IV72" t="e">
        <f>AND(Sheet1!A971,"AAAAAF3aXv8=")</f>
        <v>#VALUE!</v>
      </c>
    </row>
    <row r="73" spans="1:256" x14ac:dyDescent="0.2">
      <c r="A73" t="e">
        <f>AND(Sheet1!B971,"AAAAAG+3+AA=")</f>
        <v>#VALUE!</v>
      </c>
      <c r="B73" t="e">
        <f>AND(Sheet1!C971,"AAAAAG+3+AE=")</f>
        <v>#VALUE!</v>
      </c>
      <c r="C73" t="e">
        <f>AND(Sheet1!D971,"AAAAAG+3+AI=")</f>
        <v>#VALUE!</v>
      </c>
      <c r="D73" t="e">
        <f>AND(Sheet1!E971,"AAAAAG+3+AM=")</f>
        <v>#VALUE!</v>
      </c>
      <c r="E73" t="e">
        <f>AND(Sheet1!F971,"AAAAAG+3+AQ=")</f>
        <v>#VALUE!</v>
      </c>
      <c r="F73" t="e">
        <f>AND(Sheet1!G971,"AAAAAG+3+AU=")</f>
        <v>#VALUE!</v>
      </c>
      <c r="G73" t="e">
        <f>AND(Sheet1!H971,"AAAAAG+3+AY=")</f>
        <v>#VALUE!</v>
      </c>
      <c r="H73" t="e">
        <f>AND(Sheet1!I971,"AAAAAG+3+Ac=")</f>
        <v>#VALUE!</v>
      </c>
      <c r="I73" t="e">
        <f>AND(Sheet1!J971,"AAAAAG+3+Ag=")</f>
        <v>#VALUE!</v>
      </c>
      <c r="J73" t="e">
        <f>AND(Sheet1!K971,"AAAAAG+3+Ak=")</f>
        <v>#VALUE!</v>
      </c>
      <c r="K73" t="e">
        <f>AND(Sheet1!L971,"AAAAAG+3+Ao=")</f>
        <v>#VALUE!</v>
      </c>
      <c r="L73" t="e">
        <f>AND(Sheet1!M971,"AAAAAG+3+As=")</f>
        <v>#VALUE!</v>
      </c>
      <c r="M73" t="e">
        <f>AND(Sheet1!N971,"AAAAAG+3+Aw=")</f>
        <v>#VALUE!</v>
      </c>
      <c r="N73" t="e">
        <f>AND(Sheet1!#REF!,"AAAAAG+3+A0=")</f>
        <v>#REF!</v>
      </c>
      <c r="O73" t="e">
        <f>AND(Sheet1!#REF!,"AAAAAG+3+A4=")</f>
        <v>#REF!</v>
      </c>
      <c r="P73" t="e">
        <f>AND(Sheet1!#REF!,"AAAAAG+3+A8=")</f>
        <v>#REF!</v>
      </c>
      <c r="Q73" t="e">
        <f>AND(Sheet1!#REF!,"AAAAAG+3+BA=")</f>
        <v>#REF!</v>
      </c>
      <c r="R73">
        <f>IF(Sheet1!972:972,"AAAAAG+3+BE=",0)</f>
        <v>0</v>
      </c>
      <c r="S73" t="e">
        <f>AND(Sheet1!A972,"AAAAAG+3+BI=")</f>
        <v>#VALUE!</v>
      </c>
      <c r="T73" t="e">
        <f>AND(Sheet1!B972,"AAAAAG+3+BM=")</f>
        <v>#VALUE!</v>
      </c>
      <c r="U73" t="e">
        <f>AND(Sheet1!C972,"AAAAAG+3+BQ=")</f>
        <v>#VALUE!</v>
      </c>
      <c r="V73" t="e">
        <f>AND(Sheet1!D972,"AAAAAG+3+BU=")</f>
        <v>#VALUE!</v>
      </c>
      <c r="W73" t="e">
        <f>AND(Sheet1!E972,"AAAAAG+3+BY=")</f>
        <v>#VALUE!</v>
      </c>
      <c r="X73" t="e">
        <f>AND(Sheet1!F972,"AAAAAG+3+Bc=")</f>
        <v>#VALUE!</v>
      </c>
      <c r="Y73" t="e">
        <f>AND(Sheet1!G972,"AAAAAG+3+Bg=")</f>
        <v>#VALUE!</v>
      </c>
      <c r="Z73" t="e">
        <f>AND(Sheet1!H972,"AAAAAG+3+Bk=")</f>
        <v>#VALUE!</v>
      </c>
      <c r="AA73" t="e">
        <f>AND(Sheet1!I972,"AAAAAG+3+Bo=")</f>
        <v>#VALUE!</v>
      </c>
      <c r="AB73" t="e">
        <f>AND(Sheet1!J972,"AAAAAG+3+Bs=")</f>
        <v>#VALUE!</v>
      </c>
      <c r="AC73" t="e">
        <f>AND(Sheet1!K972,"AAAAAG+3+Bw=")</f>
        <v>#VALUE!</v>
      </c>
      <c r="AD73" t="e">
        <f>AND(Sheet1!L972,"AAAAAG+3+B0=")</f>
        <v>#VALUE!</v>
      </c>
      <c r="AE73" t="e">
        <f>AND(Sheet1!M972,"AAAAAG+3+B4=")</f>
        <v>#VALUE!</v>
      </c>
      <c r="AF73" t="e">
        <f>AND(Sheet1!N972,"AAAAAG+3+B8=")</f>
        <v>#VALUE!</v>
      </c>
      <c r="AG73" t="e">
        <f>AND(Sheet1!#REF!,"AAAAAG+3+CA=")</f>
        <v>#REF!</v>
      </c>
      <c r="AH73" t="e">
        <f>AND(Sheet1!#REF!,"AAAAAG+3+CE=")</f>
        <v>#REF!</v>
      </c>
      <c r="AI73" t="e">
        <f>AND(Sheet1!#REF!,"AAAAAG+3+CI=")</f>
        <v>#REF!</v>
      </c>
      <c r="AJ73" t="e">
        <f>AND(Sheet1!#REF!,"AAAAAG+3+CM=")</f>
        <v>#REF!</v>
      </c>
      <c r="AK73">
        <f>IF(Sheet1!973:973,"AAAAAG+3+CQ=",0)</f>
        <v>0</v>
      </c>
      <c r="AL73" t="e">
        <f>AND(Sheet1!A973,"AAAAAG+3+CU=")</f>
        <v>#VALUE!</v>
      </c>
      <c r="AM73" t="e">
        <f>AND(Sheet1!B973,"AAAAAG+3+CY=")</f>
        <v>#VALUE!</v>
      </c>
      <c r="AN73" t="e">
        <f>AND(Sheet1!C973,"AAAAAG+3+Cc=")</f>
        <v>#VALUE!</v>
      </c>
      <c r="AO73" t="e">
        <f>AND(Sheet1!D973,"AAAAAG+3+Cg=")</f>
        <v>#VALUE!</v>
      </c>
      <c r="AP73" t="e">
        <f>AND(Sheet1!E973,"AAAAAG+3+Ck=")</f>
        <v>#VALUE!</v>
      </c>
      <c r="AQ73" t="e">
        <f>AND(Sheet1!F973,"AAAAAG+3+Co=")</f>
        <v>#VALUE!</v>
      </c>
      <c r="AR73" t="e">
        <f>AND(Sheet1!G973,"AAAAAG+3+Cs=")</f>
        <v>#VALUE!</v>
      </c>
      <c r="AS73" t="e">
        <f>AND(Sheet1!H973,"AAAAAG+3+Cw=")</f>
        <v>#VALUE!</v>
      </c>
      <c r="AT73" t="e">
        <f>AND(Sheet1!I973,"AAAAAG+3+C0=")</f>
        <v>#VALUE!</v>
      </c>
      <c r="AU73" t="e">
        <f>AND(Sheet1!J973,"AAAAAG+3+C4=")</f>
        <v>#VALUE!</v>
      </c>
      <c r="AV73" t="e">
        <f>AND(Sheet1!K973,"AAAAAG+3+C8=")</f>
        <v>#VALUE!</v>
      </c>
      <c r="AW73" t="e">
        <f>AND(Sheet1!L973,"AAAAAG+3+DA=")</f>
        <v>#VALUE!</v>
      </c>
      <c r="AX73" t="e">
        <f>AND(Sheet1!M973,"AAAAAG+3+DE=")</f>
        <v>#VALUE!</v>
      </c>
      <c r="AY73" t="e">
        <f>AND(Sheet1!N973,"AAAAAG+3+DI=")</f>
        <v>#VALUE!</v>
      </c>
      <c r="AZ73" t="e">
        <f>AND(Sheet1!#REF!,"AAAAAG+3+DM=")</f>
        <v>#REF!</v>
      </c>
      <c r="BA73" t="e">
        <f>AND(Sheet1!#REF!,"AAAAAG+3+DQ=")</f>
        <v>#REF!</v>
      </c>
      <c r="BB73" t="e">
        <f>AND(Sheet1!#REF!,"AAAAAG+3+DU=")</f>
        <v>#REF!</v>
      </c>
      <c r="BC73" t="e">
        <f>AND(Sheet1!#REF!,"AAAAAG+3+DY=")</f>
        <v>#REF!</v>
      </c>
      <c r="BD73">
        <f>IF(Sheet1!974:974,"AAAAAG+3+Dc=",0)</f>
        <v>0</v>
      </c>
      <c r="BE73" t="e">
        <f>AND(Sheet1!A974,"AAAAAG+3+Dg=")</f>
        <v>#VALUE!</v>
      </c>
      <c r="BF73" t="e">
        <f>AND(Sheet1!B974,"AAAAAG+3+Dk=")</f>
        <v>#VALUE!</v>
      </c>
      <c r="BG73" t="e">
        <f>AND(Sheet1!C974,"AAAAAG+3+Do=")</f>
        <v>#VALUE!</v>
      </c>
      <c r="BH73" t="e">
        <f>AND(Sheet1!D974,"AAAAAG+3+Ds=")</f>
        <v>#VALUE!</v>
      </c>
      <c r="BI73" t="e">
        <f>AND(Sheet1!E974,"AAAAAG+3+Dw=")</f>
        <v>#VALUE!</v>
      </c>
      <c r="BJ73" t="e">
        <f>AND(Sheet1!F974,"AAAAAG+3+D0=")</f>
        <v>#VALUE!</v>
      </c>
      <c r="BK73" t="e">
        <f>AND(Sheet1!G974,"AAAAAG+3+D4=")</f>
        <v>#VALUE!</v>
      </c>
      <c r="BL73" t="e">
        <f>AND(Sheet1!H974,"AAAAAG+3+D8=")</f>
        <v>#VALUE!</v>
      </c>
      <c r="BM73" t="e">
        <f>AND(Sheet1!I974,"AAAAAG+3+EA=")</f>
        <v>#VALUE!</v>
      </c>
      <c r="BN73" t="e">
        <f>AND(Sheet1!J974,"AAAAAG+3+EE=")</f>
        <v>#VALUE!</v>
      </c>
      <c r="BO73" t="e">
        <f>AND(Sheet1!K974,"AAAAAG+3+EI=")</f>
        <v>#VALUE!</v>
      </c>
      <c r="BP73" t="e">
        <f>AND(Sheet1!L974,"AAAAAG+3+EM=")</f>
        <v>#VALUE!</v>
      </c>
      <c r="BQ73" t="e">
        <f>AND(Sheet1!M974,"AAAAAG+3+EQ=")</f>
        <v>#VALUE!</v>
      </c>
      <c r="BR73" t="e">
        <f>AND(Sheet1!N974,"AAAAAG+3+EU=")</f>
        <v>#VALUE!</v>
      </c>
      <c r="BS73" t="e">
        <f>AND(Sheet1!#REF!,"AAAAAG+3+EY=")</f>
        <v>#REF!</v>
      </c>
      <c r="BT73" t="e">
        <f>AND(Sheet1!#REF!,"AAAAAG+3+Ec=")</f>
        <v>#REF!</v>
      </c>
      <c r="BU73" t="e">
        <f>AND(Sheet1!#REF!,"AAAAAG+3+Eg=")</f>
        <v>#REF!</v>
      </c>
      <c r="BV73" t="e">
        <f>AND(Sheet1!#REF!,"AAAAAG+3+Ek=")</f>
        <v>#REF!</v>
      </c>
      <c r="BW73">
        <f>IF(Sheet1!975:975,"AAAAAG+3+Eo=",0)</f>
        <v>0</v>
      </c>
      <c r="BX73" t="e">
        <f>AND(Sheet1!A975,"AAAAAG+3+Es=")</f>
        <v>#VALUE!</v>
      </c>
      <c r="BY73" t="e">
        <f>AND(Sheet1!B975,"AAAAAG+3+Ew=")</f>
        <v>#VALUE!</v>
      </c>
      <c r="BZ73" t="e">
        <f>AND(Sheet1!C975,"AAAAAG+3+E0=")</f>
        <v>#VALUE!</v>
      </c>
      <c r="CA73" t="e">
        <f>AND(Sheet1!D975,"AAAAAG+3+E4=")</f>
        <v>#VALUE!</v>
      </c>
      <c r="CB73" t="e">
        <f>AND(Sheet1!E975,"AAAAAG+3+E8=")</f>
        <v>#VALUE!</v>
      </c>
      <c r="CC73" t="e">
        <f>AND(Sheet1!F975,"AAAAAG+3+FA=")</f>
        <v>#VALUE!</v>
      </c>
      <c r="CD73" t="e">
        <f>AND(Sheet1!G975,"AAAAAG+3+FE=")</f>
        <v>#VALUE!</v>
      </c>
      <c r="CE73" t="e">
        <f>AND(Sheet1!H975,"AAAAAG+3+FI=")</f>
        <v>#VALUE!</v>
      </c>
      <c r="CF73" t="e">
        <f>AND(Sheet1!I975,"AAAAAG+3+FM=")</f>
        <v>#VALUE!</v>
      </c>
      <c r="CG73" t="e">
        <f>AND(Sheet1!J975,"AAAAAG+3+FQ=")</f>
        <v>#VALUE!</v>
      </c>
      <c r="CH73" t="e">
        <f>AND(Sheet1!K975,"AAAAAG+3+FU=")</f>
        <v>#VALUE!</v>
      </c>
      <c r="CI73" t="e">
        <f>AND(Sheet1!L975,"AAAAAG+3+FY=")</f>
        <v>#VALUE!</v>
      </c>
      <c r="CJ73" t="e">
        <f>AND(Sheet1!M975,"AAAAAG+3+Fc=")</f>
        <v>#VALUE!</v>
      </c>
      <c r="CK73" t="e">
        <f>AND(Sheet1!N975,"AAAAAG+3+Fg=")</f>
        <v>#VALUE!</v>
      </c>
      <c r="CL73" t="e">
        <f>AND(Sheet1!#REF!,"AAAAAG+3+Fk=")</f>
        <v>#REF!</v>
      </c>
      <c r="CM73" t="e">
        <f>AND(Sheet1!#REF!,"AAAAAG+3+Fo=")</f>
        <v>#REF!</v>
      </c>
      <c r="CN73" t="e">
        <f>AND(Sheet1!#REF!,"AAAAAG+3+Fs=")</f>
        <v>#REF!</v>
      </c>
      <c r="CO73" t="e">
        <f>AND(Sheet1!#REF!,"AAAAAG+3+Fw=")</f>
        <v>#REF!</v>
      </c>
      <c r="CP73">
        <f>IF(Sheet1!976:976,"AAAAAG+3+F0=",0)</f>
        <v>0</v>
      </c>
      <c r="CQ73" t="e">
        <f>AND(Sheet1!A976,"AAAAAG+3+F4=")</f>
        <v>#VALUE!</v>
      </c>
      <c r="CR73" t="e">
        <f>AND(Sheet1!B976,"AAAAAG+3+F8=")</f>
        <v>#VALUE!</v>
      </c>
      <c r="CS73" t="e">
        <f>AND(Sheet1!C976,"AAAAAG+3+GA=")</f>
        <v>#VALUE!</v>
      </c>
      <c r="CT73" t="e">
        <f>AND(Sheet1!D976,"AAAAAG+3+GE=")</f>
        <v>#VALUE!</v>
      </c>
      <c r="CU73" t="e">
        <f>AND(Sheet1!E976,"AAAAAG+3+GI=")</f>
        <v>#VALUE!</v>
      </c>
      <c r="CV73" t="e">
        <f>AND(Sheet1!F976,"AAAAAG+3+GM=")</f>
        <v>#VALUE!</v>
      </c>
      <c r="CW73" t="e">
        <f>AND(Sheet1!G976,"AAAAAG+3+GQ=")</f>
        <v>#VALUE!</v>
      </c>
      <c r="CX73" t="e">
        <f>AND(Sheet1!H976,"AAAAAG+3+GU=")</f>
        <v>#VALUE!</v>
      </c>
      <c r="CY73" t="e">
        <f>AND(Sheet1!I976,"AAAAAG+3+GY=")</f>
        <v>#VALUE!</v>
      </c>
      <c r="CZ73" t="e">
        <f>AND(Sheet1!J976,"AAAAAG+3+Gc=")</f>
        <v>#VALUE!</v>
      </c>
      <c r="DA73" t="e">
        <f>AND(Sheet1!K976,"AAAAAG+3+Gg=")</f>
        <v>#VALUE!</v>
      </c>
      <c r="DB73" t="e">
        <f>AND(Sheet1!L976,"AAAAAG+3+Gk=")</f>
        <v>#VALUE!</v>
      </c>
      <c r="DC73" t="e">
        <f>AND(Sheet1!M976,"AAAAAG+3+Go=")</f>
        <v>#VALUE!</v>
      </c>
      <c r="DD73" t="e">
        <f>AND(Sheet1!N976,"AAAAAG+3+Gs=")</f>
        <v>#VALUE!</v>
      </c>
      <c r="DE73" t="e">
        <f>AND(Sheet1!#REF!,"AAAAAG+3+Gw=")</f>
        <v>#REF!</v>
      </c>
      <c r="DF73" t="e">
        <f>AND(Sheet1!#REF!,"AAAAAG+3+G0=")</f>
        <v>#REF!</v>
      </c>
      <c r="DG73" t="e">
        <f>AND(Sheet1!#REF!,"AAAAAG+3+G4=")</f>
        <v>#REF!</v>
      </c>
      <c r="DH73" t="e">
        <f>AND(Sheet1!#REF!,"AAAAAG+3+G8=")</f>
        <v>#REF!</v>
      </c>
      <c r="DI73">
        <f>IF(Sheet1!977:977,"AAAAAG+3+HA=",0)</f>
        <v>0</v>
      </c>
      <c r="DJ73" t="e">
        <f>AND(Sheet1!A977,"AAAAAG+3+HE=")</f>
        <v>#VALUE!</v>
      </c>
      <c r="DK73" t="e">
        <f>AND(Sheet1!B977,"AAAAAG+3+HI=")</f>
        <v>#VALUE!</v>
      </c>
      <c r="DL73" t="e">
        <f>AND(Sheet1!C977,"AAAAAG+3+HM=")</f>
        <v>#VALUE!</v>
      </c>
      <c r="DM73" t="e">
        <f>AND(Sheet1!D977,"AAAAAG+3+HQ=")</f>
        <v>#VALUE!</v>
      </c>
      <c r="DN73" t="e">
        <f>AND(Sheet1!E977,"AAAAAG+3+HU=")</f>
        <v>#VALUE!</v>
      </c>
      <c r="DO73" t="e">
        <f>AND(Sheet1!F977,"AAAAAG+3+HY=")</f>
        <v>#VALUE!</v>
      </c>
      <c r="DP73" t="e">
        <f>AND(Sheet1!G977,"AAAAAG+3+Hc=")</f>
        <v>#VALUE!</v>
      </c>
      <c r="DQ73" t="e">
        <f>AND(Sheet1!H977,"AAAAAG+3+Hg=")</f>
        <v>#VALUE!</v>
      </c>
      <c r="DR73" t="e">
        <f>AND(Sheet1!I977,"AAAAAG+3+Hk=")</f>
        <v>#VALUE!</v>
      </c>
      <c r="DS73" t="e">
        <f>AND(Sheet1!J977,"AAAAAG+3+Ho=")</f>
        <v>#VALUE!</v>
      </c>
      <c r="DT73" t="e">
        <f>AND(Sheet1!K977,"AAAAAG+3+Hs=")</f>
        <v>#VALUE!</v>
      </c>
      <c r="DU73" t="e">
        <f>AND(Sheet1!L977,"AAAAAG+3+Hw=")</f>
        <v>#VALUE!</v>
      </c>
      <c r="DV73" t="e">
        <f>AND(Sheet1!M977,"AAAAAG+3+H0=")</f>
        <v>#VALUE!</v>
      </c>
      <c r="DW73" t="e">
        <f>AND(Sheet1!N977,"AAAAAG+3+H4=")</f>
        <v>#VALUE!</v>
      </c>
      <c r="DX73" t="e">
        <f>AND(Sheet1!#REF!,"AAAAAG+3+H8=")</f>
        <v>#REF!</v>
      </c>
      <c r="DY73" t="e">
        <f>AND(Sheet1!#REF!,"AAAAAG+3+IA=")</f>
        <v>#REF!</v>
      </c>
      <c r="DZ73" t="e">
        <f>AND(Sheet1!#REF!,"AAAAAG+3+IE=")</f>
        <v>#REF!</v>
      </c>
      <c r="EA73" t="e">
        <f>AND(Sheet1!#REF!,"AAAAAG+3+II=")</f>
        <v>#REF!</v>
      </c>
      <c r="EB73">
        <f>IF(Sheet1!978:978,"AAAAAG+3+IM=",0)</f>
        <v>0</v>
      </c>
      <c r="EC73" t="e">
        <f>AND(Sheet1!A978,"AAAAAG+3+IQ=")</f>
        <v>#VALUE!</v>
      </c>
      <c r="ED73" t="e">
        <f>AND(Sheet1!B978,"AAAAAG+3+IU=")</f>
        <v>#VALUE!</v>
      </c>
      <c r="EE73" t="e">
        <f>AND(Sheet1!C978,"AAAAAG+3+IY=")</f>
        <v>#VALUE!</v>
      </c>
      <c r="EF73" t="e">
        <f>AND(Sheet1!D978,"AAAAAG+3+Ic=")</f>
        <v>#VALUE!</v>
      </c>
      <c r="EG73" t="e">
        <f>AND(Sheet1!E978,"AAAAAG+3+Ig=")</f>
        <v>#VALUE!</v>
      </c>
      <c r="EH73" t="e">
        <f>AND(Sheet1!F978,"AAAAAG+3+Ik=")</f>
        <v>#VALUE!</v>
      </c>
      <c r="EI73" t="e">
        <f>AND(Sheet1!G978,"AAAAAG+3+Io=")</f>
        <v>#VALUE!</v>
      </c>
      <c r="EJ73" t="e">
        <f>AND(Sheet1!H978,"AAAAAG+3+Is=")</f>
        <v>#VALUE!</v>
      </c>
      <c r="EK73" t="e">
        <f>AND(Sheet1!I978,"AAAAAG+3+Iw=")</f>
        <v>#VALUE!</v>
      </c>
      <c r="EL73" t="e">
        <f>AND(Sheet1!J978,"AAAAAG+3+I0=")</f>
        <v>#VALUE!</v>
      </c>
      <c r="EM73" t="e">
        <f>AND(Sheet1!K978,"AAAAAG+3+I4=")</f>
        <v>#VALUE!</v>
      </c>
      <c r="EN73" t="e">
        <f>AND(Sheet1!L978,"AAAAAG+3+I8=")</f>
        <v>#VALUE!</v>
      </c>
      <c r="EO73" t="e">
        <f>AND(Sheet1!M978,"AAAAAG+3+JA=")</f>
        <v>#VALUE!</v>
      </c>
      <c r="EP73" t="e">
        <f>AND(Sheet1!N978,"AAAAAG+3+JE=")</f>
        <v>#VALUE!</v>
      </c>
      <c r="EQ73" t="e">
        <f>AND(Sheet1!#REF!,"AAAAAG+3+JI=")</f>
        <v>#REF!</v>
      </c>
      <c r="ER73" t="e">
        <f>AND(Sheet1!#REF!,"AAAAAG+3+JM=")</f>
        <v>#REF!</v>
      </c>
      <c r="ES73" t="e">
        <f>AND(Sheet1!#REF!,"AAAAAG+3+JQ=")</f>
        <v>#REF!</v>
      </c>
      <c r="ET73" t="e">
        <f>AND(Sheet1!#REF!,"AAAAAG+3+JU=")</f>
        <v>#REF!</v>
      </c>
      <c r="EU73">
        <f>IF(Sheet1!979:979,"AAAAAG+3+JY=",0)</f>
        <v>0</v>
      </c>
      <c r="EV73" t="e">
        <f>AND(Sheet1!A979,"AAAAAG+3+Jc=")</f>
        <v>#VALUE!</v>
      </c>
      <c r="EW73" t="e">
        <f>AND(Sheet1!B979,"AAAAAG+3+Jg=")</f>
        <v>#VALUE!</v>
      </c>
      <c r="EX73" t="e">
        <f>AND(Sheet1!C979,"AAAAAG+3+Jk=")</f>
        <v>#VALUE!</v>
      </c>
      <c r="EY73" t="e">
        <f>AND(Sheet1!D979,"AAAAAG+3+Jo=")</f>
        <v>#VALUE!</v>
      </c>
      <c r="EZ73" t="e">
        <f>AND(Sheet1!E979,"AAAAAG+3+Js=")</f>
        <v>#VALUE!</v>
      </c>
      <c r="FA73" t="e">
        <f>AND(Sheet1!F979,"AAAAAG+3+Jw=")</f>
        <v>#VALUE!</v>
      </c>
      <c r="FB73" t="e">
        <f>AND(Sheet1!G979,"AAAAAG+3+J0=")</f>
        <v>#VALUE!</v>
      </c>
      <c r="FC73" t="e">
        <f>AND(Sheet1!H979,"AAAAAG+3+J4=")</f>
        <v>#VALUE!</v>
      </c>
      <c r="FD73" t="e">
        <f>AND(Sheet1!I979,"AAAAAG+3+J8=")</f>
        <v>#VALUE!</v>
      </c>
      <c r="FE73" t="e">
        <f>AND(Sheet1!J979,"AAAAAG+3+KA=")</f>
        <v>#VALUE!</v>
      </c>
      <c r="FF73" t="e">
        <f>AND(Sheet1!K979,"AAAAAG+3+KE=")</f>
        <v>#VALUE!</v>
      </c>
      <c r="FG73" t="e">
        <f>AND(Sheet1!L979,"AAAAAG+3+KI=")</f>
        <v>#VALUE!</v>
      </c>
      <c r="FH73" t="e">
        <f>AND(Sheet1!M979,"AAAAAG+3+KM=")</f>
        <v>#VALUE!</v>
      </c>
      <c r="FI73" t="e">
        <f>AND(Sheet1!N979,"AAAAAG+3+KQ=")</f>
        <v>#VALUE!</v>
      </c>
      <c r="FJ73" t="e">
        <f>AND(Sheet1!#REF!,"AAAAAG+3+KU=")</f>
        <v>#REF!</v>
      </c>
      <c r="FK73" t="e">
        <f>AND(Sheet1!#REF!,"AAAAAG+3+KY=")</f>
        <v>#REF!</v>
      </c>
      <c r="FL73" t="e">
        <f>AND(Sheet1!#REF!,"AAAAAG+3+Kc=")</f>
        <v>#REF!</v>
      </c>
      <c r="FM73" t="e">
        <f>AND(Sheet1!#REF!,"AAAAAG+3+Kg=")</f>
        <v>#REF!</v>
      </c>
      <c r="FN73">
        <f>IF(Sheet1!980:980,"AAAAAG+3+Kk=",0)</f>
        <v>0</v>
      </c>
      <c r="FO73" t="e">
        <f>AND(Sheet1!A980,"AAAAAG+3+Ko=")</f>
        <v>#VALUE!</v>
      </c>
      <c r="FP73" t="e">
        <f>AND(Sheet1!B980,"AAAAAG+3+Ks=")</f>
        <v>#VALUE!</v>
      </c>
      <c r="FQ73" t="e">
        <f>AND(Sheet1!C980,"AAAAAG+3+Kw=")</f>
        <v>#VALUE!</v>
      </c>
      <c r="FR73" t="e">
        <f>AND(Sheet1!D980,"AAAAAG+3+K0=")</f>
        <v>#VALUE!</v>
      </c>
      <c r="FS73" t="e">
        <f>AND(Sheet1!E980,"AAAAAG+3+K4=")</f>
        <v>#VALUE!</v>
      </c>
      <c r="FT73" t="e">
        <f>AND(Sheet1!F980,"AAAAAG+3+K8=")</f>
        <v>#VALUE!</v>
      </c>
      <c r="FU73" t="e">
        <f>AND(Sheet1!G980,"AAAAAG+3+LA=")</f>
        <v>#VALUE!</v>
      </c>
      <c r="FV73" t="e">
        <f>AND(Sheet1!H980,"AAAAAG+3+LE=")</f>
        <v>#VALUE!</v>
      </c>
      <c r="FW73" t="e">
        <f>AND(Sheet1!I980,"AAAAAG+3+LI=")</f>
        <v>#VALUE!</v>
      </c>
      <c r="FX73" t="e">
        <f>AND(Sheet1!J980,"AAAAAG+3+LM=")</f>
        <v>#VALUE!</v>
      </c>
      <c r="FY73" t="e">
        <f>AND(Sheet1!K980,"AAAAAG+3+LQ=")</f>
        <v>#VALUE!</v>
      </c>
      <c r="FZ73" t="e">
        <f>AND(Sheet1!L980,"AAAAAG+3+LU=")</f>
        <v>#VALUE!</v>
      </c>
      <c r="GA73" t="e">
        <f>AND(Sheet1!M980,"AAAAAG+3+LY=")</f>
        <v>#VALUE!</v>
      </c>
      <c r="GB73" t="e">
        <f>AND(Sheet1!N980,"AAAAAG+3+Lc=")</f>
        <v>#VALUE!</v>
      </c>
      <c r="GC73" t="e">
        <f>AND(Sheet1!#REF!,"AAAAAG+3+Lg=")</f>
        <v>#REF!</v>
      </c>
      <c r="GD73" t="e">
        <f>AND(Sheet1!#REF!,"AAAAAG+3+Lk=")</f>
        <v>#REF!</v>
      </c>
      <c r="GE73" t="e">
        <f>AND(Sheet1!#REF!,"AAAAAG+3+Lo=")</f>
        <v>#REF!</v>
      </c>
      <c r="GF73" t="e">
        <f>AND(Sheet1!#REF!,"AAAAAG+3+Ls=")</f>
        <v>#REF!</v>
      </c>
      <c r="GG73">
        <f>IF(Sheet1!981:981,"AAAAAG+3+Lw=",0)</f>
        <v>0</v>
      </c>
      <c r="GH73" t="e">
        <f>AND(Sheet1!A981,"AAAAAG+3+L0=")</f>
        <v>#VALUE!</v>
      </c>
      <c r="GI73" t="e">
        <f>AND(Sheet1!B981,"AAAAAG+3+L4=")</f>
        <v>#VALUE!</v>
      </c>
      <c r="GJ73" t="e">
        <f>AND(Sheet1!C981,"AAAAAG+3+L8=")</f>
        <v>#VALUE!</v>
      </c>
      <c r="GK73" t="e">
        <f>AND(Sheet1!D981,"AAAAAG+3+MA=")</f>
        <v>#VALUE!</v>
      </c>
      <c r="GL73" t="e">
        <f>AND(Sheet1!E981,"AAAAAG+3+ME=")</f>
        <v>#VALUE!</v>
      </c>
      <c r="GM73" t="e">
        <f>AND(Sheet1!F981,"AAAAAG+3+MI=")</f>
        <v>#VALUE!</v>
      </c>
      <c r="GN73" t="e">
        <f>AND(Sheet1!G981,"AAAAAG+3+MM=")</f>
        <v>#VALUE!</v>
      </c>
      <c r="GO73" t="e">
        <f>AND(Sheet1!H981,"AAAAAG+3+MQ=")</f>
        <v>#VALUE!</v>
      </c>
      <c r="GP73" t="e">
        <f>AND(Sheet1!I981,"AAAAAG+3+MU=")</f>
        <v>#VALUE!</v>
      </c>
      <c r="GQ73" t="e">
        <f>AND(Sheet1!J981,"AAAAAG+3+MY=")</f>
        <v>#VALUE!</v>
      </c>
      <c r="GR73" t="e">
        <f>AND(Sheet1!K981,"AAAAAG+3+Mc=")</f>
        <v>#VALUE!</v>
      </c>
      <c r="GS73" t="e">
        <f>AND(Sheet1!L981,"AAAAAG+3+Mg=")</f>
        <v>#VALUE!</v>
      </c>
      <c r="GT73" t="e">
        <f>AND(Sheet1!M981,"AAAAAG+3+Mk=")</f>
        <v>#VALUE!</v>
      </c>
      <c r="GU73" t="e">
        <f>AND(Sheet1!N981,"AAAAAG+3+Mo=")</f>
        <v>#VALUE!</v>
      </c>
      <c r="GV73" t="e">
        <f>AND(Sheet1!#REF!,"AAAAAG+3+Ms=")</f>
        <v>#REF!</v>
      </c>
      <c r="GW73" t="e">
        <f>AND(Sheet1!#REF!,"AAAAAG+3+Mw=")</f>
        <v>#REF!</v>
      </c>
      <c r="GX73" t="e">
        <f>AND(Sheet1!#REF!,"AAAAAG+3+M0=")</f>
        <v>#REF!</v>
      </c>
      <c r="GY73" t="e">
        <f>AND(Sheet1!#REF!,"AAAAAG+3+M4=")</f>
        <v>#REF!</v>
      </c>
      <c r="GZ73">
        <f>IF(Sheet1!982:982,"AAAAAG+3+M8=",0)</f>
        <v>0</v>
      </c>
      <c r="HA73" t="e">
        <f>AND(Sheet1!A982,"AAAAAG+3+NA=")</f>
        <v>#VALUE!</v>
      </c>
      <c r="HB73" t="e">
        <f>AND(Sheet1!B982,"AAAAAG+3+NE=")</f>
        <v>#VALUE!</v>
      </c>
      <c r="HC73" t="e">
        <f>AND(Sheet1!C982,"AAAAAG+3+NI=")</f>
        <v>#VALUE!</v>
      </c>
      <c r="HD73" t="e">
        <f>AND(Sheet1!D982,"AAAAAG+3+NM=")</f>
        <v>#VALUE!</v>
      </c>
      <c r="HE73" t="e">
        <f>AND(Sheet1!E982,"AAAAAG+3+NQ=")</f>
        <v>#VALUE!</v>
      </c>
      <c r="HF73" t="e">
        <f>AND(Sheet1!F982,"AAAAAG+3+NU=")</f>
        <v>#VALUE!</v>
      </c>
      <c r="HG73" t="e">
        <f>AND(Sheet1!G982,"AAAAAG+3+NY=")</f>
        <v>#VALUE!</v>
      </c>
      <c r="HH73" t="e">
        <f>AND(Sheet1!H982,"AAAAAG+3+Nc=")</f>
        <v>#VALUE!</v>
      </c>
      <c r="HI73" t="e">
        <f>AND(Sheet1!I982,"AAAAAG+3+Ng=")</f>
        <v>#VALUE!</v>
      </c>
      <c r="HJ73" t="e">
        <f>AND(Sheet1!J982,"AAAAAG+3+Nk=")</f>
        <v>#VALUE!</v>
      </c>
      <c r="HK73" t="e">
        <f>AND(Sheet1!K982,"AAAAAG+3+No=")</f>
        <v>#VALUE!</v>
      </c>
      <c r="HL73" t="e">
        <f>AND(Sheet1!L982,"AAAAAG+3+Ns=")</f>
        <v>#VALUE!</v>
      </c>
      <c r="HM73" t="e">
        <f>AND(Sheet1!M982,"AAAAAG+3+Nw=")</f>
        <v>#VALUE!</v>
      </c>
      <c r="HN73" t="e">
        <f>AND(Sheet1!N982,"AAAAAG+3+N0=")</f>
        <v>#VALUE!</v>
      </c>
      <c r="HO73" t="e">
        <f>AND(Sheet1!#REF!,"AAAAAG+3+N4=")</f>
        <v>#REF!</v>
      </c>
      <c r="HP73" t="e">
        <f>AND(Sheet1!#REF!,"AAAAAG+3+N8=")</f>
        <v>#REF!</v>
      </c>
      <c r="HQ73" t="e">
        <f>AND(Sheet1!#REF!,"AAAAAG+3+OA=")</f>
        <v>#REF!</v>
      </c>
      <c r="HR73" t="e">
        <f>AND(Sheet1!#REF!,"AAAAAG+3+OE=")</f>
        <v>#REF!</v>
      </c>
      <c r="HS73">
        <f>IF(Sheet1!983:983,"AAAAAG+3+OI=",0)</f>
        <v>0</v>
      </c>
      <c r="HT73" t="e">
        <f>AND(Sheet1!A983,"AAAAAG+3+OM=")</f>
        <v>#VALUE!</v>
      </c>
      <c r="HU73" t="e">
        <f>AND(Sheet1!B983,"AAAAAG+3+OQ=")</f>
        <v>#VALUE!</v>
      </c>
      <c r="HV73" t="e">
        <f>AND(Sheet1!C983,"AAAAAG+3+OU=")</f>
        <v>#VALUE!</v>
      </c>
      <c r="HW73" t="e">
        <f>AND(Sheet1!D983,"AAAAAG+3+OY=")</f>
        <v>#VALUE!</v>
      </c>
      <c r="HX73" t="e">
        <f>AND(Sheet1!E983,"AAAAAG+3+Oc=")</f>
        <v>#VALUE!</v>
      </c>
      <c r="HY73" t="e">
        <f>AND(Sheet1!F983,"AAAAAG+3+Og=")</f>
        <v>#VALUE!</v>
      </c>
      <c r="HZ73" t="e">
        <f>AND(Sheet1!G983,"AAAAAG+3+Ok=")</f>
        <v>#VALUE!</v>
      </c>
      <c r="IA73" t="e">
        <f>AND(Sheet1!H983,"AAAAAG+3+Oo=")</f>
        <v>#VALUE!</v>
      </c>
      <c r="IB73" t="e">
        <f>AND(Sheet1!I983,"AAAAAG+3+Os=")</f>
        <v>#VALUE!</v>
      </c>
      <c r="IC73" t="e">
        <f>AND(Sheet1!J983,"AAAAAG+3+Ow=")</f>
        <v>#VALUE!</v>
      </c>
      <c r="ID73" t="e">
        <f>AND(Sheet1!K983,"AAAAAG+3+O0=")</f>
        <v>#VALUE!</v>
      </c>
      <c r="IE73" t="e">
        <f>AND(Sheet1!L983,"AAAAAG+3+O4=")</f>
        <v>#VALUE!</v>
      </c>
      <c r="IF73" t="e">
        <f>AND(Sheet1!M983,"AAAAAG+3+O8=")</f>
        <v>#VALUE!</v>
      </c>
      <c r="IG73" t="e">
        <f>AND(Sheet1!N983,"AAAAAG+3+PA=")</f>
        <v>#VALUE!</v>
      </c>
      <c r="IH73" t="e">
        <f>AND(Sheet1!#REF!,"AAAAAG+3+PE=")</f>
        <v>#REF!</v>
      </c>
      <c r="II73" t="e">
        <f>AND(Sheet1!#REF!,"AAAAAG+3+PI=")</f>
        <v>#REF!</v>
      </c>
      <c r="IJ73" t="e">
        <f>AND(Sheet1!#REF!,"AAAAAG+3+PM=")</f>
        <v>#REF!</v>
      </c>
      <c r="IK73" t="e">
        <f>AND(Sheet1!#REF!,"AAAAAG+3+PQ=")</f>
        <v>#REF!</v>
      </c>
      <c r="IL73">
        <f>IF(Sheet1!984:984,"AAAAAG+3+PU=",0)</f>
        <v>0</v>
      </c>
      <c r="IM73" t="e">
        <f>AND(Sheet1!A984,"AAAAAG+3+PY=")</f>
        <v>#VALUE!</v>
      </c>
      <c r="IN73" t="e">
        <f>AND(Sheet1!B984,"AAAAAG+3+Pc=")</f>
        <v>#VALUE!</v>
      </c>
      <c r="IO73" t="e">
        <f>AND(Sheet1!C984,"AAAAAG+3+Pg=")</f>
        <v>#VALUE!</v>
      </c>
      <c r="IP73" t="e">
        <f>AND(Sheet1!D984,"AAAAAG+3+Pk=")</f>
        <v>#VALUE!</v>
      </c>
      <c r="IQ73" t="e">
        <f>AND(Sheet1!E984,"AAAAAG+3+Po=")</f>
        <v>#VALUE!</v>
      </c>
      <c r="IR73" t="e">
        <f>AND(Sheet1!F984,"AAAAAG+3+Ps=")</f>
        <v>#VALUE!</v>
      </c>
      <c r="IS73" t="e">
        <f>AND(Sheet1!G984,"AAAAAG+3+Pw=")</f>
        <v>#VALUE!</v>
      </c>
      <c r="IT73" t="e">
        <f>AND(Sheet1!H984,"AAAAAG+3+P0=")</f>
        <v>#VALUE!</v>
      </c>
      <c r="IU73" t="e">
        <f>AND(Sheet1!I984,"AAAAAG+3+P4=")</f>
        <v>#VALUE!</v>
      </c>
      <c r="IV73" t="e">
        <f>AND(Sheet1!J984,"AAAAAG+3+P8=")</f>
        <v>#VALUE!</v>
      </c>
    </row>
    <row r="74" spans="1:256" x14ac:dyDescent="0.2">
      <c r="A74" t="e">
        <f>AND(Sheet1!K984,"AAAAABm/bgA=")</f>
        <v>#VALUE!</v>
      </c>
      <c r="B74" t="e">
        <f>AND(Sheet1!L984,"AAAAABm/bgE=")</f>
        <v>#VALUE!</v>
      </c>
      <c r="C74" t="e">
        <f>AND(Sheet1!M984,"AAAAABm/bgI=")</f>
        <v>#VALUE!</v>
      </c>
      <c r="D74" t="e">
        <f>AND(Sheet1!N984,"AAAAABm/bgM=")</f>
        <v>#VALUE!</v>
      </c>
      <c r="E74" t="e">
        <f>AND(Sheet1!#REF!,"AAAAABm/bgQ=")</f>
        <v>#REF!</v>
      </c>
      <c r="F74" t="e">
        <f>AND(Sheet1!#REF!,"AAAAABm/bgU=")</f>
        <v>#REF!</v>
      </c>
      <c r="G74" t="e">
        <f>AND(Sheet1!#REF!,"AAAAABm/bgY=")</f>
        <v>#REF!</v>
      </c>
      <c r="H74" t="e">
        <f>AND(Sheet1!#REF!,"AAAAABm/bgc=")</f>
        <v>#REF!</v>
      </c>
      <c r="I74">
        <f>IF(Sheet1!985:985,"AAAAABm/bgg=",0)</f>
        <v>0</v>
      </c>
      <c r="J74" t="e">
        <f>AND(Sheet1!A985,"AAAAABm/bgk=")</f>
        <v>#VALUE!</v>
      </c>
      <c r="K74" t="e">
        <f>AND(Sheet1!B985,"AAAAABm/bgo=")</f>
        <v>#VALUE!</v>
      </c>
      <c r="L74" t="e">
        <f>AND(Sheet1!C985,"AAAAABm/bgs=")</f>
        <v>#VALUE!</v>
      </c>
      <c r="M74" t="e">
        <f>AND(Sheet1!D985,"AAAAABm/bgw=")</f>
        <v>#VALUE!</v>
      </c>
      <c r="N74" t="e">
        <f>AND(Sheet1!E985,"AAAAABm/bg0=")</f>
        <v>#VALUE!</v>
      </c>
      <c r="O74" t="e">
        <f>AND(Sheet1!F985,"AAAAABm/bg4=")</f>
        <v>#VALUE!</v>
      </c>
      <c r="P74" t="e">
        <f>AND(Sheet1!G985,"AAAAABm/bg8=")</f>
        <v>#VALUE!</v>
      </c>
      <c r="Q74" t="e">
        <f>AND(Sheet1!H985,"AAAAABm/bhA=")</f>
        <v>#VALUE!</v>
      </c>
      <c r="R74" t="e">
        <f>AND(Sheet1!I985,"AAAAABm/bhE=")</f>
        <v>#VALUE!</v>
      </c>
      <c r="S74" t="e">
        <f>AND(Sheet1!J985,"AAAAABm/bhI=")</f>
        <v>#VALUE!</v>
      </c>
      <c r="T74" t="e">
        <f>AND(Sheet1!K985,"AAAAABm/bhM=")</f>
        <v>#VALUE!</v>
      </c>
      <c r="U74" t="e">
        <f>AND(Sheet1!L985,"AAAAABm/bhQ=")</f>
        <v>#VALUE!</v>
      </c>
      <c r="V74" t="e">
        <f>AND(Sheet1!M985,"AAAAABm/bhU=")</f>
        <v>#VALUE!</v>
      </c>
      <c r="W74" t="e">
        <f>AND(Sheet1!N985,"AAAAABm/bhY=")</f>
        <v>#VALUE!</v>
      </c>
      <c r="X74" t="e">
        <f>AND(Sheet1!#REF!,"AAAAABm/bhc=")</f>
        <v>#REF!</v>
      </c>
      <c r="Y74" t="e">
        <f>AND(Sheet1!#REF!,"AAAAABm/bhg=")</f>
        <v>#REF!</v>
      </c>
      <c r="Z74" t="e">
        <f>AND(Sheet1!#REF!,"AAAAABm/bhk=")</f>
        <v>#REF!</v>
      </c>
      <c r="AA74" t="e">
        <f>AND(Sheet1!#REF!,"AAAAABm/bho=")</f>
        <v>#REF!</v>
      </c>
      <c r="AB74">
        <f>IF(Sheet1!986:986,"AAAAABm/bhs=",0)</f>
        <v>0</v>
      </c>
      <c r="AC74" t="e">
        <f>AND(Sheet1!A986,"AAAAABm/bhw=")</f>
        <v>#VALUE!</v>
      </c>
      <c r="AD74" t="e">
        <f>AND(Sheet1!B986,"AAAAABm/bh0=")</f>
        <v>#VALUE!</v>
      </c>
      <c r="AE74" t="e">
        <f>AND(Sheet1!C986,"AAAAABm/bh4=")</f>
        <v>#VALUE!</v>
      </c>
      <c r="AF74" t="e">
        <f>AND(Sheet1!D986,"AAAAABm/bh8=")</f>
        <v>#VALUE!</v>
      </c>
      <c r="AG74" t="e">
        <f>AND(Sheet1!E986,"AAAAABm/biA=")</f>
        <v>#VALUE!</v>
      </c>
      <c r="AH74" t="e">
        <f>AND(Sheet1!F986,"AAAAABm/biE=")</f>
        <v>#VALUE!</v>
      </c>
      <c r="AI74" t="e">
        <f>AND(Sheet1!G986,"AAAAABm/biI=")</f>
        <v>#VALUE!</v>
      </c>
      <c r="AJ74" t="e">
        <f>AND(Sheet1!H986,"AAAAABm/biM=")</f>
        <v>#VALUE!</v>
      </c>
      <c r="AK74" t="e">
        <f>AND(Sheet1!I986,"AAAAABm/biQ=")</f>
        <v>#VALUE!</v>
      </c>
      <c r="AL74" t="e">
        <f>AND(Sheet1!J986,"AAAAABm/biU=")</f>
        <v>#VALUE!</v>
      </c>
      <c r="AM74" t="e">
        <f>AND(Sheet1!K986,"AAAAABm/biY=")</f>
        <v>#VALUE!</v>
      </c>
      <c r="AN74" t="e">
        <f>AND(Sheet1!L986,"AAAAABm/bic=")</f>
        <v>#VALUE!</v>
      </c>
      <c r="AO74" t="e">
        <f>AND(Sheet1!M986,"AAAAABm/big=")</f>
        <v>#VALUE!</v>
      </c>
      <c r="AP74" t="e">
        <f>AND(Sheet1!N986,"AAAAABm/bik=")</f>
        <v>#VALUE!</v>
      </c>
      <c r="AQ74" t="e">
        <f>AND(Sheet1!#REF!,"AAAAABm/bio=")</f>
        <v>#REF!</v>
      </c>
      <c r="AR74" t="e">
        <f>AND(Sheet1!#REF!,"AAAAABm/bis=")</f>
        <v>#REF!</v>
      </c>
      <c r="AS74" t="e">
        <f>AND(Sheet1!#REF!,"AAAAABm/biw=")</f>
        <v>#REF!</v>
      </c>
      <c r="AT74" t="e">
        <f>AND(Sheet1!#REF!,"AAAAABm/bi0=")</f>
        <v>#REF!</v>
      </c>
      <c r="AU74">
        <f>IF(Sheet1!987:987,"AAAAABm/bi4=",0)</f>
        <v>0</v>
      </c>
      <c r="AV74" t="e">
        <f>AND(Sheet1!A987,"AAAAABm/bi8=")</f>
        <v>#VALUE!</v>
      </c>
      <c r="AW74" t="e">
        <f>AND(Sheet1!B987,"AAAAABm/bjA=")</f>
        <v>#VALUE!</v>
      </c>
      <c r="AX74" t="e">
        <f>AND(Sheet1!C987,"AAAAABm/bjE=")</f>
        <v>#VALUE!</v>
      </c>
      <c r="AY74" t="e">
        <f>AND(Sheet1!D987,"AAAAABm/bjI=")</f>
        <v>#VALUE!</v>
      </c>
      <c r="AZ74" t="e">
        <f>AND(Sheet1!E987,"AAAAABm/bjM=")</f>
        <v>#VALUE!</v>
      </c>
      <c r="BA74" t="e">
        <f>AND(Sheet1!F987,"AAAAABm/bjQ=")</f>
        <v>#VALUE!</v>
      </c>
      <c r="BB74" t="e">
        <f>AND(Sheet1!G987,"AAAAABm/bjU=")</f>
        <v>#VALUE!</v>
      </c>
      <c r="BC74" t="e">
        <f>AND(Sheet1!H987,"AAAAABm/bjY=")</f>
        <v>#VALUE!</v>
      </c>
      <c r="BD74" t="e">
        <f>AND(Sheet1!I987,"AAAAABm/bjc=")</f>
        <v>#VALUE!</v>
      </c>
      <c r="BE74" t="e">
        <f>AND(Sheet1!J987,"AAAAABm/bjg=")</f>
        <v>#VALUE!</v>
      </c>
      <c r="BF74" t="e">
        <f>AND(Sheet1!K987,"AAAAABm/bjk=")</f>
        <v>#VALUE!</v>
      </c>
      <c r="BG74" t="e">
        <f>AND(Sheet1!L987,"AAAAABm/bjo=")</f>
        <v>#VALUE!</v>
      </c>
      <c r="BH74" t="e">
        <f>AND(Sheet1!M987,"AAAAABm/bjs=")</f>
        <v>#VALUE!</v>
      </c>
      <c r="BI74" t="e">
        <f>AND(Sheet1!N987,"AAAAABm/bjw=")</f>
        <v>#VALUE!</v>
      </c>
      <c r="BJ74" t="e">
        <f>AND(Sheet1!#REF!,"AAAAABm/bj0=")</f>
        <v>#REF!</v>
      </c>
      <c r="BK74" t="e">
        <f>AND(Sheet1!#REF!,"AAAAABm/bj4=")</f>
        <v>#REF!</v>
      </c>
      <c r="BL74" t="e">
        <f>AND(Sheet1!#REF!,"AAAAABm/bj8=")</f>
        <v>#REF!</v>
      </c>
      <c r="BM74" t="e">
        <f>AND(Sheet1!#REF!,"AAAAABm/bkA=")</f>
        <v>#REF!</v>
      </c>
      <c r="BN74">
        <f>IF(Sheet1!988:988,"AAAAABm/bkE=",0)</f>
        <v>0</v>
      </c>
      <c r="BO74" t="e">
        <f>AND(Sheet1!A988,"AAAAABm/bkI=")</f>
        <v>#VALUE!</v>
      </c>
      <c r="BP74" t="e">
        <f>AND(Sheet1!B988,"AAAAABm/bkM=")</f>
        <v>#VALUE!</v>
      </c>
      <c r="BQ74" t="e">
        <f>AND(Sheet1!C988,"AAAAABm/bkQ=")</f>
        <v>#VALUE!</v>
      </c>
      <c r="BR74" t="e">
        <f>AND(Sheet1!D988,"AAAAABm/bkU=")</f>
        <v>#VALUE!</v>
      </c>
      <c r="BS74" t="e">
        <f>AND(Sheet1!E988,"AAAAABm/bkY=")</f>
        <v>#VALUE!</v>
      </c>
      <c r="BT74" t="e">
        <f>AND(Sheet1!F988,"AAAAABm/bkc=")</f>
        <v>#VALUE!</v>
      </c>
      <c r="BU74" t="e">
        <f>AND(Sheet1!G988,"AAAAABm/bkg=")</f>
        <v>#VALUE!</v>
      </c>
      <c r="BV74" t="e">
        <f>AND(Sheet1!H988,"AAAAABm/bkk=")</f>
        <v>#VALUE!</v>
      </c>
      <c r="BW74" t="e">
        <f>AND(Sheet1!I988,"AAAAABm/bko=")</f>
        <v>#VALUE!</v>
      </c>
      <c r="BX74" t="e">
        <f>AND(Sheet1!J988,"AAAAABm/bks=")</f>
        <v>#VALUE!</v>
      </c>
      <c r="BY74" t="e">
        <f>AND(Sheet1!K988,"AAAAABm/bkw=")</f>
        <v>#VALUE!</v>
      </c>
      <c r="BZ74" t="e">
        <f>AND(Sheet1!L988,"AAAAABm/bk0=")</f>
        <v>#VALUE!</v>
      </c>
      <c r="CA74" t="e">
        <f>AND(Sheet1!M988,"AAAAABm/bk4=")</f>
        <v>#VALUE!</v>
      </c>
      <c r="CB74" t="e">
        <f>AND(Sheet1!N988,"AAAAABm/bk8=")</f>
        <v>#VALUE!</v>
      </c>
      <c r="CC74" t="e">
        <f>AND(Sheet1!#REF!,"AAAAABm/blA=")</f>
        <v>#REF!</v>
      </c>
      <c r="CD74" t="e">
        <f>AND(Sheet1!#REF!,"AAAAABm/blE=")</f>
        <v>#REF!</v>
      </c>
      <c r="CE74" t="e">
        <f>AND(Sheet1!#REF!,"AAAAABm/blI=")</f>
        <v>#REF!</v>
      </c>
      <c r="CF74" t="e">
        <f>AND(Sheet1!#REF!,"AAAAABm/blM=")</f>
        <v>#REF!</v>
      </c>
      <c r="CG74">
        <f>IF(Sheet1!989:989,"AAAAABm/blQ=",0)</f>
        <v>0</v>
      </c>
      <c r="CH74" t="e">
        <f>AND(Sheet1!A989,"AAAAABm/blU=")</f>
        <v>#VALUE!</v>
      </c>
      <c r="CI74" t="e">
        <f>AND(Sheet1!B989,"AAAAABm/blY=")</f>
        <v>#VALUE!</v>
      </c>
      <c r="CJ74" t="e">
        <f>AND(Sheet1!C989,"AAAAABm/blc=")</f>
        <v>#VALUE!</v>
      </c>
      <c r="CK74" t="e">
        <f>AND(Sheet1!D989,"AAAAABm/blg=")</f>
        <v>#VALUE!</v>
      </c>
      <c r="CL74" t="e">
        <f>AND(Sheet1!E989,"AAAAABm/blk=")</f>
        <v>#VALUE!</v>
      </c>
      <c r="CM74" t="e">
        <f>AND(Sheet1!F989,"AAAAABm/blo=")</f>
        <v>#VALUE!</v>
      </c>
      <c r="CN74" t="e">
        <f>AND(Sheet1!G989,"AAAAABm/bls=")</f>
        <v>#VALUE!</v>
      </c>
      <c r="CO74" t="e">
        <f>AND(Sheet1!H989,"AAAAABm/blw=")</f>
        <v>#VALUE!</v>
      </c>
      <c r="CP74" t="e">
        <f>AND(Sheet1!I989,"AAAAABm/bl0=")</f>
        <v>#VALUE!</v>
      </c>
      <c r="CQ74" t="e">
        <f>AND(Sheet1!J989,"AAAAABm/bl4=")</f>
        <v>#VALUE!</v>
      </c>
      <c r="CR74" t="e">
        <f>AND(Sheet1!K989,"AAAAABm/bl8=")</f>
        <v>#VALUE!</v>
      </c>
      <c r="CS74" t="e">
        <f>AND(Sheet1!L989,"AAAAABm/bmA=")</f>
        <v>#VALUE!</v>
      </c>
      <c r="CT74" t="e">
        <f>AND(Sheet1!M989,"AAAAABm/bmE=")</f>
        <v>#VALUE!</v>
      </c>
      <c r="CU74" t="e">
        <f>AND(Sheet1!N989,"AAAAABm/bmI=")</f>
        <v>#VALUE!</v>
      </c>
      <c r="CV74" t="e">
        <f>AND(Sheet1!#REF!,"AAAAABm/bmM=")</f>
        <v>#REF!</v>
      </c>
      <c r="CW74" t="e">
        <f>AND(Sheet1!#REF!,"AAAAABm/bmQ=")</f>
        <v>#REF!</v>
      </c>
      <c r="CX74" t="e">
        <f>AND(Sheet1!#REF!,"AAAAABm/bmU=")</f>
        <v>#REF!</v>
      </c>
      <c r="CY74" t="e">
        <f>AND(Sheet1!#REF!,"AAAAABm/bmY=")</f>
        <v>#REF!</v>
      </c>
      <c r="CZ74">
        <f>IF(Sheet1!990:990,"AAAAABm/bmc=",0)</f>
        <v>0</v>
      </c>
      <c r="DA74" t="e">
        <f>AND(Sheet1!A990,"AAAAABm/bmg=")</f>
        <v>#VALUE!</v>
      </c>
      <c r="DB74" t="e">
        <f>AND(Sheet1!B990,"AAAAABm/bmk=")</f>
        <v>#VALUE!</v>
      </c>
      <c r="DC74" t="e">
        <f>AND(Sheet1!C990,"AAAAABm/bmo=")</f>
        <v>#VALUE!</v>
      </c>
      <c r="DD74" t="e">
        <f>AND(Sheet1!D990,"AAAAABm/bms=")</f>
        <v>#VALUE!</v>
      </c>
      <c r="DE74" t="e">
        <f>AND(Sheet1!E990,"AAAAABm/bmw=")</f>
        <v>#VALUE!</v>
      </c>
      <c r="DF74" t="e">
        <f>AND(Sheet1!F990,"AAAAABm/bm0=")</f>
        <v>#VALUE!</v>
      </c>
      <c r="DG74" t="e">
        <f>AND(Sheet1!G990,"AAAAABm/bm4=")</f>
        <v>#VALUE!</v>
      </c>
      <c r="DH74" t="e">
        <f>AND(Sheet1!H990,"AAAAABm/bm8=")</f>
        <v>#VALUE!</v>
      </c>
      <c r="DI74" t="e">
        <f>AND(Sheet1!I990,"AAAAABm/bnA=")</f>
        <v>#VALUE!</v>
      </c>
      <c r="DJ74" t="e">
        <f>AND(Sheet1!J990,"AAAAABm/bnE=")</f>
        <v>#VALUE!</v>
      </c>
      <c r="DK74" t="e">
        <f>AND(Sheet1!K990,"AAAAABm/bnI=")</f>
        <v>#VALUE!</v>
      </c>
      <c r="DL74" t="e">
        <f>AND(Sheet1!L990,"AAAAABm/bnM=")</f>
        <v>#VALUE!</v>
      </c>
      <c r="DM74" t="e">
        <f>AND(Sheet1!M990,"AAAAABm/bnQ=")</f>
        <v>#VALUE!</v>
      </c>
      <c r="DN74" t="e">
        <f>AND(Sheet1!N990,"AAAAABm/bnU=")</f>
        <v>#VALUE!</v>
      </c>
      <c r="DO74" t="e">
        <f>AND(Sheet1!#REF!,"AAAAABm/bnY=")</f>
        <v>#REF!</v>
      </c>
      <c r="DP74" t="e">
        <f>AND(Sheet1!#REF!,"AAAAABm/bnc=")</f>
        <v>#REF!</v>
      </c>
      <c r="DQ74" t="e">
        <f>AND(Sheet1!#REF!,"AAAAABm/bng=")</f>
        <v>#REF!</v>
      </c>
      <c r="DR74" t="e">
        <f>AND(Sheet1!#REF!,"AAAAABm/bnk=")</f>
        <v>#REF!</v>
      </c>
      <c r="DS74">
        <f>IF(Sheet1!991:991,"AAAAABm/bno=",0)</f>
        <v>0</v>
      </c>
      <c r="DT74" t="e">
        <f>AND(Sheet1!A991,"AAAAABm/bns=")</f>
        <v>#VALUE!</v>
      </c>
      <c r="DU74" t="e">
        <f>AND(Sheet1!B991,"AAAAABm/bnw=")</f>
        <v>#VALUE!</v>
      </c>
      <c r="DV74" t="e">
        <f>AND(Sheet1!C991,"AAAAABm/bn0=")</f>
        <v>#VALUE!</v>
      </c>
      <c r="DW74" t="e">
        <f>AND(Sheet1!D991,"AAAAABm/bn4=")</f>
        <v>#VALUE!</v>
      </c>
      <c r="DX74" t="e">
        <f>AND(Sheet1!E991,"AAAAABm/bn8=")</f>
        <v>#VALUE!</v>
      </c>
      <c r="DY74" t="e">
        <f>AND(Sheet1!F991,"AAAAABm/boA=")</f>
        <v>#VALUE!</v>
      </c>
      <c r="DZ74" t="e">
        <f>AND(Sheet1!G991,"AAAAABm/boE=")</f>
        <v>#VALUE!</v>
      </c>
      <c r="EA74" t="e">
        <f>AND(Sheet1!H991,"AAAAABm/boI=")</f>
        <v>#VALUE!</v>
      </c>
      <c r="EB74" t="e">
        <f>AND(Sheet1!I991,"AAAAABm/boM=")</f>
        <v>#VALUE!</v>
      </c>
      <c r="EC74" t="e">
        <f>AND(Sheet1!J991,"AAAAABm/boQ=")</f>
        <v>#VALUE!</v>
      </c>
      <c r="ED74" t="e">
        <f>AND(Sheet1!K991,"AAAAABm/boU=")</f>
        <v>#VALUE!</v>
      </c>
      <c r="EE74" t="e">
        <f>AND(Sheet1!L991,"AAAAABm/boY=")</f>
        <v>#VALUE!</v>
      </c>
      <c r="EF74" t="e">
        <f>AND(Sheet1!M991,"AAAAABm/boc=")</f>
        <v>#VALUE!</v>
      </c>
      <c r="EG74" t="e">
        <f>AND(Sheet1!N991,"AAAAABm/bog=")</f>
        <v>#VALUE!</v>
      </c>
      <c r="EH74" t="e">
        <f>AND(Sheet1!#REF!,"AAAAABm/bok=")</f>
        <v>#REF!</v>
      </c>
      <c r="EI74" t="e">
        <f>AND(Sheet1!#REF!,"AAAAABm/boo=")</f>
        <v>#REF!</v>
      </c>
      <c r="EJ74" t="e">
        <f>AND(Sheet1!#REF!,"AAAAABm/bos=")</f>
        <v>#REF!</v>
      </c>
      <c r="EK74" t="e">
        <f>AND(Sheet1!#REF!,"AAAAABm/bow=")</f>
        <v>#REF!</v>
      </c>
      <c r="EL74">
        <f>IF(Sheet1!992:992,"AAAAABm/bo0=",0)</f>
        <v>0</v>
      </c>
      <c r="EM74" t="e">
        <f>AND(Sheet1!A992,"AAAAABm/bo4=")</f>
        <v>#VALUE!</v>
      </c>
      <c r="EN74" t="e">
        <f>AND(Sheet1!B992,"AAAAABm/bo8=")</f>
        <v>#VALUE!</v>
      </c>
      <c r="EO74" t="e">
        <f>AND(Sheet1!C992,"AAAAABm/bpA=")</f>
        <v>#VALUE!</v>
      </c>
      <c r="EP74" t="e">
        <f>AND(Sheet1!D992,"AAAAABm/bpE=")</f>
        <v>#VALUE!</v>
      </c>
      <c r="EQ74" t="e">
        <f>AND(Sheet1!E992,"AAAAABm/bpI=")</f>
        <v>#VALUE!</v>
      </c>
      <c r="ER74" t="e">
        <f>AND(Sheet1!F992,"AAAAABm/bpM=")</f>
        <v>#VALUE!</v>
      </c>
      <c r="ES74" t="e">
        <f>AND(Sheet1!G992,"AAAAABm/bpQ=")</f>
        <v>#VALUE!</v>
      </c>
      <c r="ET74" t="e">
        <f>AND(Sheet1!H992,"AAAAABm/bpU=")</f>
        <v>#VALUE!</v>
      </c>
      <c r="EU74" t="e">
        <f>AND(Sheet1!I992,"AAAAABm/bpY=")</f>
        <v>#VALUE!</v>
      </c>
      <c r="EV74" t="e">
        <f>AND(Sheet1!J992,"AAAAABm/bpc=")</f>
        <v>#VALUE!</v>
      </c>
      <c r="EW74" t="e">
        <f>AND(Sheet1!K992,"AAAAABm/bpg=")</f>
        <v>#VALUE!</v>
      </c>
      <c r="EX74" t="e">
        <f>AND(Sheet1!L992,"AAAAABm/bpk=")</f>
        <v>#VALUE!</v>
      </c>
      <c r="EY74" t="e">
        <f>AND(Sheet1!M992,"AAAAABm/bpo=")</f>
        <v>#VALUE!</v>
      </c>
      <c r="EZ74" t="e">
        <f>AND(Sheet1!N992,"AAAAABm/bps=")</f>
        <v>#VALUE!</v>
      </c>
      <c r="FA74" t="e">
        <f>AND(Sheet1!#REF!,"AAAAABm/bpw=")</f>
        <v>#REF!</v>
      </c>
      <c r="FB74" t="e">
        <f>AND(Sheet1!#REF!,"AAAAABm/bp0=")</f>
        <v>#REF!</v>
      </c>
      <c r="FC74" t="e">
        <f>AND(Sheet1!#REF!,"AAAAABm/bp4=")</f>
        <v>#REF!</v>
      </c>
      <c r="FD74" t="e">
        <f>AND(Sheet1!#REF!,"AAAAABm/bp8=")</f>
        <v>#REF!</v>
      </c>
      <c r="FE74">
        <f>IF(Sheet1!993:993,"AAAAABm/bqA=",0)</f>
        <v>0</v>
      </c>
      <c r="FF74" t="e">
        <f>AND(Sheet1!A993,"AAAAABm/bqE=")</f>
        <v>#VALUE!</v>
      </c>
      <c r="FG74" t="e">
        <f>AND(Sheet1!B993,"AAAAABm/bqI=")</f>
        <v>#VALUE!</v>
      </c>
      <c r="FH74" t="e">
        <f>AND(Sheet1!C993,"AAAAABm/bqM=")</f>
        <v>#VALUE!</v>
      </c>
      <c r="FI74" t="e">
        <f>AND(Sheet1!D993,"AAAAABm/bqQ=")</f>
        <v>#VALUE!</v>
      </c>
      <c r="FJ74" t="e">
        <f>AND(Sheet1!E993,"AAAAABm/bqU=")</f>
        <v>#VALUE!</v>
      </c>
      <c r="FK74" t="e">
        <f>AND(Sheet1!F993,"AAAAABm/bqY=")</f>
        <v>#VALUE!</v>
      </c>
      <c r="FL74" t="e">
        <f>AND(Sheet1!G993,"AAAAABm/bqc=")</f>
        <v>#VALUE!</v>
      </c>
      <c r="FM74" t="e">
        <f>AND(Sheet1!H993,"AAAAABm/bqg=")</f>
        <v>#VALUE!</v>
      </c>
      <c r="FN74" t="e">
        <f>AND(Sheet1!I993,"AAAAABm/bqk=")</f>
        <v>#VALUE!</v>
      </c>
      <c r="FO74" t="e">
        <f>AND(Sheet1!J993,"AAAAABm/bqo=")</f>
        <v>#VALUE!</v>
      </c>
      <c r="FP74" t="e">
        <f>AND(Sheet1!K993,"AAAAABm/bqs=")</f>
        <v>#VALUE!</v>
      </c>
      <c r="FQ74" t="e">
        <f>AND(Sheet1!L993,"AAAAABm/bqw=")</f>
        <v>#VALUE!</v>
      </c>
      <c r="FR74" t="e">
        <f>AND(Sheet1!M993,"AAAAABm/bq0=")</f>
        <v>#VALUE!</v>
      </c>
      <c r="FS74" t="e">
        <f>AND(Sheet1!N993,"AAAAABm/bq4=")</f>
        <v>#VALUE!</v>
      </c>
      <c r="FT74" t="e">
        <f>AND(Sheet1!#REF!,"AAAAABm/bq8=")</f>
        <v>#REF!</v>
      </c>
      <c r="FU74" t="e">
        <f>AND(Sheet1!#REF!,"AAAAABm/brA=")</f>
        <v>#REF!</v>
      </c>
      <c r="FV74" t="e">
        <f>AND(Sheet1!#REF!,"AAAAABm/brE=")</f>
        <v>#REF!</v>
      </c>
      <c r="FW74" t="e">
        <f>AND(Sheet1!#REF!,"AAAAABm/brI=")</f>
        <v>#REF!</v>
      </c>
      <c r="FX74">
        <f>IF(Sheet1!994:994,"AAAAABm/brM=",0)</f>
        <v>0</v>
      </c>
      <c r="FY74" t="e">
        <f>AND(Sheet1!A994,"AAAAABm/brQ=")</f>
        <v>#VALUE!</v>
      </c>
      <c r="FZ74" t="e">
        <f>AND(Sheet1!B994,"AAAAABm/brU=")</f>
        <v>#VALUE!</v>
      </c>
      <c r="GA74" t="e">
        <f>AND(Sheet1!C994,"AAAAABm/brY=")</f>
        <v>#VALUE!</v>
      </c>
      <c r="GB74" t="e">
        <f>AND(Sheet1!D994,"AAAAABm/brc=")</f>
        <v>#VALUE!</v>
      </c>
      <c r="GC74" t="e">
        <f>AND(Sheet1!E994,"AAAAABm/brg=")</f>
        <v>#VALUE!</v>
      </c>
      <c r="GD74" t="e">
        <f>AND(Sheet1!F994,"AAAAABm/brk=")</f>
        <v>#VALUE!</v>
      </c>
      <c r="GE74" t="e">
        <f>AND(Sheet1!G994,"AAAAABm/bro=")</f>
        <v>#VALUE!</v>
      </c>
      <c r="GF74" t="e">
        <f>AND(Sheet1!H994,"AAAAABm/brs=")</f>
        <v>#VALUE!</v>
      </c>
      <c r="GG74" t="e">
        <f>AND(Sheet1!I994,"AAAAABm/brw=")</f>
        <v>#VALUE!</v>
      </c>
      <c r="GH74" t="e">
        <f>AND(Sheet1!J994,"AAAAABm/br0=")</f>
        <v>#VALUE!</v>
      </c>
      <c r="GI74" t="e">
        <f>AND(Sheet1!K994,"AAAAABm/br4=")</f>
        <v>#VALUE!</v>
      </c>
      <c r="GJ74" t="e">
        <f>AND(Sheet1!L994,"AAAAABm/br8=")</f>
        <v>#VALUE!</v>
      </c>
      <c r="GK74" t="e">
        <f>AND(Sheet1!M994,"AAAAABm/bsA=")</f>
        <v>#VALUE!</v>
      </c>
      <c r="GL74" t="e">
        <f>AND(Sheet1!N994,"AAAAABm/bsE=")</f>
        <v>#VALUE!</v>
      </c>
      <c r="GM74" t="e">
        <f>AND(Sheet1!#REF!,"AAAAABm/bsI=")</f>
        <v>#REF!</v>
      </c>
      <c r="GN74" t="e">
        <f>AND(Sheet1!#REF!,"AAAAABm/bsM=")</f>
        <v>#REF!</v>
      </c>
      <c r="GO74" t="e">
        <f>AND(Sheet1!#REF!,"AAAAABm/bsQ=")</f>
        <v>#REF!</v>
      </c>
      <c r="GP74" t="e">
        <f>AND(Sheet1!#REF!,"AAAAABm/bsU=")</f>
        <v>#REF!</v>
      </c>
      <c r="GQ74">
        <f>IF(Sheet1!995:995,"AAAAABm/bsY=",0)</f>
        <v>0</v>
      </c>
      <c r="GR74" t="e">
        <f>AND(Sheet1!A995,"AAAAABm/bsc=")</f>
        <v>#VALUE!</v>
      </c>
      <c r="GS74" t="e">
        <f>AND(Sheet1!B995,"AAAAABm/bsg=")</f>
        <v>#VALUE!</v>
      </c>
      <c r="GT74" t="e">
        <f>AND(Sheet1!C995,"AAAAABm/bsk=")</f>
        <v>#VALUE!</v>
      </c>
      <c r="GU74" t="e">
        <f>AND(Sheet1!D995,"AAAAABm/bso=")</f>
        <v>#VALUE!</v>
      </c>
      <c r="GV74" t="e">
        <f>AND(Sheet1!E995,"AAAAABm/bss=")</f>
        <v>#VALUE!</v>
      </c>
      <c r="GW74" t="e">
        <f>AND(Sheet1!F995,"AAAAABm/bsw=")</f>
        <v>#VALUE!</v>
      </c>
      <c r="GX74" t="e">
        <f>AND(Sheet1!G995,"AAAAABm/bs0=")</f>
        <v>#VALUE!</v>
      </c>
      <c r="GY74" t="e">
        <f>AND(Sheet1!H995,"AAAAABm/bs4=")</f>
        <v>#VALUE!</v>
      </c>
      <c r="GZ74" t="e">
        <f>AND(Sheet1!I995,"AAAAABm/bs8=")</f>
        <v>#VALUE!</v>
      </c>
      <c r="HA74" t="e">
        <f>AND(Sheet1!J995,"AAAAABm/btA=")</f>
        <v>#VALUE!</v>
      </c>
      <c r="HB74" t="e">
        <f>AND(Sheet1!K995,"AAAAABm/btE=")</f>
        <v>#VALUE!</v>
      </c>
      <c r="HC74" t="e">
        <f>AND(Sheet1!L995,"AAAAABm/btI=")</f>
        <v>#VALUE!</v>
      </c>
      <c r="HD74" t="e">
        <f>AND(Sheet1!M995,"AAAAABm/btM=")</f>
        <v>#VALUE!</v>
      </c>
      <c r="HE74" t="e">
        <f>AND(Sheet1!N995,"AAAAABm/btQ=")</f>
        <v>#VALUE!</v>
      </c>
      <c r="HF74" t="e">
        <f>AND(Sheet1!#REF!,"AAAAABm/btU=")</f>
        <v>#REF!</v>
      </c>
      <c r="HG74" t="e">
        <f>AND(Sheet1!#REF!,"AAAAABm/btY=")</f>
        <v>#REF!</v>
      </c>
      <c r="HH74" t="e">
        <f>AND(Sheet1!#REF!,"AAAAABm/btc=")</f>
        <v>#REF!</v>
      </c>
      <c r="HI74" t="e">
        <f>AND(Sheet1!#REF!,"AAAAABm/btg=")</f>
        <v>#REF!</v>
      </c>
      <c r="HJ74">
        <f>IF(Sheet1!996:996,"AAAAABm/btk=",0)</f>
        <v>0</v>
      </c>
      <c r="HK74" t="e">
        <f>AND(Sheet1!A996,"AAAAABm/bto=")</f>
        <v>#VALUE!</v>
      </c>
      <c r="HL74" t="e">
        <f>AND(Sheet1!B996,"AAAAABm/bts=")</f>
        <v>#VALUE!</v>
      </c>
      <c r="HM74" t="e">
        <f>AND(Sheet1!C996,"AAAAABm/btw=")</f>
        <v>#VALUE!</v>
      </c>
      <c r="HN74" t="e">
        <f>AND(Sheet1!D996,"AAAAABm/bt0=")</f>
        <v>#VALUE!</v>
      </c>
      <c r="HO74" t="e">
        <f>AND(Sheet1!E996,"AAAAABm/bt4=")</f>
        <v>#VALUE!</v>
      </c>
      <c r="HP74" t="e">
        <f>AND(Sheet1!F996,"AAAAABm/bt8=")</f>
        <v>#VALUE!</v>
      </c>
      <c r="HQ74" t="e">
        <f>AND(Sheet1!G996,"AAAAABm/buA=")</f>
        <v>#VALUE!</v>
      </c>
      <c r="HR74" t="e">
        <f>AND(Sheet1!H996,"AAAAABm/buE=")</f>
        <v>#VALUE!</v>
      </c>
      <c r="HS74" t="e">
        <f>AND(Sheet1!I996,"AAAAABm/buI=")</f>
        <v>#VALUE!</v>
      </c>
      <c r="HT74" t="e">
        <f>AND(Sheet1!J996,"AAAAABm/buM=")</f>
        <v>#VALUE!</v>
      </c>
      <c r="HU74" t="e">
        <f>AND(Sheet1!K996,"AAAAABm/buQ=")</f>
        <v>#VALUE!</v>
      </c>
      <c r="HV74" t="e">
        <f>AND(Sheet1!L996,"AAAAABm/buU=")</f>
        <v>#VALUE!</v>
      </c>
      <c r="HW74" t="e">
        <f>AND(Sheet1!M996,"AAAAABm/buY=")</f>
        <v>#VALUE!</v>
      </c>
      <c r="HX74" t="e">
        <f>AND(Sheet1!N996,"AAAAABm/buc=")</f>
        <v>#VALUE!</v>
      </c>
      <c r="HY74" t="e">
        <f>AND(Sheet1!#REF!,"AAAAABm/bug=")</f>
        <v>#REF!</v>
      </c>
      <c r="HZ74" t="e">
        <f>AND(Sheet1!#REF!,"AAAAABm/buk=")</f>
        <v>#REF!</v>
      </c>
      <c r="IA74" t="e">
        <f>AND(Sheet1!#REF!,"AAAAABm/buo=")</f>
        <v>#REF!</v>
      </c>
      <c r="IB74" t="e">
        <f>AND(Sheet1!#REF!,"AAAAABm/bus=")</f>
        <v>#REF!</v>
      </c>
      <c r="IC74">
        <f>IF(Sheet1!997:997,"AAAAABm/buw=",0)</f>
        <v>0</v>
      </c>
      <c r="ID74" t="e">
        <f>AND(Sheet1!A997,"AAAAABm/bu0=")</f>
        <v>#VALUE!</v>
      </c>
      <c r="IE74" t="e">
        <f>AND(Sheet1!B997,"AAAAABm/bu4=")</f>
        <v>#VALUE!</v>
      </c>
      <c r="IF74" t="e">
        <f>AND(Sheet1!C997,"AAAAABm/bu8=")</f>
        <v>#VALUE!</v>
      </c>
      <c r="IG74" t="e">
        <f>AND(Sheet1!D997,"AAAAABm/bvA=")</f>
        <v>#VALUE!</v>
      </c>
      <c r="IH74" t="e">
        <f>AND(Sheet1!E997,"AAAAABm/bvE=")</f>
        <v>#VALUE!</v>
      </c>
      <c r="II74" t="e">
        <f>AND(Sheet1!F997,"AAAAABm/bvI=")</f>
        <v>#VALUE!</v>
      </c>
      <c r="IJ74" t="e">
        <f>AND(Sheet1!G997,"AAAAABm/bvM=")</f>
        <v>#VALUE!</v>
      </c>
      <c r="IK74" t="e">
        <f>AND(Sheet1!H997,"AAAAABm/bvQ=")</f>
        <v>#VALUE!</v>
      </c>
      <c r="IL74" t="e">
        <f>AND(Sheet1!I997,"AAAAABm/bvU=")</f>
        <v>#VALUE!</v>
      </c>
      <c r="IM74" t="e">
        <f>AND(Sheet1!J997,"AAAAABm/bvY=")</f>
        <v>#VALUE!</v>
      </c>
      <c r="IN74" t="e">
        <f>AND(Sheet1!K997,"AAAAABm/bvc=")</f>
        <v>#VALUE!</v>
      </c>
      <c r="IO74" t="e">
        <f>AND(Sheet1!L997,"AAAAABm/bvg=")</f>
        <v>#VALUE!</v>
      </c>
      <c r="IP74" t="e">
        <f>AND(Sheet1!M997,"AAAAABm/bvk=")</f>
        <v>#VALUE!</v>
      </c>
      <c r="IQ74" t="e">
        <f>AND(Sheet1!N997,"AAAAABm/bvo=")</f>
        <v>#VALUE!</v>
      </c>
      <c r="IR74" t="e">
        <f>AND(Sheet1!#REF!,"AAAAABm/bvs=")</f>
        <v>#REF!</v>
      </c>
      <c r="IS74" t="e">
        <f>AND(Sheet1!#REF!,"AAAAABm/bvw=")</f>
        <v>#REF!</v>
      </c>
      <c r="IT74" t="e">
        <f>AND(Sheet1!#REF!,"AAAAABm/bv0=")</f>
        <v>#REF!</v>
      </c>
      <c r="IU74" t="e">
        <f>AND(Sheet1!#REF!,"AAAAABm/bv4=")</f>
        <v>#REF!</v>
      </c>
      <c r="IV74">
        <f>IF(Sheet1!998:998,"AAAAABm/bv8=",0)</f>
        <v>0</v>
      </c>
    </row>
    <row r="75" spans="1:256" x14ac:dyDescent="0.2">
      <c r="A75" t="e">
        <f>AND(Sheet1!A998,"AAAAADr//wA=")</f>
        <v>#VALUE!</v>
      </c>
      <c r="B75" t="e">
        <f>AND(Sheet1!B998,"AAAAADr//wE=")</f>
        <v>#VALUE!</v>
      </c>
      <c r="C75" t="e">
        <f>AND(Sheet1!C998,"AAAAADr//wI=")</f>
        <v>#VALUE!</v>
      </c>
      <c r="D75" t="e">
        <f>AND(Sheet1!D998,"AAAAADr//wM=")</f>
        <v>#VALUE!</v>
      </c>
      <c r="E75" t="e">
        <f>AND(Sheet1!E998,"AAAAADr//wQ=")</f>
        <v>#VALUE!</v>
      </c>
      <c r="F75" t="e">
        <f>AND(Sheet1!F998,"AAAAADr//wU=")</f>
        <v>#VALUE!</v>
      </c>
      <c r="G75" t="e">
        <f>AND(Sheet1!G998,"AAAAADr//wY=")</f>
        <v>#VALUE!</v>
      </c>
      <c r="H75" t="e">
        <f>AND(Sheet1!H998,"AAAAADr//wc=")</f>
        <v>#VALUE!</v>
      </c>
      <c r="I75" t="e">
        <f>AND(Sheet1!I998,"AAAAADr//wg=")</f>
        <v>#VALUE!</v>
      </c>
      <c r="J75" t="e">
        <f>AND(Sheet1!J998,"AAAAADr//wk=")</f>
        <v>#VALUE!</v>
      </c>
      <c r="K75" t="e">
        <f>AND(Sheet1!K998,"AAAAADr//wo=")</f>
        <v>#VALUE!</v>
      </c>
      <c r="L75" t="e">
        <f>AND(Sheet1!L998,"AAAAADr//ws=")</f>
        <v>#VALUE!</v>
      </c>
      <c r="M75" t="e">
        <f>AND(Sheet1!M998,"AAAAADr//ww=")</f>
        <v>#VALUE!</v>
      </c>
      <c r="N75" t="e">
        <f>AND(Sheet1!N998,"AAAAADr//w0=")</f>
        <v>#VALUE!</v>
      </c>
      <c r="O75" t="e">
        <f>AND(Sheet1!#REF!,"AAAAADr//w4=")</f>
        <v>#REF!</v>
      </c>
      <c r="P75" t="e">
        <f>AND(Sheet1!#REF!,"AAAAADr//w8=")</f>
        <v>#REF!</v>
      </c>
      <c r="Q75" t="e">
        <f>AND(Sheet1!#REF!,"AAAAADr//xA=")</f>
        <v>#REF!</v>
      </c>
      <c r="R75" t="e">
        <f>AND(Sheet1!#REF!,"AAAAADr//xE=")</f>
        <v>#REF!</v>
      </c>
      <c r="S75">
        <f>IF(Sheet1!999:999,"AAAAADr//xI=",0)</f>
        <v>0</v>
      </c>
      <c r="T75" t="e">
        <f>AND(Sheet1!A999,"AAAAADr//xM=")</f>
        <v>#VALUE!</v>
      </c>
      <c r="U75" t="e">
        <f>AND(Sheet1!B999,"AAAAADr//xQ=")</f>
        <v>#VALUE!</v>
      </c>
      <c r="V75" t="e">
        <f>AND(Sheet1!C999,"AAAAADr//xU=")</f>
        <v>#VALUE!</v>
      </c>
      <c r="W75" t="e">
        <f>AND(Sheet1!D999,"AAAAADr//xY=")</f>
        <v>#VALUE!</v>
      </c>
      <c r="X75" t="e">
        <f>AND(Sheet1!E999,"AAAAADr//xc=")</f>
        <v>#VALUE!</v>
      </c>
      <c r="Y75" t="e">
        <f>AND(Sheet1!F999,"AAAAADr//xg=")</f>
        <v>#VALUE!</v>
      </c>
      <c r="Z75" t="e">
        <f>AND(Sheet1!G999,"AAAAADr//xk=")</f>
        <v>#VALUE!</v>
      </c>
      <c r="AA75" t="e">
        <f>AND(Sheet1!H999,"AAAAADr//xo=")</f>
        <v>#VALUE!</v>
      </c>
      <c r="AB75" t="e">
        <f>AND(Sheet1!I999,"AAAAADr//xs=")</f>
        <v>#VALUE!</v>
      </c>
      <c r="AC75" t="e">
        <f>AND(Sheet1!J999,"AAAAADr//xw=")</f>
        <v>#VALUE!</v>
      </c>
      <c r="AD75" t="e">
        <f>AND(Sheet1!K999,"AAAAADr//x0=")</f>
        <v>#VALUE!</v>
      </c>
      <c r="AE75" t="e">
        <f>AND(Sheet1!L999,"AAAAADr//x4=")</f>
        <v>#VALUE!</v>
      </c>
      <c r="AF75" t="e">
        <f>AND(Sheet1!M999,"AAAAADr//x8=")</f>
        <v>#VALUE!</v>
      </c>
      <c r="AG75" t="e">
        <f>AND(Sheet1!N999,"AAAAADr//yA=")</f>
        <v>#VALUE!</v>
      </c>
      <c r="AH75" t="e">
        <f>AND(Sheet1!#REF!,"AAAAADr//yE=")</f>
        <v>#REF!</v>
      </c>
      <c r="AI75" t="e">
        <f>AND(Sheet1!#REF!,"AAAAADr//yI=")</f>
        <v>#REF!</v>
      </c>
      <c r="AJ75" t="e">
        <f>AND(Sheet1!#REF!,"AAAAADr//yM=")</f>
        <v>#REF!</v>
      </c>
      <c r="AK75" t="e">
        <f>AND(Sheet1!#REF!,"AAAAADr//yQ=")</f>
        <v>#REF!</v>
      </c>
      <c r="AL75">
        <f>IF(Sheet1!1000:1000,"AAAAADr//yU=",0)</f>
        <v>0</v>
      </c>
      <c r="AM75" t="e">
        <f>AND(Sheet1!A1000,"AAAAADr//yY=")</f>
        <v>#VALUE!</v>
      </c>
      <c r="AN75" t="e">
        <f>AND(Sheet1!B1000,"AAAAADr//yc=")</f>
        <v>#VALUE!</v>
      </c>
      <c r="AO75" t="e">
        <f>AND(Sheet1!C1000,"AAAAADr//yg=")</f>
        <v>#VALUE!</v>
      </c>
      <c r="AP75" t="e">
        <f>AND(Sheet1!D1000,"AAAAADr//yk=")</f>
        <v>#VALUE!</v>
      </c>
      <c r="AQ75" t="e">
        <f>AND(Sheet1!E1000,"AAAAADr//yo=")</f>
        <v>#VALUE!</v>
      </c>
      <c r="AR75" t="e">
        <f>AND(Sheet1!F1000,"AAAAADr//ys=")</f>
        <v>#VALUE!</v>
      </c>
      <c r="AS75" t="e">
        <f>AND(Sheet1!G1000,"AAAAADr//yw=")</f>
        <v>#VALUE!</v>
      </c>
      <c r="AT75" t="e">
        <f>AND(Sheet1!H1000,"AAAAADr//y0=")</f>
        <v>#VALUE!</v>
      </c>
      <c r="AU75" t="e">
        <f>AND(Sheet1!I1000,"AAAAADr//y4=")</f>
        <v>#VALUE!</v>
      </c>
      <c r="AV75" t="e">
        <f>AND(Sheet1!J1000,"AAAAADr//y8=")</f>
        <v>#VALUE!</v>
      </c>
      <c r="AW75" t="e">
        <f>AND(Sheet1!K1000,"AAAAADr//zA=")</f>
        <v>#VALUE!</v>
      </c>
      <c r="AX75" t="e">
        <f>AND(Sheet1!L1000,"AAAAADr//zE=")</f>
        <v>#VALUE!</v>
      </c>
      <c r="AY75" t="e">
        <f>AND(Sheet1!M1000,"AAAAADr//zI=")</f>
        <v>#VALUE!</v>
      </c>
      <c r="AZ75" t="e">
        <f>AND(Sheet1!N1000,"AAAAADr//zM=")</f>
        <v>#VALUE!</v>
      </c>
      <c r="BA75" t="e">
        <f>AND(Sheet1!#REF!,"AAAAADr//zQ=")</f>
        <v>#REF!</v>
      </c>
      <c r="BB75" t="e">
        <f>AND(Sheet1!#REF!,"AAAAADr//zU=")</f>
        <v>#REF!</v>
      </c>
      <c r="BC75" t="e">
        <f>AND(Sheet1!#REF!,"AAAAADr//zY=")</f>
        <v>#REF!</v>
      </c>
      <c r="BD75" t="e">
        <f>AND(Sheet1!#REF!,"AAAAADr//zc=")</f>
        <v>#REF!</v>
      </c>
      <c r="BE75">
        <f>IF(Sheet1!1001:1001,"AAAAADr//zg=",0)</f>
        <v>0</v>
      </c>
      <c r="BF75" t="e">
        <f>AND(Sheet1!A1001,"AAAAADr//zk=")</f>
        <v>#VALUE!</v>
      </c>
      <c r="BG75" t="e">
        <f>AND(Sheet1!B1001,"AAAAADr//zo=")</f>
        <v>#VALUE!</v>
      </c>
      <c r="BH75" t="e">
        <f>AND(Sheet1!C1001,"AAAAADr//zs=")</f>
        <v>#VALUE!</v>
      </c>
      <c r="BI75" t="e">
        <f>AND(Sheet1!D1001,"AAAAADr//zw=")</f>
        <v>#VALUE!</v>
      </c>
      <c r="BJ75" t="e">
        <f>AND(Sheet1!E1001,"AAAAADr//z0=")</f>
        <v>#VALUE!</v>
      </c>
      <c r="BK75" t="e">
        <f>AND(Sheet1!F1001,"AAAAADr//z4=")</f>
        <v>#VALUE!</v>
      </c>
      <c r="BL75" t="e">
        <f>AND(Sheet1!G1001,"AAAAADr//z8=")</f>
        <v>#VALUE!</v>
      </c>
      <c r="BM75" t="e">
        <f>AND(Sheet1!H1001,"AAAAADr//0A=")</f>
        <v>#VALUE!</v>
      </c>
      <c r="BN75" t="e">
        <f>AND(Sheet1!I1001,"AAAAADr//0E=")</f>
        <v>#VALUE!</v>
      </c>
      <c r="BO75" t="e">
        <f>AND(Sheet1!J1001,"AAAAADr//0I=")</f>
        <v>#VALUE!</v>
      </c>
      <c r="BP75" t="e">
        <f>AND(Sheet1!K1001,"AAAAADr//0M=")</f>
        <v>#VALUE!</v>
      </c>
      <c r="BQ75" t="e">
        <f>AND(Sheet1!L1001,"AAAAADr//0Q=")</f>
        <v>#VALUE!</v>
      </c>
      <c r="BR75" t="e">
        <f>AND(Sheet1!M1001,"AAAAADr//0U=")</f>
        <v>#VALUE!</v>
      </c>
      <c r="BS75" t="e">
        <f>AND(Sheet1!N1001,"AAAAADr//0Y=")</f>
        <v>#VALUE!</v>
      </c>
      <c r="BT75" t="e">
        <f>AND(Sheet1!#REF!,"AAAAADr//0c=")</f>
        <v>#REF!</v>
      </c>
      <c r="BU75" t="e">
        <f>AND(Sheet1!#REF!,"AAAAADr//0g=")</f>
        <v>#REF!</v>
      </c>
      <c r="BV75" t="e">
        <f>AND(Sheet1!#REF!,"AAAAADr//0k=")</f>
        <v>#REF!</v>
      </c>
      <c r="BW75" t="e">
        <f>AND(Sheet1!#REF!,"AAAAADr//0o=")</f>
        <v>#REF!</v>
      </c>
      <c r="BX75">
        <f>IF(Sheet1!1002:1002,"AAAAADr//0s=",0)</f>
        <v>0</v>
      </c>
      <c r="BY75" t="e">
        <f>AND(Sheet1!A1002,"AAAAADr//0w=")</f>
        <v>#VALUE!</v>
      </c>
      <c r="BZ75" t="e">
        <f>AND(Sheet1!B1002,"AAAAADr//00=")</f>
        <v>#VALUE!</v>
      </c>
      <c r="CA75" t="e">
        <f>AND(Sheet1!C1002,"AAAAADr//04=")</f>
        <v>#VALUE!</v>
      </c>
      <c r="CB75" t="e">
        <f>AND(Sheet1!D1002,"AAAAADr//08=")</f>
        <v>#VALUE!</v>
      </c>
      <c r="CC75" t="e">
        <f>AND(Sheet1!E1002,"AAAAADr//1A=")</f>
        <v>#VALUE!</v>
      </c>
      <c r="CD75" t="e">
        <f>AND(Sheet1!F1002,"AAAAADr//1E=")</f>
        <v>#VALUE!</v>
      </c>
      <c r="CE75" t="e">
        <f>AND(Sheet1!G1002,"AAAAADr//1I=")</f>
        <v>#VALUE!</v>
      </c>
      <c r="CF75" t="e">
        <f>AND(Sheet1!H1002,"AAAAADr//1M=")</f>
        <v>#VALUE!</v>
      </c>
      <c r="CG75" t="e">
        <f>AND(Sheet1!I1002,"AAAAADr//1Q=")</f>
        <v>#VALUE!</v>
      </c>
      <c r="CH75" t="e">
        <f>AND(Sheet1!J1002,"AAAAADr//1U=")</f>
        <v>#VALUE!</v>
      </c>
      <c r="CI75" t="e">
        <f>AND(Sheet1!K1002,"AAAAADr//1Y=")</f>
        <v>#VALUE!</v>
      </c>
      <c r="CJ75" t="e">
        <f>AND(Sheet1!L1002,"AAAAADr//1c=")</f>
        <v>#VALUE!</v>
      </c>
      <c r="CK75" t="e">
        <f>AND(Sheet1!M1002,"AAAAADr//1g=")</f>
        <v>#VALUE!</v>
      </c>
      <c r="CL75" t="e">
        <f>AND(Sheet1!N1002,"AAAAADr//1k=")</f>
        <v>#VALUE!</v>
      </c>
      <c r="CM75" t="e">
        <f>AND(Sheet1!#REF!,"AAAAADr//1o=")</f>
        <v>#REF!</v>
      </c>
      <c r="CN75" t="e">
        <f>AND(Sheet1!#REF!,"AAAAADr//1s=")</f>
        <v>#REF!</v>
      </c>
      <c r="CO75" t="e">
        <f>AND(Sheet1!#REF!,"AAAAADr//1w=")</f>
        <v>#REF!</v>
      </c>
      <c r="CP75" t="e">
        <f>AND(Sheet1!#REF!,"AAAAADr//10=")</f>
        <v>#REF!</v>
      </c>
      <c r="CQ75">
        <f>IF(Sheet1!1003:1003,"AAAAADr//14=",0)</f>
        <v>0</v>
      </c>
      <c r="CR75" t="e">
        <f>AND(Sheet1!A1003,"AAAAADr//18=")</f>
        <v>#VALUE!</v>
      </c>
      <c r="CS75" t="e">
        <f>AND(Sheet1!B1003,"AAAAADr//2A=")</f>
        <v>#VALUE!</v>
      </c>
      <c r="CT75" t="e">
        <f>AND(Sheet1!C1003,"AAAAADr//2E=")</f>
        <v>#VALUE!</v>
      </c>
      <c r="CU75" t="e">
        <f>AND(Sheet1!D1003,"AAAAADr//2I=")</f>
        <v>#VALUE!</v>
      </c>
      <c r="CV75" t="e">
        <f>AND(Sheet1!E1003,"AAAAADr//2M=")</f>
        <v>#VALUE!</v>
      </c>
      <c r="CW75" t="e">
        <f>AND(Sheet1!F1003,"AAAAADr//2Q=")</f>
        <v>#VALUE!</v>
      </c>
      <c r="CX75" t="e">
        <f>AND(Sheet1!G1003,"AAAAADr//2U=")</f>
        <v>#VALUE!</v>
      </c>
      <c r="CY75" t="e">
        <f>AND(Sheet1!H1003,"AAAAADr//2Y=")</f>
        <v>#VALUE!</v>
      </c>
      <c r="CZ75" t="e">
        <f>AND(Sheet1!I1003,"AAAAADr//2c=")</f>
        <v>#VALUE!</v>
      </c>
      <c r="DA75" t="e">
        <f>AND(Sheet1!J1003,"AAAAADr//2g=")</f>
        <v>#VALUE!</v>
      </c>
      <c r="DB75" t="e">
        <f>AND(Sheet1!K1003,"AAAAADr//2k=")</f>
        <v>#VALUE!</v>
      </c>
      <c r="DC75" t="e">
        <f>AND(Sheet1!L1003,"AAAAADr//2o=")</f>
        <v>#VALUE!</v>
      </c>
      <c r="DD75" t="e">
        <f>AND(Sheet1!M1003,"AAAAADr//2s=")</f>
        <v>#VALUE!</v>
      </c>
      <c r="DE75" t="e">
        <f>AND(Sheet1!N1003,"AAAAADr//2w=")</f>
        <v>#VALUE!</v>
      </c>
      <c r="DF75" t="e">
        <f>AND(Sheet1!#REF!,"AAAAADr//20=")</f>
        <v>#REF!</v>
      </c>
      <c r="DG75" t="e">
        <f>AND(Sheet1!#REF!,"AAAAADr//24=")</f>
        <v>#REF!</v>
      </c>
      <c r="DH75" t="e">
        <f>AND(Sheet1!#REF!,"AAAAADr//28=")</f>
        <v>#REF!</v>
      </c>
      <c r="DI75" t="e">
        <f>AND(Sheet1!#REF!,"AAAAADr//3A=")</f>
        <v>#REF!</v>
      </c>
      <c r="DJ75">
        <f>IF(Sheet1!1004:1004,"AAAAADr//3E=",0)</f>
        <v>0</v>
      </c>
      <c r="DK75" t="e">
        <f>AND(Sheet1!A1004,"AAAAADr//3I=")</f>
        <v>#VALUE!</v>
      </c>
      <c r="DL75" t="e">
        <f>AND(Sheet1!B1004,"AAAAADr//3M=")</f>
        <v>#VALUE!</v>
      </c>
      <c r="DM75" t="e">
        <f>AND(Sheet1!C1004,"AAAAADr//3Q=")</f>
        <v>#VALUE!</v>
      </c>
      <c r="DN75" t="e">
        <f>AND(Sheet1!D1004,"AAAAADr//3U=")</f>
        <v>#VALUE!</v>
      </c>
      <c r="DO75" t="e">
        <f>AND(Sheet1!E1004,"AAAAADr//3Y=")</f>
        <v>#VALUE!</v>
      </c>
      <c r="DP75" t="e">
        <f>AND(Sheet1!F1004,"AAAAADr//3c=")</f>
        <v>#VALUE!</v>
      </c>
      <c r="DQ75" t="e">
        <f>AND(Sheet1!G1004,"AAAAADr//3g=")</f>
        <v>#VALUE!</v>
      </c>
      <c r="DR75" t="e">
        <f>AND(Sheet1!H1004,"AAAAADr//3k=")</f>
        <v>#VALUE!</v>
      </c>
      <c r="DS75" t="e">
        <f>AND(Sheet1!I1004,"AAAAADr//3o=")</f>
        <v>#VALUE!</v>
      </c>
      <c r="DT75" t="e">
        <f>AND(Sheet1!J1004,"AAAAADr//3s=")</f>
        <v>#VALUE!</v>
      </c>
      <c r="DU75" t="e">
        <f>AND(Sheet1!K1004,"AAAAADr//3w=")</f>
        <v>#VALUE!</v>
      </c>
      <c r="DV75" t="e">
        <f>AND(Sheet1!L1004,"AAAAADr//30=")</f>
        <v>#VALUE!</v>
      </c>
      <c r="DW75" t="e">
        <f>AND(Sheet1!M1004,"AAAAADr//34=")</f>
        <v>#VALUE!</v>
      </c>
      <c r="DX75" t="e">
        <f>AND(Sheet1!N1004,"AAAAADr//38=")</f>
        <v>#VALUE!</v>
      </c>
      <c r="DY75" t="e">
        <f>AND(Sheet1!#REF!,"AAAAADr//4A=")</f>
        <v>#REF!</v>
      </c>
      <c r="DZ75" t="e">
        <f>AND(Sheet1!#REF!,"AAAAADr//4E=")</f>
        <v>#REF!</v>
      </c>
      <c r="EA75" t="e">
        <f>AND(Sheet1!#REF!,"AAAAADr//4I=")</f>
        <v>#REF!</v>
      </c>
      <c r="EB75" t="e">
        <f>AND(Sheet1!#REF!,"AAAAADr//4M=")</f>
        <v>#REF!</v>
      </c>
      <c r="EC75">
        <f>IF(Sheet1!1005:1005,"AAAAADr//4Q=",0)</f>
        <v>0</v>
      </c>
      <c r="ED75" t="e">
        <f>AND(Sheet1!A1005,"AAAAADr//4U=")</f>
        <v>#VALUE!</v>
      </c>
      <c r="EE75" t="e">
        <f>AND(Sheet1!B1005,"AAAAADr//4Y=")</f>
        <v>#VALUE!</v>
      </c>
      <c r="EF75" t="e">
        <f>AND(Sheet1!C1005,"AAAAADr//4c=")</f>
        <v>#VALUE!</v>
      </c>
      <c r="EG75" t="e">
        <f>AND(Sheet1!D1005,"AAAAADr//4g=")</f>
        <v>#VALUE!</v>
      </c>
      <c r="EH75" t="e">
        <f>AND(Sheet1!E1005,"AAAAADr//4k=")</f>
        <v>#VALUE!</v>
      </c>
      <c r="EI75" t="e">
        <f>AND(Sheet1!F1005,"AAAAADr//4o=")</f>
        <v>#VALUE!</v>
      </c>
      <c r="EJ75" t="e">
        <f>AND(Sheet1!G1005,"AAAAADr//4s=")</f>
        <v>#VALUE!</v>
      </c>
      <c r="EK75" t="e">
        <f>AND(Sheet1!H1005,"AAAAADr//4w=")</f>
        <v>#VALUE!</v>
      </c>
      <c r="EL75" t="e">
        <f>AND(Sheet1!I1005,"AAAAADr//40=")</f>
        <v>#VALUE!</v>
      </c>
      <c r="EM75" t="e">
        <f>AND(Sheet1!J1005,"AAAAADr//44=")</f>
        <v>#VALUE!</v>
      </c>
      <c r="EN75" t="e">
        <f>AND(Sheet1!K1005,"AAAAADr//48=")</f>
        <v>#VALUE!</v>
      </c>
      <c r="EO75" t="e">
        <f>AND(Sheet1!L1005,"AAAAADr//5A=")</f>
        <v>#VALUE!</v>
      </c>
      <c r="EP75" t="e">
        <f>AND(Sheet1!M1005,"AAAAADr//5E=")</f>
        <v>#VALUE!</v>
      </c>
      <c r="EQ75" t="e">
        <f>AND(Sheet1!N1005,"AAAAADr//5I=")</f>
        <v>#VALUE!</v>
      </c>
      <c r="ER75" t="e">
        <f>AND(Sheet1!#REF!,"AAAAADr//5M=")</f>
        <v>#REF!</v>
      </c>
      <c r="ES75" t="e">
        <f>AND(Sheet1!#REF!,"AAAAADr//5Q=")</f>
        <v>#REF!</v>
      </c>
      <c r="ET75" t="e">
        <f>AND(Sheet1!#REF!,"AAAAADr//5U=")</f>
        <v>#REF!</v>
      </c>
      <c r="EU75" t="e">
        <f>AND(Sheet1!#REF!,"AAAAADr//5Y=")</f>
        <v>#REF!</v>
      </c>
      <c r="EV75">
        <f>IF(Sheet1!1006:1006,"AAAAADr//5c=",0)</f>
        <v>0</v>
      </c>
      <c r="EW75" t="e">
        <f>AND(Sheet1!A1006,"AAAAADr//5g=")</f>
        <v>#VALUE!</v>
      </c>
      <c r="EX75" t="e">
        <f>AND(Sheet1!B1006,"AAAAADr//5k=")</f>
        <v>#VALUE!</v>
      </c>
      <c r="EY75" t="e">
        <f>AND(Sheet1!C1006,"AAAAADr//5o=")</f>
        <v>#VALUE!</v>
      </c>
      <c r="EZ75" t="e">
        <f>AND(Sheet1!D1006,"AAAAADr//5s=")</f>
        <v>#VALUE!</v>
      </c>
      <c r="FA75" t="e">
        <f>AND(Sheet1!E1006,"AAAAADr//5w=")</f>
        <v>#VALUE!</v>
      </c>
      <c r="FB75" t="e">
        <f>AND(Sheet1!F1006,"AAAAADr//50=")</f>
        <v>#VALUE!</v>
      </c>
      <c r="FC75" t="e">
        <f>AND(Sheet1!G1006,"AAAAADr//54=")</f>
        <v>#VALUE!</v>
      </c>
      <c r="FD75" t="e">
        <f>AND(Sheet1!H1006,"AAAAADr//58=")</f>
        <v>#VALUE!</v>
      </c>
      <c r="FE75" t="e">
        <f>AND(Sheet1!I1006,"AAAAADr//6A=")</f>
        <v>#VALUE!</v>
      </c>
      <c r="FF75" t="e">
        <f>AND(Sheet1!J1006,"AAAAADr//6E=")</f>
        <v>#VALUE!</v>
      </c>
      <c r="FG75" t="e">
        <f>AND(Sheet1!K1006,"AAAAADr//6I=")</f>
        <v>#VALUE!</v>
      </c>
      <c r="FH75" t="e">
        <f>AND(Sheet1!L1006,"AAAAADr//6M=")</f>
        <v>#VALUE!</v>
      </c>
      <c r="FI75" t="e">
        <f>AND(Sheet1!M1006,"AAAAADr//6Q=")</f>
        <v>#VALUE!</v>
      </c>
      <c r="FJ75" t="e">
        <f>AND(Sheet1!N1006,"AAAAADr//6U=")</f>
        <v>#VALUE!</v>
      </c>
      <c r="FK75" t="e">
        <f>AND(Sheet1!#REF!,"AAAAADr//6Y=")</f>
        <v>#REF!</v>
      </c>
      <c r="FL75" t="e">
        <f>AND(Sheet1!#REF!,"AAAAADr//6c=")</f>
        <v>#REF!</v>
      </c>
      <c r="FM75" t="e">
        <f>AND(Sheet1!#REF!,"AAAAADr//6g=")</f>
        <v>#REF!</v>
      </c>
      <c r="FN75" t="e">
        <f>AND(Sheet1!#REF!,"AAAAADr//6k=")</f>
        <v>#REF!</v>
      </c>
      <c r="FO75">
        <f>IF(Sheet1!1007:1007,"AAAAADr//6o=",0)</f>
        <v>0</v>
      </c>
      <c r="FP75" t="e">
        <f>AND(Sheet1!A1007,"AAAAADr//6s=")</f>
        <v>#VALUE!</v>
      </c>
      <c r="FQ75" t="e">
        <f>AND(Sheet1!B1007,"AAAAADr//6w=")</f>
        <v>#VALUE!</v>
      </c>
      <c r="FR75" t="e">
        <f>AND(Sheet1!C1007,"AAAAADr//60=")</f>
        <v>#VALUE!</v>
      </c>
      <c r="FS75" t="e">
        <f>AND(Sheet1!D1007,"AAAAADr//64=")</f>
        <v>#VALUE!</v>
      </c>
      <c r="FT75" t="e">
        <f>AND(Sheet1!E1007,"AAAAADr//68=")</f>
        <v>#VALUE!</v>
      </c>
      <c r="FU75" t="e">
        <f>AND(Sheet1!F1007,"AAAAADr//7A=")</f>
        <v>#VALUE!</v>
      </c>
      <c r="FV75" t="e">
        <f>AND(Sheet1!G1007,"AAAAADr//7E=")</f>
        <v>#VALUE!</v>
      </c>
      <c r="FW75" t="e">
        <f>AND(Sheet1!H1007,"AAAAADr//7I=")</f>
        <v>#VALUE!</v>
      </c>
      <c r="FX75" t="e">
        <f>AND(Sheet1!I1007,"AAAAADr//7M=")</f>
        <v>#VALUE!</v>
      </c>
      <c r="FY75" t="e">
        <f>AND(Sheet1!J1007,"AAAAADr//7Q=")</f>
        <v>#VALUE!</v>
      </c>
      <c r="FZ75" t="e">
        <f>AND(Sheet1!K1007,"AAAAADr//7U=")</f>
        <v>#VALUE!</v>
      </c>
      <c r="GA75" t="e">
        <f>AND(Sheet1!L1007,"AAAAADr//7Y=")</f>
        <v>#VALUE!</v>
      </c>
      <c r="GB75" t="e">
        <f>AND(Sheet1!M1007,"AAAAADr//7c=")</f>
        <v>#VALUE!</v>
      </c>
      <c r="GC75" t="e">
        <f>AND(Sheet1!N1007,"AAAAADr//7g=")</f>
        <v>#VALUE!</v>
      </c>
      <c r="GD75" t="e">
        <f>AND(Sheet1!#REF!,"AAAAADr//7k=")</f>
        <v>#REF!</v>
      </c>
      <c r="GE75" t="e">
        <f>AND(Sheet1!#REF!,"AAAAADr//7o=")</f>
        <v>#REF!</v>
      </c>
      <c r="GF75" t="e">
        <f>AND(Sheet1!#REF!,"AAAAADr//7s=")</f>
        <v>#REF!</v>
      </c>
      <c r="GG75" t="e">
        <f>AND(Sheet1!#REF!,"AAAAADr//7w=")</f>
        <v>#REF!</v>
      </c>
      <c r="GH75">
        <f>IF(Sheet1!1008:1008,"AAAAADr//70=",0)</f>
        <v>0</v>
      </c>
      <c r="GI75" t="e">
        <f>AND(Sheet1!A1008,"AAAAADr//74=")</f>
        <v>#VALUE!</v>
      </c>
      <c r="GJ75" t="e">
        <f>AND(Sheet1!B1008,"AAAAADr//78=")</f>
        <v>#VALUE!</v>
      </c>
      <c r="GK75" t="e">
        <f>AND(Sheet1!C1008,"AAAAADr//8A=")</f>
        <v>#VALUE!</v>
      </c>
      <c r="GL75" t="e">
        <f>AND(Sheet1!D1008,"AAAAADr//8E=")</f>
        <v>#VALUE!</v>
      </c>
      <c r="GM75" t="e">
        <f>AND(Sheet1!E1008,"AAAAADr//8I=")</f>
        <v>#VALUE!</v>
      </c>
      <c r="GN75" t="e">
        <f>AND(Sheet1!F1008,"AAAAADr//8M=")</f>
        <v>#VALUE!</v>
      </c>
      <c r="GO75" t="e">
        <f>AND(Sheet1!G1008,"AAAAADr//8Q=")</f>
        <v>#VALUE!</v>
      </c>
      <c r="GP75" t="e">
        <f>AND(Sheet1!H1008,"AAAAADr//8U=")</f>
        <v>#VALUE!</v>
      </c>
      <c r="GQ75" t="e">
        <f>AND(Sheet1!I1008,"AAAAADr//8Y=")</f>
        <v>#VALUE!</v>
      </c>
      <c r="GR75" t="e">
        <f>AND(Sheet1!J1008,"AAAAADr//8c=")</f>
        <v>#VALUE!</v>
      </c>
      <c r="GS75" t="e">
        <f>AND(Sheet1!K1008,"AAAAADr//8g=")</f>
        <v>#VALUE!</v>
      </c>
      <c r="GT75" t="e">
        <f>AND(Sheet1!L1008,"AAAAADr//8k=")</f>
        <v>#VALUE!</v>
      </c>
      <c r="GU75" t="e">
        <f>AND(Sheet1!M1008,"AAAAADr//8o=")</f>
        <v>#VALUE!</v>
      </c>
      <c r="GV75" t="e">
        <f>AND(Sheet1!N1008,"AAAAADr//8s=")</f>
        <v>#VALUE!</v>
      </c>
      <c r="GW75" t="e">
        <f>AND(Sheet1!#REF!,"AAAAADr//8w=")</f>
        <v>#REF!</v>
      </c>
      <c r="GX75" t="e">
        <f>AND(Sheet1!#REF!,"AAAAADr//80=")</f>
        <v>#REF!</v>
      </c>
      <c r="GY75" t="e">
        <f>AND(Sheet1!#REF!,"AAAAADr//84=")</f>
        <v>#REF!</v>
      </c>
      <c r="GZ75" t="e">
        <f>AND(Sheet1!#REF!,"AAAAADr//88=")</f>
        <v>#REF!</v>
      </c>
      <c r="HA75">
        <f>IF(Sheet1!1009:1009,"AAAAADr//9A=",0)</f>
        <v>0</v>
      </c>
      <c r="HB75" t="e">
        <f>AND(Sheet1!A1009,"AAAAADr//9E=")</f>
        <v>#VALUE!</v>
      </c>
      <c r="HC75" t="e">
        <f>AND(Sheet1!B1009,"AAAAADr//9I=")</f>
        <v>#VALUE!</v>
      </c>
      <c r="HD75" t="e">
        <f>AND(Sheet1!C1009,"AAAAADr//9M=")</f>
        <v>#VALUE!</v>
      </c>
      <c r="HE75" t="e">
        <f>AND(Sheet1!D1009,"AAAAADr//9Q=")</f>
        <v>#VALUE!</v>
      </c>
      <c r="HF75" t="e">
        <f>AND(Sheet1!E1009,"AAAAADr//9U=")</f>
        <v>#VALUE!</v>
      </c>
      <c r="HG75" t="e">
        <f>AND(Sheet1!F1009,"AAAAADr//9Y=")</f>
        <v>#VALUE!</v>
      </c>
      <c r="HH75" t="e">
        <f>AND(Sheet1!G1009,"AAAAADr//9c=")</f>
        <v>#VALUE!</v>
      </c>
      <c r="HI75" t="e">
        <f>AND(Sheet1!H1009,"AAAAADr//9g=")</f>
        <v>#VALUE!</v>
      </c>
      <c r="HJ75" t="e">
        <f>AND(Sheet1!I1009,"AAAAADr//9k=")</f>
        <v>#VALUE!</v>
      </c>
      <c r="HK75" t="e">
        <f>AND(Sheet1!J1009,"AAAAADr//9o=")</f>
        <v>#VALUE!</v>
      </c>
      <c r="HL75" t="e">
        <f>AND(Sheet1!K1009,"AAAAADr//9s=")</f>
        <v>#VALUE!</v>
      </c>
      <c r="HM75" t="e">
        <f>AND(Sheet1!L1009,"AAAAADr//9w=")</f>
        <v>#VALUE!</v>
      </c>
      <c r="HN75" t="e">
        <f>AND(Sheet1!M1009,"AAAAADr//90=")</f>
        <v>#VALUE!</v>
      </c>
      <c r="HO75" t="e">
        <f>AND(Sheet1!N1009,"AAAAADr//94=")</f>
        <v>#VALUE!</v>
      </c>
      <c r="HP75" t="e">
        <f>AND(Sheet1!#REF!,"AAAAADr//98=")</f>
        <v>#REF!</v>
      </c>
      <c r="HQ75" t="e">
        <f>AND(Sheet1!#REF!,"AAAAADr//+A=")</f>
        <v>#REF!</v>
      </c>
      <c r="HR75" t="e">
        <f>AND(Sheet1!#REF!,"AAAAADr//+E=")</f>
        <v>#REF!</v>
      </c>
      <c r="HS75" t="e">
        <f>AND(Sheet1!#REF!,"AAAAADr//+I=")</f>
        <v>#REF!</v>
      </c>
      <c r="HT75">
        <f>IF(Sheet1!1010:1010,"AAAAADr//+M=",0)</f>
        <v>0</v>
      </c>
      <c r="HU75" t="e">
        <f>AND(Sheet1!A1010,"AAAAADr//+Q=")</f>
        <v>#VALUE!</v>
      </c>
      <c r="HV75" t="e">
        <f>AND(Sheet1!B1010,"AAAAADr//+U=")</f>
        <v>#VALUE!</v>
      </c>
      <c r="HW75" t="e">
        <f>AND(Sheet1!C1010,"AAAAADr//+Y=")</f>
        <v>#VALUE!</v>
      </c>
      <c r="HX75" t="e">
        <f>AND(Sheet1!D1010,"AAAAADr//+c=")</f>
        <v>#VALUE!</v>
      </c>
      <c r="HY75" t="e">
        <f>AND(Sheet1!E1010,"AAAAADr//+g=")</f>
        <v>#VALUE!</v>
      </c>
      <c r="HZ75" t="e">
        <f>AND(Sheet1!F1010,"AAAAADr//+k=")</f>
        <v>#VALUE!</v>
      </c>
      <c r="IA75" t="e">
        <f>AND(Sheet1!G1010,"AAAAADr//+o=")</f>
        <v>#VALUE!</v>
      </c>
      <c r="IB75" t="e">
        <f>AND(Sheet1!H1010,"AAAAADr//+s=")</f>
        <v>#VALUE!</v>
      </c>
      <c r="IC75" t="e">
        <f>AND(Sheet1!I1010,"AAAAADr//+w=")</f>
        <v>#VALUE!</v>
      </c>
      <c r="ID75" t="e">
        <f>AND(Sheet1!J1010,"AAAAADr//+0=")</f>
        <v>#VALUE!</v>
      </c>
      <c r="IE75" t="e">
        <f>AND(Sheet1!K1010,"AAAAADr//+4=")</f>
        <v>#VALUE!</v>
      </c>
      <c r="IF75" t="e">
        <f>AND(Sheet1!L1010,"AAAAADr//+8=")</f>
        <v>#VALUE!</v>
      </c>
      <c r="IG75" t="e">
        <f>AND(Sheet1!M1010,"AAAAADr///A=")</f>
        <v>#VALUE!</v>
      </c>
      <c r="IH75" t="e">
        <f>AND(Sheet1!N1010,"AAAAADr///E=")</f>
        <v>#VALUE!</v>
      </c>
      <c r="II75" t="e">
        <f>AND(Sheet1!#REF!,"AAAAADr///I=")</f>
        <v>#REF!</v>
      </c>
      <c r="IJ75" t="e">
        <f>AND(Sheet1!#REF!,"AAAAADr///M=")</f>
        <v>#REF!</v>
      </c>
      <c r="IK75" t="e">
        <f>AND(Sheet1!#REF!,"AAAAADr///Q=")</f>
        <v>#REF!</v>
      </c>
      <c r="IL75" t="e">
        <f>AND(Sheet1!#REF!,"AAAAADr///U=")</f>
        <v>#REF!</v>
      </c>
      <c r="IM75">
        <f>IF(Sheet1!1011:1011,"AAAAADr///Y=",0)</f>
        <v>0</v>
      </c>
      <c r="IN75" t="e">
        <f>AND(Sheet1!A1011,"AAAAADr///c=")</f>
        <v>#VALUE!</v>
      </c>
      <c r="IO75" t="e">
        <f>AND(Sheet1!B1011,"AAAAADr///g=")</f>
        <v>#VALUE!</v>
      </c>
      <c r="IP75" t="e">
        <f>AND(Sheet1!C1011,"AAAAADr///k=")</f>
        <v>#VALUE!</v>
      </c>
      <c r="IQ75" t="e">
        <f>AND(Sheet1!D1011,"AAAAADr///o=")</f>
        <v>#VALUE!</v>
      </c>
      <c r="IR75" t="e">
        <f>AND(Sheet1!E1011,"AAAAADr///s=")</f>
        <v>#VALUE!</v>
      </c>
      <c r="IS75" t="e">
        <f>AND(Sheet1!F1011,"AAAAADr///w=")</f>
        <v>#VALUE!</v>
      </c>
      <c r="IT75" t="e">
        <f>AND(Sheet1!G1011,"AAAAADr///0=")</f>
        <v>#VALUE!</v>
      </c>
      <c r="IU75" t="e">
        <f>AND(Sheet1!H1011,"AAAAADr///4=")</f>
        <v>#VALUE!</v>
      </c>
      <c r="IV75" t="e">
        <f>AND(Sheet1!I1011,"AAAAADr///8=")</f>
        <v>#VALUE!</v>
      </c>
    </row>
    <row r="76" spans="1:256" x14ac:dyDescent="0.2">
      <c r="A76" t="e">
        <f>AND(Sheet1!J1011,"AAAAADrfvwA=")</f>
        <v>#VALUE!</v>
      </c>
      <c r="B76" t="e">
        <f>AND(Sheet1!K1011,"AAAAADrfvwE=")</f>
        <v>#VALUE!</v>
      </c>
      <c r="C76" t="e">
        <f>AND(Sheet1!L1011,"AAAAADrfvwI=")</f>
        <v>#VALUE!</v>
      </c>
      <c r="D76" t="e">
        <f>AND(Sheet1!M1011,"AAAAADrfvwM=")</f>
        <v>#VALUE!</v>
      </c>
      <c r="E76" t="e">
        <f>AND(Sheet1!N1011,"AAAAADrfvwQ=")</f>
        <v>#VALUE!</v>
      </c>
      <c r="F76" t="e">
        <f>AND(Sheet1!#REF!,"AAAAADrfvwU=")</f>
        <v>#REF!</v>
      </c>
      <c r="G76" t="e">
        <f>AND(Sheet1!#REF!,"AAAAADrfvwY=")</f>
        <v>#REF!</v>
      </c>
      <c r="H76" t="e">
        <f>AND(Sheet1!#REF!,"AAAAADrfvwc=")</f>
        <v>#REF!</v>
      </c>
      <c r="I76" t="e">
        <f>AND(Sheet1!#REF!,"AAAAADrfvwg=")</f>
        <v>#REF!</v>
      </c>
      <c r="J76" t="e">
        <f>IF(Sheet1!1012:1012,"AAAAADrfvwk=",0)</f>
        <v>#VALUE!</v>
      </c>
      <c r="K76" t="e">
        <f>AND(Sheet1!A1012,"AAAAADrfvwo=")</f>
        <v>#VALUE!</v>
      </c>
      <c r="L76" t="e">
        <f>AND(Sheet1!B1012,"AAAAADrfvws=")</f>
        <v>#VALUE!</v>
      </c>
      <c r="M76" t="e">
        <f>AND(Sheet1!C1012,"AAAAADrfvww=")</f>
        <v>#VALUE!</v>
      </c>
      <c r="N76" t="e">
        <f>AND(Sheet1!D1012,"AAAAADrfvw0=")</f>
        <v>#VALUE!</v>
      </c>
      <c r="O76" t="e">
        <f>AND(Sheet1!E1012,"AAAAADrfvw4=")</f>
        <v>#VALUE!</v>
      </c>
      <c r="P76" t="e">
        <f>AND(Sheet1!F1012,"AAAAADrfvw8=")</f>
        <v>#VALUE!</v>
      </c>
      <c r="Q76" t="e">
        <f>AND(Sheet1!G1012,"AAAAADrfvxA=")</f>
        <v>#VALUE!</v>
      </c>
      <c r="R76" t="e">
        <f>AND(Sheet1!H1012,"AAAAADrfvxE=")</f>
        <v>#VALUE!</v>
      </c>
      <c r="S76" t="e">
        <f>AND(Sheet1!I1012,"AAAAADrfvxI=")</f>
        <v>#VALUE!</v>
      </c>
      <c r="T76" t="e">
        <f>AND(Sheet1!J1012,"AAAAADrfvxM=")</f>
        <v>#VALUE!</v>
      </c>
      <c r="U76" t="e">
        <f>AND(Sheet1!K1012,"AAAAADrfvxQ=")</f>
        <v>#VALUE!</v>
      </c>
      <c r="V76" t="e">
        <f>AND(Sheet1!L1012,"AAAAADrfvxU=")</f>
        <v>#VALUE!</v>
      </c>
      <c r="W76" t="e">
        <f>AND(Sheet1!M1012,"AAAAADrfvxY=")</f>
        <v>#VALUE!</v>
      </c>
      <c r="X76" t="e">
        <f>AND(Sheet1!N1012,"AAAAADrfvxc=")</f>
        <v>#VALUE!</v>
      </c>
      <c r="Y76" t="e">
        <f>AND(Sheet1!#REF!,"AAAAADrfvxg=")</f>
        <v>#REF!</v>
      </c>
      <c r="Z76" t="e">
        <f>AND(Sheet1!#REF!,"AAAAADrfvxk=")</f>
        <v>#REF!</v>
      </c>
      <c r="AA76" t="e">
        <f>AND(Sheet1!#REF!,"AAAAADrfvxo=")</f>
        <v>#REF!</v>
      </c>
      <c r="AB76" t="e">
        <f>AND(Sheet1!#REF!,"AAAAADrfvxs=")</f>
        <v>#REF!</v>
      </c>
      <c r="AC76">
        <f>IF(Sheet1!1013:1013,"AAAAADrfvxw=",0)</f>
        <v>0</v>
      </c>
      <c r="AD76" t="e">
        <f>AND(Sheet1!A1013,"AAAAADrfvx0=")</f>
        <v>#VALUE!</v>
      </c>
      <c r="AE76" t="e">
        <f>AND(Sheet1!B1013,"AAAAADrfvx4=")</f>
        <v>#VALUE!</v>
      </c>
      <c r="AF76" t="e">
        <f>AND(Sheet1!C1013,"AAAAADrfvx8=")</f>
        <v>#VALUE!</v>
      </c>
      <c r="AG76" t="e">
        <f>AND(Sheet1!D1013,"AAAAADrfvyA=")</f>
        <v>#VALUE!</v>
      </c>
      <c r="AH76" t="e">
        <f>AND(Sheet1!E1013,"AAAAADrfvyE=")</f>
        <v>#VALUE!</v>
      </c>
      <c r="AI76" t="e">
        <f>AND(Sheet1!F1013,"AAAAADrfvyI=")</f>
        <v>#VALUE!</v>
      </c>
      <c r="AJ76" t="e">
        <f>AND(Sheet1!G1013,"AAAAADrfvyM=")</f>
        <v>#VALUE!</v>
      </c>
      <c r="AK76" t="e">
        <f>AND(Sheet1!H1013,"AAAAADrfvyQ=")</f>
        <v>#VALUE!</v>
      </c>
      <c r="AL76" t="e">
        <f>AND(Sheet1!I1013,"AAAAADrfvyU=")</f>
        <v>#VALUE!</v>
      </c>
      <c r="AM76" t="e">
        <f>AND(Sheet1!J1013,"AAAAADrfvyY=")</f>
        <v>#VALUE!</v>
      </c>
      <c r="AN76" t="e">
        <f>AND(Sheet1!K1013,"AAAAADrfvyc=")</f>
        <v>#VALUE!</v>
      </c>
      <c r="AO76" t="e">
        <f>AND(Sheet1!L1013,"AAAAADrfvyg=")</f>
        <v>#VALUE!</v>
      </c>
      <c r="AP76" t="e">
        <f>AND(Sheet1!M1013,"AAAAADrfvyk=")</f>
        <v>#VALUE!</v>
      </c>
      <c r="AQ76" t="e">
        <f>AND(Sheet1!N1013,"AAAAADrfvyo=")</f>
        <v>#VALUE!</v>
      </c>
      <c r="AR76" t="e">
        <f>AND(Sheet1!#REF!,"AAAAADrfvys=")</f>
        <v>#REF!</v>
      </c>
      <c r="AS76" t="e">
        <f>AND(Sheet1!#REF!,"AAAAADrfvyw=")</f>
        <v>#REF!</v>
      </c>
      <c r="AT76" t="e">
        <f>AND(Sheet1!#REF!,"AAAAADrfvy0=")</f>
        <v>#REF!</v>
      </c>
      <c r="AU76" t="e">
        <f>AND(Sheet1!#REF!,"AAAAADrfvy4=")</f>
        <v>#REF!</v>
      </c>
      <c r="AV76">
        <f>IF(Sheet1!1014:1014,"AAAAADrfvy8=",0)</f>
        <v>0</v>
      </c>
      <c r="AW76" t="e">
        <f>AND(Sheet1!A1014,"AAAAADrfvzA=")</f>
        <v>#VALUE!</v>
      </c>
      <c r="AX76" t="e">
        <f>AND(Sheet1!B1014,"AAAAADrfvzE=")</f>
        <v>#VALUE!</v>
      </c>
      <c r="AY76" t="e">
        <f>AND(Sheet1!C1014,"AAAAADrfvzI=")</f>
        <v>#VALUE!</v>
      </c>
      <c r="AZ76" t="e">
        <f>AND(Sheet1!D1014,"AAAAADrfvzM=")</f>
        <v>#VALUE!</v>
      </c>
      <c r="BA76" t="e">
        <f>AND(Sheet1!E1014,"AAAAADrfvzQ=")</f>
        <v>#VALUE!</v>
      </c>
      <c r="BB76" t="e">
        <f>AND(Sheet1!F1014,"AAAAADrfvzU=")</f>
        <v>#VALUE!</v>
      </c>
      <c r="BC76" t="e">
        <f>AND(Sheet1!G1014,"AAAAADrfvzY=")</f>
        <v>#VALUE!</v>
      </c>
      <c r="BD76" t="e">
        <f>AND(Sheet1!H1014,"AAAAADrfvzc=")</f>
        <v>#VALUE!</v>
      </c>
      <c r="BE76" t="e">
        <f>AND(Sheet1!I1014,"AAAAADrfvzg=")</f>
        <v>#VALUE!</v>
      </c>
      <c r="BF76" t="e">
        <f>AND(Sheet1!J1014,"AAAAADrfvzk=")</f>
        <v>#VALUE!</v>
      </c>
      <c r="BG76" t="e">
        <f>AND(Sheet1!K1014,"AAAAADrfvzo=")</f>
        <v>#VALUE!</v>
      </c>
      <c r="BH76" t="e">
        <f>AND(Sheet1!L1014,"AAAAADrfvzs=")</f>
        <v>#VALUE!</v>
      </c>
      <c r="BI76" t="e">
        <f>AND(Sheet1!M1014,"AAAAADrfvzw=")</f>
        <v>#VALUE!</v>
      </c>
      <c r="BJ76" t="e">
        <f>AND(Sheet1!N1014,"AAAAADrfvz0=")</f>
        <v>#VALUE!</v>
      </c>
      <c r="BK76" t="e">
        <f>AND(Sheet1!#REF!,"AAAAADrfvz4=")</f>
        <v>#REF!</v>
      </c>
      <c r="BL76" t="e">
        <f>AND(Sheet1!#REF!,"AAAAADrfvz8=")</f>
        <v>#REF!</v>
      </c>
      <c r="BM76" t="e">
        <f>AND(Sheet1!#REF!,"AAAAADrfv0A=")</f>
        <v>#REF!</v>
      </c>
      <c r="BN76" t="e">
        <f>AND(Sheet1!#REF!,"AAAAADrfv0E=")</f>
        <v>#REF!</v>
      </c>
      <c r="BO76">
        <f>IF(Sheet1!1015:1015,"AAAAADrfv0I=",0)</f>
        <v>0</v>
      </c>
      <c r="BP76" t="e">
        <f>AND(Sheet1!A1015,"AAAAADrfv0M=")</f>
        <v>#VALUE!</v>
      </c>
      <c r="BQ76" t="e">
        <f>AND(Sheet1!B1015,"AAAAADrfv0Q=")</f>
        <v>#VALUE!</v>
      </c>
      <c r="BR76" t="e">
        <f>AND(Sheet1!C1015,"AAAAADrfv0U=")</f>
        <v>#VALUE!</v>
      </c>
      <c r="BS76" t="e">
        <f>AND(Sheet1!D1015,"AAAAADrfv0Y=")</f>
        <v>#VALUE!</v>
      </c>
      <c r="BT76" t="e">
        <f>AND(Sheet1!E1015,"AAAAADrfv0c=")</f>
        <v>#VALUE!</v>
      </c>
      <c r="BU76" t="e">
        <f>AND(Sheet1!F1015,"AAAAADrfv0g=")</f>
        <v>#VALUE!</v>
      </c>
      <c r="BV76" t="e">
        <f>AND(Sheet1!G1015,"AAAAADrfv0k=")</f>
        <v>#VALUE!</v>
      </c>
      <c r="BW76" t="e">
        <f>AND(Sheet1!H1015,"AAAAADrfv0o=")</f>
        <v>#VALUE!</v>
      </c>
      <c r="BX76" t="e">
        <f>AND(Sheet1!I1015,"AAAAADrfv0s=")</f>
        <v>#VALUE!</v>
      </c>
      <c r="BY76" t="e">
        <f>AND(Sheet1!J1015,"AAAAADrfv0w=")</f>
        <v>#VALUE!</v>
      </c>
      <c r="BZ76" t="e">
        <f>AND(Sheet1!K1015,"AAAAADrfv00=")</f>
        <v>#VALUE!</v>
      </c>
      <c r="CA76" t="e">
        <f>AND(Sheet1!L1015,"AAAAADrfv04=")</f>
        <v>#VALUE!</v>
      </c>
      <c r="CB76" t="e">
        <f>AND(Sheet1!M1015,"AAAAADrfv08=")</f>
        <v>#VALUE!</v>
      </c>
      <c r="CC76" t="e">
        <f>AND(Sheet1!N1015,"AAAAADrfv1A=")</f>
        <v>#VALUE!</v>
      </c>
      <c r="CD76" t="e">
        <f>AND(Sheet1!#REF!,"AAAAADrfv1E=")</f>
        <v>#REF!</v>
      </c>
      <c r="CE76" t="e">
        <f>AND(Sheet1!#REF!,"AAAAADrfv1I=")</f>
        <v>#REF!</v>
      </c>
      <c r="CF76" t="e">
        <f>AND(Sheet1!#REF!,"AAAAADrfv1M=")</f>
        <v>#REF!</v>
      </c>
      <c r="CG76" t="e">
        <f>AND(Sheet1!#REF!,"AAAAADrfv1Q=")</f>
        <v>#REF!</v>
      </c>
      <c r="CH76">
        <f>IF(Sheet1!1016:1016,"AAAAADrfv1U=",0)</f>
        <v>0</v>
      </c>
      <c r="CI76" t="e">
        <f>AND(Sheet1!A1016,"AAAAADrfv1Y=")</f>
        <v>#VALUE!</v>
      </c>
      <c r="CJ76" t="e">
        <f>AND(Sheet1!B1016,"AAAAADrfv1c=")</f>
        <v>#VALUE!</v>
      </c>
      <c r="CK76" t="e">
        <f>AND(Sheet1!C1016,"AAAAADrfv1g=")</f>
        <v>#VALUE!</v>
      </c>
      <c r="CL76" t="e">
        <f>AND(Sheet1!D1016,"AAAAADrfv1k=")</f>
        <v>#VALUE!</v>
      </c>
      <c r="CM76" t="e">
        <f>AND(Sheet1!E1016,"AAAAADrfv1o=")</f>
        <v>#VALUE!</v>
      </c>
      <c r="CN76" t="e">
        <f>AND(Sheet1!F1016,"AAAAADrfv1s=")</f>
        <v>#VALUE!</v>
      </c>
      <c r="CO76" t="e">
        <f>AND(Sheet1!G1016,"AAAAADrfv1w=")</f>
        <v>#VALUE!</v>
      </c>
      <c r="CP76" t="e">
        <f>AND(Sheet1!H1016,"AAAAADrfv10=")</f>
        <v>#VALUE!</v>
      </c>
      <c r="CQ76" t="e">
        <f>AND(Sheet1!I1016,"AAAAADrfv14=")</f>
        <v>#VALUE!</v>
      </c>
      <c r="CR76" t="e">
        <f>AND(Sheet1!J1016,"AAAAADrfv18=")</f>
        <v>#VALUE!</v>
      </c>
      <c r="CS76" t="e">
        <f>AND(Sheet1!K1016,"AAAAADrfv2A=")</f>
        <v>#VALUE!</v>
      </c>
      <c r="CT76" t="e">
        <f>AND(Sheet1!L1016,"AAAAADrfv2E=")</f>
        <v>#VALUE!</v>
      </c>
      <c r="CU76" t="e">
        <f>AND(Sheet1!M1016,"AAAAADrfv2I=")</f>
        <v>#VALUE!</v>
      </c>
      <c r="CV76" t="e">
        <f>AND(Sheet1!N1016,"AAAAADrfv2M=")</f>
        <v>#VALUE!</v>
      </c>
      <c r="CW76" t="e">
        <f>AND(Sheet1!#REF!,"AAAAADrfv2Q=")</f>
        <v>#REF!</v>
      </c>
      <c r="CX76" t="e">
        <f>AND(Sheet1!#REF!,"AAAAADrfv2U=")</f>
        <v>#REF!</v>
      </c>
      <c r="CY76" t="e">
        <f>AND(Sheet1!#REF!,"AAAAADrfv2Y=")</f>
        <v>#REF!</v>
      </c>
      <c r="CZ76" t="e">
        <f>AND(Sheet1!#REF!,"AAAAADrfv2c=")</f>
        <v>#REF!</v>
      </c>
      <c r="DA76">
        <f>IF(Sheet1!1017:1017,"AAAAADrfv2g=",0)</f>
        <v>0</v>
      </c>
      <c r="DB76" t="e">
        <f>AND(Sheet1!A1017,"AAAAADrfv2k=")</f>
        <v>#VALUE!</v>
      </c>
      <c r="DC76" t="e">
        <f>AND(Sheet1!B1017,"AAAAADrfv2o=")</f>
        <v>#VALUE!</v>
      </c>
      <c r="DD76" t="e">
        <f>AND(Sheet1!C1017,"AAAAADrfv2s=")</f>
        <v>#VALUE!</v>
      </c>
      <c r="DE76" t="e">
        <f>AND(Sheet1!D1017,"AAAAADrfv2w=")</f>
        <v>#VALUE!</v>
      </c>
      <c r="DF76" t="e">
        <f>AND(Sheet1!E1017,"AAAAADrfv20=")</f>
        <v>#VALUE!</v>
      </c>
      <c r="DG76" t="e">
        <f>AND(Sheet1!F1017,"AAAAADrfv24=")</f>
        <v>#VALUE!</v>
      </c>
      <c r="DH76" t="e">
        <f>AND(Sheet1!G1017,"AAAAADrfv28=")</f>
        <v>#VALUE!</v>
      </c>
      <c r="DI76" t="e">
        <f>AND(Sheet1!H1017,"AAAAADrfv3A=")</f>
        <v>#VALUE!</v>
      </c>
      <c r="DJ76" t="e">
        <f>AND(Sheet1!I1017,"AAAAADrfv3E=")</f>
        <v>#VALUE!</v>
      </c>
      <c r="DK76" t="e">
        <f>AND(Sheet1!J1017,"AAAAADrfv3I=")</f>
        <v>#VALUE!</v>
      </c>
      <c r="DL76" t="e">
        <f>AND(Sheet1!K1017,"AAAAADrfv3M=")</f>
        <v>#VALUE!</v>
      </c>
      <c r="DM76" t="e">
        <f>AND(Sheet1!L1017,"AAAAADrfv3Q=")</f>
        <v>#VALUE!</v>
      </c>
      <c r="DN76" t="e">
        <f>AND(Sheet1!M1017,"AAAAADrfv3U=")</f>
        <v>#VALUE!</v>
      </c>
      <c r="DO76" t="e">
        <f>AND(Sheet1!N1017,"AAAAADrfv3Y=")</f>
        <v>#VALUE!</v>
      </c>
      <c r="DP76" t="e">
        <f>AND(Sheet1!#REF!,"AAAAADrfv3c=")</f>
        <v>#REF!</v>
      </c>
      <c r="DQ76" t="e">
        <f>AND(Sheet1!#REF!,"AAAAADrfv3g=")</f>
        <v>#REF!</v>
      </c>
      <c r="DR76" t="e">
        <f>AND(Sheet1!#REF!,"AAAAADrfv3k=")</f>
        <v>#REF!</v>
      </c>
      <c r="DS76" t="e">
        <f>AND(Sheet1!#REF!,"AAAAADrfv3o=")</f>
        <v>#REF!</v>
      </c>
      <c r="DT76">
        <f>IF(Sheet1!1018:1018,"AAAAADrfv3s=",0)</f>
        <v>0</v>
      </c>
      <c r="DU76" t="e">
        <f>AND(Sheet1!A1018,"AAAAADrfv3w=")</f>
        <v>#VALUE!</v>
      </c>
      <c r="DV76" t="e">
        <f>AND(Sheet1!B1018,"AAAAADrfv30=")</f>
        <v>#VALUE!</v>
      </c>
      <c r="DW76" t="e">
        <f>AND(Sheet1!C1018,"AAAAADrfv34=")</f>
        <v>#VALUE!</v>
      </c>
      <c r="DX76" t="e">
        <f>AND(Sheet1!D1018,"AAAAADrfv38=")</f>
        <v>#VALUE!</v>
      </c>
      <c r="DY76" t="e">
        <f>AND(Sheet1!E1018,"AAAAADrfv4A=")</f>
        <v>#VALUE!</v>
      </c>
      <c r="DZ76" t="e">
        <f>AND(Sheet1!F1018,"AAAAADrfv4E=")</f>
        <v>#VALUE!</v>
      </c>
      <c r="EA76" t="e">
        <f>AND(Sheet1!G1018,"AAAAADrfv4I=")</f>
        <v>#VALUE!</v>
      </c>
      <c r="EB76" t="e">
        <f>AND(Sheet1!H1018,"AAAAADrfv4M=")</f>
        <v>#VALUE!</v>
      </c>
      <c r="EC76" t="e">
        <f>AND(Sheet1!I1018,"AAAAADrfv4Q=")</f>
        <v>#VALUE!</v>
      </c>
      <c r="ED76" t="e">
        <f>AND(Sheet1!J1018,"AAAAADrfv4U=")</f>
        <v>#VALUE!</v>
      </c>
      <c r="EE76" t="e">
        <f>AND(Sheet1!K1018,"AAAAADrfv4Y=")</f>
        <v>#VALUE!</v>
      </c>
      <c r="EF76" t="e">
        <f>AND(Sheet1!L1018,"AAAAADrfv4c=")</f>
        <v>#VALUE!</v>
      </c>
      <c r="EG76" t="e">
        <f>AND(Sheet1!M1018,"AAAAADrfv4g=")</f>
        <v>#VALUE!</v>
      </c>
      <c r="EH76" t="e">
        <f>AND(Sheet1!N1018,"AAAAADrfv4k=")</f>
        <v>#VALUE!</v>
      </c>
      <c r="EI76" t="e">
        <f>AND(Sheet1!#REF!,"AAAAADrfv4o=")</f>
        <v>#REF!</v>
      </c>
      <c r="EJ76" t="e">
        <f>AND(Sheet1!#REF!,"AAAAADrfv4s=")</f>
        <v>#REF!</v>
      </c>
      <c r="EK76" t="e">
        <f>AND(Sheet1!#REF!,"AAAAADrfv4w=")</f>
        <v>#REF!</v>
      </c>
      <c r="EL76" t="e">
        <f>AND(Sheet1!#REF!,"AAAAADrfv40=")</f>
        <v>#REF!</v>
      </c>
      <c r="EM76">
        <f>IF(Sheet1!1019:1019,"AAAAADrfv44=",0)</f>
        <v>0</v>
      </c>
      <c r="EN76" t="e">
        <f>AND(Sheet1!A1019,"AAAAADrfv48=")</f>
        <v>#VALUE!</v>
      </c>
      <c r="EO76" t="e">
        <f>AND(Sheet1!B1019,"AAAAADrfv5A=")</f>
        <v>#VALUE!</v>
      </c>
      <c r="EP76" t="e">
        <f>AND(Sheet1!C1019,"AAAAADrfv5E=")</f>
        <v>#VALUE!</v>
      </c>
      <c r="EQ76" t="e">
        <f>AND(Sheet1!D1019,"AAAAADrfv5I=")</f>
        <v>#VALUE!</v>
      </c>
      <c r="ER76" t="e">
        <f>AND(Sheet1!E1019,"AAAAADrfv5M=")</f>
        <v>#VALUE!</v>
      </c>
      <c r="ES76" t="e">
        <f>AND(Sheet1!F1019,"AAAAADrfv5Q=")</f>
        <v>#VALUE!</v>
      </c>
      <c r="ET76" t="e">
        <f>AND(Sheet1!G1019,"AAAAADrfv5U=")</f>
        <v>#VALUE!</v>
      </c>
      <c r="EU76" t="e">
        <f>AND(Sheet1!H1019,"AAAAADrfv5Y=")</f>
        <v>#VALUE!</v>
      </c>
      <c r="EV76" t="e">
        <f>AND(Sheet1!I1019,"AAAAADrfv5c=")</f>
        <v>#VALUE!</v>
      </c>
      <c r="EW76" t="e">
        <f>AND(Sheet1!J1019,"AAAAADrfv5g=")</f>
        <v>#VALUE!</v>
      </c>
      <c r="EX76" t="e">
        <f>AND(Sheet1!K1019,"AAAAADrfv5k=")</f>
        <v>#VALUE!</v>
      </c>
      <c r="EY76" t="e">
        <f>AND(Sheet1!L1019,"AAAAADrfv5o=")</f>
        <v>#VALUE!</v>
      </c>
      <c r="EZ76" t="e">
        <f>AND(Sheet1!M1019,"AAAAADrfv5s=")</f>
        <v>#VALUE!</v>
      </c>
      <c r="FA76" t="e">
        <f>AND(Sheet1!N1019,"AAAAADrfv5w=")</f>
        <v>#VALUE!</v>
      </c>
      <c r="FB76" t="e">
        <f>AND(Sheet1!#REF!,"AAAAADrfv50=")</f>
        <v>#REF!</v>
      </c>
      <c r="FC76" t="e">
        <f>AND(Sheet1!#REF!,"AAAAADrfv54=")</f>
        <v>#REF!</v>
      </c>
      <c r="FD76" t="e">
        <f>AND(Sheet1!#REF!,"AAAAADrfv58=")</f>
        <v>#REF!</v>
      </c>
      <c r="FE76" t="e">
        <f>AND(Sheet1!#REF!,"AAAAADrfv6A=")</f>
        <v>#REF!</v>
      </c>
      <c r="FF76">
        <f>IF(Sheet1!1020:1020,"AAAAADrfv6E=",0)</f>
        <v>0</v>
      </c>
      <c r="FG76" t="e">
        <f>AND(Sheet1!A1020,"AAAAADrfv6I=")</f>
        <v>#VALUE!</v>
      </c>
      <c r="FH76" t="e">
        <f>AND(Sheet1!B1020,"AAAAADrfv6M=")</f>
        <v>#VALUE!</v>
      </c>
      <c r="FI76" t="e">
        <f>AND(Sheet1!C1020,"AAAAADrfv6Q=")</f>
        <v>#VALUE!</v>
      </c>
      <c r="FJ76" t="e">
        <f>AND(Sheet1!D1020,"AAAAADrfv6U=")</f>
        <v>#VALUE!</v>
      </c>
      <c r="FK76" t="e">
        <f>AND(Sheet1!E1020,"AAAAADrfv6Y=")</f>
        <v>#VALUE!</v>
      </c>
      <c r="FL76" t="e">
        <f>AND(Sheet1!F1020,"AAAAADrfv6c=")</f>
        <v>#VALUE!</v>
      </c>
      <c r="FM76" t="e">
        <f>AND(Sheet1!G1020,"AAAAADrfv6g=")</f>
        <v>#VALUE!</v>
      </c>
      <c r="FN76" t="e">
        <f>AND(Sheet1!H1020,"AAAAADrfv6k=")</f>
        <v>#VALUE!</v>
      </c>
      <c r="FO76" t="e">
        <f>AND(Sheet1!I1020,"AAAAADrfv6o=")</f>
        <v>#VALUE!</v>
      </c>
      <c r="FP76" t="e">
        <f>AND(Sheet1!J1020,"AAAAADrfv6s=")</f>
        <v>#VALUE!</v>
      </c>
      <c r="FQ76" t="e">
        <f>AND(Sheet1!K1020,"AAAAADrfv6w=")</f>
        <v>#VALUE!</v>
      </c>
      <c r="FR76" t="e">
        <f>AND(Sheet1!L1020,"AAAAADrfv60=")</f>
        <v>#VALUE!</v>
      </c>
      <c r="FS76" t="e">
        <f>AND(Sheet1!M1020,"AAAAADrfv64=")</f>
        <v>#VALUE!</v>
      </c>
      <c r="FT76" t="e">
        <f>AND(Sheet1!N1020,"AAAAADrfv68=")</f>
        <v>#VALUE!</v>
      </c>
      <c r="FU76" t="e">
        <f>AND(Sheet1!#REF!,"AAAAADrfv7A=")</f>
        <v>#REF!</v>
      </c>
      <c r="FV76" t="e">
        <f>AND(Sheet1!#REF!,"AAAAADrfv7E=")</f>
        <v>#REF!</v>
      </c>
      <c r="FW76" t="e">
        <f>AND(Sheet1!#REF!,"AAAAADrfv7I=")</f>
        <v>#REF!</v>
      </c>
      <c r="FX76" t="e">
        <f>AND(Sheet1!#REF!,"AAAAADrfv7M=")</f>
        <v>#REF!</v>
      </c>
      <c r="FY76">
        <f>IF(Sheet1!1021:1021,"AAAAADrfv7Q=",0)</f>
        <v>0</v>
      </c>
      <c r="FZ76" t="e">
        <f>AND(Sheet1!A1021,"AAAAADrfv7U=")</f>
        <v>#VALUE!</v>
      </c>
      <c r="GA76" t="e">
        <f>AND(Sheet1!B1021,"AAAAADrfv7Y=")</f>
        <v>#VALUE!</v>
      </c>
      <c r="GB76" t="e">
        <f>AND(Sheet1!C1021,"AAAAADrfv7c=")</f>
        <v>#VALUE!</v>
      </c>
      <c r="GC76" t="e">
        <f>AND(Sheet1!D1021,"AAAAADrfv7g=")</f>
        <v>#VALUE!</v>
      </c>
      <c r="GD76" t="e">
        <f>AND(Sheet1!E1021,"AAAAADrfv7k=")</f>
        <v>#VALUE!</v>
      </c>
      <c r="GE76" t="e">
        <f>AND(Sheet1!F1021,"AAAAADrfv7o=")</f>
        <v>#VALUE!</v>
      </c>
      <c r="GF76" t="e">
        <f>AND(Sheet1!G1021,"AAAAADrfv7s=")</f>
        <v>#VALUE!</v>
      </c>
      <c r="GG76" t="e">
        <f>AND(Sheet1!H1021,"AAAAADrfv7w=")</f>
        <v>#VALUE!</v>
      </c>
      <c r="GH76" t="e">
        <f>AND(Sheet1!I1021,"AAAAADrfv70=")</f>
        <v>#VALUE!</v>
      </c>
      <c r="GI76" t="e">
        <f>AND(Sheet1!J1021,"AAAAADrfv74=")</f>
        <v>#VALUE!</v>
      </c>
      <c r="GJ76" t="e">
        <f>AND(Sheet1!K1021,"AAAAADrfv78=")</f>
        <v>#VALUE!</v>
      </c>
      <c r="GK76" t="e">
        <f>AND(Sheet1!L1021,"AAAAADrfv8A=")</f>
        <v>#VALUE!</v>
      </c>
      <c r="GL76" t="e">
        <f>AND(Sheet1!M1021,"AAAAADrfv8E=")</f>
        <v>#VALUE!</v>
      </c>
      <c r="GM76" t="e">
        <f>AND(Sheet1!N1021,"AAAAADrfv8I=")</f>
        <v>#VALUE!</v>
      </c>
      <c r="GN76" t="e">
        <f>AND(Sheet1!#REF!,"AAAAADrfv8M=")</f>
        <v>#REF!</v>
      </c>
      <c r="GO76" t="e">
        <f>AND(Sheet1!#REF!,"AAAAADrfv8Q=")</f>
        <v>#REF!</v>
      </c>
      <c r="GP76" t="e">
        <f>AND(Sheet1!#REF!,"AAAAADrfv8U=")</f>
        <v>#REF!</v>
      </c>
      <c r="GQ76" t="e">
        <f>AND(Sheet1!#REF!,"AAAAADrfv8Y=")</f>
        <v>#REF!</v>
      </c>
      <c r="GR76">
        <f>IF(Sheet1!1022:1022,"AAAAADrfv8c=",0)</f>
        <v>0</v>
      </c>
      <c r="GS76" t="e">
        <f>AND(Sheet1!A1022,"AAAAADrfv8g=")</f>
        <v>#VALUE!</v>
      </c>
      <c r="GT76" t="e">
        <f>AND(Sheet1!B1022,"AAAAADrfv8k=")</f>
        <v>#VALUE!</v>
      </c>
      <c r="GU76" t="e">
        <f>AND(Sheet1!C1022,"AAAAADrfv8o=")</f>
        <v>#VALUE!</v>
      </c>
      <c r="GV76" t="e">
        <f>AND(Sheet1!D1022,"AAAAADrfv8s=")</f>
        <v>#VALUE!</v>
      </c>
      <c r="GW76" t="e">
        <f>AND(Sheet1!E1022,"AAAAADrfv8w=")</f>
        <v>#VALUE!</v>
      </c>
      <c r="GX76" t="e">
        <f>AND(Sheet1!F1022,"AAAAADrfv80=")</f>
        <v>#VALUE!</v>
      </c>
      <c r="GY76" t="e">
        <f>AND(Sheet1!G1022,"AAAAADrfv84=")</f>
        <v>#VALUE!</v>
      </c>
      <c r="GZ76" t="e">
        <f>AND(Sheet1!H1022,"AAAAADrfv88=")</f>
        <v>#VALUE!</v>
      </c>
      <c r="HA76" t="e">
        <f>AND(Sheet1!I1022,"AAAAADrfv9A=")</f>
        <v>#VALUE!</v>
      </c>
      <c r="HB76" t="e">
        <f>AND(Sheet1!J1022,"AAAAADrfv9E=")</f>
        <v>#VALUE!</v>
      </c>
      <c r="HC76" t="e">
        <f>AND(Sheet1!K1022,"AAAAADrfv9I=")</f>
        <v>#VALUE!</v>
      </c>
      <c r="HD76" t="e">
        <f>AND(Sheet1!L1022,"AAAAADrfv9M=")</f>
        <v>#VALUE!</v>
      </c>
      <c r="HE76" t="e">
        <f>AND(Sheet1!M1022,"AAAAADrfv9Q=")</f>
        <v>#VALUE!</v>
      </c>
      <c r="HF76" t="e">
        <f>AND(Sheet1!N1022,"AAAAADrfv9U=")</f>
        <v>#VALUE!</v>
      </c>
      <c r="HG76" t="e">
        <f>AND(Sheet1!#REF!,"AAAAADrfv9Y=")</f>
        <v>#REF!</v>
      </c>
      <c r="HH76" t="e">
        <f>AND(Sheet1!#REF!,"AAAAADrfv9c=")</f>
        <v>#REF!</v>
      </c>
      <c r="HI76" t="e">
        <f>AND(Sheet1!#REF!,"AAAAADrfv9g=")</f>
        <v>#REF!</v>
      </c>
      <c r="HJ76" t="e">
        <f>AND(Sheet1!#REF!,"AAAAADrfv9k=")</f>
        <v>#REF!</v>
      </c>
      <c r="HK76">
        <f>IF(Sheet1!1023:1023,"AAAAADrfv9o=",0)</f>
        <v>0</v>
      </c>
      <c r="HL76" t="e">
        <f>AND(Sheet1!A1023,"AAAAADrfv9s=")</f>
        <v>#VALUE!</v>
      </c>
      <c r="HM76" t="e">
        <f>AND(Sheet1!B1023,"AAAAADrfv9w=")</f>
        <v>#VALUE!</v>
      </c>
      <c r="HN76" t="e">
        <f>AND(Sheet1!C1023,"AAAAADrfv90=")</f>
        <v>#VALUE!</v>
      </c>
      <c r="HO76" t="e">
        <f>AND(Sheet1!D1023,"AAAAADrfv94=")</f>
        <v>#VALUE!</v>
      </c>
      <c r="HP76" t="e">
        <f>AND(Sheet1!E1023,"AAAAADrfv98=")</f>
        <v>#VALUE!</v>
      </c>
      <c r="HQ76" t="e">
        <f>AND(Sheet1!F1023,"AAAAADrfv+A=")</f>
        <v>#VALUE!</v>
      </c>
      <c r="HR76" t="e">
        <f>AND(Sheet1!G1023,"AAAAADrfv+E=")</f>
        <v>#VALUE!</v>
      </c>
      <c r="HS76" t="e">
        <f>AND(Sheet1!H1023,"AAAAADrfv+I=")</f>
        <v>#VALUE!</v>
      </c>
      <c r="HT76" t="e">
        <f>AND(Sheet1!I1023,"AAAAADrfv+M=")</f>
        <v>#VALUE!</v>
      </c>
      <c r="HU76" t="e">
        <f>AND(Sheet1!J1023,"AAAAADrfv+Q=")</f>
        <v>#VALUE!</v>
      </c>
      <c r="HV76" t="e">
        <f>AND(Sheet1!K1023,"AAAAADrfv+U=")</f>
        <v>#VALUE!</v>
      </c>
      <c r="HW76" t="e">
        <f>AND(Sheet1!L1023,"AAAAADrfv+Y=")</f>
        <v>#VALUE!</v>
      </c>
      <c r="HX76" t="e">
        <f>AND(Sheet1!M1023,"AAAAADrfv+c=")</f>
        <v>#VALUE!</v>
      </c>
      <c r="HY76" t="e">
        <f>AND(Sheet1!N1023,"AAAAADrfv+g=")</f>
        <v>#VALUE!</v>
      </c>
      <c r="HZ76" t="e">
        <f>AND(Sheet1!#REF!,"AAAAADrfv+k=")</f>
        <v>#REF!</v>
      </c>
      <c r="IA76" t="e">
        <f>AND(Sheet1!#REF!,"AAAAADrfv+o=")</f>
        <v>#REF!</v>
      </c>
      <c r="IB76" t="e">
        <f>AND(Sheet1!#REF!,"AAAAADrfv+s=")</f>
        <v>#REF!</v>
      </c>
      <c r="IC76" t="e">
        <f>AND(Sheet1!#REF!,"AAAAADrfv+w=")</f>
        <v>#REF!</v>
      </c>
      <c r="ID76">
        <f>IF(Sheet1!1024:1024,"AAAAADrfv+0=",0)</f>
        <v>0</v>
      </c>
      <c r="IE76" t="e">
        <f>AND(Sheet1!A1024,"AAAAADrfv+4=")</f>
        <v>#VALUE!</v>
      </c>
      <c r="IF76" t="e">
        <f>AND(Sheet1!B1024,"AAAAADrfv+8=")</f>
        <v>#VALUE!</v>
      </c>
      <c r="IG76" t="e">
        <f>AND(Sheet1!C1024,"AAAAADrfv/A=")</f>
        <v>#VALUE!</v>
      </c>
      <c r="IH76" t="e">
        <f>AND(Sheet1!D1024,"AAAAADrfv/E=")</f>
        <v>#VALUE!</v>
      </c>
      <c r="II76" t="e">
        <f>AND(Sheet1!E1024,"AAAAADrfv/I=")</f>
        <v>#VALUE!</v>
      </c>
      <c r="IJ76" t="e">
        <f>AND(Sheet1!F1024,"AAAAADrfv/M=")</f>
        <v>#VALUE!</v>
      </c>
      <c r="IK76" t="e">
        <f>AND(Sheet1!G1024,"AAAAADrfv/Q=")</f>
        <v>#VALUE!</v>
      </c>
      <c r="IL76" t="e">
        <f>AND(Sheet1!H1024,"AAAAADrfv/U=")</f>
        <v>#VALUE!</v>
      </c>
      <c r="IM76" t="e">
        <f>AND(Sheet1!I1024,"AAAAADrfv/Y=")</f>
        <v>#VALUE!</v>
      </c>
      <c r="IN76" t="e">
        <f>AND(Sheet1!J1024,"AAAAADrfv/c=")</f>
        <v>#VALUE!</v>
      </c>
      <c r="IO76" t="e">
        <f>AND(Sheet1!K1024,"AAAAADrfv/g=")</f>
        <v>#VALUE!</v>
      </c>
      <c r="IP76" t="e">
        <f>AND(Sheet1!L1024,"AAAAADrfv/k=")</f>
        <v>#VALUE!</v>
      </c>
      <c r="IQ76" t="e">
        <f>AND(Sheet1!M1024,"AAAAADrfv/o=")</f>
        <v>#VALUE!</v>
      </c>
      <c r="IR76" t="e">
        <f>AND(Sheet1!N1024,"AAAAADrfv/s=")</f>
        <v>#VALUE!</v>
      </c>
      <c r="IS76" t="e">
        <f>AND(Sheet1!#REF!,"AAAAADrfv/w=")</f>
        <v>#REF!</v>
      </c>
      <c r="IT76" t="e">
        <f>AND(Sheet1!#REF!,"AAAAADrfv/0=")</f>
        <v>#REF!</v>
      </c>
      <c r="IU76" t="e">
        <f>AND(Sheet1!#REF!,"AAAAADrfv/4=")</f>
        <v>#REF!</v>
      </c>
      <c r="IV76" t="e">
        <f>AND(Sheet1!#REF!,"AAAAADrfv/8=")</f>
        <v>#REF!</v>
      </c>
    </row>
    <row r="77" spans="1:256" x14ac:dyDescent="0.2">
      <c r="A77" t="e">
        <f>IF(Sheet1!1025:1025,"AAAAAHv7sQA=",0)</f>
        <v>#VALUE!</v>
      </c>
      <c r="B77" t="e">
        <f>AND(Sheet1!A1025,"AAAAAHv7sQE=")</f>
        <v>#VALUE!</v>
      </c>
      <c r="C77" t="e">
        <f>AND(Sheet1!B1025,"AAAAAHv7sQI=")</f>
        <v>#VALUE!</v>
      </c>
      <c r="D77" t="e">
        <f>AND(Sheet1!C1025,"AAAAAHv7sQM=")</f>
        <v>#VALUE!</v>
      </c>
      <c r="E77" t="e">
        <f>AND(Sheet1!D1025,"AAAAAHv7sQQ=")</f>
        <v>#VALUE!</v>
      </c>
      <c r="F77" t="e">
        <f>AND(Sheet1!E1025,"AAAAAHv7sQU=")</f>
        <v>#VALUE!</v>
      </c>
      <c r="G77" t="e">
        <f>AND(Sheet1!F1025,"AAAAAHv7sQY=")</f>
        <v>#VALUE!</v>
      </c>
      <c r="H77" t="e">
        <f>AND(Sheet1!G1025,"AAAAAHv7sQc=")</f>
        <v>#VALUE!</v>
      </c>
      <c r="I77" t="e">
        <f>AND(Sheet1!H1025,"AAAAAHv7sQg=")</f>
        <v>#VALUE!</v>
      </c>
      <c r="J77" t="e">
        <f>AND(Sheet1!I1025,"AAAAAHv7sQk=")</f>
        <v>#VALUE!</v>
      </c>
      <c r="K77" t="e">
        <f>AND(Sheet1!J1025,"AAAAAHv7sQo=")</f>
        <v>#VALUE!</v>
      </c>
      <c r="L77" t="e">
        <f>AND(Sheet1!K1025,"AAAAAHv7sQs=")</f>
        <v>#VALUE!</v>
      </c>
      <c r="M77" t="e">
        <f>AND(Sheet1!L1025,"AAAAAHv7sQw=")</f>
        <v>#VALUE!</v>
      </c>
      <c r="N77" t="e">
        <f>AND(Sheet1!M1025,"AAAAAHv7sQ0=")</f>
        <v>#VALUE!</v>
      </c>
      <c r="O77" t="e">
        <f>AND(Sheet1!N1025,"AAAAAHv7sQ4=")</f>
        <v>#VALUE!</v>
      </c>
      <c r="P77" t="e">
        <f>AND(Sheet1!#REF!,"AAAAAHv7sQ8=")</f>
        <v>#REF!</v>
      </c>
      <c r="Q77" t="e">
        <f>AND(Sheet1!#REF!,"AAAAAHv7sRA=")</f>
        <v>#REF!</v>
      </c>
      <c r="R77" t="e">
        <f>AND(Sheet1!#REF!,"AAAAAHv7sRE=")</f>
        <v>#REF!</v>
      </c>
      <c r="S77" t="e">
        <f>AND(Sheet1!#REF!,"AAAAAHv7sRI=")</f>
        <v>#REF!</v>
      </c>
      <c r="T77">
        <f>IF(Sheet1!1026:1026,"AAAAAHv7sRM=",0)</f>
        <v>0</v>
      </c>
      <c r="U77" t="e">
        <f>AND(Sheet1!A1026,"AAAAAHv7sRQ=")</f>
        <v>#VALUE!</v>
      </c>
      <c r="V77" t="e">
        <f>AND(Sheet1!B1026,"AAAAAHv7sRU=")</f>
        <v>#VALUE!</v>
      </c>
      <c r="W77" t="e">
        <f>AND(Sheet1!C1026,"AAAAAHv7sRY=")</f>
        <v>#VALUE!</v>
      </c>
      <c r="X77" t="e">
        <f>AND(Sheet1!D1026,"AAAAAHv7sRc=")</f>
        <v>#VALUE!</v>
      </c>
      <c r="Y77" t="e">
        <f>AND(Sheet1!E1026,"AAAAAHv7sRg=")</f>
        <v>#VALUE!</v>
      </c>
      <c r="Z77" t="e">
        <f>AND(Sheet1!F1026,"AAAAAHv7sRk=")</f>
        <v>#VALUE!</v>
      </c>
      <c r="AA77" t="e">
        <f>AND(Sheet1!G1026,"AAAAAHv7sRo=")</f>
        <v>#VALUE!</v>
      </c>
      <c r="AB77" t="e">
        <f>AND(Sheet1!H1026,"AAAAAHv7sRs=")</f>
        <v>#VALUE!</v>
      </c>
      <c r="AC77" t="e">
        <f>AND(Sheet1!I1026,"AAAAAHv7sRw=")</f>
        <v>#VALUE!</v>
      </c>
      <c r="AD77" t="e">
        <f>AND(Sheet1!J1026,"AAAAAHv7sR0=")</f>
        <v>#VALUE!</v>
      </c>
      <c r="AE77" t="e">
        <f>AND(Sheet1!K1026,"AAAAAHv7sR4=")</f>
        <v>#VALUE!</v>
      </c>
      <c r="AF77" t="e">
        <f>AND(Sheet1!L1026,"AAAAAHv7sR8=")</f>
        <v>#VALUE!</v>
      </c>
      <c r="AG77" t="e">
        <f>AND(Sheet1!M1026,"AAAAAHv7sSA=")</f>
        <v>#VALUE!</v>
      </c>
      <c r="AH77" t="e">
        <f>AND(Sheet1!N1026,"AAAAAHv7sSE=")</f>
        <v>#VALUE!</v>
      </c>
      <c r="AI77" t="e">
        <f>AND(Sheet1!#REF!,"AAAAAHv7sSI=")</f>
        <v>#REF!</v>
      </c>
      <c r="AJ77" t="e">
        <f>AND(Sheet1!#REF!,"AAAAAHv7sSM=")</f>
        <v>#REF!</v>
      </c>
      <c r="AK77" t="e">
        <f>AND(Sheet1!#REF!,"AAAAAHv7sSQ=")</f>
        <v>#REF!</v>
      </c>
      <c r="AL77" t="e">
        <f>AND(Sheet1!#REF!,"AAAAAHv7sSU=")</f>
        <v>#REF!</v>
      </c>
      <c r="AM77">
        <f>IF(Sheet1!1027:1027,"AAAAAHv7sSY=",0)</f>
        <v>0</v>
      </c>
      <c r="AN77" t="e">
        <f>AND(Sheet1!A1027,"AAAAAHv7sSc=")</f>
        <v>#VALUE!</v>
      </c>
      <c r="AO77" t="e">
        <f>AND(Sheet1!B1027,"AAAAAHv7sSg=")</f>
        <v>#VALUE!</v>
      </c>
      <c r="AP77" t="e">
        <f>AND(Sheet1!C1027,"AAAAAHv7sSk=")</f>
        <v>#VALUE!</v>
      </c>
      <c r="AQ77" t="e">
        <f>AND(Sheet1!D1027,"AAAAAHv7sSo=")</f>
        <v>#VALUE!</v>
      </c>
      <c r="AR77" t="e">
        <f>AND(Sheet1!E1027,"AAAAAHv7sSs=")</f>
        <v>#VALUE!</v>
      </c>
      <c r="AS77" t="e">
        <f>AND(Sheet1!F1027,"AAAAAHv7sSw=")</f>
        <v>#VALUE!</v>
      </c>
      <c r="AT77" t="e">
        <f>AND(Sheet1!G1027,"AAAAAHv7sS0=")</f>
        <v>#VALUE!</v>
      </c>
      <c r="AU77" t="e">
        <f>AND(Sheet1!H1027,"AAAAAHv7sS4=")</f>
        <v>#VALUE!</v>
      </c>
      <c r="AV77" t="e">
        <f>AND(Sheet1!I1027,"AAAAAHv7sS8=")</f>
        <v>#VALUE!</v>
      </c>
      <c r="AW77" t="e">
        <f>AND(Sheet1!J1027,"AAAAAHv7sTA=")</f>
        <v>#VALUE!</v>
      </c>
      <c r="AX77" t="e">
        <f>AND(Sheet1!K1027,"AAAAAHv7sTE=")</f>
        <v>#VALUE!</v>
      </c>
      <c r="AY77" t="e">
        <f>AND(Sheet1!L1027,"AAAAAHv7sTI=")</f>
        <v>#VALUE!</v>
      </c>
      <c r="AZ77" t="e">
        <f>AND(Sheet1!M1027,"AAAAAHv7sTM=")</f>
        <v>#VALUE!</v>
      </c>
      <c r="BA77" t="e">
        <f>AND(Sheet1!N1027,"AAAAAHv7sTQ=")</f>
        <v>#VALUE!</v>
      </c>
      <c r="BB77" t="e">
        <f>AND(Sheet1!#REF!,"AAAAAHv7sTU=")</f>
        <v>#REF!</v>
      </c>
      <c r="BC77" t="e">
        <f>AND(Sheet1!#REF!,"AAAAAHv7sTY=")</f>
        <v>#REF!</v>
      </c>
      <c r="BD77" t="e">
        <f>AND(Sheet1!#REF!,"AAAAAHv7sTc=")</f>
        <v>#REF!</v>
      </c>
      <c r="BE77" t="e">
        <f>AND(Sheet1!#REF!,"AAAAAHv7sTg=")</f>
        <v>#REF!</v>
      </c>
      <c r="BF77">
        <f>IF(Sheet1!1028:1028,"AAAAAHv7sTk=",0)</f>
        <v>0</v>
      </c>
      <c r="BG77" t="e">
        <f>AND(Sheet1!A1028,"AAAAAHv7sTo=")</f>
        <v>#VALUE!</v>
      </c>
      <c r="BH77" t="e">
        <f>AND(Sheet1!B1028,"AAAAAHv7sTs=")</f>
        <v>#VALUE!</v>
      </c>
      <c r="BI77" t="e">
        <f>AND(Sheet1!C1028,"AAAAAHv7sTw=")</f>
        <v>#VALUE!</v>
      </c>
      <c r="BJ77" t="e">
        <f>AND(Sheet1!D1028,"AAAAAHv7sT0=")</f>
        <v>#VALUE!</v>
      </c>
      <c r="BK77" t="e">
        <f>AND(Sheet1!E1028,"AAAAAHv7sT4=")</f>
        <v>#VALUE!</v>
      </c>
      <c r="BL77" t="e">
        <f>AND(Sheet1!F1028,"AAAAAHv7sT8=")</f>
        <v>#VALUE!</v>
      </c>
      <c r="BM77" t="e">
        <f>AND(Sheet1!G1028,"AAAAAHv7sUA=")</f>
        <v>#VALUE!</v>
      </c>
      <c r="BN77" t="e">
        <f>AND(Sheet1!H1028,"AAAAAHv7sUE=")</f>
        <v>#VALUE!</v>
      </c>
      <c r="BO77" t="e">
        <f>AND(Sheet1!I1028,"AAAAAHv7sUI=")</f>
        <v>#VALUE!</v>
      </c>
      <c r="BP77" t="e">
        <f>AND(Sheet1!J1028,"AAAAAHv7sUM=")</f>
        <v>#VALUE!</v>
      </c>
      <c r="BQ77" t="e">
        <f>AND(Sheet1!K1028,"AAAAAHv7sUQ=")</f>
        <v>#VALUE!</v>
      </c>
      <c r="BR77" t="e">
        <f>AND(Sheet1!L1028,"AAAAAHv7sUU=")</f>
        <v>#VALUE!</v>
      </c>
      <c r="BS77" t="e">
        <f>AND(Sheet1!M1028,"AAAAAHv7sUY=")</f>
        <v>#VALUE!</v>
      </c>
      <c r="BT77" t="e">
        <f>AND(Sheet1!N1028,"AAAAAHv7sUc=")</f>
        <v>#VALUE!</v>
      </c>
      <c r="BU77" t="e">
        <f>AND(Sheet1!#REF!,"AAAAAHv7sUg=")</f>
        <v>#REF!</v>
      </c>
      <c r="BV77" t="e">
        <f>AND(Sheet1!#REF!,"AAAAAHv7sUk=")</f>
        <v>#REF!</v>
      </c>
      <c r="BW77" t="e">
        <f>AND(Sheet1!#REF!,"AAAAAHv7sUo=")</f>
        <v>#REF!</v>
      </c>
      <c r="BX77" t="e">
        <f>AND(Sheet1!#REF!,"AAAAAHv7sUs=")</f>
        <v>#REF!</v>
      </c>
      <c r="BY77">
        <f>IF(Sheet1!1029:1029,"AAAAAHv7sUw=",0)</f>
        <v>0</v>
      </c>
      <c r="BZ77" t="e">
        <f>AND(Sheet1!A1029,"AAAAAHv7sU0=")</f>
        <v>#VALUE!</v>
      </c>
      <c r="CA77" t="e">
        <f>AND(Sheet1!B1029,"AAAAAHv7sU4=")</f>
        <v>#VALUE!</v>
      </c>
      <c r="CB77" t="e">
        <f>AND(Sheet1!C1029,"AAAAAHv7sU8=")</f>
        <v>#VALUE!</v>
      </c>
      <c r="CC77" t="e">
        <f>AND(Sheet1!D1029,"AAAAAHv7sVA=")</f>
        <v>#VALUE!</v>
      </c>
      <c r="CD77" t="e">
        <f>AND(Sheet1!E1029,"AAAAAHv7sVE=")</f>
        <v>#VALUE!</v>
      </c>
      <c r="CE77" t="e">
        <f>AND(Sheet1!F1029,"AAAAAHv7sVI=")</f>
        <v>#VALUE!</v>
      </c>
      <c r="CF77" t="e">
        <f>AND(Sheet1!G1029,"AAAAAHv7sVM=")</f>
        <v>#VALUE!</v>
      </c>
      <c r="CG77" t="e">
        <f>AND(Sheet1!H1029,"AAAAAHv7sVQ=")</f>
        <v>#VALUE!</v>
      </c>
      <c r="CH77" t="e">
        <f>AND(Sheet1!I1029,"AAAAAHv7sVU=")</f>
        <v>#VALUE!</v>
      </c>
      <c r="CI77" t="e">
        <f>AND(Sheet1!J1029,"AAAAAHv7sVY=")</f>
        <v>#VALUE!</v>
      </c>
      <c r="CJ77" t="e">
        <f>AND(Sheet1!K1029,"AAAAAHv7sVc=")</f>
        <v>#VALUE!</v>
      </c>
      <c r="CK77" t="e">
        <f>AND(Sheet1!L1029,"AAAAAHv7sVg=")</f>
        <v>#VALUE!</v>
      </c>
      <c r="CL77" t="e">
        <f>AND(Sheet1!M1029,"AAAAAHv7sVk=")</f>
        <v>#VALUE!</v>
      </c>
      <c r="CM77" t="e">
        <f>AND(Sheet1!N1029,"AAAAAHv7sVo=")</f>
        <v>#VALUE!</v>
      </c>
      <c r="CN77" t="e">
        <f>AND(Sheet1!#REF!,"AAAAAHv7sVs=")</f>
        <v>#REF!</v>
      </c>
      <c r="CO77" t="e">
        <f>AND(Sheet1!#REF!,"AAAAAHv7sVw=")</f>
        <v>#REF!</v>
      </c>
      <c r="CP77" t="e">
        <f>AND(Sheet1!#REF!,"AAAAAHv7sV0=")</f>
        <v>#REF!</v>
      </c>
      <c r="CQ77" t="e">
        <f>AND(Sheet1!#REF!,"AAAAAHv7sV4=")</f>
        <v>#REF!</v>
      </c>
      <c r="CR77">
        <f>IF(Sheet1!1030:1030,"AAAAAHv7sV8=",0)</f>
        <v>0</v>
      </c>
      <c r="CS77" t="e">
        <f>AND(Sheet1!A1030,"AAAAAHv7sWA=")</f>
        <v>#VALUE!</v>
      </c>
      <c r="CT77" t="e">
        <f>AND(Sheet1!B1030,"AAAAAHv7sWE=")</f>
        <v>#VALUE!</v>
      </c>
      <c r="CU77" t="e">
        <f>AND(Sheet1!C1030,"AAAAAHv7sWI=")</f>
        <v>#VALUE!</v>
      </c>
      <c r="CV77" t="e">
        <f>AND(Sheet1!D1030,"AAAAAHv7sWM=")</f>
        <v>#VALUE!</v>
      </c>
      <c r="CW77" t="e">
        <f>AND(Sheet1!E1030,"AAAAAHv7sWQ=")</f>
        <v>#VALUE!</v>
      </c>
      <c r="CX77" t="e">
        <f>AND(Sheet1!F1030,"AAAAAHv7sWU=")</f>
        <v>#VALUE!</v>
      </c>
      <c r="CY77" t="e">
        <f>AND(Sheet1!G1030,"AAAAAHv7sWY=")</f>
        <v>#VALUE!</v>
      </c>
      <c r="CZ77" t="e">
        <f>AND(Sheet1!H1030,"AAAAAHv7sWc=")</f>
        <v>#VALUE!</v>
      </c>
      <c r="DA77" t="e">
        <f>AND(Sheet1!I1030,"AAAAAHv7sWg=")</f>
        <v>#VALUE!</v>
      </c>
      <c r="DB77" t="e">
        <f>AND(Sheet1!J1030,"AAAAAHv7sWk=")</f>
        <v>#VALUE!</v>
      </c>
      <c r="DC77" t="e">
        <f>AND(Sheet1!K1030,"AAAAAHv7sWo=")</f>
        <v>#VALUE!</v>
      </c>
      <c r="DD77" t="e">
        <f>AND(Sheet1!L1030,"AAAAAHv7sWs=")</f>
        <v>#VALUE!</v>
      </c>
      <c r="DE77" t="e">
        <f>AND(Sheet1!M1030,"AAAAAHv7sWw=")</f>
        <v>#VALUE!</v>
      </c>
      <c r="DF77" t="e">
        <f>AND(Sheet1!N1030,"AAAAAHv7sW0=")</f>
        <v>#VALUE!</v>
      </c>
      <c r="DG77" t="e">
        <f>AND(Sheet1!#REF!,"AAAAAHv7sW4=")</f>
        <v>#REF!</v>
      </c>
      <c r="DH77" t="e">
        <f>AND(Sheet1!#REF!,"AAAAAHv7sW8=")</f>
        <v>#REF!</v>
      </c>
      <c r="DI77" t="e">
        <f>AND(Sheet1!#REF!,"AAAAAHv7sXA=")</f>
        <v>#REF!</v>
      </c>
      <c r="DJ77" t="e">
        <f>AND(Sheet1!#REF!,"AAAAAHv7sXE=")</f>
        <v>#REF!</v>
      </c>
      <c r="DK77">
        <f>IF(Sheet1!1031:1031,"AAAAAHv7sXI=",0)</f>
        <v>0</v>
      </c>
      <c r="DL77" t="e">
        <f>AND(Sheet1!A1031,"AAAAAHv7sXM=")</f>
        <v>#VALUE!</v>
      </c>
      <c r="DM77" t="e">
        <f>AND(Sheet1!B1031,"AAAAAHv7sXQ=")</f>
        <v>#VALUE!</v>
      </c>
      <c r="DN77" t="e">
        <f>AND(Sheet1!C1031,"AAAAAHv7sXU=")</f>
        <v>#VALUE!</v>
      </c>
      <c r="DO77" t="e">
        <f>AND(Sheet1!D1031,"AAAAAHv7sXY=")</f>
        <v>#VALUE!</v>
      </c>
      <c r="DP77" t="e">
        <f>AND(Sheet1!E1031,"AAAAAHv7sXc=")</f>
        <v>#VALUE!</v>
      </c>
      <c r="DQ77" t="e">
        <f>AND(Sheet1!F1031,"AAAAAHv7sXg=")</f>
        <v>#VALUE!</v>
      </c>
      <c r="DR77" t="e">
        <f>AND(Sheet1!G1031,"AAAAAHv7sXk=")</f>
        <v>#VALUE!</v>
      </c>
      <c r="DS77" t="e">
        <f>AND(Sheet1!H1031,"AAAAAHv7sXo=")</f>
        <v>#VALUE!</v>
      </c>
      <c r="DT77" t="e">
        <f>AND(Sheet1!I1031,"AAAAAHv7sXs=")</f>
        <v>#VALUE!</v>
      </c>
      <c r="DU77" t="e">
        <f>AND(Sheet1!J1031,"AAAAAHv7sXw=")</f>
        <v>#VALUE!</v>
      </c>
      <c r="DV77" t="e">
        <f>AND(Sheet1!K1031,"AAAAAHv7sX0=")</f>
        <v>#VALUE!</v>
      </c>
      <c r="DW77" t="e">
        <f>AND(Sheet1!L1031,"AAAAAHv7sX4=")</f>
        <v>#VALUE!</v>
      </c>
      <c r="DX77" t="e">
        <f>AND(Sheet1!M1031,"AAAAAHv7sX8=")</f>
        <v>#VALUE!</v>
      </c>
      <c r="DY77" t="e">
        <f>AND(Sheet1!N1031,"AAAAAHv7sYA=")</f>
        <v>#VALUE!</v>
      </c>
      <c r="DZ77" t="e">
        <f>AND(Sheet1!#REF!,"AAAAAHv7sYE=")</f>
        <v>#REF!</v>
      </c>
      <c r="EA77" t="e">
        <f>AND(Sheet1!#REF!,"AAAAAHv7sYI=")</f>
        <v>#REF!</v>
      </c>
      <c r="EB77" t="e">
        <f>AND(Sheet1!#REF!,"AAAAAHv7sYM=")</f>
        <v>#REF!</v>
      </c>
      <c r="EC77" t="e">
        <f>AND(Sheet1!#REF!,"AAAAAHv7sYQ=")</f>
        <v>#REF!</v>
      </c>
      <c r="ED77">
        <f>IF(Sheet1!1032:1032,"AAAAAHv7sYU=",0)</f>
        <v>0</v>
      </c>
      <c r="EE77" t="e">
        <f>AND(Sheet1!A1032,"AAAAAHv7sYY=")</f>
        <v>#VALUE!</v>
      </c>
      <c r="EF77" t="e">
        <f>AND(Sheet1!B1032,"AAAAAHv7sYc=")</f>
        <v>#VALUE!</v>
      </c>
      <c r="EG77" t="e">
        <f>AND(Sheet1!C1032,"AAAAAHv7sYg=")</f>
        <v>#VALUE!</v>
      </c>
      <c r="EH77" t="e">
        <f>AND(Sheet1!D1032,"AAAAAHv7sYk=")</f>
        <v>#VALUE!</v>
      </c>
      <c r="EI77" t="e">
        <f>AND(Sheet1!E1032,"AAAAAHv7sYo=")</f>
        <v>#VALUE!</v>
      </c>
      <c r="EJ77" t="e">
        <f>AND(Sheet1!F1032,"AAAAAHv7sYs=")</f>
        <v>#VALUE!</v>
      </c>
      <c r="EK77" t="e">
        <f>AND(Sheet1!G1032,"AAAAAHv7sYw=")</f>
        <v>#VALUE!</v>
      </c>
      <c r="EL77" t="e">
        <f>AND(Sheet1!H1032,"AAAAAHv7sY0=")</f>
        <v>#VALUE!</v>
      </c>
      <c r="EM77" t="e">
        <f>AND(Sheet1!I1032,"AAAAAHv7sY4=")</f>
        <v>#VALUE!</v>
      </c>
      <c r="EN77" t="e">
        <f>AND(Sheet1!J1032,"AAAAAHv7sY8=")</f>
        <v>#VALUE!</v>
      </c>
      <c r="EO77" t="e">
        <f>AND(Sheet1!K1032,"AAAAAHv7sZA=")</f>
        <v>#VALUE!</v>
      </c>
      <c r="EP77" t="e">
        <f>AND(Sheet1!L1032,"AAAAAHv7sZE=")</f>
        <v>#VALUE!</v>
      </c>
      <c r="EQ77" t="e">
        <f>AND(Sheet1!M1032,"AAAAAHv7sZI=")</f>
        <v>#VALUE!</v>
      </c>
      <c r="ER77" t="e">
        <f>AND(Sheet1!N1032,"AAAAAHv7sZM=")</f>
        <v>#VALUE!</v>
      </c>
      <c r="ES77" t="e">
        <f>AND(Sheet1!#REF!,"AAAAAHv7sZQ=")</f>
        <v>#REF!</v>
      </c>
      <c r="ET77" t="e">
        <f>AND(Sheet1!#REF!,"AAAAAHv7sZU=")</f>
        <v>#REF!</v>
      </c>
      <c r="EU77" t="e">
        <f>AND(Sheet1!#REF!,"AAAAAHv7sZY=")</f>
        <v>#REF!</v>
      </c>
      <c r="EV77" t="e">
        <f>AND(Sheet1!#REF!,"AAAAAHv7sZc=")</f>
        <v>#REF!</v>
      </c>
      <c r="EW77">
        <f>IF(Sheet1!1033:1033,"AAAAAHv7sZg=",0)</f>
        <v>0</v>
      </c>
      <c r="EX77" t="e">
        <f>AND(Sheet1!A1033,"AAAAAHv7sZk=")</f>
        <v>#VALUE!</v>
      </c>
      <c r="EY77" t="e">
        <f>AND(Sheet1!B1033,"AAAAAHv7sZo=")</f>
        <v>#VALUE!</v>
      </c>
      <c r="EZ77" t="e">
        <f>AND(Sheet1!C1033,"AAAAAHv7sZs=")</f>
        <v>#VALUE!</v>
      </c>
      <c r="FA77" t="e">
        <f>AND(Sheet1!D1033,"AAAAAHv7sZw=")</f>
        <v>#VALUE!</v>
      </c>
      <c r="FB77" t="e">
        <f>AND(Sheet1!E1033,"AAAAAHv7sZ0=")</f>
        <v>#VALUE!</v>
      </c>
      <c r="FC77" t="e">
        <f>AND(Sheet1!F1033,"AAAAAHv7sZ4=")</f>
        <v>#VALUE!</v>
      </c>
      <c r="FD77" t="e">
        <f>AND(Sheet1!G1033,"AAAAAHv7sZ8=")</f>
        <v>#VALUE!</v>
      </c>
      <c r="FE77" t="e">
        <f>AND(Sheet1!H1033,"AAAAAHv7saA=")</f>
        <v>#VALUE!</v>
      </c>
      <c r="FF77" t="e">
        <f>AND(Sheet1!I1033,"AAAAAHv7saE=")</f>
        <v>#VALUE!</v>
      </c>
      <c r="FG77" t="e">
        <f>AND(Sheet1!J1033,"AAAAAHv7saI=")</f>
        <v>#VALUE!</v>
      </c>
      <c r="FH77" t="e">
        <f>AND(Sheet1!K1033,"AAAAAHv7saM=")</f>
        <v>#VALUE!</v>
      </c>
      <c r="FI77" t="e">
        <f>AND(Sheet1!L1033,"AAAAAHv7saQ=")</f>
        <v>#VALUE!</v>
      </c>
      <c r="FJ77" t="e">
        <f>AND(Sheet1!M1033,"AAAAAHv7saU=")</f>
        <v>#VALUE!</v>
      </c>
      <c r="FK77" t="e">
        <f>AND(Sheet1!N1033,"AAAAAHv7saY=")</f>
        <v>#VALUE!</v>
      </c>
      <c r="FL77" t="e">
        <f>AND(Sheet1!#REF!,"AAAAAHv7sac=")</f>
        <v>#REF!</v>
      </c>
      <c r="FM77" t="e">
        <f>AND(Sheet1!#REF!,"AAAAAHv7sag=")</f>
        <v>#REF!</v>
      </c>
      <c r="FN77" t="e">
        <f>AND(Sheet1!#REF!,"AAAAAHv7sak=")</f>
        <v>#REF!</v>
      </c>
      <c r="FO77" t="e">
        <f>AND(Sheet1!#REF!,"AAAAAHv7sao=")</f>
        <v>#REF!</v>
      </c>
      <c r="FP77">
        <f>IF(Sheet1!1034:1034,"AAAAAHv7sas=",0)</f>
        <v>0</v>
      </c>
      <c r="FQ77" t="e">
        <f>AND(Sheet1!A1034,"AAAAAHv7saw=")</f>
        <v>#VALUE!</v>
      </c>
      <c r="FR77" t="e">
        <f>AND(Sheet1!B1034,"AAAAAHv7sa0=")</f>
        <v>#VALUE!</v>
      </c>
      <c r="FS77" t="e">
        <f>AND(Sheet1!C1034,"AAAAAHv7sa4=")</f>
        <v>#VALUE!</v>
      </c>
      <c r="FT77" t="e">
        <f>AND(Sheet1!D1034,"AAAAAHv7sa8=")</f>
        <v>#VALUE!</v>
      </c>
      <c r="FU77" t="e">
        <f>AND(Sheet1!E1034,"AAAAAHv7sbA=")</f>
        <v>#VALUE!</v>
      </c>
      <c r="FV77" t="e">
        <f>AND(Sheet1!F1034,"AAAAAHv7sbE=")</f>
        <v>#VALUE!</v>
      </c>
      <c r="FW77" t="e">
        <f>AND(Sheet1!G1034,"AAAAAHv7sbI=")</f>
        <v>#VALUE!</v>
      </c>
      <c r="FX77" t="e">
        <f>AND(Sheet1!H1034,"AAAAAHv7sbM=")</f>
        <v>#VALUE!</v>
      </c>
      <c r="FY77" t="e">
        <f>AND(Sheet1!I1034,"AAAAAHv7sbQ=")</f>
        <v>#VALUE!</v>
      </c>
      <c r="FZ77" t="e">
        <f>AND(Sheet1!J1034,"AAAAAHv7sbU=")</f>
        <v>#VALUE!</v>
      </c>
      <c r="GA77" t="e">
        <f>AND(Sheet1!K1034,"AAAAAHv7sbY=")</f>
        <v>#VALUE!</v>
      </c>
      <c r="GB77" t="e">
        <f>AND(Sheet1!L1034,"AAAAAHv7sbc=")</f>
        <v>#VALUE!</v>
      </c>
      <c r="GC77" t="e">
        <f>AND(Sheet1!M1034,"AAAAAHv7sbg=")</f>
        <v>#VALUE!</v>
      </c>
      <c r="GD77" t="e">
        <f>AND(Sheet1!N1034,"AAAAAHv7sbk=")</f>
        <v>#VALUE!</v>
      </c>
      <c r="GE77" t="e">
        <f>AND(Sheet1!#REF!,"AAAAAHv7sbo=")</f>
        <v>#REF!</v>
      </c>
      <c r="GF77" t="e">
        <f>AND(Sheet1!#REF!,"AAAAAHv7sbs=")</f>
        <v>#REF!</v>
      </c>
      <c r="GG77" t="e">
        <f>AND(Sheet1!#REF!,"AAAAAHv7sbw=")</f>
        <v>#REF!</v>
      </c>
      <c r="GH77" t="e">
        <f>AND(Sheet1!#REF!,"AAAAAHv7sb0=")</f>
        <v>#REF!</v>
      </c>
      <c r="GI77">
        <f>IF(Sheet1!1035:1035,"AAAAAHv7sb4=",0)</f>
        <v>0</v>
      </c>
      <c r="GJ77" t="e">
        <f>AND(Sheet1!A1035,"AAAAAHv7sb8=")</f>
        <v>#VALUE!</v>
      </c>
      <c r="GK77" t="e">
        <f>AND(Sheet1!B1035,"AAAAAHv7scA=")</f>
        <v>#VALUE!</v>
      </c>
      <c r="GL77" t="e">
        <f>AND(Sheet1!C1035,"AAAAAHv7scE=")</f>
        <v>#VALUE!</v>
      </c>
      <c r="GM77" t="e">
        <f>AND(Sheet1!D1035,"AAAAAHv7scI=")</f>
        <v>#VALUE!</v>
      </c>
      <c r="GN77" t="e">
        <f>AND(Sheet1!E1035,"AAAAAHv7scM=")</f>
        <v>#VALUE!</v>
      </c>
      <c r="GO77" t="e">
        <f>AND(Sheet1!F1035,"AAAAAHv7scQ=")</f>
        <v>#VALUE!</v>
      </c>
      <c r="GP77" t="e">
        <f>AND(Sheet1!G1035,"AAAAAHv7scU=")</f>
        <v>#VALUE!</v>
      </c>
      <c r="GQ77" t="e">
        <f>AND(Sheet1!H1035,"AAAAAHv7scY=")</f>
        <v>#VALUE!</v>
      </c>
      <c r="GR77" t="e">
        <f>AND(Sheet1!I1035,"AAAAAHv7scc=")</f>
        <v>#VALUE!</v>
      </c>
      <c r="GS77" t="e">
        <f>AND(Sheet1!J1035,"AAAAAHv7scg=")</f>
        <v>#VALUE!</v>
      </c>
      <c r="GT77" t="e">
        <f>AND(Sheet1!K1035,"AAAAAHv7sck=")</f>
        <v>#VALUE!</v>
      </c>
      <c r="GU77" t="e">
        <f>AND(Sheet1!L1035,"AAAAAHv7sco=")</f>
        <v>#VALUE!</v>
      </c>
      <c r="GV77" t="e">
        <f>AND(Sheet1!M1035,"AAAAAHv7scs=")</f>
        <v>#VALUE!</v>
      </c>
      <c r="GW77" t="e">
        <f>AND(Sheet1!N1035,"AAAAAHv7scw=")</f>
        <v>#VALUE!</v>
      </c>
      <c r="GX77" t="e">
        <f>AND(Sheet1!#REF!,"AAAAAHv7sc0=")</f>
        <v>#REF!</v>
      </c>
      <c r="GY77" t="e">
        <f>AND(Sheet1!#REF!,"AAAAAHv7sc4=")</f>
        <v>#REF!</v>
      </c>
      <c r="GZ77" t="e">
        <f>AND(Sheet1!#REF!,"AAAAAHv7sc8=")</f>
        <v>#REF!</v>
      </c>
      <c r="HA77" t="e">
        <f>AND(Sheet1!#REF!,"AAAAAHv7sdA=")</f>
        <v>#REF!</v>
      </c>
      <c r="HB77">
        <f>IF(Sheet1!1036:1036,"AAAAAHv7sdE=",0)</f>
        <v>0</v>
      </c>
      <c r="HC77" t="e">
        <f>AND(Sheet1!A1036,"AAAAAHv7sdI=")</f>
        <v>#VALUE!</v>
      </c>
      <c r="HD77" t="e">
        <f>AND(Sheet1!B1036,"AAAAAHv7sdM=")</f>
        <v>#VALUE!</v>
      </c>
      <c r="HE77" t="e">
        <f>AND(Sheet1!C1036,"AAAAAHv7sdQ=")</f>
        <v>#VALUE!</v>
      </c>
      <c r="HF77" t="e">
        <f>AND(Sheet1!D1036,"AAAAAHv7sdU=")</f>
        <v>#VALUE!</v>
      </c>
      <c r="HG77" t="e">
        <f>AND(Sheet1!E1036,"AAAAAHv7sdY=")</f>
        <v>#VALUE!</v>
      </c>
      <c r="HH77" t="e">
        <f>AND(Sheet1!F1036,"AAAAAHv7sdc=")</f>
        <v>#VALUE!</v>
      </c>
      <c r="HI77" t="e">
        <f>AND(Sheet1!G1036,"AAAAAHv7sdg=")</f>
        <v>#VALUE!</v>
      </c>
      <c r="HJ77" t="e">
        <f>AND(Sheet1!H1036,"AAAAAHv7sdk=")</f>
        <v>#VALUE!</v>
      </c>
      <c r="HK77" t="e">
        <f>AND(Sheet1!I1036,"AAAAAHv7sdo=")</f>
        <v>#VALUE!</v>
      </c>
      <c r="HL77" t="e">
        <f>AND(Sheet1!J1036,"AAAAAHv7sds=")</f>
        <v>#VALUE!</v>
      </c>
      <c r="HM77" t="e">
        <f>AND(Sheet1!K1036,"AAAAAHv7sdw=")</f>
        <v>#VALUE!</v>
      </c>
      <c r="HN77" t="e">
        <f>AND(Sheet1!L1036,"AAAAAHv7sd0=")</f>
        <v>#VALUE!</v>
      </c>
      <c r="HO77" t="e">
        <f>AND(Sheet1!M1036,"AAAAAHv7sd4=")</f>
        <v>#VALUE!</v>
      </c>
      <c r="HP77" t="e">
        <f>AND(Sheet1!N1036,"AAAAAHv7sd8=")</f>
        <v>#VALUE!</v>
      </c>
      <c r="HQ77" t="e">
        <f>AND(Sheet1!#REF!,"AAAAAHv7seA=")</f>
        <v>#REF!</v>
      </c>
      <c r="HR77" t="e">
        <f>AND(Sheet1!#REF!,"AAAAAHv7seE=")</f>
        <v>#REF!</v>
      </c>
      <c r="HS77" t="e">
        <f>AND(Sheet1!#REF!,"AAAAAHv7seI=")</f>
        <v>#REF!</v>
      </c>
      <c r="HT77" t="e">
        <f>AND(Sheet1!#REF!,"AAAAAHv7seM=")</f>
        <v>#REF!</v>
      </c>
      <c r="HU77">
        <f>IF(Sheet1!1037:1037,"AAAAAHv7seQ=",0)</f>
        <v>0</v>
      </c>
      <c r="HV77" t="e">
        <f>AND(Sheet1!A1037,"AAAAAHv7seU=")</f>
        <v>#VALUE!</v>
      </c>
      <c r="HW77" t="e">
        <f>AND(Sheet1!B1037,"AAAAAHv7seY=")</f>
        <v>#VALUE!</v>
      </c>
      <c r="HX77" t="e">
        <f>AND(Sheet1!C1037,"AAAAAHv7sec=")</f>
        <v>#VALUE!</v>
      </c>
      <c r="HY77" t="e">
        <f>AND(Sheet1!D1037,"AAAAAHv7seg=")</f>
        <v>#VALUE!</v>
      </c>
      <c r="HZ77" t="e">
        <f>AND(Sheet1!E1037,"AAAAAHv7sek=")</f>
        <v>#VALUE!</v>
      </c>
      <c r="IA77" t="e">
        <f>AND(Sheet1!F1037,"AAAAAHv7seo=")</f>
        <v>#VALUE!</v>
      </c>
      <c r="IB77" t="e">
        <f>AND(Sheet1!G1037,"AAAAAHv7ses=")</f>
        <v>#VALUE!</v>
      </c>
      <c r="IC77" t="e">
        <f>AND(Sheet1!H1037,"AAAAAHv7sew=")</f>
        <v>#VALUE!</v>
      </c>
      <c r="ID77" t="e">
        <f>AND(Sheet1!I1037,"AAAAAHv7se0=")</f>
        <v>#VALUE!</v>
      </c>
      <c r="IE77" t="e">
        <f>AND(Sheet1!J1037,"AAAAAHv7se4=")</f>
        <v>#VALUE!</v>
      </c>
      <c r="IF77" t="e">
        <f>AND(Sheet1!K1037,"AAAAAHv7se8=")</f>
        <v>#VALUE!</v>
      </c>
      <c r="IG77" t="e">
        <f>AND(Sheet1!L1037,"AAAAAHv7sfA=")</f>
        <v>#VALUE!</v>
      </c>
      <c r="IH77" t="e">
        <f>AND(Sheet1!M1037,"AAAAAHv7sfE=")</f>
        <v>#VALUE!</v>
      </c>
      <c r="II77" t="e">
        <f>AND(Sheet1!N1037,"AAAAAHv7sfI=")</f>
        <v>#VALUE!</v>
      </c>
      <c r="IJ77" t="e">
        <f>AND(Sheet1!#REF!,"AAAAAHv7sfM=")</f>
        <v>#REF!</v>
      </c>
      <c r="IK77" t="e">
        <f>AND(Sheet1!#REF!,"AAAAAHv7sfQ=")</f>
        <v>#REF!</v>
      </c>
      <c r="IL77" t="e">
        <f>AND(Sheet1!#REF!,"AAAAAHv7sfU=")</f>
        <v>#REF!</v>
      </c>
      <c r="IM77" t="e">
        <f>AND(Sheet1!#REF!,"AAAAAHv7sfY=")</f>
        <v>#REF!</v>
      </c>
      <c r="IN77">
        <f>IF(Sheet1!1038:1038,"AAAAAHv7sfc=",0)</f>
        <v>0</v>
      </c>
      <c r="IO77" t="e">
        <f>AND(Sheet1!A1038,"AAAAAHv7sfg=")</f>
        <v>#VALUE!</v>
      </c>
      <c r="IP77" t="e">
        <f>AND(Sheet1!B1038,"AAAAAHv7sfk=")</f>
        <v>#VALUE!</v>
      </c>
      <c r="IQ77" t="e">
        <f>AND(Sheet1!C1038,"AAAAAHv7sfo=")</f>
        <v>#VALUE!</v>
      </c>
      <c r="IR77" t="e">
        <f>AND(Sheet1!D1038,"AAAAAHv7sfs=")</f>
        <v>#VALUE!</v>
      </c>
      <c r="IS77" t="e">
        <f>AND(Sheet1!E1038,"AAAAAHv7sfw=")</f>
        <v>#VALUE!</v>
      </c>
      <c r="IT77" t="e">
        <f>AND(Sheet1!F1038,"AAAAAHv7sf0=")</f>
        <v>#VALUE!</v>
      </c>
      <c r="IU77" t="e">
        <f>AND(Sheet1!G1038,"AAAAAHv7sf4=")</f>
        <v>#VALUE!</v>
      </c>
      <c r="IV77" t="e">
        <f>AND(Sheet1!H1038,"AAAAAHv7sf8=")</f>
        <v>#VALUE!</v>
      </c>
    </row>
    <row r="78" spans="1:256" x14ac:dyDescent="0.2">
      <c r="A78" t="e">
        <f>AND(Sheet1!I1038,"AAAAAH/v/wA=")</f>
        <v>#VALUE!</v>
      </c>
      <c r="B78" t="e">
        <f>AND(Sheet1!J1038,"AAAAAH/v/wE=")</f>
        <v>#VALUE!</v>
      </c>
      <c r="C78" t="e">
        <f>AND(Sheet1!K1038,"AAAAAH/v/wI=")</f>
        <v>#VALUE!</v>
      </c>
      <c r="D78" t="e">
        <f>AND(Sheet1!L1038,"AAAAAH/v/wM=")</f>
        <v>#VALUE!</v>
      </c>
      <c r="E78" t="e">
        <f>AND(Sheet1!M1038,"AAAAAH/v/wQ=")</f>
        <v>#VALUE!</v>
      </c>
      <c r="F78" t="e">
        <f>AND(Sheet1!N1038,"AAAAAH/v/wU=")</f>
        <v>#VALUE!</v>
      </c>
      <c r="G78" t="e">
        <f>AND(Sheet1!#REF!,"AAAAAH/v/wY=")</f>
        <v>#REF!</v>
      </c>
      <c r="H78" t="e">
        <f>AND(Sheet1!#REF!,"AAAAAH/v/wc=")</f>
        <v>#REF!</v>
      </c>
      <c r="I78" t="e">
        <f>AND(Sheet1!#REF!,"AAAAAH/v/wg=")</f>
        <v>#REF!</v>
      </c>
      <c r="J78" t="e">
        <f>AND(Sheet1!#REF!,"AAAAAH/v/wk=")</f>
        <v>#REF!</v>
      </c>
      <c r="K78" t="e">
        <f>IF(Sheet1!1039:1039,"AAAAAH/v/wo=",0)</f>
        <v>#VALUE!</v>
      </c>
      <c r="L78" t="e">
        <f>AND(Sheet1!A1039,"AAAAAH/v/ws=")</f>
        <v>#VALUE!</v>
      </c>
      <c r="M78" t="e">
        <f>AND(Sheet1!B1039,"AAAAAH/v/ww=")</f>
        <v>#VALUE!</v>
      </c>
      <c r="N78" t="e">
        <f>AND(Sheet1!C1039,"AAAAAH/v/w0=")</f>
        <v>#VALUE!</v>
      </c>
      <c r="O78" t="e">
        <f>AND(Sheet1!D1039,"AAAAAH/v/w4=")</f>
        <v>#VALUE!</v>
      </c>
      <c r="P78" t="e">
        <f>AND(Sheet1!E1039,"AAAAAH/v/w8=")</f>
        <v>#VALUE!</v>
      </c>
      <c r="Q78" t="e">
        <f>AND(Sheet1!F1039,"AAAAAH/v/xA=")</f>
        <v>#VALUE!</v>
      </c>
      <c r="R78" t="e">
        <f>AND(Sheet1!G1039,"AAAAAH/v/xE=")</f>
        <v>#VALUE!</v>
      </c>
      <c r="S78" t="e">
        <f>AND(Sheet1!H1039,"AAAAAH/v/xI=")</f>
        <v>#VALUE!</v>
      </c>
      <c r="T78" t="e">
        <f>AND(Sheet1!I1039,"AAAAAH/v/xM=")</f>
        <v>#VALUE!</v>
      </c>
      <c r="U78" t="e">
        <f>AND(Sheet1!J1039,"AAAAAH/v/xQ=")</f>
        <v>#VALUE!</v>
      </c>
      <c r="V78" t="e">
        <f>AND(Sheet1!K1039,"AAAAAH/v/xU=")</f>
        <v>#VALUE!</v>
      </c>
      <c r="W78" t="e">
        <f>AND(Sheet1!L1039,"AAAAAH/v/xY=")</f>
        <v>#VALUE!</v>
      </c>
      <c r="X78" t="e">
        <f>AND(Sheet1!M1039,"AAAAAH/v/xc=")</f>
        <v>#VALUE!</v>
      </c>
      <c r="Y78" t="e">
        <f>AND(Sheet1!N1039,"AAAAAH/v/xg=")</f>
        <v>#VALUE!</v>
      </c>
      <c r="Z78" t="e">
        <f>AND(Sheet1!#REF!,"AAAAAH/v/xk=")</f>
        <v>#REF!</v>
      </c>
      <c r="AA78" t="e">
        <f>AND(Sheet1!#REF!,"AAAAAH/v/xo=")</f>
        <v>#REF!</v>
      </c>
      <c r="AB78" t="e">
        <f>AND(Sheet1!#REF!,"AAAAAH/v/xs=")</f>
        <v>#REF!</v>
      </c>
      <c r="AC78" t="e">
        <f>AND(Sheet1!#REF!,"AAAAAH/v/xw=")</f>
        <v>#REF!</v>
      </c>
      <c r="AD78">
        <f>IF(Sheet1!1040:1040,"AAAAAH/v/x0=",0)</f>
        <v>0</v>
      </c>
      <c r="AE78" t="e">
        <f>AND(Sheet1!A1040,"AAAAAH/v/x4=")</f>
        <v>#VALUE!</v>
      </c>
      <c r="AF78" t="e">
        <f>AND(Sheet1!B1040,"AAAAAH/v/x8=")</f>
        <v>#VALUE!</v>
      </c>
      <c r="AG78" t="e">
        <f>AND(Sheet1!C1040,"AAAAAH/v/yA=")</f>
        <v>#VALUE!</v>
      </c>
      <c r="AH78" t="e">
        <f>AND(Sheet1!D1040,"AAAAAH/v/yE=")</f>
        <v>#VALUE!</v>
      </c>
      <c r="AI78" t="e">
        <f>AND(Sheet1!E1040,"AAAAAH/v/yI=")</f>
        <v>#VALUE!</v>
      </c>
      <c r="AJ78" t="e">
        <f>AND(Sheet1!F1040,"AAAAAH/v/yM=")</f>
        <v>#VALUE!</v>
      </c>
      <c r="AK78" t="e">
        <f>AND(Sheet1!G1040,"AAAAAH/v/yQ=")</f>
        <v>#VALUE!</v>
      </c>
      <c r="AL78" t="e">
        <f>AND(Sheet1!H1040,"AAAAAH/v/yU=")</f>
        <v>#VALUE!</v>
      </c>
      <c r="AM78" t="e">
        <f>AND(Sheet1!I1040,"AAAAAH/v/yY=")</f>
        <v>#VALUE!</v>
      </c>
      <c r="AN78" t="e">
        <f>AND(Sheet1!J1040,"AAAAAH/v/yc=")</f>
        <v>#VALUE!</v>
      </c>
      <c r="AO78" t="e">
        <f>AND(Sheet1!K1040,"AAAAAH/v/yg=")</f>
        <v>#VALUE!</v>
      </c>
      <c r="AP78" t="e">
        <f>AND(Sheet1!L1040,"AAAAAH/v/yk=")</f>
        <v>#VALUE!</v>
      </c>
      <c r="AQ78" t="e">
        <f>AND(Sheet1!M1040,"AAAAAH/v/yo=")</f>
        <v>#VALUE!</v>
      </c>
      <c r="AR78" t="e">
        <f>AND(Sheet1!N1040,"AAAAAH/v/ys=")</f>
        <v>#VALUE!</v>
      </c>
      <c r="AS78" t="e">
        <f>AND(Sheet1!#REF!,"AAAAAH/v/yw=")</f>
        <v>#REF!</v>
      </c>
      <c r="AT78" t="e">
        <f>AND(Sheet1!#REF!,"AAAAAH/v/y0=")</f>
        <v>#REF!</v>
      </c>
      <c r="AU78" t="e">
        <f>AND(Sheet1!#REF!,"AAAAAH/v/y4=")</f>
        <v>#REF!</v>
      </c>
      <c r="AV78" t="e">
        <f>AND(Sheet1!#REF!,"AAAAAH/v/y8=")</f>
        <v>#REF!</v>
      </c>
      <c r="AW78">
        <f>IF(Sheet1!1041:1041,"AAAAAH/v/zA=",0)</f>
        <v>0</v>
      </c>
      <c r="AX78" t="e">
        <f>AND(Sheet1!A1041,"AAAAAH/v/zE=")</f>
        <v>#VALUE!</v>
      </c>
      <c r="AY78" t="e">
        <f>AND(Sheet1!B1041,"AAAAAH/v/zI=")</f>
        <v>#VALUE!</v>
      </c>
      <c r="AZ78" t="e">
        <f>AND(Sheet1!C1041,"AAAAAH/v/zM=")</f>
        <v>#VALUE!</v>
      </c>
      <c r="BA78" t="e">
        <f>AND(Sheet1!D1041,"AAAAAH/v/zQ=")</f>
        <v>#VALUE!</v>
      </c>
      <c r="BB78" t="e">
        <f>AND(Sheet1!E1041,"AAAAAH/v/zU=")</f>
        <v>#VALUE!</v>
      </c>
      <c r="BC78" t="e">
        <f>AND(Sheet1!F1041,"AAAAAH/v/zY=")</f>
        <v>#VALUE!</v>
      </c>
      <c r="BD78" t="e">
        <f>AND(Sheet1!G1041,"AAAAAH/v/zc=")</f>
        <v>#VALUE!</v>
      </c>
      <c r="BE78" t="e">
        <f>AND(Sheet1!H1041,"AAAAAH/v/zg=")</f>
        <v>#VALUE!</v>
      </c>
      <c r="BF78" t="e">
        <f>AND(Sheet1!I1041,"AAAAAH/v/zk=")</f>
        <v>#VALUE!</v>
      </c>
      <c r="BG78" t="e">
        <f>AND(Sheet1!J1041,"AAAAAH/v/zo=")</f>
        <v>#VALUE!</v>
      </c>
      <c r="BH78" t="e">
        <f>AND(Sheet1!K1041,"AAAAAH/v/zs=")</f>
        <v>#VALUE!</v>
      </c>
      <c r="BI78" t="e">
        <f>AND(Sheet1!L1041,"AAAAAH/v/zw=")</f>
        <v>#VALUE!</v>
      </c>
      <c r="BJ78" t="e">
        <f>AND(Sheet1!M1041,"AAAAAH/v/z0=")</f>
        <v>#VALUE!</v>
      </c>
      <c r="BK78" t="e">
        <f>AND(Sheet1!N1041,"AAAAAH/v/z4=")</f>
        <v>#VALUE!</v>
      </c>
      <c r="BL78" t="e">
        <f>AND(Sheet1!#REF!,"AAAAAH/v/z8=")</f>
        <v>#REF!</v>
      </c>
      <c r="BM78" t="e">
        <f>AND(Sheet1!#REF!,"AAAAAH/v/0A=")</f>
        <v>#REF!</v>
      </c>
      <c r="BN78" t="e">
        <f>AND(Sheet1!#REF!,"AAAAAH/v/0E=")</f>
        <v>#REF!</v>
      </c>
      <c r="BO78" t="e">
        <f>AND(Sheet1!#REF!,"AAAAAH/v/0I=")</f>
        <v>#REF!</v>
      </c>
      <c r="BP78">
        <f>IF(Sheet1!1042:1042,"AAAAAH/v/0M=",0)</f>
        <v>0</v>
      </c>
      <c r="BQ78" t="e">
        <f>AND(Sheet1!A1042,"AAAAAH/v/0Q=")</f>
        <v>#VALUE!</v>
      </c>
      <c r="BR78" t="e">
        <f>AND(Sheet1!B1042,"AAAAAH/v/0U=")</f>
        <v>#VALUE!</v>
      </c>
      <c r="BS78" t="e">
        <f>AND(Sheet1!C1042,"AAAAAH/v/0Y=")</f>
        <v>#VALUE!</v>
      </c>
      <c r="BT78" t="e">
        <f>AND(Sheet1!D1042,"AAAAAH/v/0c=")</f>
        <v>#VALUE!</v>
      </c>
      <c r="BU78" t="e">
        <f>AND(Sheet1!E1042,"AAAAAH/v/0g=")</f>
        <v>#VALUE!</v>
      </c>
      <c r="BV78" t="e">
        <f>AND(Sheet1!F1042,"AAAAAH/v/0k=")</f>
        <v>#VALUE!</v>
      </c>
      <c r="BW78" t="e">
        <f>AND(Sheet1!G1042,"AAAAAH/v/0o=")</f>
        <v>#VALUE!</v>
      </c>
      <c r="BX78" t="e">
        <f>AND(Sheet1!H1042,"AAAAAH/v/0s=")</f>
        <v>#VALUE!</v>
      </c>
      <c r="BY78" t="e">
        <f>AND(Sheet1!I1042,"AAAAAH/v/0w=")</f>
        <v>#VALUE!</v>
      </c>
      <c r="BZ78" t="e">
        <f>AND(Sheet1!J1042,"AAAAAH/v/00=")</f>
        <v>#VALUE!</v>
      </c>
      <c r="CA78" t="e">
        <f>AND(Sheet1!K1042,"AAAAAH/v/04=")</f>
        <v>#VALUE!</v>
      </c>
      <c r="CB78" t="e">
        <f>AND(Sheet1!L1042,"AAAAAH/v/08=")</f>
        <v>#VALUE!</v>
      </c>
      <c r="CC78" t="e">
        <f>AND(Sheet1!M1042,"AAAAAH/v/1A=")</f>
        <v>#VALUE!</v>
      </c>
      <c r="CD78" t="e">
        <f>AND(Sheet1!N1042,"AAAAAH/v/1E=")</f>
        <v>#VALUE!</v>
      </c>
      <c r="CE78" t="e">
        <f>AND(Sheet1!#REF!,"AAAAAH/v/1I=")</f>
        <v>#REF!</v>
      </c>
      <c r="CF78" t="e">
        <f>AND(Sheet1!#REF!,"AAAAAH/v/1M=")</f>
        <v>#REF!</v>
      </c>
      <c r="CG78" t="e">
        <f>AND(Sheet1!#REF!,"AAAAAH/v/1Q=")</f>
        <v>#REF!</v>
      </c>
      <c r="CH78" t="e">
        <f>AND(Sheet1!#REF!,"AAAAAH/v/1U=")</f>
        <v>#REF!</v>
      </c>
      <c r="CI78">
        <f>IF(Sheet1!1043:1043,"AAAAAH/v/1Y=",0)</f>
        <v>0</v>
      </c>
      <c r="CJ78" t="e">
        <f>AND(Sheet1!A1043,"AAAAAH/v/1c=")</f>
        <v>#VALUE!</v>
      </c>
      <c r="CK78" t="e">
        <f>AND(Sheet1!B1043,"AAAAAH/v/1g=")</f>
        <v>#VALUE!</v>
      </c>
      <c r="CL78" t="e">
        <f>AND(Sheet1!C1043,"AAAAAH/v/1k=")</f>
        <v>#VALUE!</v>
      </c>
      <c r="CM78" t="e">
        <f>AND(Sheet1!D1043,"AAAAAH/v/1o=")</f>
        <v>#VALUE!</v>
      </c>
      <c r="CN78" t="e">
        <f>AND(Sheet1!E1043,"AAAAAH/v/1s=")</f>
        <v>#VALUE!</v>
      </c>
      <c r="CO78" t="e">
        <f>AND(Sheet1!F1043,"AAAAAH/v/1w=")</f>
        <v>#VALUE!</v>
      </c>
      <c r="CP78" t="e">
        <f>AND(Sheet1!G1043,"AAAAAH/v/10=")</f>
        <v>#VALUE!</v>
      </c>
      <c r="CQ78" t="e">
        <f>AND(Sheet1!H1043,"AAAAAH/v/14=")</f>
        <v>#VALUE!</v>
      </c>
      <c r="CR78" t="e">
        <f>AND(Sheet1!I1043,"AAAAAH/v/18=")</f>
        <v>#VALUE!</v>
      </c>
      <c r="CS78" t="e">
        <f>AND(Sheet1!J1043,"AAAAAH/v/2A=")</f>
        <v>#VALUE!</v>
      </c>
      <c r="CT78" t="e">
        <f>AND(Sheet1!K1043,"AAAAAH/v/2E=")</f>
        <v>#VALUE!</v>
      </c>
      <c r="CU78" t="e">
        <f>AND(Sheet1!L1043,"AAAAAH/v/2I=")</f>
        <v>#VALUE!</v>
      </c>
      <c r="CV78" t="e">
        <f>AND(Sheet1!M1043,"AAAAAH/v/2M=")</f>
        <v>#VALUE!</v>
      </c>
      <c r="CW78" t="e">
        <f>AND(Sheet1!N1043,"AAAAAH/v/2Q=")</f>
        <v>#VALUE!</v>
      </c>
      <c r="CX78" t="e">
        <f>AND(Sheet1!#REF!,"AAAAAH/v/2U=")</f>
        <v>#REF!</v>
      </c>
      <c r="CY78" t="e">
        <f>AND(Sheet1!#REF!,"AAAAAH/v/2Y=")</f>
        <v>#REF!</v>
      </c>
      <c r="CZ78" t="e">
        <f>AND(Sheet1!#REF!,"AAAAAH/v/2c=")</f>
        <v>#REF!</v>
      </c>
      <c r="DA78" t="e">
        <f>AND(Sheet1!#REF!,"AAAAAH/v/2g=")</f>
        <v>#REF!</v>
      </c>
      <c r="DB78">
        <f>IF(Sheet1!1044:1044,"AAAAAH/v/2k=",0)</f>
        <v>0</v>
      </c>
      <c r="DC78" t="e">
        <f>AND(Sheet1!A1044,"AAAAAH/v/2o=")</f>
        <v>#VALUE!</v>
      </c>
      <c r="DD78" t="e">
        <f>AND(Sheet1!B1044,"AAAAAH/v/2s=")</f>
        <v>#VALUE!</v>
      </c>
      <c r="DE78" t="e">
        <f>AND(Sheet1!C1044,"AAAAAH/v/2w=")</f>
        <v>#VALUE!</v>
      </c>
      <c r="DF78" t="e">
        <f>AND(Sheet1!D1044,"AAAAAH/v/20=")</f>
        <v>#VALUE!</v>
      </c>
      <c r="DG78" t="e">
        <f>AND(Sheet1!E1044,"AAAAAH/v/24=")</f>
        <v>#VALUE!</v>
      </c>
      <c r="DH78" t="e">
        <f>AND(Sheet1!F1044,"AAAAAH/v/28=")</f>
        <v>#VALUE!</v>
      </c>
      <c r="DI78" t="e">
        <f>AND(Sheet1!G1044,"AAAAAH/v/3A=")</f>
        <v>#VALUE!</v>
      </c>
      <c r="DJ78" t="e">
        <f>AND(Sheet1!H1044,"AAAAAH/v/3E=")</f>
        <v>#VALUE!</v>
      </c>
      <c r="DK78" t="e">
        <f>AND(Sheet1!I1044,"AAAAAH/v/3I=")</f>
        <v>#VALUE!</v>
      </c>
      <c r="DL78" t="e">
        <f>AND(Sheet1!J1044,"AAAAAH/v/3M=")</f>
        <v>#VALUE!</v>
      </c>
      <c r="DM78" t="e">
        <f>AND(Sheet1!K1044,"AAAAAH/v/3Q=")</f>
        <v>#VALUE!</v>
      </c>
      <c r="DN78" t="e">
        <f>AND(Sheet1!L1044,"AAAAAH/v/3U=")</f>
        <v>#VALUE!</v>
      </c>
      <c r="DO78" t="e">
        <f>AND(Sheet1!M1044,"AAAAAH/v/3Y=")</f>
        <v>#VALUE!</v>
      </c>
      <c r="DP78" t="e">
        <f>AND(Sheet1!N1044,"AAAAAH/v/3c=")</f>
        <v>#VALUE!</v>
      </c>
      <c r="DQ78" t="e">
        <f>AND(Sheet1!#REF!,"AAAAAH/v/3g=")</f>
        <v>#REF!</v>
      </c>
      <c r="DR78" t="e">
        <f>AND(Sheet1!#REF!,"AAAAAH/v/3k=")</f>
        <v>#REF!</v>
      </c>
      <c r="DS78" t="e">
        <f>AND(Sheet1!#REF!,"AAAAAH/v/3o=")</f>
        <v>#REF!</v>
      </c>
      <c r="DT78" t="e">
        <f>AND(Sheet1!#REF!,"AAAAAH/v/3s=")</f>
        <v>#REF!</v>
      </c>
      <c r="DU78">
        <f>IF(Sheet1!1045:1045,"AAAAAH/v/3w=",0)</f>
        <v>0</v>
      </c>
      <c r="DV78" t="e">
        <f>AND(Sheet1!A1045,"AAAAAH/v/30=")</f>
        <v>#VALUE!</v>
      </c>
      <c r="DW78" t="e">
        <f>AND(Sheet1!B1045,"AAAAAH/v/34=")</f>
        <v>#VALUE!</v>
      </c>
      <c r="DX78" t="e">
        <f>AND(Sheet1!C1045,"AAAAAH/v/38=")</f>
        <v>#VALUE!</v>
      </c>
      <c r="DY78" t="e">
        <f>AND(Sheet1!D1045,"AAAAAH/v/4A=")</f>
        <v>#VALUE!</v>
      </c>
      <c r="DZ78" t="e">
        <f>AND(Sheet1!E1045,"AAAAAH/v/4E=")</f>
        <v>#VALUE!</v>
      </c>
      <c r="EA78" t="e">
        <f>AND(Sheet1!F1045,"AAAAAH/v/4I=")</f>
        <v>#VALUE!</v>
      </c>
      <c r="EB78" t="e">
        <f>AND(Sheet1!G1045,"AAAAAH/v/4M=")</f>
        <v>#VALUE!</v>
      </c>
      <c r="EC78" t="e">
        <f>AND(Sheet1!H1045,"AAAAAH/v/4Q=")</f>
        <v>#VALUE!</v>
      </c>
      <c r="ED78" t="e">
        <f>AND(Sheet1!I1045,"AAAAAH/v/4U=")</f>
        <v>#VALUE!</v>
      </c>
      <c r="EE78" t="e">
        <f>AND(Sheet1!J1045,"AAAAAH/v/4Y=")</f>
        <v>#VALUE!</v>
      </c>
      <c r="EF78" t="e">
        <f>AND(Sheet1!K1045,"AAAAAH/v/4c=")</f>
        <v>#VALUE!</v>
      </c>
      <c r="EG78" t="e">
        <f>AND(Sheet1!L1045,"AAAAAH/v/4g=")</f>
        <v>#VALUE!</v>
      </c>
      <c r="EH78" t="e">
        <f>AND(Sheet1!M1045,"AAAAAH/v/4k=")</f>
        <v>#VALUE!</v>
      </c>
      <c r="EI78" t="e">
        <f>AND(Sheet1!N1045,"AAAAAH/v/4o=")</f>
        <v>#VALUE!</v>
      </c>
      <c r="EJ78" t="e">
        <f>AND(Sheet1!#REF!,"AAAAAH/v/4s=")</f>
        <v>#REF!</v>
      </c>
      <c r="EK78" t="e">
        <f>AND(Sheet1!#REF!,"AAAAAH/v/4w=")</f>
        <v>#REF!</v>
      </c>
      <c r="EL78" t="e">
        <f>AND(Sheet1!#REF!,"AAAAAH/v/40=")</f>
        <v>#REF!</v>
      </c>
      <c r="EM78" t="e">
        <f>AND(Sheet1!#REF!,"AAAAAH/v/44=")</f>
        <v>#REF!</v>
      </c>
      <c r="EN78">
        <f>IF(Sheet1!1046:1046,"AAAAAH/v/48=",0)</f>
        <v>0</v>
      </c>
      <c r="EO78" t="e">
        <f>AND(Sheet1!A1046,"AAAAAH/v/5A=")</f>
        <v>#VALUE!</v>
      </c>
      <c r="EP78" t="e">
        <f>AND(Sheet1!B1046,"AAAAAH/v/5E=")</f>
        <v>#VALUE!</v>
      </c>
      <c r="EQ78" t="e">
        <f>AND(Sheet1!C1046,"AAAAAH/v/5I=")</f>
        <v>#VALUE!</v>
      </c>
      <c r="ER78" t="e">
        <f>AND(Sheet1!D1046,"AAAAAH/v/5M=")</f>
        <v>#VALUE!</v>
      </c>
      <c r="ES78" t="e">
        <f>AND(Sheet1!E1046,"AAAAAH/v/5Q=")</f>
        <v>#VALUE!</v>
      </c>
      <c r="ET78" t="e">
        <f>AND(Sheet1!F1046,"AAAAAH/v/5U=")</f>
        <v>#VALUE!</v>
      </c>
      <c r="EU78" t="e">
        <f>AND(Sheet1!G1046,"AAAAAH/v/5Y=")</f>
        <v>#VALUE!</v>
      </c>
      <c r="EV78" t="e">
        <f>AND(Sheet1!H1046,"AAAAAH/v/5c=")</f>
        <v>#VALUE!</v>
      </c>
      <c r="EW78" t="e">
        <f>AND(Sheet1!I1046,"AAAAAH/v/5g=")</f>
        <v>#VALUE!</v>
      </c>
      <c r="EX78" t="e">
        <f>AND(Sheet1!J1046,"AAAAAH/v/5k=")</f>
        <v>#VALUE!</v>
      </c>
      <c r="EY78" t="e">
        <f>AND(Sheet1!K1046,"AAAAAH/v/5o=")</f>
        <v>#VALUE!</v>
      </c>
      <c r="EZ78" t="e">
        <f>AND(Sheet1!L1046,"AAAAAH/v/5s=")</f>
        <v>#VALUE!</v>
      </c>
      <c r="FA78" t="e">
        <f>AND(Sheet1!M1046,"AAAAAH/v/5w=")</f>
        <v>#VALUE!</v>
      </c>
      <c r="FB78" t="e">
        <f>AND(Sheet1!N1046,"AAAAAH/v/50=")</f>
        <v>#VALUE!</v>
      </c>
      <c r="FC78" t="e">
        <f>AND(Sheet1!#REF!,"AAAAAH/v/54=")</f>
        <v>#REF!</v>
      </c>
      <c r="FD78" t="e">
        <f>AND(Sheet1!#REF!,"AAAAAH/v/58=")</f>
        <v>#REF!</v>
      </c>
      <c r="FE78" t="e">
        <f>AND(Sheet1!#REF!,"AAAAAH/v/6A=")</f>
        <v>#REF!</v>
      </c>
      <c r="FF78" t="e">
        <f>AND(Sheet1!#REF!,"AAAAAH/v/6E=")</f>
        <v>#REF!</v>
      </c>
      <c r="FG78">
        <f>IF(Sheet1!1047:1047,"AAAAAH/v/6I=",0)</f>
        <v>0</v>
      </c>
      <c r="FH78" t="e">
        <f>AND(Sheet1!A1047,"AAAAAH/v/6M=")</f>
        <v>#VALUE!</v>
      </c>
      <c r="FI78" t="e">
        <f>AND(Sheet1!B1047,"AAAAAH/v/6Q=")</f>
        <v>#VALUE!</v>
      </c>
      <c r="FJ78" t="e">
        <f>AND(Sheet1!C1047,"AAAAAH/v/6U=")</f>
        <v>#VALUE!</v>
      </c>
      <c r="FK78" t="e">
        <f>AND(Sheet1!D1047,"AAAAAH/v/6Y=")</f>
        <v>#VALUE!</v>
      </c>
      <c r="FL78" t="e">
        <f>AND(Sheet1!E1047,"AAAAAH/v/6c=")</f>
        <v>#VALUE!</v>
      </c>
      <c r="FM78" t="e">
        <f>AND(Sheet1!F1047,"AAAAAH/v/6g=")</f>
        <v>#VALUE!</v>
      </c>
      <c r="FN78" t="e">
        <f>AND(Sheet1!G1047,"AAAAAH/v/6k=")</f>
        <v>#VALUE!</v>
      </c>
      <c r="FO78" t="e">
        <f>AND(Sheet1!H1047,"AAAAAH/v/6o=")</f>
        <v>#VALUE!</v>
      </c>
      <c r="FP78" t="e">
        <f>AND(Sheet1!I1047,"AAAAAH/v/6s=")</f>
        <v>#VALUE!</v>
      </c>
      <c r="FQ78" t="e">
        <f>AND(Sheet1!J1047,"AAAAAH/v/6w=")</f>
        <v>#VALUE!</v>
      </c>
      <c r="FR78" t="e">
        <f>AND(Sheet1!K1047,"AAAAAH/v/60=")</f>
        <v>#VALUE!</v>
      </c>
      <c r="FS78" t="e">
        <f>AND(Sheet1!L1047,"AAAAAH/v/64=")</f>
        <v>#VALUE!</v>
      </c>
      <c r="FT78" t="e">
        <f>AND(Sheet1!M1047,"AAAAAH/v/68=")</f>
        <v>#VALUE!</v>
      </c>
      <c r="FU78" t="e">
        <f>AND(Sheet1!N1047,"AAAAAH/v/7A=")</f>
        <v>#VALUE!</v>
      </c>
      <c r="FV78" t="e">
        <f>AND(Sheet1!#REF!,"AAAAAH/v/7E=")</f>
        <v>#REF!</v>
      </c>
      <c r="FW78" t="e">
        <f>AND(Sheet1!#REF!,"AAAAAH/v/7I=")</f>
        <v>#REF!</v>
      </c>
      <c r="FX78" t="e">
        <f>AND(Sheet1!#REF!,"AAAAAH/v/7M=")</f>
        <v>#REF!</v>
      </c>
      <c r="FY78" t="e">
        <f>AND(Sheet1!#REF!,"AAAAAH/v/7Q=")</f>
        <v>#REF!</v>
      </c>
      <c r="FZ78">
        <f>IF(Sheet1!1048:1048,"AAAAAH/v/7U=",0)</f>
        <v>0</v>
      </c>
      <c r="GA78" t="e">
        <f>AND(Sheet1!A1048,"AAAAAH/v/7Y=")</f>
        <v>#VALUE!</v>
      </c>
      <c r="GB78" t="e">
        <f>AND(Sheet1!B1048,"AAAAAH/v/7c=")</f>
        <v>#VALUE!</v>
      </c>
      <c r="GC78" t="e">
        <f>AND(Sheet1!C1048,"AAAAAH/v/7g=")</f>
        <v>#VALUE!</v>
      </c>
      <c r="GD78" t="e">
        <f>AND(Sheet1!D1048,"AAAAAH/v/7k=")</f>
        <v>#VALUE!</v>
      </c>
      <c r="GE78" t="e">
        <f>AND(Sheet1!E1048,"AAAAAH/v/7o=")</f>
        <v>#VALUE!</v>
      </c>
      <c r="GF78" t="e">
        <f>AND(Sheet1!F1048,"AAAAAH/v/7s=")</f>
        <v>#VALUE!</v>
      </c>
      <c r="GG78" t="e">
        <f>AND(Sheet1!G1048,"AAAAAH/v/7w=")</f>
        <v>#VALUE!</v>
      </c>
      <c r="GH78" t="e">
        <f>AND(Sheet1!H1048,"AAAAAH/v/70=")</f>
        <v>#VALUE!</v>
      </c>
      <c r="GI78" t="e">
        <f>AND(Sheet1!I1048,"AAAAAH/v/74=")</f>
        <v>#VALUE!</v>
      </c>
      <c r="GJ78" t="e">
        <f>AND(Sheet1!J1048,"AAAAAH/v/78=")</f>
        <v>#VALUE!</v>
      </c>
      <c r="GK78" t="e">
        <f>AND(Sheet1!K1048,"AAAAAH/v/8A=")</f>
        <v>#VALUE!</v>
      </c>
      <c r="GL78" t="e">
        <f>AND(Sheet1!L1048,"AAAAAH/v/8E=")</f>
        <v>#VALUE!</v>
      </c>
      <c r="GM78" t="e">
        <f>AND(Sheet1!M1048,"AAAAAH/v/8I=")</f>
        <v>#VALUE!</v>
      </c>
      <c r="GN78" t="e">
        <f>AND(Sheet1!N1048,"AAAAAH/v/8M=")</f>
        <v>#VALUE!</v>
      </c>
      <c r="GO78" t="e">
        <f>AND(Sheet1!#REF!,"AAAAAH/v/8Q=")</f>
        <v>#REF!</v>
      </c>
      <c r="GP78" t="e">
        <f>AND(Sheet1!#REF!,"AAAAAH/v/8U=")</f>
        <v>#REF!</v>
      </c>
      <c r="GQ78" t="e">
        <f>AND(Sheet1!#REF!,"AAAAAH/v/8Y=")</f>
        <v>#REF!</v>
      </c>
      <c r="GR78" t="e">
        <f>AND(Sheet1!#REF!,"AAAAAH/v/8c=")</f>
        <v>#REF!</v>
      </c>
      <c r="GS78">
        <f>IF(Sheet1!1049:1049,"AAAAAH/v/8g=",0)</f>
        <v>0</v>
      </c>
      <c r="GT78" t="e">
        <f>AND(Sheet1!A1049,"AAAAAH/v/8k=")</f>
        <v>#VALUE!</v>
      </c>
      <c r="GU78" t="e">
        <f>AND(Sheet1!B1049,"AAAAAH/v/8o=")</f>
        <v>#VALUE!</v>
      </c>
      <c r="GV78" t="e">
        <f>AND(Sheet1!C1049,"AAAAAH/v/8s=")</f>
        <v>#VALUE!</v>
      </c>
      <c r="GW78" t="e">
        <f>AND(Sheet1!D1049,"AAAAAH/v/8w=")</f>
        <v>#VALUE!</v>
      </c>
      <c r="GX78" t="e">
        <f>AND(Sheet1!E1049,"AAAAAH/v/80=")</f>
        <v>#VALUE!</v>
      </c>
      <c r="GY78" t="e">
        <f>AND(Sheet1!F1049,"AAAAAH/v/84=")</f>
        <v>#VALUE!</v>
      </c>
      <c r="GZ78" t="e">
        <f>AND(Sheet1!G1049,"AAAAAH/v/88=")</f>
        <v>#VALUE!</v>
      </c>
      <c r="HA78" t="e">
        <f>AND(Sheet1!H1049,"AAAAAH/v/9A=")</f>
        <v>#VALUE!</v>
      </c>
      <c r="HB78" t="e">
        <f>AND(Sheet1!I1049,"AAAAAH/v/9E=")</f>
        <v>#VALUE!</v>
      </c>
      <c r="HC78" t="e">
        <f>AND(Sheet1!J1049,"AAAAAH/v/9I=")</f>
        <v>#VALUE!</v>
      </c>
      <c r="HD78" t="e">
        <f>AND(Sheet1!K1049,"AAAAAH/v/9M=")</f>
        <v>#VALUE!</v>
      </c>
      <c r="HE78" t="e">
        <f>AND(Sheet1!L1049,"AAAAAH/v/9Q=")</f>
        <v>#VALUE!</v>
      </c>
      <c r="HF78" t="e">
        <f>AND(Sheet1!M1049,"AAAAAH/v/9U=")</f>
        <v>#VALUE!</v>
      </c>
      <c r="HG78" t="e">
        <f>AND(Sheet1!N1049,"AAAAAH/v/9Y=")</f>
        <v>#VALUE!</v>
      </c>
      <c r="HH78" t="e">
        <f>AND(Sheet1!#REF!,"AAAAAH/v/9c=")</f>
        <v>#REF!</v>
      </c>
      <c r="HI78" t="e">
        <f>AND(Sheet1!#REF!,"AAAAAH/v/9g=")</f>
        <v>#REF!</v>
      </c>
      <c r="HJ78" t="e">
        <f>AND(Sheet1!#REF!,"AAAAAH/v/9k=")</f>
        <v>#REF!</v>
      </c>
      <c r="HK78" t="e">
        <f>AND(Sheet1!#REF!,"AAAAAH/v/9o=")</f>
        <v>#REF!</v>
      </c>
      <c r="HL78">
        <f>IF(Sheet1!1050:1050,"AAAAAH/v/9s=",0)</f>
        <v>0</v>
      </c>
      <c r="HM78" t="e">
        <f>AND(Sheet1!A1050,"AAAAAH/v/9w=")</f>
        <v>#VALUE!</v>
      </c>
      <c r="HN78" t="e">
        <f>AND(Sheet1!B1050,"AAAAAH/v/90=")</f>
        <v>#VALUE!</v>
      </c>
      <c r="HO78" t="e">
        <f>AND(Sheet1!C1050,"AAAAAH/v/94=")</f>
        <v>#VALUE!</v>
      </c>
      <c r="HP78" t="e">
        <f>AND(Sheet1!D1050,"AAAAAH/v/98=")</f>
        <v>#VALUE!</v>
      </c>
      <c r="HQ78" t="e">
        <f>AND(Sheet1!E1050,"AAAAAH/v/+A=")</f>
        <v>#VALUE!</v>
      </c>
      <c r="HR78" t="e">
        <f>AND(Sheet1!F1050,"AAAAAH/v/+E=")</f>
        <v>#VALUE!</v>
      </c>
      <c r="HS78" t="e">
        <f>AND(Sheet1!G1050,"AAAAAH/v/+I=")</f>
        <v>#VALUE!</v>
      </c>
      <c r="HT78" t="e">
        <f>AND(Sheet1!H1050,"AAAAAH/v/+M=")</f>
        <v>#VALUE!</v>
      </c>
      <c r="HU78" t="e">
        <f>AND(Sheet1!I1050,"AAAAAH/v/+Q=")</f>
        <v>#VALUE!</v>
      </c>
      <c r="HV78" t="e">
        <f>AND(Sheet1!J1050,"AAAAAH/v/+U=")</f>
        <v>#VALUE!</v>
      </c>
      <c r="HW78" t="e">
        <f>AND(Sheet1!K1050,"AAAAAH/v/+Y=")</f>
        <v>#VALUE!</v>
      </c>
      <c r="HX78" t="e">
        <f>AND(Sheet1!L1050,"AAAAAH/v/+c=")</f>
        <v>#VALUE!</v>
      </c>
      <c r="HY78" t="e">
        <f>AND(Sheet1!M1050,"AAAAAH/v/+g=")</f>
        <v>#VALUE!</v>
      </c>
      <c r="HZ78" t="e">
        <f>AND(Sheet1!N1050,"AAAAAH/v/+k=")</f>
        <v>#VALUE!</v>
      </c>
      <c r="IA78" t="e">
        <f>AND(Sheet1!#REF!,"AAAAAH/v/+o=")</f>
        <v>#REF!</v>
      </c>
      <c r="IB78" t="e">
        <f>AND(Sheet1!#REF!,"AAAAAH/v/+s=")</f>
        <v>#REF!</v>
      </c>
      <c r="IC78" t="e">
        <f>AND(Sheet1!#REF!,"AAAAAH/v/+w=")</f>
        <v>#REF!</v>
      </c>
      <c r="ID78" t="e">
        <f>AND(Sheet1!#REF!,"AAAAAH/v/+0=")</f>
        <v>#REF!</v>
      </c>
      <c r="IE78">
        <f>IF(Sheet1!1051:1051,"AAAAAH/v/+4=",0)</f>
        <v>0</v>
      </c>
      <c r="IF78" t="e">
        <f>AND(Sheet1!A1051,"AAAAAH/v/+8=")</f>
        <v>#VALUE!</v>
      </c>
      <c r="IG78" t="e">
        <f>AND(Sheet1!B1051,"AAAAAH/v//A=")</f>
        <v>#VALUE!</v>
      </c>
      <c r="IH78" t="e">
        <f>AND(Sheet1!C1051,"AAAAAH/v//E=")</f>
        <v>#VALUE!</v>
      </c>
      <c r="II78" t="e">
        <f>AND(Sheet1!D1051,"AAAAAH/v//I=")</f>
        <v>#VALUE!</v>
      </c>
      <c r="IJ78" t="e">
        <f>AND(Sheet1!E1051,"AAAAAH/v//M=")</f>
        <v>#VALUE!</v>
      </c>
      <c r="IK78" t="e">
        <f>AND(Sheet1!F1051,"AAAAAH/v//Q=")</f>
        <v>#VALUE!</v>
      </c>
      <c r="IL78" t="e">
        <f>AND(Sheet1!G1051,"AAAAAH/v//U=")</f>
        <v>#VALUE!</v>
      </c>
      <c r="IM78" t="e">
        <f>AND(Sheet1!H1051,"AAAAAH/v//Y=")</f>
        <v>#VALUE!</v>
      </c>
      <c r="IN78" t="e">
        <f>AND(Sheet1!I1051,"AAAAAH/v//c=")</f>
        <v>#VALUE!</v>
      </c>
      <c r="IO78" t="e">
        <f>AND(Sheet1!J1051,"AAAAAH/v//g=")</f>
        <v>#VALUE!</v>
      </c>
      <c r="IP78" t="e">
        <f>AND(Sheet1!K1051,"AAAAAH/v//k=")</f>
        <v>#VALUE!</v>
      </c>
      <c r="IQ78" t="e">
        <f>AND(Sheet1!L1051,"AAAAAH/v//o=")</f>
        <v>#VALUE!</v>
      </c>
      <c r="IR78" t="e">
        <f>AND(Sheet1!M1051,"AAAAAH/v//s=")</f>
        <v>#VALUE!</v>
      </c>
      <c r="IS78" t="e">
        <f>AND(Sheet1!N1051,"AAAAAH/v//w=")</f>
        <v>#VALUE!</v>
      </c>
      <c r="IT78" t="e">
        <f>AND(Sheet1!#REF!,"AAAAAH/v//0=")</f>
        <v>#REF!</v>
      </c>
      <c r="IU78" t="e">
        <f>AND(Sheet1!#REF!,"AAAAAH/v//4=")</f>
        <v>#REF!</v>
      </c>
      <c r="IV78" t="e">
        <f>AND(Sheet1!#REF!,"AAAAAH/v//8=")</f>
        <v>#REF!</v>
      </c>
    </row>
    <row r="79" spans="1:256" x14ac:dyDescent="0.2">
      <c r="A79" t="e">
        <f>AND(Sheet1!#REF!,"AAAAAD54ZwA=")</f>
        <v>#REF!</v>
      </c>
      <c r="B79" t="e">
        <f>IF(Sheet1!1052:1052,"AAAAAD54ZwE=",0)</f>
        <v>#VALUE!</v>
      </c>
      <c r="C79" t="e">
        <f>AND(Sheet1!A1052,"AAAAAD54ZwI=")</f>
        <v>#VALUE!</v>
      </c>
      <c r="D79" t="e">
        <f>AND(Sheet1!B1052,"AAAAAD54ZwM=")</f>
        <v>#VALUE!</v>
      </c>
      <c r="E79" t="e">
        <f>AND(Sheet1!C1052,"AAAAAD54ZwQ=")</f>
        <v>#VALUE!</v>
      </c>
      <c r="F79" t="e">
        <f>AND(Sheet1!D1052,"AAAAAD54ZwU=")</f>
        <v>#VALUE!</v>
      </c>
      <c r="G79" t="e">
        <f>AND(Sheet1!E1052,"AAAAAD54ZwY=")</f>
        <v>#VALUE!</v>
      </c>
      <c r="H79" t="e">
        <f>AND(Sheet1!F1052,"AAAAAD54Zwc=")</f>
        <v>#VALUE!</v>
      </c>
      <c r="I79" t="e">
        <f>AND(Sheet1!G1052,"AAAAAD54Zwg=")</f>
        <v>#VALUE!</v>
      </c>
      <c r="J79" t="e">
        <f>AND(Sheet1!H1052,"AAAAAD54Zwk=")</f>
        <v>#VALUE!</v>
      </c>
      <c r="K79" t="e">
        <f>AND(Sheet1!I1052,"AAAAAD54Zwo=")</f>
        <v>#VALUE!</v>
      </c>
      <c r="L79" t="e">
        <f>AND(Sheet1!J1052,"AAAAAD54Zws=")</f>
        <v>#VALUE!</v>
      </c>
      <c r="M79" t="e">
        <f>AND(Sheet1!K1052,"AAAAAD54Zww=")</f>
        <v>#VALUE!</v>
      </c>
      <c r="N79" t="e">
        <f>AND(Sheet1!L1052,"AAAAAD54Zw0=")</f>
        <v>#VALUE!</v>
      </c>
      <c r="O79" t="e">
        <f>AND(Sheet1!M1052,"AAAAAD54Zw4=")</f>
        <v>#VALUE!</v>
      </c>
      <c r="P79" t="e">
        <f>AND(Sheet1!N1052,"AAAAAD54Zw8=")</f>
        <v>#VALUE!</v>
      </c>
      <c r="Q79" t="e">
        <f>AND(Sheet1!#REF!,"AAAAAD54ZxA=")</f>
        <v>#REF!</v>
      </c>
      <c r="R79" t="e">
        <f>AND(Sheet1!#REF!,"AAAAAD54ZxE=")</f>
        <v>#REF!</v>
      </c>
      <c r="S79" t="e">
        <f>AND(Sheet1!#REF!,"AAAAAD54ZxI=")</f>
        <v>#REF!</v>
      </c>
      <c r="T79" t="e">
        <f>AND(Sheet1!#REF!,"AAAAAD54ZxM=")</f>
        <v>#REF!</v>
      </c>
      <c r="U79">
        <f>IF(Sheet1!1053:1053,"AAAAAD54ZxQ=",0)</f>
        <v>0</v>
      </c>
      <c r="V79" t="e">
        <f>AND(Sheet1!A1053,"AAAAAD54ZxU=")</f>
        <v>#VALUE!</v>
      </c>
      <c r="W79" t="e">
        <f>AND(Sheet1!B1053,"AAAAAD54ZxY=")</f>
        <v>#VALUE!</v>
      </c>
      <c r="X79" t="e">
        <f>AND(Sheet1!C1053,"AAAAAD54Zxc=")</f>
        <v>#VALUE!</v>
      </c>
      <c r="Y79" t="e">
        <f>AND(Sheet1!D1053,"AAAAAD54Zxg=")</f>
        <v>#VALUE!</v>
      </c>
      <c r="Z79" t="e">
        <f>AND(Sheet1!E1053,"AAAAAD54Zxk=")</f>
        <v>#VALUE!</v>
      </c>
      <c r="AA79" t="e">
        <f>AND(Sheet1!F1053,"AAAAAD54Zxo=")</f>
        <v>#VALUE!</v>
      </c>
      <c r="AB79" t="e">
        <f>AND(Sheet1!G1053,"AAAAAD54Zxs=")</f>
        <v>#VALUE!</v>
      </c>
      <c r="AC79" t="e">
        <f>AND(Sheet1!H1053,"AAAAAD54Zxw=")</f>
        <v>#VALUE!</v>
      </c>
      <c r="AD79" t="e">
        <f>AND(Sheet1!I1053,"AAAAAD54Zx0=")</f>
        <v>#VALUE!</v>
      </c>
      <c r="AE79" t="e">
        <f>AND(Sheet1!J1053,"AAAAAD54Zx4=")</f>
        <v>#VALUE!</v>
      </c>
      <c r="AF79" t="e">
        <f>AND(Sheet1!K1053,"AAAAAD54Zx8=")</f>
        <v>#VALUE!</v>
      </c>
      <c r="AG79" t="e">
        <f>AND(Sheet1!L1053,"AAAAAD54ZyA=")</f>
        <v>#VALUE!</v>
      </c>
      <c r="AH79" t="e">
        <f>AND(Sheet1!M1053,"AAAAAD54ZyE=")</f>
        <v>#VALUE!</v>
      </c>
      <c r="AI79" t="e">
        <f>AND(Sheet1!N1053,"AAAAAD54ZyI=")</f>
        <v>#VALUE!</v>
      </c>
      <c r="AJ79" t="e">
        <f>AND(Sheet1!#REF!,"AAAAAD54ZyM=")</f>
        <v>#REF!</v>
      </c>
      <c r="AK79" t="e">
        <f>AND(Sheet1!#REF!,"AAAAAD54ZyQ=")</f>
        <v>#REF!</v>
      </c>
      <c r="AL79" t="e">
        <f>AND(Sheet1!#REF!,"AAAAAD54ZyU=")</f>
        <v>#REF!</v>
      </c>
      <c r="AM79" t="e">
        <f>AND(Sheet1!#REF!,"AAAAAD54ZyY=")</f>
        <v>#REF!</v>
      </c>
      <c r="AN79">
        <f>IF(Sheet1!1054:1054,"AAAAAD54Zyc=",0)</f>
        <v>0</v>
      </c>
      <c r="AO79" t="e">
        <f>AND(Sheet1!A1054,"AAAAAD54Zyg=")</f>
        <v>#VALUE!</v>
      </c>
      <c r="AP79" t="e">
        <f>AND(Sheet1!B1054,"AAAAAD54Zyk=")</f>
        <v>#VALUE!</v>
      </c>
      <c r="AQ79" t="e">
        <f>AND(Sheet1!C1054,"AAAAAD54Zyo=")</f>
        <v>#VALUE!</v>
      </c>
      <c r="AR79" t="e">
        <f>AND(Sheet1!D1054,"AAAAAD54Zys=")</f>
        <v>#VALUE!</v>
      </c>
      <c r="AS79" t="e">
        <f>AND(Sheet1!E1054,"AAAAAD54Zyw=")</f>
        <v>#VALUE!</v>
      </c>
      <c r="AT79" t="e">
        <f>AND(Sheet1!F1054,"AAAAAD54Zy0=")</f>
        <v>#VALUE!</v>
      </c>
      <c r="AU79" t="e">
        <f>AND(Sheet1!G1054,"AAAAAD54Zy4=")</f>
        <v>#VALUE!</v>
      </c>
      <c r="AV79" t="e">
        <f>AND(Sheet1!H1054,"AAAAAD54Zy8=")</f>
        <v>#VALUE!</v>
      </c>
      <c r="AW79" t="e">
        <f>AND(Sheet1!I1054,"AAAAAD54ZzA=")</f>
        <v>#VALUE!</v>
      </c>
      <c r="AX79" t="e">
        <f>AND(Sheet1!J1054,"AAAAAD54ZzE=")</f>
        <v>#VALUE!</v>
      </c>
      <c r="AY79" t="e">
        <f>AND(Sheet1!K1054,"AAAAAD54ZzI=")</f>
        <v>#VALUE!</v>
      </c>
      <c r="AZ79" t="e">
        <f>AND(Sheet1!L1054,"AAAAAD54ZzM=")</f>
        <v>#VALUE!</v>
      </c>
      <c r="BA79" t="e">
        <f>AND(Sheet1!M1054,"AAAAAD54ZzQ=")</f>
        <v>#VALUE!</v>
      </c>
      <c r="BB79" t="e">
        <f>AND(Sheet1!N1054,"AAAAAD54ZzU=")</f>
        <v>#VALUE!</v>
      </c>
      <c r="BC79" t="e">
        <f>AND(Sheet1!#REF!,"AAAAAD54ZzY=")</f>
        <v>#REF!</v>
      </c>
      <c r="BD79" t="e">
        <f>AND(Sheet1!#REF!,"AAAAAD54Zzc=")</f>
        <v>#REF!</v>
      </c>
      <c r="BE79" t="e">
        <f>AND(Sheet1!#REF!,"AAAAAD54Zzg=")</f>
        <v>#REF!</v>
      </c>
      <c r="BF79" t="e">
        <f>AND(Sheet1!#REF!,"AAAAAD54Zzk=")</f>
        <v>#REF!</v>
      </c>
      <c r="BG79">
        <f>IF(Sheet1!1055:1055,"AAAAAD54Zzo=",0)</f>
        <v>0</v>
      </c>
      <c r="BH79" t="e">
        <f>AND(Sheet1!A1055,"AAAAAD54Zzs=")</f>
        <v>#VALUE!</v>
      </c>
      <c r="BI79" t="e">
        <f>AND(Sheet1!B1055,"AAAAAD54Zzw=")</f>
        <v>#VALUE!</v>
      </c>
      <c r="BJ79" t="e">
        <f>AND(Sheet1!C1055,"AAAAAD54Zz0=")</f>
        <v>#VALUE!</v>
      </c>
      <c r="BK79" t="e">
        <f>AND(Sheet1!D1055,"AAAAAD54Zz4=")</f>
        <v>#VALUE!</v>
      </c>
      <c r="BL79" t="e">
        <f>AND(Sheet1!E1055,"AAAAAD54Zz8=")</f>
        <v>#VALUE!</v>
      </c>
      <c r="BM79" t="e">
        <f>AND(Sheet1!F1055,"AAAAAD54Z0A=")</f>
        <v>#VALUE!</v>
      </c>
      <c r="BN79" t="e">
        <f>AND(Sheet1!G1055,"AAAAAD54Z0E=")</f>
        <v>#VALUE!</v>
      </c>
      <c r="BO79" t="e">
        <f>AND(Sheet1!H1055,"AAAAAD54Z0I=")</f>
        <v>#VALUE!</v>
      </c>
      <c r="BP79" t="e">
        <f>AND(Sheet1!I1055,"AAAAAD54Z0M=")</f>
        <v>#VALUE!</v>
      </c>
      <c r="BQ79" t="e">
        <f>AND(Sheet1!J1055,"AAAAAD54Z0Q=")</f>
        <v>#VALUE!</v>
      </c>
      <c r="BR79" t="e">
        <f>AND(Sheet1!K1055,"AAAAAD54Z0U=")</f>
        <v>#VALUE!</v>
      </c>
      <c r="BS79" t="e">
        <f>AND(Sheet1!L1055,"AAAAAD54Z0Y=")</f>
        <v>#VALUE!</v>
      </c>
      <c r="BT79" t="e">
        <f>AND(Sheet1!M1055,"AAAAAD54Z0c=")</f>
        <v>#VALUE!</v>
      </c>
      <c r="BU79" t="e">
        <f>AND(Sheet1!N1055,"AAAAAD54Z0g=")</f>
        <v>#VALUE!</v>
      </c>
      <c r="BV79" t="e">
        <f>AND(Sheet1!#REF!,"AAAAAD54Z0k=")</f>
        <v>#REF!</v>
      </c>
      <c r="BW79" t="e">
        <f>AND(Sheet1!#REF!,"AAAAAD54Z0o=")</f>
        <v>#REF!</v>
      </c>
      <c r="BX79" t="e">
        <f>AND(Sheet1!#REF!,"AAAAAD54Z0s=")</f>
        <v>#REF!</v>
      </c>
      <c r="BY79" t="e">
        <f>AND(Sheet1!#REF!,"AAAAAD54Z0w=")</f>
        <v>#REF!</v>
      </c>
      <c r="BZ79">
        <f>IF(Sheet1!1056:1056,"AAAAAD54Z00=",0)</f>
        <v>0</v>
      </c>
      <c r="CA79" t="e">
        <f>AND(Sheet1!A1056,"AAAAAD54Z04=")</f>
        <v>#VALUE!</v>
      </c>
      <c r="CB79" t="e">
        <f>AND(Sheet1!B1056,"AAAAAD54Z08=")</f>
        <v>#VALUE!</v>
      </c>
      <c r="CC79" t="e">
        <f>AND(Sheet1!C1056,"AAAAAD54Z1A=")</f>
        <v>#VALUE!</v>
      </c>
      <c r="CD79" t="e">
        <f>AND(Sheet1!D1056,"AAAAAD54Z1E=")</f>
        <v>#VALUE!</v>
      </c>
      <c r="CE79" t="e">
        <f>AND(Sheet1!E1056,"AAAAAD54Z1I=")</f>
        <v>#VALUE!</v>
      </c>
      <c r="CF79" t="e">
        <f>AND(Sheet1!F1056,"AAAAAD54Z1M=")</f>
        <v>#VALUE!</v>
      </c>
      <c r="CG79" t="e">
        <f>AND(Sheet1!G1056,"AAAAAD54Z1Q=")</f>
        <v>#VALUE!</v>
      </c>
      <c r="CH79" t="e">
        <f>AND(Sheet1!H1056,"AAAAAD54Z1U=")</f>
        <v>#VALUE!</v>
      </c>
      <c r="CI79" t="e">
        <f>AND(Sheet1!I1056,"AAAAAD54Z1Y=")</f>
        <v>#VALUE!</v>
      </c>
      <c r="CJ79" t="e">
        <f>AND(Sheet1!J1056,"AAAAAD54Z1c=")</f>
        <v>#VALUE!</v>
      </c>
      <c r="CK79" t="e">
        <f>AND(Sheet1!K1056,"AAAAAD54Z1g=")</f>
        <v>#VALUE!</v>
      </c>
      <c r="CL79" t="e">
        <f>AND(Sheet1!L1056,"AAAAAD54Z1k=")</f>
        <v>#VALUE!</v>
      </c>
      <c r="CM79" t="e">
        <f>AND(Sheet1!M1056,"AAAAAD54Z1o=")</f>
        <v>#VALUE!</v>
      </c>
      <c r="CN79" t="e">
        <f>AND(Sheet1!N1056,"AAAAAD54Z1s=")</f>
        <v>#VALUE!</v>
      </c>
      <c r="CO79" t="e">
        <f>AND(Sheet1!#REF!,"AAAAAD54Z1w=")</f>
        <v>#REF!</v>
      </c>
      <c r="CP79" t="e">
        <f>AND(Sheet1!#REF!,"AAAAAD54Z10=")</f>
        <v>#REF!</v>
      </c>
      <c r="CQ79" t="e">
        <f>AND(Sheet1!#REF!,"AAAAAD54Z14=")</f>
        <v>#REF!</v>
      </c>
      <c r="CR79" t="e">
        <f>AND(Sheet1!#REF!,"AAAAAD54Z18=")</f>
        <v>#REF!</v>
      </c>
      <c r="CS79">
        <f>IF(Sheet1!1057:1057,"AAAAAD54Z2A=",0)</f>
        <v>0</v>
      </c>
      <c r="CT79" t="e">
        <f>AND(Sheet1!A1057,"AAAAAD54Z2E=")</f>
        <v>#VALUE!</v>
      </c>
      <c r="CU79" t="e">
        <f>AND(Sheet1!B1057,"AAAAAD54Z2I=")</f>
        <v>#VALUE!</v>
      </c>
      <c r="CV79" t="e">
        <f>AND(Sheet1!C1057,"AAAAAD54Z2M=")</f>
        <v>#VALUE!</v>
      </c>
      <c r="CW79" t="e">
        <f>AND(Sheet1!D1057,"AAAAAD54Z2Q=")</f>
        <v>#VALUE!</v>
      </c>
      <c r="CX79" t="e">
        <f>AND(Sheet1!E1057,"AAAAAD54Z2U=")</f>
        <v>#VALUE!</v>
      </c>
      <c r="CY79" t="e">
        <f>AND(Sheet1!F1057,"AAAAAD54Z2Y=")</f>
        <v>#VALUE!</v>
      </c>
      <c r="CZ79" t="e">
        <f>AND(Sheet1!G1057,"AAAAAD54Z2c=")</f>
        <v>#VALUE!</v>
      </c>
      <c r="DA79" t="e">
        <f>AND(Sheet1!H1057,"AAAAAD54Z2g=")</f>
        <v>#VALUE!</v>
      </c>
      <c r="DB79" t="e">
        <f>AND(Sheet1!I1057,"AAAAAD54Z2k=")</f>
        <v>#VALUE!</v>
      </c>
      <c r="DC79" t="e">
        <f>AND(Sheet1!J1057,"AAAAAD54Z2o=")</f>
        <v>#VALUE!</v>
      </c>
      <c r="DD79" t="e">
        <f>AND(Sheet1!K1057,"AAAAAD54Z2s=")</f>
        <v>#VALUE!</v>
      </c>
      <c r="DE79" t="e">
        <f>AND(Sheet1!L1057,"AAAAAD54Z2w=")</f>
        <v>#VALUE!</v>
      </c>
      <c r="DF79" t="e">
        <f>AND(Sheet1!M1057,"AAAAAD54Z20=")</f>
        <v>#VALUE!</v>
      </c>
      <c r="DG79" t="e">
        <f>AND(Sheet1!N1057,"AAAAAD54Z24=")</f>
        <v>#VALUE!</v>
      </c>
      <c r="DH79" t="e">
        <f>AND(Sheet1!#REF!,"AAAAAD54Z28=")</f>
        <v>#REF!</v>
      </c>
      <c r="DI79" t="e">
        <f>AND(Sheet1!#REF!,"AAAAAD54Z3A=")</f>
        <v>#REF!</v>
      </c>
      <c r="DJ79" t="e">
        <f>AND(Sheet1!#REF!,"AAAAAD54Z3E=")</f>
        <v>#REF!</v>
      </c>
      <c r="DK79" t="e">
        <f>AND(Sheet1!#REF!,"AAAAAD54Z3I=")</f>
        <v>#REF!</v>
      </c>
      <c r="DL79">
        <f>IF(Sheet1!1058:1058,"AAAAAD54Z3M=",0)</f>
        <v>0</v>
      </c>
      <c r="DM79" t="e">
        <f>AND(Sheet1!A1058,"AAAAAD54Z3Q=")</f>
        <v>#VALUE!</v>
      </c>
      <c r="DN79" t="e">
        <f>AND(Sheet1!B1058,"AAAAAD54Z3U=")</f>
        <v>#VALUE!</v>
      </c>
      <c r="DO79" t="e">
        <f>AND(Sheet1!C1058,"AAAAAD54Z3Y=")</f>
        <v>#VALUE!</v>
      </c>
      <c r="DP79" t="e">
        <f>AND(Sheet1!D1058,"AAAAAD54Z3c=")</f>
        <v>#VALUE!</v>
      </c>
      <c r="DQ79" t="e">
        <f>AND(Sheet1!E1058,"AAAAAD54Z3g=")</f>
        <v>#VALUE!</v>
      </c>
      <c r="DR79" t="e">
        <f>AND(Sheet1!F1058,"AAAAAD54Z3k=")</f>
        <v>#VALUE!</v>
      </c>
      <c r="DS79" t="e">
        <f>AND(Sheet1!G1058,"AAAAAD54Z3o=")</f>
        <v>#VALUE!</v>
      </c>
      <c r="DT79" t="e">
        <f>AND(Sheet1!H1058,"AAAAAD54Z3s=")</f>
        <v>#VALUE!</v>
      </c>
      <c r="DU79" t="e">
        <f>AND(Sheet1!I1058,"AAAAAD54Z3w=")</f>
        <v>#VALUE!</v>
      </c>
      <c r="DV79" t="e">
        <f>AND(Sheet1!J1058,"AAAAAD54Z30=")</f>
        <v>#VALUE!</v>
      </c>
      <c r="DW79" t="e">
        <f>AND(Sheet1!K1058,"AAAAAD54Z34=")</f>
        <v>#VALUE!</v>
      </c>
      <c r="DX79" t="e">
        <f>AND(Sheet1!L1058,"AAAAAD54Z38=")</f>
        <v>#VALUE!</v>
      </c>
      <c r="DY79" t="e">
        <f>AND(Sheet1!M1058,"AAAAAD54Z4A=")</f>
        <v>#VALUE!</v>
      </c>
      <c r="DZ79" t="e">
        <f>AND(Sheet1!N1058,"AAAAAD54Z4E=")</f>
        <v>#VALUE!</v>
      </c>
      <c r="EA79" t="e">
        <f>AND(Sheet1!#REF!,"AAAAAD54Z4I=")</f>
        <v>#REF!</v>
      </c>
      <c r="EB79" t="e">
        <f>AND(Sheet1!#REF!,"AAAAAD54Z4M=")</f>
        <v>#REF!</v>
      </c>
      <c r="EC79" t="e">
        <f>AND(Sheet1!#REF!,"AAAAAD54Z4Q=")</f>
        <v>#REF!</v>
      </c>
      <c r="ED79" t="e">
        <f>AND(Sheet1!#REF!,"AAAAAD54Z4U=")</f>
        <v>#REF!</v>
      </c>
      <c r="EE79">
        <f>IF(Sheet1!1059:1059,"AAAAAD54Z4Y=",0)</f>
        <v>0</v>
      </c>
      <c r="EF79" t="e">
        <f>AND(Sheet1!A1059,"AAAAAD54Z4c=")</f>
        <v>#VALUE!</v>
      </c>
      <c r="EG79" t="e">
        <f>AND(Sheet1!B1059,"AAAAAD54Z4g=")</f>
        <v>#VALUE!</v>
      </c>
      <c r="EH79" t="e">
        <f>AND(Sheet1!C1059,"AAAAAD54Z4k=")</f>
        <v>#VALUE!</v>
      </c>
      <c r="EI79" t="e">
        <f>AND(Sheet1!D1059,"AAAAAD54Z4o=")</f>
        <v>#VALUE!</v>
      </c>
      <c r="EJ79" t="e">
        <f>AND(Sheet1!E1059,"AAAAAD54Z4s=")</f>
        <v>#VALUE!</v>
      </c>
      <c r="EK79" t="e">
        <f>AND(Sheet1!F1059,"AAAAAD54Z4w=")</f>
        <v>#VALUE!</v>
      </c>
      <c r="EL79" t="e">
        <f>AND(Sheet1!G1059,"AAAAAD54Z40=")</f>
        <v>#VALUE!</v>
      </c>
      <c r="EM79" t="e">
        <f>AND(Sheet1!H1059,"AAAAAD54Z44=")</f>
        <v>#VALUE!</v>
      </c>
      <c r="EN79" t="e">
        <f>AND(Sheet1!I1059,"AAAAAD54Z48=")</f>
        <v>#VALUE!</v>
      </c>
      <c r="EO79" t="e">
        <f>AND(Sheet1!J1059,"AAAAAD54Z5A=")</f>
        <v>#VALUE!</v>
      </c>
      <c r="EP79" t="e">
        <f>AND(Sheet1!K1059,"AAAAAD54Z5E=")</f>
        <v>#VALUE!</v>
      </c>
      <c r="EQ79" t="e">
        <f>AND(Sheet1!L1059,"AAAAAD54Z5I=")</f>
        <v>#VALUE!</v>
      </c>
      <c r="ER79" t="e">
        <f>AND(Sheet1!M1059,"AAAAAD54Z5M=")</f>
        <v>#VALUE!</v>
      </c>
      <c r="ES79" t="e">
        <f>AND(Sheet1!N1059,"AAAAAD54Z5Q=")</f>
        <v>#VALUE!</v>
      </c>
      <c r="ET79" t="e">
        <f>AND(Sheet1!#REF!,"AAAAAD54Z5U=")</f>
        <v>#REF!</v>
      </c>
      <c r="EU79" t="e">
        <f>AND(Sheet1!#REF!,"AAAAAD54Z5Y=")</f>
        <v>#REF!</v>
      </c>
      <c r="EV79" t="e">
        <f>AND(Sheet1!#REF!,"AAAAAD54Z5c=")</f>
        <v>#REF!</v>
      </c>
      <c r="EW79" t="e">
        <f>AND(Sheet1!#REF!,"AAAAAD54Z5g=")</f>
        <v>#REF!</v>
      </c>
      <c r="EX79">
        <f>IF(Sheet1!1060:1060,"AAAAAD54Z5k=",0)</f>
        <v>0</v>
      </c>
      <c r="EY79" t="e">
        <f>AND(Sheet1!A1060,"AAAAAD54Z5o=")</f>
        <v>#VALUE!</v>
      </c>
      <c r="EZ79" t="e">
        <f>AND(Sheet1!B1060,"AAAAAD54Z5s=")</f>
        <v>#VALUE!</v>
      </c>
      <c r="FA79" t="e">
        <f>AND(Sheet1!C1060,"AAAAAD54Z5w=")</f>
        <v>#VALUE!</v>
      </c>
      <c r="FB79" t="e">
        <f>AND(Sheet1!D1060,"AAAAAD54Z50=")</f>
        <v>#VALUE!</v>
      </c>
      <c r="FC79" t="e">
        <f>AND(Sheet1!E1060,"AAAAAD54Z54=")</f>
        <v>#VALUE!</v>
      </c>
      <c r="FD79" t="e">
        <f>AND(Sheet1!F1060,"AAAAAD54Z58=")</f>
        <v>#VALUE!</v>
      </c>
      <c r="FE79" t="e">
        <f>AND(Sheet1!G1060,"AAAAAD54Z6A=")</f>
        <v>#VALUE!</v>
      </c>
      <c r="FF79" t="e">
        <f>AND(Sheet1!H1060,"AAAAAD54Z6E=")</f>
        <v>#VALUE!</v>
      </c>
      <c r="FG79" t="e">
        <f>AND(Sheet1!I1060,"AAAAAD54Z6I=")</f>
        <v>#VALUE!</v>
      </c>
      <c r="FH79" t="e">
        <f>AND(Sheet1!J1060,"AAAAAD54Z6M=")</f>
        <v>#VALUE!</v>
      </c>
      <c r="FI79" t="e">
        <f>AND(Sheet1!K1060,"AAAAAD54Z6Q=")</f>
        <v>#VALUE!</v>
      </c>
      <c r="FJ79" t="e">
        <f>AND(Sheet1!L1060,"AAAAAD54Z6U=")</f>
        <v>#VALUE!</v>
      </c>
      <c r="FK79" t="e">
        <f>AND(Sheet1!M1060,"AAAAAD54Z6Y=")</f>
        <v>#VALUE!</v>
      </c>
      <c r="FL79" t="e">
        <f>AND(Sheet1!N1060,"AAAAAD54Z6c=")</f>
        <v>#VALUE!</v>
      </c>
      <c r="FM79" t="e">
        <f>AND(Sheet1!#REF!,"AAAAAD54Z6g=")</f>
        <v>#REF!</v>
      </c>
      <c r="FN79" t="e">
        <f>AND(Sheet1!#REF!,"AAAAAD54Z6k=")</f>
        <v>#REF!</v>
      </c>
      <c r="FO79" t="e">
        <f>AND(Sheet1!#REF!,"AAAAAD54Z6o=")</f>
        <v>#REF!</v>
      </c>
      <c r="FP79" t="e">
        <f>AND(Sheet1!#REF!,"AAAAAD54Z6s=")</f>
        <v>#REF!</v>
      </c>
      <c r="FQ79">
        <f>IF(Sheet1!1061:1061,"AAAAAD54Z6w=",0)</f>
        <v>0</v>
      </c>
      <c r="FR79" t="e">
        <f>AND(Sheet1!A1061,"AAAAAD54Z60=")</f>
        <v>#VALUE!</v>
      </c>
      <c r="FS79" t="e">
        <f>AND(Sheet1!B1061,"AAAAAD54Z64=")</f>
        <v>#VALUE!</v>
      </c>
      <c r="FT79" t="e">
        <f>AND(Sheet1!C1061,"AAAAAD54Z68=")</f>
        <v>#VALUE!</v>
      </c>
      <c r="FU79" t="e">
        <f>AND(Sheet1!D1061,"AAAAAD54Z7A=")</f>
        <v>#VALUE!</v>
      </c>
      <c r="FV79" t="e">
        <f>AND(Sheet1!E1061,"AAAAAD54Z7E=")</f>
        <v>#VALUE!</v>
      </c>
      <c r="FW79" t="e">
        <f>AND(Sheet1!F1061,"AAAAAD54Z7I=")</f>
        <v>#VALUE!</v>
      </c>
      <c r="FX79" t="e">
        <f>AND(Sheet1!G1061,"AAAAAD54Z7M=")</f>
        <v>#VALUE!</v>
      </c>
      <c r="FY79" t="e">
        <f>AND(Sheet1!H1061,"AAAAAD54Z7Q=")</f>
        <v>#VALUE!</v>
      </c>
      <c r="FZ79" t="e">
        <f>AND(Sheet1!I1061,"AAAAAD54Z7U=")</f>
        <v>#VALUE!</v>
      </c>
      <c r="GA79" t="e">
        <f>AND(Sheet1!J1061,"AAAAAD54Z7Y=")</f>
        <v>#VALUE!</v>
      </c>
      <c r="GB79" t="e">
        <f>AND(Sheet1!K1061,"AAAAAD54Z7c=")</f>
        <v>#VALUE!</v>
      </c>
      <c r="GC79" t="e">
        <f>AND(Sheet1!L1061,"AAAAAD54Z7g=")</f>
        <v>#VALUE!</v>
      </c>
      <c r="GD79" t="e">
        <f>AND(Sheet1!M1061,"AAAAAD54Z7k=")</f>
        <v>#VALUE!</v>
      </c>
      <c r="GE79" t="e">
        <f>AND(Sheet1!N1061,"AAAAAD54Z7o=")</f>
        <v>#VALUE!</v>
      </c>
      <c r="GF79" t="e">
        <f>AND(Sheet1!#REF!,"AAAAAD54Z7s=")</f>
        <v>#REF!</v>
      </c>
      <c r="GG79" t="e">
        <f>AND(Sheet1!#REF!,"AAAAAD54Z7w=")</f>
        <v>#REF!</v>
      </c>
      <c r="GH79" t="e">
        <f>AND(Sheet1!#REF!,"AAAAAD54Z70=")</f>
        <v>#REF!</v>
      </c>
      <c r="GI79" t="e">
        <f>AND(Sheet1!#REF!,"AAAAAD54Z74=")</f>
        <v>#REF!</v>
      </c>
      <c r="GJ79">
        <f>IF(Sheet1!1062:1062,"AAAAAD54Z78=",0)</f>
        <v>0</v>
      </c>
      <c r="GK79" t="e">
        <f>AND(Sheet1!A1062,"AAAAAD54Z8A=")</f>
        <v>#VALUE!</v>
      </c>
      <c r="GL79" t="e">
        <f>AND(Sheet1!B1062,"AAAAAD54Z8E=")</f>
        <v>#VALUE!</v>
      </c>
      <c r="GM79" t="e">
        <f>AND(Sheet1!C1062,"AAAAAD54Z8I=")</f>
        <v>#VALUE!</v>
      </c>
      <c r="GN79" t="e">
        <f>AND(Sheet1!D1062,"AAAAAD54Z8M=")</f>
        <v>#VALUE!</v>
      </c>
      <c r="GO79" t="e">
        <f>AND(Sheet1!E1062,"AAAAAD54Z8Q=")</f>
        <v>#VALUE!</v>
      </c>
      <c r="GP79" t="e">
        <f>AND(Sheet1!F1062,"AAAAAD54Z8U=")</f>
        <v>#VALUE!</v>
      </c>
      <c r="GQ79" t="e">
        <f>AND(Sheet1!G1062,"AAAAAD54Z8Y=")</f>
        <v>#VALUE!</v>
      </c>
      <c r="GR79" t="e">
        <f>AND(Sheet1!H1062,"AAAAAD54Z8c=")</f>
        <v>#VALUE!</v>
      </c>
      <c r="GS79" t="e">
        <f>AND(Sheet1!I1062,"AAAAAD54Z8g=")</f>
        <v>#VALUE!</v>
      </c>
      <c r="GT79" t="e">
        <f>AND(Sheet1!J1062,"AAAAAD54Z8k=")</f>
        <v>#VALUE!</v>
      </c>
      <c r="GU79" t="e">
        <f>AND(Sheet1!K1062,"AAAAAD54Z8o=")</f>
        <v>#VALUE!</v>
      </c>
      <c r="GV79" t="e">
        <f>AND(Sheet1!L1062,"AAAAAD54Z8s=")</f>
        <v>#VALUE!</v>
      </c>
      <c r="GW79" t="e">
        <f>AND(Sheet1!M1062,"AAAAAD54Z8w=")</f>
        <v>#VALUE!</v>
      </c>
      <c r="GX79" t="e">
        <f>AND(Sheet1!N1062,"AAAAAD54Z80=")</f>
        <v>#VALUE!</v>
      </c>
      <c r="GY79" t="e">
        <f>AND(Sheet1!#REF!,"AAAAAD54Z84=")</f>
        <v>#REF!</v>
      </c>
      <c r="GZ79" t="e">
        <f>AND(Sheet1!#REF!,"AAAAAD54Z88=")</f>
        <v>#REF!</v>
      </c>
      <c r="HA79" t="e">
        <f>AND(Sheet1!#REF!,"AAAAAD54Z9A=")</f>
        <v>#REF!</v>
      </c>
      <c r="HB79" t="e">
        <f>AND(Sheet1!#REF!,"AAAAAD54Z9E=")</f>
        <v>#REF!</v>
      </c>
      <c r="HC79">
        <f>IF(Sheet1!1063:1063,"AAAAAD54Z9I=",0)</f>
        <v>0</v>
      </c>
      <c r="HD79" t="e">
        <f>AND(Sheet1!A1063,"AAAAAD54Z9M=")</f>
        <v>#VALUE!</v>
      </c>
      <c r="HE79" t="e">
        <f>AND(Sheet1!B1063,"AAAAAD54Z9Q=")</f>
        <v>#VALUE!</v>
      </c>
      <c r="HF79" t="e">
        <f>AND(Sheet1!C1063,"AAAAAD54Z9U=")</f>
        <v>#VALUE!</v>
      </c>
      <c r="HG79" t="e">
        <f>AND(Sheet1!D1063,"AAAAAD54Z9Y=")</f>
        <v>#VALUE!</v>
      </c>
      <c r="HH79" t="e">
        <f>AND(Sheet1!E1063,"AAAAAD54Z9c=")</f>
        <v>#VALUE!</v>
      </c>
      <c r="HI79" t="e">
        <f>AND(Sheet1!F1063,"AAAAAD54Z9g=")</f>
        <v>#VALUE!</v>
      </c>
      <c r="HJ79" t="e">
        <f>AND(Sheet1!G1063,"AAAAAD54Z9k=")</f>
        <v>#VALUE!</v>
      </c>
      <c r="HK79" t="e">
        <f>AND(Sheet1!H1063,"AAAAAD54Z9o=")</f>
        <v>#VALUE!</v>
      </c>
      <c r="HL79" t="e">
        <f>AND(Sheet1!I1063,"AAAAAD54Z9s=")</f>
        <v>#VALUE!</v>
      </c>
      <c r="HM79" t="e">
        <f>AND(Sheet1!J1063,"AAAAAD54Z9w=")</f>
        <v>#VALUE!</v>
      </c>
      <c r="HN79" t="e">
        <f>AND(Sheet1!K1063,"AAAAAD54Z90=")</f>
        <v>#VALUE!</v>
      </c>
      <c r="HO79" t="e">
        <f>AND(Sheet1!L1063,"AAAAAD54Z94=")</f>
        <v>#VALUE!</v>
      </c>
      <c r="HP79" t="e">
        <f>AND(Sheet1!M1063,"AAAAAD54Z98=")</f>
        <v>#VALUE!</v>
      </c>
      <c r="HQ79" t="e">
        <f>AND(Sheet1!N1063,"AAAAAD54Z+A=")</f>
        <v>#VALUE!</v>
      </c>
      <c r="HR79" t="e">
        <f>AND(Sheet1!#REF!,"AAAAAD54Z+E=")</f>
        <v>#REF!</v>
      </c>
      <c r="HS79" t="e">
        <f>AND(Sheet1!#REF!,"AAAAAD54Z+I=")</f>
        <v>#REF!</v>
      </c>
      <c r="HT79" t="e">
        <f>AND(Sheet1!#REF!,"AAAAAD54Z+M=")</f>
        <v>#REF!</v>
      </c>
      <c r="HU79" t="e">
        <f>AND(Sheet1!#REF!,"AAAAAD54Z+Q=")</f>
        <v>#REF!</v>
      </c>
      <c r="HV79">
        <f>IF(Sheet1!1064:1064,"AAAAAD54Z+U=",0)</f>
        <v>0</v>
      </c>
      <c r="HW79" t="e">
        <f>AND(Sheet1!A1064,"AAAAAD54Z+Y=")</f>
        <v>#VALUE!</v>
      </c>
      <c r="HX79" t="e">
        <f>AND(Sheet1!B1064,"AAAAAD54Z+c=")</f>
        <v>#VALUE!</v>
      </c>
      <c r="HY79" t="e">
        <f>AND(Sheet1!C1064,"AAAAAD54Z+g=")</f>
        <v>#VALUE!</v>
      </c>
      <c r="HZ79" t="e">
        <f>AND(Sheet1!D1064,"AAAAAD54Z+k=")</f>
        <v>#VALUE!</v>
      </c>
      <c r="IA79" t="e">
        <f>AND(Sheet1!E1064,"AAAAAD54Z+o=")</f>
        <v>#VALUE!</v>
      </c>
      <c r="IB79" t="e">
        <f>AND(Sheet1!F1064,"AAAAAD54Z+s=")</f>
        <v>#VALUE!</v>
      </c>
      <c r="IC79" t="e">
        <f>AND(Sheet1!G1064,"AAAAAD54Z+w=")</f>
        <v>#VALUE!</v>
      </c>
      <c r="ID79" t="e">
        <f>AND(Sheet1!H1064,"AAAAAD54Z+0=")</f>
        <v>#VALUE!</v>
      </c>
      <c r="IE79" t="e">
        <f>AND(Sheet1!I1064,"AAAAAD54Z+4=")</f>
        <v>#VALUE!</v>
      </c>
      <c r="IF79" t="e">
        <f>AND(Sheet1!J1064,"AAAAAD54Z+8=")</f>
        <v>#VALUE!</v>
      </c>
      <c r="IG79" t="e">
        <f>AND(Sheet1!K1064,"AAAAAD54Z/A=")</f>
        <v>#VALUE!</v>
      </c>
      <c r="IH79" t="e">
        <f>AND(Sheet1!L1064,"AAAAAD54Z/E=")</f>
        <v>#VALUE!</v>
      </c>
      <c r="II79" t="e">
        <f>AND(Sheet1!M1064,"AAAAAD54Z/I=")</f>
        <v>#VALUE!</v>
      </c>
      <c r="IJ79" t="e">
        <f>AND(Sheet1!N1064,"AAAAAD54Z/M=")</f>
        <v>#VALUE!</v>
      </c>
      <c r="IK79" t="e">
        <f>AND(Sheet1!#REF!,"AAAAAD54Z/Q=")</f>
        <v>#REF!</v>
      </c>
      <c r="IL79" t="e">
        <f>AND(Sheet1!#REF!,"AAAAAD54Z/U=")</f>
        <v>#REF!</v>
      </c>
      <c r="IM79" t="e">
        <f>AND(Sheet1!#REF!,"AAAAAD54Z/Y=")</f>
        <v>#REF!</v>
      </c>
      <c r="IN79" t="e">
        <f>AND(Sheet1!#REF!,"AAAAAD54Z/c=")</f>
        <v>#REF!</v>
      </c>
      <c r="IO79">
        <f>IF(Sheet1!1065:1065,"AAAAAD54Z/g=",0)</f>
        <v>0</v>
      </c>
      <c r="IP79" t="e">
        <f>AND(Sheet1!A1065,"AAAAAD54Z/k=")</f>
        <v>#VALUE!</v>
      </c>
      <c r="IQ79" t="e">
        <f>AND(Sheet1!B1065,"AAAAAD54Z/o=")</f>
        <v>#VALUE!</v>
      </c>
      <c r="IR79" t="e">
        <f>AND(Sheet1!C1065,"AAAAAD54Z/s=")</f>
        <v>#VALUE!</v>
      </c>
      <c r="IS79" t="e">
        <f>AND(Sheet1!D1065,"AAAAAD54Z/w=")</f>
        <v>#VALUE!</v>
      </c>
      <c r="IT79" t="e">
        <f>AND(Sheet1!E1065,"AAAAAD54Z/0=")</f>
        <v>#VALUE!</v>
      </c>
      <c r="IU79" t="e">
        <f>AND(Sheet1!F1065,"AAAAAD54Z/4=")</f>
        <v>#VALUE!</v>
      </c>
      <c r="IV79" t="e">
        <f>AND(Sheet1!G1065,"AAAAAD54Z/8=")</f>
        <v>#VALUE!</v>
      </c>
    </row>
    <row r="80" spans="1:256" x14ac:dyDescent="0.2">
      <c r="A80" t="e">
        <f>AND(Sheet1!H1065,"AAAAAH2X8AA=")</f>
        <v>#VALUE!</v>
      </c>
      <c r="B80" t="e">
        <f>AND(Sheet1!I1065,"AAAAAH2X8AE=")</f>
        <v>#VALUE!</v>
      </c>
      <c r="C80" t="e">
        <f>AND(Sheet1!J1065,"AAAAAH2X8AI=")</f>
        <v>#VALUE!</v>
      </c>
      <c r="D80" t="e">
        <f>AND(Sheet1!K1065,"AAAAAH2X8AM=")</f>
        <v>#VALUE!</v>
      </c>
      <c r="E80" t="e">
        <f>AND(Sheet1!L1065,"AAAAAH2X8AQ=")</f>
        <v>#VALUE!</v>
      </c>
      <c r="F80" t="e">
        <f>AND(Sheet1!M1065,"AAAAAH2X8AU=")</f>
        <v>#VALUE!</v>
      </c>
      <c r="G80" t="e">
        <f>AND(Sheet1!N1065,"AAAAAH2X8AY=")</f>
        <v>#VALUE!</v>
      </c>
      <c r="H80" t="e">
        <f>AND(Sheet1!#REF!,"AAAAAH2X8Ac=")</f>
        <v>#REF!</v>
      </c>
      <c r="I80" t="e">
        <f>AND(Sheet1!#REF!,"AAAAAH2X8Ag=")</f>
        <v>#REF!</v>
      </c>
      <c r="J80" t="e">
        <f>AND(Sheet1!#REF!,"AAAAAH2X8Ak=")</f>
        <v>#REF!</v>
      </c>
      <c r="K80" t="e">
        <f>AND(Sheet1!#REF!,"AAAAAH2X8Ao=")</f>
        <v>#REF!</v>
      </c>
      <c r="L80">
        <f>IF(Sheet1!1066:1066,"AAAAAH2X8As=",0)</f>
        <v>0</v>
      </c>
      <c r="M80" t="e">
        <f>AND(Sheet1!A1066,"AAAAAH2X8Aw=")</f>
        <v>#VALUE!</v>
      </c>
      <c r="N80" t="e">
        <f>AND(Sheet1!B1066,"AAAAAH2X8A0=")</f>
        <v>#VALUE!</v>
      </c>
      <c r="O80" t="e">
        <f>AND(Sheet1!C1066,"AAAAAH2X8A4=")</f>
        <v>#VALUE!</v>
      </c>
      <c r="P80" t="e">
        <f>AND(Sheet1!D1066,"AAAAAH2X8A8=")</f>
        <v>#VALUE!</v>
      </c>
      <c r="Q80" t="e">
        <f>AND(Sheet1!E1066,"AAAAAH2X8BA=")</f>
        <v>#VALUE!</v>
      </c>
      <c r="R80" t="e">
        <f>AND(Sheet1!F1066,"AAAAAH2X8BE=")</f>
        <v>#VALUE!</v>
      </c>
      <c r="S80" t="e">
        <f>AND(Sheet1!G1066,"AAAAAH2X8BI=")</f>
        <v>#VALUE!</v>
      </c>
      <c r="T80" t="e">
        <f>AND(Sheet1!H1066,"AAAAAH2X8BM=")</f>
        <v>#VALUE!</v>
      </c>
      <c r="U80" t="e">
        <f>AND(Sheet1!I1066,"AAAAAH2X8BQ=")</f>
        <v>#VALUE!</v>
      </c>
      <c r="V80" t="e">
        <f>AND(Sheet1!J1066,"AAAAAH2X8BU=")</f>
        <v>#VALUE!</v>
      </c>
      <c r="W80" t="e">
        <f>AND(Sheet1!K1066,"AAAAAH2X8BY=")</f>
        <v>#VALUE!</v>
      </c>
      <c r="X80" t="e">
        <f>AND(Sheet1!L1066,"AAAAAH2X8Bc=")</f>
        <v>#VALUE!</v>
      </c>
      <c r="Y80" t="e">
        <f>AND(Sheet1!M1066,"AAAAAH2X8Bg=")</f>
        <v>#VALUE!</v>
      </c>
      <c r="Z80" t="e">
        <f>AND(Sheet1!N1066,"AAAAAH2X8Bk=")</f>
        <v>#VALUE!</v>
      </c>
      <c r="AA80" t="e">
        <f>AND(Sheet1!#REF!,"AAAAAH2X8Bo=")</f>
        <v>#REF!</v>
      </c>
      <c r="AB80" t="e">
        <f>AND(Sheet1!#REF!,"AAAAAH2X8Bs=")</f>
        <v>#REF!</v>
      </c>
      <c r="AC80" t="e">
        <f>AND(Sheet1!#REF!,"AAAAAH2X8Bw=")</f>
        <v>#REF!</v>
      </c>
      <c r="AD80" t="e">
        <f>AND(Sheet1!#REF!,"AAAAAH2X8B0=")</f>
        <v>#REF!</v>
      </c>
      <c r="AE80">
        <f>IF(Sheet1!1067:1067,"AAAAAH2X8B4=",0)</f>
        <v>0</v>
      </c>
      <c r="AF80" t="e">
        <f>AND(Sheet1!A1067,"AAAAAH2X8B8=")</f>
        <v>#VALUE!</v>
      </c>
      <c r="AG80" t="e">
        <f>AND(Sheet1!B1067,"AAAAAH2X8CA=")</f>
        <v>#VALUE!</v>
      </c>
      <c r="AH80" t="e">
        <f>AND(Sheet1!C1067,"AAAAAH2X8CE=")</f>
        <v>#VALUE!</v>
      </c>
      <c r="AI80" t="e">
        <f>AND(Sheet1!D1067,"AAAAAH2X8CI=")</f>
        <v>#VALUE!</v>
      </c>
      <c r="AJ80" t="e">
        <f>AND(Sheet1!E1067,"AAAAAH2X8CM=")</f>
        <v>#VALUE!</v>
      </c>
      <c r="AK80" t="e">
        <f>AND(Sheet1!F1067,"AAAAAH2X8CQ=")</f>
        <v>#VALUE!</v>
      </c>
      <c r="AL80" t="e">
        <f>AND(Sheet1!G1067,"AAAAAH2X8CU=")</f>
        <v>#VALUE!</v>
      </c>
      <c r="AM80" t="e">
        <f>AND(Sheet1!H1067,"AAAAAH2X8CY=")</f>
        <v>#VALUE!</v>
      </c>
      <c r="AN80" t="e">
        <f>AND(Sheet1!I1067,"AAAAAH2X8Cc=")</f>
        <v>#VALUE!</v>
      </c>
      <c r="AO80" t="e">
        <f>AND(Sheet1!J1067,"AAAAAH2X8Cg=")</f>
        <v>#VALUE!</v>
      </c>
      <c r="AP80" t="e">
        <f>AND(Sheet1!K1067,"AAAAAH2X8Ck=")</f>
        <v>#VALUE!</v>
      </c>
      <c r="AQ80" t="e">
        <f>AND(Sheet1!L1067,"AAAAAH2X8Co=")</f>
        <v>#VALUE!</v>
      </c>
      <c r="AR80" t="e">
        <f>AND(Sheet1!M1067,"AAAAAH2X8Cs=")</f>
        <v>#VALUE!</v>
      </c>
      <c r="AS80" t="e">
        <f>AND(Sheet1!N1067,"AAAAAH2X8Cw=")</f>
        <v>#VALUE!</v>
      </c>
      <c r="AT80" t="e">
        <f>AND(Sheet1!#REF!,"AAAAAH2X8C0=")</f>
        <v>#REF!</v>
      </c>
      <c r="AU80" t="e">
        <f>AND(Sheet1!#REF!,"AAAAAH2X8C4=")</f>
        <v>#REF!</v>
      </c>
      <c r="AV80" t="e">
        <f>AND(Sheet1!#REF!,"AAAAAH2X8C8=")</f>
        <v>#REF!</v>
      </c>
      <c r="AW80" t="e">
        <f>AND(Sheet1!#REF!,"AAAAAH2X8DA=")</f>
        <v>#REF!</v>
      </c>
      <c r="AX80">
        <f>IF(Sheet1!1068:1068,"AAAAAH2X8DE=",0)</f>
        <v>0</v>
      </c>
      <c r="AY80" t="e">
        <f>AND(Sheet1!A1068,"AAAAAH2X8DI=")</f>
        <v>#VALUE!</v>
      </c>
      <c r="AZ80" t="e">
        <f>AND(Sheet1!B1068,"AAAAAH2X8DM=")</f>
        <v>#VALUE!</v>
      </c>
      <c r="BA80" t="e">
        <f>AND(Sheet1!C1068,"AAAAAH2X8DQ=")</f>
        <v>#VALUE!</v>
      </c>
      <c r="BB80" t="e">
        <f>AND(Sheet1!D1068,"AAAAAH2X8DU=")</f>
        <v>#VALUE!</v>
      </c>
      <c r="BC80" t="e">
        <f>AND(Sheet1!E1068,"AAAAAH2X8DY=")</f>
        <v>#VALUE!</v>
      </c>
      <c r="BD80" t="e">
        <f>AND(Sheet1!F1068,"AAAAAH2X8Dc=")</f>
        <v>#VALUE!</v>
      </c>
      <c r="BE80" t="e">
        <f>AND(Sheet1!G1068,"AAAAAH2X8Dg=")</f>
        <v>#VALUE!</v>
      </c>
      <c r="BF80" t="e">
        <f>AND(Sheet1!H1068,"AAAAAH2X8Dk=")</f>
        <v>#VALUE!</v>
      </c>
      <c r="BG80" t="e">
        <f>AND(Sheet1!I1068,"AAAAAH2X8Do=")</f>
        <v>#VALUE!</v>
      </c>
      <c r="BH80" t="e">
        <f>AND(Sheet1!J1068,"AAAAAH2X8Ds=")</f>
        <v>#VALUE!</v>
      </c>
      <c r="BI80" t="e">
        <f>AND(Sheet1!K1068,"AAAAAH2X8Dw=")</f>
        <v>#VALUE!</v>
      </c>
      <c r="BJ80" t="e">
        <f>AND(Sheet1!L1068,"AAAAAH2X8D0=")</f>
        <v>#VALUE!</v>
      </c>
      <c r="BK80" t="e">
        <f>AND(Sheet1!M1068,"AAAAAH2X8D4=")</f>
        <v>#VALUE!</v>
      </c>
      <c r="BL80" t="e">
        <f>AND(Sheet1!N1068,"AAAAAH2X8D8=")</f>
        <v>#VALUE!</v>
      </c>
      <c r="BM80" t="e">
        <f>AND(Sheet1!#REF!,"AAAAAH2X8EA=")</f>
        <v>#REF!</v>
      </c>
      <c r="BN80" t="e">
        <f>AND(Sheet1!#REF!,"AAAAAH2X8EE=")</f>
        <v>#REF!</v>
      </c>
      <c r="BO80" t="e">
        <f>AND(Sheet1!#REF!,"AAAAAH2X8EI=")</f>
        <v>#REF!</v>
      </c>
      <c r="BP80" t="e">
        <f>AND(Sheet1!#REF!,"AAAAAH2X8EM=")</f>
        <v>#REF!</v>
      </c>
      <c r="BQ80">
        <f>IF(Sheet1!1069:1069,"AAAAAH2X8EQ=",0)</f>
        <v>0</v>
      </c>
      <c r="BR80" t="e">
        <f>AND(Sheet1!A1069,"AAAAAH2X8EU=")</f>
        <v>#VALUE!</v>
      </c>
      <c r="BS80" t="e">
        <f>AND(Sheet1!B1069,"AAAAAH2X8EY=")</f>
        <v>#VALUE!</v>
      </c>
      <c r="BT80" t="e">
        <f>AND(Sheet1!C1069,"AAAAAH2X8Ec=")</f>
        <v>#VALUE!</v>
      </c>
      <c r="BU80" t="e">
        <f>AND(Sheet1!D1069,"AAAAAH2X8Eg=")</f>
        <v>#VALUE!</v>
      </c>
      <c r="BV80" t="e">
        <f>AND(Sheet1!E1069,"AAAAAH2X8Ek=")</f>
        <v>#VALUE!</v>
      </c>
      <c r="BW80" t="e">
        <f>AND(Sheet1!F1069,"AAAAAH2X8Eo=")</f>
        <v>#VALUE!</v>
      </c>
      <c r="BX80" t="e">
        <f>AND(Sheet1!G1069,"AAAAAH2X8Es=")</f>
        <v>#VALUE!</v>
      </c>
      <c r="BY80" t="e">
        <f>AND(Sheet1!H1069,"AAAAAH2X8Ew=")</f>
        <v>#VALUE!</v>
      </c>
      <c r="BZ80" t="e">
        <f>AND(Sheet1!I1069,"AAAAAH2X8E0=")</f>
        <v>#VALUE!</v>
      </c>
      <c r="CA80" t="e">
        <f>AND(Sheet1!J1069,"AAAAAH2X8E4=")</f>
        <v>#VALUE!</v>
      </c>
      <c r="CB80" t="e">
        <f>AND(Sheet1!K1069,"AAAAAH2X8E8=")</f>
        <v>#VALUE!</v>
      </c>
      <c r="CC80" t="e">
        <f>AND(Sheet1!L1069,"AAAAAH2X8FA=")</f>
        <v>#VALUE!</v>
      </c>
      <c r="CD80" t="e">
        <f>AND(Sheet1!M1069,"AAAAAH2X8FE=")</f>
        <v>#VALUE!</v>
      </c>
      <c r="CE80" t="e">
        <f>AND(Sheet1!N1069,"AAAAAH2X8FI=")</f>
        <v>#VALUE!</v>
      </c>
      <c r="CF80" t="e">
        <f>AND(Sheet1!#REF!,"AAAAAH2X8FM=")</f>
        <v>#REF!</v>
      </c>
      <c r="CG80" t="e">
        <f>AND(Sheet1!#REF!,"AAAAAH2X8FQ=")</f>
        <v>#REF!</v>
      </c>
      <c r="CH80" t="e">
        <f>AND(Sheet1!#REF!,"AAAAAH2X8FU=")</f>
        <v>#REF!</v>
      </c>
      <c r="CI80" t="e">
        <f>AND(Sheet1!#REF!,"AAAAAH2X8FY=")</f>
        <v>#REF!</v>
      </c>
      <c r="CJ80">
        <f>IF(Sheet1!1070:1070,"AAAAAH2X8Fc=",0)</f>
        <v>0</v>
      </c>
      <c r="CK80" t="e">
        <f>AND(Sheet1!A1070,"AAAAAH2X8Fg=")</f>
        <v>#VALUE!</v>
      </c>
      <c r="CL80" t="e">
        <f>AND(Sheet1!B1070,"AAAAAH2X8Fk=")</f>
        <v>#VALUE!</v>
      </c>
      <c r="CM80" t="e">
        <f>AND(Sheet1!C1070,"AAAAAH2X8Fo=")</f>
        <v>#VALUE!</v>
      </c>
      <c r="CN80" t="e">
        <f>AND(Sheet1!D1070,"AAAAAH2X8Fs=")</f>
        <v>#VALUE!</v>
      </c>
      <c r="CO80" t="e">
        <f>AND(Sheet1!E1070,"AAAAAH2X8Fw=")</f>
        <v>#VALUE!</v>
      </c>
      <c r="CP80" t="e">
        <f>AND(Sheet1!F1070,"AAAAAH2X8F0=")</f>
        <v>#VALUE!</v>
      </c>
      <c r="CQ80" t="e">
        <f>AND(Sheet1!G1070,"AAAAAH2X8F4=")</f>
        <v>#VALUE!</v>
      </c>
      <c r="CR80" t="e">
        <f>AND(Sheet1!H1070,"AAAAAH2X8F8=")</f>
        <v>#VALUE!</v>
      </c>
      <c r="CS80" t="e">
        <f>AND(Sheet1!I1070,"AAAAAH2X8GA=")</f>
        <v>#VALUE!</v>
      </c>
      <c r="CT80" t="e">
        <f>AND(Sheet1!J1070,"AAAAAH2X8GE=")</f>
        <v>#VALUE!</v>
      </c>
      <c r="CU80" t="e">
        <f>AND(Sheet1!K1070,"AAAAAH2X8GI=")</f>
        <v>#VALUE!</v>
      </c>
      <c r="CV80" t="e">
        <f>AND(Sheet1!L1070,"AAAAAH2X8GM=")</f>
        <v>#VALUE!</v>
      </c>
      <c r="CW80" t="e">
        <f>AND(Sheet1!M1070,"AAAAAH2X8GQ=")</f>
        <v>#VALUE!</v>
      </c>
      <c r="CX80" t="e">
        <f>AND(Sheet1!N1070,"AAAAAH2X8GU=")</f>
        <v>#VALUE!</v>
      </c>
      <c r="CY80" t="e">
        <f>AND(Sheet1!#REF!,"AAAAAH2X8GY=")</f>
        <v>#REF!</v>
      </c>
      <c r="CZ80" t="e">
        <f>AND(Sheet1!#REF!,"AAAAAH2X8Gc=")</f>
        <v>#REF!</v>
      </c>
      <c r="DA80" t="e">
        <f>AND(Sheet1!#REF!,"AAAAAH2X8Gg=")</f>
        <v>#REF!</v>
      </c>
      <c r="DB80" t="e">
        <f>AND(Sheet1!#REF!,"AAAAAH2X8Gk=")</f>
        <v>#REF!</v>
      </c>
      <c r="DC80">
        <f>IF(Sheet1!1071:1071,"AAAAAH2X8Go=",0)</f>
        <v>0</v>
      </c>
      <c r="DD80" t="e">
        <f>AND(Sheet1!A1071,"AAAAAH2X8Gs=")</f>
        <v>#VALUE!</v>
      </c>
      <c r="DE80" t="e">
        <f>AND(Sheet1!B1071,"AAAAAH2X8Gw=")</f>
        <v>#VALUE!</v>
      </c>
      <c r="DF80" t="e">
        <f>AND(Sheet1!C1071,"AAAAAH2X8G0=")</f>
        <v>#VALUE!</v>
      </c>
      <c r="DG80" t="e">
        <f>AND(Sheet1!D1071,"AAAAAH2X8G4=")</f>
        <v>#VALUE!</v>
      </c>
      <c r="DH80" t="e">
        <f>AND(Sheet1!E1071,"AAAAAH2X8G8=")</f>
        <v>#VALUE!</v>
      </c>
      <c r="DI80" t="e">
        <f>AND(Sheet1!F1071,"AAAAAH2X8HA=")</f>
        <v>#VALUE!</v>
      </c>
      <c r="DJ80" t="e">
        <f>AND(Sheet1!G1071,"AAAAAH2X8HE=")</f>
        <v>#VALUE!</v>
      </c>
      <c r="DK80" t="e">
        <f>AND(Sheet1!H1071,"AAAAAH2X8HI=")</f>
        <v>#VALUE!</v>
      </c>
      <c r="DL80" t="e">
        <f>AND(Sheet1!I1071,"AAAAAH2X8HM=")</f>
        <v>#VALUE!</v>
      </c>
      <c r="DM80" t="e">
        <f>AND(Sheet1!J1071,"AAAAAH2X8HQ=")</f>
        <v>#VALUE!</v>
      </c>
      <c r="DN80" t="e">
        <f>AND(Sheet1!K1071,"AAAAAH2X8HU=")</f>
        <v>#VALUE!</v>
      </c>
      <c r="DO80" t="e">
        <f>AND(Sheet1!L1071,"AAAAAH2X8HY=")</f>
        <v>#VALUE!</v>
      </c>
      <c r="DP80" t="e">
        <f>AND(Sheet1!M1071,"AAAAAH2X8Hc=")</f>
        <v>#VALUE!</v>
      </c>
      <c r="DQ80" t="e">
        <f>AND(Sheet1!N1071,"AAAAAH2X8Hg=")</f>
        <v>#VALUE!</v>
      </c>
      <c r="DR80" t="e">
        <f>AND(Sheet1!#REF!,"AAAAAH2X8Hk=")</f>
        <v>#REF!</v>
      </c>
      <c r="DS80" t="e">
        <f>AND(Sheet1!#REF!,"AAAAAH2X8Ho=")</f>
        <v>#REF!</v>
      </c>
      <c r="DT80" t="e">
        <f>AND(Sheet1!#REF!,"AAAAAH2X8Hs=")</f>
        <v>#REF!</v>
      </c>
      <c r="DU80" t="e">
        <f>AND(Sheet1!#REF!,"AAAAAH2X8Hw=")</f>
        <v>#REF!</v>
      </c>
      <c r="DV80">
        <f>IF(Sheet1!1072:1072,"AAAAAH2X8H0=",0)</f>
        <v>0</v>
      </c>
      <c r="DW80" t="e">
        <f>AND(Sheet1!A1072,"AAAAAH2X8H4=")</f>
        <v>#VALUE!</v>
      </c>
      <c r="DX80" t="e">
        <f>AND(Sheet1!B1072,"AAAAAH2X8H8=")</f>
        <v>#VALUE!</v>
      </c>
      <c r="DY80" t="e">
        <f>AND(Sheet1!C1072,"AAAAAH2X8IA=")</f>
        <v>#VALUE!</v>
      </c>
      <c r="DZ80" t="e">
        <f>AND(Sheet1!D1072,"AAAAAH2X8IE=")</f>
        <v>#VALUE!</v>
      </c>
      <c r="EA80" t="e">
        <f>AND(Sheet1!E1072,"AAAAAH2X8II=")</f>
        <v>#VALUE!</v>
      </c>
      <c r="EB80" t="e">
        <f>AND(Sheet1!F1072,"AAAAAH2X8IM=")</f>
        <v>#VALUE!</v>
      </c>
      <c r="EC80" t="e">
        <f>AND(Sheet1!G1072,"AAAAAH2X8IQ=")</f>
        <v>#VALUE!</v>
      </c>
      <c r="ED80" t="e">
        <f>AND(Sheet1!H1072,"AAAAAH2X8IU=")</f>
        <v>#VALUE!</v>
      </c>
      <c r="EE80" t="e">
        <f>AND(Sheet1!I1072,"AAAAAH2X8IY=")</f>
        <v>#VALUE!</v>
      </c>
      <c r="EF80" t="e">
        <f>AND(Sheet1!J1072,"AAAAAH2X8Ic=")</f>
        <v>#VALUE!</v>
      </c>
      <c r="EG80" t="e">
        <f>AND(Sheet1!K1072,"AAAAAH2X8Ig=")</f>
        <v>#VALUE!</v>
      </c>
      <c r="EH80" t="e">
        <f>AND(Sheet1!L1072,"AAAAAH2X8Ik=")</f>
        <v>#VALUE!</v>
      </c>
      <c r="EI80" t="e">
        <f>AND(Sheet1!M1072,"AAAAAH2X8Io=")</f>
        <v>#VALUE!</v>
      </c>
      <c r="EJ80" t="e">
        <f>AND(Sheet1!N1072,"AAAAAH2X8Is=")</f>
        <v>#VALUE!</v>
      </c>
      <c r="EK80" t="e">
        <f>AND(Sheet1!#REF!,"AAAAAH2X8Iw=")</f>
        <v>#REF!</v>
      </c>
      <c r="EL80" t="e">
        <f>AND(Sheet1!#REF!,"AAAAAH2X8I0=")</f>
        <v>#REF!</v>
      </c>
      <c r="EM80" t="e">
        <f>AND(Sheet1!#REF!,"AAAAAH2X8I4=")</f>
        <v>#REF!</v>
      </c>
      <c r="EN80" t="e">
        <f>AND(Sheet1!#REF!,"AAAAAH2X8I8=")</f>
        <v>#REF!</v>
      </c>
      <c r="EO80">
        <f>IF(Sheet1!1073:1073,"AAAAAH2X8JA=",0)</f>
        <v>0</v>
      </c>
      <c r="EP80" t="e">
        <f>AND(Sheet1!A1073,"AAAAAH2X8JE=")</f>
        <v>#VALUE!</v>
      </c>
      <c r="EQ80" t="e">
        <f>AND(Sheet1!B1073,"AAAAAH2X8JI=")</f>
        <v>#VALUE!</v>
      </c>
      <c r="ER80" t="e">
        <f>AND(Sheet1!C1073,"AAAAAH2X8JM=")</f>
        <v>#VALUE!</v>
      </c>
      <c r="ES80" t="e">
        <f>AND(Sheet1!D1073,"AAAAAH2X8JQ=")</f>
        <v>#VALUE!</v>
      </c>
      <c r="ET80" t="e">
        <f>AND(Sheet1!E1073,"AAAAAH2X8JU=")</f>
        <v>#VALUE!</v>
      </c>
      <c r="EU80" t="e">
        <f>AND(Sheet1!F1073,"AAAAAH2X8JY=")</f>
        <v>#VALUE!</v>
      </c>
      <c r="EV80" t="e">
        <f>AND(Sheet1!G1073,"AAAAAH2X8Jc=")</f>
        <v>#VALUE!</v>
      </c>
      <c r="EW80" t="e">
        <f>AND(Sheet1!H1073,"AAAAAH2X8Jg=")</f>
        <v>#VALUE!</v>
      </c>
      <c r="EX80" t="e">
        <f>AND(Sheet1!I1073,"AAAAAH2X8Jk=")</f>
        <v>#VALUE!</v>
      </c>
      <c r="EY80" t="e">
        <f>AND(Sheet1!J1073,"AAAAAH2X8Jo=")</f>
        <v>#VALUE!</v>
      </c>
      <c r="EZ80" t="e">
        <f>AND(Sheet1!K1073,"AAAAAH2X8Js=")</f>
        <v>#VALUE!</v>
      </c>
      <c r="FA80" t="e">
        <f>AND(Sheet1!L1073,"AAAAAH2X8Jw=")</f>
        <v>#VALUE!</v>
      </c>
      <c r="FB80" t="e">
        <f>AND(Sheet1!M1073,"AAAAAH2X8J0=")</f>
        <v>#VALUE!</v>
      </c>
      <c r="FC80" t="e">
        <f>AND(Sheet1!N1073,"AAAAAH2X8J4=")</f>
        <v>#VALUE!</v>
      </c>
      <c r="FD80" t="e">
        <f>AND(Sheet1!#REF!,"AAAAAH2X8J8=")</f>
        <v>#REF!</v>
      </c>
      <c r="FE80" t="e">
        <f>AND(Sheet1!#REF!,"AAAAAH2X8KA=")</f>
        <v>#REF!</v>
      </c>
      <c r="FF80" t="e">
        <f>AND(Sheet1!#REF!,"AAAAAH2X8KE=")</f>
        <v>#REF!</v>
      </c>
      <c r="FG80" t="e">
        <f>AND(Sheet1!#REF!,"AAAAAH2X8KI=")</f>
        <v>#REF!</v>
      </c>
      <c r="FH80">
        <f>IF(Sheet1!1074:1074,"AAAAAH2X8KM=",0)</f>
        <v>0</v>
      </c>
      <c r="FI80" t="e">
        <f>AND(Sheet1!A1074,"AAAAAH2X8KQ=")</f>
        <v>#VALUE!</v>
      </c>
      <c r="FJ80" t="e">
        <f>AND(Sheet1!B1074,"AAAAAH2X8KU=")</f>
        <v>#VALUE!</v>
      </c>
      <c r="FK80" t="e">
        <f>AND(Sheet1!C1074,"AAAAAH2X8KY=")</f>
        <v>#VALUE!</v>
      </c>
      <c r="FL80" t="e">
        <f>AND(Sheet1!D1074,"AAAAAH2X8Kc=")</f>
        <v>#VALUE!</v>
      </c>
      <c r="FM80" t="e">
        <f>AND(Sheet1!E1074,"AAAAAH2X8Kg=")</f>
        <v>#VALUE!</v>
      </c>
      <c r="FN80" t="e">
        <f>AND(Sheet1!F1074,"AAAAAH2X8Kk=")</f>
        <v>#VALUE!</v>
      </c>
      <c r="FO80" t="e">
        <f>AND(Sheet1!G1074,"AAAAAH2X8Ko=")</f>
        <v>#VALUE!</v>
      </c>
      <c r="FP80" t="e">
        <f>AND(Sheet1!H1074,"AAAAAH2X8Ks=")</f>
        <v>#VALUE!</v>
      </c>
      <c r="FQ80" t="e">
        <f>AND(Sheet1!I1074,"AAAAAH2X8Kw=")</f>
        <v>#VALUE!</v>
      </c>
      <c r="FR80" t="e">
        <f>AND(Sheet1!J1074,"AAAAAH2X8K0=")</f>
        <v>#VALUE!</v>
      </c>
      <c r="FS80" t="e">
        <f>AND(Sheet1!K1074,"AAAAAH2X8K4=")</f>
        <v>#VALUE!</v>
      </c>
      <c r="FT80" t="e">
        <f>AND(Sheet1!L1074,"AAAAAH2X8K8=")</f>
        <v>#VALUE!</v>
      </c>
      <c r="FU80" t="e">
        <f>AND(Sheet1!M1074,"AAAAAH2X8LA=")</f>
        <v>#VALUE!</v>
      </c>
      <c r="FV80" t="e">
        <f>AND(Sheet1!N1074,"AAAAAH2X8LE=")</f>
        <v>#VALUE!</v>
      </c>
      <c r="FW80" t="e">
        <f>AND(Sheet1!#REF!,"AAAAAH2X8LI=")</f>
        <v>#REF!</v>
      </c>
      <c r="FX80" t="e">
        <f>AND(Sheet1!#REF!,"AAAAAH2X8LM=")</f>
        <v>#REF!</v>
      </c>
      <c r="FY80" t="e">
        <f>AND(Sheet1!#REF!,"AAAAAH2X8LQ=")</f>
        <v>#REF!</v>
      </c>
      <c r="FZ80" t="e">
        <f>AND(Sheet1!#REF!,"AAAAAH2X8LU=")</f>
        <v>#REF!</v>
      </c>
      <c r="GA80">
        <f>IF(Sheet1!1075:1075,"AAAAAH2X8LY=",0)</f>
        <v>0</v>
      </c>
      <c r="GB80" t="e">
        <f>AND(Sheet1!A1075,"AAAAAH2X8Lc=")</f>
        <v>#VALUE!</v>
      </c>
      <c r="GC80" t="e">
        <f>AND(Sheet1!B1075,"AAAAAH2X8Lg=")</f>
        <v>#VALUE!</v>
      </c>
      <c r="GD80" t="e">
        <f>AND(Sheet1!C1075,"AAAAAH2X8Lk=")</f>
        <v>#VALUE!</v>
      </c>
      <c r="GE80" t="e">
        <f>AND(Sheet1!D1075,"AAAAAH2X8Lo=")</f>
        <v>#VALUE!</v>
      </c>
      <c r="GF80" t="e">
        <f>AND(Sheet1!E1075,"AAAAAH2X8Ls=")</f>
        <v>#VALUE!</v>
      </c>
      <c r="GG80" t="e">
        <f>AND(Sheet1!F1075,"AAAAAH2X8Lw=")</f>
        <v>#VALUE!</v>
      </c>
      <c r="GH80" t="e">
        <f>AND(Sheet1!G1075,"AAAAAH2X8L0=")</f>
        <v>#VALUE!</v>
      </c>
      <c r="GI80" t="e">
        <f>AND(Sheet1!H1075,"AAAAAH2X8L4=")</f>
        <v>#VALUE!</v>
      </c>
      <c r="GJ80" t="e">
        <f>AND(Sheet1!I1075,"AAAAAH2X8L8=")</f>
        <v>#VALUE!</v>
      </c>
      <c r="GK80" t="e">
        <f>AND(Sheet1!J1075,"AAAAAH2X8MA=")</f>
        <v>#VALUE!</v>
      </c>
      <c r="GL80" t="e">
        <f>AND(Sheet1!K1075,"AAAAAH2X8ME=")</f>
        <v>#VALUE!</v>
      </c>
      <c r="GM80" t="e">
        <f>AND(Sheet1!L1075,"AAAAAH2X8MI=")</f>
        <v>#VALUE!</v>
      </c>
      <c r="GN80" t="e">
        <f>AND(Sheet1!M1075,"AAAAAH2X8MM=")</f>
        <v>#VALUE!</v>
      </c>
      <c r="GO80" t="e">
        <f>AND(Sheet1!N1075,"AAAAAH2X8MQ=")</f>
        <v>#VALUE!</v>
      </c>
      <c r="GP80" t="e">
        <f>AND(Sheet1!#REF!,"AAAAAH2X8MU=")</f>
        <v>#REF!</v>
      </c>
      <c r="GQ80" t="e">
        <f>AND(Sheet1!#REF!,"AAAAAH2X8MY=")</f>
        <v>#REF!</v>
      </c>
      <c r="GR80" t="e">
        <f>AND(Sheet1!#REF!,"AAAAAH2X8Mc=")</f>
        <v>#REF!</v>
      </c>
      <c r="GS80" t="e">
        <f>AND(Sheet1!#REF!,"AAAAAH2X8Mg=")</f>
        <v>#REF!</v>
      </c>
      <c r="GT80">
        <f>IF(Sheet1!1076:1076,"AAAAAH2X8Mk=",0)</f>
        <v>0</v>
      </c>
      <c r="GU80" t="e">
        <f>AND(Sheet1!A1076,"AAAAAH2X8Mo=")</f>
        <v>#VALUE!</v>
      </c>
      <c r="GV80" t="e">
        <f>AND(Sheet1!B1076,"AAAAAH2X8Ms=")</f>
        <v>#VALUE!</v>
      </c>
      <c r="GW80" t="e">
        <f>AND(Sheet1!C1076,"AAAAAH2X8Mw=")</f>
        <v>#VALUE!</v>
      </c>
      <c r="GX80" t="e">
        <f>AND(Sheet1!D1076,"AAAAAH2X8M0=")</f>
        <v>#VALUE!</v>
      </c>
      <c r="GY80" t="e">
        <f>AND(Sheet1!E1076,"AAAAAH2X8M4=")</f>
        <v>#VALUE!</v>
      </c>
      <c r="GZ80" t="e">
        <f>AND(Sheet1!F1076,"AAAAAH2X8M8=")</f>
        <v>#VALUE!</v>
      </c>
      <c r="HA80" t="e">
        <f>AND(Sheet1!G1076,"AAAAAH2X8NA=")</f>
        <v>#VALUE!</v>
      </c>
      <c r="HB80" t="e">
        <f>AND(Sheet1!H1076,"AAAAAH2X8NE=")</f>
        <v>#VALUE!</v>
      </c>
      <c r="HC80" t="e">
        <f>AND(Sheet1!I1076,"AAAAAH2X8NI=")</f>
        <v>#VALUE!</v>
      </c>
      <c r="HD80" t="e">
        <f>AND(Sheet1!J1076,"AAAAAH2X8NM=")</f>
        <v>#VALUE!</v>
      </c>
      <c r="HE80" t="e">
        <f>AND(Sheet1!K1076,"AAAAAH2X8NQ=")</f>
        <v>#VALUE!</v>
      </c>
      <c r="HF80" t="e">
        <f>AND(Sheet1!L1076,"AAAAAH2X8NU=")</f>
        <v>#VALUE!</v>
      </c>
      <c r="HG80" t="e">
        <f>AND(Sheet1!M1076,"AAAAAH2X8NY=")</f>
        <v>#VALUE!</v>
      </c>
      <c r="HH80" t="e">
        <f>AND(Sheet1!N1076,"AAAAAH2X8Nc=")</f>
        <v>#VALUE!</v>
      </c>
      <c r="HI80" t="e">
        <f>AND(Sheet1!#REF!,"AAAAAH2X8Ng=")</f>
        <v>#REF!</v>
      </c>
      <c r="HJ80" t="e">
        <f>AND(Sheet1!#REF!,"AAAAAH2X8Nk=")</f>
        <v>#REF!</v>
      </c>
      <c r="HK80" t="e">
        <f>AND(Sheet1!#REF!,"AAAAAH2X8No=")</f>
        <v>#REF!</v>
      </c>
      <c r="HL80" t="e">
        <f>AND(Sheet1!#REF!,"AAAAAH2X8Ns=")</f>
        <v>#REF!</v>
      </c>
      <c r="HM80">
        <f>IF(Sheet1!1077:1077,"AAAAAH2X8Nw=",0)</f>
        <v>0</v>
      </c>
      <c r="HN80" t="e">
        <f>AND(Sheet1!A1077,"AAAAAH2X8N0=")</f>
        <v>#VALUE!</v>
      </c>
      <c r="HO80" t="e">
        <f>AND(Sheet1!B1077,"AAAAAH2X8N4=")</f>
        <v>#VALUE!</v>
      </c>
      <c r="HP80" t="e">
        <f>AND(Sheet1!C1077,"AAAAAH2X8N8=")</f>
        <v>#VALUE!</v>
      </c>
      <c r="HQ80" t="e">
        <f>AND(Sheet1!D1077,"AAAAAH2X8OA=")</f>
        <v>#VALUE!</v>
      </c>
      <c r="HR80" t="e">
        <f>AND(Sheet1!E1077,"AAAAAH2X8OE=")</f>
        <v>#VALUE!</v>
      </c>
      <c r="HS80" t="e">
        <f>AND(Sheet1!F1077,"AAAAAH2X8OI=")</f>
        <v>#VALUE!</v>
      </c>
      <c r="HT80" t="e">
        <f>AND(Sheet1!G1077,"AAAAAH2X8OM=")</f>
        <v>#VALUE!</v>
      </c>
      <c r="HU80" t="e">
        <f>AND(Sheet1!H1077,"AAAAAH2X8OQ=")</f>
        <v>#VALUE!</v>
      </c>
      <c r="HV80" t="e">
        <f>AND(Sheet1!I1077,"AAAAAH2X8OU=")</f>
        <v>#VALUE!</v>
      </c>
      <c r="HW80" t="e">
        <f>AND(Sheet1!J1077,"AAAAAH2X8OY=")</f>
        <v>#VALUE!</v>
      </c>
      <c r="HX80" t="e">
        <f>AND(Sheet1!K1077,"AAAAAH2X8Oc=")</f>
        <v>#VALUE!</v>
      </c>
      <c r="HY80" t="e">
        <f>AND(Sheet1!L1077,"AAAAAH2X8Og=")</f>
        <v>#VALUE!</v>
      </c>
      <c r="HZ80" t="e">
        <f>AND(Sheet1!M1077,"AAAAAH2X8Ok=")</f>
        <v>#VALUE!</v>
      </c>
      <c r="IA80" t="e">
        <f>AND(Sheet1!N1077,"AAAAAH2X8Oo=")</f>
        <v>#VALUE!</v>
      </c>
      <c r="IB80" t="e">
        <f>AND(Sheet1!#REF!,"AAAAAH2X8Os=")</f>
        <v>#REF!</v>
      </c>
      <c r="IC80" t="e">
        <f>AND(Sheet1!#REF!,"AAAAAH2X8Ow=")</f>
        <v>#REF!</v>
      </c>
      <c r="ID80" t="e">
        <f>AND(Sheet1!#REF!,"AAAAAH2X8O0=")</f>
        <v>#REF!</v>
      </c>
      <c r="IE80" t="e">
        <f>AND(Sheet1!#REF!,"AAAAAH2X8O4=")</f>
        <v>#REF!</v>
      </c>
      <c r="IF80">
        <f>IF(Sheet1!1078:1078,"AAAAAH2X8O8=",0)</f>
        <v>0</v>
      </c>
      <c r="IG80" t="e">
        <f>AND(Sheet1!A1078,"AAAAAH2X8PA=")</f>
        <v>#VALUE!</v>
      </c>
      <c r="IH80" t="e">
        <f>AND(Sheet1!B1078,"AAAAAH2X8PE=")</f>
        <v>#VALUE!</v>
      </c>
      <c r="II80" t="e">
        <f>AND(Sheet1!C1078,"AAAAAH2X8PI=")</f>
        <v>#VALUE!</v>
      </c>
      <c r="IJ80" t="e">
        <f>AND(Sheet1!D1078,"AAAAAH2X8PM=")</f>
        <v>#VALUE!</v>
      </c>
      <c r="IK80" t="e">
        <f>AND(Sheet1!E1078,"AAAAAH2X8PQ=")</f>
        <v>#VALUE!</v>
      </c>
      <c r="IL80" t="e">
        <f>AND(Sheet1!F1078,"AAAAAH2X8PU=")</f>
        <v>#VALUE!</v>
      </c>
      <c r="IM80" t="e">
        <f>AND(Sheet1!G1078,"AAAAAH2X8PY=")</f>
        <v>#VALUE!</v>
      </c>
      <c r="IN80" t="e">
        <f>AND(Sheet1!H1078,"AAAAAH2X8Pc=")</f>
        <v>#VALUE!</v>
      </c>
      <c r="IO80" t="e">
        <f>AND(Sheet1!I1078,"AAAAAH2X8Pg=")</f>
        <v>#VALUE!</v>
      </c>
      <c r="IP80" t="e">
        <f>AND(Sheet1!J1078,"AAAAAH2X8Pk=")</f>
        <v>#VALUE!</v>
      </c>
      <c r="IQ80" t="e">
        <f>AND(Sheet1!K1078,"AAAAAH2X8Po=")</f>
        <v>#VALUE!</v>
      </c>
      <c r="IR80" t="e">
        <f>AND(Sheet1!L1078,"AAAAAH2X8Ps=")</f>
        <v>#VALUE!</v>
      </c>
      <c r="IS80" t="e">
        <f>AND(Sheet1!M1078,"AAAAAH2X8Pw=")</f>
        <v>#VALUE!</v>
      </c>
      <c r="IT80" t="e">
        <f>AND(Sheet1!N1078,"AAAAAH2X8P0=")</f>
        <v>#VALUE!</v>
      </c>
      <c r="IU80" t="e">
        <f>AND(Sheet1!#REF!,"AAAAAH2X8P4=")</f>
        <v>#REF!</v>
      </c>
      <c r="IV80" t="e">
        <f>AND(Sheet1!#REF!,"AAAAAH2X8P8=")</f>
        <v>#REF!</v>
      </c>
    </row>
    <row r="81" spans="1:256" x14ac:dyDescent="0.2">
      <c r="A81" t="e">
        <f>AND(Sheet1!#REF!,"AAAAAHH4/wA=")</f>
        <v>#REF!</v>
      </c>
      <c r="B81" t="e">
        <f>AND(Sheet1!#REF!,"AAAAAHH4/wE=")</f>
        <v>#REF!</v>
      </c>
      <c r="C81" t="e">
        <f>IF(Sheet1!1079:1079,"AAAAAHH4/wI=",0)</f>
        <v>#VALUE!</v>
      </c>
      <c r="D81" t="e">
        <f>AND(Sheet1!A1079,"AAAAAHH4/wM=")</f>
        <v>#VALUE!</v>
      </c>
      <c r="E81" t="e">
        <f>AND(Sheet1!B1079,"AAAAAHH4/wQ=")</f>
        <v>#VALUE!</v>
      </c>
      <c r="F81" t="e">
        <f>AND(Sheet1!C1079,"AAAAAHH4/wU=")</f>
        <v>#VALUE!</v>
      </c>
      <c r="G81" t="e">
        <f>AND(Sheet1!D1079,"AAAAAHH4/wY=")</f>
        <v>#VALUE!</v>
      </c>
      <c r="H81" t="e">
        <f>AND(Sheet1!E1079,"AAAAAHH4/wc=")</f>
        <v>#VALUE!</v>
      </c>
      <c r="I81" t="e">
        <f>AND(Sheet1!F1079,"AAAAAHH4/wg=")</f>
        <v>#VALUE!</v>
      </c>
      <c r="J81" t="e">
        <f>AND(Sheet1!G1079,"AAAAAHH4/wk=")</f>
        <v>#VALUE!</v>
      </c>
      <c r="K81" t="e">
        <f>AND(Sheet1!H1079,"AAAAAHH4/wo=")</f>
        <v>#VALUE!</v>
      </c>
      <c r="L81" t="e">
        <f>AND(Sheet1!I1079,"AAAAAHH4/ws=")</f>
        <v>#VALUE!</v>
      </c>
      <c r="M81" t="e">
        <f>AND(Sheet1!J1079,"AAAAAHH4/ww=")</f>
        <v>#VALUE!</v>
      </c>
      <c r="N81" t="e">
        <f>AND(Sheet1!K1079,"AAAAAHH4/w0=")</f>
        <v>#VALUE!</v>
      </c>
      <c r="O81" t="e">
        <f>AND(Sheet1!L1079,"AAAAAHH4/w4=")</f>
        <v>#VALUE!</v>
      </c>
      <c r="P81" t="e">
        <f>AND(Sheet1!M1079,"AAAAAHH4/w8=")</f>
        <v>#VALUE!</v>
      </c>
      <c r="Q81" t="e">
        <f>AND(Sheet1!N1079,"AAAAAHH4/xA=")</f>
        <v>#VALUE!</v>
      </c>
      <c r="R81" t="e">
        <f>AND(Sheet1!#REF!,"AAAAAHH4/xE=")</f>
        <v>#REF!</v>
      </c>
      <c r="S81" t="e">
        <f>AND(Sheet1!#REF!,"AAAAAHH4/xI=")</f>
        <v>#REF!</v>
      </c>
      <c r="T81" t="e">
        <f>AND(Sheet1!#REF!,"AAAAAHH4/xM=")</f>
        <v>#REF!</v>
      </c>
      <c r="U81" t="e">
        <f>AND(Sheet1!#REF!,"AAAAAHH4/xQ=")</f>
        <v>#REF!</v>
      </c>
      <c r="V81">
        <f>IF(Sheet1!1080:1080,"AAAAAHH4/xU=",0)</f>
        <v>0</v>
      </c>
      <c r="W81" t="e">
        <f>AND(Sheet1!A1080,"AAAAAHH4/xY=")</f>
        <v>#VALUE!</v>
      </c>
      <c r="X81" t="e">
        <f>AND(Sheet1!B1080,"AAAAAHH4/xc=")</f>
        <v>#VALUE!</v>
      </c>
      <c r="Y81" t="e">
        <f>AND(Sheet1!C1080,"AAAAAHH4/xg=")</f>
        <v>#VALUE!</v>
      </c>
      <c r="Z81" t="e">
        <f>AND(Sheet1!D1080,"AAAAAHH4/xk=")</f>
        <v>#VALUE!</v>
      </c>
      <c r="AA81" t="e">
        <f>AND(Sheet1!E1080,"AAAAAHH4/xo=")</f>
        <v>#VALUE!</v>
      </c>
      <c r="AB81" t="e">
        <f>AND(Sheet1!F1080,"AAAAAHH4/xs=")</f>
        <v>#VALUE!</v>
      </c>
      <c r="AC81" t="e">
        <f>AND(Sheet1!G1080,"AAAAAHH4/xw=")</f>
        <v>#VALUE!</v>
      </c>
      <c r="AD81" t="e">
        <f>AND(Sheet1!H1080,"AAAAAHH4/x0=")</f>
        <v>#VALUE!</v>
      </c>
      <c r="AE81" t="e">
        <f>AND(Sheet1!I1080,"AAAAAHH4/x4=")</f>
        <v>#VALUE!</v>
      </c>
      <c r="AF81" t="e">
        <f>AND(Sheet1!J1080,"AAAAAHH4/x8=")</f>
        <v>#VALUE!</v>
      </c>
      <c r="AG81" t="e">
        <f>AND(Sheet1!K1080,"AAAAAHH4/yA=")</f>
        <v>#VALUE!</v>
      </c>
      <c r="AH81" t="e">
        <f>AND(Sheet1!L1080,"AAAAAHH4/yE=")</f>
        <v>#VALUE!</v>
      </c>
      <c r="AI81" t="e">
        <f>AND(Sheet1!M1080,"AAAAAHH4/yI=")</f>
        <v>#VALUE!</v>
      </c>
      <c r="AJ81" t="e">
        <f>AND(Sheet1!N1080,"AAAAAHH4/yM=")</f>
        <v>#VALUE!</v>
      </c>
      <c r="AK81" t="e">
        <f>AND(Sheet1!#REF!,"AAAAAHH4/yQ=")</f>
        <v>#REF!</v>
      </c>
      <c r="AL81" t="e">
        <f>AND(Sheet1!#REF!,"AAAAAHH4/yU=")</f>
        <v>#REF!</v>
      </c>
      <c r="AM81" t="e">
        <f>AND(Sheet1!#REF!,"AAAAAHH4/yY=")</f>
        <v>#REF!</v>
      </c>
      <c r="AN81" t="e">
        <f>AND(Sheet1!#REF!,"AAAAAHH4/yc=")</f>
        <v>#REF!</v>
      </c>
      <c r="AO81">
        <f>IF(Sheet1!1081:1081,"AAAAAHH4/yg=",0)</f>
        <v>0</v>
      </c>
      <c r="AP81" t="e">
        <f>AND(Sheet1!A1081,"AAAAAHH4/yk=")</f>
        <v>#VALUE!</v>
      </c>
      <c r="AQ81" t="e">
        <f>AND(Sheet1!B1081,"AAAAAHH4/yo=")</f>
        <v>#VALUE!</v>
      </c>
      <c r="AR81" t="e">
        <f>AND(Sheet1!C1081,"AAAAAHH4/ys=")</f>
        <v>#VALUE!</v>
      </c>
      <c r="AS81" t="e">
        <f>AND(Sheet1!D1081,"AAAAAHH4/yw=")</f>
        <v>#VALUE!</v>
      </c>
      <c r="AT81" t="e">
        <f>AND(Sheet1!E1081,"AAAAAHH4/y0=")</f>
        <v>#VALUE!</v>
      </c>
      <c r="AU81" t="e">
        <f>AND(Sheet1!F1081,"AAAAAHH4/y4=")</f>
        <v>#VALUE!</v>
      </c>
      <c r="AV81" t="e">
        <f>AND(Sheet1!G1081,"AAAAAHH4/y8=")</f>
        <v>#VALUE!</v>
      </c>
      <c r="AW81" t="e">
        <f>AND(Sheet1!H1081,"AAAAAHH4/zA=")</f>
        <v>#VALUE!</v>
      </c>
      <c r="AX81" t="e">
        <f>AND(Sheet1!I1081,"AAAAAHH4/zE=")</f>
        <v>#VALUE!</v>
      </c>
      <c r="AY81" t="e">
        <f>AND(Sheet1!J1081,"AAAAAHH4/zI=")</f>
        <v>#VALUE!</v>
      </c>
      <c r="AZ81" t="e">
        <f>AND(Sheet1!K1081,"AAAAAHH4/zM=")</f>
        <v>#VALUE!</v>
      </c>
      <c r="BA81" t="e">
        <f>AND(Sheet1!L1081,"AAAAAHH4/zQ=")</f>
        <v>#VALUE!</v>
      </c>
      <c r="BB81" t="e">
        <f>AND(Sheet1!M1081,"AAAAAHH4/zU=")</f>
        <v>#VALUE!</v>
      </c>
      <c r="BC81" t="e">
        <f>AND(Sheet1!N1081,"AAAAAHH4/zY=")</f>
        <v>#VALUE!</v>
      </c>
      <c r="BD81" t="e">
        <f>AND(Sheet1!#REF!,"AAAAAHH4/zc=")</f>
        <v>#REF!</v>
      </c>
      <c r="BE81" t="e">
        <f>AND(Sheet1!#REF!,"AAAAAHH4/zg=")</f>
        <v>#REF!</v>
      </c>
      <c r="BF81" t="e">
        <f>AND(Sheet1!#REF!,"AAAAAHH4/zk=")</f>
        <v>#REF!</v>
      </c>
      <c r="BG81" t="e">
        <f>AND(Sheet1!#REF!,"AAAAAHH4/zo=")</f>
        <v>#REF!</v>
      </c>
      <c r="BH81">
        <f>IF(Sheet1!1082:1082,"AAAAAHH4/zs=",0)</f>
        <v>0</v>
      </c>
      <c r="BI81" t="e">
        <f>AND(Sheet1!A1082,"AAAAAHH4/zw=")</f>
        <v>#VALUE!</v>
      </c>
      <c r="BJ81" t="e">
        <f>AND(Sheet1!B1082,"AAAAAHH4/z0=")</f>
        <v>#VALUE!</v>
      </c>
      <c r="BK81" t="e">
        <f>AND(Sheet1!C1082,"AAAAAHH4/z4=")</f>
        <v>#VALUE!</v>
      </c>
      <c r="BL81" t="e">
        <f>AND(Sheet1!D1082,"AAAAAHH4/z8=")</f>
        <v>#VALUE!</v>
      </c>
      <c r="BM81" t="e">
        <f>AND(Sheet1!E1082,"AAAAAHH4/0A=")</f>
        <v>#VALUE!</v>
      </c>
      <c r="BN81" t="e">
        <f>AND(Sheet1!F1082,"AAAAAHH4/0E=")</f>
        <v>#VALUE!</v>
      </c>
      <c r="BO81" t="e">
        <f>AND(Sheet1!G1082,"AAAAAHH4/0I=")</f>
        <v>#VALUE!</v>
      </c>
      <c r="BP81" t="e">
        <f>AND(Sheet1!H1082,"AAAAAHH4/0M=")</f>
        <v>#VALUE!</v>
      </c>
      <c r="BQ81" t="e">
        <f>AND(Sheet1!I1082,"AAAAAHH4/0Q=")</f>
        <v>#VALUE!</v>
      </c>
      <c r="BR81" t="e">
        <f>AND(Sheet1!J1082,"AAAAAHH4/0U=")</f>
        <v>#VALUE!</v>
      </c>
      <c r="BS81" t="e">
        <f>AND(Sheet1!K1082,"AAAAAHH4/0Y=")</f>
        <v>#VALUE!</v>
      </c>
      <c r="BT81" t="e">
        <f>AND(Sheet1!L1082,"AAAAAHH4/0c=")</f>
        <v>#VALUE!</v>
      </c>
      <c r="BU81" t="e">
        <f>AND(Sheet1!M1082,"AAAAAHH4/0g=")</f>
        <v>#VALUE!</v>
      </c>
      <c r="BV81" t="e">
        <f>AND(Sheet1!N1082,"AAAAAHH4/0k=")</f>
        <v>#VALUE!</v>
      </c>
      <c r="BW81" t="e">
        <f>AND(Sheet1!#REF!,"AAAAAHH4/0o=")</f>
        <v>#REF!</v>
      </c>
      <c r="BX81" t="e">
        <f>AND(Sheet1!#REF!,"AAAAAHH4/0s=")</f>
        <v>#REF!</v>
      </c>
      <c r="BY81" t="e">
        <f>AND(Sheet1!#REF!,"AAAAAHH4/0w=")</f>
        <v>#REF!</v>
      </c>
      <c r="BZ81" t="e">
        <f>AND(Sheet1!#REF!,"AAAAAHH4/00=")</f>
        <v>#REF!</v>
      </c>
      <c r="CA81">
        <f>IF(Sheet1!1083:1083,"AAAAAHH4/04=",0)</f>
        <v>0</v>
      </c>
      <c r="CB81" t="e">
        <f>AND(Sheet1!A1083,"AAAAAHH4/08=")</f>
        <v>#VALUE!</v>
      </c>
      <c r="CC81" t="e">
        <f>AND(Sheet1!B1083,"AAAAAHH4/1A=")</f>
        <v>#VALUE!</v>
      </c>
      <c r="CD81" t="e">
        <f>AND(Sheet1!C1083,"AAAAAHH4/1E=")</f>
        <v>#VALUE!</v>
      </c>
      <c r="CE81" t="e">
        <f>AND(Sheet1!D1083,"AAAAAHH4/1I=")</f>
        <v>#VALUE!</v>
      </c>
      <c r="CF81" t="e">
        <f>AND(Sheet1!E1083,"AAAAAHH4/1M=")</f>
        <v>#VALUE!</v>
      </c>
      <c r="CG81" t="e">
        <f>AND(Sheet1!F1083,"AAAAAHH4/1Q=")</f>
        <v>#VALUE!</v>
      </c>
      <c r="CH81" t="e">
        <f>AND(Sheet1!G1083,"AAAAAHH4/1U=")</f>
        <v>#VALUE!</v>
      </c>
      <c r="CI81" t="e">
        <f>AND(Sheet1!H1083,"AAAAAHH4/1Y=")</f>
        <v>#VALUE!</v>
      </c>
      <c r="CJ81" t="e">
        <f>AND(Sheet1!I1083,"AAAAAHH4/1c=")</f>
        <v>#VALUE!</v>
      </c>
      <c r="CK81" t="e">
        <f>AND(Sheet1!J1083,"AAAAAHH4/1g=")</f>
        <v>#VALUE!</v>
      </c>
      <c r="CL81" t="e">
        <f>AND(Sheet1!K1083,"AAAAAHH4/1k=")</f>
        <v>#VALUE!</v>
      </c>
      <c r="CM81" t="e">
        <f>AND(Sheet1!L1083,"AAAAAHH4/1o=")</f>
        <v>#VALUE!</v>
      </c>
      <c r="CN81" t="e">
        <f>AND(Sheet1!M1083,"AAAAAHH4/1s=")</f>
        <v>#VALUE!</v>
      </c>
      <c r="CO81" t="e">
        <f>AND(Sheet1!N1083,"AAAAAHH4/1w=")</f>
        <v>#VALUE!</v>
      </c>
      <c r="CP81" t="e">
        <f>AND(Sheet1!#REF!,"AAAAAHH4/10=")</f>
        <v>#REF!</v>
      </c>
      <c r="CQ81" t="e">
        <f>AND(Sheet1!#REF!,"AAAAAHH4/14=")</f>
        <v>#REF!</v>
      </c>
      <c r="CR81" t="e">
        <f>AND(Sheet1!#REF!,"AAAAAHH4/18=")</f>
        <v>#REF!</v>
      </c>
      <c r="CS81" t="e">
        <f>AND(Sheet1!#REF!,"AAAAAHH4/2A=")</f>
        <v>#REF!</v>
      </c>
      <c r="CT81">
        <f>IF(Sheet1!1084:1084,"AAAAAHH4/2E=",0)</f>
        <v>0</v>
      </c>
      <c r="CU81" t="e">
        <f>AND(Sheet1!A1084,"AAAAAHH4/2I=")</f>
        <v>#VALUE!</v>
      </c>
      <c r="CV81" t="e">
        <f>AND(Sheet1!B1084,"AAAAAHH4/2M=")</f>
        <v>#VALUE!</v>
      </c>
      <c r="CW81" t="e">
        <f>AND(Sheet1!C1084,"AAAAAHH4/2Q=")</f>
        <v>#VALUE!</v>
      </c>
      <c r="CX81" t="e">
        <f>AND(Sheet1!D1084,"AAAAAHH4/2U=")</f>
        <v>#VALUE!</v>
      </c>
      <c r="CY81" t="e">
        <f>AND(Sheet1!E1084,"AAAAAHH4/2Y=")</f>
        <v>#VALUE!</v>
      </c>
      <c r="CZ81" t="e">
        <f>AND(Sheet1!F1084,"AAAAAHH4/2c=")</f>
        <v>#VALUE!</v>
      </c>
      <c r="DA81" t="e">
        <f>AND(Sheet1!G1084,"AAAAAHH4/2g=")</f>
        <v>#VALUE!</v>
      </c>
      <c r="DB81" t="e">
        <f>AND(Sheet1!H1084,"AAAAAHH4/2k=")</f>
        <v>#VALUE!</v>
      </c>
      <c r="DC81" t="e">
        <f>AND(Sheet1!I1084,"AAAAAHH4/2o=")</f>
        <v>#VALUE!</v>
      </c>
      <c r="DD81" t="e">
        <f>AND(Sheet1!J1084,"AAAAAHH4/2s=")</f>
        <v>#VALUE!</v>
      </c>
      <c r="DE81" t="e">
        <f>AND(Sheet1!K1084,"AAAAAHH4/2w=")</f>
        <v>#VALUE!</v>
      </c>
      <c r="DF81" t="e">
        <f>AND(Sheet1!L1084,"AAAAAHH4/20=")</f>
        <v>#VALUE!</v>
      </c>
      <c r="DG81" t="e">
        <f>AND(Sheet1!M1084,"AAAAAHH4/24=")</f>
        <v>#VALUE!</v>
      </c>
      <c r="DH81" t="e">
        <f>AND(Sheet1!N1084,"AAAAAHH4/28=")</f>
        <v>#VALUE!</v>
      </c>
      <c r="DI81" t="e">
        <f>AND(Sheet1!#REF!,"AAAAAHH4/3A=")</f>
        <v>#REF!</v>
      </c>
      <c r="DJ81" t="e">
        <f>AND(Sheet1!#REF!,"AAAAAHH4/3E=")</f>
        <v>#REF!</v>
      </c>
      <c r="DK81" t="e">
        <f>AND(Sheet1!#REF!,"AAAAAHH4/3I=")</f>
        <v>#REF!</v>
      </c>
      <c r="DL81" t="e">
        <f>AND(Sheet1!#REF!,"AAAAAHH4/3M=")</f>
        <v>#REF!</v>
      </c>
      <c r="DM81">
        <f>IF(Sheet1!1085:1085,"AAAAAHH4/3Q=",0)</f>
        <v>0</v>
      </c>
      <c r="DN81" t="e">
        <f>AND(Sheet1!A1085,"AAAAAHH4/3U=")</f>
        <v>#VALUE!</v>
      </c>
      <c r="DO81" t="e">
        <f>AND(Sheet1!B1085,"AAAAAHH4/3Y=")</f>
        <v>#VALUE!</v>
      </c>
      <c r="DP81" t="e">
        <f>AND(Sheet1!C1085,"AAAAAHH4/3c=")</f>
        <v>#VALUE!</v>
      </c>
      <c r="DQ81" t="e">
        <f>AND(Sheet1!D1085,"AAAAAHH4/3g=")</f>
        <v>#VALUE!</v>
      </c>
      <c r="DR81" t="e">
        <f>AND(Sheet1!E1085,"AAAAAHH4/3k=")</f>
        <v>#VALUE!</v>
      </c>
      <c r="DS81" t="e">
        <f>AND(Sheet1!F1085,"AAAAAHH4/3o=")</f>
        <v>#VALUE!</v>
      </c>
      <c r="DT81" t="e">
        <f>AND(Sheet1!G1085,"AAAAAHH4/3s=")</f>
        <v>#VALUE!</v>
      </c>
      <c r="DU81" t="e">
        <f>AND(Sheet1!H1085,"AAAAAHH4/3w=")</f>
        <v>#VALUE!</v>
      </c>
      <c r="DV81" t="e">
        <f>AND(Sheet1!I1085,"AAAAAHH4/30=")</f>
        <v>#VALUE!</v>
      </c>
      <c r="DW81" t="e">
        <f>AND(Sheet1!J1085,"AAAAAHH4/34=")</f>
        <v>#VALUE!</v>
      </c>
      <c r="DX81" t="e">
        <f>AND(Sheet1!K1085,"AAAAAHH4/38=")</f>
        <v>#VALUE!</v>
      </c>
      <c r="DY81" t="e">
        <f>AND(Sheet1!L1085,"AAAAAHH4/4A=")</f>
        <v>#VALUE!</v>
      </c>
      <c r="DZ81" t="e">
        <f>AND(Sheet1!M1085,"AAAAAHH4/4E=")</f>
        <v>#VALUE!</v>
      </c>
      <c r="EA81" t="e">
        <f>AND(Sheet1!N1085,"AAAAAHH4/4I=")</f>
        <v>#VALUE!</v>
      </c>
      <c r="EB81" t="e">
        <f>AND(Sheet1!#REF!,"AAAAAHH4/4M=")</f>
        <v>#REF!</v>
      </c>
      <c r="EC81" t="e">
        <f>AND(Sheet1!#REF!,"AAAAAHH4/4Q=")</f>
        <v>#REF!</v>
      </c>
      <c r="ED81" t="e">
        <f>AND(Sheet1!#REF!,"AAAAAHH4/4U=")</f>
        <v>#REF!</v>
      </c>
      <c r="EE81" t="e">
        <f>AND(Sheet1!#REF!,"AAAAAHH4/4Y=")</f>
        <v>#REF!</v>
      </c>
      <c r="EF81">
        <f>IF(Sheet1!1086:1086,"AAAAAHH4/4c=",0)</f>
        <v>0</v>
      </c>
      <c r="EG81" t="e">
        <f>AND(Sheet1!A1086,"AAAAAHH4/4g=")</f>
        <v>#VALUE!</v>
      </c>
      <c r="EH81" t="e">
        <f>AND(Sheet1!B1086,"AAAAAHH4/4k=")</f>
        <v>#VALUE!</v>
      </c>
      <c r="EI81" t="e">
        <f>AND(Sheet1!C1086,"AAAAAHH4/4o=")</f>
        <v>#VALUE!</v>
      </c>
      <c r="EJ81" t="e">
        <f>AND(Sheet1!D1086,"AAAAAHH4/4s=")</f>
        <v>#VALUE!</v>
      </c>
      <c r="EK81" t="e">
        <f>AND(Sheet1!E1086,"AAAAAHH4/4w=")</f>
        <v>#VALUE!</v>
      </c>
      <c r="EL81" t="e">
        <f>AND(Sheet1!F1086,"AAAAAHH4/40=")</f>
        <v>#VALUE!</v>
      </c>
      <c r="EM81" t="e">
        <f>AND(Sheet1!G1086,"AAAAAHH4/44=")</f>
        <v>#VALUE!</v>
      </c>
      <c r="EN81" t="e">
        <f>AND(Sheet1!H1086,"AAAAAHH4/48=")</f>
        <v>#VALUE!</v>
      </c>
      <c r="EO81" t="e">
        <f>AND(Sheet1!I1086,"AAAAAHH4/5A=")</f>
        <v>#VALUE!</v>
      </c>
      <c r="EP81" t="e">
        <f>AND(Sheet1!J1086,"AAAAAHH4/5E=")</f>
        <v>#VALUE!</v>
      </c>
      <c r="EQ81" t="e">
        <f>AND(Sheet1!K1086,"AAAAAHH4/5I=")</f>
        <v>#VALUE!</v>
      </c>
      <c r="ER81" t="e">
        <f>AND(Sheet1!L1086,"AAAAAHH4/5M=")</f>
        <v>#VALUE!</v>
      </c>
      <c r="ES81" t="e">
        <f>AND(Sheet1!M1086,"AAAAAHH4/5Q=")</f>
        <v>#VALUE!</v>
      </c>
      <c r="ET81" t="e">
        <f>AND(Sheet1!N1086,"AAAAAHH4/5U=")</f>
        <v>#VALUE!</v>
      </c>
      <c r="EU81" t="e">
        <f>AND(Sheet1!#REF!,"AAAAAHH4/5Y=")</f>
        <v>#REF!</v>
      </c>
      <c r="EV81" t="e">
        <f>AND(Sheet1!#REF!,"AAAAAHH4/5c=")</f>
        <v>#REF!</v>
      </c>
      <c r="EW81" t="e">
        <f>AND(Sheet1!#REF!,"AAAAAHH4/5g=")</f>
        <v>#REF!</v>
      </c>
      <c r="EX81" t="e">
        <f>AND(Sheet1!#REF!,"AAAAAHH4/5k=")</f>
        <v>#REF!</v>
      </c>
      <c r="EY81">
        <f>IF(Sheet1!1087:1087,"AAAAAHH4/5o=",0)</f>
        <v>0</v>
      </c>
      <c r="EZ81" t="e">
        <f>AND(Sheet1!A1087,"AAAAAHH4/5s=")</f>
        <v>#VALUE!</v>
      </c>
      <c r="FA81" t="e">
        <f>AND(Sheet1!B1087,"AAAAAHH4/5w=")</f>
        <v>#VALUE!</v>
      </c>
      <c r="FB81" t="e">
        <f>AND(Sheet1!C1087,"AAAAAHH4/50=")</f>
        <v>#VALUE!</v>
      </c>
      <c r="FC81" t="e">
        <f>AND(Sheet1!D1087,"AAAAAHH4/54=")</f>
        <v>#VALUE!</v>
      </c>
      <c r="FD81" t="e">
        <f>AND(Sheet1!E1087,"AAAAAHH4/58=")</f>
        <v>#VALUE!</v>
      </c>
      <c r="FE81" t="e">
        <f>AND(Sheet1!F1087,"AAAAAHH4/6A=")</f>
        <v>#VALUE!</v>
      </c>
      <c r="FF81" t="e">
        <f>AND(Sheet1!G1087,"AAAAAHH4/6E=")</f>
        <v>#VALUE!</v>
      </c>
      <c r="FG81" t="e">
        <f>AND(Sheet1!H1087,"AAAAAHH4/6I=")</f>
        <v>#VALUE!</v>
      </c>
      <c r="FH81" t="e">
        <f>AND(Sheet1!I1087,"AAAAAHH4/6M=")</f>
        <v>#VALUE!</v>
      </c>
      <c r="FI81" t="e">
        <f>AND(Sheet1!J1087,"AAAAAHH4/6Q=")</f>
        <v>#VALUE!</v>
      </c>
      <c r="FJ81" t="e">
        <f>AND(Sheet1!K1087,"AAAAAHH4/6U=")</f>
        <v>#VALUE!</v>
      </c>
      <c r="FK81" t="e">
        <f>AND(Sheet1!L1087,"AAAAAHH4/6Y=")</f>
        <v>#VALUE!</v>
      </c>
      <c r="FL81" t="e">
        <f>AND(Sheet1!M1087,"AAAAAHH4/6c=")</f>
        <v>#VALUE!</v>
      </c>
      <c r="FM81" t="e">
        <f>AND(Sheet1!N1087,"AAAAAHH4/6g=")</f>
        <v>#VALUE!</v>
      </c>
      <c r="FN81" t="e">
        <f>AND(Sheet1!#REF!,"AAAAAHH4/6k=")</f>
        <v>#REF!</v>
      </c>
      <c r="FO81" t="e">
        <f>AND(Sheet1!#REF!,"AAAAAHH4/6o=")</f>
        <v>#REF!</v>
      </c>
      <c r="FP81" t="e">
        <f>AND(Sheet1!#REF!,"AAAAAHH4/6s=")</f>
        <v>#REF!</v>
      </c>
      <c r="FQ81" t="e">
        <f>AND(Sheet1!#REF!,"AAAAAHH4/6w=")</f>
        <v>#REF!</v>
      </c>
      <c r="FR81">
        <f>IF(Sheet1!1088:1088,"AAAAAHH4/60=",0)</f>
        <v>0</v>
      </c>
      <c r="FS81" t="e">
        <f>AND(Sheet1!A1088,"AAAAAHH4/64=")</f>
        <v>#VALUE!</v>
      </c>
      <c r="FT81" t="e">
        <f>AND(Sheet1!B1088,"AAAAAHH4/68=")</f>
        <v>#VALUE!</v>
      </c>
      <c r="FU81" t="e">
        <f>AND(Sheet1!C1088,"AAAAAHH4/7A=")</f>
        <v>#VALUE!</v>
      </c>
      <c r="FV81" t="e">
        <f>AND(Sheet1!D1088,"AAAAAHH4/7E=")</f>
        <v>#VALUE!</v>
      </c>
      <c r="FW81" t="e">
        <f>AND(Sheet1!E1088,"AAAAAHH4/7I=")</f>
        <v>#VALUE!</v>
      </c>
      <c r="FX81" t="e">
        <f>AND(Sheet1!F1088,"AAAAAHH4/7M=")</f>
        <v>#VALUE!</v>
      </c>
      <c r="FY81" t="e">
        <f>AND(Sheet1!G1088,"AAAAAHH4/7Q=")</f>
        <v>#VALUE!</v>
      </c>
      <c r="FZ81" t="e">
        <f>AND(Sheet1!H1088,"AAAAAHH4/7U=")</f>
        <v>#VALUE!</v>
      </c>
      <c r="GA81" t="e">
        <f>AND(Sheet1!I1088,"AAAAAHH4/7Y=")</f>
        <v>#VALUE!</v>
      </c>
      <c r="GB81" t="e">
        <f>AND(Sheet1!J1088,"AAAAAHH4/7c=")</f>
        <v>#VALUE!</v>
      </c>
      <c r="GC81" t="e">
        <f>AND(Sheet1!K1088,"AAAAAHH4/7g=")</f>
        <v>#VALUE!</v>
      </c>
      <c r="GD81" t="e">
        <f>AND(Sheet1!L1088,"AAAAAHH4/7k=")</f>
        <v>#VALUE!</v>
      </c>
      <c r="GE81" t="e">
        <f>AND(Sheet1!M1088,"AAAAAHH4/7o=")</f>
        <v>#VALUE!</v>
      </c>
      <c r="GF81" t="e">
        <f>AND(Sheet1!N1088,"AAAAAHH4/7s=")</f>
        <v>#VALUE!</v>
      </c>
      <c r="GG81" t="e">
        <f>AND(Sheet1!#REF!,"AAAAAHH4/7w=")</f>
        <v>#REF!</v>
      </c>
      <c r="GH81" t="e">
        <f>AND(Sheet1!#REF!,"AAAAAHH4/70=")</f>
        <v>#REF!</v>
      </c>
      <c r="GI81" t="e">
        <f>AND(Sheet1!#REF!,"AAAAAHH4/74=")</f>
        <v>#REF!</v>
      </c>
      <c r="GJ81" t="e">
        <f>AND(Sheet1!#REF!,"AAAAAHH4/78=")</f>
        <v>#REF!</v>
      </c>
      <c r="GK81">
        <f>IF(Sheet1!1089:1089,"AAAAAHH4/8A=",0)</f>
        <v>0</v>
      </c>
      <c r="GL81" t="e">
        <f>AND(Sheet1!A1089,"AAAAAHH4/8E=")</f>
        <v>#VALUE!</v>
      </c>
      <c r="GM81" t="e">
        <f>AND(Sheet1!B1089,"AAAAAHH4/8I=")</f>
        <v>#VALUE!</v>
      </c>
      <c r="GN81" t="e">
        <f>AND(Sheet1!C1089,"AAAAAHH4/8M=")</f>
        <v>#VALUE!</v>
      </c>
      <c r="GO81" t="e">
        <f>AND(Sheet1!D1089,"AAAAAHH4/8Q=")</f>
        <v>#VALUE!</v>
      </c>
      <c r="GP81" t="e">
        <f>AND(Sheet1!E1089,"AAAAAHH4/8U=")</f>
        <v>#VALUE!</v>
      </c>
      <c r="GQ81" t="e">
        <f>AND(Sheet1!F1089,"AAAAAHH4/8Y=")</f>
        <v>#VALUE!</v>
      </c>
      <c r="GR81" t="e">
        <f>AND(Sheet1!G1089,"AAAAAHH4/8c=")</f>
        <v>#VALUE!</v>
      </c>
      <c r="GS81" t="e">
        <f>AND(Sheet1!H1089,"AAAAAHH4/8g=")</f>
        <v>#VALUE!</v>
      </c>
      <c r="GT81" t="e">
        <f>AND(Sheet1!I1089,"AAAAAHH4/8k=")</f>
        <v>#VALUE!</v>
      </c>
      <c r="GU81" t="e">
        <f>AND(Sheet1!J1089,"AAAAAHH4/8o=")</f>
        <v>#VALUE!</v>
      </c>
      <c r="GV81" t="e">
        <f>AND(Sheet1!K1089,"AAAAAHH4/8s=")</f>
        <v>#VALUE!</v>
      </c>
      <c r="GW81" t="e">
        <f>AND(Sheet1!L1089,"AAAAAHH4/8w=")</f>
        <v>#VALUE!</v>
      </c>
      <c r="GX81" t="e">
        <f>AND(Sheet1!M1089,"AAAAAHH4/80=")</f>
        <v>#VALUE!</v>
      </c>
      <c r="GY81" t="e">
        <f>AND(Sheet1!N1089,"AAAAAHH4/84=")</f>
        <v>#VALUE!</v>
      </c>
      <c r="GZ81" t="e">
        <f>AND(Sheet1!#REF!,"AAAAAHH4/88=")</f>
        <v>#REF!</v>
      </c>
      <c r="HA81" t="e">
        <f>AND(Sheet1!#REF!,"AAAAAHH4/9A=")</f>
        <v>#REF!</v>
      </c>
      <c r="HB81" t="e">
        <f>AND(Sheet1!#REF!,"AAAAAHH4/9E=")</f>
        <v>#REF!</v>
      </c>
      <c r="HC81" t="e">
        <f>AND(Sheet1!#REF!,"AAAAAHH4/9I=")</f>
        <v>#REF!</v>
      </c>
      <c r="HD81">
        <f>IF(Sheet1!1090:1090,"AAAAAHH4/9M=",0)</f>
        <v>0</v>
      </c>
      <c r="HE81" t="e">
        <f>AND(Sheet1!A1090,"AAAAAHH4/9Q=")</f>
        <v>#VALUE!</v>
      </c>
      <c r="HF81" t="e">
        <f>AND(Sheet1!B1090,"AAAAAHH4/9U=")</f>
        <v>#VALUE!</v>
      </c>
      <c r="HG81" t="e">
        <f>AND(Sheet1!C1090,"AAAAAHH4/9Y=")</f>
        <v>#VALUE!</v>
      </c>
      <c r="HH81" t="e">
        <f>AND(Sheet1!D1090,"AAAAAHH4/9c=")</f>
        <v>#VALUE!</v>
      </c>
      <c r="HI81" t="e">
        <f>AND(Sheet1!E1090,"AAAAAHH4/9g=")</f>
        <v>#VALUE!</v>
      </c>
      <c r="HJ81" t="e">
        <f>AND(Sheet1!F1090,"AAAAAHH4/9k=")</f>
        <v>#VALUE!</v>
      </c>
      <c r="HK81" t="e">
        <f>AND(Sheet1!G1090,"AAAAAHH4/9o=")</f>
        <v>#VALUE!</v>
      </c>
      <c r="HL81" t="e">
        <f>AND(Sheet1!H1090,"AAAAAHH4/9s=")</f>
        <v>#VALUE!</v>
      </c>
      <c r="HM81" t="e">
        <f>AND(Sheet1!I1090,"AAAAAHH4/9w=")</f>
        <v>#VALUE!</v>
      </c>
      <c r="HN81" t="e">
        <f>AND(Sheet1!J1090,"AAAAAHH4/90=")</f>
        <v>#VALUE!</v>
      </c>
      <c r="HO81" t="e">
        <f>AND(Sheet1!K1090,"AAAAAHH4/94=")</f>
        <v>#VALUE!</v>
      </c>
      <c r="HP81" t="e">
        <f>AND(Sheet1!L1090,"AAAAAHH4/98=")</f>
        <v>#VALUE!</v>
      </c>
      <c r="HQ81" t="e">
        <f>AND(Sheet1!M1090,"AAAAAHH4/+A=")</f>
        <v>#VALUE!</v>
      </c>
      <c r="HR81" t="e">
        <f>AND(Sheet1!N1090,"AAAAAHH4/+E=")</f>
        <v>#VALUE!</v>
      </c>
      <c r="HS81" t="e">
        <f>AND(Sheet1!#REF!,"AAAAAHH4/+I=")</f>
        <v>#REF!</v>
      </c>
      <c r="HT81" t="e">
        <f>AND(Sheet1!#REF!,"AAAAAHH4/+M=")</f>
        <v>#REF!</v>
      </c>
      <c r="HU81" t="e">
        <f>AND(Sheet1!#REF!,"AAAAAHH4/+Q=")</f>
        <v>#REF!</v>
      </c>
      <c r="HV81" t="e">
        <f>AND(Sheet1!#REF!,"AAAAAHH4/+U=")</f>
        <v>#REF!</v>
      </c>
      <c r="HW81">
        <f>IF(Sheet1!1091:1091,"AAAAAHH4/+Y=",0)</f>
        <v>0</v>
      </c>
      <c r="HX81" t="e">
        <f>AND(Sheet1!A1091,"AAAAAHH4/+c=")</f>
        <v>#VALUE!</v>
      </c>
      <c r="HY81" t="e">
        <f>AND(Sheet1!B1091,"AAAAAHH4/+g=")</f>
        <v>#VALUE!</v>
      </c>
      <c r="HZ81" t="e">
        <f>AND(Sheet1!C1091,"AAAAAHH4/+k=")</f>
        <v>#VALUE!</v>
      </c>
      <c r="IA81" t="e">
        <f>AND(Sheet1!D1091,"AAAAAHH4/+o=")</f>
        <v>#VALUE!</v>
      </c>
      <c r="IB81" t="e">
        <f>AND(Sheet1!E1091,"AAAAAHH4/+s=")</f>
        <v>#VALUE!</v>
      </c>
      <c r="IC81" t="e">
        <f>AND(Sheet1!F1091,"AAAAAHH4/+w=")</f>
        <v>#VALUE!</v>
      </c>
      <c r="ID81" t="e">
        <f>AND(Sheet1!G1091,"AAAAAHH4/+0=")</f>
        <v>#VALUE!</v>
      </c>
      <c r="IE81" t="e">
        <f>AND(Sheet1!H1091,"AAAAAHH4/+4=")</f>
        <v>#VALUE!</v>
      </c>
      <c r="IF81" t="e">
        <f>AND(Sheet1!I1091,"AAAAAHH4/+8=")</f>
        <v>#VALUE!</v>
      </c>
      <c r="IG81" t="e">
        <f>AND(Sheet1!J1091,"AAAAAHH4//A=")</f>
        <v>#VALUE!</v>
      </c>
      <c r="IH81" t="e">
        <f>AND(Sheet1!K1091,"AAAAAHH4//E=")</f>
        <v>#VALUE!</v>
      </c>
      <c r="II81" t="e">
        <f>AND(Sheet1!L1091,"AAAAAHH4//I=")</f>
        <v>#VALUE!</v>
      </c>
      <c r="IJ81" t="e">
        <f>AND(Sheet1!M1091,"AAAAAHH4//M=")</f>
        <v>#VALUE!</v>
      </c>
      <c r="IK81" t="e">
        <f>AND(Sheet1!N1091,"AAAAAHH4//Q=")</f>
        <v>#VALUE!</v>
      </c>
      <c r="IL81" t="e">
        <f>AND(Sheet1!#REF!,"AAAAAHH4//U=")</f>
        <v>#REF!</v>
      </c>
      <c r="IM81" t="e">
        <f>AND(Sheet1!#REF!,"AAAAAHH4//Y=")</f>
        <v>#REF!</v>
      </c>
      <c r="IN81" t="e">
        <f>AND(Sheet1!#REF!,"AAAAAHH4//c=")</f>
        <v>#REF!</v>
      </c>
      <c r="IO81" t="e">
        <f>AND(Sheet1!#REF!,"AAAAAHH4//g=")</f>
        <v>#REF!</v>
      </c>
      <c r="IP81">
        <f>IF(Sheet1!1092:1092,"AAAAAHH4//k=",0)</f>
        <v>0</v>
      </c>
      <c r="IQ81" t="e">
        <f>AND(Sheet1!A1092,"AAAAAHH4//o=")</f>
        <v>#VALUE!</v>
      </c>
      <c r="IR81" t="e">
        <f>AND(Sheet1!B1092,"AAAAAHH4//s=")</f>
        <v>#VALUE!</v>
      </c>
      <c r="IS81" t="e">
        <f>AND(Sheet1!C1092,"AAAAAHH4//w=")</f>
        <v>#VALUE!</v>
      </c>
      <c r="IT81" t="e">
        <f>AND(Sheet1!D1092,"AAAAAHH4//0=")</f>
        <v>#VALUE!</v>
      </c>
      <c r="IU81" t="e">
        <f>AND(Sheet1!E1092,"AAAAAHH4//4=")</f>
        <v>#VALUE!</v>
      </c>
      <c r="IV81" t="e">
        <f>AND(Sheet1!F1092,"AAAAAHH4//8=")</f>
        <v>#VALUE!</v>
      </c>
    </row>
    <row r="82" spans="1:256" x14ac:dyDescent="0.2">
      <c r="A82" t="e">
        <f>AND(Sheet1!G1092,"AAAAAGLvXwA=")</f>
        <v>#VALUE!</v>
      </c>
      <c r="B82" t="e">
        <f>AND(Sheet1!H1092,"AAAAAGLvXwE=")</f>
        <v>#VALUE!</v>
      </c>
      <c r="C82" t="e">
        <f>AND(Sheet1!I1092,"AAAAAGLvXwI=")</f>
        <v>#VALUE!</v>
      </c>
      <c r="D82" t="e">
        <f>AND(Sheet1!J1092,"AAAAAGLvXwM=")</f>
        <v>#VALUE!</v>
      </c>
      <c r="E82" t="e">
        <f>AND(Sheet1!K1092,"AAAAAGLvXwQ=")</f>
        <v>#VALUE!</v>
      </c>
      <c r="F82" t="e">
        <f>AND(Sheet1!L1092,"AAAAAGLvXwU=")</f>
        <v>#VALUE!</v>
      </c>
      <c r="G82" t="e">
        <f>AND(Sheet1!M1092,"AAAAAGLvXwY=")</f>
        <v>#VALUE!</v>
      </c>
      <c r="H82" t="e">
        <f>AND(Sheet1!N1092,"AAAAAGLvXwc=")</f>
        <v>#VALUE!</v>
      </c>
      <c r="I82" t="e">
        <f>AND(Sheet1!#REF!,"AAAAAGLvXwg=")</f>
        <v>#REF!</v>
      </c>
      <c r="J82" t="e">
        <f>AND(Sheet1!#REF!,"AAAAAGLvXwk=")</f>
        <v>#REF!</v>
      </c>
      <c r="K82" t="e">
        <f>AND(Sheet1!#REF!,"AAAAAGLvXwo=")</f>
        <v>#REF!</v>
      </c>
      <c r="L82" t="e">
        <f>AND(Sheet1!#REF!,"AAAAAGLvXws=")</f>
        <v>#REF!</v>
      </c>
      <c r="M82" t="str">
        <f>IF(Sheet1!1093:1093,"AAAAAGLvXww=",0)</f>
        <v>AAAAAGLvXww=</v>
      </c>
      <c r="N82" t="e">
        <f>AND(Sheet1!A1093,"AAAAAGLvXw0=")</f>
        <v>#VALUE!</v>
      </c>
      <c r="O82" t="e">
        <f>AND(Sheet1!B1093,"AAAAAGLvXw4=")</f>
        <v>#VALUE!</v>
      </c>
      <c r="P82" t="e">
        <f>AND(Sheet1!C1093,"AAAAAGLvXw8=")</f>
        <v>#VALUE!</v>
      </c>
      <c r="Q82" t="e">
        <f>AND(Sheet1!D1093,"AAAAAGLvXxA=")</f>
        <v>#VALUE!</v>
      </c>
      <c r="R82" t="e">
        <f>AND(Sheet1!E1093,"AAAAAGLvXxE=")</f>
        <v>#VALUE!</v>
      </c>
      <c r="S82" t="e">
        <f>AND(Sheet1!F1093,"AAAAAGLvXxI=")</f>
        <v>#VALUE!</v>
      </c>
      <c r="T82" t="e">
        <f>AND(Sheet1!G1093,"AAAAAGLvXxM=")</f>
        <v>#VALUE!</v>
      </c>
      <c r="U82" t="e">
        <f>AND(Sheet1!H1093,"AAAAAGLvXxQ=")</f>
        <v>#VALUE!</v>
      </c>
      <c r="V82" t="e">
        <f>AND(Sheet1!I1093,"AAAAAGLvXxU=")</f>
        <v>#VALUE!</v>
      </c>
      <c r="W82" t="e">
        <f>AND(Sheet1!J1093,"AAAAAGLvXxY=")</f>
        <v>#VALUE!</v>
      </c>
      <c r="X82" t="e">
        <f>AND(Sheet1!K1093,"AAAAAGLvXxc=")</f>
        <v>#VALUE!</v>
      </c>
      <c r="Y82" t="e">
        <f>AND(Sheet1!L1093,"AAAAAGLvXxg=")</f>
        <v>#VALUE!</v>
      </c>
      <c r="Z82" t="e">
        <f>AND(Sheet1!M1093,"AAAAAGLvXxk=")</f>
        <v>#VALUE!</v>
      </c>
      <c r="AA82" t="e">
        <f>AND(Sheet1!N1093,"AAAAAGLvXxo=")</f>
        <v>#VALUE!</v>
      </c>
      <c r="AB82" t="e">
        <f>AND(Sheet1!#REF!,"AAAAAGLvXxs=")</f>
        <v>#REF!</v>
      </c>
      <c r="AC82" t="e">
        <f>AND(Sheet1!#REF!,"AAAAAGLvXxw=")</f>
        <v>#REF!</v>
      </c>
      <c r="AD82" t="e">
        <f>AND(Sheet1!#REF!,"AAAAAGLvXx0=")</f>
        <v>#REF!</v>
      </c>
      <c r="AE82" t="e">
        <f>AND(Sheet1!#REF!,"AAAAAGLvXx4=")</f>
        <v>#REF!</v>
      </c>
      <c r="AF82">
        <f>IF(Sheet1!1094:1094,"AAAAAGLvXx8=",0)</f>
        <v>0</v>
      </c>
      <c r="AG82" t="e">
        <f>AND(Sheet1!A1094,"AAAAAGLvXyA=")</f>
        <v>#VALUE!</v>
      </c>
      <c r="AH82" t="e">
        <f>AND(Sheet1!B1094,"AAAAAGLvXyE=")</f>
        <v>#VALUE!</v>
      </c>
      <c r="AI82" t="e">
        <f>AND(Sheet1!C1094,"AAAAAGLvXyI=")</f>
        <v>#VALUE!</v>
      </c>
      <c r="AJ82" t="e">
        <f>AND(Sheet1!D1094,"AAAAAGLvXyM=")</f>
        <v>#VALUE!</v>
      </c>
      <c r="AK82" t="e">
        <f>AND(Sheet1!E1094,"AAAAAGLvXyQ=")</f>
        <v>#VALUE!</v>
      </c>
      <c r="AL82" t="e">
        <f>AND(Sheet1!F1094,"AAAAAGLvXyU=")</f>
        <v>#VALUE!</v>
      </c>
      <c r="AM82" t="e">
        <f>AND(Sheet1!G1094,"AAAAAGLvXyY=")</f>
        <v>#VALUE!</v>
      </c>
      <c r="AN82" t="e">
        <f>AND(Sheet1!H1094,"AAAAAGLvXyc=")</f>
        <v>#VALUE!</v>
      </c>
      <c r="AO82" t="e">
        <f>AND(Sheet1!I1094,"AAAAAGLvXyg=")</f>
        <v>#VALUE!</v>
      </c>
      <c r="AP82" t="e">
        <f>AND(Sheet1!J1094,"AAAAAGLvXyk=")</f>
        <v>#VALUE!</v>
      </c>
      <c r="AQ82" t="e">
        <f>AND(Sheet1!K1094,"AAAAAGLvXyo=")</f>
        <v>#VALUE!</v>
      </c>
      <c r="AR82" t="e">
        <f>AND(Sheet1!L1094,"AAAAAGLvXys=")</f>
        <v>#VALUE!</v>
      </c>
      <c r="AS82" t="e">
        <f>AND(Sheet1!M1094,"AAAAAGLvXyw=")</f>
        <v>#VALUE!</v>
      </c>
      <c r="AT82" t="e">
        <f>AND(Sheet1!N1094,"AAAAAGLvXy0=")</f>
        <v>#VALUE!</v>
      </c>
      <c r="AU82" t="e">
        <f>AND(Sheet1!#REF!,"AAAAAGLvXy4=")</f>
        <v>#REF!</v>
      </c>
      <c r="AV82" t="e">
        <f>AND(Sheet1!#REF!,"AAAAAGLvXy8=")</f>
        <v>#REF!</v>
      </c>
      <c r="AW82" t="e">
        <f>AND(Sheet1!#REF!,"AAAAAGLvXzA=")</f>
        <v>#REF!</v>
      </c>
      <c r="AX82" t="e">
        <f>AND(Sheet1!#REF!,"AAAAAGLvXzE=")</f>
        <v>#REF!</v>
      </c>
      <c r="AY82">
        <f>IF(Sheet1!1095:1095,"AAAAAGLvXzI=",0)</f>
        <v>0</v>
      </c>
      <c r="AZ82" t="e">
        <f>AND(Sheet1!A1095,"AAAAAGLvXzM=")</f>
        <v>#VALUE!</v>
      </c>
      <c r="BA82" t="e">
        <f>AND(Sheet1!B1095,"AAAAAGLvXzQ=")</f>
        <v>#VALUE!</v>
      </c>
      <c r="BB82" t="e">
        <f>AND(Sheet1!C1095,"AAAAAGLvXzU=")</f>
        <v>#VALUE!</v>
      </c>
      <c r="BC82" t="e">
        <f>AND(Sheet1!D1095,"AAAAAGLvXzY=")</f>
        <v>#VALUE!</v>
      </c>
      <c r="BD82" t="e">
        <f>AND(Sheet1!E1095,"AAAAAGLvXzc=")</f>
        <v>#VALUE!</v>
      </c>
      <c r="BE82" t="e">
        <f>AND(Sheet1!F1095,"AAAAAGLvXzg=")</f>
        <v>#VALUE!</v>
      </c>
      <c r="BF82" t="e">
        <f>AND(Sheet1!G1095,"AAAAAGLvXzk=")</f>
        <v>#VALUE!</v>
      </c>
      <c r="BG82" t="e">
        <f>AND(Sheet1!H1095,"AAAAAGLvXzo=")</f>
        <v>#VALUE!</v>
      </c>
      <c r="BH82" t="e">
        <f>AND(Sheet1!I1095,"AAAAAGLvXzs=")</f>
        <v>#VALUE!</v>
      </c>
      <c r="BI82" t="e">
        <f>AND(Sheet1!J1095,"AAAAAGLvXzw=")</f>
        <v>#VALUE!</v>
      </c>
      <c r="BJ82" t="e">
        <f>AND(Sheet1!K1095,"AAAAAGLvXz0=")</f>
        <v>#VALUE!</v>
      </c>
      <c r="BK82" t="e">
        <f>AND(Sheet1!L1095,"AAAAAGLvXz4=")</f>
        <v>#VALUE!</v>
      </c>
      <c r="BL82" t="e">
        <f>AND(Sheet1!M1095,"AAAAAGLvXz8=")</f>
        <v>#VALUE!</v>
      </c>
      <c r="BM82" t="e">
        <f>AND(Sheet1!N1095,"AAAAAGLvX0A=")</f>
        <v>#VALUE!</v>
      </c>
      <c r="BN82" t="e">
        <f>AND(Sheet1!#REF!,"AAAAAGLvX0E=")</f>
        <v>#REF!</v>
      </c>
      <c r="BO82" t="e">
        <f>AND(Sheet1!#REF!,"AAAAAGLvX0I=")</f>
        <v>#REF!</v>
      </c>
      <c r="BP82" t="e">
        <f>AND(Sheet1!#REF!,"AAAAAGLvX0M=")</f>
        <v>#REF!</v>
      </c>
      <c r="BQ82" t="e">
        <f>AND(Sheet1!#REF!,"AAAAAGLvX0Q=")</f>
        <v>#REF!</v>
      </c>
      <c r="BR82">
        <f>IF(Sheet1!1096:1096,"AAAAAGLvX0U=",0)</f>
        <v>0</v>
      </c>
      <c r="BS82" t="e">
        <f>AND(Sheet1!A1096,"AAAAAGLvX0Y=")</f>
        <v>#VALUE!</v>
      </c>
      <c r="BT82" t="e">
        <f>AND(Sheet1!B1096,"AAAAAGLvX0c=")</f>
        <v>#VALUE!</v>
      </c>
      <c r="BU82" t="e">
        <f>AND(Sheet1!C1096,"AAAAAGLvX0g=")</f>
        <v>#VALUE!</v>
      </c>
      <c r="BV82" t="e">
        <f>AND(Sheet1!D1096,"AAAAAGLvX0k=")</f>
        <v>#VALUE!</v>
      </c>
      <c r="BW82" t="e">
        <f>AND(Sheet1!E1096,"AAAAAGLvX0o=")</f>
        <v>#VALUE!</v>
      </c>
      <c r="BX82" t="e">
        <f>AND(Sheet1!F1096,"AAAAAGLvX0s=")</f>
        <v>#VALUE!</v>
      </c>
      <c r="BY82" t="e">
        <f>AND(Sheet1!G1096,"AAAAAGLvX0w=")</f>
        <v>#VALUE!</v>
      </c>
      <c r="BZ82" t="e">
        <f>AND(Sheet1!H1096,"AAAAAGLvX00=")</f>
        <v>#VALUE!</v>
      </c>
      <c r="CA82" t="e">
        <f>AND(Sheet1!I1096,"AAAAAGLvX04=")</f>
        <v>#VALUE!</v>
      </c>
      <c r="CB82" t="e">
        <f>AND(Sheet1!J1096,"AAAAAGLvX08=")</f>
        <v>#VALUE!</v>
      </c>
      <c r="CC82" t="e">
        <f>AND(Sheet1!K1096,"AAAAAGLvX1A=")</f>
        <v>#VALUE!</v>
      </c>
      <c r="CD82" t="e">
        <f>AND(Sheet1!L1096,"AAAAAGLvX1E=")</f>
        <v>#VALUE!</v>
      </c>
      <c r="CE82" t="e">
        <f>AND(Sheet1!M1096,"AAAAAGLvX1I=")</f>
        <v>#VALUE!</v>
      </c>
      <c r="CF82" t="e">
        <f>AND(Sheet1!N1096,"AAAAAGLvX1M=")</f>
        <v>#VALUE!</v>
      </c>
      <c r="CG82" t="e">
        <f>AND(Sheet1!#REF!,"AAAAAGLvX1Q=")</f>
        <v>#REF!</v>
      </c>
      <c r="CH82" t="e">
        <f>AND(Sheet1!#REF!,"AAAAAGLvX1U=")</f>
        <v>#REF!</v>
      </c>
      <c r="CI82" t="e">
        <f>AND(Sheet1!#REF!,"AAAAAGLvX1Y=")</f>
        <v>#REF!</v>
      </c>
      <c r="CJ82" t="e">
        <f>AND(Sheet1!#REF!,"AAAAAGLvX1c=")</f>
        <v>#REF!</v>
      </c>
      <c r="CK82">
        <f>IF(Sheet1!1097:1097,"AAAAAGLvX1g=",0)</f>
        <v>0</v>
      </c>
      <c r="CL82" t="e">
        <f>AND(Sheet1!A1097,"AAAAAGLvX1k=")</f>
        <v>#VALUE!</v>
      </c>
      <c r="CM82" t="e">
        <f>AND(Sheet1!B1097,"AAAAAGLvX1o=")</f>
        <v>#VALUE!</v>
      </c>
      <c r="CN82" t="e">
        <f>AND(Sheet1!C1097,"AAAAAGLvX1s=")</f>
        <v>#VALUE!</v>
      </c>
      <c r="CO82" t="e">
        <f>AND(Sheet1!D1097,"AAAAAGLvX1w=")</f>
        <v>#VALUE!</v>
      </c>
      <c r="CP82" t="e">
        <f>AND(Sheet1!E1097,"AAAAAGLvX10=")</f>
        <v>#VALUE!</v>
      </c>
      <c r="CQ82" t="e">
        <f>AND(Sheet1!F1097,"AAAAAGLvX14=")</f>
        <v>#VALUE!</v>
      </c>
      <c r="CR82" t="e">
        <f>AND(Sheet1!G1097,"AAAAAGLvX18=")</f>
        <v>#VALUE!</v>
      </c>
      <c r="CS82" t="e">
        <f>AND(Sheet1!H1097,"AAAAAGLvX2A=")</f>
        <v>#VALUE!</v>
      </c>
      <c r="CT82" t="e">
        <f>AND(Sheet1!I1097,"AAAAAGLvX2E=")</f>
        <v>#VALUE!</v>
      </c>
      <c r="CU82" t="e">
        <f>AND(Sheet1!J1097,"AAAAAGLvX2I=")</f>
        <v>#VALUE!</v>
      </c>
      <c r="CV82" t="e">
        <f>AND(Sheet1!K1097,"AAAAAGLvX2M=")</f>
        <v>#VALUE!</v>
      </c>
      <c r="CW82" t="e">
        <f>AND(Sheet1!L1097,"AAAAAGLvX2Q=")</f>
        <v>#VALUE!</v>
      </c>
      <c r="CX82" t="e">
        <f>AND(Sheet1!M1097,"AAAAAGLvX2U=")</f>
        <v>#VALUE!</v>
      </c>
      <c r="CY82" t="e">
        <f>AND(Sheet1!N1097,"AAAAAGLvX2Y=")</f>
        <v>#VALUE!</v>
      </c>
      <c r="CZ82" t="e">
        <f>AND(Sheet1!#REF!,"AAAAAGLvX2c=")</f>
        <v>#REF!</v>
      </c>
      <c r="DA82" t="e">
        <f>AND(Sheet1!#REF!,"AAAAAGLvX2g=")</f>
        <v>#REF!</v>
      </c>
      <c r="DB82" t="e">
        <f>AND(Sheet1!#REF!,"AAAAAGLvX2k=")</f>
        <v>#REF!</v>
      </c>
      <c r="DC82" t="e">
        <f>AND(Sheet1!#REF!,"AAAAAGLvX2o=")</f>
        <v>#REF!</v>
      </c>
      <c r="DD82">
        <f>IF(Sheet1!1098:1098,"AAAAAGLvX2s=",0)</f>
        <v>0</v>
      </c>
      <c r="DE82" t="e">
        <f>AND(Sheet1!A1098,"AAAAAGLvX2w=")</f>
        <v>#VALUE!</v>
      </c>
      <c r="DF82" t="e">
        <f>AND(Sheet1!B1098,"AAAAAGLvX20=")</f>
        <v>#VALUE!</v>
      </c>
      <c r="DG82" t="e">
        <f>AND(Sheet1!C1098,"AAAAAGLvX24=")</f>
        <v>#VALUE!</v>
      </c>
      <c r="DH82" t="e">
        <f>AND(Sheet1!D1098,"AAAAAGLvX28=")</f>
        <v>#VALUE!</v>
      </c>
      <c r="DI82" t="e">
        <f>AND(Sheet1!E1098,"AAAAAGLvX3A=")</f>
        <v>#VALUE!</v>
      </c>
      <c r="DJ82" t="e">
        <f>AND(Sheet1!F1098,"AAAAAGLvX3E=")</f>
        <v>#VALUE!</v>
      </c>
      <c r="DK82" t="e">
        <f>AND(Sheet1!G1098,"AAAAAGLvX3I=")</f>
        <v>#VALUE!</v>
      </c>
      <c r="DL82" t="e">
        <f>AND(Sheet1!H1098,"AAAAAGLvX3M=")</f>
        <v>#VALUE!</v>
      </c>
      <c r="DM82" t="e">
        <f>AND(Sheet1!I1098,"AAAAAGLvX3Q=")</f>
        <v>#VALUE!</v>
      </c>
      <c r="DN82" t="e">
        <f>AND(Sheet1!J1098,"AAAAAGLvX3U=")</f>
        <v>#VALUE!</v>
      </c>
      <c r="DO82" t="e">
        <f>AND(Sheet1!K1098,"AAAAAGLvX3Y=")</f>
        <v>#VALUE!</v>
      </c>
      <c r="DP82" t="e">
        <f>AND(Sheet1!L1098,"AAAAAGLvX3c=")</f>
        <v>#VALUE!</v>
      </c>
      <c r="DQ82" t="e">
        <f>AND(Sheet1!M1098,"AAAAAGLvX3g=")</f>
        <v>#VALUE!</v>
      </c>
      <c r="DR82" t="e">
        <f>AND(Sheet1!N1098,"AAAAAGLvX3k=")</f>
        <v>#VALUE!</v>
      </c>
      <c r="DS82" t="e">
        <f>AND(Sheet1!#REF!,"AAAAAGLvX3o=")</f>
        <v>#REF!</v>
      </c>
      <c r="DT82" t="e">
        <f>AND(Sheet1!#REF!,"AAAAAGLvX3s=")</f>
        <v>#REF!</v>
      </c>
      <c r="DU82" t="e">
        <f>AND(Sheet1!#REF!,"AAAAAGLvX3w=")</f>
        <v>#REF!</v>
      </c>
      <c r="DV82" t="e">
        <f>AND(Sheet1!#REF!,"AAAAAGLvX30=")</f>
        <v>#REF!</v>
      </c>
      <c r="DW82">
        <f>IF(Sheet1!1099:1099,"AAAAAGLvX34=",0)</f>
        <v>0</v>
      </c>
      <c r="DX82" t="e">
        <f>AND(Sheet1!A1099,"AAAAAGLvX38=")</f>
        <v>#VALUE!</v>
      </c>
      <c r="DY82" t="e">
        <f>AND(Sheet1!B1099,"AAAAAGLvX4A=")</f>
        <v>#VALUE!</v>
      </c>
      <c r="DZ82" t="e">
        <f>AND(Sheet1!C1099,"AAAAAGLvX4E=")</f>
        <v>#VALUE!</v>
      </c>
      <c r="EA82" t="e">
        <f>AND(Sheet1!D1099,"AAAAAGLvX4I=")</f>
        <v>#VALUE!</v>
      </c>
      <c r="EB82" t="e">
        <f>AND(Sheet1!E1099,"AAAAAGLvX4M=")</f>
        <v>#VALUE!</v>
      </c>
      <c r="EC82" t="e">
        <f>AND(Sheet1!F1099,"AAAAAGLvX4Q=")</f>
        <v>#VALUE!</v>
      </c>
      <c r="ED82" t="e">
        <f>AND(Sheet1!G1099,"AAAAAGLvX4U=")</f>
        <v>#VALUE!</v>
      </c>
      <c r="EE82" t="e">
        <f>AND(Sheet1!H1099,"AAAAAGLvX4Y=")</f>
        <v>#VALUE!</v>
      </c>
      <c r="EF82" t="e">
        <f>AND(Sheet1!I1099,"AAAAAGLvX4c=")</f>
        <v>#VALUE!</v>
      </c>
      <c r="EG82" t="e">
        <f>AND(Sheet1!J1099,"AAAAAGLvX4g=")</f>
        <v>#VALUE!</v>
      </c>
      <c r="EH82" t="e">
        <f>AND(Sheet1!K1099,"AAAAAGLvX4k=")</f>
        <v>#VALUE!</v>
      </c>
      <c r="EI82" t="e">
        <f>AND(Sheet1!L1099,"AAAAAGLvX4o=")</f>
        <v>#VALUE!</v>
      </c>
      <c r="EJ82" t="e">
        <f>AND(Sheet1!M1099,"AAAAAGLvX4s=")</f>
        <v>#VALUE!</v>
      </c>
      <c r="EK82" t="e">
        <f>AND(Sheet1!N1099,"AAAAAGLvX4w=")</f>
        <v>#VALUE!</v>
      </c>
      <c r="EL82" t="e">
        <f>AND(Sheet1!#REF!,"AAAAAGLvX40=")</f>
        <v>#REF!</v>
      </c>
      <c r="EM82" t="e">
        <f>AND(Sheet1!#REF!,"AAAAAGLvX44=")</f>
        <v>#REF!</v>
      </c>
      <c r="EN82" t="e">
        <f>AND(Sheet1!#REF!,"AAAAAGLvX48=")</f>
        <v>#REF!</v>
      </c>
      <c r="EO82" t="e">
        <f>AND(Sheet1!#REF!,"AAAAAGLvX5A=")</f>
        <v>#REF!</v>
      </c>
      <c r="EP82">
        <f>IF(Sheet1!1100:1100,"AAAAAGLvX5E=",0)</f>
        <v>0</v>
      </c>
      <c r="EQ82" t="e">
        <f>AND(Sheet1!A1100,"AAAAAGLvX5I=")</f>
        <v>#VALUE!</v>
      </c>
      <c r="ER82" t="e">
        <f>AND(Sheet1!B1100,"AAAAAGLvX5M=")</f>
        <v>#VALUE!</v>
      </c>
      <c r="ES82" t="e">
        <f>AND(Sheet1!C1100,"AAAAAGLvX5Q=")</f>
        <v>#VALUE!</v>
      </c>
      <c r="ET82" t="e">
        <f>AND(Sheet1!D1100,"AAAAAGLvX5U=")</f>
        <v>#VALUE!</v>
      </c>
      <c r="EU82" t="e">
        <f>AND(Sheet1!E1100,"AAAAAGLvX5Y=")</f>
        <v>#VALUE!</v>
      </c>
      <c r="EV82" t="e">
        <f>AND(Sheet1!F1100,"AAAAAGLvX5c=")</f>
        <v>#VALUE!</v>
      </c>
      <c r="EW82" t="e">
        <f>AND(Sheet1!G1100,"AAAAAGLvX5g=")</f>
        <v>#VALUE!</v>
      </c>
      <c r="EX82" t="e">
        <f>AND(Sheet1!H1100,"AAAAAGLvX5k=")</f>
        <v>#VALUE!</v>
      </c>
      <c r="EY82" t="e">
        <f>AND(Sheet1!I1100,"AAAAAGLvX5o=")</f>
        <v>#VALUE!</v>
      </c>
      <c r="EZ82" t="e">
        <f>AND(Sheet1!J1100,"AAAAAGLvX5s=")</f>
        <v>#VALUE!</v>
      </c>
      <c r="FA82" t="e">
        <f>AND(Sheet1!K1100,"AAAAAGLvX5w=")</f>
        <v>#VALUE!</v>
      </c>
      <c r="FB82" t="e">
        <f>AND(Sheet1!L1100,"AAAAAGLvX50=")</f>
        <v>#VALUE!</v>
      </c>
      <c r="FC82" t="e">
        <f>AND(Sheet1!M1100,"AAAAAGLvX54=")</f>
        <v>#VALUE!</v>
      </c>
      <c r="FD82" t="e">
        <f>AND(Sheet1!N1100,"AAAAAGLvX58=")</f>
        <v>#VALUE!</v>
      </c>
      <c r="FE82" t="e">
        <f>AND(Sheet1!#REF!,"AAAAAGLvX6A=")</f>
        <v>#REF!</v>
      </c>
      <c r="FF82" t="e">
        <f>AND(Sheet1!#REF!,"AAAAAGLvX6E=")</f>
        <v>#REF!</v>
      </c>
      <c r="FG82" t="e">
        <f>AND(Sheet1!#REF!,"AAAAAGLvX6I=")</f>
        <v>#REF!</v>
      </c>
      <c r="FH82" t="e">
        <f>AND(Sheet1!#REF!,"AAAAAGLvX6M=")</f>
        <v>#REF!</v>
      </c>
      <c r="FI82">
        <f>IF(Sheet1!1101:1101,"AAAAAGLvX6Q=",0)</f>
        <v>0</v>
      </c>
      <c r="FJ82" t="e">
        <f>AND(Sheet1!A1101,"AAAAAGLvX6U=")</f>
        <v>#VALUE!</v>
      </c>
      <c r="FK82" t="e">
        <f>AND(Sheet1!B1101,"AAAAAGLvX6Y=")</f>
        <v>#VALUE!</v>
      </c>
      <c r="FL82" t="e">
        <f>AND(Sheet1!C1101,"AAAAAGLvX6c=")</f>
        <v>#VALUE!</v>
      </c>
      <c r="FM82" t="e">
        <f>AND(Sheet1!D1101,"AAAAAGLvX6g=")</f>
        <v>#VALUE!</v>
      </c>
      <c r="FN82" t="e">
        <f>AND(Sheet1!E1101,"AAAAAGLvX6k=")</f>
        <v>#VALUE!</v>
      </c>
      <c r="FO82" t="e">
        <f>AND(Sheet1!F1101,"AAAAAGLvX6o=")</f>
        <v>#VALUE!</v>
      </c>
      <c r="FP82" t="e">
        <f>AND(Sheet1!G1101,"AAAAAGLvX6s=")</f>
        <v>#VALUE!</v>
      </c>
      <c r="FQ82" t="e">
        <f>AND(Sheet1!H1101,"AAAAAGLvX6w=")</f>
        <v>#VALUE!</v>
      </c>
      <c r="FR82" t="e">
        <f>AND(Sheet1!I1101,"AAAAAGLvX60=")</f>
        <v>#VALUE!</v>
      </c>
      <c r="FS82" t="e">
        <f>AND(Sheet1!J1101,"AAAAAGLvX64=")</f>
        <v>#VALUE!</v>
      </c>
      <c r="FT82" t="e">
        <f>AND(Sheet1!K1101,"AAAAAGLvX68=")</f>
        <v>#VALUE!</v>
      </c>
      <c r="FU82" t="e">
        <f>AND(Sheet1!L1101,"AAAAAGLvX7A=")</f>
        <v>#VALUE!</v>
      </c>
      <c r="FV82" t="e">
        <f>AND(Sheet1!M1101,"AAAAAGLvX7E=")</f>
        <v>#VALUE!</v>
      </c>
      <c r="FW82" t="e">
        <f>AND(Sheet1!N1101,"AAAAAGLvX7I=")</f>
        <v>#VALUE!</v>
      </c>
      <c r="FX82" t="e">
        <f>AND(Sheet1!#REF!,"AAAAAGLvX7M=")</f>
        <v>#REF!</v>
      </c>
      <c r="FY82" t="e">
        <f>AND(Sheet1!#REF!,"AAAAAGLvX7Q=")</f>
        <v>#REF!</v>
      </c>
      <c r="FZ82" t="e">
        <f>AND(Sheet1!#REF!,"AAAAAGLvX7U=")</f>
        <v>#REF!</v>
      </c>
      <c r="GA82" t="e">
        <f>AND(Sheet1!#REF!,"AAAAAGLvX7Y=")</f>
        <v>#REF!</v>
      </c>
      <c r="GB82">
        <f>IF(Sheet1!1102:1102,"AAAAAGLvX7c=",0)</f>
        <v>0</v>
      </c>
      <c r="GC82" t="e">
        <f>AND(Sheet1!A1102,"AAAAAGLvX7g=")</f>
        <v>#VALUE!</v>
      </c>
      <c r="GD82" t="e">
        <f>AND(Sheet1!B1102,"AAAAAGLvX7k=")</f>
        <v>#VALUE!</v>
      </c>
      <c r="GE82" t="e">
        <f>AND(Sheet1!C1102,"AAAAAGLvX7o=")</f>
        <v>#VALUE!</v>
      </c>
      <c r="GF82" t="e">
        <f>AND(Sheet1!D1102,"AAAAAGLvX7s=")</f>
        <v>#VALUE!</v>
      </c>
      <c r="GG82" t="e">
        <f>AND(Sheet1!E1102,"AAAAAGLvX7w=")</f>
        <v>#VALUE!</v>
      </c>
      <c r="GH82" t="e">
        <f>AND(Sheet1!F1102,"AAAAAGLvX70=")</f>
        <v>#VALUE!</v>
      </c>
      <c r="GI82" t="e">
        <f>AND(Sheet1!G1102,"AAAAAGLvX74=")</f>
        <v>#VALUE!</v>
      </c>
      <c r="GJ82" t="e">
        <f>AND(Sheet1!H1102,"AAAAAGLvX78=")</f>
        <v>#VALUE!</v>
      </c>
      <c r="GK82" t="e">
        <f>AND(Sheet1!I1102,"AAAAAGLvX8A=")</f>
        <v>#VALUE!</v>
      </c>
      <c r="GL82" t="e">
        <f>AND(Sheet1!J1102,"AAAAAGLvX8E=")</f>
        <v>#VALUE!</v>
      </c>
      <c r="GM82" t="e">
        <f>AND(Sheet1!K1102,"AAAAAGLvX8I=")</f>
        <v>#VALUE!</v>
      </c>
      <c r="GN82" t="e">
        <f>AND(Sheet1!L1102,"AAAAAGLvX8M=")</f>
        <v>#VALUE!</v>
      </c>
      <c r="GO82" t="e">
        <f>AND(Sheet1!M1102,"AAAAAGLvX8Q=")</f>
        <v>#VALUE!</v>
      </c>
      <c r="GP82" t="e">
        <f>AND(Sheet1!N1102,"AAAAAGLvX8U=")</f>
        <v>#VALUE!</v>
      </c>
      <c r="GQ82" t="e">
        <f>AND(Sheet1!#REF!,"AAAAAGLvX8Y=")</f>
        <v>#REF!</v>
      </c>
      <c r="GR82" t="e">
        <f>AND(Sheet1!#REF!,"AAAAAGLvX8c=")</f>
        <v>#REF!</v>
      </c>
      <c r="GS82" t="e">
        <f>AND(Sheet1!#REF!,"AAAAAGLvX8g=")</f>
        <v>#REF!</v>
      </c>
      <c r="GT82" t="e">
        <f>AND(Sheet1!#REF!,"AAAAAGLvX8k=")</f>
        <v>#REF!</v>
      </c>
      <c r="GU82">
        <f>IF(Sheet1!1103:1103,"AAAAAGLvX8o=",0)</f>
        <v>0</v>
      </c>
      <c r="GV82" t="e">
        <f>AND(Sheet1!A1103,"AAAAAGLvX8s=")</f>
        <v>#VALUE!</v>
      </c>
      <c r="GW82" t="e">
        <f>AND(Sheet1!B1103,"AAAAAGLvX8w=")</f>
        <v>#VALUE!</v>
      </c>
      <c r="GX82" t="e">
        <f>AND(Sheet1!C1103,"AAAAAGLvX80=")</f>
        <v>#VALUE!</v>
      </c>
      <c r="GY82" t="e">
        <f>AND(Sheet1!D1103,"AAAAAGLvX84=")</f>
        <v>#VALUE!</v>
      </c>
      <c r="GZ82" t="e">
        <f>AND(Sheet1!E1103,"AAAAAGLvX88=")</f>
        <v>#VALUE!</v>
      </c>
      <c r="HA82" t="e">
        <f>AND(Sheet1!F1103,"AAAAAGLvX9A=")</f>
        <v>#VALUE!</v>
      </c>
      <c r="HB82" t="e">
        <f>AND(Sheet1!G1103,"AAAAAGLvX9E=")</f>
        <v>#VALUE!</v>
      </c>
      <c r="HC82" t="e">
        <f>AND(Sheet1!H1103,"AAAAAGLvX9I=")</f>
        <v>#VALUE!</v>
      </c>
      <c r="HD82" t="e">
        <f>AND(Sheet1!I1103,"AAAAAGLvX9M=")</f>
        <v>#VALUE!</v>
      </c>
      <c r="HE82" t="e">
        <f>AND(Sheet1!J1103,"AAAAAGLvX9Q=")</f>
        <v>#VALUE!</v>
      </c>
      <c r="HF82" t="e">
        <f>AND(Sheet1!K1103,"AAAAAGLvX9U=")</f>
        <v>#VALUE!</v>
      </c>
      <c r="HG82" t="e">
        <f>AND(Sheet1!L1103,"AAAAAGLvX9Y=")</f>
        <v>#VALUE!</v>
      </c>
      <c r="HH82" t="e">
        <f>AND(Sheet1!M1103,"AAAAAGLvX9c=")</f>
        <v>#VALUE!</v>
      </c>
      <c r="HI82" t="e">
        <f>AND(Sheet1!N1103,"AAAAAGLvX9g=")</f>
        <v>#VALUE!</v>
      </c>
      <c r="HJ82" t="e">
        <f>AND(Sheet1!#REF!,"AAAAAGLvX9k=")</f>
        <v>#REF!</v>
      </c>
      <c r="HK82" t="e">
        <f>AND(Sheet1!#REF!,"AAAAAGLvX9o=")</f>
        <v>#REF!</v>
      </c>
      <c r="HL82" t="e">
        <f>AND(Sheet1!#REF!,"AAAAAGLvX9s=")</f>
        <v>#REF!</v>
      </c>
      <c r="HM82" t="e">
        <f>AND(Sheet1!#REF!,"AAAAAGLvX9w=")</f>
        <v>#REF!</v>
      </c>
      <c r="HN82">
        <f>IF(Sheet1!1104:1104,"AAAAAGLvX90=",0)</f>
        <v>0</v>
      </c>
      <c r="HO82" t="e">
        <f>AND(Sheet1!A1104,"AAAAAGLvX94=")</f>
        <v>#VALUE!</v>
      </c>
      <c r="HP82" t="e">
        <f>AND(Sheet1!B1104,"AAAAAGLvX98=")</f>
        <v>#VALUE!</v>
      </c>
      <c r="HQ82" t="e">
        <f>AND(Sheet1!C1104,"AAAAAGLvX+A=")</f>
        <v>#VALUE!</v>
      </c>
      <c r="HR82" t="e">
        <f>AND(Sheet1!D1104,"AAAAAGLvX+E=")</f>
        <v>#VALUE!</v>
      </c>
      <c r="HS82" t="e">
        <f>AND(Sheet1!E1104,"AAAAAGLvX+I=")</f>
        <v>#VALUE!</v>
      </c>
      <c r="HT82" t="e">
        <f>AND(Sheet1!F1104,"AAAAAGLvX+M=")</f>
        <v>#VALUE!</v>
      </c>
      <c r="HU82" t="e">
        <f>AND(Sheet1!G1104,"AAAAAGLvX+Q=")</f>
        <v>#VALUE!</v>
      </c>
      <c r="HV82" t="e">
        <f>AND(Sheet1!H1104,"AAAAAGLvX+U=")</f>
        <v>#VALUE!</v>
      </c>
      <c r="HW82" t="e">
        <f>AND(Sheet1!I1104,"AAAAAGLvX+Y=")</f>
        <v>#VALUE!</v>
      </c>
      <c r="HX82" t="e">
        <f>AND(Sheet1!J1104,"AAAAAGLvX+c=")</f>
        <v>#VALUE!</v>
      </c>
      <c r="HY82" t="e">
        <f>AND(Sheet1!K1104,"AAAAAGLvX+g=")</f>
        <v>#VALUE!</v>
      </c>
      <c r="HZ82" t="e">
        <f>AND(Sheet1!L1104,"AAAAAGLvX+k=")</f>
        <v>#VALUE!</v>
      </c>
      <c r="IA82" t="e">
        <f>AND(Sheet1!M1104,"AAAAAGLvX+o=")</f>
        <v>#VALUE!</v>
      </c>
      <c r="IB82" t="e">
        <f>AND(Sheet1!N1104,"AAAAAGLvX+s=")</f>
        <v>#VALUE!</v>
      </c>
      <c r="IC82" t="e">
        <f>AND(Sheet1!#REF!,"AAAAAGLvX+w=")</f>
        <v>#REF!</v>
      </c>
      <c r="ID82" t="e">
        <f>AND(Sheet1!#REF!,"AAAAAGLvX+0=")</f>
        <v>#REF!</v>
      </c>
      <c r="IE82" t="e">
        <f>AND(Sheet1!#REF!,"AAAAAGLvX+4=")</f>
        <v>#REF!</v>
      </c>
      <c r="IF82" t="e">
        <f>AND(Sheet1!#REF!,"AAAAAGLvX+8=")</f>
        <v>#REF!</v>
      </c>
      <c r="IG82">
        <f>IF(Sheet1!1105:1105,"AAAAAGLvX/A=",0)</f>
        <v>0</v>
      </c>
      <c r="IH82" t="e">
        <f>AND(Sheet1!A1105,"AAAAAGLvX/E=")</f>
        <v>#VALUE!</v>
      </c>
      <c r="II82" t="e">
        <f>AND(Sheet1!B1105,"AAAAAGLvX/I=")</f>
        <v>#VALUE!</v>
      </c>
      <c r="IJ82" t="e">
        <f>AND(Sheet1!C1105,"AAAAAGLvX/M=")</f>
        <v>#VALUE!</v>
      </c>
      <c r="IK82" t="e">
        <f>AND(Sheet1!D1105,"AAAAAGLvX/Q=")</f>
        <v>#VALUE!</v>
      </c>
      <c r="IL82" t="e">
        <f>AND(Sheet1!E1105,"AAAAAGLvX/U=")</f>
        <v>#VALUE!</v>
      </c>
      <c r="IM82" t="e">
        <f>AND(Sheet1!F1105,"AAAAAGLvX/Y=")</f>
        <v>#VALUE!</v>
      </c>
      <c r="IN82" t="e">
        <f>AND(Sheet1!G1105,"AAAAAGLvX/c=")</f>
        <v>#VALUE!</v>
      </c>
      <c r="IO82" t="e">
        <f>AND(Sheet1!H1105,"AAAAAGLvX/g=")</f>
        <v>#VALUE!</v>
      </c>
      <c r="IP82" t="e">
        <f>AND(Sheet1!I1105,"AAAAAGLvX/k=")</f>
        <v>#VALUE!</v>
      </c>
      <c r="IQ82" t="e">
        <f>AND(Sheet1!J1105,"AAAAAGLvX/o=")</f>
        <v>#VALUE!</v>
      </c>
      <c r="IR82" t="e">
        <f>AND(Sheet1!K1105,"AAAAAGLvX/s=")</f>
        <v>#VALUE!</v>
      </c>
      <c r="IS82" t="e">
        <f>AND(Sheet1!L1105,"AAAAAGLvX/w=")</f>
        <v>#VALUE!</v>
      </c>
      <c r="IT82" t="e">
        <f>AND(Sheet1!M1105,"AAAAAGLvX/0=")</f>
        <v>#VALUE!</v>
      </c>
      <c r="IU82" t="e">
        <f>AND(Sheet1!N1105,"AAAAAGLvX/4=")</f>
        <v>#VALUE!</v>
      </c>
      <c r="IV82" t="e">
        <f>AND(Sheet1!#REF!,"AAAAAGLvX/8=")</f>
        <v>#REF!</v>
      </c>
    </row>
    <row r="83" spans="1:256" x14ac:dyDescent="0.2">
      <c r="A83" t="e">
        <f>AND(Sheet1!#REF!,"AAAAADfPfwA=")</f>
        <v>#REF!</v>
      </c>
      <c r="B83" t="e">
        <f>AND(Sheet1!#REF!,"AAAAADfPfwE=")</f>
        <v>#REF!</v>
      </c>
      <c r="C83" t="e">
        <f>AND(Sheet1!#REF!,"AAAAADfPfwI=")</f>
        <v>#REF!</v>
      </c>
      <c r="D83" t="e">
        <f>IF(Sheet1!1106:1106,"AAAAADfPfwM=",0)</f>
        <v>#VALUE!</v>
      </c>
      <c r="E83" t="e">
        <f>AND(Sheet1!A1106,"AAAAADfPfwQ=")</f>
        <v>#VALUE!</v>
      </c>
      <c r="F83" t="e">
        <f>AND(Sheet1!B1106,"AAAAADfPfwU=")</f>
        <v>#VALUE!</v>
      </c>
      <c r="G83" t="e">
        <f>AND(Sheet1!C1106,"AAAAADfPfwY=")</f>
        <v>#VALUE!</v>
      </c>
      <c r="H83" t="e">
        <f>AND(Sheet1!D1106,"AAAAADfPfwc=")</f>
        <v>#VALUE!</v>
      </c>
      <c r="I83" t="e">
        <f>AND(Sheet1!E1106,"AAAAADfPfwg=")</f>
        <v>#VALUE!</v>
      </c>
      <c r="J83" t="e">
        <f>AND(Sheet1!F1106,"AAAAADfPfwk=")</f>
        <v>#VALUE!</v>
      </c>
      <c r="K83" t="e">
        <f>AND(Sheet1!G1106,"AAAAADfPfwo=")</f>
        <v>#VALUE!</v>
      </c>
      <c r="L83" t="e">
        <f>AND(Sheet1!H1106,"AAAAADfPfws=")</f>
        <v>#VALUE!</v>
      </c>
      <c r="M83" t="e">
        <f>AND(Sheet1!I1106,"AAAAADfPfww=")</f>
        <v>#VALUE!</v>
      </c>
      <c r="N83" t="e">
        <f>AND(Sheet1!J1106,"AAAAADfPfw0=")</f>
        <v>#VALUE!</v>
      </c>
      <c r="O83" t="e">
        <f>AND(Sheet1!K1106,"AAAAADfPfw4=")</f>
        <v>#VALUE!</v>
      </c>
      <c r="P83" t="e">
        <f>AND(Sheet1!L1106,"AAAAADfPfw8=")</f>
        <v>#VALUE!</v>
      </c>
      <c r="Q83" t="e">
        <f>AND(Sheet1!M1106,"AAAAADfPfxA=")</f>
        <v>#VALUE!</v>
      </c>
      <c r="R83" t="e">
        <f>AND(Sheet1!N1106,"AAAAADfPfxE=")</f>
        <v>#VALUE!</v>
      </c>
      <c r="S83" t="e">
        <f>AND(Sheet1!#REF!,"AAAAADfPfxI=")</f>
        <v>#REF!</v>
      </c>
      <c r="T83" t="e">
        <f>AND(Sheet1!#REF!,"AAAAADfPfxM=")</f>
        <v>#REF!</v>
      </c>
      <c r="U83" t="e">
        <f>AND(Sheet1!#REF!,"AAAAADfPfxQ=")</f>
        <v>#REF!</v>
      </c>
      <c r="V83" t="e">
        <f>AND(Sheet1!#REF!,"AAAAADfPfxU=")</f>
        <v>#REF!</v>
      </c>
      <c r="W83">
        <f>IF(Sheet1!1107:1107,"AAAAADfPfxY=",0)</f>
        <v>0</v>
      </c>
      <c r="X83" t="e">
        <f>AND(Sheet1!A1107,"AAAAADfPfxc=")</f>
        <v>#VALUE!</v>
      </c>
      <c r="Y83" t="e">
        <f>AND(Sheet1!B1107,"AAAAADfPfxg=")</f>
        <v>#VALUE!</v>
      </c>
      <c r="Z83" t="e">
        <f>AND(Sheet1!C1107,"AAAAADfPfxk=")</f>
        <v>#VALUE!</v>
      </c>
      <c r="AA83" t="e">
        <f>AND(Sheet1!D1107,"AAAAADfPfxo=")</f>
        <v>#VALUE!</v>
      </c>
      <c r="AB83" t="e">
        <f>AND(Sheet1!E1107,"AAAAADfPfxs=")</f>
        <v>#VALUE!</v>
      </c>
      <c r="AC83" t="e">
        <f>AND(Sheet1!F1107,"AAAAADfPfxw=")</f>
        <v>#VALUE!</v>
      </c>
      <c r="AD83" t="e">
        <f>AND(Sheet1!G1107,"AAAAADfPfx0=")</f>
        <v>#VALUE!</v>
      </c>
      <c r="AE83" t="e">
        <f>AND(Sheet1!H1107,"AAAAADfPfx4=")</f>
        <v>#VALUE!</v>
      </c>
      <c r="AF83" t="e">
        <f>AND(Sheet1!I1107,"AAAAADfPfx8=")</f>
        <v>#VALUE!</v>
      </c>
      <c r="AG83" t="e">
        <f>AND(Sheet1!J1107,"AAAAADfPfyA=")</f>
        <v>#VALUE!</v>
      </c>
      <c r="AH83" t="e">
        <f>AND(Sheet1!K1107,"AAAAADfPfyE=")</f>
        <v>#VALUE!</v>
      </c>
      <c r="AI83" t="e">
        <f>AND(Sheet1!L1107,"AAAAADfPfyI=")</f>
        <v>#VALUE!</v>
      </c>
      <c r="AJ83" t="e">
        <f>AND(Sheet1!M1107,"AAAAADfPfyM=")</f>
        <v>#VALUE!</v>
      </c>
      <c r="AK83" t="e">
        <f>AND(Sheet1!N1107,"AAAAADfPfyQ=")</f>
        <v>#VALUE!</v>
      </c>
      <c r="AL83" t="e">
        <f>AND(Sheet1!#REF!,"AAAAADfPfyU=")</f>
        <v>#REF!</v>
      </c>
      <c r="AM83" t="e">
        <f>AND(Sheet1!#REF!,"AAAAADfPfyY=")</f>
        <v>#REF!</v>
      </c>
      <c r="AN83" t="e">
        <f>AND(Sheet1!#REF!,"AAAAADfPfyc=")</f>
        <v>#REF!</v>
      </c>
      <c r="AO83" t="e">
        <f>AND(Sheet1!#REF!,"AAAAADfPfyg=")</f>
        <v>#REF!</v>
      </c>
      <c r="AP83">
        <f>IF(Sheet1!1108:1108,"AAAAADfPfyk=",0)</f>
        <v>0</v>
      </c>
      <c r="AQ83" t="e">
        <f>AND(Sheet1!A1108,"AAAAADfPfyo=")</f>
        <v>#VALUE!</v>
      </c>
      <c r="AR83" t="e">
        <f>AND(Sheet1!B1108,"AAAAADfPfys=")</f>
        <v>#VALUE!</v>
      </c>
      <c r="AS83" t="e">
        <f>AND(Sheet1!C1108,"AAAAADfPfyw=")</f>
        <v>#VALUE!</v>
      </c>
      <c r="AT83" t="e">
        <f>AND(Sheet1!D1108,"AAAAADfPfy0=")</f>
        <v>#VALUE!</v>
      </c>
      <c r="AU83" t="e">
        <f>AND(Sheet1!E1108,"AAAAADfPfy4=")</f>
        <v>#VALUE!</v>
      </c>
      <c r="AV83" t="e">
        <f>AND(Sheet1!F1108,"AAAAADfPfy8=")</f>
        <v>#VALUE!</v>
      </c>
      <c r="AW83" t="e">
        <f>AND(Sheet1!G1108,"AAAAADfPfzA=")</f>
        <v>#VALUE!</v>
      </c>
      <c r="AX83" t="e">
        <f>AND(Sheet1!H1108,"AAAAADfPfzE=")</f>
        <v>#VALUE!</v>
      </c>
      <c r="AY83" t="e">
        <f>AND(Sheet1!I1108,"AAAAADfPfzI=")</f>
        <v>#VALUE!</v>
      </c>
      <c r="AZ83" t="e">
        <f>AND(Sheet1!J1108,"AAAAADfPfzM=")</f>
        <v>#VALUE!</v>
      </c>
      <c r="BA83" t="e">
        <f>AND(Sheet1!K1108,"AAAAADfPfzQ=")</f>
        <v>#VALUE!</v>
      </c>
      <c r="BB83" t="e">
        <f>AND(Sheet1!L1108,"AAAAADfPfzU=")</f>
        <v>#VALUE!</v>
      </c>
      <c r="BC83" t="e">
        <f>AND(Sheet1!M1108,"AAAAADfPfzY=")</f>
        <v>#VALUE!</v>
      </c>
      <c r="BD83" t="e">
        <f>AND(Sheet1!N1108,"AAAAADfPfzc=")</f>
        <v>#VALUE!</v>
      </c>
      <c r="BE83" t="e">
        <f>AND(Sheet1!#REF!,"AAAAADfPfzg=")</f>
        <v>#REF!</v>
      </c>
      <c r="BF83" t="e">
        <f>AND(Sheet1!#REF!,"AAAAADfPfzk=")</f>
        <v>#REF!</v>
      </c>
      <c r="BG83" t="e">
        <f>AND(Sheet1!#REF!,"AAAAADfPfzo=")</f>
        <v>#REF!</v>
      </c>
      <c r="BH83" t="e">
        <f>AND(Sheet1!#REF!,"AAAAADfPfzs=")</f>
        <v>#REF!</v>
      </c>
      <c r="BI83">
        <f>IF(Sheet1!1109:1109,"AAAAADfPfzw=",0)</f>
        <v>0</v>
      </c>
      <c r="BJ83" t="e">
        <f>AND(Sheet1!A1109,"AAAAADfPfz0=")</f>
        <v>#VALUE!</v>
      </c>
      <c r="BK83" t="e">
        <f>AND(Sheet1!B1109,"AAAAADfPfz4=")</f>
        <v>#VALUE!</v>
      </c>
      <c r="BL83" t="e">
        <f>AND(Sheet1!C1109,"AAAAADfPfz8=")</f>
        <v>#VALUE!</v>
      </c>
      <c r="BM83" t="e">
        <f>AND(Sheet1!D1109,"AAAAADfPf0A=")</f>
        <v>#VALUE!</v>
      </c>
      <c r="BN83" t="e">
        <f>AND(Sheet1!E1109,"AAAAADfPf0E=")</f>
        <v>#VALUE!</v>
      </c>
      <c r="BO83" t="e">
        <f>AND(Sheet1!F1109,"AAAAADfPf0I=")</f>
        <v>#VALUE!</v>
      </c>
      <c r="BP83" t="e">
        <f>AND(Sheet1!G1109,"AAAAADfPf0M=")</f>
        <v>#VALUE!</v>
      </c>
      <c r="BQ83" t="e">
        <f>AND(Sheet1!H1109,"AAAAADfPf0Q=")</f>
        <v>#VALUE!</v>
      </c>
      <c r="BR83" t="e">
        <f>AND(Sheet1!I1109,"AAAAADfPf0U=")</f>
        <v>#VALUE!</v>
      </c>
      <c r="BS83" t="e">
        <f>AND(Sheet1!J1109,"AAAAADfPf0Y=")</f>
        <v>#VALUE!</v>
      </c>
      <c r="BT83" t="e">
        <f>AND(Sheet1!K1109,"AAAAADfPf0c=")</f>
        <v>#VALUE!</v>
      </c>
      <c r="BU83" t="e">
        <f>AND(Sheet1!L1109,"AAAAADfPf0g=")</f>
        <v>#VALUE!</v>
      </c>
      <c r="BV83" t="e">
        <f>AND(Sheet1!M1109,"AAAAADfPf0k=")</f>
        <v>#VALUE!</v>
      </c>
      <c r="BW83" t="e">
        <f>AND(Sheet1!N1109,"AAAAADfPf0o=")</f>
        <v>#VALUE!</v>
      </c>
      <c r="BX83" t="e">
        <f>AND(Sheet1!#REF!,"AAAAADfPf0s=")</f>
        <v>#REF!</v>
      </c>
      <c r="BY83" t="e">
        <f>AND(Sheet1!#REF!,"AAAAADfPf0w=")</f>
        <v>#REF!</v>
      </c>
      <c r="BZ83" t="e">
        <f>AND(Sheet1!#REF!,"AAAAADfPf00=")</f>
        <v>#REF!</v>
      </c>
      <c r="CA83" t="e">
        <f>AND(Sheet1!#REF!,"AAAAADfPf04=")</f>
        <v>#REF!</v>
      </c>
      <c r="CB83">
        <f>IF(Sheet1!1110:1110,"AAAAADfPf08=",0)</f>
        <v>0</v>
      </c>
      <c r="CC83" t="e">
        <f>AND(Sheet1!A1110,"AAAAADfPf1A=")</f>
        <v>#VALUE!</v>
      </c>
      <c r="CD83" t="e">
        <f>AND(Sheet1!B1110,"AAAAADfPf1E=")</f>
        <v>#VALUE!</v>
      </c>
      <c r="CE83" t="e">
        <f>AND(Sheet1!C1110,"AAAAADfPf1I=")</f>
        <v>#VALUE!</v>
      </c>
      <c r="CF83" t="e">
        <f>AND(Sheet1!D1110,"AAAAADfPf1M=")</f>
        <v>#VALUE!</v>
      </c>
      <c r="CG83" t="e">
        <f>AND(Sheet1!E1110,"AAAAADfPf1Q=")</f>
        <v>#VALUE!</v>
      </c>
      <c r="CH83" t="e">
        <f>AND(Sheet1!F1110,"AAAAADfPf1U=")</f>
        <v>#VALUE!</v>
      </c>
      <c r="CI83" t="e">
        <f>AND(Sheet1!G1110,"AAAAADfPf1Y=")</f>
        <v>#VALUE!</v>
      </c>
      <c r="CJ83" t="e">
        <f>AND(Sheet1!H1110,"AAAAADfPf1c=")</f>
        <v>#VALUE!</v>
      </c>
      <c r="CK83" t="e">
        <f>AND(Sheet1!I1110,"AAAAADfPf1g=")</f>
        <v>#VALUE!</v>
      </c>
      <c r="CL83" t="e">
        <f>AND(Sheet1!J1110,"AAAAADfPf1k=")</f>
        <v>#VALUE!</v>
      </c>
      <c r="CM83" t="e">
        <f>AND(Sheet1!K1110,"AAAAADfPf1o=")</f>
        <v>#VALUE!</v>
      </c>
      <c r="CN83" t="e">
        <f>AND(Sheet1!L1110,"AAAAADfPf1s=")</f>
        <v>#VALUE!</v>
      </c>
      <c r="CO83" t="e">
        <f>AND(Sheet1!M1110,"AAAAADfPf1w=")</f>
        <v>#VALUE!</v>
      </c>
      <c r="CP83" t="e">
        <f>AND(Sheet1!N1110,"AAAAADfPf10=")</f>
        <v>#VALUE!</v>
      </c>
      <c r="CQ83" t="e">
        <f>AND(Sheet1!#REF!,"AAAAADfPf14=")</f>
        <v>#REF!</v>
      </c>
      <c r="CR83" t="e">
        <f>AND(Sheet1!#REF!,"AAAAADfPf18=")</f>
        <v>#REF!</v>
      </c>
      <c r="CS83" t="e">
        <f>AND(Sheet1!#REF!,"AAAAADfPf2A=")</f>
        <v>#REF!</v>
      </c>
      <c r="CT83" t="e">
        <f>AND(Sheet1!#REF!,"AAAAADfPf2E=")</f>
        <v>#REF!</v>
      </c>
      <c r="CU83">
        <f>IF(Sheet1!1111:1111,"AAAAADfPf2I=",0)</f>
        <v>0</v>
      </c>
      <c r="CV83" t="e">
        <f>AND(Sheet1!A1111,"AAAAADfPf2M=")</f>
        <v>#VALUE!</v>
      </c>
      <c r="CW83" t="e">
        <f>AND(Sheet1!B1111,"AAAAADfPf2Q=")</f>
        <v>#VALUE!</v>
      </c>
      <c r="CX83" t="e">
        <f>AND(Sheet1!C1111,"AAAAADfPf2U=")</f>
        <v>#VALUE!</v>
      </c>
      <c r="CY83" t="e">
        <f>AND(Sheet1!D1111,"AAAAADfPf2Y=")</f>
        <v>#VALUE!</v>
      </c>
      <c r="CZ83" t="e">
        <f>AND(Sheet1!E1111,"AAAAADfPf2c=")</f>
        <v>#VALUE!</v>
      </c>
      <c r="DA83" t="e">
        <f>AND(Sheet1!F1111,"AAAAADfPf2g=")</f>
        <v>#VALUE!</v>
      </c>
      <c r="DB83" t="e">
        <f>AND(Sheet1!G1111,"AAAAADfPf2k=")</f>
        <v>#VALUE!</v>
      </c>
      <c r="DC83" t="e">
        <f>AND(Sheet1!H1111,"AAAAADfPf2o=")</f>
        <v>#VALUE!</v>
      </c>
      <c r="DD83" t="e">
        <f>AND(Sheet1!I1111,"AAAAADfPf2s=")</f>
        <v>#VALUE!</v>
      </c>
      <c r="DE83" t="e">
        <f>AND(Sheet1!J1111,"AAAAADfPf2w=")</f>
        <v>#VALUE!</v>
      </c>
      <c r="DF83" t="e">
        <f>AND(Sheet1!K1111,"AAAAADfPf20=")</f>
        <v>#VALUE!</v>
      </c>
      <c r="DG83" t="e">
        <f>AND(Sheet1!L1111,"AAAAADfPf24=")</f>
        <v>#VALUE!</v>
      </c>
      <c r="DH83" t="e">
        <f>AND(Sheet1!M1111,"AAAAADfPf28=")</f>
        <v>#VALUE!</v>
      </c>
      <c r="DI83" t="e">
        <f>AND(Sheet1!N1111,"AAAAADfPf3A=")</f>
        <v>#VALUE!</v>
      </c>
      <c r="DJ83" t="e">
        <f>AND(Sheet1!#REF!,"AAAAADfPf3E=")</f>
        <v>#REF!</v>
      </c>
      <c r="DK83" t="e">
        <f>AND(Sheet1!#REF!,"AAAAADfPf3I=")</f>
        <v>#REF!</v>
      </c>
      <c r="DL83" t="e">
        <f>AND(Sheet1!#REF!,"AAAAADfPf3M=")</f>
        <v>#REF!</v>
      </c>
      <c r="DM83" t="e">
        <f>AND(Sheet1!#REF!,"AAAAADfPf3Q=")</f>
        <v>#REF!</v>
      </c>
      <c r="DN83">
        <f>IF(Sheet1!1112:1112,"AAAAADfPf3U=",0)</f>
        <v>0</v>
      </c>
      <c r="DO83" t="e">
        <f>AND(Sheet1!A1112,"AAAAADfPf3Y=")</f>
        <v>#VALUE!</v>
      </c>
      <c r="DP83" t="e">
        <f>AND(Sheet1!B1112,"AAAAADfPf3c=")</f>
        <v>#VALUE!</v>
      </c>
      <c r="DQ83" t="e">
        <f>AND(Sheet1!C1112,"AAAAADfPf3g=")</f>
        <v>#VALUE!</v>
      </c>
      <c r="DR83" t="e">
        <f>AND(Sheet1!D1112,"AAAAADfPf3k=")</f>
        <v>#VALUE!</v>
      </c>
      <c r="DS83" t="e">
        <f>AND(Sheet1!E1112,"AAAAADfPf3o=")</f>
        <v>#VALUE!</v>
      </c>
      <c r="DT83" t="e">
        <f>AND(Sheet1!F1112,"AAAAADfPf3s=")</f>
        <v>#VALUE!</v>
      </c>
      <c r="DU83" t="e">
        <f>AND(Sheet1!G1112,"AAAAADfPf3w=")</f>
        <v>#VALUE!</v>
      </c>
      <c r="DV83" t="e">
        <f>AND(Sheet1!H1112,"AAAAADfPf30=")</f>
        <v>#VALUE!</v>
      </c>
      <c r="DW83" t="e">
        <f>AND(Sheet1!I1112,"AAAAADfPf34=")</f>
        <v>#VALUE!</v>
      </c>
      <c r="DX83" t="e">
        <f>AND(Sheet1!J1112,"AAAAADfPf38=")</f>
        <v>#VALUE!</v>
      </c>
      <c r="DY83" t="e">
        <f>AND(Sheet1!K1112,"AAAAADfPf4A=")</f>
        <v>#VALUE!</v>
      </c>
      <c r="DZ83" t="e">
        <f>AND(Sheet1!L1112,"AAAAADfPf4E=")</f>
        <v>#VALUE!</v>
      </c>
      <c r="EA83" t="e">
        <f>AND(Sheet1!M1112,"AAAAADfPf4I=")</f>
        <v>#VALUE!</v>
      </c>
      <c r="EB83" t="e">
        <f>AND(Sheet1!N1112,"AAAAADfPf4M=")</f>
        <v>#VALUE!</v>
      </c>
      <c r="EC83" t="e">
        <f>AND(Sheet1!#REF!,"AAAAADfPf4Q=")</f>
        <v>#REF!</v>
      </c>
      <c r="ED83" t="e">
        <f>AND(Sheet1!#REF!,"AAAAADfPf4U=")</f>
        <v>#REF!</v>
      </c>
      <c r="EE83" t="e">
        <f>AND(Sheet1!#REF!,"AAAAADfPf4Y=")</f>
        <v>#REF!</v>
      </c>
      <c r="EF83" t="e">
        <f>AND(Sheet1!#REF!,"AAAAADfPf4c=")</f>
        <v>#REF!</v>
      </c>
      <c r="EG83">
        <f>IF(Sheet1!1113:1113,"AAAAADfPf4g=",0)</f>
        <v>0</v>
      </c>
      <c r="EH83" t="e">
        <f>AND(Sheet1!A1113,"AAAAADfPf4k=")</f>
        <v>#VALUE!</v>
      </c>
      <c r="EI83" t="e">
        <f>AND(Sheet1!B1113,"AAAAADfPf4o=")</f>
        <v>#VALUE!</v>
      </c>
      <c r="EJ83" t="e">
        <f>AND(Sheet1!C1113,"AAAAADfPf4s=")</f>
        <v>#VALUE!</v>
      </c>
      <c r="EK83" t="e">
        <f>AND(Sheet1!D1113,"AAAAADfPf4w=")</f>
        <v>#VALUE!</v>
      </c>
      <c r="EL83" t="e">
        <f>AND(Sheet1!E1113,"AAAAADfPf40=")</f>
        <v>#VALUE!</v>
      </c>
      <c r="EM83" t="e">
        <f>AND(Sheet1!F1113,"AAAAADfPf44=")</f>
        <v>#VALUE!</v>
      </c>
      <c r="EN83" t="e">
        <f>AND(Sheet1!G1113,"AAAAADfPf48=")</f>
        <v>#VALUE!</v>
      </c>
      <c r="EO83" t="e">
        <f>AND(Sheet1!H1113,"AAAAADfPf5A=")</f>
        <v>#VALUE!</v>
      </c>
      <c r="EP83" t="e">
        <f>AND(Sheet1!I1113,"AAAAADfPf5E=")</f>
        <v>#VALUE!</v>
      </c>
      <c r="EQ83" t="e">
        <f>AND(Sheet1!J1113,"AAAAADfPf5I=")</f>
        <v>#VALUE!</v>
      </c>
      <c r="ER83" t="e">
        <f>AND(Sheet1!K1113,"AAAAADfPf5M=")</f>
        <v>#VALUE!</v>
      </c>
      <c r="ES83" t="e">
        <f>AND(Sheet1!L1113,"AAAAADfPf5Q=")</f>
        <v>#VALUE!</v>
      </c>
      <c r="ET83" t="e">
        <f>AND(Sheet1!M1113,"AAAAADfPf5U=")</f>
        <v>#VALUE!</v>
      </c>
      <c r="EU83" t="e">
        <f>AND(Sheet1!N1113,"AAAAADfPf5Y=")</f>
        <v>#VALUE!</v>
      </c>
      <c r="EV83" t="e">
        <f>AND(Sheet1!#REF!,"AAAAADfPf5c=")</f>
        <v>#REF!</v>
      </c>
      <c r="EW83" t="e">
        <f>AND(Sheet1!#REF!,"AAAAADfPf5g=")</f>
        <v>#REF!</v>
      </c>
      <c r="EX83" t="e">
        <f>AND(Sheet1!#REF!,"AAAAADfPf5k=")</f>
        <v>#REF!</v>
      </c>
      <c r="EY83" t="e">
        <f>AND(Sheet1!#REF!,"AAAAADfPf5o=")</f>
        <v>#REF!</v>
      </c>
      <c r="EZ83">
        <f>IF(Sheet1!1114:1114,"AAAAADfPf5s=",0)</f>
        <v>0</v>
      </c>
      <c r="FA83" t="e">
        <f>AND(Sheet1!A1114,"AAAAADfPf5w=")</f>
        <v>#VALUE!</v>
      </c>
      <c r="FB83" t="e">
        <f>AND(Sheet1!B1114,"AAAAADfPf50=")</f>
        <v>#VALUE!</v>
      </c>
      <c r="FC83" t="e">
        <f>AND(Sheet1!C1114,"AAAAADfPf54=")</f>
        <v>#VALUE!</v>
      </c>
      <c r="FD83" t="e">
        <f>AND(Sheet1!D1114,"AAAAADfPf58=")</f>
        <v>#VALUE!</v>
      </c>
      <c r="FE83" t="e">
        <f>AND(Sheet1!E1114,"AAAAADfPf6A=")</f>
        <v>#VALUE!</v>
      </c>
      <c r="FF83" t="e">
        <f>AND(Sheet1!F1114,"AAAAADfPf6E=")</f>
        <v>#VALUE!</v>
      </c>
      <c r="FG83" t="e">
        <f>AND(Sheet1!G1114,"AAAAADfPf6I=")</f>
        <v>#VALUE!</v>
      </c>
      <c r="FH83" t="e">
        <f>AND(Sheet1!H1114,"AAAAADfPf6M=")</f>
        <v>#VALUE!</v>
      </c>
      <c r="FI83" t="e">
        <f>AND(Sheet1!I1114,"AAAAADfPf6Q=")</f>
        <v>#VALUE!</v>
      </c>
      <c r="FJ83" t="e">
        <f>AND(Sheet1!J1114,"AAAAADfPf6U=")</f>
        <v>#VALUE!</v>
      </c>
      <c r="FK83" t="e">
        <f>AND(Sheet1!K1114,"AAAAADfPf6Y=")</f>
        <v>#VALUE!</v>
      </c>
      <c r="FL83" t="e">
        <f>AND(Sheet1!L1114,"AAAAADfPf6c=")</f>
        <v>#VALUE!</v>
      </c>
      <c r="FM83" t="e">
        <f>AND(Sheet1!M1114,"AAAAADfPf6g=")</f>
        <v>#VALUE!</v>
      </c>
      <c r="FN83" t="e">
        <f>AND(Sheet1!N1114,"AAAAADfPf6k=")</f>
        <v>#VALUE!</v>
      </c>
      <c r="FO83" t="e">
        <f>AND(Sheet1!#REF!,"AAAAADfPf6o=")</f>
        <v>#REF!</v>
      </c>
      <c r="FP83" t="e">
        <f>AND(Sheet1!#REF!,"AAAAADfPf6s=")</f>
        <v>#REF!</v>
      </c>
      <c r="FQ83" t="e">
        <f>AND(Sheet1!#REF!,"AAAAADfPf6w=")</f>
        <v>#REF!</v>
      </c>
      <c r="FR83" t="e">
        <f>AND(Sheet1!#REF!,"AAAAADfPf60=")</f>
        <v>#REF!</v>
      </c>
      <c r="FS83">
        <f>IF(Sheet1!1115:1115,"AAAAADfPf64=",0)</f>
        <v>0</v>
      </c>
      <c r="FT83" t="e">
        <f>AND(Sheet1!A1115,"AAAAADfPf68=")</f>
        <v>#VALUE!</v>
      </c>
      <c r="FU83" t="e">
        <f>AND(Sheet1!B1115,"AAAAADfPf7A=")</f>
        <v>#VALUE!</v>
      </c>
      <c r="FV83" t="e">
        <f>AND(Sheet1!C1115,"AAAAADfPf7E=")</f>
        <v>#VALUE!</v>
      </c>
      <c r="FW83" t="e">
        <f>AND(Sheet1!D1115,"AAAAADfPf7I=")</f>
        <v>#VALUE!</v>
      </c>
      <c r="FX83" t="e">
        <f>AND(Sheet1!E1115,"AAAAADfPf7M=")</f>
        <v>#VALUE!</v>
      </c>
      <c r="FY83" t="e">
        <f>AND(Sheet1!F1115,"AAAAADfPf7Q=")</f>
        <v>#VALUE!</v>
      </c>
      <c r="FZ83" t="e">
        <f>AND(Sheet1!G1115,"AAAAADfPf7U=")</f>
        <v>#VALUE!</v>
      </c>
      <c r="GA83" t="e">
        <f>AND(Sheet1!H1115,"AAAAADfPf7Y=")</f>
        <v>#VALUE!</v>
      </c>
      <c r="GB83" t="e">
        <f>AND(Sheet1!I1115,"AAAAADfPf7c=")</f>
        <v>#VALUE!</v>
      </c>
      <c r="GC83" t="e">
        <f>AND(Sheet1!J1115,"AAAAADfPf7g=")</f>
        <v>#VALUE!</v>
      </c>
      <c r="GD83" t="e">
        <f>AND(Sheet1!K1115,"AAAAADfPf7k=")</f>
        <v>#VALUE!</v>
      </c>
      <c r="GE83" t="e">
        <f>AND(Sheet1!L1115,"AAAAADfPf7o=")</f>
        <v>#VALUE!</v>
      </c>
      <c r="GF83" t="e">
        <f>AND(Sheet1!M1115,"AAAAADfPf7s=")</f>
        <v>#VALUE!</v>
      </c>
      <c r="GG83" t="e">
        <f>AND(Sheet1!N1115,"AAAAADfPf7w=")</f>
        <v>#VALUE!</v>
      </c>
      <c r="GH83" t="e">
        <f>AND(Sheet1!#REF!,"AAAAADfPf70=")</f>
        <v>#REF!</v>
      </c>
      <c r="GI83" t="e">
        <f>AND(Sheet1!#REF!,"AAAAADfPf74=")</f>
        <v>#REF!</v>
      </c>
      <c r="GJ83" t="e">
        <f>AND(Sheet1!#REF!,"AAAAADfPf78=")</f>
        <v>#REF!</v>
      </c>
      <c r="GK83" t="e">
        <f>AND(Sheet1!#REF!,"AAAAADfPf8A=")</f>
        <v>#REF!</v>
      </c>
      <c r="GL83">
        <f>IF(Sheet1!1116:1116,"AAAAADfPf8E=",0)</f>
        <v>0</v>
      </c>
      <c r="GM83" t="e">
        <f>AND(Sheet1!A1116,"AAAAADfPf8I=")</f>
        <v>#VALUE!</v>
      </c>
      <c r="GN83" t="e">
        <f>AND(Sheet1!B1116,"AAAAADfPf8M=")</f>
        <v>#VALUE!</v>
      </c>
      <c r="GO83" t="e">
        <f>AND(Sheet1!C1116,"AAAAADfPf8Q=")</f>
        <v>#VALUE!</v>
      </c>
      <c r="GP83" t="e">
        <f>AND(Sheet1!D1116,"AAAAADfPf8U=")</f>
        <v>#VALUE!</v>
      </c>
      <c r="GQ83" t="e">
        <f>AND(Sheet1!E1116,"AAAAADfPf8Y=")</f>
        <v>#VALUE!</v>
      </c>
      <c r="GR83" t="e">
        <f>AND(Sheet1!F1116,"AAAAADfPf8c=")</f>
        <v>#VALUE!</v>
      </c>
      <c r="GS83" t="e">
        <f>AND(Sheet1!G1116,"AAAAADfPf8g=")</f>
        <v>#VALUE!</v>
      </c>
      <c r="GT83" t="e">
        <f>AND(Sheet1!H1116,"AAAAADfPf8k=")</f>
        <v>#VALUE!</v>
      </c>
      <c r="GU83" t="e">
        <f>AND(Sheet1!I1116,"AAAAADfPf8o=")</f>
        <v>#VALUE!</v>
      </c>
      <c r="GV83" t="e">
        <f>AND(Sheet1!J1116,"AAAAADfPf8s=")</f>
        <v>#VALUE!</v>
      </c>
      <c r="GW83" t="e">
        <f>AND(Sheet1!K1116,"AAAAADfPf8w=")</f>
        <v>#VALUE!</v>
      </c>
      <c r="GX83" t="e">
        <f>AND(Sheet1!L1116,"AAAAADfPf80=")</f>
        <v>#VALUE!</v>
      </c>
      <c r="GY83" t="e">
        <f>AND(Sheet1!M1116,"AAAAADfPf84=")</f>
        <v>#VALUE!</v>
      </c>
      <c r="GZ83" t="e">
        <f>AND(Sheet1!N1116,"AAAAADfPf88=")</f>
        <v>#VALUE!</v>
      </c>
      <c r="HA83" t="e">
        <f>AND(Sheet1!#REF!,"AAAAADfPf9A=")</f>
        <v>#REF!</v>
      </c>
      <c r="HB83" t="e">
        <f>AND(Sheet1!#REF!,"AAAAADfPf9E=")</f>
        <v>#REF!</v>
      </c>
      <c r="HC83" t="e">
        <f>AND(Sheet1!#REF!,"AAAAADfPf9I=")</f>
        <v>#REF!</v>
      </c>
      <c r="HD83" t="e">
        <f>AND(Sheet1!#REF!,"AAAAADfPf9M=")</f>
        <v>#REF!</v>
      </c>
      <c r="HE83">
        <f>IF(Sheet1!1117:1117,"AAAAADfPf9Q=",0)</f>
        <v>0</v>
      </c>
      <c r="HF83" t="e">
        <f>AND(Sheet1!A1117,"AAAAADfPf9U=")</f>
        <v>#VALUE!</v>
      </c>
      <c r="HG83" t="e">
        <f>AND(Sheet1!B1117,"AAAAADfPf9Y=")</f>
        <v>#VALUE!</v>
      </c>
      <c r="HH83" t="e">
        <f>AND(Sheet1!C1117,"AAAAADfPf9c=")</f>
        <v>#VALUE!</v>
      </c>
      <c r="HI83" t="e">
        <f>AND(Sheet1!D1117,"AAAAADfPf9g=")</f>
        <v>#VALUE!</v>
      </c>
      <c r="HJ83" t="e">
        <f>AND(Sheet1!E1117,"AAAAADfPf9k=")</f>
        <v>#VALUE!</v>
      </c>
      <c r="HK83" t="e">
        <f>AND(Sheet1!F1117,"AAAAADfPf9o=")</f>
        <v>#VALUE!</v>
      </c>
      <c r="HL83" t="e">
        <f>AND(Sheet1!G1117,"AAAAADfPf9s=")</f>
        <v>#VALUE!</v>
      </c>
      <c r="HM83" t="e">
        <f>AND(Sheet1!H1117,"AAAAADfPf9w=")</f>
        <v>#VALUE!</v>
      </c>
      <c r="HN83" t="e">
        <f>AND(Sheet1!I1117,"AAAAADfPf90=")</f>
        <v>#VALUE!</v>
      </c>
      <c r="HO83" t="e">
        <f>AND(Sheet1!J1117,"AAAAADfPf94=")</f>
        <v>#VALUE!</v>
      </c>
      <c r="HP83" t="e">
        <f>AND(Sheet1!K1117,"AAAAADfPf98=")</f>
        <v>#VALUE!</v>
      </c>
      <c r="HQ83" t="e">
        <f>AND(Sheet1!L1117,"AAAAADfPf+A=")</f>
        <v>#VALUE!</v>
      </c>
      <c r="HR83" t="e">
        <f>AND(Sheet1!M1117,"AAAAADfPf+E=")</f>
        <v>#VALUE!</v>
      </c>
      <c r="HS83" t="e">
        <f>AND(Sheet1!N1117,"AAAAADfPf+I=")</f>
        <v>#VALUE!</v>
      </c>
      <c r="HT83" t="e">
        <f>AND(Sheet1!#REF!,"AAAAADfPf+M=")</f>
        <v>#REF!</v>
      </c>
      <c r="HU83" t="e">
        <f>AND(Sheet1!#REF!,"AAAAADfPf+Q=")</f>
        <v>#REF!</v>
      </c>
      <c r="HV83" t="e">
        <f>AND(Sheet1!#REF!,"AAAAADfPf+U=")</f>
        <v>#REF!</v>
      </c>
      <c r="HW83" t="e">
        <f>AND(Sheet1!#REF!,"AAAAADfPf+Y=")</f>
        <v>#REF!</v>
      </c>
      <c r="HX83">
        <f>IF(Sheet1!1118:1118,"AAAAADfPf+c=",0)</f>
        <v>0</v>
      </c>
      <c r="HY83" t="e">
        <f>AND(Sheet1!A1118,"AAAAADfPf+g=")</f>
        <v>#VALUE!</v>
      </c>
      <c r="HZ83" t="e">
        <f>AND(Sheet1!B1118,"AAAAADfPf+k=")</f>
        <v>#VALUE!</v>
      </c>
      <c r="IA83" t="e">
        <f>AND(Sheet1!C1118,"AAAAADfPf+o=")</f>
        <v>#VALUE!</v>
      </c>
      <c r="IB83" t="e">
        <f>AND(Sheet1!D1118,"AAAAADfPf+s=")</f>
        <v>#VALUE!</v>
      </c>
      <c r="IC83" t="e">
        <f>AND(Sheet1!E1118,"AAAAADfPf+w=")</f>
        <v>#VALUE!</v>
      </c>
      <c r="ID83" t="e">
        <f>AND(Sheet1!F1118,"AAAAADfPf+0=")</f>
        <v>#VALUE!</v>
      </c>
      <c r="IE83" t="e">
        <f>AND(Sheet1!G1118,"AAAAADfPf+4=")</f>
        <v>#VALUE!</v>
      </c>
      <c r="IF83" t="e">
        <f>AND(Sheet1!H1118,"AAAAADfPf+8=")</f>
        <v>#VALUE!</v>
      </c>
      <c r="IG83" t="e">
        <f>AND(Sheet1!I1118,"AAAAADfPf/A=")</f>
        <v>#VALUE!</v>
      </c>
      <c r="IH83" t="e">
        <f>AND(Sheet1!J1118,"AAAAADfPf/E=")</f>
        <v>#VALUE!</v>
      </c>
      <c r="II83" t="e">
        <f>AND(Sheet1!K1118,"AAAAADfPf/I=")</f>
        <v>#VALUE!</v>
      </c>
      <c r="IJ83" t="e">
        <f>AND(Sheet1!L1118,"AAAAADfPf/M=")</f>
        <v>#VALUE!</v>
      </c>
      <c r="IK83" t="e">
        <f>AND(Sheet1!M1118,"AAAAADfPf/Q=")</f>
        <v>#VALUE!</v>
      </c>
      <c r="IL83" t="e">
        <f>AND(Sheet1!N1118,"AAAAADfPf/U=")</f>
        <v>#VALUE!</v>
      </c>
      <c r="IM83" t="e">
        <f>AND(Sheet1!#REF!,"AAAAADfPf/Y=")</f>
        <v>#REF!</v>
      </c>
      <c r="IN83" t="e">
        <f>AND(Sheet1!#REF!,"AAAAADfPf/c=")</f>
        <v>#REF!</v>
      </c>
      <c r="IO83" t="e">
        <f>AND(Sheet1!#REF!,"AAAAADfPf/g=")</f>
        <v>#REF!</v>
      </c>
      <c r="IP83" t="e">
        <f>AND(Sheet1!#REF!,"AAAAADfPf/k=")</f>
        <v>#REF!</v>
      </c>
      <c r="IQ83">
        <f>IF(Sheet1!1119:1119,"AAAAADfPf/o=",0)</f>
        <v>0</v>
      </c>
      <c r="IR83" t="e">
        <f>AND(Sheet1!A1119,"AAAAADfPf/s=")</f>
        <v>#VALUE!</v>
      </c>
      <c r="IS83" t="e">
        <f>AND(Sheet1!B1119,"AAAAADfPf/w=")</f>
        <v>#VALUE!</v>
      </c>
      <c r="IT83" t="e">
        <f>AND(Sheet1!C1119,"AAAAADfPf/0=")</f>
        <v>#VALUE!</v>
      </c>
      <c r="IU83" t="e">
        <f>AND(Sheet1!D1119,"AAAAADfPf/4=")</f>
        <v>#VALUE!</v>
      </c>
      <c r="IV83" t="e">
        <f>AND(Sheet1!E1119,"AAAAADfPf/8=")</f>
        <v>#VALUE!</v>
      </c>
    </row>
    <row r="84" spans="1:256" x14ac:dyDescent="0.2">
      <c r="A84" t="e">
        <f>AND(Sheet1!F1119,"AAAAAGsH/wA=")</f>
        <v>#VALUE!</v>
      </c>
      <c r="B84" t="e">
        <f>AND(Sheet1!G1119,"AAAAAGsH/wE=")</f>
        <v>#VALUE!</v>
      </c>
      <c r="C84" t="e">
        <f>AND(Sheet1!H1119,"AAAAAGsH/wI=")</f>
        <v>#VALUE!</v>
      </c>
      <c r="D84" t="e">
        <f>AND(Sheet1!I1119,"AAAAAGsH/wM=")</f>
        <v>#VALUE!</v>
      </c>
      <c r="E84" t="e">
        <f>AND(Sheet1!J1119,"AAAAAGsH/wQ=")</f>
        <v>#VALUE!</v>
      </c>
      <c r="F84" t="e">
        <f>AND(Sheet1!K1119,"AAAAAGsH/wU=")</f>
        <v>#VALUE!</v>
      </c>
      <c r="G84" t="e">
        <f>AND(Sheet1!L1119,"AAAAAGsH/wY=")</f>
        <v>#VALUE!</v>
      </c>
      <c r="H84" t="e">
        <f>AND(Sheet1!M1119,"AAAAAGsH/wc=")</f>
        <v>#VALUE!</v>
      </c>
      <c r="I84" t="e">
        <f>AND(Sheet1!N1119,"AAAAAGsH/wg=")</f>
        <v>#VALUE!</v>
      </c>
      <c r="J84" t="e">
        <f>AND(Sheet1!#REF!,"AAAAAGsH/wk=")</f>
        <v>#REF!</v>
      </c>
      <c r="K84" t="e">
        <f>AND(Sheet1!#REF!,"AAAAAGsH/wo=")</f>
        <v>#REF!</v>
      </c>
      <c r="L84" t="e">
        <f>AND(Sheet1!#REF!,"AAAAAGsH/ws=")</f>
        <v>#REF!</v>
      </c>
      <c r="M84" t="e">
        <f>AND(Sheet1!#REF!,"AAAAAGsH/ww=")</f>
        <v>#REF!</v>
      </c>
      <c r="N84" t="e">
        <f>IF(Sheet1!1120:1120,"AAAAAGsH/w0=",0)</f>
        <v>#VALUE!</v>
      </c>
      <c r="O84" t="e">
        <f>AND(Sheet1!A1120,"AAAAAGsH/w4=")</f>
        <v>#VALUE!</v>
      </c>
      <c r="P84" t="e">
        <f>AND(Sheet1!B1120,"AAAAAGsH/w8=")</f>
        <v>#VALUE!</v>
      </c>
      <c r="Q84" t="e">
        <f>AND(Sheet1!C1120,"AAAAAGsH/xA=")</f>
        <v>#VALUE!</v>
      </c>
      <c r="R84" t="e">
        <f>AND(Sheet1!D1120,"AAAAAGsH/xE=")</f>
        <v>#VALUE!</v>
      </c>
      <c r="S84" t="e">
        <f>AND(Sheet1!E1120,"AAAAAGsH/xI=")</f>
        <v>#VALUE!</v>
      </c>
      <c r="T84" t="e">
        <f>AND(Sheet1!F1120,"AAAAAGsH/xM=")</f>
        <v>#VALUE!</v>
      </c>
      <c r="U84" t="e">
        <f>AND(Sheet1!G1120,"AAAAAGsH/xQ=")</f>
        <v>#VALUE!</v>
      </c>
      <c r="V84" t="e">
        <f>AND(Sheet1!H1120,"AAAAAGsH/xU=")</f>
        <v>#VALUE!</v>
      </c>
      <c r="W84" t="e">
        <f>AND(Sheet1!I1120,"AAAAAGsH/xY=")</f>
        <v>#VALUE!</v>
      </c>
      <c r="X84" t="e">
        <f>AND(Sheet1!J1120,"AAAAAGsH/xc=")</f>
        <v>#VALUE!</v>
      </c>
      <c r="Y84" t="e">
        <f>AND(Sheet1!K1120,"AAAAAGsH/xg=")</f>
        <v>#VALUE!</v>
      </c>
      <c r="Z84" t="e">
        <f>AND(Sheet1!L1120,"AAAAAGsH/xk=")</f>
        <v>#VALUE!</v>
      </c>
      <c r="AA84" t="e">
        <f>AND(Sheet1!M1120,"AAAAAGsH/xo=")</f>
        <v>#VALUE!</v>
      </c>
      <c r="AB84" t="e">
        <f>AND(Sheet1!N1120,"AAAAAGsH/xs=")</f>
        <v>#VALUE!</v>
      </c>
      <c r="AC84" t="e">
        <f>AND(Sheet1!#REF!,"AAAAAGsH/xw=")</f>
        <v>#REF!</v>
      </c>
      <c r="AD84" t="e">
        <f>AND(Sheet1!#REF!,"AAAAAGsH/x0=")</f>
        <v>#REF!</v>
      </c>
      <c r="AE84" t="e">
        <f>AND(Sheet1!#REF!,"AAAAAGsH/x4=")</f>
        <v>#REF!</v>
      </c>
      <c r="AF84" t="e">
        <f>AND(Sheet1!#REF!,"AAAAAGsH/x8=")</f>
        <v>#REF!</v>
      </c>
      <c r="AG84">
        <f>IF(Sheet1!1121:1121,"AAAAAGsH/yA=",0)</f>
        <v>0</v>
      </c>
      <c r="AH84" t="e">
        <f>AND(Sheet1!A1121,"AAAAAGsH/yE=")</f>
        <v>#VALUE!</v>
      </c>
      <c r="AI84" t="e">
        <f>AND(Sheet1!B1121,"AAAAAGsH/yI=")</f>
        <v>#VALUE!</v>
      </c>
      <c r="AJ84" t="e">
        <f>AND(Sheet1!C1121,"AAAAAGsH/yM=")</f>
        <v>#VALUE!</v>
      </c>
      <c r="AK84" t="e">
        <f>AND(Sheet1!D1121,"AAAAAGsH/yQ=")</f>
        <v>#VALUE!</v>
      </c>
      <c r="AL84" t="e">
        <f>AND(Sheet1!E1121,"AAAAAGsH/yU=")</f>
        <v>#VALUE!</v>
      </c>
      <c r="AM84" t="e">
        <f>AND(Sheet1!F1121,"AAAAAGsH/yY=")</f>
        <v>#VALUE!</v>
      </c>
      <c r="AN84" t="e">
        <f>AND(Sheet1!G1121,"AAAAAGsH/yc=")</f>
        <v>#VALUE!</v>
      </c>
      <c r="AO84" t="e">
        <f>AND(Sheet1!H1121,"AAAAAGsH/yg=")</f>
        <v>#VALUE!</v>
      </c>
      <c r="AP84" t="e">
        <f>AND(Sheet1!I1121,"AAAAAGsH/yk=")</f>
        <v>#VALUE!</v>
      </c>
      <c r="AQ84" t="e">
        <f>AND(Sheet1!J1121,"AAAAAGsH/yo=")</f>
        <v>#VALUE!</v>
      </c>
      <c r="AR84" t="e">
        <f>AND(Sheet1!K1121,"AAAAAGsH/ys=")</f>
        <v>#VALUE!</v>
      </c>
      <c r="AS84" t="e">
        <f>AND(Sheet1!L1121,"AAAAAGsH/yw=")</f>
        <v>#VALUE!</v>
      </c>
      <c r="AT84" t="e">
        <f>AND(Sheet1!M1121,"AAAAAGsH/y0=")</f>
        <v>#VALUE!</v>
      </c>
      <c r="AU84" t="e">
        <f>AND(Sheet1!N1121,"AAAAAGsH/y4=")</f>
        <v>#VALUE!</v>
      </c>
      <c r="AV84" t="e">
        <f>AND(Sheet1!#REF!,"AAAAAGsH/y8=")</f>
        <v>#REF!</v>
      </c>
      <c r="AW84" t="e">
        <f>AND(Sheet1!#REF!,"AAAAAGsH/zA=")</f>
        <v>#REF!</v>
      </c>
      <c r="AX84" t="e">
        <f>AND(Sheet1!#REF!,"AAAAAGsH/zE=")</f>
        <v>#REF!</v>
      </c>
      <c r="AY84" t="e">
        <f>AND(Sheet1!#REF!,"AAAAAGsH/zI=")</f>
        <v>#REF!</v>
      </c>
      <c r="AZ84">
        <f>IF(Sheet1!1122:1122,"AAAAAGsH/zM=",0)</f>
        <v>0</v>
      </c>
      <c r="BA84" t="e">
        <f>AND(Sheet1!A1122,"AAAAAGsH/zQ=")</f>
        <v>#VALUE!</v>
      </c>
      <c r="BB84" t="e">
        <f>AND(Sheet1!B1122,"AAAAAGsH/zU=")</f>
        <v>#VALUE!</v>
      </c>
      <c r="BC84" t="e">
        <f>AND(Sheet1!C1122,"AAAAAGsH/zY=")</f>
        <v>#VALUE!</v>
      </c>
      <c r="BD84" t="e">
        <f>AND(Sheet1!D1122,"AAAAAGsH/zc=")</f>
        <v>#VALUE!</v>
      </c>
      <c r="BE84" t="e">
        <f>AND(Sheet1!E1122,"AAAAAGsH/zg=")</f>
        <v>#VALUE!</v>
      </c>
      <c r="BF84" t="e">
        <f>AND(Sheet1!F1122,"AAAAAGsH/zk=")</f>
        <v>#VALUE!</v>
      </c>
      <c r="BG84" t="e">
        <f>AND(Sheet1!G1122,"AAAAAGsH/zo=")</f>
        <v>#VALUE!</v>
      </c>
      <c r="BH84" t="e">
        <f>AND(Sheet1!H1122,"AAAAAGsH/zs=")</f>
        <v>#VALUE!</v>
      </c>
      <c r="BI84" t="e">
        <f>AND(Sheet1!I1122,"AAAAAGsH/zw=")</f>
        <v>#VALUE!</v>
      </c>
      <c r="BJ84" t="e">
        <f>AND(Sheet1!J1122,"AAAAAGsH/z0=")</f>
        <v>#VALUE!</v>
      </c>
      <c r="BK84" t="e">
        <f>AND(Sheet1!K1122,"AAAAAGsH/z4=")</f>
        <v>#VALUE!</v>
      </c>
      <c r="BL84" t="e">
        <f>AND(Sheet1!L1122,"AAAAAGsH/z8=")</f>
        <v>#VALUE!</v>
      </c>
      <c r="BM84" t="e">
        <f>AND(Sheet1!M1122,"AAAAAGsH/0A=")</f>
        <v>#VALUE!</v>
      </c>
      <c r="BN84" t="e">
        <f>AND(Sheet1!N1122,"AAAAAGsH/0E=")</f>
        <v>#VALUE!</v>
      </c>
      <c r="BO84" t="e">
        <f>AND(Sheet1!#REF!,"AAAAAGsH/0I=")</f>
        <v>#REF!</v>
      </c>
      <c r="BP84" t="e">
        <f>AND(Sheet1!#REF!,"AAAAAGsH/0M=")</f>
        <v>#REF!</v>
      </c>
      <c r="BQ84" t="e">
        <f>AND(Sheet1!#REF!,"AAAAAGsH/0Q=")</f>
        <v>#REF!</v>
      </c>
      <c r="BR84" t="e">
        <f>AND(Sheet1!#REF!,"AAAAAGsH/0U=")</f>
        <v>#REF!</v>
      </c>
      <c r="BS84">
        <f>IF(Sheet1!1123:1123,"AAAAAGsH/0Y=",0)</f>
        <v>0</v>
      </c>
      <c r="BT84" t="e">
        <f>AND(Sheet1!A1123,"AAAAAGsH/0c=")</f>
        <v>#VALUE!</v>
      </c>
      <c r="BU84" t="e">
        <f>AND(Sheet1!B1123,"AAAAAGsH/0g=")</f>
        <v>#VALUE!</v>
      </c>
      <c r="BV84" t="e">
        <f>AND(Sheet1!C1123,"AAAAAGsH/0k=")</f>
        <v>#VALUE!</v>
      </c>
      <c r="BW84" t="e">
        <f>AND(Sheet1!D1123,"AAAAAGsH/0o=")</f>
        <v>#VALUE!</v>
      </c>
      <c r="BX84" t="e">
        <f>AND(Sheet1!E1123,"AAAAAGsH/0s=")</f>
        <v>#VALUE!</v>
      </c>
      <c r="BY84" t="e">
        <f>AND(Sheet1!F1123,"AAAAAGsH/0w=")</f>
        <v>#VALUE!</v>
      </c>
      <c r="BZ84" t="e">
        <f>AND(Sheet1!G1123,"AAAAAGsH/00=")</f>
        <v>#VALUE!</v>
      </c>
      <c r="CA84" t="e">
        <f>AND(Sheet1!H1123,"AAAAAGsH/04=")</f>
        <v>#VALUE!</v>
      </c>
      <c r="CB84" t="e">
        <f>AND(Sheet1!I1123,"AAAAAGsH/08=")</f>
        <v>#VALUE!</v>
      </c>
      <c r="CC84" t="e">
        <f>AND(Sheet1!J1123,"AAAAAGsH/1A=")</f>
        <v>#VALUE!</v>
      </c>
      <c r="CD84" t="e">
        <f>AND(Sheet1!K1123,"AAAAAGsH/1E=")</f>
        <v>#VALUE!</v>
      </c>
      <c r="CE84" t="e">
        <f>AND(Sheet1!L1123,"AAAAAGsH/1I=")</f>
        <v>#VALUE!</v>
      </c>
      <c r="CF84" t="e">
        <f>AND(Sheet1!M1123,"AAAAAGsH/1M=")</f>
        <v>#VALUE!</v>
      </c>
      <c r="CG84" t="e">
        <f>AND(Sheet1!N1123,"AAAAAGsH/1Q=")</f>
        <v>#VALUE!</v>
      </c>
      <c r="CH84" t="e">
        <f>AND(Sheet1!#REF!,"AAAAAGsH/1U=")</f>
        <v>#REF!</v>
      </c>
      <c r="CI84" t="e">
        <f>AND(Sheet1!#REF!,"AAAAAGsH/1Y=")</f>
        <v>#REF!</v>
      </c>
      <c r="CJ84" t="e">
        <f>AND(Sheet1!#REF!,"AAAAAGsH/1c=")</f>
        <v>#REF!</v>
      </c>
      <c r="CK84" t="e">
        <f>AND(Sheet1!#REF!,"AAAAAGsH/1g=")</f>
        <v>#REF!</v>
      </c>
      <c r="CL84">
        <f>IF(Sheet1!1124:1124,"AAAAAGsH/1k=",0)</f>
        <v>0</v>
      </c>
      <c r="CM84" t="e">
        <f>AND(Sheet1!A1124,"AAAAAGsH/1o=")</f>
        <v>#VALUE!</v>
      </c>
      <c r="CN84" t="e">
        <f>AND(Sheet1!B1124,"AAAAAGsH/1s=")</f>
        <v>#VALUE!</v>
      </c>
      <c r="CO84" t="e">
        <f>AND(Sheet1!C1124,"AAAAAGsH/1w=")</f>
        <v>#VALUE!</v>
      </c>
      <c r="CP84" t="e">
        <f>AND(Sheet1!D1124,"AAAAAGsH/10=")</f>
        <v>#VALUE!</v>
      </c>
      <c r="CQ84" t="e">
        <f>AND(Sheet1!E1124,"AAAAAGsH/14=")</f>
        <v>#VALUE!</v>
      </c>
      <c r="CR84" t="e">
        <f>AND(Sheet1!F1124,"AAAAAGsH/18=")</f>
        <v>#VALUE!</v>
      </c>
      <c r="CS84" t="e">
        <f>AND(Sheet1!G1124,"AAAAAGsH/2A=")</f>
        <v>#VALUE!</v>
      </c>
      <c r="CT84" t="e">
        <f>AND(Sheet1!H1124,"AAAAAGsH/2E=")</f>
        <v>#VALUE!</v>
      </c>
      <c r="CU84" t="e">
        <f>AND(Sheet1!I1124,"AAAAAGsH/2I=")</f>
        <v>#VALUE!</v>
      </c>
      <c r="CV84" t="e">
        <f>AND(Sheet1!J1124,"AAAAAGsH/2M=")</f>
        <v>#VALUE!</v>
      </c>
      <c r="CW84" t="e">
        <f>AND(Sheet1!K1124,"AAAAAGsH/2Q=")</f>
        <v>#VALUE!</v>
      </c>
      <c r="CX84" t="e">
        <f>AND(Sheet1!L1124,"AAAAAGsH/2U=")</f>
        <v>#VALUE!</v>
      </c>
      <c r="CY84" t="e">
        <f>AND(Sheet1!M1124,"AAAAAGsH/2Y=")</f>
        <v>#VALUE!</v>
      </c>
      <c r="CZ84" t="e">
        <f>AND(Sheet1!N1124,"AAAAAGsH/2c=")</f>
        <v>#VALUE!</v>
      </c>
      <c r="DA84" t="e">
        <f>AND(Sheet1!#REF!,"AAAAAGsH/2g=")</f>
        <v>#REF!</v>
      </c>
      <c r="DB84" t="e">
        <f>AND(Sheet1!#REF!,"AAAAAGsH/2k=")</f>
        <v>#REF!</v>
      </c>
      <c r="DC84" t="e">
        <f>AND(Sheet1!#REF!,"AAAAAGsH/2o=")</f>
        <v>#REF!</v>
      </c>
      <c r="DD84" t="e">
        <f>AND(Sheet1!#REF!,"AAAAAGsH/2s=")</f>
        <v>#REF!</v>
      </c>
      <c r="DE84">
        <f>IF(Sheet1!1125:1125,"AAAAAGsH/2w=",0)</f>
        <v>0</v>
      </c>
      <c r="DF84" t="e">
        <f>AND(Sheet1!A1125,"AAAAAGsH/20=")</f>
        <v>#VALUE!</v>
      </c>
      <c r="DG84" t="e">
        <f>AND(Sheet1!B1125,"AAAAAGsH/24=")</f>
        <v>#VALUE!</v>
      </c>
      <c r="DH84" t="e">
        <f>AND(Sheet1!C1125,"AAAAAGsH/28=")</f>
        <v>#VALUE!</v>
      </c>
      <c r="DI84" t="e">
        <f>AND(Sheet1!D1125,"AAAAAGsH/3A=")</f>
        <v>#VALUE!</v>
      </c>
      <c r="DJ84" t="e">
        <f>AND(Sheet1!E1125,"AAAAAGsH/3E=")</f>
        <v>#VALUE!</v>
      </c>
      <c r="DK84" t="e">
        <f>AND(Sheet1!F1125,"AAAAAGsH/3I=")</f>
        <v>#VALUE!</v>
      </c>
      <c r="DL84" t="e">
        <f>AND(Sheet1!G1125,"AAAAAGsH/3M=")</f>
        <v>#VALUE!</v>
      </c>
      <c r="DM84" t="e">
        <f>AND(Sheet1!H1125,"AAAAAGsH/3Q=")</f>
        <v>#VALUE!</v>
      </c>
      <c r="DN84" t="e">
        <f>AND(Sheet1!I1125,"AAAAAGsH/3U=")</f>
        <v>#VALUE!</v>
      </c>
      <c r="DO84" t="e">
        <f>AND(Sheet1!J1125,"AAAAAGsH/3Y=")</f>
        <v>#VALUE!</v>
      </c>
      <c r="DP84" t="e">
        <f>AND(Sheet1!K1125,"AAAAAGsH/3c=")</f>
        <v>#VALUE!</v>
      </c>
      <c r="DQ84" t="e">
        <f>AND(Sheet1!L1125,"AAAAAGsH/3g=")</f>
        <v>#VALUE!</v>
      </c>
      <c r="DR84" t="e">
        <f>AND(Sheet1!M1125,"AAAAAGsH/3k=")</f>
        <v>#VALUE!</v>
      </c>
      <c r="DS84" t="e">
        <f>AND(Sheet1!N1125,"AAAAAGsH/3o=")</f>
        <v>#VALUE!</v>
      </c>
      <c r="DT84" t="e">
        <f>AND(Sheet1!#REF!,"AAAAAGsH/3s=")</f>
        <v>#REF!</v>
      </c>
      <c r="DU84" t="e">
        <f>AND(Sheet1!#REF!,"AAAAAGsH/3w=")</f>
        <v>#REF!</v>
      </c>
      <c r="DV84" t="e">
        <f>AND(Sheet1!#REF!,"AAAAAGsH/30=")</f>
        <v>#REF!</v>
      </c>
      <c r="DW84" t="e">
        <f>AND(Sheet1!#REF!,"AAAAAGsH/34=")</f>
        <v>#REF!</v>
      </c>
      <c r="DX84">
        <f>IF(Sheet1!1126:1126,"AAAAAGsH/38=",0)</f>
        <v>0</v>
      </c>
      <c r="DY84" t="e">
        <f>AND(Sheet1!A1126,"AAAAAGsH/4A=")</f>
        <v>#VALUE!</v>
      </c>
      <c r="DZ84" t="e">
        <f>AND(Sheet1!B1126,"AAAAAGsH/4E=")</f>
        <v>#VALUE!</v>
      </c>
      <c r="EA84" t="e">
        <f>AND(Sheet1!C1126,"AAAAAGsH/4I=")</f>
        <v>#VALUE!</v>
      </c>
      <c r="EB84" t="e">
        <f>AND(Sheet1!D1126,"AAAAAGsH/4M=")</f>
        <v>#VALUE!</v>
      </c>
      <c r="EC84" t="e">
        <f>AND(Sheet1!E1126,"AAAAAGsH/4Q=")</f>
        <v>#VALUE!</v>
      </c>
      <c r="ED84" t="e">
        <f>AND(Sheet1!F1126,"AAAAAGsH/4U=")</f>
        <v>#VALUE!</v>
      </c>
      <c r="EE84" t="e">
        <f>AND(Sheet1!G1126,"AAAAAGsH/4Y=")</f>
        <v>#VALUE!</v>
      </c>
      <c r="EF84" t="e">
        <f>AND(Sheet1!H1126,"AAAAAGsH/4c=")</f>
        <v>#VALUE!</v>
      </c>
      <c r="EG84" t="e">
        <f>AND(Sheet1!I1126,"AAAAAGsH/4g=")</f>
        <v>#VALUE!</v>
      </c>
      <c r="EH84" t="e">
        <f>AND(Sheet1!J1126,"AAAAAGsH/4k=")</f>
        <v>#VALUE!</v>
      </c>
      <c r="EI84" t="e">
        <f>AND(Sheet1!K1126,"AAAAAGsH/4o=")</f>
        <v>#VALUE!</v>
      </c>
      <c r="EJ84" t="e">
        <f>AND(Sheet1!L1126,"AAAAAGsH/4s=")</f>
        <v>#VALUE!</v>
      </c>
      <c r="EK84" t="e">
        <f>AND(Sheet1!M1126,"AAAAAGsH/4w=")</f>
        <v>#VALUE!</v>
      </c>
      <c r="EL84" t="e">
        <f>AND(Sheet1!N1126,"AAAAAGsH/40=")</f>
        <v>#VALUE!</v>
      </c>
      <c r="EM84" t="e">
        <f>AND(Sheet1!#REF!,"AAAAAGsH/44=")</f>
        <v>#REF!</v>
      </c>
      <c r="EN84" t="e">
        <f>AND(Sheet1!#REF!,"AAAAAGsH/48=")</f>
        <v>#REF!</v>
      </c>
      <c r="EO84" t="e">
        <f>AND(Sheet1!#REF!,"AAAAAGsH/5A=")</f>
        <v>#REF!</v>
      </c>
      <c r="EP84" t="e">
        <f>AND(Sheet1!#REF!,"AAAAAGsH/5E=")</f>
        <v>#REF!</v>
      </c>
      <c r="EQ84">
        <f>IF(Sheet1!1127:1127,"AAAAAGsH/5I=",0)</f>
        <v>0</v>
      </c>
      <c r="ER84" t="e">
        <f>AND(Sheet1!A1127,"AAAAAGsH/5M=")</f>
        <v>#VALUE!</v>
      </c>
      <c r="ES84" t="e">
        <f>AND(Sheet1!B1127,"AAAAAGsH/5Q=")</f>
        <v>#VALUE!</v>
      </c>
      <c r="ET84" t="e">
        <f>AND(Sheet1!C1127,"AAAAAGsH/5U=")</f>
        <v>#VALUE!</v>
      </c>
      <c r="EU84" t="e">
        <f>AND(Sheet1!D1127,"AAAAAGsH/5Y=")</f>
        <v>#VALUE!</v>
      </c>
      <c r="EV84" t="e">
        <f>AND(Sheet1!E1127,"AAAAAGsH/5c=")</f>
        <v>#VALUE!</v>
      </c>
      <c r="EW84" t="e">
        <f>AND(Sheet1!F1127,"AAAAAGsH/5g=")</f>
        <v>#VALUE!</v>
      </c>
      <c r="EX84" t="e">
        <f>AND(Sheet1!G1127,"AAAAAGsH/5k=")</f>
        <v>#VALUE!</v>
      </c>
      <c r="EY84" t="e">
        <f>AND(Sheet1!H1127,"AAAAAGsH/5o=")</f>
        <v>#VALUE!</v>
      </c>
      <c r="EZ84" t="e">
        <f>AND(Sheet1!I1127,"AAAAAGsH/5s=")</f>
        <v>#VALUE!</v>
      </c>
      <c r="FA84" t="e">
        <f>AND(Sheet1!J1127,"AAAAAGsH/5w=")</f>
        <v>#VALUE!</v>
      </c>
      <c r="FB84" t="e">
        <f>AND(Sheet1!K1127,"AAAAAGsH/50=")</f>
        <v>#VALUE!</v>
      </c>
      <c r="FC84" t="e">
        <f>AND(Sheet1!L1127,"AAAAAGsH/54=")</f>
        <v>#VALUE!</v>
      </c>
      <c r="FD84" t="e">
        <f>AND(Sheet1!M1127,"AAAAAGsH/58=")</f>
        <v>#VALUE!</v>
      </c>
      <c r="FE84" t="e">
        <f>AND(Sheet1!N1127,"AAAAAGsH/6A=")</f>
        <v>#VALUE!</v>
      </c>
      <c r="FF84" t="e">
        <f>AND(Sheet1!#REF!,"AAAAAGsH/6E=")</f>
        <v>#REF!</v>
      </c>
      <c r="FG84" t="e">
        <f>AND(Sheet1!#REF!,"AAAAAGsH/6I=")</f>
        <v>#REF!</v>
      </c>
      <c r="FH84" t="e">
        <f>AND(Sheet1!#REF!,"AAAAAGsH/6M=")</f>
        <v>#REF!</v>
      </c>
      <c r="FI84" t="e">
        <f>AND(Sheet1!#REF!,"AAAAAGsH/6Q=")</f>
        <v>#REF!</v>
      </c>
      <c r="FJ84">
        <f>IF(Sheet1!1128:1128,"AAAAAGsH/6U=",0)</f>
        <v>0</v>
      </c>
      <c r="FK84" t="e">
        <f>AND(Sheet1!A1128,"AAAAAGsH/6Y=")</f>
        <v>#VALUE!</v>
      </c>
      <c r="FL84" t="e">
        <f>AND(Sheet1!B1128,"AAAAAGsH/6c=")</f>
        <v>#VALUE!</v>
      </c>
      <c r="FM84" t="e">
        <f>AND(Sheet1!C1128,"AAAAAGsH/6g=")</f>
        <v>#VALUE!</v>
      </c>
      <c r="FN84" t="e">
        <f>AND(Sheet1!D1128,"AAAAAGsH/6k=")</f>
        <v>#VALUE!</v>
      </c>
      <c r="FO84" t="e">
        <f>AND(Sheet1!E1128,"AAAAAGsH/6o=")</f>
        <v>#VALUE!</v>
      </c>
      <c r="FP84" t="e">
        <f>AND(Sheet1!F1128,"AAAAAGsH/6s=")</f>
        <v>#VALUE!</v>
      </c>
      <c r="FQ84" t="e">
        <f>AND(Sheet1!G1128,"AAAAAGsH/6w=")</f>
        <v>#VALUE!</v>
      </c>
      <c r="FR84" t="e">
        <f>AND(Sheet1!H1128,"AAAAAGsH/60=")</f>
        <v>#VALUE!</v>
      </c>
      <c r="FS84" t="e">
        <f>AND(Sheet1!I1128,"AAAAAGsH/64=")</f>
        <v>#VALUE!</v>
      </c>
      <c r="FT84" t="e">
        <f>AND(Sheet1!J1128,"AAAAAGsH/68=")</f>
        <v>#VALUE!</v>
      </c>
      <c r="FU84" t="e">
        <f>AND(Sheet1!K1128,"AAAAAGsH/7A=")</f>
        <v>#VALUE!</v>
      </c>
      <c r="FV84" t="e">
        <f>AND(Sheet1!L1128,"AAAAAGsH/7E=")</f>
        <v>#VALUE!</v>
      </c>
      <c r="FW84" t="e">
        <f>AND(Sheet1!M1128,"AAAAAGsH/7I=")</f>
        <v>#VALUE!</v>
      </c>
      <c r="FX84" t="e">
        <f>AND(Sheet1!N1128,"AAAAAGsH/7M=")</f>
        <v>#VALUE!</v>
      </c>
      <c r="FY84" t="e">
        <f>AND(Sheet1!#REF!,"AAAAAGsH/7Q=")</f>
        <v>#REF!</v>
      </c>
      <c r="FZ84" t="e">
        <f>AND(Sheet1!#REF!,"AAAAAGsH/7U=")</f>
        <v>#REF!</v>
      </c>
      <c r="GA84" t="e">
        <f>AND(Sheet1!#REF!,"AAAAAGsH/7Y=")</f>
        <v>#REF!</v>
      </c>
      <c r="GB84" t="e">
        <f>AND(Sheet1!#REF!,"AAAAAGsH/7c=")</f>
        <v>#REF!</v>
      </c>
      <c r="GC84">
        <f>IF(Sheet1!1129:1129,"AAAAAGsH/7g=",0)</f>
        <v>0</v>
      </c>
      <c r="GD84" t="e">
        <f>AND(Sheet1!A1129,"AAAAAGsH/7k=")</f>
        <v>#VALUE!</v>
      </c>
      <c r="GE84" t="e">
        <f>AND(Sheet1!B1129,"AAAAAGsH/7o=")</f>
        <v>#VALUE!</v>
      </c>
      <c r="GF84" t="e">
        <f>AND(Sheet1!C1129,"AAAAAGsH/7s=")</f>
        <v>#VALUE!</v>
      </c>
      <c r="GG84" t="e">
        <f>AND(Sheet1!D1129,"AAAAAGsH/7w=")</f>
        <v>#VALUE!</v>
      </c>
      <c r="GH84" t="e">
        <f>AND(Sheet1!E1129,"AAAAAGsH/70=")</f>
        <v>#VALUE!</v>
      </c>
      <c r="GI84" t="e">
        <f>AND(Sheet1!F1129,"AAAAAGsH/74=")</f>
        <v>#VALUE!</v>
      </c>
      <c r="GJ84" t="e">
        <f>AND(Sheet1!G1129,"AAAAAGsH/78=")</f>
        <v>#VALUE!</v>
      </c>
      <c r="GK84" t="e">
        <f>AND(Sheet1!H1129,"AAAAAGsH/8A=")</f>
        <v>#VALUE!</v>
      </c>
      <c r="GL84" t="e">
        <f>AND(Sheet1!I1129,"AAAAAGsH/8E=")</f>
        <v>#VALUE!</v>
      </c>
      <c r="GM84" t="e">
        <f>AND(Sheet1!J1129,"AAAAAGsH/8I=")</f>
        <v>#VALUE!</v>
      </c>
      <c r="GN84" t="e">
        <f>AND(Sheet1!K1129,"AAAAAGsH/8M=")</f>
        <v>#VALUE!</v>
      </c>
      <c r="GO84" t="e">
        <f>AND(Sheet1!L1129,"AAAAAGsH/8Q=")</f>
        <v>#VALUE!</v>
      </c>
      <c r="GP84" t="e">
        <f>AND(Sheet1!M1129,"AAAAAGsH/8U=")</f>
        <v>#VALUE!</v>
      </c>
      <c r="GQ84" t="e">
        <f>AND(Sheet1!N1129,"AAAAAGsH/8Y=")</f>
        <v>#VALUE!</v>
      </c>
      <c r="GR84" t="e">
        <f>AND(Sheet1!#REF!,"AAAAAGsH/8c=")</f>
        <v>#REF!</v>
      </c>
      <c r="GS84" t="e">
        <f>AND(Sheet1!#REF!,"AAAAAGsH/8g=")</f>
        <v>#REF!</v>
      </c>
      <c r="GT84" t="e">
        <f>AND(Sheet1!#REF!,"AAAAAGsH/8k=")</f>
        <v>#REF!</v>
      </c>
      <c r="GU84" t="e">
        <f>AND(Sheet1!#REF!,"AAAAAGsH/8o=")</f>
        <v>#REF!</v>
      </c>
      <c r="GV84">
        <f>IF(Sheet1!1130:1130,"AAAAAGsH/8s=",0)</f>
        <v>0</v>
      </c>
      <c r="GW84" t="e">
        <f>AND(Sheet1!A1130,"AAAAAGsH/8w=")</f>
        <v>#VALUE!</v>
      </c>
      <c r="GX84" t="e">
        <f>AND(Sheet1!B1130,"AAAAAGsH/80=")</f>
        <v>#VALUE!</v>
      </c>
      <c r="GY84" t="e">
        <f>AND(Sheet1!C1130,"AAAAAGsH/84=")</f>
        <v>#VALUE!</v>
      </c>
      <c r="GZ84" t="e">
        <f>AND(Sheet1!D1130,"AAAAAGsH/88=")</f>
        <v>#VALUE!</v>
      </c>
      <c r="HA84" t="e">
        <f>AND(Sheet1!E1130,"AAAAAGsH/9A=")</f>
        <v>#VALUE!</v>
      </c>
      <c r="HB84" t="e">
        <f>AND(Sheet1!F1130,"AAAAAGsH/9E=")</f>
        <v>#VALUE!</v>
      </c>
      <c r="HC84" t="e">
        <f>AND(Sheet1!G1130,"AAAAAGsH/9I=")</f>
        <v>#VALUE!</v>
      </c>
      <c r="HD84" t="e">
        <f>AND(Sheet1!H1130,"AAAAAGsH/9M=")</f>
        <v>#VALUE!</v>
      </c>
      <c r="HE84" t="e">
        <f>AND(Sheet1!I1130,"AAAAAGsH/9Q=")</f>
        <v>#VALUE!</v>
      </c>
      <c r="HF84" t="e">
        <f>AND(Sheet1!J1130,"AAAAAGsH/9U=")</f>
        <v>#VALUE!</v>
      </c>
      <c r="HG84" t="e">
        <f>AND(Sheet1!K1130,"AAAAAGsH/9Y=")</f>
        <v>#VALUE!</v>
      </c>
      <c r="HH84" t="e">
        <f>AND(Sheet1!L1130,"AAAAAGsH/9c=")</f>
        <v>#VALUE!</v>
      </c>
      <c r="HI84" t="e">
        <f>AND(Sheet1!M1130,"AAAAAGsH/9g=")</f>
        <v>#VALUE!</v>
      </c>
      <c r="HJ84" t="e">
        <f>AND(Sheet1!N1130,"AAAAAGsH/9k=")</f>
        <v>#VALUE!</v>
      </c>
      <c r="HK84" t="e">
        <f>AND(Sheet1!#REF!,"AAAAAGsH/9o=")</f>
        <v>#REF!</v>
      </c>
      <c r="HL84" t="e">
        <f>AND(Sheet1!#REF!,"AAAAAGsH/9s=")</f>
        <v>#REF!</v>
      </c>
      <c r="HM84" t="e">
        <f>AND(Sheet1!#REF!,"AAAAAGsH/9w=")</f>
        <v>#REF!</v>
      </c>
      <c r="HN84" t="e">
        <f>AND(Sheet1!#REF!,"AAAAAGsH/90=")</f>
        <v>#REF!</v>
      </c>
      <c r="HO84">
        <f>IF(Sheet1!1131:1131,"AAAAAGsH/94=",0)</f>
        <v>0</v>
      </c>
      <c r="HP84" t="e">
        <f>AND(Sheet1!A1131,"AAAAAGsH/98=")</f>
        <v>#VALUE!</v>
      </c>
      <c r="HQ84" t="e">
        <f>AND(Sheet1!B1131,"AAAAAGsH/+A=")</f>
        <v>#VALUE!</v>
      </c>
      <c r="HR84" t="e">
        <f>AND(Sheet1!C1131,"AAAAAGsH/+E=")</f>
        <v>#VALUE!</v>
      </c>
      <c r="HS84" t="e">
        <f>AND(Sheet1!D1131,"AAAAAGsH/+I=")</f>
        <v>#VALUE!</v>
      </c>
      <c r="HT84" t="e">
        <f>AND(Sheet1!E1131,"AAAAAGsH/+M=")</f>
        <v>#VALUE!</v>
      </c>
      <c r="HU84" t="e">
        <f>AND(Sheet1!F1131,"AAAAAGsH/+Q=")</f>
        <v>#VALUE!</v>
      </c>
      <c r="HV84" t="e">
        <f>AND(Sheet1!G1131,"AAAAAGsH/+U=")</f>
        <v>#VALUE!</v>
      </c>
      <c r="HW84" t="e">
        <f>AND(Sheet1!H1131,"AAAAAGsH/+Y=")</f>
        <v>#VALUE!</v>
      </c>
      <c r="HX84" t="e">
        <f>AND(Sheet1!I1131,"AAAAAGsH/+c=")</f>
        <v>#VALUE!</v>
      </c>
      <c r="HY84" t="e">
        <f>AND(Sheet1!J1131,"AAAAAGsH/+g=")</f>
        <v>#VALUE!</v>
      </c>
      <c r="HZ84" t="e">
        <f>AND(Sheet1!K1131,"AAAAAGsH/+k=")</f>
        <v>#VALUE!</v>
      </c>
      <c r="IA84" t="e">
        <f>AND(Sheet1!L1131,"AAAAAGsH/+o=")</f>
        <v>#VALUE!</v>
      </c>
      <c r="IB84" t="e">
        <f>AND(Sheet1!M1131,"AAAAAGsH/+s=")</f>
        <v>#VALUE!</v>
      </c>
      <c r="IC84" t="e">
        <f>AND(Sheet1!N1131,"AAAAAGsH/+w=")</f>
        <v>#VALUE!</v>
      </c>
      <c r="ID84" t="e">
        <f>AND(Sheet1!#REF!,"AAAAAGsH/+0=")</f>
        <v>#REF!</v>
      </c>
      <c r="IE84" t="e">
        <f>AND(Sheet1!#REF!,"AAAAAGsH/+4=")</f>
        <v>#REF!</v>
      </c>
      <c r="IF84" t="e">
        <f>AND(Sheet1!#REF!,"AAAAAGsH/+8=")</f>
        <v>#REF!</v>
      </c>
      <c r="IG84" t="e">
        <f>AND(Sheet1!#REF!,"AAAAAGsH//A=")</f>
        <v>#REF!</v>
      </c>
      <c r="IH84">
        <f>IF(Sheet1!1132:1132,"AAAAAGsH//E=",0)</f>
        <v>0</v>
      </c>
      <c r="II84" t="e">
        <f>AND(Sheet1!A1132,"AAAAAGsH//I=")</f>
        <v>#VALUE!</v>
      </c>
      <c r="IJ84" t="e">
        <f>AND(Sheet1!B1132,"AAAAAGsH//M=")</f>
        <v>#VALUE!</v>
      </c>
      <c r="IK84" t="e">
        <f>AND(Sheet1!C1132,"AAAAAGsH//Q=")</f>
        <v>#VALUE!</v>
      </c>
      <c r="IL84" t="e">
        <f>AND(Sheet1!D1132,"AAAAAGsH//U=")</f>
        <v>#VALUE!</v>
      </c>
      <c r="IM84" t="e">
        <f>AND(Sheet1!E1132,"AAAAAGsH//Y=")</f>
        <v>#VALUE!</v>
      </c>
      <c r="IN84" t="e">
        <f>AND(Sheet1!F1132,"AAAAAGsH//c=")</f>
        <v>#VALUE!</v>
      </c>
      <c r="IO84" t="e">
        <f>AND(Sheet1!G1132,"AAAAAGsH//g=")</f>
        <v>#VALUE!</v>
      </c>
      <c r="IP84" t="e">
        <f>AND(Sheet1!H1132,"AAAAAGsH//k=")</f>
        <v>#VALUE!</v>
      </c>
      <c r="IQ84" t="e">
        <f>AND(Sheet1!I1132,"AAAAAGsH//o=")</f>
        <v>#VALUE!</v>
      </c>
      <c r="IR84" t="e">
        <f>AND(Sheet1!J1132,"AAAAAGsH//s=")</f>
        <v>#VALUE!</v>
      </c>
      <c r="IS84" t="e">
        <f>AND(Sheet1!K1132,"AAAAAGsH//w=")</f>
        <v>#VALUE!</v>
      </c>
      <c r="IT84" t="e">
        <f>AND(Sheet1!L1132,"AAAAAGsH//0=")</f>
        <v>#VALUE!</v>
      </c>
      <c r="IU84" t="e">
        <f>AND(Sheet1!M1132,"AAAAAGsH//4=")</f>
        <v>#VALUE!</v>
      </c>
      <c r="IV84" t="e">
        <f>AND(Sheet1!N1132,"AAAAAGsH//8=")</f>
        <v>#VALUE!</v>
      </c>
    </row>
    <row r="85" spans="1:256" x14ac:dyDescent="0.2">
      <c r="A85" t="e">
        <f>AND(Sheet1!#REF!,"AAAAAC2++gA=")</f>
        <v>#REF!</v>
      </c>
      <c r="B85" t="e">
        <f>AND(Sheet1!#REF!,"AAAAAC2++gE=")</f>
        <v>#REF!</v>
      </c>
      <c r="C85" t="e">
        <f>AND(Sheet1!#REF!,"AAAAAC2++gI=")</f>
        <v>#REF!</v>
      </c>
      <c r="D85" t="e">
        <f>AND(Sheet1!#REF!,"AAAAAC2++gM=")</f>
        <v>#REF!</v>
      </c>
      <c r="E85" t="e">
        <f>IF(Sheet1!1133:1133,"AAAAAC2++gQ=",0)</f>
        <v>#VALUE!</v>
      </c>
      <c r="F85" t="e">
        <f>AND(Sheet1!A1133,"AAAAAC2++gU=")</f>
        <v>#VALUE!</v>
      </c>
      <c r="G85" t="e">
        <f>AND(Sheet1!B1133,"AAAAAC2++gY=")</f>
        <v>#VALUE!</v>
      </c>
      <c r="H85" t="e">
        <f>AND(Sheet1!C1133,"AAAAAC2++gc=")</f>
        <v>#VALUE!</v>
      </c>
      <c r="I85" t="e">
        <f>AND(Sheet1!D1133,"AAAAAC2++gg=")</f>
        <v>#VALUE!</v>
      </c>
      <c r="J85" t="e">
        <f>AND(Sheet1!E1133,"AAAAAC2++gk=")</f>
        <v>#VALUE!</v>
      </c>
      <c r="K85" t="e">
        <f>AND(Sheet1!F1133,"AAAAAC2++go=")</f>
        <v>#VALUE!</v>
      </c>
      <c r="L85" t="e">
        <f>AND(Sheet1!G1133,"AAAAAC2++gs=")</f>
        <v>#VALUE!</v>
      </c>
      <c r="M85" t="e">
        <f>AND(Sheet1!H1133,"AAAAAC2++gw=")</f>
        <v>#VALUE!</v>
      </c>
      <c r="N85" t="e">
        <f>AND(Sheet1!I1133,"AAAAAC2++g0=")</f>
        <v>#VALUE!</v>
      </c>
      <c r="O85" t="e">
        <f>AND(Sheet1!J1133,"AAAAAC2++g4=")</f>
        <v>#VALUE!</v>
      </c>
      <c r="P85" t="e">
        <f>AND(Sheet1!K1133,"AAAAAC2++g8=")</f>
        <v>#VALUE!</v>
      </c>
      <c r="Q85" t="e">
        <f>AND(Sheet1!L1133,"AAAAAC2++hA=")</f>
        <v>#VALUE!</v>
      </c>
      <c r="R85" t="e">
        <f>AND(Sheet1!M1133,"AAAAAC2++hE=")</f>
        <v>#VALUE!</v>
      </c>
      <c r="S85" t="e">
        <f>AND(Sheet1!N1133,"AAAAAC2++hI=")</f>
        <v>#VALUE!</v>
      </c>
      <c r="T85" t="e">
        <f>AND(Sheet1!#REF!,"AAAAAC2++hM=")</f>
        <v>#REF!</v>
      </c>
      <c r="U85" t="e">
        <f>AND(Sheet1!#REF!,"AAAAAC2++hQ=")</f>
        <v>#REF!</v>
      </c>
      <c r="V85" t="e">
        <f>AND(Sheet1!#REF!,"AAAAAC2++hU=")</f>
        <v>#REF!</v>
      </c>
      <c r="W85" t="e">
        <f>AND(Sheet1!#REF!,"AAAAAC2++hY=")</f>
        <v>#REF!</v>
      </c>
      <c r="X85">
        <f>IF(Sheet1!1134:1134,"AAAAAC2++hc=",0)</f>
        <v>0</v>
      </c>
      <c r="Y85" t="e">
        <f>AND(Sheet1!A1134,"AAAAAC2++hg=")</f>
        <v>#VALUE!</v>
      </c>
      <c r="Z85" t="e">
        <f>AND(Sheet1!B1134,"AAAAAC2++hk=")</f>
        <v>#VALUE!</v>
      </c>
      <c r="AA85" t="e">
        <f>AND(Sheet1!C1134,"AAAAAC2++ho=")</f>
        <v>#VALUE!</v>
      </c>
      <c r="AB85" t="e">
        <f>AND(Sheet1!D1134,"AAAAAC2++hs=")</f>
        <v>#VALUE!</v>
      </c>
      <c r="AC85" t="e">
        <f>AND(Sheet1!E1134,"AAAAAC2++hw=")</f>
        <v>#VALUE!</v>
      </c>
      <c r="AD85" t="e">
        <f>AND(Sheet1!F1134,"AAAAAC2++h0=")</f>
        <v>#VALUE!</v>
      </c>
      <c r="AE85" t="e">
        <f>AND(Sheet1!G1134,"AAAAAC2++h4=")</f>
        <v>#VALUE!</v>
      </c>
      <c r="AF85" t="e">
        <f>AND(Sheet1!H1134,"AAAAAC2++h8=")</f>
        <v>#VALUE!</v>
      </c>
      <c r="AG85" t="e">
        <f>AND(Sheet1!I1134,"AAAAAC2++iA=")</f>
        <v>#VALUE!</v>
      </c>
      <c r="AH85" t="e">
        <f>AND(Sheet1!J1134,"AAAAAC2++iE=")</f>
        <v>#VALUE!</v>
      </c>
      <c r="AI85" t="e">
        <f>AND(Sheet1!K1134,"AAAAAC2++iI=")</f>
        <v>#VALUE!</v>
      </c>
      <c r="AJ85" t="e">
        <f>AND(Sheet1!L1134,"AAAAAC2++iM=")</f>
        <v>#VALUE!</v>
      </c>
      <c r="AK85" t="e">
        <f>AND(Sheet1!M1134,"AAAAAC2++iQ=")</f>
        <v>#VALUE!</v>
      </c>
      <c r="AL85" t="e">
        <f>AND(Sheet1!N1134,"AAAAAC2++iU=")</f>
        <v>#VALUE!</v>
      </c>
      <c r="AM85" t="e">
        <f>AND(Sheet1!#REF!,"AAAAAC2++iY=")</f>
        <v>#REF!</v>
      </c>
      <c r="AN85" t="e">
        <f>AND(Sheet1!#REF!,"AAAAAC2++ic=")</f>
        <v>#REF!</v>
      </c>
      <c r="AO85" t="e">
        <f>AND(Sheet1!#REF!,"AAAAAC2++ig=")</f>
        <v>#REF!</v>
      </c>
      <c r="AP85" t="e">
        <f>AND(Sheet1!#REF!,"AAAAAC2++ik=")</f>
        <v>#REF!</v>
      </c>
      <c r="AQ85">
        <f>IF(Sheet1!1135:1135,"AAAAAC2++io=",0)</f>
        <v>0</v>
      </c>
      <c r="AR85" t="e">
        <f>AND(Sheet1!A1135,"AAAAAC2++is=")</f>
        <v>#VALUE!</v>
      </c>
      <c r="AS85" t="e">
        <f>AND(Sheet1!B1135,"AAAAAC2++iw=")</f>
        <v>#VALUE!</v>
      </c>
      <c r="AT85" t="e">
        <f>AND(Sheet1!C1135,"AAAAAC2++i0=")</f>
        <v>#VALUE!</v>
      </c>
      <c r="AU85" t="e">
        <f>AND(Sheet1!D1135,"AAAAAC2++i4=")</f>
        <v>#VALUE!</v>
      </c>
      <c r="AV85" t="e">
        <f>AND(Sheet1!E1135,"AAAAAC2++i8=")</f>
        <v>#VALUE!</v>
      </c>
      <c r="AW85" t="e">
        <f>AND(Sheet1!F1135,"AAAAAC2++jA=")</f>
        <v>#VALUE!</v>
      </c>
      <c r="AX85" t="e">
        <f>AND(Sheet1!G1135,"AAAAAC2++jE=")</f>
        <v>#VALUE!</v>
      </c>
      <c r="AY85" t="e">
        <f>AND(Sheet1!H1135,"AAAAAC2++jI=")</f>
        <v>#VALUE!</v>
      </c>
      <c r="AZ85" t="e">
        <f>AND(Sheet1!I1135,"AAAAAC2++jM=")</f>
        <v>#VALUE!</v>
      </c>
      <c r="BA85" t="e">
        <f>AND(Sheet1!J1135,"AAAAAC2++jQ=")</f>
        <v>#VALUE!</v>
      </c>
      <c r="BB85" t="e">
        <f>AND(Sheet1!K1135,"AAAAAC2++jU=")</f>
        <v>#VALUE!</v>
      </c>
      <c r="BC85" t="e">
        <f>AND(Sheet1!L1135,"AAAAAC2++jY=")</f>
        <v>#VALUE!</v>
      </c>
      <c r="BD85" t="e">
        <f>AND(Sheet1!M1135,"AAAAAC2++jc=")</f>
        <v>#VALUE!</v>
      </c>
      <c r="BE85" t="e">
        <f>AND(Sheet1!N1135,"AAAAAC2++jg=")</f>
        <v>#VALUE!</v>
      </c>
      <c r="BF85" t="e">
        <f>AND(Sheet1!#REF!,"AAAAAC2++jk=")</f>
        <v>#REF!</v>
      </c>
      <c r="BG85" t="e">
        <f>AND(Sheet1!#REF!,"AAAAAC2++jo=")</f>
        <v>#REF!</v>
      </c>
      <c r="BH85" t="e">
        <f>AND(Sheet1!#REF!,"AAAAAC2++js=")</f>
        <v>#REF!</v>
      </c>
      <c r="BI85" t="e">
        <f>AND(Sheet1!#REF!,"AAAAAC2++jw=")</f>
        <v>#REF!</v>
      </c>
      <c r="BJ85">
        <f>IF(Sheet1!1136:1136,"AAAAAC2++j0=",0)</f>
        <v>0</v>
      </c>
      <c r="BK85" t="e">
        <f>AND(Sheet1!A1136,"AAAAAC2++j4=")</f>
        <v>#VALUE!</v>
      </c>
      <c r="BL85" t="e">
        <f>AND(Sheet1!B1136,"AAAAAC2++j8=")</f>
        <v>#VALUE!</v>
      </c>
      <c r="BM85" t="e">
        <f>AND(Sheet1!C1136,"AAAAAC2++kA=")</f>
        <v>#VALUE!</v>
      </c>
      <c r="BN85" t="e">
        <f>AND(Sheet1!D1136,"AAAAAC2++kE=")</f>
        <v>#VALUE!</v>
      </c>
      <c r="BO85" t="e">
        <f>AND(Sheet1!E1136,"AAAAAC2++kI=")</f>
        <v>#VALUE!</v>
      </c>
      <c r="BP85" t="e">
        <f>AND(Sheet1!F1136,"AAAAAC2++kM=")</f>
        <v>#VALUE!</v>
      </c>
      <c r="BQ85" t="e">
        <f>AND(Sheet1!G1136,"AAAAAC2++kQ=")</f>
        <v>#VALUE!</v>
      </c>
      <c r="BR85" t="e">
        <f>AND(Sheet1!H1136,"AAAAAC2++kU=")</f>
        <v>#VALUE!</v>
      </c>
      <c r="BS85" t="e">
        <f>AND(Sheet1!I1136,"AAAAAC2++kY=")</f>
        <v>#VALUE!</v>
      </c>
      <c r="BT85" t="e">
        <f>AND(Sheet1!J1136,"AAAAAC2++kc=")</f>
        <v>#VALUE!</v>
      </c>
      <c r="BU85" t="e">
        <f>AND(Sheet1!K1136,"AAAAAC2++kg=")</f>
        <v>#VALUE!</v>
      </c>
      <c r="BV85" t="e">
        <f>AND(Sheet1!L1136,"AAAAAC2++kk=")</f>
        <v>#VALUE!</v>
      </c>
      <c r="BW85" t="e">
        <f>AND(Sheet1!M1136,"AAAAAC2++ko=")</f>
        <v>#VALUE!</v>
      </c>
      <c r="BX85" t="e">
        <f>AND(Sheet1!N1136,"AAAAAC2++ks=")</f>
        <v>#VALUE!</v>
      </c>
      <c r="BY85" t="e">
        <f>AND(Sheet1!#REF!,"AAAAAC2++kw=")</f>
        <v>#REF!</v>
      </c>
      <c r="BZ85" t="e">
        <f>AND(Sheet1!#REF!,"AAAAAC2++k0=")</f>
        <v>#REF!</v>
      </c>
      <c r="CA85" t="e">
        <f>AND(Sheet1!#REF!,"AAAAAC2++k4=")</f>
        <v>#REF!</v>
      </c>
      <c r="CB85" t="e">
        <f>AND(Sheet1!#REF!,"AAAAAC2++k8=")</f>
        <v>#REF!</v>
      </c>
      <c r="CC85">
        <f>IF(Sheet1!1137:1137,"AAAAAC2++lA=",0)</f>
        <v>0</v>
      </c>
      <c r="CD85" t="e">
        <f>AND(Sheet1!A1137,"AAAAAC2++lE=")</f>
        <v>#VALUE!</v>
      </c>
      <c r="CE85" t="e">
        <f>AND(Sheet1!B1137,"AAAAAC2++lI=")</f>
        <v>#VALUE!</v>
      </c>
      <c r="CF85" t="e">
        <f>AND(Sheet1!C1137,"AAAAAC2++lM=")</f>
        <v>#VALUE!</v>
      </c>
      <c r="CG85" t="e">
        <f>AND(Sheet1!D1137,"AAAAAC2++lQ=")</f>
        <v>#VALUE!</v>
      </c>
      <c r="CH85" t="e">
        <f>AND(Sheet1!E1137,"AAAAAC2++lU=")</f>
        <v>#VALUE!</v>
      </c>
      <c r="CI85" t="e">
        <f>AND(Sheet1!F1137,"AAAAAC2++lY=")</f>
        <v>#VALUE!</v>
      </c>
      <c r="CJ85" t="e">
        <f>AND(Sheet1!G1137,"AAAAAC2++lc=")</f>
        <v>#VALUE!</v>
      </c>
      <c r="CK85" t="e">
        <f>AND(Sheet1!H1137,"AAAAAC2++lg=")</f>
        <v>#VALUE!</v>
      </c>
      <c r="CL85" t="e">
        <f>AND(Sheet1!I1137,"AAAAAC2++lk=")</f>
        <v>#VALUE!</v>
      </c>
      <c r="CM85" t="e">
        <f>AND(Sheet1!J1137,"AAAAAC2++lo=")</f>
        <v>#VALUE!</v>
      </c>
      <c r="CN85" t="e">
        <f>AND(Sheet1!K1137,"AAAAAC2++ls=")</f>
        <v>#VALUE!</v>
      </c>
      <c r="CO85" t="e">
        <f>AND(Sheet1!L1137,"AAAAAC2++lw=")</f>
        <v>#VALUE!</v>
      </c>
      <c r="CP85" t="e">
        <f>AND(Sheet1!M1137,"AAAAAC2++l0=")</f>
        <v>#VALUE!</v>
      </c>
      <c r="CQ85" t="e">
        <f>AND(Sheet1!N1137,"AAAAAC2++l4=")</f>
        <v>#VALUE!</v>
      </c>
      <c r="CR85" t="e">
        <f>AND(Sheet1!#REF!,"AAAAAC2++l8=")</f>
        <v>#REF!</v>
      </c>
      <c r="CS85" t="e">
        <f>AND(Sheet1!#REF!,"AAAAAC2++mA=")</f>
        <v>#REF!</v>
      </c>
      <c r="CT85" t="e">
        <f>AND(Sheet1!#REF!,"AAAAAC2++mE=")</f>
        <v>#REF!</v>
      </c>
      <c r="CU85" t="e">
        <f>AND(Sheet1!#REF!,"AAAAAC2++mI=")</f>
        <v>#REF!</v>
      </c>
      <c r="CV85">
        <f>IF(Sheet1!1138:1138,"AAAAAC2++mM=",0)</f>
        <v>0</v>
      </c>
      <c r="CW85" t="e">
        <f>AND(Sheet1!A1138,"AAAAAC2++mQ=")</f>
        <v>#VALUE!</v>
      </c>
      <c r="CX85" t="e">
        <f>AND(Sheet1!B1138,"AAAAAC2++mU=")</f>
        <v>#VALUE!</v>
      </c>
      <c r="CY85" t="e">
        <f>AND(Sheet1!C1138,"AAAAAC2++mY=")</f>
        <v>#VALUE!</v>
      </c>
      <c r="CZ85" t="e">
        <f>AND(Sheet1!D1138,"AAAAAC2++mc=")</f>
        <v>#VALUE!</v>
      </c>
      <c r="DA85" t="e">
        <f>AND(Sheet1!E1138,"AAAAAC2++mg=")</f>
        <v>#VALUE!</v>
      </c>
      <c r="DB85" t="e">
        <f>AND(Sheet1!F1138,"AAAAAC2++mk=")</f>
        <v>#VALUE!</v>
      </c>
      <c r="DC85" t="e">
        <f>AND(Sheet1!G1138,"AAAAAC2++mo=")</f>
        <v>#VALUE!</v>
      </c>
      <c r="DD85" t="e">
        <f>AND(Sheet1!H1138,"AAAAAC2++ms=")</f>
        <v>#VALUE!</v>
      </c>
      <c r="DE85" t="e">
        <f>AND(Sheet1!I1138,"AAAAAC2++mw=")</f>
        <v>#VALUE!</v>
      </c>
      <c r="DF85" t="e">
        <f>AND(Sheet1!J1138,"AAAAAC2++m0=")</f>
        <v>#VALUE!</v>
      </c>
      <c r="DG85" t="e">
        <f>AND(Sheet1!K1138,"AAAAAC2++m4=")</f>
        <v>#VALUE!</v>
      </c>
      <c r="DH85" t="e">
        <f>AND(Sheet1!L1138,"AAAAAC2++m8=")</f>
        <v>#VALUE!</v>
      </c>
      <c r="DI85" t="e">
        <f>AND(Sheet1!M1138,"AAAAAC2++nA=")</f>
        <v>#VALUE!</v>
      </c>
      <c r="DJ85" t="e">
        <f>AND(Sheet1!N1138,"AAAAAC2++nE=")</f>
        <v>#VALUE!</v>
      </c>
      <c r="DK85" t="e">
        <f>AND(Sheet1!#REF!,"AAAAAC2++nI=")</f>
        <v>#REF!</v>
      </c>
      <c r="DL85" t="e">
        <f>AND(Sheet1!#REF!,"AAAAAC2++nM=")</f>
        <v>#REF!</v>
      </c>
      <c r="DM85" t="e">
        <f>AND(Sheet1!#REF!,"AAAAAC2++nQ=")</f>
        <v>#REF!</v>
      </c>
      <c r="DN85" t="e">
        <f>AND(Sheet1!#REF!,"AAAAAC2++nU=")</f>
        <v>#REF!</v>
      </c>
      <c r="DO85">
        <f>IF(Sheet1!1139:1139,"AAAAAC2++nY=",0)</f>
        <v>0</v>
      </c>
      <c r="DP85" t="e">
        <f>AND(Sheet1!A1139,"AAAAAC2++nc=")</f>
        <v>#VALUE!</v>
      </c>
      <c r="DQ85" t="e">
        <f>AND(Sheet1!B1139,"AAAAAC2++ng=")</f>
        <v>#VALUE!</v>
      </c>
      <c r="DR85" t="e">
        <f>AND(Sheet1!C1139,"AAAAAC2++nk=")</f>
        <v>#VALUE!</v>
      </c>
      <c r="DS85" t="e">
        <f>AND(Sheet1!D1139,"AAAAAC2++no=")</f>
        <v>#VALUE!</v>
      </c>
      <c r="DT85" t="e">
        <f>AND(Sheet1!E1139,"AAAAAC2++ns=")</f>
        <v>#VALUE!</v>
      </c>
      <c r="DU85" t="e">
        <f>AND(Sheet1!F1139,"AAAAAC2++nw=")</f>
        <v>#VALUE!</v>
      </c>
      <c r="DV85" t="e">
        <f>AND(Sheet1!G1139,"AAAAAC2++n0=")</f>
        <v>#VALUE!</v>
      </c>
      <c r="DW85" t="e">
        <f>AND(Sheet1!H1139,"AAAAAC2++n4=")</f>
        <v>#VALUE!</v>
      </c>
      <c r="DX85" t="e">
        <f>AND(Sheet1!I1139,"AAAAAC2++n8=")</f>
        <v>#VALUE!</v>
      </c>
      <c r="DY85" t="e">
        <f>AND(Sheet1!J1139,"AAAAAC2++oA=")</f>
        <v>#VALUE!</v>
      </c>
      <c r="DZ85" t="e">
        <f>AND(Sheet1!K1139,"AAAAAC2++oE=")</f>
        <v>#VALUE!</v>
      </c>
      <c r="EA85" t="e">
        <f>AND(Sheet1!L1139,"AAAAAC2++oI=")</f>
        <v>#VALUE!</v>
      </c>
      <c r="EB85" t="e">
        <f>AND(Sheet1!M1139,"AAAAAC2++oM=")</f>
        <v>#VALUE!</v>
      </c>
      <c r="EC85" t="e">
        <f>AND(Sheet1!N1139,"AAAAAC2++oQ=")</f>
        <v>#VALUE!</v>
      </c>
      <c r="ED85" t="e">
        <f>AND(Sheet1!#REF!,"AAAAAC2++oU=")</f>
        <v>#REF!</v>
      </c>
      <c r="EE85" t="e">
        <f>AND(Sheet1!#REF!,"AAAAAC2++oY=")</f>
        <v>#REF!</v>
      </c>
      <c r="EF85" t="e">
        <f>AND(Sheet1!#REF!,"AAAAAC2++oc=")</f>
        <v>#REF!</v>
      </c>
      <c r="EG85" t="e">
        <f>AND(Sheet1!#REF!,"AAAAAC2++og=")</f>
        <v>#REF!</v>
      </c>
      <c r="EH85">
        <f>IF(Sheet1!1140:1140,"AAAAAC2++ok=",0)</f>
        <v>0</v>
      </c>
      <c r="EI85" t="e">
        <f>AND(Sheet1!A1140,"AAAAAC2++oo=")</f>
        <v>#VALUE!</v>
      </c>
      <c r="EJ85" t="e">
        <f>AND(Sheet1!B1140,"AAAAAC2++os=")</f>
        <v>#VALUE!</v>
      </c>
      <c r="EK85" t="e">
        <f>AND(Sheet1!C1140,"AAAAAC2++ow=")</f>
        <v>#VALUE!</v>
      </c>
      <c r="EL85" t="e">
        <f>AND(Sheet1!D1140,"AAAAAC2++o0=")</f>
        <v>#VALUE!</v>
      </c>
      <c r="EM85" t="e">
        <f>AND(Sheet1!E1140,"AAAAAC2++o4=")</f>
        <v>#VALUE!</v>
      </c>
      <c r="EN85" t="e">
        <f>AND(Sheet1!F1140,"AAAAAC2++o8=")</f>
        <v>#VALUE!</v>
      </c>
      <c r="EO85" t="e">
        <f>AND(Sheet1!G1140,"AAAAAC2++pA=")</f>
        <v>#VALUE!</v>
      </c>
      <c r="EP85" t="e">
        <f>AND(Sheet1!H1140,"AAAAAC2++pE=")</f>
        <v>#VALUE!</v>
      </c>
      <c r="EQ85" t="e">
        <f>AND(Sheet1!I1140,"AAAAAC2++pI=")</f>
        <v>#VALUE!</v>
      </c>
      <c r="ER85" t="e">
        <f>AND(Sheet1!J1140,"AAAAAC2++pM=")</f>
        <v>#VALUE!</v>
      </c>
      <c r="ES85" t="e">
        <f>AND(Sheet1!K1140,"AAAAAC2++pQ=")</f>
        <v>#VALUE!</v>
      </c>
      <c r="ET85" t="e">
        <f>AND(Sheet1!L1140,"AAAAAC2++pU=")</f>
        <v>#VALUE!</v>
      </c>
      <c r="EU85" t="e">
        <f>AND(Sheet1!M1140,"AAAAAC2++pY=")</f>
        <v>#VALUE!</v>
      </c>
      <c r="EV85" t="e">
        <f>AND(Sheet1!N1140,"AAAAAC2++pc=")</f>
        <v>#VALUE!</v>
      </c>
      <c r="EW85" t="e">
        <f>AND(Sheet1!#REF!,"AAAAAC2++pg=")</f>
        <v>#REF!</v>
      </c>
      <c r="EX85" t="e">
        <f>AND(Sheet1!#REF!,"AAAAAC2++pk=")</f>
        <v>#REF!</v>
      </c>
      <c r="EY85" t="e">
        <f>AND(Sheet1!#REF!,"AAAAAC2++po=")</f>
        <v>#REF!</v>
      </c>
      <c r="EZ85" t="e">
        <f>AND(Sheet1!#REF!,"AAAAAC2++ps=")</f>
        <v>#REF!</v>
      </c>
      <c r="FA85">
        <f>IF(Sheet1!1141:1141,"AAAAAC2++pw=",0)</f>
        <v>0</v>
      </c>
      <c r="FB85" t="e">
        <f>AND(Sheet1!A1141,"AAAAAC2++p0=")</f>
        <v>#VALUE!</v>
      </c>
      <c r="FC85" t="e">
        <f>AND(Sheet1!B1141,"AAAAAC2++p4=")</f>
        <v>#VALUE!</v>
      </c>
      <c r="FD85" t="e">
        <f>AND(Sheet1!C1141,"AAAAAC2++p8=")</f>
        <v>#VALUE!</v>
      </c>
      <c r="FE85" t="e">
        <f>AND(Sheet1!D1141,"AAAAAC2++qA=")</f>
        <v>#VALUE!</v>
      </c>
      <c r="FF85" t="e">
        <f>AND(Sheet1!E1141,"AAAAAC2++qE=")</f>
        <v>#VALUE!</v>
      </c>
      <c r="FG85" t="e">
        <f>AND(Sheet1!F1141,"AAAAAC2++qI=")</f>
        <v>#VALUE!</v>
      </c>
      <c r="FH85" t="e">
        <f>AND(Sheet1!G1141,"AAAAAC2++qM=")</f>
        <v>#VALUE!</v>
      </c>
      <c r="FI85" t="e">
        <f>AND(Sheet1!H1141,"AAAAAC2++qQ=")</f>
        <v>#VALUE!</v>
      </c>
      <c r="FJ85" t="e">
        <f>AND(Sheet1!I1141,"AAAAAC2++qU=")</f>
        <v>#VALUE!</v>
      </c>
      <c r="FK85" t="e">
        <f>AND(Sheet1!J1141,"AAAAAC2++qY=")</f>
        <v>#VALUE!</v>
      </c>
      <c r="FL85" t="e">
        <f>AND(Sheet1!K1141,"AAAAAC2++qc=")</f>
        <v>#VALUE!</v>
      </c>
      <c r="FM85" t="e">
        <f>AND(Sheet1!L1141,"AAAAAC2++qg=")</f>
        <v>#VALUE!</v>
      </c>
      <c r="FN85" t="e">
        <f>AND(Sheet1!M1141,"AAAAAC2++qk=")</f>
        <v>#VALUE!</v>
      </c>
      <c r="FO85" t="e">
        <f>AND(Sheet1!N1141,"AAAAAC2++qo=")</f>
        <v>#VALUE!</v>
      </c>
      <c r="FP85" t="e">
        <f>AND(Sheet1!#REF!,"AAAAAC2++qs=")</f>
        <v>#REF!</v>
      </c>
      <c r="FQ85" t="e">
        <f>AND(Sheet1!#REF!,"AAAAAC2++qw=")</f>
        <v>#REF!</v>
      </c>
      <c r="FR85" t="e">
        <f>AND(Sheet1!#REF!,"AAAAAC2++q0=")</f>
        <v>#REF!</v>
      </c>
      <c r="FS85" t="e">
        <f>AND(Sheet1!#REF!,"AAAAAC2++q4=")</f>
        <v>#REF!</v>
      </c>
      <c r="FT85">
        <f>IF(Sheet1!1142:1142,"AAAAAC2++q8=",0)</f>
        <v>0</v>
      </c>
      <c r="FU85" t="e">
        <f>AND(Sheet1!A1142,"AAAAAC2++rA=")</f>
        <v>#VALUE!</v>
      </c>
      <c r="FV85" t="e">
        <f>AND(Sheet1!B1142,"AAAAAC2++rE=")</f>
        <v>#VALUE!</v>
      </c>
      <c r="FW85" t="e">
        <f>AND(Sheet1!C1142,"AAAAAC2++rI=")</f>
        <v>#VALUE!</v>
      </c>
      <c r="FX85" t="e">
        <f>AND(Sheet1!D1142,"AAAAAC2++rM=")</f>
        <v>#VALUE!</v>
      </c>
      <c r="FY85" t="e">
        <f>AND(Sheet1!E1142,"AAAAAC2++rQ=")</f>
        <v>#VALUE!</v>
      </c>
      <c r="FZ85" t="e">
        <f>AND(Sheet1!F1142,"AAAAAC2++rU=")</f>
        <v>#VALUE!</v>
      </c>
      <c r="GA85" t="e">
        <f>AND(Sheet1!G1142,"AAAAAC2++rY=")</f>
        <v>#VALUE!</v>
      </c>
      <c r="GB85" t="e">
        <f>AND(Sheet1!H1142,"AAAAAC2++rc=")</f>
        <v>#VALUE!</v>
      </c>
      <c r="GC85" t="e">
        <f>AND(Sheet1!I1142,"AAAAAC2++rg=")</f>
        <v>#VALUE!</v>
      </c>
      <c r="GD85" t="e">
        <f>AND(Sheet1!J1142,"AAAAAC2++rk=")</f>
        <v>#VALUE!</v>
      </c>
      <c r="GE85" t="e">
        <f>AND(Sheet1!K1142,"AAAAAC2++ro=")</f>
        <v>#VALUE!</v>
      </c>
      <c r="GF85" t="e">
        <f>AND(Sheet1!L1142,"AAAAAC2++rs=")</f>
        <v>#VALUE!</v>
      </c>
      <c r="GG85" t="e">
        <f>AND(Sheet1!M1142,"AAAAAC2++rw=")</f>
        <v>#VALUE!</v>
      </c>
      <c r="GH85" t="e">
        <f>AND(Sheet1!N1142,"AAAAAC2++r0=")</f>
        <v>#VALUE!</v>
      </c>
      <c r="GI85" t="e">
        <f>AND(Sheet1!#REF!,"AAAAAC2++r4=")</f>
        <v>#REF!</v>
      </c>
      <c r="GJ85" t="e">
        <f>AND(Sheet1!#REF!,"AAAAAC2++r8=")</f>
        <v>#REF!</v>
      </c>
      <c r="GK85" t="e">
        <f>AND(Sheet1!#REF!,"AAAAAC2++sA=")</f>
        <v>#REF!</v>
      </c>
      <c r="GL85" t="e">
        <f>AND(Sheet1!#REF!,"AAAAAC2++sE=")</f>
        <v>#REF!</v>
      </c>
      <c r="GM85">
        <f>IF(Sheet1!1143:1143,"AAAAAC2++sI=",0)</f>
        <v>0</v>
      </c>
      <c r="GN85" t="e">
        <f>AND(Sheet1!A1143,"AAAAAC2++sM=")</f>
        <v>#VALUE!</v>
      </c>
      <c r="GO85" t="e">
        <f>AND(Sheet1!B1143,"AAAAAC2++sQ=")</f>
        <v>#VALUE!</v>
      </c>
      <c r="GP85" t="e">
        <f>AND(Sheet1!C1143,"AAAAAC2++sU=")</f>
        <v>#VALUE!</v>
      </c>
      <c r="GQ85" t="e">
        <f>AND(Sheet1!D1143,"AAAAAC2++sY=")</f>
        <v>#VALUE!</v>
      </c>
      <c r="GR85" t="e">
        <f>AND(Sheet1!E1143,"AAAAAC2++sc=")</f>
        <v>#VALUE!</v>
      </c>
      <c r="GS85" t="e">
        <f>AND(Sheet1!F1143,"AAAAAC2++sg=")</f>
        <v>#VALUE!</v>
      </c>
      <c r="GT85" t="e">
        <f>AND(Sheet1!G1143,"AAAAAC2++sk=")</f>
        <v>#VALUE!</v>
      </c>
      <c r="GU85" t="e">
        <f>AND(Sheet1!H1143,"AAAAAC2++so=")</f>
        <v>#VALUE!</v>
      </c>
      <c r="GV85" t="e">
        <f>AND(Sheet1!I1143,"AAAAAC2++ss=")</f>
        <v>#VALUE!</v>
      </c>
      <c r="GW85" t="e">
        <f>AND(Sheet1!J1143,"AAAAAC2++sw=")</f>
        <v>#VALUE!</v>
      </c>
      <c r="GX85" t="e">
        <f>AND(Sheet1!K1143,"AAAAAC2++s0=")</f>
        <v>#VALUE!</v>
      </c>
      <c r="GY85" t="e">
        <f>AND(Sheet1!L1143,"AAAAAC2++s4=")</f>
        <v>#VALUE!</v>
      </c>
      <c r="GZ85" t="e">
        <f>AND(Sheet1!M1143,"AAAAAC2++s8=")</f>
        <v>#VALUE!</v>
      </c>
      <c r="HA85" t="e">
        <f>AND(Sheet1!N1143,"AAAAAC2++tA=")</f>
        <v>#VALUE!</v>
      </c>
      <c r="HB85" t="e">
        <f>AND(Sheet1!#REF!,"AAAAAC2++tE=")</f>
        <v>#REF!</v>
      </c>
      <c r="HC85" t="e">
        <f>AND(Sheet1!#REF!,"AAAAAC2++tI=")</f>
        <v>#REF!</v>
      </c>
      <c r="HD85" t="e">
        <f>AND(Sheet1!#REF!,"AAAAAC2++tM=")</f>
        <v>#REF!</v>
      </c>
      <c r="HE85" t="e">
        <f>AND(Sheet1!#REF!,"AAAAAC2++tQ=")</f>
        <v>#REF!</v>
      </c>
      <c r="HF85">
        <f>IF(Sheet1!1144:1144,"AAAAAC2++tU=",0)</f>
        <v>0</v>
      </c>
      <c r="HG85" t="e">
        <f>AND(Sheet1!A1144,"AAAAAC2++tY=")</f>
        <v>#VALUE!</v>
      </c>
      <c r="HH85" t="e">
        <f>AND(Sheet1!B1144,"AAAAAC2++tc=")</f>
        <v>#VALUE!</v>
      </c>
      <c r="HI85" t="e">
        <f>AND(Sheet1!C1144,"AAAAAC2++tg=")</f>
        <v>#VALUE!</v>
      </c>
      <c r="HJ85" t="e">
        <f>AND(Sheet1!D1144,"AAAAAC2++tk=")</f>
        <v>#VALUE!</v>
      </c>
      <c r="HK85" t="e">
        <f>AND(Sheet1!E1144,"AAAAAC2++to=")</f>
        <v>#VALUE!</v>
      </c>
      <c r="HL85" t="e">
        <f>AND(Sheet1!F1144,"AAAAAC2++ts=")</f>
        <v>#VALUE!</v>
      </c>
      <c r="HM85" t="e">
        <f>AND(Sheet1!G1144,"AAAAAC2++tw=")</f>
        <v>#VALUE!</v>
      </c>
      <c r="HN85" t="e">
        <f>AND(Sheet1!H1144,"AAAAAC2++t0=")</f>
        <v>#VALUE!</v>
      </c>
      <c r="HO85" t="e">
        <f>AND(Sheet1!I1144,"AAAAAC2++t4=")</f>
        <v>#VALUE!</v>
      </c>
      <c r="HP85" t="e">
        <f>AND(Sheet1!J1144,"AAAAAC2++t8=")</f>
        <v>#VALUE!</v>
      </c>
      <c r="HQ85" t="e">
        <f>AND(Sheet1!K1144,"AAAAAC2++uA=")</f>
        <v>#VALUE!</v>
      </c>
      <c r="HR85" t="e">
        <f>AND(Sheet1!L1144,"AAAAAC2++uE=")</f>
        <v>#VALUE!</v>
      </c>
      <c r="HS85" t="e">
        <f>AND(Sheet1!M1144,"AAAAAC2++uI=")</f>
        <v>#VALUE!</v>
      </c>
      <c r="HT85" t="e">
        <f>AND(Sheet1!N1144,"AAAAAC2++uM=")</f>
        <v>#VALUE!</v>
      </c>
      <c r="HU85" t="e">
        <f>AND(Sheet1!#REF!,"AAAAAC2++uQ=")</f>
        <v>#REF!</v>
      </c>
      <c r="HV85" t="e">
        <f>AND(Sheet1!#REF!,"AAAAAC2++uU=")</f>
        <v>#REF!</v>
      </c>
      <c r="HW85" t="e">
        <f>AND(Sheet1!#REF!,"AAAAAC2++uY=")</f>
        <v>#REF!</v>
      </c>
      <c r="HX85" t="e">
        <f>AND(Sheet1!#REF!,"AAAAAC2++uc=")</f>
        <v>#REF!</v>
      </c>
      <c r="HY85">
        <f>IF(Sheet1!1145:1145,"AAAAAC2++ug=",0)</f>
        <v>0</v>
      </c>
      <c r="HZ85" t="e">
        <f>AND(Sheet1!A1145,"AAAAAC2++uk=")</f>
        <v>#VALUE!</v>
      </c>
      <c r="IA85" t="e">
        <f>AND(Sheet1!B1145,"AAAAAC2++uo=")</f>
        <v>#VALUE!</v>
      </c>
      <c r="IB85" t="e">
        <f>AND(Sheet1!C1145,"AAAAAC2++us=")</f>
        <v>#VALUE!</v>
      </c>
      <c r="IC85" t="e">
        <f>AND(Sheet1!D1145,"AAAAAC2++uw=")</f>
        <v>#VALUE!</v>
      </c>
      <c r="ID85" t="e">
        <f>AND(Sheet1!E1145,"AAAAAC2++u0=")</f>
        <v>#VALUE!</v>
      </c>
      <c r="IE85" t="e">
        <f>AND(Sheet1!F1145,"AAAAAC2++u4=")</f>
        <v>#VALUE!</v>
      </c>
      <c r="IF85" t="e">
        <f>AND(Sheet1!G1145,"AAAAAC2++u8=")</f>
        <v>#VALUE!</v>
      </c>
      <c r="IG85" t="e">
        <f>AND(Sheet1!H1145,"AAAAAC2++vA=")</f>
        <v>#VALUE!</v>
      </c>
      <c r="IH85" t="e">
        <f>AND(Sheet1!I1145,"AAAAAC2++vE=")</f>
        <v>#VALUE!</v>
      </c>
      <c r="II85" t="e">
        <f>AND(Sheet1!J1145,"AAAAAC2++vI=")</f>
        <v>#VALUE!</v>
      </c>
      <c r="IJ85" t="e">
        <f>AND(Sheet1!K1145,"AAAAAC2++vM=")</f>
        <v>#VALUE!</v>
      </c>
      <c r="IK85" t="e">
        <f>AND(Sheet1!L1145,"AAAAAC2++vQ=")</f>
        <v>#VALUE!</v>
      </c>
      <c r="IL85" t="e">
        <f>AND(Sheet1!M1145,"AAAAAC2++vU=")</f>
        <v>#VALUE!</v>
      </c>
      <c r="IM85" t="e">
        <f>AND(Sheet1!N1145,"AAAAAC2++vY=")</f>
        <v>#VALUE!</v>
      </c>
      <c r="IN85" t="e">
        <f>AND(Sheet1!#REF!,"AAAAAC2++vc=")</f>
        <v>#REF!</v>
      </c>
      <c r="IO85" t="e">
        <f>AND(Sheet1!#REF!,"AAAAAC2++vg=")</f>
        <v>#REF!</v>
      </c>
      <c r="IP85" t="e">
        <f>AND(Sheet1!#REF!,"AAAAAC2++vk=")</f>
        <v>#REF!</v>
      </c>
      <c r="IQ85" t="e">
        <f>AND(Sheet1!#REF!,"AAAAAC2++vo=")</f>
        <v>#REF!</v>
      </c>
      <c r="IR85">
        <f>IF(Sheet1!1146:1146,"AAAAAC2++vs=",0)</f>
        <v>0</v>
      </c>
      <c r="IS85" t="e">
        <f>AND(Sheet1!A1146,"AAAAAC2++vw=")</f>
        <v>#VALUE!</v>
      </c>
      <c r="IT85" t="e">
        <f>AND(Sheet1!B1146,"AAAAAC2++v0=")</f>
        <v>#VALUE!</v>
      </c>
      <c r="IU85" t="e">
        <f>AND(Sheet1!C1146,"AAAAAC2++v4=")</f>
        <v>#VALUE!</v>
      </c>
      <c r="IV85" t="e">
        <f>AND(Sheet1!D1146,"AAAAAC2++v8=")</f>
        <v>#VALUE!</v>
      </c>
    </row>
    <row r="86" spans="1:256" x14ac:dyDescent="0.2">
      <c r="A86" t="e">
        <f>AND(Sheet1!E1146,"AAAAAG+vwwA=")</f>
        <v>#VALUE!</v>
      </c>
      <c r="B86" t="e">
        <f>AND(Sheet1!F1146,"AAAAAG+vwwE=")</f>
        <v>#VALUE!</v>
      </c>
      <c r="C86" t="e">
        <f>AND(Sheet1!G1146,"AAAAAG+vwwI=")</f>
        <v>#VALUE!</v>
      </c>
      <c r="D86" t="e">
        <f>AND(Sheet1!H1146,"AAAAAG+vwwM=")</f>
        <v>#VALUE!</v>
      </c>
      <c r="E86" t="e">
        <f>AND(Sheet1!I1146,"AAAAAG+vwwQ=")</f>
        <v>#VALUE!</v>
      </c>
      <c r="F86" t="e">
        <f>AND(Sheet1!J1146,"AAAAAG+vwwU=")</f>
        <v>#VALUE!</v>
      </c>
      <c r="G86" t="e">
        <f>AND(Sheet1!K1146,"AAAAAG+vwwY=")</f>
        <v>#VALUE!</v>
      </c>
      <c r="H86" t="e">
        <f>AND(Sheet1!L1146,"AAAAAG+vwwc=")</f>
        <v>#VALUE!</v>
      </c>
      <c r="I86" t="e">
        <f>AND(Sheet1!M1146,"AAAAAG+vwwg=")</f>
        <v>#VALUE!</v>
      </c>
      <c r="J86" t="e">
        <f>AND(Sheet1!N1146,"AAAAAG+vwwk=")</f>
        <v>#VALUE!</v>
      </c>
      <c r="K86" t="e">
        <f>AND(Sheet1!#REF!,"AAAAAG+vwwo=")</f>
        <v>#REF!</v>
      </c>
      <c r="L86" t="e">
        <f>AND(Sheet1!#REF!,"AAAAAG+vwws=")</f>
        <v>#REF!</v>
      </c>
      <c r="M86" t="e">
        <f>AND(Sheet1!#REF!,"AAAAAG+vwww=")</f>
        <v>#REF!</v>
      </c>
      <c r="N86" t="e">
        <f>AND(Sheet1!#REF!,"AAAAAG+vww0=")</f>
        <v>#REF!</v>
      </c>
      <c r="O86">
        <f>IF(Sheet1!1147:1147,"AAAAAG+vww4=",0)</f>
        <v>0</v>
      </c>
      <c r="P86" t="e">
        <f>AND(Sheet1!A1147,"AAAAAG+vww8=")</f>
        <v>#VALUE!</v>
      </c>
      <c r="Q86" t="e">
        <f>AND(Sheet1!B1147,"AAAAAG+vwxA=")</f>
        <v>#VALUE!</v>
      </c>
      <c r="R86" t="e">
        <f>AND(Sheet1!C1147,"AAAAAG+vwxE=")</f>
        <v>#VALUE!</v>
      </c>
      <c r="S86" t="e">
        <f>AND(Sheet1!D1147,"AAAAAG+vwxI=")</f>
        <v>#VALUE!</v>
      </c>
      <c r="T86" t="e">
        <f>AND(Sheet1!E1147,"AAAAAG+vwxM=")</f>
        <v>#VALUE!</v>
      </c>
      <c r="U86" t="e">
        <f>AND(Sheet1!F1147,"AAAAAG+vwxQ=")</f>
        <v>#VALUE!</v>
      </c>
      <c r="V86" t="e">
        <f>AND(Sheet1!G1147,"AAAAAG+vwxU=")</f>
        <v>#VALUE!</v>
      </c>
      <c r="W86" t="e">
        <f>AND(Sheet1!H1147,"AAAAAG+vwxY=")</f>
        <v>#VALUE!</v>
      </c>
      <c r="X86" t="e">
        <f>AND(Sheet1!I1147,"AAAAAG+vwxc=")</f>
        <v>#VALUE!</v>
      </c>
      <c r="Y86" t="e">
        <f>AND(Sheet1!J1147,"AAAAAG+vwxg=")</f>
        <v>#VALUE!</v>
      </c>
      <c r="Z86" t="e">
        <f>AND(Sheet1!K1147,"AAAAAG+vwxk=")</f>
        <v>#VALUE!</v>
      </c>
      <c r="AA86" t="e">
        <f>AND(Sheet1!L1147,"AAAAAG+vwxo=")</f>
        <v>#VALUE!</v>
      </c>
      <c r="AB86" t="e">
        <f>AND(Sheet1!M1147,"AAAAAG+vwxs=")</f>
        <v>#VALUE!</v>
      </c>
      <c r="AC86" t="e">
        <f>AND(Sheet1!N1147,"AAAAAG+vwxw=")</f>
        <v>#VALUE!</v>
      </c>
      <c r="AD86" t="e">
        <f>AND(Sheet1!#REF!,"AAAAAG+vwx0=")</f>
        <v>#REF!</v>
      </c>
      <c r="AE86" t="e">
        <f>AND(Sheet1!#REF!,"AAAAAG+vwx4=")</f>
        <v>#REF!</v>
      </c>
      <c r="AF86" t="e">
        <f>AND(Sheet1!#REF!,"AAAAAG+vwx8=")</f>
        <v>#REF!</v>
      </c>
      <c r="AG86" t="e">
        <f>AND(Sheet1!#REF!,"AAAAAG+vwyA=")</f>
        <v>#REF!</v>
      </c>
      <c r="AH86">
        <f>IF(Sheet1!1148:1148,"AAAAAG+vwyE=",0)</f>
        <v>0</v>
      </c>
      <c r="AI86" t="e">
        <f>AND(Sheet1!A1148,"AAAAAG+vwyI=")</f>
        <v>#VALUE!</v>
      </c>
      <c r="AJ86" t="e">
        <f>AND(Sheet1!B1148,"AAAAAG+vwyM=")</f>
        <v>#VALUE!</v>
      </c>
      <c r="AK86" t="e">
        <f>AND(Sheet1!C1148,"AAAAAG+vwyQ=")</f>
        <v>#VALUE!</v>
      </c>
      <c r="AL86" t="e">
        <f>AND(Sheet1!D1148,"AAAAAG+vwyU=")</f>
        <v>#VALUE!</v>
      </c>
      <c r="AM86" t="e">
        <f>AND(Sheet1!E1148,"AAAAAG+vwyY=")</f>
        <v>#VALUE!</v>
      </c>
      <c r="AN86" t="e">
        <f>AND(Sheet1!F1148,"AAAAAG+vwyc=")</f>
        <v>#VALUE!</v>
      </c>
      <c r="AO86" t="e">
        <f>AND(Sheet1!G1148,"AAAAAG+vwyg=")</f>
        <v>#VALUE!</v>
      </c>
      <c r="AP86" t="e">
        <f>AND(Sheet1!H1148,"AAAAAG+vwyk=")</f>
        <v>#VALUE!</v>
      </c>
      <c r="AQ86" t="e">
        <f>AND(Sheet1!I1148,"AAAAAG+vwyo=")</f>
        <v>#VALUE!</v>
      </c>
      <c r="AR86" t="e">
        <f>AND(Sheet1!J1148,"AAAAAG+vwys=")</f>
        <v>#VALUE!</v>
      </c>
      <c r="AS86" t="e">
        <f>AND(Sheet1!K1148,"AAAAAG+vwyw=")</f>
        <v>#VALUE!</v>
      </c>
      <c r="AT86" t="e">
        <f>AND(Sheet1!L1148,"AAAAAG+vwy0=")</f>
        <v>#VALUE!</v>
      </c>
      <c r="AU86" t="e">
        <f>AND(Sheet1!M1148,"AAAAAG+vwy4=")</f>
        <v>#VALUE!</v>
      </c>
      <c r="AV86" t="e">
        <f>AND(Sheet1!N1148,"AAAAAG+vwy8=")</f>
        <v>#VALUE!</v>
      </c>
      <c r="AW86" t="e">
        <f>AND(Sheet1!#REF!,"AAAAAG+vwzA=")</f>
        <v>#REF!</v>
      </c>
      <c r="AX86" t="e">
        <f>AND(Sheet1!#REF!,"AAAAAG+vwzE=")</f>
        <v>#REF!</v>
      </c>
      <c r="AY86" t="e">
        <f>AND(Sheet1!#REF!,"AAAAAG+vwzI=")</f>
        <v>#REF!</v>
      </c>
      <c r="AZ86" t="e">
        <f>AND(Sheet1!#REF!,"AAAAAG+vwzM=")</f>
        <v>#REF!</v>
      </c>
      <c r="BA86">
        <f>IF(Sheet1!1149:1149,"AAAAAG+vwzQ=",0)</f>
        <v>0</v>
      </c>
      <c r="BB86" t="e">
        <f>AND(Sheet1!A1149,"AAAAAG+vwzU=")</f>
        <v>#VALUE!</v>
      </c>
      <c r="BC86" t="e">
        <f>AND(Sheet1!B1149,"AAAAAG+vwzY=")</f>
        <v>#VALUE!</v>
      </c>
      <c r="BD86" t="e">
        <f>AND(Sheet1!C1149,"AAAAAG+vwzc=")</f>
        <v>#VALUE!</v>
      </c>
      <c r="BE86" t="e">
        <f>AND(Sheet1!D1149,"AAAAAG+vwzg=")</f>
        <v>#VALUE!</v>
      </c>
      <c r="BF86" t="e">
        <f>AND(Sheet1!E1149,"AAAAAG+vwzk=")</f>
        <v>#VALUE!</v>
      </c>
      <c r="BG86" t="e">
        <f>AND(Sheet1!F1149,"AAAAAG+vwzo=")</f>
        <v>#VALUE!</v>
      </c>
      <c r="BH86" t="e">
        <f>AND(Sheet1!G1149,"AAAAAG+vwzs=")</f>
        <v>#VALUE!</v>
      </c>
      <c r="BI86" t="e">
        <f>AND(Sheet1!H1149,"AAAAAG+vwzw=")</f>
        <v>#VALUE!</v>
      </c>
      <c r="BJ86" t="e">
        <f>AND(Sheet1!I1149,"AAAAAG+vwz0=")</f>
        <v>#VALUE!</v>
      </c>
      <c r="BK86" t="e">
        <f>AND(Sheet1!J1149,"AAAAAG+vwz4=")</f>
        <v>#VALUE!</v>
      </c>
      <c r="BL86" t="e">
        <f>AND(Sheet1!K1149,"AAAAAG+vwz8=")</f>
        <v>#VALUE!</v>
      </c>
      <c r="BM86" t="e">
        <f>AND(Sheet1!L1149,"AAAAAG+vw0A=")</f>
        <v>#VALUE!</v>
      </c>
      <c r="BN86" t="e">
        <f>AND(Sheet1!M1149,"AAAAAG+vw0E=")</f>
        <v>#VALUE!</v>
      </c>
      <c r="BO86" t="e">
        <f>AND(Sheet1!N1149,"AAAAAG+vw0I=")</f>
        <v>#VALUE!</v>
      </c>
      <c r="BP86" t="e">
        <f>AND(Sheet1!#REF!,"AAAAAG+vw0M=")</f>
        <v>#REF!</v>
      </c>
      <c r="BQ86" t="e">
        <f>AND(Sheet1!#REF!,"AAAAAG+vw0Q=")</f>
        <v>#REF!</v>
      </c>
      <c r="BR86" t="e">
        <f>AND(Sheet1!#REF!,"AAAAAG+vw0U=")</f>
        <v>#REF!</v>
      </c>
      <c r="BS86" t="e">
        <f>AND(Sheet1!#REF!,"AAAAAG+vw0Y=")</f>
        <v>#REF!</v>
      </c>
      <c r="BT86">
        <f>IF(Sheet1!1150:1150,"AAAAAG+vw0c=",0)</f>
        <v>0</v>
      </c>
      <c r="BU86" t="e">
        <f>AND(Sheet1!A1150,"AAAAAG+vw0g=")</f>
        <v>#VALUE!</v>
      </c>
      <c r="BV86" t="e">
        <f>AND(Sheet1!B1150,"AAAAAG+vw0k=")</f>
        <v>#VALUE!</v>
      </c>
      <c r="BW86" t="e">
        <f>AND(Sheet1!C1150,"AAAAAG+vw0o=")</f>
        <v>#VALUE!</v>
      </c>
      <c r="BX86" t="e">
        <f>AND(Sheet1!D1150,"AAAAAG+vw0s=")</f>
        <v>#VALUE!</v>
      </c>
      <c r="BY86" t="e">
        <f>AND(Sheet1!E1150,"AAAAAG+vw0w=")</f>
        <v>#VALUE!</v>
      </c>
      <c r="BZ86" t="e">
        <f>AND(Sheet1!F1150,"AAAAAG+vw00=")</f>
        <v>#VALUE!</v>
      </c>
      <c r="CA86" t="e">
        <f>AND(Sheet1!G1150,"AAAAAG+vw04=")</f>
        <v>#VALUE!</v>
      </c>
      <c r="CB86" t="e">
        <f>AND(Sheet1!H1150,"AAAAAG+vw08=")</f>
        <v>#VALUE!</v>
      </c>
      <c r="CC86" t="e">
        <f>AND(Sheet1!I1150,"AAAAAG+vw1A=")</f>
        <v>#VALUE!</v>
      </c>
      <c r="CD86" t="e">
        <f>AND(Sheet1!J1150,"AAAAAG+vw1E=")</f>
        <v>#VALUE!</v>
      </c>
      <c r="CE86" t="e">
        <f>AND(Sheet1!K1150,"AAAAAG+vw1I=")</f>
        <v>#VALUE!</v>
      </c>
      <c r="CF86" t="e">
        <f>AND(Sheet1!L1150,"AAAAAG+vw1M=")</f>
        <v>#VALUE!</v>
      </c>
      <c r="CG86" t="e">
        <f>AND(Sheet1!M1150,"AAAAAG+vw1Q=")</f>
        <v>#VALUE!</v>
      </c>
      <c r="CH86" t="e">
        <f>AND(Sheet1!N1150,"AAAAAG+vw1U=")</f>
        <v>#VALUE!</v>
      </c>
      <c r="CI86" t="e">
        <f>AND(Sheet1!#REF!,"AAAAAG+vw1Y=")</f>
        <v>#REF!</v>
      </c>
      <c r="CJ86" t="e">
        <f>AND(Sheet1!#REF!,"AAAAAG+vw1c=")</f>
        <v>#REF!</v>
      </c>
      <c r="CK86" t="e">
        <f>AND(Sheet1!#REF!,"AAAAAG+vw1g=")</f>
        <v>#REF!</v>
      </c>
      <c r="CL86" t="e">
        <f>AND(Sheet1!#REF!,"AAAAAG+vw1k=")</f>
        <v>#REF!</v>
      </c>
      <c r="CM86">
        <f>IF(Sheet1!1151:1151,"AAAAAG+vw1o=",0)</f>
        <v>0</v>
      </c>
      <c r="CN86" t="e">
        <f>AND(Sheet1!A1151,"AAAAAG+vw1s=")</f>
        <v>#VALUE!</v>
      </c>
      <c r="CO86" t="e">
        <f>AND(Sheet1!B1151,"AAAAAG+vw1w=")</f>
        <v>#VALUE!</v>
      </c>
      <c r="CP86" t="e">
        <f>AND(Sheet1!C1151,"AAAAAG+vw10=")</f>
        <v>#VALUE!</v>
      </c>
      <c r="CQ86" t="e">
        <f>AND(Sheet1!D1151,"AAAAAG+vw14=")</f>
        <v>#VALUE!</v>
      </c>
      <c r="CR86" t="e">
        <f>AND(Sheet1!E1151,"AAAAAG+vw18=")</f>
        <v>#VALUE!</v>
      </c>
      <c r="CS86" t="e">
        <f>AND(Sheet1!F1151,"AAAAAG+vw2A=")</f>
        <v>#VALUE!</v>
      </c>
      <c r="CT86" t="e">
        <f>AND(Sheet1!G1151,"AAAAAG+vw2E=")</f>
        <v>#VALUE!</v>
      </c>
      <c r="CU86" t="e">
        <f>AND(Sheet1!H1151,"AAAAAG+vw2I=")</f>
        <v>#VALUE!</v>
      </c>
      <c r="CV86" t="e">
        <f>AND(Sheet1!I1151,"AAAAAG+vw2M=")</f>
        <v>#VALUE!</v>
      </c>
      <c r="CW86" t="e">
        <f>AND(Sheet1!J1151,"AAAAAG+vw2Q=")</f>
        <v>#VALUE!</v>
      </c>
      <c r="CX86" t="e">
        <f>AND(Sheet1!K1151,"AAAAAG+vw2U=")</f>
        <v>#VALUE!</v>
      </c>
      <c r="CY86" t="e">
        <f>AND(Sheet1!L1151,"AAAAAG+vw2Y=")</f>
        <v>#VALUE!</v>
      </c>
      <c r="CZ86" t="e">
        <f>AND(Sheet1!M1151,"AAAAAG+vw2c=")</f>
        <v>#VALUE!</v>
      </c>
      <c r="DA86" t="e">
        <f>AND(Sheet1!N1151,"AAAAAG+vw2g=")</f>
        <v>#VALUE!</v>
      </c>
      <c r="DB86" t="e">
        <f>AND(Sheet1!#REF!,"AAAAAG+vw2k=")</f>
        <v>#REF!</v>
      </c>
      <c r="DC86" t="e">
        <f>AND(Sheet1!#REF!,"AAAAAG+vw2o=")</f>
        <v>#REF!</v>
      </c>
      <c r="DD86" t="e">
        <f>AND(Sheet1!#REF!,"AAAAAG+vw2s=")</f>
        <v>#REF!</v>
      </c>
      <c r="DE86" t="e">
        <f>AND(Sheet1!#REF!,"AAAAAG+vw2w=")</f>
        <v>#REF!</v>
      </c>
      <c r="DF86">
        <f>IF(Sheet1!1152:1152,"AAAAAG+vw20=",0)</f>
        <v>0</v>
      </c>
      <c r="DG86" t="e">
        <f>AND(Sheet1!A1152,"AAAAAG+vw24=")</f>
        <v>#VALUE!</v>
      </c>
      <c r="DH86" t="e">
        <f>AND(Sheet1!B1152,"AAAAAG+vw28=")</f>
        <v>#VALUE!</v>
      </c>
      <c r="DI86" t="e">
        <f>AND(Sheet1!C1152,"AAAAAG+vw3A=")</f>
        <v>#VALUE!</v>
      </c>
      <c r="DJ86" t="e">
        <f>AND(Sheet1!D1152,"AAAAAG+vw3E=")</f>
        <v>#VALUE!</v>
      </c>
      <c r="DK86" t="e">
        <f>AND(Sheet1!E1152,"AAAAAG+vw3I=")</f>
        <v>#VALUE!</v>
      </c>
      <c r="DL86" t="e">
        <f>AND(Sheet1!F1152,"AAAAAG+vw3M=")</f>
        <v>#VALUE!</v>
      </c>
      <c r="DM86" t="e">
        <f>AND(Sheet1!G1152,"AAAAAG+vw3Q=")</f>
        <v>#VALUE!</v>
      </c>
      <c r="DN86" t="e">
        <f>AND(Sheet1!H1152,"AAAAAG+vw3U=")</f>
        <v>#VALUE!</v>
      </c>
      <c r="DO86" t="e">
        <f>AND(Sheet1!I1152,"AAAAAG+vw3Y=")</f>
        <v>#VALUE!</v>
      </c>
      <c r="DP86" t="e">
        <f>AND(Sheet1!J1152,"AAAAAG+vw3c=")</f>
        <v>#VALUE!</v>
      </c>
      <c r="DQ86" t="e">
        <f>AND(Sheet1!K1152,"AAAAAG+vw3g=")</f>
        <v>#VALUE!</v>
      </c>
      <c r="DR86" t="e">
        <f>AND(Sheet1!L1152,"AAAAAG+vw3k=")</f>
        <v>#VALUE!</v>
      </c>
      <c r="DS86" t="e">
        <f>AND(Sheet1!M1152,"AAAAAG+vw3o=")</f>
        <v>#VALUE!</v>
      </c>
      <c r="DT86" t="e">
        <f>AND(Sheet1!N1152,"AAAAAG+vw3s=")</f>
        <v>#VALUE!</v>
      </c>
      <c r="DU86" t="e">
        <f>AND(Sheet1!#REF!,"AAAAAG+vw3w=")</f>
        <v>#REF!</v>
      </c>
      <c r="DV86" t="e">
        <f>AND(Sheet1!#REF!,"AAAAAG+vw30=")</f>
        <v>#REF!</v>
      </c>
      <c r="DW86" t="e">
        <f>AND(Sheet1!#REF!,"AAAAAG+vw34=")</f>
        <v>#REF!</v>
      </c>
      <c r="DX86" t="e">
        <f>AND(Sheet1!#REF!,"AAAAAG+vw38=")</f>
        <v>#REF!</v>
      </c>
      <c r="DY86">
        <f>IF(Sheet1!1153:1153,"AAAAAG+vw4A=",0)</f>
        <v>0</v>
      </c>
      <c r="DZ86" t="e">
        <f>AND(Sheet1!A1153,"AAAAAG+vw4E=")</f>
        <v>#VALUE!</v>
      </c>
      <c r="EA86" t="e">
        <f>AND(Sheet1!B1153,"AAAAAG+vw4I=")</f>
        <v>#VALUE!</v>
      </c>
      <c r="EB86" t="e">
        <f>AND(Sheet1!C1153,"AAAAAG+vw4M=")</f>
        <v>#VALUE!</v>
      </c>
      <c r="EC86" t="e">
        <f>AND(Sheet1!D1153,"AAAAAG+vw4Q=")</f>
        <v>#VALUE!</v>
      </c>
      <c r="ED86" t="e">
        <f>AND(Sheet1!E1153,"AAAAAG+vw4U=")</f>
        <v>#VALUE!</v>
      </c>
      <c r="EE86" t="e">
        <f>AND(Sheet1!F1153,"AAAAAG+vw4Y=")</f>
        <v>#VALUE!</v>
      </c>
      <c r="EF86" t="e">
        <f>AND(Sheet1!G1153,"AAAAAG+vw4c=")</f>
        <v>#VALUE!</v>
      </c>
      <c r="EG86" t="e">
        <f>AND(Sheet1!H1153,"AAAAAG+vw4g=")</f>
        <v>#VALUE!</v>
      </c>
      <c r="EH86" t="e">
        <f>AND(Sheet1!I1153,"AAAAAG+vw4k=")</f>
        <v>#VALUE!</v>
      </c>
      <c r="EI86" t="e">
        <f>AND(Sheet1!J1153,"AAAAAG+vw4o=")</f>
        <v>#VALUE!</v>
      </c>
      <c r="EJ86" t="e">
        <f>AND(Sheet1!K1153,"AAAAAG+vw4s=")</f>
        <v>#VALUE!</v>
      </c>
      <c r="EK86" t="e">
        <f>AND(Sheet1!L1153,"AAAAAG+vw4w=")</f>
        <v>#VALUE!</v>
      </c>
      <c r="EL86" t="e">
        <f>AND(Sheet1!M1153,"AAAAAG+vw40=")</f>
        <v>#VALUE!</v>
      </c>
      <c r="EM86" t="e">
        <f>AND(Sheet1!N1153,"AAAAAG+vw44=")</f>
        <v>#VALUE!</v>
      </c>
      <c r="EN86" t="e">
        <f>AND(Sheet1!#REF!,"AAAAAG+vw48=")</f>
        <v>#REF!</v>
      </c>
      <c r="EO86" t="e">
        <f>AND(Sheet1!#REF!,"AAAAAG+vw5A=")</f>
        <v>#REF!</v>
      </c>
      <c r="EP86" t="e">
        <f>AND(Sheet1!#REF!,"AAAAAG+vw5E=")</f>
        <v>#REF!</v>
      </c>
      <c r="EQ86" t="e">
        <f>AND(Sheet1!#REF!,"AAAAAG+vw5I=")</f>
        <v>#REF!</v>
      </c>
      <c r="ER86">
        <f>IF(Sheet1!1154:1154,"AAAAAG+vw5M=",0)</f>
        <v>0</v>
      </c>
      <c r="ES86" t="e">
        <f>AND(Sheet1!A1154,"AAAAAG+vw5Q=")</f>
        <v>#VALUE!</v>
      </c>
      <c r="ET86" t="e">
        <f>AND(Sheet1!B1154,"AAAAAG+vw5U=")</f>
        <v>#VALUE!</v>
      </c>
      <c r="EU86" t="e">
        <f>AND(Sheet1!C1154,"AAAAAG+vw5Y=")</f>
        <v>#VALUE!</v>
      </c>
      <c r="EV86" t="e">
        <f>AND(Sheet1!D1154,"AAAAAG+vw5c=")</f>
        <v>#VALUE!</v>
      </c>
      <c r="EW86" t="e">
        <f>AND(Sheet1!E1154,"AAAAAG+vw5g=")</f>
        <v>#VALUE!</v>
      </c>
      <c r="EX86" t="e">
        <f>AND(Sheet1!F1154,"AAAAAG+vw5k=")</f>
        <v>#VALUE!</v>
      </c>
      <c r="EY86" t="e">
        <f>AND(Sheet1!G1154,"AAAAAG+vw5o=")</f>
        <v>#VALUE!</v>
      </c>
      <c r="EZ86" t="e">
        <f>AND(Sheet1!H1154,"AAAAAG+vw5s=")</f>
        <v>#VALUE!</v>
      </c>
      <c r="FA86" t="e">
        <f>AND(Sheet1!I1154,"AAAAAG+vw5w=")</f>
        <v>#VALUE!</v>
      </c>
      <c r="FB86" t="e">
        <f>AND(Sheet1!J1154,"AAAAAG+vw50=")</f>
        <v>#VALUE!</v>
      </c>
      <c r="FC86" t="e">
        <f>AND(Sheet1!K1154,"AAAAAG+vw54=")</f>
        <v>#VALUE!</v>
      </c>
      <c r="FD86" t="e">
        <f>AND(Sheet1!L1154,"AAAAAG+vw58=")</f>
        <v>#VALUE!</v>
      </c>
      <c r="FE86" t="e">
        <f>AND(Sheet1!M1154,"AAAAAG+vw6A=")</f>
        <v>#VALUE!</v>
      </c>
      <c r="FF86" t="e">
        <f>AND(Sheet1!N1154,"AAAAAG+vw6E=")</f>
        <v>#VALUE!</v>
      </c>
      <c r="FG86" t="e">
        <f>AND(Sheet1!#REF!,"AAAAAG+vw6I=")</f>
        <v>#REF!</v>
      </c>
      <c r="FH86" t="e">
        <f>AND(Sheet1!#REF!,"AAAAAG+vw6M=")</f>
        <v>#REF!</v>
      </c>
      <c r="FI86" t="e">
        <f>AND(Sheet1!#REF!,"AAAAAG+vw6Q=")</f>
        <v>#REF!</v>
      </c>
      <c r="FJ86" t="e">
        <f>AND(Sheet1!#REF!,"AAAAAG+vw6U=")</f>
        <v>#REF!</v>
      </c>
      <c r="FK86">
        <f>IF(Sheet1!1155:1155,"AAAAAG+vw6Y=",0)</f>
        <v>0</v>
      </c>
      <c r="FL86" t="e">
        <f>AND(Sheet1!A1155,"AAAAAG+vw6c=")</f>
        <v>#VALUE!</v>
      </c>
      <c r="FM86" t="e">
        <f>AND(Sheet1!B1155,"AAAAAG+vw6g=")</f>
        <v>#VALUE!</v>
      </c>
      <c r="FN86" t="e">
        <f>AND(Sheet1!C1155,"AAAAAG+vw6k=")</f>
        <v>#VALUE!</v>
      </c>
      <c r="FO86" t="e">
        <f>AND(Sheet1!D1155,"AAAAAG+vw6o=")</f>
        <v>#VALUE!</v>
      </c>
      <c r="FP86" t="e">
        <f>AND(Sheet1!E1155,"AAAAAG+vw6s=")</f>
        <v>#VALUE!</v>
      </c>
      <c r="FQ86" t="e">
        <f>AND(Sheet1!F1155,"AAAAAG+vw6w=")</f>
        <v>#VALUE!</v>
      </c>
      <c r="FR86" t="e">
        <f>AND(Sheet1!G1155,"AAAAAG+vw60=")</f>
        <v>#VALUE!</v>
      </c>
      <c r="FS86" t="e">
        <f>AND(Sheet1!H1155,"AAAAAG+vw64=")</f>
        <v>#VALUE!</v>
      </c>
      <c r="FT86" t="e">
        <f>AND(Sheet1!I1155,"AAAAAG+vw68=")</f>
        <v>#VALUE!</v>
      </c>
      <c r="FU86" t="e">
        <f>AND(Sheet1!J1155,"AAAAAG+vw7A=")</f>
        <v>#VALUE!</v>
      </c>
      <c r="FV86" t="e">
        <f>AND(Sheet1!K1155,"AAAAAG+vw7E=")</f>
        <v>#VALUE!</v>
      </c>
      <c r="FW86" t="e">
        <f>AND(Sheet1!L1155,"AAAAAG+vw7I=")</f>
        <v>#VALUE!</v>
      </c>
      <c r="FX86" t="e">
        <f>AND(Sheet1!M1155,"AAAAAG+vw7M=")</f>
        <v>#VALUE!</v>
      </c>
      <c r="FY86" t="e">
        <f>AND(Sheet1!N1155,"AAAAAG+vw7Q=")</f>
        <v>#VALUE!</v>
      </c>
      <c r="FZ86" t="e">
        <f>AND(Sheet1!#REF!,"AAAAAG+vw7U=")</f>
        <v>#REF!</v>
      </c>
      <c r="GA86" t="e">
        <f>AND(Sheet1!#REF!,"AAAAAG+vw7Y=")</f>
        <v>#REF!</v>
      </c>
      <c r="GB86" t="e">
        <f>AND(Sheet1!#REF!,"AAAAAG+vw7c=")</f>
        <v>#REF!</v>
      </c>
      <c r="GC86" t="e">
        <f>AND(Sheet1!#REF!,"AAAAAG+vw7g=")</f>
        <v>#REF!</v>
      </c>
      <c r="GD86">
        <f>IF(Sheet1!1156:1156,"AAAAAG+vw7k=",0)</f>
        <v>0</v>
      </c>
      <c r="GE86" t="e">
        <f>AND(Sheet1!A1156,"AAAAAG+vw7o=")</f>
        <v>#VALUE!</v>
      </c>
      <c r="GF86" t="e">
        <f>AND(Sheet1!B1156,"AAAAAG+vw7s=")</f>
        <v>#VALUE!</v>
      </c>
      <c r="GG86" t="e">
        <f>AND(Sheet1!C1156,"AAAAAG+vw7w=")</f>
        <v>#VALUE!</v>
      </c>
      <c r="GH86" t="e">
        <f>AND(Sheet1!D1156,"AAAAAG+vw70=")</f>
        <v>#VALUE!</v>
      </c>
      <c r="GI86" t="e">
        <f>AND(Sheet1!E1156,"AAAAAG+vw74=")</f>
        <v>#VALUE!</v>
      </c>
      <c r="GJ86" t="e">
        <f>AND(Sheet1!F1156,"AAAAAG+vw78=")</f>
        <v>#VALUE!</v>
      </c>
      <c r="GK86" t="e">
        <f>AND(Sheet1!G1156,"AAAAAG+vw8A=")</f>
        <v>#VALUE!</v>
      </c>
      <c r="GL86" t="e">
        <f>AND(Sheet1!H1156,"AAAAAG+vw8E=")</f>
        <v>#VALUE!</v>
      </c>
      <c r="GM86" t="e">
        <f>AND(Sheet1!I1156,"AAAAAG+vw8I=")</f>
        <v>#VALUE!</v>
      </c>
      <c r="GN86" t="e">
        <f>AND(Sheet1!J1156,"AAAAAG+vw8M=")</f>
        <v>#VALUE!</v>
      </c>
      <c r="GO86" t="e">
        <f>AND(Sheet1!K1156,"AAAAAG+vw8Q=")</f>
        <v>#VALUE!</v>
      </c>
      <c r="GP86" t="e">
        <f>AND(Sheet1!L1156,"AAAAAG+vw8U=")</f>
        <v>#VALUE!</v>
      </c>
      <c r="GQ86" t="e">
        <f>AND(Sheet1!M1156,"AAAAAG+vw8Y=")</f>
        <v>#VALUE!</v>
      </c>
      <c r="GR86" t="e">
        <f>AND(Sheet1!N1156,"AAAAAG+vw8c=")</f>
        <v>#VALUE!</v>
      </c>
      <c r="GS86" t="e">
        <f>AND(Sheet1!#REF!,"AAAAAG+vw8g=")</f>
        <v>#REF!</v>
      </c>
      <c r="GT86" t="e">
        <f>AND(Sheet1!#REF!,"AAAAAG+vw8k=")</f>
        <v>#REF!</v>
      </c>
      <c r="GU86" t="e">
        <f>AND(Sheet1!#REF!,"AAAAAG+vw8o=")</f>
        <v>#REF!</v>
      </c>
      <c r="GV86" t="e">
        <f>AND(Sheet1!#REF!,"AAAAAG+vw8s=")</f>
        <v>#REF!</v>
      </c>
      <c r="GW86">
        <f>IF(Sheet1!1157:1157,"AAAAAG+vw8w=",0)</f>
        <v>0</v>
      </c>
      <c r="GX86" t="e">
        <f>AND(Sheet1!A1157,"AAAAAG+vw80=")</f>
        <v>#VALUE!</v>
      </c>
      <c r="GY86" t="e">
        <f>AND(Sheet1!B1157,"AAAAAG+vw84=")</f>
        <v>#VALUE!</v>
      </c>
      <c r="GZ86" t="e">
        <f>AND(Sheet1!C1157,"AAAAAG+vw88=")</f>
        <v>#VALUE!</v>
      </c>
      <c r="HA86" t="e">
        <f>AND(Sheet1!D1157,"AAAAAG+vw9A=")</f>
        <v>#VALUE!</v>
      </c>
      <c r="HB86" t="e">
        <f>AND(Sheet1!E1157,"AAAAAG+vw9E=")</f>
        <v>#VALUE!</v>
      </c>
      <c r="HC86" t="e">
        <f>AND(Sheet1!F1157,"AAAAAG+vw9I=")</f>
        <v>#VALUE!</v>
      </c>
      <c r="HD86" t="e">
        <f>AND(Sheet1!G1157,"AAAAAG+vw9M=")</f>
        <v>#VALUE!</v>
      </c>
      <c r="HE86" t="e">
        <f>AND(Sheet1!H1157,"AAAAAG+vw9Q=")</f>
        <v>#VALUE!</v>
      </c>
      <c r="HF86" t="e">
        <f>AND(Sheet1!I1157,"AAAAAG+vw9U=")</f>
        <v>#VALUE!</v>
      </c>
      <c r="HG86" t="e">
        <f>AND(Sheet1!J1157,"AAAAAG+vw9Y=")</f>
        <v>#VALUE!</v>
      </c>
      <c r="HH86" t="e">
        <f>AND(Sheet1!K1157,"AAAAAG+vw9c=")</f>
        <v>#VALUE!</v>
      </c>
      <c r="HI86" t="e">
        <f>AND(Sheet1!L1157,"AAAAAG+vw9g=")</f>
        <v>#VALUE!</v>
      </c>
      <c r="HJ86" t="e">
        <f>AND(Sheet1!M1157,"AAAAAG+vw9k=")</f>
        <v>#VALUE!</v>
      </c>
      <c r="HK86" t="e">
        <f>AND(Sheet1!N1157,"AAAAAG+vw9o=")</f>
        <v>#VALUE!</v>
      </c>
      <c r="HL86" t="e">
        <f>AND(Sheet1!#REF!,"AAAAAG+vw9s=")</f>
        <v>#REF!</v>
      </c>
      <c r="HM86" t="e">
        <f>AND(Sheet1!#REF!,"AAAAAG+vw9w=")</f>
        <v>#REF!</v>
      </c>
      <c r="HN86" t="e">
        <f>AND(Sheet1!#REF!,"AAAAAG+vw90=")</f>
        <v>#REF!</v>
      </c>
      <c r="HO86" t="e">
        <f>AND(Sheet1!#REF!,"AAAAAG+vw94=")</f>
        <v>#REF!</v>
      </c>
      <c r="HP86">
        <f>IF(Sheet1!1158:1158,"AAAAAG+vw98=",0)</f>
        <v>0</v>
      </c>
      <c r="HQ86" t="e">
        <f>AND(Sheet1!A1158,"AAAAAG+vw+A=")</f>
        <v>#VALUE!</v>
      </c>
      <c r="HR86" t="e">
        <f>AND(Sheet1!B1158,"AAAAAG+vw+E=")</f>
        <v>#VALUE!</v>
      </c>
      <c r="HS86" t="e">
        <f>AND(Sheet1!C1158,"AAAAAG+vw+I=")</f>
        <v>#VALUE!</v>
      </c>
      <c r="HT86" t="e">
        <f>AND(Sheet1!D1158,"AAAAAG+vw+M=")</f>
        <v>#VALUE!</v>
      </c>
      <c r="HU86" t="e">
        <f>AND(Sheet1!E1158,"AAAAAG+vw+Q=")</f>
        <v>#VALUE!</v>
      </c>
      <c r="HV86" t="e">
        <f>AND(Sheet1!F1158,"AAAAAG+vw+U=")</f>
        <v>#VALUE!</v>
      </c>
      <c r="HW86" t="e">
        <f>AND(Sheet1!G1158,"AAAAAG+vw+Y=")</f>
        <v>#VALUE!</v>
      </c>
      <c r="HX86" t="e">
        <f>AND(Sheet1!H1158,"AAAAAG+vw+c=")</f>
        <v>#VALUE!</v>
      </c>
      <c r="HY86" t="e">
        <f>AND(Sheet1!I1158,"AAAAAG+vw+g=")</f>
        <v>#VALUE!</v>
      </c>
      <c r="HZ86" t="e">
        <f>AND(Sheet1!J1158,"AAAAAG+vw+k=")</f>
        <v>#VALUE!</v>
      </c>
      <c r="IA86" t="e">
        <f>AND(Sheet1!K1158,"AAAAAG+vw+o=")</f>
        <v>#VALUE!</v>
      </c>
      <c r="IB86" t="e">
        <f>AND(Sheet1!L1158,"AAAAAG+vw+s=")</f>
        <v>#VALUE!</v>
      </c>
      <c r="IC86" t="e">
        <f>AND(Sheet1!M1158,"AAAAAG+vw+w=")</f>
        <v>#VALUE!</v>
      </c>
      <c r="ID86" t="e">
        <f>AND(Sheet1!N1158,"AAAAAG+vw+0=")</f>
        <v>#VALUE!</v>
      </c>
      <c r="IE86" t="e">
        <f>AND(Sheet1!#REF!,"AAAAAG+vw+4=")</f>
        <v>#REF!</v>
      </c>
      <c r="IF86" t="e">
        <f>AND(Sheet1!#REF!,"AAAAAG+vw+8=")</f>
        <v>#REF!</v>
      </c>
      <c r="IG86" t="e">
        <f>AND(Sheet1!#REF!,"AAAAAG+vw/A=")</f>
        <v>#REF!</v>
      </c>
      <c r="IH86" t="e">
        <f>AND(Sheet1!#REF!,"AAAAAG+vw/E=")</f>
        <v>#REF!</v>
      </c>
      <c r="II86">
        <f>IF(Sheet1!1159:1159,"AAAAAG+vw/I=",0)</f>
        <v>0</v>
      </c>
      <c r="IJ86" t="e">
        <f>AND(Sheet1!A1159,"AAAAAG+vw/M=")</f>
        <v>#VALUE!</v>
      </c>
      <c r="IK86" t="e">
        <f>AND(Sheet1!B1159,"AAAAAG+vw/Q=")</f>
        <v>#VALUE!</v>
      </c>
      <c r="IL86" t="e">
        <f>AND(Sheet1!C1159,"AAAAAG+vw/U=")</f>
        <v>#VALUE!</v>
      </c>
      <c r="IM86" t="e">
        <f>AND(Sheet1!D1159,"AAAAAG+vw/Y=")</f>
        <v>#VALUE!</v>
      </c>
      <c r="IN86" t="e">
        <f>AND(Sheet1!E1159,"AAAAAG+vw/c=")</f>
        <v>#VALUE!</v>
      </c>
      <c r="IO86" t="e">
        <f>AND(Sheet1!F1159,"AAAAAG+vw/g=")</f>
        <v>#VALUE!</v>
      </c>
      <c r="IP86" t="e">
        <f>AND(Sheet1!G1159,"AAAAAG+vw/k=")</f>
        <v>#VALUE!</v>
      </c>
      <c r="IQ86" t="e">
        <f>AND(Sheet1!H1159,"AAAAAG+vw/o=")</f>
        <v>#VALUE!</v>
      </c>
      <c r="IR86" t="e">
        <f>AND(Sheet1!I1159,"AAAAAG+vw/s=")</f>
        <v>#VALUE!</v>
      </c>
      <c r="IS86" t="e">
        <f>AND(Sheet1!J1159,"AAAAAG+vw/w=")</f>
        <v>#VALUE!</v>
      </c>
      <c r="IT86" t="e">
        <f>AND(Sheet1!K1159,"AAAAAG+vw/0=")</f>
        <v>#VALUE!</v>
      </c>
      <c r="IU86" t="e">
        <f>AND(Sheet1!L1159,"AAAAAG+vw/4=")</f>
        <v>#VALUE!</v>
      </c>
      <c r="IV86" t="e">
        <f>AND(Sheet1!M1159,"AAAAAG+vw/8=")</f>
        <v>#VALUE!</v>
      </c>
    </row>
    <row r="87" spans="1:256" x14ac:dyDescent="0.2">
      <c r="A87" t="e">
        <f>AND(Sheet1!N1159,"AAAAAH/v0gA=")</f>
        <v>#VALUE!</v>
      </c>
      <c r="B87" t="e">
        <f>AND(Sheet1!#REF!,"AAAAAH/v0gE=")</f>
        <v>#REF!</v>
      </c>
      <c r="C87" t="e">
        <f>AND(Sheet1!#REF!,"AAAAAH/v0gI=")</f>
        <v>#REF!</v>
      </c>
      <c r="D87" t="e">
        <f>AND(Sheet1!#REF!,"AAAAAH/v0gM=")</f>
        <v>#REF!</v>
      </c>
      <c r="E87" t="e">
        <f>AND(Sheet1!#REF!,"AAAAAH/v0gQ=")</f>
        <v>#REF!</v>
      </c>
      <c r="F87" t="e">
        <f>IF(Sheet1!1160:1160,"AAAAAH/v0gU=",0)</f>
        <v>#VALUE!</v>
      </c>
      <c r="G87" t="e">
        <f>AND(Sheet1!A1160,"AAAAAH/v0gY=")</f>
        <v>#VALUE!</v>
      </c>
      <c r="H87" t="e">
        <f>AND(Sheet1!B1160,"AAAAAH/v0gc=")</f>
        <v>#VALUE!</v>
      </c>
      <c r="I87" t="e">
        <f>AND(Sheet1!C1160,"AAAAAH/v0gg=")</f>
        <v>#VALUE!</v>
      </c>
      <c r="J87" t="e">
        <f>AND(Sheet1!D1160,"AAAAAH/v0gk=")</f>
        <v>#VALUE!</v>
      </c>
      <c r="K87" t="e">
        <f>AND(Sheet1!E1160,"AAAAAH/v0go=")</f>
        <v>#VALUE!</v>
      </c>
      <c r="L87" t="e">
        <f>AND(Sheet1!F1160,"AAAAAH/v0gs=")</f>
        <v>#VALUE!</v>
      </c>
      <c r="M87" t="e">
        <f>AND(Sheet1!G1160,"AAAAAH/v0gw=")</f>
        <v>#VALUE!</v>
      </c>
      <c r="N87" t="e">
        <f>AND(Sheet1!H1160,"AAAAAH/v0g0=")</f>
        <v>#VALUE!</v>
      </c>
      <c r="O87" t="e">
        <f>AND(Sheet1!I1160,"AAAAAH/v0g4=")</f>
        <v>#VALUE!</v>
      </c>
      <c r="P87" t="e">
        <f>AND(Sheet1!J1160,"AAAAAH/v0g8=")</f>
        <v>#VALUE!</v>
      </c>
      <c r="Q87" t="e">
        <f>AND(Sheet1!K1160,"AAAAAH/v0hA=")</f>
        <v>#VALUE!</v>
      </c>
      <c r="R87" t="e">
        <f>AND(Sheet1!L1160,"AAAAAH/v0hE=")</f>
        <v>#VALUE!</v>
      </c>
      <c r="S87" t="e">
        <f>AND(Sheet1!M1160,"AAAAAH/v0hI=")</f>
        <v>#VALUE!</v>
      </c>
      <c r="T87" t="e">
        <f>AND(Sheet1!N1160,"AAAAAH/v0hM=")</f>
        <v>#VALUE!</v>
      </c>
      <c r="U87" t="e">
        <f>AND(Sheet1!#REF!,"AAAAAH/v0hQ=")</f>
        <v>#REF!</v>
      </c>
      <c r="V87" t="e">
        <f>AND(Sheet1!#REF!,"AAAAAH/v0hU=")</f>
        <v>#REF!</v>
      </c>
      <c r="W87" t="e">
        <f>AND(Sheet1!#REF!,"AAAAAH/v0hY=")</f>
        <v>#REF!</v>
      </c>
      <c r="X87" t="e">
        <f>AND(Sheet1!#REF!,"AAAAAH/v0hc=")</f>
        <v>#REF!</v>
      </c>
      <c r="Y87">
        <f>IF(Sheet1!1161:1161,"AAAAAH/v0hg=",0)</f>
        <v>0</v>
      </c>
      <c r="Z87" t="e">
        <f>AND(Sheet1!A1161,"AAAAAH/v0hk=")</f>
        <v>#VALUE!</v>
      </c>
      <c r="AA87" t="e">
        <f>AND(Sheet1!B1161,"AAAAAH/v0ho=")</f>
        <v>#VALUE!</v>
      </c>
      <c r="AB87" t="e">
        <f>AND(Sheet1!C1161,"AAAAAH/v0hs=")</f>
        <v>#VALUE!</v>
      </c>
      <c r="AC87" t="e">
        <f>AND(Sheet1!D1161,"AAAAAH/v0hw=")</f>
        <v>#VALUE!</v>
      </c>
      <c r="AD87" t="e">
        <f>AND(Sheet1!E1161,"AAAAAH/v0h0=")</f>
        <v>#VALUE!</v>
      </c>
      <c r="AE87" t="e">
        <f>AND(Sheet1!F1161,"AAAAAH/v0h4=")</f>
        <v>#VALUE!</v>
      </c>
      <c r="AF87" t="e">
        <f>AND(Sheet1!G1161,"AAAAAH/v0h8=")</f>
        <v>#VALUE!</v>
      </c>
      <c r="AG87" t="e">
        <f>AND(Sheet1!H1161,"AAAAAH/v0iA=")</f>
        <v>#VALUE!</v>
      </c>
      <c r="AH87" t="e">
        <f>AND(Sheet1!I1161,"AAAAAH/v0iE=")</f>
        <v>#VALUE!</v>
      </c>
      <c r="AI87" t="e">
        <f>AND(Sheet1!J1161,"AAAAAH/v0iI=")</f>
        <v>#VALUE!</v>
      </c>
      <c r="AJ87" t="e">
        <f>AND(Sheet1!K1161,"AAAAAH/v0iM=")</f>
        <v>#VALUE!</v>
      </c>
      <c r="AK87" t="e">
        <f>AND(Sheet1!L1161,"AAAAAH/v0iQ=")</f>
        <v>#VALUE!</v>
      </c>
      <c r="AL87" t="e">
        <f>AND(Sheet1!M1161,"AAAAAH/v0iU=")</f>
        <v>#VALUE!</v>
      </c>
      <c r="AM87" t="e">
        <f>AND(Sheet1!N1161,"AAAAAH/v0iY=")</f>
        <v>#VALUE!</v>
      </c>
      <c r="AN87" t="e">
        <f>AND(Sheet1!#REF!,"AAAAAH/v0ic=")</f>
        <v>#REF!</v>
      </c>
      <c r="AO87" t="e">
        <f>AND(Sheet1!#REF!,"AAAAAH/v0ig=")</f>
        <v>#REF!</v>
      </c>
      <c r="AP87" t="e">
        <f>AND(Sheet1!#REF!,"AAAAAH/v0ik=")</f>
        <v>#REF!</v>
      </c>
      <c r="AQ87" t="e">
        <f>AND(Sheet1!#REF!,"AAAAAH/v0io=")</f>
        <v>#REF!</v>
      </c>
      <c r="AR87">
        <f>IF(Sheet1!1162:1162,"AAAAAH/v0is=",0)</f>
        <v>0</v>
      </c>
      <c r="AS87" t="e">
        <f>AND(Sheet1!A1162,"AAAAAH/v0iw=")</f>
        <v>#VALUE!</v>
      </c>
      <c r="AT87" t="e">
        <f>AND(Sheet1!B1162,"AAAAAH/v0i0=")</f>
        <v>#VALUE!</v>
      </c>
      <c r="AU87" t="e">
        <f>AND(Sheet1!C1162,"AAAAAH/v0i4=")</f>
        <v>#VALUE!</v>
      </c>
      <c r="AV87" t="e">
        <f>AND(Sheet1!D1162,"AAAAAH/v0i8=")</f>
        <v>#VALUE!</v>
      </c>
      <c r="AW87" t="e">
        <f>AND(Sheet1!E1162,"AAAAAH/v0jA=")</f>
        <v>#VALUE!</v>
      </c>
      <c r="AX87" t="e">
        <f>AND(Sheet1!F1162,"AAAAAH/v0jE=")</f>
        <v>#VALUE!</v>
      </c>
      <c r="AY87" t="e">
        <f>AND(Sheet1!G1162,"AAAAAH/v0jI=")</f>
        <v>#VALUE!</v>
      </c>
      <c r="AZ87" t="e">
        <f>AND(Sheet1!H1162,"AAAAAH/v0jM=")</f>
        <v>#VALUE!</v>
      </c>
      <c r="BA87" t="e">
        <f>AND(Sheet1!I1162,"AAAAAH/v0jQ=")</f>
        <v>#VALUE!</v>
      </c>
      <c r="BB87" t="e">
        <f>AND(Sheet1!J1162,"AAAAAH/v0jU=")</f>
        <v>#VALUE!</v>
      </c>
      <c r="BC87" t="e">
        <f>AND(Sheet1!K1162,"AAAAAH/v0jY=")</f>
        <v>#VALUE!</v>
      </c>
      <c r="BD87" t="e">
        <f>AND(Sheet1!L1162,"AAAAAH/v0jc=")</f>
        <v>#VALUE!</v>
      </c>
      <c r="BE87" t="e">
        <f>AND(Sheet1!M1162,"AAAAAH/v0jg=")</f>
        <v>#VALUE!</v>
      </c>
      <c r="BF87" t="e">
        <f>AND(Sheet1!N1162,"AAAAAH/v0jk=")</f>
        <v>#VALUE!</v>
      </c>
      <c r="BG87" t="e">
        <f>AND(Sheet1!#REF!,"AAAAAH/v0jo=")</f>
        <v>#REF!</v>
      </c>
      <c r="BH87" t="e">
        <f>AND(Sheet1!#REF!,"AAAAAH/v0js=")</f>
        <v>#REF!</v>
      </c>
      <c r="BI87" t="e">
        <f>AND(Sheet1!#REF!,"AAAAAH/v0jw=")</f>
        <v>#REF!</v>
      </c>
      <c r="BJ87" t="e">
        <f>AND(Sheet1!#REF!,"AAAAAH/v0j0=")</f>
        <v>#REF!</v>
      </c>
      <c r="BK87">
        <f>IF(Sheet1!1163:1163,"AAAAAH/v0j4=",0)</f>
        <v>0</v>
      </c>
      <c r="BL87" t="e">
        <f>AND(Sheet1!A1163,"AAAAAH/v0j8=")</f>
        <v>#VALUE!</v>
      </c>
      <c r="BM87" t="e">
        <f>AND(Sheet1!B1163,"AAAAAH/v0kA=")</f>
        <v>#VALUE!</v>
      </c>
      <c r="BN87" t="e">
        <f>AND(Sheet1!C1163,"AAAAAH/v0kE=")</f>
        <v>#VALUE!</v>
      </c>
      <c r="BO87" t="e">
        <f>AND(Sheet1!D1163,"AAAAAH/v0kI=")</f>
        <v>#VALUE!</v>
      </c>
      <c r="BP87" t="e">
        <f>AND(Sheet1!E1163,"AAAAAH/v0kM=")</f>
        <v>#VALUE!</v>
      </c>
      <c r="BQ87" t="e">
        <f>AND(Sheet1!F1163,"AAAAAH/v0kQ=")</f>
        <v>#VALUE!</v>
      </c>
      <c r="BR87" t="e">
        <f>AND(Sheet1!G1163,"AAAAAH/v0kU=")</f>
        <v>#VALUE!</v>
      </c>
      <c r="BS87" t="e">
        <f>AND(Sheet1!H1163,"AAAAAH/v0kY=")</f>
        <v>#VALUE!</v>
      </c>
      <c r="BT87" t="e">
        <f>AND(Sheet1!I1163,"AAAAAH/v0kc=")</f>
        <v>#VALUE!</v>
      </c>
      <c r="BU87" t="e">
        <f>AND(Sheet1!J1163,"AAAAAH/v0kg=")</f>
        <v>#VALUE!</v>
      </c>
      <c r="BV87" t="e">
        <f>AND(Sheet1!K1163,"AAAAAH/v0kk=")</f>
        <v>#VALUE!</v>
      </c>
      <c r="BW87" t="e">
        <f>AND(Sheet1!L1163,"AAAAAH/v0ko=")</f>
        <v>#VALUE!</v>
      </c>
      <c r="BX87" t="e">
        <f>AND(Sheet1!M1163,"AAAAAH/v0ks=")</f>
        <v>#VALUE!</v>
      </c>
      <c r="BY87" t="e">
        <f>AND(Sheet1!N1163,"AAAAAH/v0kw=")</f>
        <v>#VALUE!</v>
      </c>
      <c r="BZ87" t="e">
        <f>AND(Sheet1!#REF!,"AAAAAH/v0k0=")</f>
        <v>#REF!</v>
      </c>
      <c r="CA87" t="e">
        <f>AND(Sheet1!#REF!,"AAAAAH/v0k4=")</f>
        <v>#REF!</v>
      </c>
      <c r="CB87" t="e">
        <f>AND(Sheet1!#REF!,"AAAAAH/v0k8=")</f>
        <v>#REF!</v>
      </c>
      <c r="CC87" t="e">
        <f>AND(Sheet1!#REF!,"AAAAAH/v0lA=")</f>
        <v>#REF!</v>
      </c>
      <c r="CD87">
        <f>IF(Sheet1!1164:1164,"AAAAAH/v0lE=",0)</f>
        <v>0</v>
      </c>
      <c r="CE87" t="e">
        <f>AND(Sheet1!A1164,"AAAAAH/v0lI=")</f>
        <v>#VALUE!</v>
      </c>
      <c r="CF87" t="e">
        <f>AND(Sheet1!B1164,"AAAAAH/v0lM=")</f>
        <v>#VALUE!</v>
      </c>
      <c r="CG87" t="e">
        <f>AND(Sheet1!C1164,"AAAAAH/v0lQ=")</f>
        <v>#VALUE!</v>
      </c>
      <c r="CH87" t="e">
        <f>AND(Sheet1!D1164,"AAAAAH/v0lU=")</f>
        <v>#VALUE!</v>
      </c>
      <c r="CI87" t="e">
        <f>AND(Sheet1!E1164,"AAAAAH/v0lY=")</f>
        <v>#VALUE!</v>
      </c>
      <c r="CJ87" t="e">
        <f>AND(Sheet1!F1164,"AAAAAH/v0lc=")</f>
        <v>#VALUE!</v>
      </c>
      <c r="CK87" t="e">
        <f>AND(Sheet1!G1164,"AAAAAH/v0lg=")</f>
        <v>#VALUE!</v>
      </c>
      <c r="CL87" t="e">
        <f>AND(Sheet1!H1164,"AAAAAH/v0lk=")</f>
        <v>#VALUE!</v>
      </c>
      <c r="CM87" t="e">
        <f>AND(Sheet1!I1164,"AAAAAH/v0lo=")</f>
        <v>#VALUE!</v>
      </c>
      <c r="CN87" t="e">
        <f>AND(Sheet1!J1164,"AAAAAH/v0ls=")</f>
        <v>#VALUE!</v>
      </c>
      <c r="CO87" t="e">
        <f>AND(Sheet1!K1164,"AAAAAH/v0lw=")</f>
        <v>#VALUE!</v>
      </c>
      <c r="CP87" t="e">
        <f>AND(Sheet1!L1164,"AAAAAH/v0l0=")</f>
        <v>#VALUE!</v>
      </c>
      <c r="CQ87" t="e">
        <f>AND(Sheet1!M1164,"AAAAAH/v0l4=")</f>
        <v>#VALUE!</v>
      </c>
      <c r="CR87" t="e">
        <f>AND(Sheet1!N1164,"AAAAAH/v0l8=")</f>
        <v>#VALUE!</v>
      </c>
      <c r="CS87" t="e">
        <f>AND(Sheet1!#REF!,"AAAAAH/v0mA=")</f>
        <v>#REF!</v>
      </c>
      <c r="CT87" t="e">
        <f>AND(Sheet1!#REF!,"AAAAAH/v0mE=")</f>
        <v>#REF!</v>
      </c>
      <c r="CU87" t="e">
        <f>AND(Sheet1!#REF!,"AAAAAH/v0mI=")</f>
        <v>#REF!</v>
      </c>
      <c r="CV87" t="e">
        <f>AND(Sheet1!#REF!,"AAAAAH/v0mM=")</f>
        <v>#REF!</v>
      </c>
      <c r="CW87">
        <f>IF(Sheet1!1165:1165,"AAAAAH/v0mQ=",0)</f>
        <v>0</v>
      </c>
      <c r="CX87" t="e">
        <f>AND(Sheet1!A1165,"AAAAAH/v0mU=")</f>
        <v>#VALUE!</v>
      </c>
      <c r="CY87" t="e">
        <f>AND(Sheet1!B1165,"AAAAAH/v0mY=")</f>
        <v>#VALUE!</v>
      </c>
      <c r="CZ87" t="e">
        <f>AND(Sheet1!C1165,"AAAAAH/v0mc=")</f>
        <v>#VALUE!</v>
      </c>
      <c r="DA87" t="e">
        <f>AND(Sheet1!D1165,"AAAAAH/v0mg=")</f>
        <v>#VALUE!</v>
      </c>
      <c r="DB87" t="e">
        <f>AND(Sheet1!E1165,"AAAAAH/v0mk=")</f>
        <v>#VALUE!</v>
      </c>
      <c r="DC87" t="e">
        <f>AND(Sheet1!F1165,"AAAAAH/v0mo=")</f>
        <v>#VALUE!</v>
      </c>
      <c r="DD87" t="e">
        <f>AND(Sheet1!G1165,"AAAAAH/v0ms=")</f>
        <v>#VALUE!</v>
      </c>
      <c r="DE87" t="e">
        <f>AND(Sheet1!H1165,"AAAAAH/v0mw=")</f>
        <v>#VALUE!</v>
      </c>
      <c r="DF87" t="e">
        <f>AND(Sheet1!I1165,"AAAAAH/v0m0=")</f>
        <v>#VALUE!</v>
      </c>
      <c r="DG87" t="e">
        <f>AND(Sheet1!J1165,"AAAAAH/v0m4=")</f>
        <v>#VALUE!</v>
      </c>
      <c r="DH87" t="e">
        <f>AND(Sheet1!K1165,"AAAAAH/v0m8=")</f>
        <v>#VALUE!</v>
      </c>
      <c r="DI87" t="e">
        <f>AND(Sheet1!L1165,"AAAAAH/v0nA=")</f>
        <v>#VALUE!</v>
      </c>
      <c r="DJ87" t="e">
        <f>AND(Sheet1!M1165,"AAAAAH/v0nE=")</f>
        <v>#VALUE!</v>
      </c>
      <c r="DK87" t="e">
        <f>AND(Sheet1!N1165,"AAAAAH/v0nI=")</f>
        <v>#VALUE!</v>
      </c>
      <c r="DL87" t="e">
        <f>AND(Sheet1!#REF!,"AAAAAH/v0nM=")</f>
        <v>#REF!</v>
      </c>
      <c r="DM87" t="e">
        <f>AND(Sheet1!#REF!,"AAAAAH/v0nQ=")</f>
        <v>#REF!</v>
      </c>
      <c r="DN87" t="e">
        <f>AND(Sheet1!#REF!,"AAAAAH/v0nU=")</f>
        <v>#REF!</v>
      </c>
      <c r="DO87" t="e">
        <f>AND(Sheet1!#REF!,"AAAAAH/v0nY=")</f>
        <v>#REF!</v>
      </c>
      <c r="DP87">
        <f>IF(Sheet1!1166:1166,"AAAAAH/v0nc=",0)</f>
        <v>0</v>
      </c>
      <c r="DQ87" t="e">
        <f>AND(Sheet1!A1166,"AAAAAH/v0ng=")</f>
        <v>#VALUE!</v>
      </c>
      <c r="DR87" t="e">
        <f>AND(Sheet1!B1166,"AAAAAH/v0nk=")</f>
        <v>#VALUE!</v>
      </c>
      <c r="DS87" t="e">
        <f>AND(Sheet1!C1166,"AAAAAH/v0no=")</f>
        <v>#VALUE!</v>
      </c>
      <c r="DT87" t="e">
        <f>AND(Sheet1!D1166,"AAAAAH/v0ns=")</f>
        <v>#VALUE!</v>
      </c>
      <c r="DU87" t="e">
        <f>AND(Sheet1!E1166,"AAAAAH/v0nw=")</f>
        <v>#VALUE!</v>
      </c>
      <c r="DV87" t="e">
        <f>AND(Sheet1!F1166,"AAAAAH/v0n0=")</f>
        <v>#VALUE!</v>
      </c>
      <c r="DW87" t="e">
        <f>AND(Sheet1!G1166,"AAAAAH/v0n4=")</f>
        <v>#VALUE!</v>
      </c>
      <c r="DX87" t="e">
        <f>AND(Sheet1!H1166,"AAAAAH/v0n8=")</f>
        <v>#VALUE!</v>
      </c>
      <c r="DY87" t="e">
        <f>AND(Sheet1!I1166,"AAAAAH/v0oA=")</f>
        <v>#VALUE!</v>
      </c>
      <c r="DZ87" t="e">
        <f>AND(Sheet1!J1166,"AAAAAH/v0oE=")</f>
        <v>#VALUE!</v>
      </c>
      <c r="EA87" t="e">
        <f>AND(Sheet1!K1166,"AAAAAH/v0oI=")</f>
        <v>#VALUE!</v>
      </c>
      <c r="EB87" t="e">
        <f>AND(Sheet1!L1166,"AAAAAH/v0oM=")</f>
        <v>#VALUE!</v>
      </c>
      <c r="EC87" t="e">
        <f>AND(Sheet1!M1166,"AAAAAH/v0oQ=")</f>
        <v>#VALUE!</v>
      </c>
      <c r="ED87" t="e">
        <f>AND(Sheet1!N1166,"AAAAAH/v0oU=")</f>
        <v>#VALUE!</v>
      </c>
      <c r="EE87" t="e">
        <f>AND(Sheet1!#REF!,"AAAAAH/v0oY=")</f>
        <v>#REF!</v>
      </c>
      <c r="EF87" t="e">
        <f>AND(Sheet1!#REF!,"AAAAAH/v0oc=")</f>
        <v>#REF!</v>
      </c>
      <c r="EG87" t="e">
        <f>AND(Sheet1!#REF!,"AAAAAH/v0og=")</f>
        <v>#REF!</v>
      </c>
      <c r="EH87" t="e">
        <f>AND(Sheet1!#REF!,"AAAAAH/v0ok=")</f>
        <v>#REF!</v>
      </c>
      <c r="EI87">
        <f>IF(Sheet1!1167:1167,"AAAAAH/v0oo=",0)</f>
        <v>0</v>
      </c>
      <c r="EJ87" t="e">
        <f>AND(Sheet1!A1167,"AAAAAH/v0os=")</f>
        <v>#VALUE!</v>
      </c>
      <c r="EK87" t="e">
        <f>AND(Sheet1!B1167,"AAAAAH/v0ow=")</f>
        <v>#VALUE!</v>
      </c>
      <c r="EL87" t="e">
        <f>AND(Sheet1!C1167,"AAAAAH/v0o0=")</f>
        <v>#VALUE!</v>
      </c>
      <c r="EM87" t="e">
        <f>AND(Sheet1!D1167,"AAAAAH/v0o4=")</f>
        <v>#VALUE!</v>
      </c>
      <c r="EN87" t="e">
        <f>AND(Sheet1!E1167,"AAAAAH/v0o8=")</f>
        <v>#VALUE!</v>
      </c>
      <c r="EO87" t="e">
        <f>AND(Sheet1!F1167,"AAAAAH/v0pA=")</f>
        <v>#VALUE!</v>
      </c>
      <c r="EP87" t="e">
        <f>AND(Sheet1!G1167,"AAAAAH/v0pE=")</f>
        <v>#VALUE!</v>
      </c>
      <c r="EQ87" t="e">
        <f>AND(Sheet1!H1167,"AAAAAH/v0pI=")</f>
        <v>#VALUE!</v>
      </c>
      <c r="ER87" t="e">
        <f>AND(Sheet1!I1167,"AAAAAH/v0pM=")</f>
        <v>#VALUE!</v>
      </c>
      <c r="ES87" t="e">
        <f>AND(Sheet1!J1167,"AAAAAH/v0pQ=")</f>
        <v>#VALUE!</v>
      </c>
      <c r="ET87" t="e">
        <f>AND(Sheet1!K1167,"AAAAAH/v0pU=")</f>
        <v>#VALUE!</v>
      </c>
      <c r="EU87" t="e">
        <f>AND(Sheet1!L1167,"AAAAAH/v0pY=")</f>
        <v>#VALUE!</v>
      </c>
      <c r="EV87" t="e">
        <f>AND(Sheet1!M1167,"AAAAAH/v0pc=")</f>
        <v>#VALUE!</v>
      </c>
      <c r="EW87" t="e">
        <f>AND(Sheet1!N1167,"AAAAAH/v0pg=")</f>
        <v>#VALUE!</v>
      </c>
      <c r="EX87" t="e">
        <f>AND(Sheet1!#REF!,"AAAAAH/v0pk=")</f>
        <v>#REF!</v>
      </c>
      <c r="EY87" t="e">
        <f>AND(Sheet1!#REF!,"AAAAAH/v0po=")</f>
        <v>#REF!</v>
      </c>
      <c r="EZ87" t="e">
        <f>AND(Sheet1!#REF!,"AAAAAH/v0ps=")</f>
        <v>#REF!</v>
      </c>
      <c r="FA87" t="e">
        <f>AND(Sheet1!#REF!,"AAAAAH/v0pw=")</f>
        <v>#REF!</v>
      </c>
      <c r="FB87">
        <f>IF(Sheet1!1168:1168,"AAAAAH/v0p0=",0)</f>
        <v>0</v>
      </c>
      <c r="FC87" t="e">
        <f>AND(Sheet1!A1168,"AAAAAH/v0p4=")</f>
        <v>#VALUE!</v>
      </c>
      <c r="FD87" t="e">
        <f>AND(Sheet1!B1168,"AAAAAH/v0p8=")</f>
        <v>#VALUE!</v>
      </c>
      <c r="FE87" t="e">
        <f>AND(Sheet1!C1168,"AAAAAH/v0qA=")</f>
        <v>#VALUE!</v>
      </c>
      <c r="FF87" t="e">
        <f>AND(Sheet1!D1168,"AAAAAH/v0qE=")</f>
        <v>#VALUE!</v>
      </c>
      <c r="FG87" t="e">
        <f>AND(Sheet1!E1168,"AAAAAH/v0qI=")</f>
        <v>#VALUE!</v>
      </c>
      <c r="FH87" t="e">
        <f>AND(Sheet1!F1168,"AAAAAH/v0qM=")</f>
        <v>#VALUE!</v>
      </c>
      <c r="FI87" t="e">
        <f>AND(Sheet1!G1168,"AAAAAH/v0qQ=")</f>
        <v>#VALUE!</v>
      </c>
      <c r="FJ87" t="e">
        <f>AND(Sheet1!H1168,"AAAAAH/v0qU=")</f>
        <v>#VALUE!</v>
      </c>
      <c r="FK87" t="e">
        <f>AND(Sheet1!I1168,"AAAAAH/v0qY=")</f>
        <v>#VALUE!</v>
      </c>
      <c r="FL87" t="e">
        <f>AND(Sheet1!J1168,"AAAAAH/v0qc=")</f>
        <v>#VALUE!</v>
      </c>
      <c r="FM87" t="e">
        <f>AND(Sheet1!K1168,"AAAAAH/v0qg=")</f>
        <v>#VALUE!</v>
      </c>
      <c r="FN87" t="e">
        <f>AND(Sheet1!L1168,"AAAAAH/v0qk=")</f>
        <v>#VALUE!</v>
      </c>
      <c r="FO87" t="e">
        <f>AND(Sheet1!M1168,"AAAAAH/v0qo=")</f>
        <v>#VALUE!</v>
      </c>
      <c r="FP87" t="e">
        <f>AND(Sheet1!N1168,"AAAAAH/v0qs=")</f>
        <v>#VALUE!</v>
      </c>
      <c r="FQ87" t="e">
        <f>AND(Sheet1!#REF!,"AAAAAH/v0qw=")</f>
        <v>#REF!</v>
      </c>
      <c r="FR87" t="e">
        <f>AND(Sheet1!#REF!,"AAAAAH/v0q0=")</f>
        <v>#REF!</v>
      </c>
      <c r="FS87" t="e">
        <f>AND(Sheet1!#REF!,"AAAAAH/v0q4=")</f>
        <v>#REF!</v>
      </c>
      <c r="FT87" t="e">
        <f>AND(Sheet1!#REF!,"AAAAAH/v0q8=")</f>
        <v>#REF!</v>
      </c>
      <c r="FU87">
        <f>IF(Sheet1!1169:1169,"AAAAAH/v0rA=",0)</f>
        <v>0</v>
      </c>
      <c r="FV87" t="e">
        <f>AND(Sheet1!A1169,"AAAAAH/v0rE=")</f>
        <v>#VALUE!</v>
      </c>
      <c r="FW87" t="e">
        <f>AND(Sheet1!B1169,"AAAAAH/v0rI=")</f>
        <v>#VALUE!</v>
      </c>
      <c r="FX87" t="e">
        <f>AND(Sheet1!C1169,"AAAAAH/v0rM=")</f>
        <v>#VALUE!</v>
      </c>
      <c r="FY87" t="e">
        <f>AND(Sheet1!D1169,"AAAAAH/v0rQ=")</f>
        <v>#VALUE!</v>
      </c>
      <c r="FZ87" t="e">
        <f>AND(Sheet1!E1169,"AAAAAH/v0rU=")</f>
        <v>#VALUE!</v>
      </c>
      <c r="GA87" t="e">
        <f>AND(Sheet1!F1169,"AAAAAH/v0rY=")</f>
        <v>#VALUE!</v>
      </c>
      <c r="GB87" t="e">
        <f>AND(Sheet1!G1169,"AAAAAH/v0rc=")</f>
        <v>#VALUE!</v>
      </c>
      <c r="GC87" t="e">
        <f>AND(Sheet1!H1169,"AAAAAH/v0rg=")</f>
        <v>#VALUE!</v>
      </c>
      <c r="GD87" t="e">
        <f>AND(Sheet1!I1169,"AAAAAH/v0rk=")</f>
        <v>#VALUE!</v>
      </c>
      <c r="GE87" t="e">
        <f>AND(Sheet1!J1169,"AAAAAH/v0ro=")</f>
        <v>#VALUE!</v>
      </c>
      <c r="GF87" t="e">
        <f>AND(Sheet1!K1169,"AAAAAH/v0rs=")</f>
        <v>#VALUE!</v>
      </c>
      <c r="GG87" t="e">
        <f>AND(Sheet1!L1169,"AAAAAH/v0rw=")</f>
        <v>#VALUE!</v>
      </c>
      <c r="GH87" t="e">
        <f>AND(Sheet1!M1169,"AAAAAH/v0r0=")</f>
        <v>#VALUE!</v>
      </c>
      <c r="GI87" t="e">
        <f>AND(Sheet1!N1169,"AAAAAH/v0r4=")</f>
        <v>#VALUE!</v>
      </c>
      <c r="GJ87" t="e">
        <f>AND(Sheet1!#REF!,"AAAAAH/v0r8=")</f>
        <v>#REF!</v>
      </c>
      <c r="GK87" t="e">
        <f>AND(Sheet1!#REF!,"AAAAAH/v0sA=")</f>
        <v>#REF!</v>
      </c>
      <c r="GL87" t="e">
        <f>AND(Sheet1!#REF!,"AAAAAH/v0sE=")</f>
        <v>#REF!</v>
      </c>
      <c r="GM87" t="e">
        <f>AND(Sheet1!#REF!,"AAAAAH/v0sI=")</f>
        <v>#REF!</v>
      </c>
      <c r="GN87">
        <f>IF(Sheet1!1170:1170,"AAAAAH/v0sM=",0)</f>
        <v>0</v>
      </c>
      <c r="GO87" t="e">
        <f>AND(Sheet1!A1170,"AAAAAH/v0sQ=")</f>
        <v>#VALUE!</v>
      </c>
      <c r="GP87" t="e">
        <f>AND(Sheet1!B1170,"AAAAAH/v0sU=")</f>
        <v>#VALUE!</v>
      </c>
      <c r="GQ87" t="e">
        <f>AND(Sheet1!C1170,"AAAAAH/v0sY=")</f>
        <v>#VALUE!</v>
      </c>
      <c r="GR87" t="e">
        <f>AND(Sheet1!D1170,"AAAAAH/v0sc=")</f>
        <v>#VALUE!</v>
      </c>
      <c r="GS87" t="e">
        <f>AND(Sheet1!E1170,"AAAAAH/v0sg=")</f>
        <v>#VALUE!</v>
      </c>
      <c r="GT87" t="e">
        <f>AND(Sheet1!F1170,"AAAAAH/v0sk=")</f>
        <v>#VALUE!</v>
      </c>
      <c r="GU87" t="e">
        <f>AND(Sheet1!G1170,"AAAAAH/v0so=")</f>
        <v>#VALUE!</v>
      </c>
      <c r="GV87" t="e">
        <f>AND(Sheet1!H1170,"AAAAAH/v0ss=")</f>
        <v>#VALUE!</v>
      </c>
      <c r="GW87" t="e">
        <f>AND(Sheet1!I1170,"AAAAAH/v0sw=")</f>
        <v>#VALUE!</v>
      </c>
      <c r="GX87" t="e">
        <f>AND(Sheet1!J1170,"AAAAAH/v0s0=")</f>
        <v>#VALUE!</v>
      </c>
      <c r="GY87" t="e">
        <f>AND(Sheet1!K1170,"AAAAAH/v0s4=")</f>
        <v>#VALUE!</v>
      </c>
      <c r="GZ87" t="e">
        <f>AND(Sheet1!L1170,"AAAAAH/v0s8=")</f>
        <v>#VALUE!</v>
      </c>
      <c r="HA87" t="e">
        <f>AND(Sheet1!M1170,"AAAAAH/v0tA=")</f>
        <v>#VALUE!</v>
      </c>
      <c r="HB87" t="e">
        <f>AND(Sheet1!N1170,"AAAAAH/v0tE=")</f>
        <v>#VALUE!</v>
      </c>
      <c r="HC87" t="e">
        <f>AND(Sheet1!#REF!,"AAAAAH/v0tI=")</f>
        <v>#REF!</v>
      </c>
      <c r="HD87" t="e">
        <f>AND(Sheet1!#REF!,"AAAAAH/v0tM=")</f>
        <v>#REF!</v>
      </c>
      <c r="HE87" t="e">
        <f>AND(Sheet1!#REF!,"AAAAAH/v0tQ=")</f>
        <v>#REF!</v>
      </c>
      <c r="HF87" t="e">
        <f>AND(Sheet1!#REF!,"AAAAAH/v0tU=")</f>
        <v>#REF!</v>
      </c>
      <c r="HG87">
        <f>IF(Sheet1!1171:1171,"AAAAAH/v0tY=",0)</f>
        <v>0</v>
      </c>
      <c r="HH87" t="e">
        <f>AND(Sheet1!A1171,"AAAAAH/v0tc=")</f>
        <v>#VALUE!</v>
      </c>
      <c r="HI87" t="e">
        <f>AND(Sheet1!B1171,"AAAAAH/v0tg=")</f>
        <v>#VALUE!</v>
      </c>
      <c r="HJ87" t="e">
        <f>AND(Sheet1!C1171,"AAAAAH/v0tk=")</f>
        <v>#VALUE!</v>
      </c>
      <c r="HK87" t="e">
        <f>AND(Sheet1!D1171,"AAAAAH/v0to=")</f>
        <v>#VALUE!</v>
      </c>
      <c r="HL87" t="e">
        <f>AND(Sheet1!E1171,"AAAAAH/v0ts=")</f>
        <v>#VALUE!</v>
      </c>
      <c r="HM87" t="e">
        <f>AND(Sheet1!F1171,"AAAAAH/v0tw=")</f>
        <v>#VALUE!</v>
      </c>
      <c r="HN87" t="e">
        <f>AND(Sheet1!G1171,"AAAAAH/v0t0=")</f>
        <v>#VALUE!</v>
      </c>
      <c r="HO87" t="e">
        <f>AND(Sheet1!H1171,"AAAAAH/v0t4=")</f>
        <v>#VALUE!</v>
      </c>
      <c r="HP87" t="e">
        <f>AND(Sheet1!I1171,"AAAAAH/v0t8=")</f>
        <v>#VALUE!</v>
      </c>
      <c r="HQ87" t="e">
        <f>AND(Sheet1!J1171,"AAAAAH/v0uA=")</f>
        <v>#VALUE!</v>
      </c>
      <c r="HR87" t="e">
        <f>AND(Sheet1!K1171,"AAAAAH/v0uE=")</f>
        <v>#VALUE!</v>
      </c>
      <c r="HS87" t="e">
        <f>AND(Sheet1!L1171,"AAAAAH/v0uI=")</f>
        <v>#VALUE!</v>
      </c>
      <c r="HT87" t="e">
        <f>AND(Sheet1!M1171,"AAAAAH/v0uM=")</f>
        <v>#VALUE!</v>
      </c>
      <c r="HU87" t="e">
        <f>AND(Sheet1!N1171,"AAAAAH/v0uQ=")</f>
        <v>#VALUE!</v>
      </c>
      <c r="HV87" t="e">
        <f>AND(Sheet1!#REF!,"AAAAAH/v0uU=")</f>
        <v>#REF!</v>
      </c>
      <c r="HW87" t="e">
        <f>AND(Sheet1!#REF!,"AAAAAH/v0uY=")</f>
        <v>#REF!</v>
      </c>
      <c r="HX87" t="e">
        <f>AND(Sheet1!#REF!,"AAAAAH/v0uc=")</f>
        <v>#REF!</v>
      </c>
      <c r="HY87" t="e">
        <f>AND(Sheet1!#REF!,"AAAAAH/v0ug=")</f>
        <v>#REF!</v>
      </c>
      <c r="HZ87">
        <f>IF(Sheet1!1172:1172,"AAAAAH/v0uk=",0)</f>
        <v>0</v>
      </c>
      <c r="IA87" t="e">
        <f>AND(Sheet1!A1172,"AAAAAH/v0uo=")</f>
        <v>#VALUE!</v>
      </c>
      <c r="IB87" t="e">
        <f>AND(Sheet1!B1172,"AAAAAH/v0us=")</f>
        <v>#VALUE!</v>
      </c>
      <c r="IC87" t="e">
        <f>AND(Sheet1!C1172,"AAAAAH/v0uw=")</f>
        <v>#VALUE!</v>
      </c>
      <c r="ID87" t="e">
        <f>AND(Sheet1!D1172,"AAAAAH/v0u0=")</f>
        <v>#VALUE!</v>
      </c>
      <c r="IE87" t="e">
        <f>AND(Sheet1!E1172,"AAAAAH/v0u4=")</f>
        <v>#VALUE!</v>
      </c>
      <c r="IF87" t="e">
        <f>AND(Sheet1!F1172,"AAAAAH/v0u8=")</f>
        <v>#VALUE!</v>
      </c>
      <c r="IG87" t="e">
        <f>AND(Sheet1!G1172,"AAAAAH/v0vA=")</f>
        <v>#VALUE!</v>
      </c>
      <c r="IH87" t="e">
        <f>AND(Sheet1!H1172,"AAAAAH/v0vE=")</f>
        <v>#VALUE!</v>
      </c>
      <c r="II87" t="e">
        <f>AND(Sheet1!I1172,"AAAAAH/v0vI=")</f>
        <v>#VALUE!</v>
      </c>
      <c r="IJ87" t="e">
        <f>AND(Sheet1!J1172,"AAAAAH/v0vM=")</f>
        <v>#VALUE!</v>
      </c>
      <c r="IK87" t="e">
        <f>AND(Sheet1!K1172,"AAAAAH/v0vQ=")</f>
        <v>#VALUE!</v>
      </c>
      <c r="IL87" t="e">
        <f>AND(Sheet1!L1172,"AAAAAH/v0vU=")</f>
        <v>#VALUE!</v>
      </c>
      <c r="IM87" t="e">
        <f>AND(Sheet1!M1172,"AAAAAH/v0vY=")</f>
        <v>#VALUE!</v>
      </c>
      <c r="IN87" t="e">
        <f>AND(Sheet1!N1172,"AAAAAH/v0vc=")</f>
        <v>#VALUE!</v>
      </c>
      <c r="IO87" t="e">
        <f>AND(Sheet1!#REF!,"AAAAAH/v0vg=")</f>
        <v>#REF!</v>
      </c>
      <c r="IP87" t="e">
        <f>AND(Sheet1!#REF!,"AAAAAH/v0vk=")</f>
        <v>#REF!</v>
      </c>
      <c r="IQ87" t="e">
        <f>AND(Sheet1!#REF!,"AAAAAH/v0vo=")</f>
        <v>#REF!</v>
      </c>
      <c r="IR87" t="e">
        <f>AND(Sheet1!#REF!,"AAAAAH/v0vs=")</f>
        <v>#REF!</v>
      </c>
      <c r="IS87">
        <f>IF(Sheet1!1173:1173,"AAAAAH/v0vw=",0)</f>
        <v>0</v>
      </c>
      <c r="IT87" t="e">
        <f>AND(Sheet1!A1173,"AAAAAH/v0v0=")</f>
        <v>#VALUE!</v>
      </c>
      <c r="IU87" t="e">
        <f>AND(Sheet1!B1173,"AAAAAH/v0v4=")</f>
        <v>#VALUE!</v>
      </c>
      <c r="IV87" t="e">
        <f>AND(Sheet1!C1173,"AAAAAH/v0v8=")</f>
        <v>#VALUE!</v>
      </c>
    </row>
    <row r="88" spans="1:256" x14ac:dyDescent="0.2">
      <c r="A88" t="e">
        <f>AND(Sheet1!D1173,"AAAAAHf1vwA=")</f>
        <v>#VALUE!</v>
      </c>
      <c r="B88" t="e">
        <f>AND(Sheet1!E1173,"AAAAAHf1vwE=")</f>
        <v>#VALUE!</v>
      </c>
      <c r="C88" t="e">
        <f>AND(Sheet1!F1173,"AAAAAHf1vwI=")</f>
        <v>#VALUE!</v>
      </c>
      <c r="D88" t="e">
        <f>AND(Sheet1!G1173,"AAAAAHf1vwM=")</f>
        <v>#VALUE!</v>
      </c>
      <c r="E88" t="e">
        <f>AND(Sheet1!H1173,"AAAAAHf1vwQ=")</f>
        <v>#VALUE!</v>
      </c>
      <c r="F88" t="e">
        <f>AND(Sheet1!I1173,"AAAAAHf1vwU=")</f>
        <v>#VALUE!</v>
      </c>
      <c r="G88" t="e">
        <f>AND(Sheet1!J1173,"AAAAAHf1vwY=")</f>
        <v>#VALUE!</v>
      </c>
      <c r="H88" t="e">
        <f>AND(Sheet1!K1173,"AAAAAHf1vwc=")</f>
        <v>#VALUE!</v>
      </c>
      <c r="I88" t="e">
        <f>AND(Sheet1!L1173,"AAAAAHf1vwg=")</f>
        <v>#VALUE!</v>
      </c>
      <c r="J88" t="e">
        <f>AND(Sheet1!M1173,"AAAAAHf1vwk=")</f>
        <v>#VALUE!</v>
      </c>
      <c r="K88" t="e">
        <f>AND(Sheet1!N1173,"AAAAAHf1vwo=")</f>
        <v>#VALUE!</v>
      </c>
      <c r="L88" t="e">
        <f>AND(Sheet1!#REF!,"AAAAAHf1vws=")</f>
        <v>#REF!</v>
      </c>
      <c r="M88" t="e">
        <f>AND(Sheet1!#REF!,"AAAAAHf1vww=")</f>
        <v>#REF!</v>
      </c>
      <c r="N88" t="e">
        <f>AND(Sheet1!#REF!,"AAAAAHf1vw0=")</f>
        <v>#REF!</v>
      </c>
      <c r="O88" t="e">
        <f>AND(Sheet1!#REF!,"AAAAAHf1vw4=")</f>
        <v>#REF!</v>
      </c>
      <c r="P88">
        <f>IF(Sheet1!1174:1174,"AAAAAHf1vw8=",0)</f>
        <v>0</v>
      </c>
      <c r="Q88" t="e">
        <f>AND(Sheet1!A1174,"AAAAAHf1vxA=")</f>
        <v>#VALUE!</v>
      </c>
      <c r="R88" t="e">
        <f>AND(Sheet1!B1174,"AAAAAHf1vxE=")</f>
        <v>#VALUE!</v>
      </c>
      <c r="S88" t="e">
        <f>AND(Sheet1!C1174,"AAAAAHf1vxI=")</f>
        <v>#VALUE!</v>
      </c>
      <c r="T88" t="e">
        <f>AND(Sheet1!D1174,"AAAAAHf1vxM=")</f>
        <v>#VALUE!</v>
      </c>
      <c r="U88" t="e">
        <f>AND(Sheet1!E1174,"AAAAAHf1vxQ=")</f>
        <v>#VALUE!</v>
      </c>
      <c r="V88" t="e">
        <f>AND(Sheet1!F1174,"AAAAAHf1vxU=")</f>
        <v>#VALUE!</v>
      </c>
      <c r="W88" t="e">
        <f>AND(Sheet1!G1174,"AAAAAHf1vxY=")</f>
        <v>#VALUE!</v>
      </c>
      <c r="X88" t="e">
        <f>AND(Sheet1!H1174,"AAAAAHf1vxc=")</f>
        <v>#VALUE!</v>
      </c>
      <c r="Y88" t="e">
        <f>AND(Sheet1!I1174,"AAAAAHf1vxg=")</f>
        <v>#VALUE!</v>
      </c>
      <c r="Z88" t="e">
        <f>AND(Sheet1!J1174,"AAAAAHf1vxk=")</f>
        <v>#VALUE!</v>
      </c>
      <c r="AA88" t="e">
        <f>AND(Sheet1!K1174,"AAAAAHf1vxo=")</f>
        <v>#VALUE!</v>
      </c>
      <c r="AB88" t="e">
        <f>AND(Sheet1!L1174,"AAAAAHf1vxs=")</f>
        <v>#VALUE!</v>
      </c>
      <c r="AC88" t="e">
        <f>AND(Sheet1!M1174,"AAAAAHf1vxw=")</f>
        <v>#VALUE!</v>
      </c>
      <c r="AD88" t="e">
        <f>AND(Sheet1!N1174,"AAAAAHf1vx0=")</f>
        <v>#VALUE!</v>
      </c>
      <c r="AE88" t="e">
        <f>AND(Sheet1!#REF!,"AAAAAHf1vx4=")</f>
        <v>#REF!</v>
      </c>
      <c r="AF88" t="e">
        <f>AND(Sheet1!#REF!,"AAAAAHf1vx8=")</f>
        <v>#REF!</v>
      </c>
      <c r="AG88" t="e">
        <f>AND(Sheet1!#REF!,"AAAAAHf1vyA=")</f>
        <v>#REF!</v>
      </c>
      <c r="AH88" t="e">
        <f>AND(Sheet1!#REF!,"AAAAAHf1vyE=")</f>
        <v>#REF!</v>
      </c>
      <c r="AI88">
        <f>IF(Sheet1!1175:1175,"AAAAAHf1vyI=",0)</f>
        <v>0</v>
      </c>
      <c r="AJ88" t="e">
        <f>AND(Sheet1!A1175,"AAAAAHf1vyM=")</f>
        <v>#VALUE!</v>
      </c>
      <c r="AK88" t="e">
        <f>AND(Sheet1!B1175,"AAAAAHf1vyQ=")</f>
        <v>#VALUE!</v>
      </c>
      <c r="AL88" t="e">
        <f>AND(Sheet1!C1175,"AAAAAHf1vyU=")</f>
        <v>#VALUE!</v>
      </c>
      <c r="AM88" t="e">
        <f>AND(Sheet1!D1175,"AAAAAHf1vyY=")</f>
        <v>#VALUE!</v>
      </c>
      <c r="AN88" t="e">
        <f>AND(Sheet1!E1175,"AAAAAHf1vyc=")</f>
        <v>#VALUE!</v>
      </c>
      <c r="AO88" t="e">
        <f>AND(Sheet1!F1175,"AAAAAHf1vyg=")</f>
        <v>#VALUE!</v>
      </c>
      <c r="AP88" t="e">
        <f>AND(Sheet1!G1175,"AAAAAHf1vyk=")</f>
        <v>#VALUE!</v>
      </c>
      <c r="AQ88" t="e">
        <f>AND(Sheet1!H1175,"AAAAAHf1vyo=")</f>
        <v>#VALUE!</v>
      </c>
      <c r="AR88" t="e">
        <f>AND(Sheet1!I1175,"AAAAAHf1vys=")</f>
        <v>#VALUE!</v>
      </c>
      <c r="AS88" t="e">
        <f>AND(Sheet1!J1175,"AAAAAHf1vyw=")</f>
        <v>#VALUE!</v>
      </c>
      <c r="AT88" t="e">
        <f>AND(Sheet1!K1175,"AAAAAHf1vy0=")</f>
        <v>#VALUE!</v>
      </c>
      <c r="AU88" t="e">
        <f>AND(Sheet1!L1175,"AAAAAHf1vy4=")</f>
        <v>#VALUE!</v>
      </c>
      <c r="AV88" t="e">
        <f>AND(Sheet1!M1175,"AAAAAHf1vy8=")</f>
        <v>#VALUE!</v>
      </c>
      <c r="AW88" t="e">
        <f>AND(Sheet1!N1175,"AAAAAHf1vzA=")</f>
        <v>#VALUE!</v>
      </c>
      <c r="AX88" t="e">
        <f>AND(Sheet1!#REF!,"AAAAAHf1vzE=")</f>
        <v>#REF!</v>
      </c>
      <c r="AY88" t="e">
        <f>AND(Sheet1!#REF!,"AAAAAHf1vzI=")</f>
        <v>#REF!</v>
      </c>
      <c r="AZ88" t="e">
        <f>AND(Sheet1!#REF!,"AAAAAHf1vzM=")</f>
        <v>#REF!</v>
      </c>
      <c r="BA88" t="e">
        <f>AND(Sheet1!#REF!,"AAAAAHf1vzQ=")</f>
        <v>#REF!</v>
      </c>
      <c r="BB88">
        <f>IF(Sheet1!1176:1176,"AAAAAHf1vzU=",0)</f>
        <v>0</v>
      </c>
      <c r="BC88" t="e">
        <f>AND(Sheet1!A1176,"AAAAAHf1vzY=")</f>
        <v>#VALUE!</v>
      </c>
      <c r="BD88" t="e">
        <f>AND(Sheet1!B1176,"AAAAAHf1vzc=")</f>
        <v>#VALUE!</v>
      </c>
      <c r="BE88" t="e">
        <f>AND(Sheet1!C1176,"AAAAAHf1vzg=")</f>
        <v>#VALUE!</v>
      </c>
      <c r="BF88" t="e">
        <f>AND(Sheet1!D1176,"AAAAAHf1vzk=")</f>
        <v>#VALUE!</v>
      </c>
      <c r="BG88" t="e">
        <f>AND(Sheet1!E1176,"AAAAAHf1vzo=")</f>
        <v>#VALUE!</v>
      </c>
      <c r="BH88" t="e">
        <f>AND(Sheet1!F1176,"AAAAAHf1vzs=")</f>
        <v>#VALUE!</v>
      </c>
      <c r="BI88" t="e">
        <f>AND(Sheet1!G1176,"AAAAAHf1vzw=")</f>
        <v>#VALUE!</v>
      </c>
      <c r="BJ88" t="e">
        <f>AND(Sheet1!H1176,"AAAAAHf1vz0=")</f>
        <v>#VALUE!</v>
      </c>
      <c r="BK88" t="e">
        <f>AND(Sheet1!I1176,"AAAAAHf1vz4=")</f>
        <v>#VALUE!</v>
      </c>
      <c r="BL88" t="e">
        <f>AND(Sheet1!J1176,"AAAAAHf1vz8=")</f>
        <v>#VALUE!</v>
      </c>
      <c r="BM88" t="e">
        <f>AND(Sheet1!K1176,"AAAAAHf1v0A=")</f>
        <v>#VALUE!</v>
      </c>
      <c r="BN88" t="e">
        <f>AND(Sheet1!L1176,"AAAAAHf1v0E=")</f>
        <v>#VALUE!</v>
      </c>
      <c r="BO88" t="e">
        <f>AND(Sheet1!M1176,"AAAAAHf1v0I=")</f>
        <v>#VALUE!</v>
      </c>
      <c r="BP88" t="e">
        <f>AND(Sheet1!N1176,"AAAAAHf1v0M=")</f>
        <v>#VALUE!</v>
      </c>
      <c r="BQ88" t="e">
        <f>AND(Sheet1!#REF!,"AAAAAHf1v0Q=")</f>
        <v>#REF!</v>
      </c>
      <c r="BR88" t="e">
        <f>AND(Sheet1!#REF!,"AAAAAHf1v0U=")</f>
        <v>#REF!</v>
      </c>
      <c r="BS88" t="e">
        <f>AND(Sheet1!#REF!,"AAAAAHf1v0Y=")</f>
        <v>#REF!</v>
      </c>
      <c r="BT88" t="e">
        <f>AND(Sheet1!#REF!,"AAAAAHf1v0c=")</f>
        <v>#REF!</v>
      </c>
      <c r="BU88">
        <f>IF(Sheet1!1177:1177,"AAAAAHf1v0g=",0)</f>
        <v>0</v>
      </c>
      <c r="BV88" t="e">
        <f>AND(Sheet1!A1177,"AAAAAHf1v0k=")</f>
        <v>#VALUE!</v>
      </c>
      <c r="BW88" t="e">
        <f>AND(Sheet1!B1177,"AAAAAHf1v0o=")</f>
        <v>#VALUE!</v>
      </c>
      <c r="BX88" t="e">
        <f>AND(Sheet1!C1177,"AAAAAHf1v0s=")</f>
        <v>#VALUE!</v>
      </c>
      <c r="BY88" t="e">
        <f>AND(Sheet1!D1177,"AAAAAHf1v0w=")</f>
        <v>#VALUE!</v>
      </c>
      <c r="BZ88" t="e">
        <f>AND(Sheet1!E1177,"AAAAAHf1v00=")</f>
        <v>#VALUE!</v>
      </c>
      <c r="CA88" t="e">
        <f>AND(Sheet1!F1177,"AAAAAHf1v04=")</f>
        <v>#VALUE!</v>
      </c>
      <c r="CB88" t="e">
        <f>AND(Sheet1!G1177,"AAAAAHf1v08=")</f>
        <v>#VALUE!</v>
      </c>
      <c r="CC88" t="e">
        <f>AND(Sheet1!H1177,"AAAAAHf1v1A=")</f>
        <v>#VALUE!</v>
      </c>
      <c r="CD88" t="e">
        <f>AND(Sheet1!I1177,"AAAAAHf1v1E=")</f>
        <v>#VALUE!</v>
      </c>
      <c r="CE88" t="e">
        <f>AND(Sheet1!J1177,"AAAAAHf1v1I=")</f>
        <v>#VALUE!</v>
      </c>
      <c r="CF88" t="e">
        <f>AND(Sheet1!K1177,"AAAAAHf1v1M=")</f>
        <v>#VALUE!</v>
      </c>
      <c r="CG88" t="e">
        <f>AND(Sheet1!L1177,"AAAAAHf1v1Q=")</f>
        <v>#VALUE!</v>
      </c>
      <c r="CH88" t="e">
        <f>AND(Sheet1!M1177,"AAAAAHf1v1U=")</f>
        <v>#VALUE!</v>
      </c>
      <c r="CI88" t="e">
        <f>AND(Sheet1!N1177,"AAAAAHf1v1Y=")</f>
        <v>#VALUE!</v>
      </c>
      <c r="CJ88" t="e">
        <f>AND(Sheet1!#REF!,"AAAAAHf1v1c=")</f>
        <v>#REF!</v>
      </c>
      <c r="CK88" t="e">
        <f>AND(Sheet1!#REF!,"AAAAAHf1v1g=")</f>
        <v>#REF!</v>
      </c>
      <c r="CL88" t="e">
        <f>AND(Sheet1!#REF!,"AAAAAHf1v1k=")</f>
        <v>#REF!</v>
      </c>
      <c r="CM88" t="e">
        <f>AND(Sheet1!#REF!,"AAAAAHf1v1o=")</f>
        <v>#REF!</v>
      </c>
      <c r="CN88">
        <f>IF(Sheet1!1178:1178,"AAAAAHf1v1s=",0)</f>
        <v>0</v>
      </c>
      <c r="CO88" t="e">
        <f>AND(Sheet1!A1178,"AAAAAHf1v1w=")</f>
        <v>#VALUE!</v>
      </c>
      <c r="CP88" t="e">
        <f>AND(Sheet1!B1178,"AAAAAHf1v10=")</f>
        <v>#VALUE!</v>
      </c>
      <c r="CQ88" t="e">
        <f>AND(Sheet1!C1178,"AAAAAHf1v14=")</f>
        <v>#VALUE!</v>
      </c>
      <c r="CR88" t="e">
        <f>AND(Sheet1!D1178,"AAAAAHf1v18=")</f>
        <v>#VALUE!</v>
      </c>
      <c r="CS88" t="e">
        <f>AND(Sheet1!E1178,"AAAAAHf1v2A=")</f>
        <v>#VALUE!</v>
      </c>
      <c r="CT88" t="e">
        <f>AND(Sheet1!F1178,"AAAAAHf1v2E=")</f>
        <v>#VALUE!</v>
      </c>
      <c r="CU88" t="e">
        <f>AND(Sheet1!G1178,"AAAAAHf1v2I=")</f>
        <v>#VALUE!</v>
      </c>
      <c r="CV88" t="e">
        <f>AND(Sheet1!H1178,"AAAAAHf1v2M=")</f>
        <v>#VALUE!</v>
      </c>
      <c r="CW88" t="e">
        <f>AND(Sheet1!I1178,"AAAAAHf1v2Q=")</f>
        <v>#VALUE!</v>
      </c>
      <c r="CX88" t="e">
        <f>AND(Sheet1!J1178,"AAAAAHf1v2U=")</f>
        <v>#VALUE!</v>
      </c>
      <c r="CY88" t="e">
        <f>AND(Sheet1!K1178,"AAAAAHf1v2Y=")</f>
        <v>#VALUE!</v>
      </c>
      <c r="CZ88" t="e">
        <f>AND(Sheet1!L1178,"AAAAAHf1v2c=")</f>
        <v>#VALUE!</v>
      </c>
      <c r="DA88" t="e">
        <f>AND(Sheet1!M1178,"AAAAAHf1v2g=")</f>
        <v>#VALUE!</v>
      </c>
      <c r="DB88" t="e">
        <f>AND(Sheet1!N1178,"AAAAAHf1v2k=")</f>
        <v>#VALUE!</v>
      </c>
      <c r="DC88" t="e">
        <f>AND(Sheet1!#REF!,"AAAAAHf1v2o=")</f>
        <v>#REF!</v>
      </c>
      <c r="DD88" t="e">
        <f>AND(Sheet1!#REF!,"AAAAAHf1v2s=")</f>
        <v>#REF!</v>
      </c>
      <c r="DE88" t="e">
        <f>AND(Sheet1!#REF!,"AAAAAHf1v2w=")</f>
        <v>#REF!</v>
      </c>
      <c r="DF88" t="e">
        <f>AND(Sheet1!#REF!,"AAAAAHf1v20=")</f>
        <v>#REF!</v>
      </c>
      <c r="DG88">
        <f>IF(Sheet1!1179:1179,"AAAAAHf1v24=",0)</f>
        <v>0</v>
      </c>
      <c r="DH88" t="e">
        <f>AND(Sheet1!A1179,"AAAAAHf1v28=")</f>
        <v>#VALUE!</v>
      </c>
      <c r="DI88" t="e">
        <f>AND(Sheet1!B1179,"AAAAAHf1v3A=")</f>
        <v>#VALUE!</v>
      </c>
      <c r="DJ88" t="e">
        <f>AND(Sheet1!C1179,"AAAAAHf1v3E=")</f>
        <v>#VALUE!</v>
      </c>
      <c r="DK88" t="e">
        <f>AND(Sheet1!D1179,"AAAAAHf1v3I=")</f>
        <v>#VALUE!</v>
      </c>
      <c r="DL88" t="e">
        <f>AND(Sheet1!E1179,"AAAAAHf1v3M=")</f>
        <v>#VALUE!</v>
      </c>
      <c r="DM88" t="e">
        <f>AND(Sheet1!F1179,"AAAAAHf1v3Q=")</f>
        <v>#VALUE!</v>
      </c>
      <c r="DN88" t="e">
        <f>AND(Sheet1!G1179,"AAAAAHf1v3U=")</f>
        <v>#VALUE!</v>
      </c>
      <c r="DO88" t="e">
        <f>AND(Sheet1!H1179,"AAAAAHf1v3Y=")</f>
        <v>#VALUE!</v>
      </c>
      <c r="DP88" t="e">
        <f>AND(Sheet1!I1179,"AAAAAHf1v3c=")</f>
        <v>#VALUE!</v>
      </c>
      <c r="DQ88" t="e">
        <f>AND(Sheet1!J1179,"AAAAAHf1v3g=")</f>
        <v>#VALUE!</v>
      </c>
      <c r="DR88" t="e">
        <f>AND(Sheet1!K1179,"AAAAAHf1v3k=")</f>
        <v>#VALUE!</v>
      </c>
      <c r="DS88" t="e">
        <f>AND(Sheet1!L1179,"AAAAAHf1v3o=")</f>
        <v>#VALUE!</v>
      </c>
      <c r="DT88" t="e">
        <f>AND(Sheet1!M1179,"AAAAAHf1v3s=")</f>
        <v>#VALUE!</v>
      </c>
      <c r="DU88" t="e">
        <f>AND(Sheet1!N1179,"AAAAAHf1v3w=")</f>
        <v>#VALUE!</v>
      </c>
      <c r="DV88" t="e">
        <f>AND(Sheet1!#REF!,"AAAAAHf1v30=")</f>
        <v>#REF!</v>
      </c>
      <c r="DW88" t="e">
        <f>AND(Sheet1!#REF!,"AAAAAHf1v34=")</f>
        <v>#REF!</v>
      </c>
      <c r="DX88" t="e">
        <f>AND(Sheet1!#REF!,"AAAAAHf1v38=")</f>
        <v>#REF!</v>
      </c>
      <c r="DY88" t="e">
        <f>AND(Sheet1!#REF!,"AAAAAHf1v4A=")</f>
        <v>#REF!</v>
      </c>
      <c r="DZ88">
        <f>IF(Sheet1!1180:1180,"AAAAAHf1v4E=",0)</f>
        <v>0</v>
      </c>
      <c r="EA88" t="e">
        <f>AND(Sheet1!A1180,"AAAAAHf1v4I=")</f>
        <v>#VALUE!</v>
      </c>
      <c r="EB88" t="e">
        <f>AND(Sheet1!B1180,"AAAAAHf1v4M=")</f>
        <v>#VALUE!</v>
      </c>
      <c r="EC88" t="e">
        <f>AND(Sheet1!C1180,"AAAAAHf1v4Q=")</f>
        <v>#VALUE!</v>
      </c>
      <c r="ED88" t="e">
        <f>AND(Sheet1!D1180,"AAAAAHf1v4U=")</f>
        <v>#VALUE!</v>
      </c>
      <c r="EE88" t="e">
        <f>AND(Sheet1!E1180,"AAAAAHf1v4Y=")</f>
        <v>#VALUE!</v>
      </c>
      <c r="EF88" t="e">
        <f>AND(Sheet1!F1180,"AAAAAHf1v4c=")</f>
        <v>#VALUE!</v>
      </c>
      <c r="EG88" t="e">
        <f>AND(Sheet1!G1180,"AAAAAHf1v4g=")</f>
        <v>#VALUE!</v>
      </c>
      <c r="EH88" t="e">
        <f>AND(Sheet1!H1180,"AAAAAHf1v4k=")</f>
        <v>#VALUE!</v>
      </c>
      <c r="EI88" t="e">
        <f>AND(Sheet1!I1180,"AAAAAHf1v4o=")</f>
        <v>#VALUE!</v>
      </c>
      <c r="EJ88" t="e">
        <f>AND(Sheet1!J1180,"AAAAAHf1v4s=")</f>
        <v>#VALUE!</v>
      </c>
      <c r="EK88" t="e">
        <f>AND(Sheet1!K1180,"AAAAAHf1v4w=")</f>
        <v>#VALUE!</v>
      </c>
      <c r="EL88" t="e">
        <f>AND(Sheet1!L1180,"AAAAAHf1v40=")</f>
        <v>#VALUE!</v>
      </c>
      <c r="EM88" t="e">
        <f>AND(Sheet1!M1180,"AAAAAHf1v44=")</f>
        <v>#VALUE!</v>
      </c>
      <c r="EN88" t="e">
        <f>AND(Sheet1!N1180,"AAAAAHf1v48=")</f>
        <v>#VALUE!</v>
      </c>
      <c r="EO88" t="e">
        <f>AND(Sheet1!#REF!,"AAAAAHf1v5A=")</f>
        <v>#REF!</v>
      </c>
      <c r="EP88" t="e">
        <f>AND(Sheet1!#REF!,"AAAAAHf1v5E=")</f>
        <v>#REF!</v>
      </c>
      <c r="EQ88" t="e">
        <f>AND(Sheet1!#REF!,"AAAAAHf1v5I=")</f>
        <v>#REF!</v>
      </c>
      <c r="ER88" t="e">
        <f>AND(Sheet1!#REF!,"AAAAAHf1v5M=")</f>
        <v>#REF!</v>
      </c>
      <c r="ES88">
        <f>IF(Sheet1!1181:1181,"AAAAAHf1v5Q=",0)</f>
        <v>0</v>
      </c>
      <c r="ET88" t="e">
        <f>AND(Sheet1!A1181,"AAAAAHf1v5U=")</f>
        <v>#VALUE!</v>
      </c>
      <c r="EU88" t="e">
        <f>AND(Sheet1!B1181,"AAAAAHf1v5Y=")</f>
        <v>#VALUE!</v>
      </c>
      <c r="EV88" t="e">
        <f>AND(Sheet1!C1181,"AAAAAHf1v5c=")</f>
        <v>#VALUE!</v>
      </c>
      <c r="EW88" t="e">
        <f>AND(Sheet1!D1181,"AAAAAHf1v5g=")</f>
        <v>#VALUE!</v>
      </c>
      <c r="EX88" t="e">
        <f>AND(Sheet1!E1181,"AAAAAHf1v5k=")</f>
        <v>#VALUE!</v>
      </c>
      <c r="EY88" t="e">
        <f>AND(Sheet1!F1181,"AAAAAHf1v5o=")</f>
        <v>#VALUE!</v>
      </c>
      <c r="EZ88" t="e">
        <f>AND(Sheet1!G1181,"AAAAAHf1v5s=")</f>
        <v>#VALUE!</v>
      </c>
      <c r="FA88" t="e">
        <f>AND(Sheet1!H1181,"AAAAAHf1v5w=")</f>
        <v>#VALUE!</v>
      </c>
      <c r="FB88" t="e">
        <f>AND(Sheet1!I1181,"AAAAAHf1v50=")</f>
        <v>#VALUE!</v>
      </c>
      <c r="FC88" t="e">
        <f>AND(Sheet1!J1181,"AAAAAHf1v54=")</f>
        <v>#VALUE!</v>
      </c>
      <c r="FD88" t="e">
        <f>AND(Sheet1!K1181,"AAAAAHf1v58=")</f>
        <v>#VALUE!</v>
      </c>
      <c r="FE88" t="e">
        <f>AND(Sheet1!L1181,"AAAAAHf1v6A=")</f>
        <v>#VALUE!</v>
      </c>
      <c r="FF88" t="e">
        <f>AND(Sheet1!M1181,"AAAAAHf1v6E=")</f>
        <v>#VALUE!</v>
      </c>
      <c r="FG88" t="e">
        <f>AND(Sheet1!N1181,"AAAAAHf1v6I=")</f>
        <v>#VALUE!</v>
      </c>
      <c r="FH88" t="e">
        <f>AND(Sheet1!#REF!,"AAAAAHf1v6M=")</f>
        <v>#REF!</v>
      </c>
      <c r="FI88" t="e">
        <f>AND(Sheet1!#REF!,"AAAAAHf1v6Q=")</f>
        <v>#REF!</v>
      </c>
      <c r="FJ88" t="e">
        <f>AND(Sheet1!#REF!,"AAAAAHf1v6U=")</f>
        <v>#REF!</v>
      </c>
      <c r="FK88" t="e">
        <f>AND(Sheet1!#REF!,"AAAAAHf1v6Y=")</f>
        <v>#REF!</v>
      </c>
      <c r="FL88">
        <f>IF(Sheet1!1182:1182,"AAAAAHf1v6c=",0)</f>
        <v>0</v>
      </c>
      <c r="FM88" t="e">
        <f>AND(Sheet1!A1182,"AAAAAHf1v6g=")</f>
        <v>#VALUE!</v>
      </c>
      <c r="FN88" t="e">
        <f>AND(Sheet1!B1182,"AAAAAHf1v6k=")</f>
        <v>#VALUE!</v>
      </c>
      <c r="FO88" t="e">
        <f>AND(Sheet1!C1182,"AAAAAHf1v6o=")</f>
        <v>#VALUE!</v>
      </c>
      <c r="FP88" t="e">
        <f>AND(Sheet1!D1182,"AAAAAHf1v6s=")</f>
        <v>#VALUE!</v>
      </c>
      <c r="FQ88" t="e">
        <f>AND(Sheet1!E1182,"AAAAAHf1v6w=")</f>
        <v>#VALUE!</v>
      </c>
      <c r="FR88" t="e">
        <f>AND(Sheet1!F1182,"AAAAAHf1v60=")</f>
        <v>#VALUE!</v>
      </c>
      <c r="FS88" t="e">
        <f>AND(Sheet1!G1182,"AAAAAHf1v64=")</f>
        <v>#VALUE!</v>
      </c>
      <c r="FT88" t="e">
        <f>AND(Sheet1!H1182,"AAAAAHf1v68=")</f>
        <v>#VALUE!</v>
      </c>
      <c r="FU88" t="e">
        <f>AND(Sheet1!I1182,"AAAAAHf1v7A=")</f>
        <v>#VALUE!</v>
      </c>
      <c r="FV88" t="e">
        <f>AND(Sheet1!J1182,"AAAAAHf1v7E=")</f>
        <v>#VALUE!</v>
      </c>
      <c r="FW88" t="e">
        <f>AND(Sheet1!K1182,"AAAAAHf1v7I=")</f>
        <v>#VALUE!</v>
      </c>
      <c r="FX88" t="e">
        <f>AND(Sheet1!L1182,"AAAAAHf1v7M=")</f>
        <v>#VALUE!</v>
      </c>
      <c r="FY88" t="e">
        <f>AND(Sheet1!M1182,"AAAAAHf1v7Q=")</f>
        <v>#VALUE!</v>
      </c>
      <c r="FZ88" t="e">
        <f>AND(Sheet1!N1182,"AAAAAHf1v7U=")</f>
        <v>#VALUE!</v>
      </c>
      <c r="GA88" t="e">
        <f>AND(Sheet1!#REF!,"AAAAAHf1v7Y=")</f>
        <v>#REF!</v>
      </c>
      <c r="GB88" t="e">
        <f>AND(Sheet1!#REF!,"AAAAAHf1v7c=")</f>
        <v>#REF!</v>
      </c>
      <c r="GC88" t="e">
        <f>AND(Sheet1!#REF!,"AAAAAHf1v7g=")</f>
        <v>#REF!</v>
      </c>
      <c r="GD88" t="e">
        <f>AND(Sheet1!#REF!,"AAAAAHf1v7k=")</f>
        <v>#REF!</v>
      </c>
      <c r="GE88">
        <f>IF(Sheet1!1183:1183,"AAAAAHf1v7o=",0)</f>
        <v>0</v>
      </c>
      <c r="GF88" t="e">
        <f>AND(Sheet1!A1183,"AAAAAHf1v7s=")</f>
        <v>#VALUE!</v>
      </c>
      <c r="GG88" t="e">
        <f>AND(Sheet1!B1183,"AAAAAHf1v7w=")</f>
        <v>#VALUE!</v>
      </c>
      <c r="GH88" t="e">
        <f>AND(Sheet1!C1183,"AAAAAHf1v70=")</f>
        <v>#VALUE!</v>
      </c>
      <c r="GI88" t="e">
        <f>AND(Sheet1!D1183,"AAAAAHf1v74=")</f>
        <v>#VALUE!</v>
      </c>
      <c r="GJ88" t="e">
        <f>AND(Sheet1!E1183,"AAAAAHf1v78=")</f>
        <v>#VALUE!</v>
      </c>
      <c r="GK88" t="e">
        <f>AND(Sheet1!F1183,"AAAAAHf1v8A=")</f>
        <v>#VALUE!</v>
      </c>
      <c r="GL88" t="e">
        <f>AND(Sheet1!G1183,"AAAAAHf1v8E=")</f>
        <v>#VALUE!</v>
      </c>
      <c r="GM88" t="e">
        <f>AND(Sheet1!H1183,"AAAAAHf1v8I=")</f>
        <v>#VALUE!</v>
      </c>
      <c r="GN88" t="e">
        <f>AND(Sheet1!I1183,"AAAAAHf1v8M=")</f>
        <v>#VALUE!</v>
      </c>
      <c r="GO88" t="e">
        <f>AND(Sheet1!J1183,"AAAAAHf1v8Q=")</f>
        <v>#VALUE!</v>
      </c>
      <c r="GP88" t="e">
        <f>AND(Sheet1!K1183,"AAAAAHf1v8U=")</f>
        <v>#VALUE!</v>
      </c>
      <c r="GQ88" t="e">
        <f>AND(Sheet1!L1183,"AAAAAHf1v8Y=")</f>
        <v>#VALUE!</v>
      </c>
      <c r="GR88" t="e">
        <f>AND(Sheet1!M1183,"AAAAAHf1v8c=")</f>
        <v>#VALUE!</v>
      </c>
      <c r="GS88" t="e">
        <f>AND(Sheet1!N1183,"AAAAAHf1v8g=")</f>
        <v>#VALUE!</v>
      </c>
      <c r="GT88" t="e">
        <f>AND(Sheet1!#REF!,"AAAAAHf1v8k=")</f>
        <v>#REF!</v>
      </c>
      <c r="GU88" t="e">
        <f>AND(Sheet1!#REF!,"AAAAAHf1v8o=")</f>
        <v>#REF!</v>
      </c>
      <c r="GV88" t="e">
        <f>AND(Sheet1!#REF!,"AAAAAHf1v8s=")</f>
        <v>#REF!</v>
      </c>
      <c r="GW88" t="e">
        <f>AND(Sheet1!#REF!,"AAAAAHf1v8w=")</f>
        <v>#REF!</v>
      </c>
      <c r="GX88">
        <f>IF(Sheet1!1184:1184,"AAAAAHf1v80=",0)</f>
        <v>0</v>
      </c>
      <c r="GY88" t="e">
        <f>AND(Sheet1!A1184,"AAAAAHf1v84=")</f>
        <v>#VALUE!</v>
      </c>
      <c r="GZ88" t="e">
        <f>AND(Sheet1!B1184,"AAAAAHf1v88=")</f>
        <v>#VALUE!</v>
      </c>
      <c r="HA88" t="e">
        <f>AND(Sheet1!C1184,"AAAAAHf1v9A=")</f>
        <v>#VALUE!</v>
      </c>
      <c r="HB88" t="e">
        <f>AND(Sheet1!D1184,"AAAAAHf1v9E=")</f>
        <v>#VALUE!</v>
      </c>
      <c r="HC88" t="e">
        <f>AND(Sheet1!E1184,"AAAAAHf1v9I=")</f>
        <v>#VALUE!</v>
      </c>
      <c r="HD88" t="e">
        <f>AND(Sheet1!F1184,"AAAAAHf1v9M=")</f>
        <v>#VALUE!</v>
      </c>
      <c r="HE88" t="e">
        <f>AND(Sheet1!G1184,"AAAAAHf1v9Q=")</f>
        <v>#VALUE!</v>
      </c>
      <c r="HF88" t="e">
        <f>AND(Sheet1!H1184,"AAAAAHf1v9U=")</f>
        <v>#VALUE!</v>
      </c>
      <c r="HG88" t="e">
        <f>AND(Sheet1!I1184,"AAAAAHf1v9Y=")</f>
        <v>#VALUE!</v>
      </c>
      <c r="HH88" t="e">
        <f>AND(Sheet1!J1184,"AAAAAHf1v9c=")</f>
        <v>#VALUE!</v>
      </c>
      <c r="HI88" t="e">
        <f>AND(Sheet1!K1184,"AAAAAHf1v9g=")</f>
        <v>#VALUE!</v>
      </c>
      <c r="HJ88" t="e">
        <f>AND(Sheet1!L1184,"AAAAAHf1v9k=")</f>
        <v>#VALUE!</v>
      </c>
      <c r="HK88" t="e">
        <f>AND(Sheet1!M1184,"AAAAAHf1v9o=")</f>
        <v>#VALUE!</v>
      </c>
      <c r="HL88" t="e">
        <f>AND(Sheet1!N1184,"AAAAAHf1v9s=")</f>
        <v>#VALUE!</v>
      </c>
      <c r="HM88" t="e">
        <f>AND(Sheet1!#REF!,"AAAAAHf1v9w=")</f>
        <v>#REF!</v>
      </c>
      <c r="HN88" t="e">
        <f>AND(Sheet1!#REF!,"AAAAAHf1v90=")</f>
        <v>#REF!</v>
      </c>
      <c r="HO88" t="e">
        <f>AND(Sheet1!#REF!,"AAAAAHf1v94=")</f>
        <v>#REF!</v>
      </c>
      <c r="HP88" t="e">
        <f>AND(Sheet1!#REF!,"AAAAAHf1v98=")</f>
        <v>#REF!</v>
      </c>
      <c r="HQ88">
        <f>IF(Sheet1!1185:1185,"AAAAAHf1v+A=",0)</f>
        <v>0</v>
      </c>
      <c r="HR88" t="e">
        <f>AND(Sheet1!A1185,"AAAAAHf1v+E=")</f>
        <v>#VALUE!</v>
      </c>
      <c r="HS88" t="e">
        <f>AND(Sheet1!B1185,"AAAAAHf1v+I=")</f>
        <v>#VALUE!</v>
      </c>
      <c r="HT88" t="e">
        <f>AND(Sheet1!C1185,"AAAAAHf1v+M=")</f>
        <v>#VALUE!</v>
      </c>
      <c r="HU88" t="e">
        <f>AND(Sheet1!D1185,"AAAAAHf1v+Q=")</f>
        <v>#VALUE!</v>
      </c>
      <c r="HV88" t="e">
        <f>AND(Sheet1!E1185,"AAAAAHf1v+U=")</f>
        <v>#VALUE!</v>
      </c>
      <c r="HW88" t="e">
        <f>AND(Sheet1!F1185,"AAAAAHf1v+Y=")</f>
        <v>#VALUE!</v>
      </c>
      <c r="HX88" t="e">
        <f>AND(Sheet1!G1185,"AAAAAHf1v+c=")</f>
        <v>#VALUE!</v>
      </c>
      <c r="HY88" t="e">
        <f>AND(Sheet1!H1185,"AAAAAHf1v+g=")</f>
        <v>#VALUE!</v>
      </c>
      <c r="HZ88" t="e">
        <f>AND(Sheet1!I1185,"AAAAAHf1v+k=")</f>
        <v>#VALUE!</v>
      </c>
      <c r="IA88" t="e">
        <f>AND(Sheet1!J1185,"AAAAAHf1v+o=")</f>
        <v>#VALUE!</v>
      </c>
      <c r="IB88" t="e">
        <f>AND(Sheet1!K1185,"AAAAAHf1v+s=")</f>
        <v>#VALUE!</v>
      </c>
      <c r="IC88" t="e">
        <f>AND(Sheet1!L1185,"AAAAAHf1v+w=")</f>
        <v>#VALUE!</v>
      </c>
      <c r="ID88" t="e">
        <f>AND(Sheet1!M1185,"AAAAAHf1v+0=")</f>
        <v>#VALUE!</v>
      </c>
      <c r="IE88" t="e">
        <f>AND(Sheet1!N1185,"AAAAAHf1v+4=")</f>
        <v>#VALUE!</v>
      </c>
      <c r="IF88" t="e">
        <f>AND(Sheet1!#REF!,"AAAAAHf1v+8=")</f>
        <v>#REF!</v>
      </c>
      <c r="IG88" t="e">
        <f>AND(Sheet1!#REF!,"AAAAAHf1v/A=")</f>
        <v>#REF!</v>
      </c>
      <c r="IH88" t="e">
        <f>AND(Sheet1!#REF!,"AAAAAHf1v/E=")</f>
        <v>#REF!</v>
      </c>
      <c r="II88" t="e">
        <f>AND(Sheet1!#REF!,"AAAAAHf1v/I=")</f>
        <v>#REF!</v>
      </c>
      <c r="IJ88">
        <f>IF(Sheet1!1186:1186,"AAAAAHf1v/M=",0)</f>
        <v>0</v>
      </c>
      <c r="IK88" t="e">
        <f>AND(Sheet1!A1186,"AAAAAHf1v/Q=")</f>
        <v>#VALUE!</v>
      </c>
      <c r="IL88" t="e">
        <f>AND(Sheet1!B1186,"AAAAAHf1v/U=")</f>
        <v>#VALUE!</v>
      </c>
      <c r="IM88" t="e">
        <f>AND(Sheet1!C1186,"AAAAAHf1v/Y=")</f>
        <v>#VALUE!</v>
      </c>
      <c r="IN88" t="e">
        <f>AND(Sheet1!D1186,"AAAAAHf1v/c=")</f>
        <v>#VALUE!</v>
      </c>
      <c r="IO88" t="e">
        <f>AND(Sheet1!E1186,"AAAAAHf1v/g=")</f>
        <v>#VALUE!</v>
      </c>
      <c r="IP88" t="e">
        <f>AND(Sheet1!F1186,"AAAAAHf1v/k=")</f>
        <v>#VALUE!</v>
      </c>
      <c r="IQ88" t="e">
        <f>AND(Sheet1!G1186,"AAAAAHf1v/o=")</f>
        <v>#VALUE!</v>
      </c>
      <c r="IR88" t="e">
        <f>AND(Sheet1!H1186,"AAAAAHf1v/s=")</f>
        <v>#VALUE!</v>
      </c>
      <c r="IS88" t="e">
        <f>AND(Sheet1!I1186,"AAAAAHf1v/w=")</f>
        <v>#VALUE!</v>
      </c>
      <c r="IT88" t="e">
        <f>AND(Sheet1!J1186,"AAAAAHf1v/0=")</f>
        <v>#VALUE!</v>
      </c>
      <c r="IU88" t="e">
        <f>AND(Sheet1!K1186,"AAAAAHf1v/4=")</f>
        <v>#VALUE!</v>
      </c>
      <c r="IV88" t="e">
        <f>AND(Sheet1!L1186,"AAAAAHf1v/8=")</f>
        <v>#VALUE!</v>
      </c>
    </row>
    <row r="89" spans="1:256" x14ac:dyDescent="0.2">
      <c r="A89" t="e">
        <f>AND(Sheet1!M1186,"AAAAAC37vwA=")</f>
        <v>#VALUE!</v>
      </c>
      <c r="B89" t="e">
        <f>AND(Sheet1!N1186,"AAAAAC37vwE=")</f>
        <v>#VALUE!</v>
      </c>
      <c r="C89" t="e">
        <f>AND(Sheet1!#REF!,"AAAAAC37vwI=")</f>
        <v>#REF!</v>
      </c>
      <c r="D89" t="e">
        <f>AND(Sheet1!#REF!,"AAAAAC37vwM=")</f>
        <v>#REF!</v>
      </c>
      <c r="E89" t="e">
        <f>AND(Sheet1!#REF!,"AAAAAC37vwQ=")</f>
        <v>#REF!</v>
      </c>
      <c r="F89" t="e">
        <f>AND(Sheet1!#REF!,"AAAAAC37vwU=")</f>
        <v>#REF!</v>
      </c>
      <c r="G89" t="str">
        <f>IF(Sheet1!1187:1187,"AAAAAC37vwY=",0)</f>
        <v>AAAAAC37vwY=</v>
      </c>
      <c r="H89" t="e">
        <f>AND(Sheet1!A1187,"AAAAAC37vwc=")</f>
        <v>#VALUE!</v>
      </c>
      <c r="I89" t="e">
        <f>AND(Sheet1!B1187,"AAAAAC37vwg=")</f>
        <v>#VALUE!</v>
      </c>
      <c r="J89" t="e">
        <f>AND(Sheet1!C1187,"AAAAAC37vwk=")</f>
        <v>#VALUE!</v>
      </c>
      <c r="K89" t="e">
        <f>AND(Sheet1!D1187,"AAAAAC37vwo=")</f>
        <v>#VALUE!</v>
      </c>
      <c r="L89" t="e">
        <f>AND(Sheet1!E1187,"AAAAAC37vws=")</f>
        <v>#VALUE!</v>
      </c>
      <c r="M89" t="e">
        <f>AND(Sheet1!F1187,"AAAAAC37vww=")</f>
        <v>#VALUE!</v>
      </c>
      <c r="N89" t="e">
        <f>AND(Sheet1!G1187,"AAAAAC37vw0=")</f>
        <v>#VALUE!</v>
      </c>
      <c r="O89" t="e">
        <f>AND(Sheet1!H1187,"AAAAAC37vw4=")</f>
        <v>#VALUE!</v>
      </c>
      <c r="P89" t="e">
        <f>AND(Sheet1!I1187,"AAAAAC37vw8=")</f>
        <v>#VALUE!</v>
      </c>
      <c r="Q89" t="e">
        <f>AND(Sheet1!J1187,"AAAAAC37vxA=")</f>
        <v>#VALUE!</v>
      </c>
      <c r="R89" t="e">
        <f>AND(Sheet1!K1187,"AAAAAC37vxE=")</f>
        <v>#VALUE!</v>
      </c>
      <c r="S89" t="e">
        <f>AND(Sheet1!L1187,"AAAAAC37vxI=")</f>
        <v>#VALUE!</v>
      </c>
      <c r="T89" t="e">
        <f>AND(Sheet1!M1187,"AAAAAC37vxM=")</f>
        <v>#VALUE!</v>
      </c>
      <c r="U89" t="e">
        <f>AND(Sheet1!N1187,"AAAAAC37vxQ=")</f>
        <v>#VALUE!</v>
      </c>
      <c r="V89" t="e">
        <f>AND(Sheet1!#REF!,"AAAAAC37vxU=")</f>
        <v>#REF!</v>
      </c>
      <c r="W89" t="e">
        <f>AND(Sheet1!#REF!,"AAAAAC37vxY=")</f>
        <v>#REF!</v>
      </c>
      <c r="X89" t="e">
        <f>AND(Sheet1!#REF!,"AAAAAC37vxc=")</f>
        <v>#REF!</v>
      </c>
      <c r="Y89" t="e">
        <f>AND(Sheet1!#REF!,"AAAAAC37vxg=")</f>
        <v>#REF!</v>
      </c>
      <c r="Z89">
        <f>IF(Sheet1!1188:1188,"AAAAAC37vxk=",0)</f>
        <v>0</v>
      </c>
      <c r="AA89" t="e">
        <f>AND(Sheet1!A1188,"AAAAAC37vxo=")</f>
        <v>#VALUE!</v>
      </c>
      <c r="AB89" t="e">
        <f>AND(Sheet1!B1188,"AAAAAC37vxs=")</f>
        <v>#VALUE!</v>
      </c>
      <c r="AC89" t="e">
        <f>AND(Sheet1!C1188,"AAAAAC37vxw=")</f>
        <v>#VALUE!</v>
      </c>
      <c r="AD89" t="e">
        <f>AND(Sheet1!D1188,"AAAAAC37vx0=")</f>
        <v>#VALUE!</v>
      </c>
      <c r="AE89" t="e">
        <f>AND(Sheet1!E1188,"AAAAAC37vx4=")</f>
        <v>#VALUE!</v>
      </c>
      <c r="AF89" t="e">
        <f>AND(Sheet1!F1188,"AAAAAC37vx8=")</f>
        <v>#VALUE!</v>
      </c>
      <c r="AG89" t="e">
        <f>AND(Sheet1!G1188,"AAAAAC37vyA=")</f>
        <v>#VALUE!</v>
      </c>
      <c r="AH89" t="e">
        <f>AND(Sheet1!H1188,"AAAAAC37vyE=")</f>
        <v>#VALUE!</v>
      </c>
      <c r="AI89" t="e">
        <f>AND(Sheet1!I1188,"AAAAAC37vyI=")</f>
        <v>#VALUE!</v>
      </c>
      <c r="AJ89" t="e">
        <f>AND(Sheet1!J1188,"AAAAAC37vyM=")</f>
        <v>#VALUE!</v>
      </c>
      <c r="AK89" t="e">
        <f>AND(Sheet1!K1188,"AAAAAC37vyQ=")</f>
        <v>#VALUE!</v>
      </c>
      <c r="AL89" t="e">
        <f>AND(Sheet1!L1188,"AAAAAC37vyU=")</f>
        <v>#VALUE!</v>
      </c>
      <c r="AM89" t="e">
        <f>AND(Sheet1!M1188,"AAAAAC37vyY=")</f>
        <v>#VALUE!</v>
      </c>
      <c r="AN89" t="e">
        <f>AND(Sheet1!N1188,"AAAAAC37vyc=")</f>
        <v>#VALUE!</v>
      </c>
      <c r="AO89" t="e">
        <f>AND(Sheet1!#REF!,"AAAAAC37vyg=")</f>
        <v>#REF!</v>
      </c>
      <c r="AP89" t="e">
        <f>AND(Sheet1!#REF!,"AAAAAC37vyk=")</f>
        <v>#REF!</v>
      </c>
      <c r="AQ89" t="e">
        <f>AND(Sheet1!#REF!,"AAAAAC37vyo=")</f>
        <v>#REF!</v>
      </c>
      <c r="AR89" t="e">
        <f>AND(Sheet1!#REF!,"AAAAAC37vys=")</f>
        <v>#REF!</v>
      </c>
      <c r="AS89">
        <f>IF(Sheet1!1189:1189,"AAAAAC37vyw=",0)</f>
        <v>0</v>
      </c>
      <c r="AT89" t="e">
        <f>AND(Sheet1!A1189,"AAAAAC37vy0=")</f>
        <v>#VALUE!</v>
      </c>
      <c r="AU89" t="e">
        <f>AND(Sheet1!B1189,"AAAAAC37vy4=")</f>
        <v>#VALUE!</v>
      </c>
      <c r="AV89" t="e">
        <f>AND(Sheet1!C1189,"AAAAAC37vy8=")</f>
        <v>#VALUE!</v>
      </c>
      <c r="AW89" t="e">
        <f>AND(Sheet1!D1189,"AAAAAC37vzA=")</f>
        <v>#VALUE!</v>
      </c>
      <c r="AX89" t="e">
        <f>AND(Sheet1!E1189,"AAAAAC37vzE=")</f>
        <v>#VALUE!</v>
      </c>
      <c r="AY89" t="e">
        <f>AND(Sheet1!F1189,"AAAAAC37vzI=")</f>
        <v>#VALUE!</v>
      </c>
      <c r="AZ89" t="e">
        <f>AND(Sheet1!G1189,"AAAAAC37vzM=")</f>
        <v>#VALUE!</v>
      </c>
      <c r="BA89" t="e">
        <f>AND(Sheet1!H1189,"AAAAAC37vzQ=")</f>
        <v>#VALUE!</v>
      </c>
      <c r="BB89" t="e">
        <f>AND(Sheet1!I1189,"AAAAAC37vzU=")</f>
        <v>#VALUE!</v>
      </c>
      <c r="BC89" t="e">
        <f>AND(Sheet1!J1189,"AAAAAC37vzY=")</f>
        <v>#VALUE!</v>
      </c>
      <c r="BD89" t="e">
        <f>AND(Sheet1!K1189,"AAAAAC37vzc=")</f>
        <v>#VALUE!</v>
      </c>
      <c r="BE89" t="e">
        <f>AND(Sheet1!L1189,"AAAAAC37vzg=")</f>
        <v>#VALUE!</v>
      </c>
      <c r="BF89" t="e">
        <f>AND(Sheet1!M1189,"AAAAAC37vzk=")</f>
        <v>#VALUE!</v>
      </c>
      <c r="BG89" t="e">
        <f>AND(Sheet1!N1189,"AAAAAC37vzo=")</f>
        <v>#VALUE!</v>
      </c>
      <c r="BH89" t="e">
        <f>AND(Sheet1!#REF!,"AAAAAC37vzs=")</f>
        <v>#REF!</v>
      </c>
      <c r="BI89" t="e">
        <f>AND(Sheet1!#REF!,"AAAAAC37vzw=")</f>
        <v>#REF!</v>
      </c>
      <c r="BJ89" t="e">
        <f>AND(Sheet1!#REF!,"AAAAAC37vz0=")</f>
        <v>#REF!</v>
      </c>
      <c r="BK89" t="e">
        <f>AND(Sheet1!#REF!,"AAAAAC37vz4=")</f>
        <v>#REF!</v>
      </c>
      <c r="BL89">
        <f>IF(Sheet1!1190:1190,"AAAAAC37vz8=",0)</f>
        <v>0</v>
      </c>
      <c r="BM89" t="e">
        <f>AND(Sheet1!A1190,"AAAAAC37v0A=")</f>
        <v>#VALUE!</v>
      </c>
      <c r="BN89" t="e">
        <f>AND(Sheet1!B1190,"AAAAAC37v0E=")</f>
        <v>#VALUE!</v>
      </c>
      <c r="BO89" t="e">
        <f>AND(Sheet1!C1190,"AAAAAC37v0I=")</f>
        <v>#VALUE!</v>
      </c>
      <c r="BP89" t="e">
        <f>AND(Sheet1!D1190,"AAAAAC37v0M=")</f>
        <v>#VALUE!</v>
      </c>
      <c r="BQ89" t="e">
        <f>AND(Sheet1!E1190,"AAAAAC37v0Q=")</f>
        <v>#VALUE!</v>
      </c>
      <c r="BR89" t="e">
        <f>AND(Sheet1!F1190,"AAAAAC37v0U=")</f>
        <v>#VALUE!</v>
      </c>
      <c r="BS89" t="e">
        <f>AND(Sheet1!G1190,"AAAAAC37v0Y=")</f>
        <v>#VALUE!</v>
      </c>
      <c r="BT89" t="e">
        <f>AND(Sheet1!H1190,"AAAAAC37v0c=")</f>
        <v>#VALUE!</v>
      </c>
      <c r="BU89" t="e">
        <f>AND(Sheet1!I1190,"AAAAAC37v0g=")</f>
        <v>#VALUE!</v>
      </c>
      <c r="BV89" t="e">
        <f>AND(Sheet1!J1190,"AAAAAC37v0k=")</f>
        <v>#VALUE!</v>
      </c>
      <c r="BW89" t="e">
        <f>AND(Sheet1!K1190,"AAAAAC37v0o=")</f>
        <v>#VALUE!</v>
      </c>
      <c r="BX89" t="e">
        <f>AND(Sheet1!L1190,"AAAAAC37v0s=")</f>
        <v>#VALUE!</v>
      </c>
      <c r="BY89" t="e">
        <f>AND(Sheet1!M1190,"AAAAAC37v0w=")</f>
        <v>#VALUE!</v>
      </c>
      <c r="BZ89" t="e">
        <f>AND(Sheet1!N1190,"AAAAAC37v00=")</f>
        <v>#VALUE!</v>
      </c>
      <c r="CA89" t="e">
        <f>AND(Sheet1!#REF!,"AAAAAC37v04=")</f>
        <v>#REF!</v>
      </c>
      <c r="CB89" t="e">
        <f>AND(Sheet1!#REF!,"AAAAAC37v08=")</f>
        <v>#REF!</v>
      </c>
      <c r="CC89" t="e">
        <f>AND(Sheet1!#REF!,"AAAAAC37v1A=")</f>
        <v>#REF!</v>
      </c>
      <c r="CD89" t="e">
        <f>AND(Sheet1!#REF!,"AAAAAC37v1E=")</f>
        <v>#REF!</v>
      </c>
      <c r="CE89">
        <f>IF(Sheet1!1191:1191,"AAAAAC37v1I=",0)</f>
        <v>0</v>
      </c>
      <c r="CF89" t="e">
        <f>AND(Sheet1!A1191,"AAAAAC37v1M=")</f>
        <v>#VALUE!</v>
      </c>
      <c r="CG89" t="e">
        <f>AND(Sheet1!B1191,"AAAAAC37v1Q=")</f>
        <v>#VALUE!</v>
      </c>
      <c r="CH89" t="e">
        <f>AND(Sheet1!C1191,"AAAAAC37v1U=")</f>
        <v>#VALUE!</v>
      </c>
      <c r="CI89" t="e">
        <f>AND(Sheet1!D1191,"AAAAAC37v1Y=")</f>
        <v>#VALUE!</v>
      </c>
      <c r="CJ89" t="e">
        <f>AND(Sheet1!E1191,"AAAAAC37v1c=")</f>
        <v>#VALUE!</v>
      </c>
      <c r="CK89" t="e">
        <f>AND(Sheet1!F1191,"AAAAAC37v1g=")</f>
        <v>#VALUE!</v>
      </c>
      <c r="CL89" t="e">
        <f>AND(Sheet1!G1191,"AAAAAC37v1k=")</f>
        <v>#VALUE!</v>
      </c>
      <c r="CM89" t="e">
        <f>AND(Sheet1!H1191,"AAAAAC37v1o=")</f>
        <v>#VALUE!</v>
      </c>
      <c r="CN89" t="e">
        <f>AND(Sheet1!I1191,"AAAAAC37v1s=")</f>
        <v>#VALUE!</v>
      </c>
      <c r="CO89" t="e">
        <f>AND(Sheet1!J1191,"AAAAAC37v1w=")</f>
        <v>#VALUE!</v>
      </c>
      <c r="CP89" t="e">
        <f>AND(Sheet1!K1191,"AAAAAC37v10=")</f>
        <v>#VALUE!</v>
      </c>
      <c r="CQ89" t="e">
        <f>AND(Sheet1!L1191,"AAAAAC37v14=")</f>
        <v>#VALUE!</v>
      </c>
      <c r="CR89" t="e">
        <f>AND(Sheet1!M1191,"AAAAAC37v18=")</f>
        <v>#VALUE!</v>
      </c>
      <c r="CS89" t="e">
        <f>AND(Sheet1!N1191,"AAAAAC37v2A=")</f>
        <v>#VALUE!</v>
      </c>
      <c r="CT89" t="e">
        <f>AND(Sheet1!#REF!,"AAAAAC37v2E=")</f>
        <v>#REF!</v>
      </c>
      <c r="CU89" t="e">
        <f>AND(Sheet1!#REF!,"AAAAAC37v2I=")</f>
        <v>#REF!</v>
      </c>
      <c r="CV89" t="e">
        <f>AND(Sheet1!#REF!,"AAAAAC37v2M=")</f>
        <v>#REF!</v>
      </c>
      <c r="CW89" t="e">
        <f>AND(Sheet1!#REF!,"AAAAAC37v2Q=")</f>
        <v>#REF!</v>
      </c>
      <c r="CX89">
        <f>IF(Sheet1!1192:1192,"AAAAAC37v2U=",0)</f>
        <v>0</v>
      </c>
      <c r="CY89" t="e">
        <f>AND(Sheet1!A1192,"AAAAAC37v2Y=")</f>
        <v>#VALUE!</v>
      </c>
      <c r="CZ89" t="e">
        <f>AND(Sheet1!B1192,"AAAAAC37v2c=")</f>
        <v>#VALUE!</v>
      </c>
      <c r="DA89" t="e">
        <f>AND(Sheet1!C1192,"AAAAAC37v2g=")</f>
        <v>#VALUE!</v>
      </c>
      <c r="DB89" t="e">
        <f>AND(Sheet1!D1192,"AAAAAC37v2k=")</f>
        <v>#VALUE!</v>
      </c>
      <c r="DC89" t="e">
        <f>AND(Sheet1!E1192,"AAAAAC37v2o=")</f>
        <v>#VALUE!</v>
      </c>
      <c r="DD89" t="e">
        <f>AND(Sheet1!F1192,"AAAAAC37v2s=")</f>
        <v>#VALUE!</v>
      </c>
      <c r="DE89" t="e">
        <f>AND(Sheet1!G1192,"AAAAAC37v2w=")</f>
        <v>#VALUE!</v>
      </c>
      <c r="DF89" t="e">
        <f>AND(Sheet1!H1192,"AAAAAC37v20=")</f>
        <v>#VALUE!</v>
      </c>
      <c r="DG89" t="e">
        <f>AND(Sheet1!I1192,"AAAAAC37v24=")</f>
        <v>#VALUE!</v>
      </c>
      <c r="DH89" t="e">
        <f>AND(Sheet1!J1192,"AAAAAC37v28=")</f>
        <v>#VALUE!</v>
      </c>
      <c r="DI89" t="e">
        <f>AND(Sheet1!K1192,"AAAAAC37v3A=")</f>
        <v>#VALUE!</v>
      </c>
      <c r="DJ89" t="e">
        <f>AND(Sheet1!L1192,"AAAAAC37v3E=")</f>
        <v>#VALUE!</v>
      </c>
      <c r="DK89" t="e">
        <f>AND(Sheet1!M1192,"AAAAAC37v3I=")</f>
        <v>#VALUE!</v>
      </c>
      <c r="DL89" t="e">
        <f>AND(Sheet1!N1192,"AAAAAC37v3M=")</f>
        <v>#VALUE!</v>
      </c>
      <c r="DM89" t="e">
        <f>AND(Sheet1!#REF!,"AAAAAC37v3Q=")</f>
        <v>#REF!</v>
      </c>
      <c r="DN89" t="e">
        <f>AND(Sheet1!#REF!,"AAAAAC37v3U=")</f>
        <v>#REF!</v>
      </c>
      <c r="DO89" t="e">
        <f>AND(Sheet1!#REF!,"AAAAAC37v3Y=")</f>
        <v>#REF!</v>
      </c>
      <c r="DP89" t="e">
        <f>AND(Sheet1!#REF!,"AAAAAC37v3c=")</f>
        <v>#REF!</v>
      </c>
      <c r="DQ89">
        <f>IF(Sheet1!1193:1193,"AAAAAC37v3g=",0)</f>
        <v>0</v>
      </c>
      <c r="DR89" t="e">
        <f>AND(Sheet1!A1193,"AAAAAC37v3k=")</f>
        <v>#VALUE!</v>
      </c>
      <c r="DS89" t="e">
        <f>AND(Sheet1!B1193,"AAAAAC37v3o=")</f>
        <v>#VALUE!</v>
      </c>
      <c r="DT89" t="e">
        <f>AND(Sheet1!C1193,"AAAAAC37v3s=")</f>
        <v>#VALUE!</v>
      </c>
      <c r="DU89" t="e">
        <f>AND(Sheet1!D1193,"AAAAAC37v3w=")</f>
        <v>#VALUE!</v>
      </c>
      <c r="DV89" t="e">
        <f>AND(Sheet1!E1193,"AAAAAC37v30=")</f>
        <v>#VALUE!</v>
      </c>
      <c r="DW89" t="e">
        <f>AND(Sheet1!F1193,"AAAAAC37v34=")</f>
        <v>#VALUE!</v>
      </c>
      <c r="DX89" t="e">
        <f>AND(Sheet1!G1193,"AAAAAC37v38=")</f>
        <v>#VALUE!</v>
      </c>
      <c r="DY89" t="e">
        <f>AND(Sheet1!H1193,"AAAAAC37v4A=")</f>
        <v>#VALUE!</v>
      </c>
      <c r="DZ89" t="e">
        <f>AND(Sheet1!I1193,"AAAAAC37v4E=")</f>
        <v>#VALUE!</v>
      </c>
      <c r="EA89" t="e">
        <f>AND(Sheet1!J1193,"AAAAAC37v4I=")</f>
        <v>#VALUE!</v>
      </c>
      <c r="EB89" t="e">
        <f>AND(Sheet1!K1193,"AAAAAC37v4M=")</f>
        <v>#VALUE!</v>
      </c>
      <c r="EC89" t="e">
        <f>AND(Sheet1!L1193,"AAAAAC37v4Q=")</f>
        <v>#VALUE!</v>
      </c>
      <c r="ED89" t="e">
        <f>AND(Sheet1!M1193,"AAAAAC37v4U=")</f>
        <v>#VALUE!</v>
      </c>
      <c r="EE89" t="e">
        <f>AND(Sheet1!N1193,"AAAAAC37v4Y=")</f>
        <v>#VALUE!</v>
      </c>
      <c r="EF89" t="e">
        <f>AND(Sheet1!#REF!,"AAAAAC37v4c=")</f>
        <v>#REF!</v>
      </c>
      <c r="EG89" t="e">
        <f>AND(Sheet1!#REF!,"AAAAAC37v4g=")</f>
        <v>#REF!</v>
      </c>
      <c r="EH89" t="e">
        <f>AND(Sheet1!#REF!,"AAAAAC37v4k=")</f>
        <v>#REF!</v>
      </c>
      <c r="EI89" t="e">
        <f>AND(Sheet1!#REF!,"AAAAAC37v4o=")</f>
        <v>#REF!</v>
      </c>
      <c r="EJ89">
        <f>IF(Sheet1!1194:1194,"AAAAAC37v4s=",0)</f>
        <v>0</v>
      </c>
      <c r="EK89" t="e">
        <f>AND(Sheet1!A1194,"AAAAAC37v4w=")</f>
        <v>#VALUE!</v>
      </c>
      <c r="EL89" t="e">
        <f>AND(Sheet1!B1194,"AAAAAC37v40=")</f>
        <v>#VALUE!</v>
      </c>
      <c r="EM89" t="e">
        <f>AND(Sheet1!C1194,"AAAAAC37v44=")</f>
        <v>#VALUE!</v>
      </c>
      <c r="EN89" t="e">
        <f>AND(Sheet1!D1194,"AAAAAC37v48=")</f>
        <v>#VALUE!</v>
      </c>
      <c r="EO89" t="e">
        <f>AND(Sheet1!E1194,"AAAAAC37v5A=")</f>
        <v>#VALUE!</v>
      </c>
      <c r="EP89" t="e">
        <f>AND(Sheet1!F1194,"AAAAAC37v5E=")</f>
        <v>#VALUE!</v>
      </c>
      <c r="EQ89" t="e">
        <f>AND(Sheet1!G1194,"AAAAAC37v5I=")</f>
        <v>#VALUE!</v>
      </c>
      <c r="ER89" t="e">
        <f>AND(Sheet1!H1194,"AAAAAC37v5M=")</f>
        <v>#VALUE!</v>
      </c>
      <c r="ES89" t="e">
        <f>AND(Sheet1!I1194,"AAAAAC37v5Q=")</f>
        <v>#VALUE!</v>
      </c>
      <c r="ET89" t="e">
        <f>AND(Sheet1!J1194,"AAAAAC37v5U=")</f>
        <v>#VALUE!</v>
      </c>
      <c r="EU89" t="e">
        <f>AND(Sheet1!K1194,"AAAAAC37v5Y=")</f>
        <v>#VALUE!</v>
      </c>
      <c r="EV89" t="e">
        <f>AND(Sheet1!L1194,"AAAAAC37v5c=")</f>
        <v>#VALUE!</v>
      </c>
      <c r="EW89" t="e">
        <f>AND(Sheet1!M1194,"AAAAAC37v5g=")</f>
        <v>#VALUE!</v>
      </c>
      <c r="EX89" t="e">
        <f>AND(Sheet1!N1194,"AAAAAC37v5k=")</f>
        <v>#VALUE!</v>
      </c>
      <c r="EY89" t="e">
        <f>AND(Sheet1!#REF!,"AAAAAC37v5o=")</f>
        <v>#REF!</v>
      </c>
      <c r="EZ89" t="e">
        <f>AND(Sheet1!#REF!,"AAAAAC37v5s=")</f>
        <v>#REF!</v>
      </c>
      <c r="FA89" t="e">
        <f>AND(Sheet1!#REF!,"AAAAAC37v5w=")</f>
        <v>#REF!</v>
      </c>
      <c r="FB89" t="e">
        <f>AND(Sheet1!#REF!,"AAAAAC37v50=")</f>
        <v>#REF!</v>
      </c>
      <c r="FC89">
        <f>IF(Sheet1!1195:1195,"AAAAAC37v54=",0)</f>
        <v>0</v>
      </c>
      <c r="FD89" t="e">
        <f>AND(Sheet1!A1195,"AAAAAC37v58=")</f>
        <v>#VALUE!</v>
      </c>
      <c r="FE89" t="e">
        <f>AND(Sheet1!B1195,"AAAAAC37v6A=")</f>
        <v>#VALUE!</v>
      </c>
      <c r="FF89" t="e">
        <f>AND(Sheet1!C1195,"AAAAAC37v6E=")</f>
        <v>#VALUE!</v>
      </c>
      <c r="FG89" t="e">
        <f>AND(Sheet1!D1195,"AAAAAC37v6I=")</f>
        <v>#VALUE!</v>
      </c>
      <c r="FH89" t="e">
        <f>AND(Sheet1!E1195,"AAAAAC37v6M=")</f>
        <v>#VALUE!</v>
      </c>
      <c r="FI89" t="e">
        <f>AND(Sheet1!F1195,"AAAAAC37v6Q=")</f>
        <v>#VALUE!</v>
      </c>
      <c r="FJ89" t="e">
        <f>AND(Sheet1!G1195,"AAAAAC37v6U=")</f>
        <v>#VALUE!</v>
      </c>
      <c r="FK89" t="e">
        <f>AND(Sheet1!H1195,"AAAAAC37v6Y=")</f>
        <v>#VALUE!</v>
      </c>
      <c r="FL89" t="e">
        <f>AND(Sheet1!I1195,"AAAAAC37v6c=")</f>
        <v>#VALUE!</v>
      </c>
      <c r="FM89" t="e">
        <f>AND(Sheet1!J1195,"AAAAAC37v6g=")</f>
        <v>#VALUE!</v>
      </c>
      <c r="FN89" t="e">
        <f>AND(Sheet1!K1195,"AAAAAC37v6k=")</f>
        <v>#VALUE!</v>
      </c>
      <c r="FO89" t="e">
        <f>AND(Sheet1!L1195,"AAAAAC37v6o=")</f>
        <v>#VALUE!</v>
      </c>
      <c r="FP89" t="e">
        <f>AND(Sheet1!M1195,"AAAAAC37v6s=")</f>
        <v>#VALUE!</v>
      </c>
      <c r="FQ89" t="e">
        <f>AND(Sheet1!N1195,"AAAAAC37v6w=")</f>
        <v>#VALUE!</v>
      </c>
      <c r="FR89" t="e">
        <f>AND(Sheet1!#REF!,"AAAAAC37v60=")</f>
        <v>#REF!</v>
      </c>
      <c r="FS89" t="e">
        <f>AND(Sheet1!#REF!,"AAAAAC37v64=")</f>
        <v>#REF!</v>
      </c>
      <c r="FT89" t="e">
        <f>AND(Sheet1!#REF!,"AAAAAC37v68=")</f>
        <v>#REF!</v>
      </c>
      <c r="FU89" t="e">
        <f>AND(Sheet1!#REF!,"AAAAAC37v7A=")</f>
        <v>#REF!</v>
      </c>
      <c r="FV89">
        <f>IF(Sheet1!1196:1196,"AAAAAC37v7E=",0)</f>
        <v>0</v>
      </c>
      <c r="FW89" t="e">
        <f>AND(Sheet1!A1196,"AAAAAC37v7I=")</f>
        <v>#VALUE!</v>
      </c>
      <c r="FX89" t="e">
        <f>AND(Sheet1!B1196,"AAAAAC37v7M=")</f>
        <v>#VALUE!</v>
      </c>
      <c r="FY89" t="e">
        <f>AND(Sheet1!C1196,"AAAAAC37v7Q=")</f>
        <v>#VALUE!</v>
      </c>
      <c r="FZ89" t="e">
        <f>AND(Sheet1!D1196,"AAAAAC37v7U=")</f>
        <v>#VALUE!</v>
      </c>
      <c r="GA89" t="e">
        <f>AND(Sheet1!E1196,"AAAAAC37v7Y=")</f>
        <v>#VALUE!</v>
      </c>
      <c r="GB89" t="e">
        <f>AND(Sheet1!F1196,"AAAAAC37v7c=")</f>
        <v>#VALUE!</v>
      </c>
      <c r="GC89" t="e">
        <f>AND(Sheet1!G1196,"AAAAAC37v7g=")</f>
        <v>#VALUE!</v>
      </c>
      <c r="GD89" t="e">
        <f>AND(Sheet1!H1196,"AAAAAC37v7k=")</f>
        <v>#VALUE!</v>
      </c>
      <c r="GE89" t="e">
        <f>AND(Sheet1!I1196,"AAAAAC37v7o=")</f>
        <v>#VALUE!</v>
      </c>
      <c r="GF89" t="e">
        <f>AND(Sheet1!J1196,"AAAAAC37v7s=")</f>
        <v>#VALUE!</v>
      </c>
      <c r="GG89" t="e">
        <f>AND(Sheet1!K1196,"AAAAAC37v7w=")</f>
        <v>#VALUE!</v>
      </c>
      <c r="GH89" t="e">
        <f>AND(Sheet1!L1196,"AAAAAC37v70=")</f>
        <v>#VALUE!</v>
      </c>
      <c r="GI89" t="e">
        <f>AND(Sheet1!M1196,"AAAAAC37v74=")</f>
        <v>#VALUE!</v>
      </c>
      <c r="GJ89" t="e">
        <f>AND(Sheet1!N1196,"AAAAAC37v78=")</f>
        <v>#VALUE!</v>
      </c>
      <c r="GK89" t="e">
        <f>AND(Sheet1!#REF!,"AAAAAC37v8A=")</f>
        <v>#REF!</v>
      </c>
      <c r="GL89" t="e">
        <f>AND(Sheet1!#REF!,"AAAAAC37v8E=")</f>
        <v>#REF!</v>
      </c>
      <c r="GM89" t="e">
        <f>AND(Sheet1!#REF!,"AAAAAC37v8I=")</f>
        <v>#REF!</v>
      </c>
      <c r="GN89" t="e">
        <f>AND(Sheet1!#REF!,"AAAAAC37v8M=")</f>
        <v>#REF!</v>
      </c>
      <c r="GO89">
        <f>IF(Sheet1!1197:1197,"AAAAAC37v8Q=",0)</f>
        <v>0</v>
      </c>
      <c r="GP89" t="e">
        <f>AND(Sheet1!A1197,"AAAAAC37v8U=")</f>
        <v>#VALUE!</v>
      </c>
      <c r="GQ89" t="e">
        <f>AND(Sheet1!B1197,"AAAAAC37v8Y=")</f>
        <v>#VALUE!</v>
      </c>
      <c r="GR89" t="e">
        <f>AND(Sheet1!C1197,"AAAAAC37v8c=")</f>
        <v>#VALUE!</v>
      </c>
      <c r="GS89" t="e">
        <f>AND(Sheet1!D1197,"AAAAAC37v8g=")</f>
        <v>#VALUE!</v>
      </c>
      <c r="GT89" t="e">
        <f>AND(Sheet1!E1197,"AAAAAC37v8k=")</f>
        <v>#VALUE!</v>
      </c>
      <c r="GU89" t="e">
        <f>AND(Sheet1!F1197,"AAAAAC37v8o=")</f>
        <v>#VALUE!</v>
      </c>
      <c r="GV89" t="e">
        <f>AND(Sheet1!G1197,"AAAAAC37v8s=")</f>
        <v>#VALUE!</v>
      </c>
      <c r="GW89" t="e">
        <f>AND(Sheet1!H1197,"AAAAAC37v8w=")</f>
        <v>#VALUE!</v>
      </c>
      <c r="GX89" t="e">
        <f>AND(Sheet1!I1197,"AAAAAC37v80=")</f>
        <v>#VALUE!</v>
      </c>
      <c r="GY89" t="e">
        <f>AND(Sheet1!J1197,"AAAAAC37v84=")</f>
        <v>#VALUE!</v>
      </c>
      <c r="GZ89" t="e">
        <f>AND(Sheet1!K1197,"AAAAAC37v88=")</f>
        <v>#VALUE!</v>
      </c>
      <c r="HA89" t="e">
        <f>AND(Sheet1!L1197,"AAAAAC37v9A=")</f>
        <v>#VALUE!</v>
      </c>
      <c r="HB89" t="e">
        <f>AND(Sheet1!M1197,"AAAAAC37v9E=")</f>
        <v>#VALUE!</v>
      </c>
      <c r="HC89" t="e">
        <f>AND(Sheet1!N1197,"AAAAAC37v9I=")</f>
        <v>#VALUE!</v>
      </c>
      <c r="HD89" t="e">
        <f>AND(Sheet1!#REF!,"AAAAAC37v9M=")</f>
        <v>#REF!</v>
      </c>
      <c r="HE89" t="e">
        <f>AND(Sheet1!#REF!,"AAAAAC37v9Q=")</f>
        <v>#REF!</v>
      </c>
      <c r="HF89" t="e">
        <f>AND(Sheet1!#REF!,"AAAAAC37v9U=")</f>
        <v>#REF!</v>
      </c>
      <c r="HG89" t="e">
        <f>AND(Sheet1!#REF!,"AAAAAC37v9Y=")</f>
        <v>#REF!</v>
      </c>
      <c r="HH89">
        <f>IF(Sheet1!1198:1198,"AAAAAC37v9c=",0)</f>
        <v>0</v>
      </c>
      <c r="HI89" t="e">
        <f>AND(Sheet1!A1198,"AAAAAC37v9g=")</f>
        <v>#VALUE!</v>
      </c>
      <c r="HJ89" t="e">
        <f>AND(Sheet1!B1198,"AAAAAC37v9k=")</f>
        <v>#VALUE!</v>
      </c>
      <c r="HK89" t="e">
        <f>AND(Sheet1!C1198,"AAAAAC37v9o=")</f>
        <v>#VALUE!</v>
      </c>
      <c r="HL89" t="e">
        <f>AND(Sheet1!D1198,"AAAAAC37v9s=")</f>
        <v>#VALUE!</v>
      </c>
      <c r="HM89" t="e">
        <f>AND(Sheet1!E1198,"AAAAAC37v9w=")</f>
        <v>#VALUE!</v>
      </c>
      <c r="HN89" t="e">
        <f>AND(Sheet1!F1198,"AAAAAC37v90=")</f>
        <v>#VALUE!</v>
      </c>
      <c r="HO89" t="e">
        <f>AND(Sheet1!G1198,"AAAAAC37v94=")</f>
        <v>#VALUE!</v>
      </c>
      <c r="HP89" t="e">
        <f>AND(Sheet1!H1198,"AAAAAC37v98=")</f>
        <v>#VALUE!</v>
      </c>
      <c r="HQ89" t="e">
        <f>AND(Sheet1!I1198,"AAAAAC37v+A=")</f>
        <v>#VALUE!</v>
      </c>
      <c r="HR89" t="e">
        <f>AND(Sheet1!J1198,"AAAAAC37v+E=")</f>
        <v>#VALUE!</v>
      </c>
      <c r="HS89" t="e">
        <f>AND(Sheet1!K1198,"AAAAAC37v+I=")</f>
        <v>#VALUE!</v>
      </c>
      <c r="HT89" t="e">
        <f>AND(Sheet1!L1198,"AAAAAC37v+M=")</f>
        <v>#VALUE!</v>
      </c>
      <c r="HU89" t="e">
        <f>AND(Sheet1!M1198,"AAAAAC37v+Q=")</f>
        <v>#VALUE!</v>
      </c>
      <c r="HV89" t="e">
        <f>AND(Sheet1!N1198,"AAAAAC37v+U=")</f>
        <v>#VALUE!</v>
      </c>
      <c r="HW89" t="e">
        <f>AND(Sheet1!#REF!,"AAAAAC37v+Y=")</f>
        <v>#REF!</v>
      </c>
      <c r="HX89" t="e">
        <f>AND(Sheet1!#REF!,"AAAAAC37v+c=")</f>
        <v>#REF!</v>
      </c>
      <c r="HY89" t="e">
        <f>AND(Sheet1!#REF!,"AAAAAC37v+g=")</f>
        <v>#REF!</v>
      </c>
      <c r="HZ89" t="e">
        <f>AND(Sheet1!#REF!,"AAAAAC37v+k=")</f>
        <v>#REF!</v>
      </c>
      <c r="IA89">
        <f>IF(Sheet1!1199:1199,"AAAAAC37v+o=",0)</f>
        <v>0</v>
      </c>
      <c r="IB89" t="e">
        <f>AND(Sheet1!A1199,"AAAAAC37v+s=")</f>
        <v>#VALUE!</v>
      </c>
      <c r="IC89" t="e">
        <f>AND(Sheet1!B1199,"AAAAAC37v+w=")</f>
        <v>#VALUE!</v>
      </c>
      <c r="ID89" t="e">
        <f>AND(Sheet1!C1199,"AAAAAC37v+0=")</f>
        <v>#VALUE!</v>
      </c>
      <c r="IE89" t="e">
        <f>AND(Sheet1!D1199,"AAAAAC37v+4=")</f>
        <v>#VALUE!</v>
      </c>
      <c r="IF89" t="e">
        <f>AND(Sheet1!E1199,"AAAAAC37v+8=")</f>
        <v>#VALUE!</v>
      </c>
      <c r="IG89" t="e">
        <f>AND(Sheet1!F1199,"AAAAAC37v/A=")</f>
        <v>#VALUE!</v>
      </c>
      <c r="IH89" t="e">
        <f>AND(Sheet1!G1199,"AAAAAC37v/E=")</f>
        <v>#VALUE!</v>
      </c>
      <c r="II89" t="e">
        <f>AND(Sheet1!H1199,"AAAAAC37v/I=")</f>
        <v>#VALUE!</v>
      </c>
      <c r="IJ89" t="e">
        <f>AND(Sheet1!I1199,"AAAAAC37v/M=")</f>
        <v>#VALUE!</v>
      </c>
      <c r="IK89" t="e">
        <f>AND(Sheet1!J1199,"AAAAAC37v/Q=")</f>
        <v>#VALUE!</v>
      </c>
      <c r="IL89" t="e">
        <f>AND(Sheet1!K1199,"AAAAAC37v/U=")</f>
        <v>#VALUE!</v>
      </c>
      <c r="IM89" t="e">
        <f>AND(Sheet1!L1199,"AAAAAC37v/Y=")</f>
        <v>#VALUE!</v>
      </c>
      <c r="IN89" t="e">
        <f>AND(Sheet1!M1199,"AAAAAC37v/c=")</f>
        <v>#VALUE!</v>
      </c>
      <c r="IO89" t="e">
        <f>AND(Sheet1!N1199,"AAAAAC37v/g=")</f>
        <v>#VALUE!</v>
      </c>
      <c r="IP89" t="e">
        <f>AND(Sheet1!#REF!,"AAAAAC37v/k=")</f>
        <v>#REF!</v>
      </c>
      <c r="IQ89" t="e">
        <f>AND(Sheet1!#REF!,"AAAAAC37v/o=")</f>
        <v>#REF!</v>
      </c>
      <c r="IR89" t="e">
        <f>AND(Sheet1!#REF!,"AAAAAC37v/s=")</f>
        <v>#REF!</v>
      </c>
      <c r="IS89" t="e">
        <f>AND(Sheet1!#REF!,"AAAAAC37v/w=")</f>
        <v>#REF!</v>
      </c>
      <c r="IT89">
        <f>IF(Sheet1!1200:1200,"AAAAAC37v/0=",0)</f>
        <v>0</v>
      </c>
      <c r="IU89" t="e">
        <f>AND(Sheet1!A1200,"AAAAAC37v/4=")</f>
        <v>#VALUE!</v>
      </c>
      <c r="IV89" t="e">
        <f>AND(Sheet1!B1200,"AAAAAC37v/8=")</f>
        <v>#VALUE!</v>
      </c>
    </row>
    <row r="90" spans="1:256" x14ac:dyDescent="0.2">
      <c r="A90" t="e">
        <f>AND(Sheet1!C1200,"AAAAAHzlkwA=")</f>
        <v>#VALUE!</v>
      </c>
      <c r="B90" t="e">
        <f>AND(Sheet1!D1200,"AAAAAHzlkwE=")</f>
        <v>#VALUE!</v>
      </c>
      <c r="C90" t="e">
        <f>AND(Sheet1!E1200,"AAAAAHzlkwI=")</f>
        <v>#VALUE!</v>
      </c>
      <c r="D90" t="e">
        <f>AND(Sheet1!F1200,"AAAAAHzlkwM=")</f>
        <v>#VALUE!</v>
      </c>
      <c r="E90" t="e">
        <f>AND(Sheet1!G1200,"AAAAAHzlkwQ=")</f>
        <v>#VALUE!</v>
      </c>
      <c r="F90" t="e">
        <f>AND(Sheet1!H1200,"AAAAAHzlkwU=")</f>
        <v>#VALUE!</v>
      </c>
      <c r="G90" t="e">
        <f>AND(Sheet1!I1200,"AAAAAHzlkwY=")</f>
        <v>#VALUE!</v>
      </c>
      <c r="H90" t="e">
        <f>AND(Sheet1!J1200,"AAAAAHzlkwc=")</f>
        <v>#VALUE!</v>
      </c>
      <c r="I90" t="e">
        <f>AND(Sheet1!K1200,"AAAAAHzlkwg=")</f>
        <v>#VALUE!</v>
      </c>
      <c r="J90" t="e">
        <f>AND(Sheet1!L1200,"AAAAAHzlkwk=")</f>
        <v>#VALUE!</v>
      </c>
      <c r="K90" t="e">
        <f>AND(Sheet1!M1200,"AAAAAHzlkwo=")</f>
        <v>#VALUE!</v>
      </c>
      <c r="L90" t="e">
        <f>AND(Sheet1!N1200,"AAAAAHzlkws=")</f>
        <v>#VALUE!</v>
      </c>
      <c r="M90" t="e">
        <f>AND(Sheet1!#REF!,"AAAAAHzlkww=")</f>
        <v>#REF!</v>
      </c>
      <c r="N90" t="e">
        <f>AND(Sheet1!#REF!,"AAAAAHzlkw0=")</f>
        <v>#REF!</v>
      </c>
      <c r="O90" t="e">
        <f>AND(Sheet1!#REF!,"AAAAAHzlkw4=")</f>
        <v>#REF!</v>
      </c>
      <c r="P90" t="e">
        <f>AND(Sheet1!#REF!,"AAAAAHzlkw8=")</f>
        <v>#REF!</v>
      </c>
      <c r="Q90">
        <f>IF(Sheet1!1201:1201,"AAAAAHzlkxA=",0)</f>
        <v>0</v>
      </c>
      <c r="R90" t="e">
        <f>AND(Sheet1!A1201,"AAAAAHzlkxE=")</f>
        <v>#VALUE!</v>
      </c>
      <c r="S90" t="e">
        <f>AND(Sheet1!B1201,"AAAAAHzlkxI=")</f>
        <v>#VALUE!</v>
      </c>
      <c r="T90" t="e">
        <f>AND(Sheet1!C1201,"AAAAAHzlkxM=")</f>
        <v>#VALUE!</v>
      </c>
      <c r="U90" t="e">
        <f>AND(Sheet1!D1201,"AAAAAHzlkxQ=")</f>
        <v>#VALUE!</v>
      </c>
      <c r="V90" t="e">
        <f>AND(Sheet1!E1201,"AAAAAHzlkxU=")</f>
        <v>#VALUE!</v>
      </c>
      <c r="W90" t="e">
        <f>AND(Sheet1!F1201,"AAAAAHzlkxY=")</f>
        <v>#VALUE!</v>
      </c>
      <c r="X90" t="e">
        <f>AND(Sheet1!G1201,"AAAAAHzlkxc=")</f>
        <v>#VALUE!</v>
      </c>
      <c r="Y90" t="e">
        <f>AND(Sheet1!H1201,"AAAAAHzlkxg=")</f>
        <v>#VALUE!</v>
      </c>
      <c r="Z90" t="e">
        <f>AND(Sheet1!I1201,"AAAAAHzlkxk=")</f>
        <v>#VALUE!</v>
      </c>
      <c r="AA90" t="e">
        <f>AND(Sheet1!J1201,"AAAAAHzlkxo=")</f>
        <v>#VALUE!</v>
      </c>
      <c r="AB90" t="e">
        <f>AND(Sheet1!K1201,"AAAAAHzlkxs=")</f>
        <v>#VALUE!</v>
      </c>
      <c r="AC90" t="e">
        <f>AND(Sheet1!L1201,"AAAAAHzlkxw=")</f>
        <v>#VALUE!</v>
      </c>
      <c r="AD90" t="e">
        <f>AND(Sheet1!M1201,"AAAAAHzlkx0=")</f>
        <v>#VALUE!</v>
      </c>
      <c r="AE90" t="e">
        <f>AND(Sheet1!N1201,"AAAAAHzlkx4=")</f>
        <v>#VALUE!</v>
      </c>
      <c r="AF90" t="e">
        <f>AND(Sheet1!#REF!,"AAAAAHzlkx8=")</f>
        <v>#REF!</v>
      </c>
      <c r="AG90" t="e">
        <f>AND(Sheet1!#REF!,"AAAAAHzlkyA=")</f>
        <v>#REF!</v>
      </c>
      <c r="AH90" t="e">
        <f>AND(Sheet1!#REF!,"AAAAAHzlkyE=")</f>
        <v>#REF!</v>
      </c>
      <c r="AI90" t="e">
        <f>AND(Sheet1!#REF!,"AAAAAHzlkyI=")</f>
        <v>#REF!</v>
      </c>
      <c r="AJ90">
        <f>IF(Sheet1!1202:1202,"AAAAAHzlkyM=",0)</f>
        <v>0</v>
      </c>
      <c r="AK90" t="e">
        <f>AND(Sheet1!A1202,"AAAAAHzlkyQ=")</f>
        <v>#VALUE!</v>
      </c>
      <c r="AL90" t="e">
        <f>AND(Sheet1!B1202,"AAAAAHzlkyU=")</f>
        <v>#VALUE!</v>
      </c>
      <c r="AM90" t="e">
        <f>AND(Sheet1!C1202,"AAAAAHzlkyY=")</f>
        <v>#VALUE!</v>
      </c>
      <c r="AN90" t="e">
        <f>AND(Sheet1!D1202,"AAAAAHzlkyc=")</f>
        <v>#VALUE!</v>
      </c>
      <c r="AO90" t="e">
        <f>AND(Sheet1!E1202,"AAAAAHzlkyg=")</f>
        <v>#VALUE!</v>
      </c>
      <c r="AP90" t="e">
        <f>AND(Sheet1!F1202,"AAAAAHzlkyk=")</f>
        <v>#VALUE!</v>
      </c>
      <c r="AQ90" t="e">
        <f>AND(Sheet1!G1202,"AAAAAHzlkyo=")</f>
        <v>#VALUE!</v>
      </c>
      <c r="AR90" t="e">
        <f>AND(Sheet1!H1202,"AAAAAHzlkys=")</f>
        <v>#VALUE!</v>
      </c>
      <c r="AS90" t="e">
        <f>AND(Sheet1!I1202,"AAAAAHzlkyw=")</f>
        <v>#VALUE!</v>
      </c>
      <c r="AT90" t="e">
        <f>AND(Sheet1!J1202,"AAAAAHzlky0=")</f>
        <v>#VALUE!</v>
      </c>
      <c r="AU90" t="e">
        <f>AND(Sheet1!K1202,"AAAAAHzlky4=")</f>
        <v>#VALUE!</v>
      </c>
      <c r="AV90" t="e">
        <f>AND(Sheet1!L1202,"AAAAAHzlky8=")</f>
        <v>#VALUE!</v>
      </c>
      <c r="AW90" t="e">
        <f>AND(Sheet1!M1202,"AAAAAHzlkzA=")</f>
        <v>#VALUE!</v>
      </c>
      <c r="AX90" t="e">
        <f>AND(Sheet1!N1202,"AAAAAHzlkzE=")</f>
        <v>#VALUE!</v>
      </c>
      <c r="AY90" t="e">
        <f>AND(Sheet1!#REF!,"AAAAAHzlkzI=")</f>
        <v>#REF!</v>
      </c>
      <c r="AZ90" t="e">
        <f>AND(Sheet1!#REF!,"AAAAAHzlkzM=")</f>
        <v>#REF!</v>
      </c>
      <c r="BA90" t="e">
        <f>AND(Sheet1!#REF!,"AAAAAHzlkzQ=")</f>
        <v>#REF!</v>
      </c>
      <c r="BB90" t="e">
        <f>AND(Sheet1!#REF!,"AAAAAHzlkzU=")</f>
        <v>#REF!</v>
      </c>
      <c r="BC90">
        <f>IF(Sheet1!1203:1203,"AAAAAHzlkzY=",0)</f>
        <v>0</v>
      </c>
      <c r="BD90" t="e">
        <f>AND(Sheet1!A1203,"AAAAAHzlkzc=")</f>
        <v>#VALUE!</v>
      </c>
      <c r="BE90" t="e">
        <f>AND(Sheet1!B1203,"AAAAAHzlkzg=")</f>
        <v>#VALUE!</v>
      </c>
      <c r="BF90" t="e">
        <f>AND(Sheet1!C1203,"AAAAAHzlkzk=")</f>
        <v>#VALUE!</v>
      </c>
      <c r="BG90" t="e">
        <f>AND(Sheet1!D1203,"AAAAAHzlkzo=")</f>
        <v>#VALUE!</v>
      </c>
      <c r="BH90" t="e">
        <f>AND(Sheet1!E1203,"AAAAAHzlkzs=")</f>
        <v>#VALUE!</v>
      </c>
      <c r="BI90" t="e">
        <f>AND(Sheet1!F1203,"AAAAAHzlkzw=")</f>
        <v>#VALUE!</v>
      </c>
      <c r="BJ90" t="e">
        <f>AND(Sheet1!G1203,"AAAAAHzlkz0=")</f>
        <v>#VALUE!</v>
      </c>
      <c r="BK90" t="e">
        <f>AND(Sheet1!H1203,"AAAAAHzlkz4=")</f>
        <v>#VALUE!</v>
      </c>
      <c r="BL90" t="e">
        <f>AND(Sheet1!I1203,"AAAAAHzlkz8=")</f>
        <v>#VALUE!</v>
      </c>
      <c r="BM90" t="e">
        <f>AND(Sheet1!J1203,"AAAAAHzlk0A=")</f>
        <v>#VALUE!</v>
      </c>
      <c r="BN90" t="e">
        <f>AND(Sheet1!K1203,"AAAAAHzlk0E=")</f>
        <v>#VALUE!</v>
      </c>
      <c r="BO90" t="e">
        <f>AND(Sheet1!L1203,"AAAAAHzlk0I=")</f>
        <v>#VALUE!</v>
      </c>
      <c r="BP90" t="e">
        <f>AND(Sheet1!M1203,"AAAAAHzlk0M=")</f>
        <v>#VALUE!</v>
      </c>
      <c r="BQ90" t="e">
        <f>AND(Sheet1!N1203,"AAAAAHzlk0Q=")</f>
        <v>#VALUE!</v>
      </c>
      <c r="BR90" t="e">
        <f>AND(Sheet1!#REF!,"AAAAAHzlk0U=")</f>
        <v>#REF!</v>
      </c>
      <c r="BS90" t="e">
        <f>AND(Sheet1!#REF!,"AAAAAHzlk0Y=")</f>
        <v>#REF!</v>
      </c>
      <c r="BT90" t="e">
        <f>AND(Sheet1!#REF!,"AAAAAHzlk0c=")</f>
        <v>#REF!</v>
      </c>
      <c r="BU90" t="e">
        <f>AND(Sheet1!#REF!,"AAAAAHzlk0g=")</f>
        <v>#REF!</v>
      </c>
      <c r="BV90">
        <f>IF(Sheet1!1204:1204,"AAAAAHzlk0k=",0)</f>
        <v>0</v>
      </c>
      <c r="BW90" t="e">
        <f>AND(Sheet1!A1204,"AAAAAHzlk0o=")</f>
        <v>#VALUE!</v>
      </c>
      <c r="BX90" t="e">
        <f>AND(Sheet1!B1204,"AAAAAHzlk0s=")</f>
        <v>#VALUE!</v>
      </c>
      <c r="BY90" t="e">
        <f>AND(Sheet1!C1204,"AAAAAHzlk0w=")</f>
        <v>#VALUE!</v>
      </c>
      <c r="BZ90" t="e">
        <f>AND(Sheet1!D1204,"AAAAAHzlk00=")</f>
        <v>#VALUE!</v>
      </c>
      <c r="CA90" t="e">
        <f>AND(Sheet1!E1204,"AAAAAHzlk04=")</f>
        <v>#VALUE!</v>
      </c>
      <c r="CB90" t="e">
        <f>AND(Sheet1!F1204,"AAAAAHzlk08=")</f>
        <v>#VALUE!</v>
      </c>
      <c r="CC90" t="e">
        <f>AND(Sheet1!G1204,"AAAAAHzlk1A=")</f>
        <v>#VALUE!</v>
      </c>
      <c r="CD90" t="e">
        <f>AND(Sheet1!H1204,"AAAAAHzlk1E=")</f>
        <v>#VALUE!</v>
      </c>
      <c r="CE90" t="e">
        <f>AND(Sheet1!I1204,"AAAAAHzlk1I=")</f>
        <v>#VALUE!</v>
      </c>
      <c r="CF90" t="e">
        <f>AND(Sheet1!J1204,"AAAAAHzlk1M=")</f>
        <v>#VALUE!</v>
      </c>
      <c r="CG90" t="e">
        <f>AND(Sheet1!K1204,"AAAAAHzlk1Q=")</f>
        <v>#VALUE!</v>
      </c>
      <c r="CH90" t="e">
        <f>AND(Sheet1!L1204,"AAAAAHzlk1U=")</f>
        <v>#VALUE!</v>
      </c>
      <c r="CI90" t="e">
        <f>AND(Sheet1!M1204,"AAAAAHzlk1Y=")</f>
        <v>#VALUE!</v>
      </c>
      <c r="CJ90" t="e">
        <f>AND(Sheet1!N1204,"AAAAAHzlk1c=")</f>
        <v>#VALUE!</v>
      </c>
      <c r="CK90" t="e">
        <f>AND(Sheet1!#REF!,"AAAAAHzlk1g=")</f>
        <v>#REF!</v>
      </c>
      <c r="CL90" t="e">
        <f>AND(Sheet1!#REF!,"AAAAAHzlk1k=")</f>
        <v>#REF!</v>
      </c>
      <c r="CM90" t="e">
        <f>AND(Sheet1!#REF!,"AAAAAHzlk1o=")</f>
        <v>#REF!</v>
      </c>
      <c r="CN90" t="e">
        <f>AND(Sheet1!#REF!,"AAAAAHzlk1s=")</f>
        <v>#REF!</v>
      </c>
      <c r="CO90">
        <f>IF(Sheet1!1205:1205,"AAAAAHzlk1w=",0)</f>
        <v>0</v>
      </c>
      <c r="CP90" t="e">
        <f>AND(Sheet1!A1205,"AAAAAHzlk10=")</f>
        <v>#VALUE!</v>
      </c>
      <c r="CQ90" t="e">
        <f>AND(Sheet1!B1205,"AAAAAHzlk14=")</f>
        <v>#VALUE!</v>
      </c>
      <c r="CR90" t="e">
        <f>AND(Sheet1!C1205,"AAAAAHzlk18=")</f>
        <v>#VALUE!</v>
      </c>
      <c r="CS90" t="e">
        <f>AND(Sheet1!D1205,"AAAAAHzlk2A=")</f>
        <v>#VALUE!</v>
      </c>
      <c r="CT90" t="e">
        <f>AND(Sheet1!E1205,"AAAAAHzlk2E=")</f>
        <v>#VALUE!</v>
      </c>
      <c r="CU90" t="e">
        <f>AND(Sheet1!F1205,"AAAAAHzlk2I=")</f>
        <v>#VALUE!</v>
      </c>
      <c r="CV90" t="e">
        <f>AND(Sheet1!G1205,"AAAAAHzlk2M=")</f>
        <v>#VALUE!</v>
      </c>
      <c r="CW90" t="e">
        <f>AND(Sheet1!H1205,"AAAAAHzlk2Q=")</f>
        <v>#VALUE!</v>
      </c>
      <c r="CX90" t="e">
        <f>AND(Sheet1!I1205,"AAAAAHzlk2U=")</f>
        <v>#VALUE!</v>
      </c>
      <c r="CY90" t="e">
        <f>AND(Sheet1!J1205,"AAAAAHzlk2Y=")</f>
        <v>#VALUE!</v>
      </c>
      <c r="CZ90" t="e">
        <f>AND(Sheet1!K1205,"AAAAAHzlk2c=")</f>
        <v>#VALUE!</v>
      </c>
      <c r="DA90" t="e">
        <f>AND(Sheet1!L1205,"AAAAAHzlk2g=")</f>
        <v>#VALUE!</v>
      </c>
      <c r="DB90" t="e">
        <f>AND(Sheet1!M1205,"AAAAAHzlk2k=")</f>
        <v>#VALUE!</v>
      </c>
      <c r="DC90" t="e">
        <f>AND(Sheet1!N1205,"AAAAAHzlk2o=")</f>
        <v>#VALUE!</v>
      </c>
      <c r="DD90" t="e">
        <f>AND(Sheet1!#REF!,"AAAAAHzlk2s=")</f>
        <v>#REF!</v>
      </c>
      <c r="DE90" t="e">
        <f>AND(Sheet1!#REF!,"AAAAAHzlk2w=")</f>
        <v>#REF!</v>
      </c>
      <c r="DF90" t="e">
        <f>AND(Sheet1!#REF!,"AAAAAHzlk20=")</f>
        <v>#REF!</v>
      </c>
      <c r="DG90" t="e">
        <f>AND(Sheet1!#REF!,"AAAAAHzlk24=")</f>
        <v>#REF!</v>
      </c>
      <c r="DH90">
        <f>IF(Sheet1!1206:1206,"AAAAAHzlk28=",0)</f>
        <v>0</v>
      </c>
      <c r="DI90" t="e">
        <f>AND(Sheet1!A1206,"AAAAAHzlk3A=")</f>
        <v>#VALUE!</v>
      </c>
      <c r="DJ90" t="e">
        <f>AND(Sheet1!B1206,"AAAAAHzlk3E=")</f>
        <v>#VALUE!</v>
      </c>
      <c r="DK90" t="e">
        <f>AND(Sheet1!C1206,"AAAAAHzlk3I=")</f>
        <v>#VALUE!</v>
      </c>
      <c r="DL90" t="e">
        <f>AND(Sheet1!D1206,"AAAAAHzlk3M=")</f>
        <v>#VALUE!</v>
      </c>
      <c r="DM90" t="e">
        <f>AND(Sheet1!E1206,"AAAAAHzlk3Q=")</f>
        <v>#VALUE!</v>
      </c>
      <c r="DN90" t="e">
        <f>AND(Sheet1!F1206,"AAAAAHzlk3U=")</f>
        <v>#VALUE!</v>
      </c>
      <c r="DO90" t="e">
        <f>AND(Sheet1!G1206,"AAAAAHzlk3Y=")</f>
        <v>#VALUE!</v>
      </c>
      <c r="DP90" t="e">
        <f>AND(Sheet1!H1206,"AAAAAHzlk3c=")</f>
        <v>#VALUE!</v>
      </c>
      <c r="DQ90" t="e">
        <f>AND(Sheet1!I1206,"AAAAAHzlk3g=")</f>
        <v>#VALUE!</v>
      </c>
      <c r="DR90" t="e">
        <f>AND(Sheet1!J1206,"AAAAAHzlk3k=")</f>
        <v>#VALUE!</v>
      </c>
      <c r="DS90" t="e">
        <f>AND(Sheet1!K1206,"AAAAAHzlk3o=")</f>
        <v>#VALUE!</v>
      </c>
      <c r="DT90" t="e">
        <f>AND(Sheet1!L1206,"AAAAAHzlk3s=")</f>
        <v>#VALUE!</v>
      </c>
      <c r="DU90" t="e">
        <f>AND(Sheet1!M1206,"AAAAAHzlk3w=")</f>
        <v>#VALUE!</v>
      </c>
      <c r="DV90" t="e">
        <f>AND(Sheet1!N1206,"AAAAAHzlk30=")</f>
        <v>#VALUE!</v>
      </c>
      <c r="DW90" t="e">
        <f>AND(Sheet1!#REF!,"AAAAAHzlk34=")</f>
        <v>#REF!</v>
      </c>
      <c r="DX90" t="e">
        <f>AND(Sheet1!#REF!,"AAAAAHzlk38=")</f>
        <v>#REF!</v>
      </c>
      <c r="DY90" t="e">
        <f>AND(Sheet1!#REF!,"AAAAAHzlk4A=")</f>
        <v>#REF!</v>
      </c>
      <c r="DZ90" t="e">
        <f>AND(Sheet1!#REF!,"AAAAAHzlk4E=")</f>
        <v>#REF!</v>
      </c>
      <c r="EA90">
        <f>IF(Sheet1!1207:1207,"AAAAAHzlk4I=",0)</f>
        <v>0</v>
      </c>
      <c r="EB90" t="e">
        <f>AND(Sheet1!A1207,"AAAAAHzlk4M=")</f>
        <v>#VALUE!</v>
      </c>
      <c r="EC90" t="e">
        <f>AND(Sheet1!B1207,"AAAAAHzlk4Q=")</f>
        <v>#VALUE!</v>
      </c>
      <c r="ED90" t="e">
        <f>AND(Sheet1!C1207,"AAAAAHzlk4U=")</f>
        <v>#VALUE!</v>
      </c>
      <c r="EE90" t="e">
        <f>AND(Sheet1!D1207,"AAAAAHzlk4Y=")</f>
        <v>#VALUE!</v>
      </c>
      <c r="EF90" t="e">
        <f>AND(Sheet1!E1207,"AAAAAHzlk4c=")</f>
        <v>#VALUE!</v>
      </c>
      <c r="EG90" t="e">
        <f>AND(Sheet1!F1207,"AAAAAHzlk4g=")</f>
        <v>#VALUE!</v>
      </c>
      <c r="EH90" t="e">
        <f>AND(Sheet1!G1207,"AAAAAHzlk4k=")</f>
        <v>#VALUE!</v>
      </c>
      <c r="EI90" t="e">
        <f>AND(Sheet1!H1207,"AAAAAHzlk4o=")</f>
        <v>#VALUE!</v>
      </c>
      <c r="EJ90" t="e">
        <f>AND(Sheet1!I1207,"AAAAAHzlk4s=")</f>
        <v>#VALUE!</v>
      </c>
      <c r="EK90" t="e">
        <f>AND(Sheet1!J1207,"AAAAAHzlk4w=")</f>
        <v>#VALUE!</v>
      </c>
      <c r="EL90" t="e">
        <f>AND(Sheet1!K1207,"AAAAAHzlk40=")</f>
        <v>#VALUE!</v>
      </c>
      <c r="EM90" t="e">
        <f>AND(Sheet1!L1207,"AAAAAHzlk44=")</f>
        <v>#VALUE!</v>
      </c>
      <c r="EN90" t="e">
        <f>AND(Sheet1!M1207,"AAAAAHzlk48=")</f>
        <v>#VALUE!</v>
      </c>
      <c r="EO90" t="e">
        <f>AND(Sheet1!N1207,"AAAAAHzlk5A=")</f>
        <v>#VALUE!</v>
      </c>
      <c r="EP90" t="e">
        <f>AND(Sheet1!#REF!,"AAAAAHzlk5E=")</f>
        <v>#REF!</v>
      </c>
      <c r="EQ90" t="e">
        <f>AND(Sheet1!#REF!,"AAAAAHzlk5I=")</f>
        <v>#REF!</v>
      </c>
      <c r="ER90" t="e">
        <f>AND(Sheet1!#REF!,"AAAAAHzlk5M=")</f>
        <v>#REF!</v>
      </c>
      <c r="ES90" t="e">
        <f>AND(Sheet1!#REF!,"AAAAAHzlk5Q=")</f>
        <v>#REF!</v>
      </c>
      <c r="ET90">
        <f>IF(Sheet1!1208:1208,"AAAAAHzlk5U=",0)</f>
        <v>0</v>
      </c>
      <c r="EU90" t="e">
        <f>AND(Sheet1!A1208,"AAAAAHzlk5Y=")</f>
        <v>#VALUE!</v>
      </c>
      <c r="EV90" t="e">
        <f>AND(Sheet1!B1208,"AAAAAHzlk5c=")</f>
        <v>#VALUE!</v>
      </c>
      <c r="EW90" t="e">
        <f>AND(Sheet1!C1208,"AAAAAHzlk5g=")</f>
        <v>#VALUE!</v>
      </c>
      <c r="EX90" t="e">
        <f>AND(Sheet1!D1208,"AAAAAHzlk5k=")</f>
        <v>#VALUE!</v>
      </c>
      <c r="EY90" t="e">
        <f>AND(Sheet1!E1208,"AAAAAHzlk5o=")</f>
        <v>#VALUE!</v>
      </c>
      <c r="EZ90" t="e">
        <f>AND(Sheet1!F1208,"AAAAAHzlk5s=")</f>
        <v>#VALUE!</v>
      </c>
      <c r="FA90" t="e">
        <f>AND(Sheet1!G1208,"AAAAAHzlk5w=")</f>
        <v>#VALUE!</v>
      </c>
      <c r="FB90" t="e">
        <f>AND(Sheet1!H1208,"AAAAAHzlk50=")</f>
        <v>#VALUE!</v>
      </c>
      <c r="FC90" t="e">
        <f>AND(Sheet1!I1208,"AAAAAHzlk54=")</f>
        <v>#VALUE!</v>
      </c>
      <c r="FD90" t="e">
        <f>AND(Sheet1!J1208,"AAAAAHzlk58=")</f>
        <v>#VALUE!</v>
      </c>
      <c r="FE90" t="e">
        <f>AND(Sheet1!K1208,"AAAAAHzlk6A=")</f>
        <v>#VALUE!</v>
      </c>
      <c r="FF90" t="e">
        <f>AND(Sheet1!L1208,"AAAAAHzlk6E=")</f>
        <v>#VALUE!</v>
      </c>
      <c r="FG90" t="e">
        <f>AND(Sheet1!M1208,"AAAAAHzlk6I=")</f>
        <v>#VALUE!</v>
      </c>
      <c r="FH90" t="e">
        <f>AND(Sheet1!N1208,"AAAAAHzlk6M=")</f>
        <v>#VALUE!</v>
      </c>
      <c r="FI90" t="e">
        <f>AND(Sheet1!#REF!,"AAAAAHzlk6Q=")</f>
        <v>#REF!</v>
      </c>
      <c r="FJ90" t="e">
        <f>AND(Sheet1!#REF!,"AAAAAHzlk6U=")</f>
        <v>#REF!</v>
      </c>
      <c r="FK90" t="e">
        <f>AND(Sheet1!#REF!,"AAAAAHzlk6Y=")</f>
        <v>#REF!</v>
      </c>
      <c r="FL90" t="e">
        <f>AND(Sheet1!#REF!,"AAAAAHzlk6c=")</f>
        <v>#REF!</v>
      </c>
      <c r="FM90">
        <f>IF(Sheet1!1209:1209,"AAAAAHzlk6g=",0)</f>
        <v>0</v>
      </c>
      <c r="FN90" t="e">
        <f>AND(Sheet1!A1209,"AAAAAHzlk6k=")</f>
        <v>#VALUE!</v>
      </c>
      <c r="FO90" t="e">
        <f>AND(Sheet1!B1209,"AAAAAHzlk6o=")</f>
        <v>#VALUE!</v>
      </c>
      <c r="FP90" t="e">
        <f>AND(Sheet1!C1209,"AAAAAHzlk6s=")</f>
        <v>#VALUE!</v>
      </c>
      <c r="FQ90" t="e">
        <f>AND(Sheet1!D1209,"AAAAAHzlk6w=")</f>
        <v>#VALUE!</v>
      </c>
      <c r="FR90" t="e">
        <f>AND(Sheet1!E1209,"AAAAAHzlk60=")</f>
        <v>#VALUE!</v>
      </c>
      <c r="FS90" t="e">
        <f>AND(Sheet1!F1209,"AAAAAHzlk64=")</f>
        <v>#VALUE!</v>
      </c>
      <c r="FT90" t="e">
        <f>AND(Sheet1!G1209,"AAAAAHzlk68=")</f>
        <v>#VALUE!</v>
      </c>
      <c r="FU90" t="e">
        <f>AND(Sheet1!H1209,"AAAAAHzlk7A=")</f>
        <v>#VALUE!</v>
      </c>
      <c r="FV90" t="e">
        <f>AND(Sheet1!I1209,"AAAAAHzlk7E=")</f>
        <v>#VALUE!</v>
      </c>
      <c r="FW90" t="e">
        <f>AND(Sheet1!J1209,"AAAAAHzlk7I=")</f>
        <v>#VALUE!</v>
      </c>
      <c r="FX90" t="e">
        <f>AND(Sheet1!K1209,"AAAAAHzlk7M=")</f>
        <v>#VALUE!</v>
      </c>
      <c r="FY90" t="e">
        <f>AND(Sheet1!L1209,"AAAAAHzlk7Q=")</f>
        <v>#VALUE!</v>
      </c>
      <c r="FZ90" t="e">
        <f>AND(Sheet1!M1209,"AAAAAHzlk7U=")</f>
        <v>#VALUE!</v>
      </c>
      <c r="GA90" t="e">
        <f>AND(Sheet1!N1209,"AAAAAHzlk7Y=")</f>
        <v>#VALUE!</v>
      </c>
      <c r="GB90" t="e">
        <f>AND(Sheet1!#REF!,"AAAAAHzlk7c=")</f>
        <v>#REF!</v>
      </c>
      <c r="GC90" t="e">
        <f>AND(Sheet1!#REF!,"AAAAAHzlk7g=")</f>
        <v>#REF!</v>
      </c>
      <c r="GD90" t="e">
        <f>AND(Sheet1!#REF!,"AAAAAHzlk7k=")</f>
        <v>#REF!</v>
      </c>
      <c r="GE90" t="e">
        <f>AND(Sheet1!#REF!,"AAAAAHzlk7o=")</f>
        <v>#REF!</v>
      </c>
      <c r="GF90">
        <f>IF(Sheet1!1210:1210,"AAAAAHzlk7s=",0)</f>
        <v>0</v>
      </c>
      <c r="GG90" t="e">
        <f>AND(Sheet1!A1210,"AAAAAHzlk7w=")</f>
        <v>#VALUE!</v>
      </c>
      <c r="GH90" t="e">
        <f>AND(Sheet1!B1210,"AAAAAHzlk70=")</f>
        <v>#VALUE!</v>
      </c>
      <c r="GI90" t="e">
        <f>AND(Sheet1!C1210,"AAAAAHzlk74=")</f>
        <v>#VALUE!</v>
      </c>
      <c r="GJ90" t="e">
        <f>AND(Sheet1!D1210,"AAAAAHzlk78=")</f>
        <v>#VALUE!</v>
      </c>
      <c r="GK90" t="e">
        <f>AND(Sheet1!E1210,"AAAAAHzlk8A=")</f>
        <v>#VALUE!</v>
      </c>
      <c r="GL90" t="e">
        <f>AND(Sheet1!F1210,"AAAAAHzlk8E=")</f>
        <v>#VALUE!</v>
      </c>
      <c r="GM90" t="e">
        <f>AND(Sheet1!G1210,"AAAAAHzlk8I=")</f>
        <v>#VALUE!</v>
      </c>
      <c r="GN90" t="e">
        <f>AND(Sheet1!H1210,"AAAAAHzlk8M=")</f>
        <v>#VALUE!</v>
      </c>
      <c r="GO90" t="e">
        <f>AND(Sheet1!I1210,"AAAAAHzlk8Q=")</f>
        <v>#VALUE!</v>
      </c>
      <c r="GP90" t="e">
        <f>AND(Sheet1!J1210,"AAAAAHzlk8U=")</f>
        <v>#VALUE!</v>
      </c>
      <c r="GQ90" t="e">
        <f>AND(Sheet1!K1210,"AAAAAHzlk8Y=")</f>
        <v>#VALUE!</v>
      </c>
      <c r="GR90" t="e">
        <f>AND(Sheet1!L1210,"AAAAAHzlk8c=")</f>
        <v>#VALUE!</v>
      </c>
      <c r="GS90" t="e">
        <f>AND(Sheet1!M1210,"AAAAAHzlk8g=")</f>
        <v>#VALUE!</v>
      </c>
      <c r="GT90" t="e">
        <f>AND(Sheet1!N1210,"AAAAAHzlk8k=")</f>
        <v>#VALUE!</v>
      </c>
      <c r="GU90" t="e">
        <f>AND(Sheet1!#REF!,"AAAAAHzlk8o=")</f>
        <v>#REF!</v>
      </c>
      <c r="GV90" t="e">
        <f>AND(Sheet1!#REF!,"AAAAAHzlk8s=")</f>
        <v>#REF!</v>
      </c>
      <c r="GW90" t="e">
        <f>AND(Sheet1!#REF!,"AAAAAHzlk8w=")</f>
        <v>#REF!</v>
      </c>
      <c r="GX90" t="e">
        <f>AND(Sheet1!#REF!,"AAAAAHzlk80=")</f>
        <v>#REF!</v>
      </c>
      <c r="GY90">
        <f>IF(Sheet1!1211:1211,"AAAAAHzlk84=",0)</f>
        <v>0</v>
      </c>
      <c r="GZ90" t="e">
        <f>AND(Sheet1!A1211,"AAAAAHzlk88=")</f>
        <v>#VALUE!</v>
      </c>
      <c r="HA90" t="e">
        <f>AND(Sheet1!B1211,"AAAAAHzlk9A=")</f>
        <v>#VALUE!</v>
      </c>
      <c r="HB90" t="e">
        <f>AND(Sheet1!C1211,"AAAAAHzlk9E=")</f>
        <v>#VALUE!</v>
      </c>
      <c r="HC90" t="e">
        <f>AND(Sheet1!D1211,"AAAAAHzlk9I=")</f>
        <v>#VALUE!</v>
      </c>
      <c r="HD90" t="e">
        <f>AND(Sheet1!E1211,"AAAAAHzlk9M=")</f>
        <v>#VALUE!</v>
      </c>
      <c r="HE90" t="e">
        <f>AND(Sheet1!F1211,"AAAAAHzlk9Q=")</f>
        <v>#VALUE!</v>
      </c>
      <c r="HF90" t="e">
        <f>AND(Sheet1!G1211,"AAAAAHzlk9U=")</f>
        <v>#VALUE!</v>
      </c>
      <c r="HG90" t="e">
        <f>AND(Sheet1!H1211,"AAAAAHzlk9Y=")</f>
        <v>#VALUE!</v>
      </c>
      <c r="HH90" t="e">
        <f>AND(Sheet1!I1211,"AAAAAHzlk9c=")</f>
        <v>#VALUE!</v>
      </c>
      <c r="HI90" t="e">
        <f>AND(Sheet1!J1211,"AAAAAHzlk9g=")</f>
        <v>#VALUE!</v>
      </c>
      <c r="HJ90" t="e">
        <f>AND(Sheet1!K1211,"AAAAAHzlk9k=")</f>
        <v>#VALUE!</v>
      </c>
      <c r="HK90" t="e">
        <f>AND(Sheet1!L1211,"AAAAAHzlk9o=")</f>
        <v>#VALUE!</v>
      </c>
      <c r="HL90" t="e">
        <f>AND(Sheet1!M1211,"AAAAAHzlk9s=")</f>
        <v>#VALUE!</v>
      </c>
      <c r="HM90" t="e">
        <f>AND(Sheet1!N1211,"AAAAAHzlk9w=")</f>
        <v>#VALUE!</v>
      </c>
      <c r="HN90" t="e">
        <f>AND(Sheet1!#REF!,"AAAAAHzlk90=")</f>
        <v>#REF!</v>
      </c>
      <c r="HO90" t="e">
        <f>AND(Sheet1!#REF!,"AAAAAHzlk94=")</f>
        <v>#REF!</v>
      </c>
      <c r="HP90" t="e">
        <f>AND(Sheet1!#REF!,"AAAAAHzlk98=")</f>
        <v>#REF!</v>
      </c>
      <c r="HQ90" t="e">
        <f>AND(Sheet1!#REF!,"AAAAAHzlk+A=")</f>
        <v>#REF!</v>
      </c>
      <c r="HR90">
        <f>IF(Sheet1!1212:1212,"AAAAAHzlk+E=",0)</f>
        <v>0</v>
      </c>
      <c r="HS90" t="e">
        <f>AND(Sheet1!A1212,"AAAAAHzlk+I=")</f>
        <v>#VALUE!</v>
      </c>
      <c r="HT90" t="e">
        <f>AND(Sheet1!B1212,"AAAAAHzlk+M=")</f>
        <v>#VALUE!</v>
      </c>
      <c r="HU90" t="e">
        <f>AND(Sheet1!C1212,"AAAAAHzlk+Q=")</f>
        <v>#VALUE!</v>
      </c>
      <c r="HV90" t="e">
        <f>AND(Sheet1!D1212,"AAAAAHzlk+U=")</f>
        <v>#VALUE!</v>
      </c>
      <c r="HW90" t="e">
        <f>AND(Sheet1!E1212,"AAAAAHzlk+Y=")</f>
        <v>#VALUE!</v>
      </c>
      <c r="HX90" t="e">
        <f>AND(Sheet1!F1212,"AAAAAHzlk+c=")</f>
        <v>#VALUE!</v>
      </c>
      <c r="HY90" t="e">
        <f>AND(Sheet1!G1212,"AAAAAHzlk+g=")</f>
        <v>#VALUE!</v>
      </c>
      <c r="HZ90" t="e">
        <f>AND(Sheet1!H1212,"AAAAAHzlk+k=")</f>
        <v>#VALUE!</v>
      </c>
      <c r="IA90" t="e">
        <f>AND(Sheet1!I1212,"AAAAAHzlk+o=")</f>
        <v>#VALUE!</v>
      </c>
      <c r="IB90" t="e">
        <f>AND(Sheet1!J1212,"AAAAAHzlk+s=")</f>
        <v>#VALUE!</v>
      </c>
      <c r="IC90" t="e">
        <f>AND(Sheet1!K1212,"AAAAAHzlk+w=")</f>
        <v>#VALUE!</v>
      </c>
      <c r="ID90" t="e">
        <f>AND(Sheet1!L1212,"AAAAAHzlk+0=")</f>
        <v>#VALUE!</v>
      </c>
      <c r="IE90" t="e">
        <f>AND(Sheet1!M1212,"AAAAAHzlk+4=")</f>
        <v>#VALUE!</v>
      </c>
      <c r="IF90" t="e">
        <f>AND(Sheet1!N1212,"AAAAAHzlk+8=")</f>
        <v>#VALUE!</v>
      </c>
      <c r="IG90" t="e">
        <f>AND(Sheet1!#REF!,"AAAAAHzlk/A=")</f>
        <v>#REF!</v>
      </c>
      <c r="IH90" t="e">
        <f>AND(Sheet1!#REF!,"AAAAAHzlk/E=")</f>
        <v>#REF!</v>
      </c>
      <c r="II90" t="e">
        <f>AND(Sheet1!#REF!,"AAAAAHzlk/I=")</f>
        <v>#REF!</v>
      </c>
      <c r="IJ90" t="e">
        <f>AND(Sheet1!#REF!,"AAAAAHzlk/M=")</f>
        <v>#REF!</v>
      </c>
      <c r="IK90">
        <f>IF(Sheet1!1213:1213,"AAAAAHzlk/Q=",0)</f>
        <v>0</v>
      </c>
      <c r="IL90" t="e">
        <f>AND(Sheet1!A1213,"AAAAAHzlk/U=")</f>
        <v>#VALUE!</v>
      </c>
      <c r="IM90" t="e">
        <f>AND(Sheet1!B1213,"AAAAAHzlk/Y=")</f>
        <v>#VALUE!</v>
      </c>
      <c r="IN90" t="e">
        <f>AND(Sheet1!C1213,"AAAAAHzlk/c=")</f>
        <v>#VALUE!</v>
      </c>
      <c r="IO90" t="e">
        <f>AND(Sheet1!D1213,"AAAAAHzlk/g=")</f>
        <v>#VALUE!</v>
      </c>
      <c r="IP90" t="e">
        <f>AND(Sheet1!E1213,"AAAAAHzlk/k=")</f>
        <v>#VALUE!</v>
      </c>
      <c r="IQ90" t="e">
        <f>AND(Sheet1!F1213,"AAAAAHzlk/o=")</f>
        <v>#VALUE!</v>
      </c>
      <c r="IR90" t="e">
        <f>AND(Sheet1!G1213,"AAAAAHzlk/s=")</f>
        <v>#VALUE!</v>
      </c>
      <c r="IS90" t="e">
        <f>AND(Sheet1!H1213,"AAAAAHzlk/w=")</f>
        <v>#VALUE!</v>
      </c>
      <c r="IT90" t="e">
        <f>AND(Sheet1!I1213,"AAAAAHzlk/0=")</f>
        <v>#VALUE!</v>
      </c>
      <c r="IU90" t="e">
        <f>AND(Sheet1!J1213,"AAAAAHzlk/4=")</f>
        <v>#VALUE!</v>
      </c>
      <c r="IV90" t="e">
        <f>AND(Sheet1!K1213,"AAAAAHzlk/8=")</f>
        <v>#VALUE!</v>
      </c>
    </row>
    <row r="91" spans="1:256" x14ac:dyDescent="0.2">
      <c r="A91" t="e">
        <f>AND(Sheet1!L1213,"AAAAAD2f+gA=")</f>
        <v>#VALUE!</v>
      </c>
      <c r="B91" t="e">
        <f>AND(Sheet1!M1213,"AAAAAD2f+gE=")</f>
        <v>#VALUE!</v>
      </c>
      <c r="C91" t="e">
        <f>AND(Sheet1!N1213,"AAAAAD2f+gI=")</f>
        <v>#VALUE!</v>
      </c>
      <c r="D91" t="e">
        <f>AND(Sheet1!#REF!,"AAAAAD2f+gM=")</f>
        <v>#REF!</v>
      </c>
      <c r="E91" t="e">
        <f>AND(Sheet1!#REF!,"AAAAAD2f+gQ=")</f>
        <v>#REF!</v>
      </c>
      <c r="F91" t="e">
        <f>AND(Sheet1!#REF!,"AAAAAD2f+gU=")</f>
        <v>#REF!</v>
      </c>
      <c r="G91" t="e">
        <f>AND(Sheet1!#REF!,"AAAAAD2f+gY=")</f>
        <v>#REF!</v>
      </c>
      <c r="H91">
        <f>IF(Sheet1!1214:1214,"AAAAAD2f+gc=",0)</f>
        <v>0</v>
      </c>
      <c r="I91" t="e">
        <f>AND(Sheet1!A1214,"AAAAAD2f+gg=")</f>
        <v>#VALUE!</v>
      </c>
      <c r="J91" t="e">
        <f>AND(Sheet1!B1214,"AAAAAD2f+gk=")</f>
        <v>#VALUE!</v>
      </c>
      <c r="K91" t="e">
        <f>AND(Sheet1!C1214,"AAAAAD2f+go=")</f>
        <v>#VALUE!</v>
      </c>
      <c r="L91" t="e">
        <f>AND(Sheet1!D1214,"AAAAAD2f+gs=")</f>
        <v>#VALUE!</v>
      </c>
      <c r="M91" t="e">
        <f>AND(Sheet1!E1214,"AAAAAD2f+gw=")</f>
        <v>#VALUE!</v>
      </c>
      <c r="N91" t="e">
        <f>AND(Sheet1!F1214,"AAAAAD2f+g0=")</f>
        <v>#VALUE!</v>
      </c>
      <c r="O91" t="e">
        <f>AND(Sheet1!G1214,"AAAAAD2f+g4=")</f>
        <v>#VALUE!</v>
      </c>
      <c r="P91" t="e">
        <f>AND(Sheet1!H1214,"AAAAAD2f+g8=")</f>
        <v>#VALUE!</v>
      </c>
      <c r="Q91" t="e">
        <f>AND(Sheet1!I1214,"AAAAAD2f+hA=")</f>
        <v>#VALUE!</v>
      </c>
      <c r="R91" t="e">
        <f>AND(Sheet1!J1214,"AAAAAD2f+hE=")</f>
        <v>#VALUE!</v>
      </c>
      <c r="S91" t="e">
        <f>AND(Sheet1!K1214,"AAAAAD2f+hI=")</f>
        <v>#VALUE!</v>
      </c>
      <c r="T91" t="e">
        <f>AND(Sheet1!L1214,"AAAAAD2f+hM=")</f>
        <v>#VALUE!</v>
      </c>
      <c r="U91" t="e">
        <f>AND(Sheet1!M1214,"AAAAAD2f+hQ=")</f>
        <v>#VALUE!</v>
      </c>
      <c r="V91" t="e">
        <f>AND(Sheet1!N1214,"AAAAAD2f+hU=")</f>
        <v>#VALUE!</v>
      </c>
      <c r="W91" t="e">
        <f>AND(Sheet1!#REF!,"AAAAAD2f+hY=")</f>
        <v>#REF!</v>
      </c>
      <c r="X91" t="e">
        <f>AND(Sheet1!#REF!,"AAAAAD2f+hc=")</f>
        <v>#REF!</v>
      </c>
      <c r="Y91" t="e">
        <f>AND(Sheet1!#REF!,"AAAAAD2f+hg=")</f>
        <v>#REF!</v>
      </c>
      <c r="Z91" t="e">
        <f>AND(Sheet1!#REF!,"AAAAAD2f+hk=")</f>
        <v>#REF!</v>
      </c>
      <c r="AA91">
        <f>IF(Sheet1!1215:1215,"AAAAAD2f+ho=",0)</f>
        <v>0</v>
      </c>
      <c r="AB91" t="e">
        <f>AND(Sheet1!A1215,"AAAAAD2f+hs=")</f>
        <v>#VALUE!</v>
      </c>
      <c r="AC91" t="e">
        <f>AND(Sheet1!B1215,"AAAAAD2f+hw=")</f>
        <v>#VALUE!</v>
      </c>
      <c r="AD91" t="e">
        <f>AND(Sheet1!C1215,"AAAAAD2f+h0=")</f>
        <v>#VALUE!</v>
      </c>
      <c r="AE91" t="e">
        <f>AND(Sheet1!D1215,"AAAAAD2f+h4=")</f>
        <v>#VALUE!</v>
      </c>
      <c r="AF91" t="e">
        <f>AND(Sheet1!E1215,"AAAAAD2f+h8=")</f>
        <v>#VALUE!</v>
      </c>
      <c r="AG91" t="e">
        <f>AND(Sheet1!F1215,"AAAAAD2f+iA=")</f>
        <v>#VALUE!</v>
      </c>
      <c r="AH91" t="e">
        <f>AND(Sheet1!G1215,"AAAAAD2f+iE=")</f>
        <v>#VALUE!</v>
      </c>
      <c r="AI91" t="e">
        <f>AND(Sheet1!H1215,"AAAAAD2f+iI=")</f>
        <v>#VALUE!</v>
      </c>
      <c r="AJ91" t="e">
        <f>AND(Sheet1!I1215,"AAAAAD2f+iM=")</f>
        <v>#VALUE!</v>
      </c>
      <c r="AK91" t="e">
        <f>AND(Sheet1!J1215,"AAAAAD2f+iQ=")</f>
        <v>#VALUE!</v>
      </c>
      <c r="AL91" t="e">
        <f>AND(Sheet1!K1215,"AAAAAD2f+iU=")</f>
        <v>#VALUE!</v>
      </c>
      <c r="AM91" t="e">
        <f>AND(Sheet1!L1215,"AAAAAD2f+iY=")</f>
        <v>#VALUE!</v>
      </c>
      <c r="AN91" t="e">
        <f>AND(Sheet1!M1215,"AAAAAD2f+ic=")</f>
        <v>#VALUE!</v>
      </c>
      <c r="AO91" t="e">
        <f>AND(Sheet1!N1215,"AAAAAD2f+ig=")</f>
        <v>#VALUE!</v>
      </c>
      <c r="AP91" t="e">
        <f>AND(Sheet1!#REF!,"AAAAAD2f+ik=")</f>
        <v>#REF!</v>
      </c>
      <c r="AQ91" t="e">
        <f>AND(Sheet1!#REF!,"AAAAAD2f+io=")</f>
        <v>#REF!</v>
      </c>
      <c r="AR91" t="e">
        <f>AND(Sheet1!#REF!,"AAAAAD2f+is=")</f>
        <v>#REF!</v>
      </c>
      <c r="AS91" t="e">
        <f>AND(Sheet1!#REF!,"AAAAAD2f+iw=")</f>
        <v>#REF!</v>
      </c>
      <c r="AT91">
        <f>IF(Sheet1!1216:1216,"AAAAAD2f+i0=",0)</f>
        <v>0</v>
      </c>
      <c r="AU91" t="e">
        <f>AND(Sheet1!A1216,"AAAAAD2f+i4=")</f>
        <v>#VALUE!</v>
      </c>
      <c r="AV91" t="e">
        <f>AND(Sheet1!B1216,"AAAAAD2f+i8=")</f>
        <v>#VALUE!</v>
      </c>
      <c r="AW91" t="e">
        <f>AND(Sheet1!C1216,"AAAAAD2f+jA=")</f>
        <v>#VALUE!</v>
      </c>
      <c r="AX91" t="e">
        <f>AND(Sheet1!D1216,"AAAAAD2f+jE=")</f>
        <v>#VALUE!</v>
      </c>
      <c r="AY91" t="e">
        <f>AND(Sheet1!E1216,"AAAAAD2f+jI=")</f>
        <v>#VALUE!</v>
      </c>
      <c r="AZ91" t="e">
        <f>AND(Sheet1!F1216,"AAAAAD2f+jM=")</f>
        <v>#VALUE!</v>
      </c>
      <c r="BA91" t="e">
        <f>AND(Sheet1!G1216,"AAAAAD2f+jQ=")</f>
        <v>#VALUE!</v>
      </c>
      <c r="BB91" t="e">
        <f>AND(Sheet1!H1216,"AAAAAD2f+jU=")</f>
        <v>#VALUE!</v>
      </c>
      <c r="BC91" t="e">
        <f>AND(Sheet1!I1216,"AAAAAD2f+jY=")</f>
        <v>#VALUE!</v>
      </c>
      <c r="BD91" t="e">
        <f>AND(Sheet1!J1216,"AAAAAD2f+jc=")</f>
        <v>#VALUE!</v>
      </c>
      <c r="BE91" t="e">
        <f>AND(Sheet1!K1216,"AAAAAD2f+jg=")</f>
        <v>#VALUE!</v>
      </c>
      <c r="BF91" t="e">
        <f>AND(Sheet1!L1216,"AAAAAD2f+jk=")</f>
        <v>#VALUE!</v>
      </c>
      <c r="BG91" t="e">
        <f>AND(Sheet1!M1216,"AAAAAD2f+jo=")</f>
        <v>#VALUE!</v>
      </c>
      <c r="BH91" t="e">
        <f>AND(Sheet1!N1216,"AAAAAD2f+js=")</f>
        <v>#VALUE!</v>
      </c>
      <c r="BI91" t="e">
        <f>AND(Sheet1!#REF!,"AAAAAD2f+jw=")</f>
        <v>#REF!</v>
      </c>
      <c r="BJ91" t="e">
        <f>AND(Sheet1!#REF!,"AAAAAD2f+j0=")</f>
        <v>#REF!</v>
      </c>
      <c r="BK91" t="e">
        <f>AND(Sheet1!#REF!,"AAAAAD2f+j4=")</f>
        <v>#REF!</v>
      </c>
      <c r="BL91" t="e">
        <f>AND(Sheet1!#REF!,"AAAAAD2f+j8=")</f>
        <v>#REF!</v>
      </c>
      <c r="BM91">
        <f>IF(Sheet1!1217:1217,"AAAAAD2f+kA=",0)</f>
        <v>0</v>
      </c>
      <c r="BN91" t="e">
        <f>AND(Sheet1!A1217,"AAAAAD2f+kE=")</f>
        <v>#VALUE!</v>
      </c>
      <c r="BO91" t="e">
        <f>AND(Sheet1!B1217,"AAAAAD2f+kI=")</f>
        <v>#VALUE!</v>
      </c>
      <c r="BP91" t="e">
        <f>AND(Sheet1!C1217,"AAAAAD2f+kM=")</f>
        <v>#VALUE!</v>
      </c>
      <c r="BQ91" t="e">
        <f>AND(Sheet1!D1217,"AAAAAD2f+kQ=")</f>
        <v>#VALUE!</v>
      </c>
      <c r="BR91" t="e">
        <f>AND(Sheet1!E1217,"AAAAAD2f+kU=")</f>
        <v>#VALUE!</v>
      </c>
      <c r="BS91" t="e">
        <f>AND(Sheet1!F1217,"AAAAAD2f+kY=")</f>
        <v>#VALUE!</v>
      </c>
      <c r="BT91" t="e">
        <f>AND(Sheet1!G1217,"AAAAAD2f+kc=")</f>
        <v>#VALUE!</v>
      </c>
      <c r="BU91" t="e">
        <f>AND(Sheet1!H1217,"AAAAAD2f+kg=")</f>
        <v>#VALUE!</v>
      </c>
      <c r="BV91" t="e">
        <f>AND(Sheet1!I1217,"AAAAAD2f+kk=")</f>
        <v>#VALUE!</v>
      </c>
      <c r="BW91" t="e">
        <f>AND(Sheet1!J1217,"AAAAAD2f+ko=")</f>
        <v>#VALUE!</v>
      </c>
      <c r="BX91" t="e">
        <f>AND(Sheet1!K1217,"AAAAAD2f+ks=")</f>
        <v>#VALUE!</v>
      </c>
      <c r="BY91" t="e">
        <f>AND(Sheet1!L1217,"AAAAAD2f+kw=")</f>
        <v>#VALUE!</v>
      </c>
      <c r="BZ91" t="e">
        <f>AND(Sheet1!M1217,"AAAAAD2f+k0=")</f>
        <v>#VALUE!</v>
      </c>
      <c r="CA91" t="e">
        <f>AND(Sheet1!N1217,"AAAAAD2f+k4=")</f>
        <v>#VALUE!</v>
      </c>
      <c r="CB91" t="e">
        <f>AND(Sheet1!#REF!,"AAAAAD2f+k8=")</f>
        <v>#REF!</v>
      </c>
      <c r="CC91" t="e">
        <f>AND(Sheet1!#REF!,"AAAAAD2f+lA=")</f>
        <v>#REF!</v>
      </c>
      <c r="CD91" t="e">
        <f>AND(Sheet1!#REF!,"AAAAAD2f+lE=")</f>
        <v>#REF!</v>
      </c>
      <c r="CE91" t="e">
        <f>AND(Sheet1!#REF!,"AAAAAD2f+lI=")</f>
        <v>#REF!</v>
      </c>
      <c r="CF91">
        <f>IF(Sheet1!1218:1218,"AAAAAD2f+lM=",0)</f>
        <v>0</v>
      </c>
      <c r="CG91" t="e">
        <f>AND(Sheet1!A1218,"AAAAAD2f+lQ=")</f>
        <v>#VALUE!</v>
      </c>
      <c r="CH91" t="e">
        <f>AND(Sheet1!B1218,"AAAAAD2f+lU=")</f>
        <v>#VALUE!</v>
      </c>
      <c r="CI91" t="e">
        <f>AND(Sheet1!C1218,"AAAAAD2f+lY=")</f>
        <v>#VALUE!</v>
      </c>
      <c r="CJ91" t="e">
        <f>AND(Sheet1!D1218,"AAAAAD2f+lc=")</f>
        <v>#VALUE!</v>
      </c>
      <c r="CK91" t="e">
        <f>AND(Sheet1!E1218,"AAAAAD2f+lg=")</f>
        <v>#VALUE!</v>
      </c>
      <c r="CL91" t="e">
        <f>AND(Sheet1!F1218,"AAAAAD2f+lk=")</f>
        <v>#VALUE!</v>
      </c>
      <c r="CM91" t="e">
        <f>AND(Sheet1!G1218,"AAAAAD2f+lo=")</f>
        <v>#VALUE!</v>
      </c>
      <c r="CN91" t="e">
        <f>AND(Sheet1!H1218,"AAAAAD2f+ls=")</f>
        <v>#VALUE!</v>
      </c>
      <c r="CO91" t="e">
        <f>AND(Sheet1!I1218,"AAAAAD2f+lw=")</f>
        <v>#VALUE!</v>
      </c>
      <c r="CP91" t="e">
        <f>AND(Sheet1!J1218,"AAAAAD2f+l0=")</f>
        <v>#VALUE!</v>
      </c>
      <c r="CQ91" t="e">
        <f>AND(Sheet1!K1218,"AAAAAD2f+l4=")</f>
        <v>#VALUE!</v>
      </c>
      <c r="CR91" t="e">
        <f>AND(Sheet1!L1218,"AAAAAD2f+l8=")</f>
        <v>#VALUE!</v>
      </c>
      <c r="CS91" t="e">
        <f>AND(Sheet1!M1218,"AAAAAD2f+mA=")</f>
        <v>#VALUE!</v>
      </c>
      <c r="CT91" t="e">
        <f>AND(Sheet1!N1218,"AAAAAD2f+mE=")</f>
        <v>#VALUE!</v>
      </c>
      <c r="CU91" t="e">
        <f>AND(Sheet1!#REF!,"AAAAAD2f+mI=")</f>
        <v>#REF!</v>
      </c>
      <c r="CV91" t="e">
        <f>AND(Sheet1!#REF!,"AAAAAD2f+mM=")</f>
        <v>#REF!</v>
      </c>
      <c r="CW91" t="e">
        <f>AND(Sheet1!#REF!,"AAAAAD2f+mQ=")</f>
        <v>#REF!</v>
      </c>
      <c r="CX91" t="e">
        <f>AND(Sheet1!#REF!,"AAAAAD2f+mU=")</f>
        <v>#REF!</v>
      </c>
      <c r="CY91">
        <f>IF(Sheet1!1219:1219,"AAAAAD2f+mY=",0)</f>
        <v>0</v>
      </c>
      <c r="CZ91" t="e">
        <f>AND(Sheet1!A1219,"AAAAAD2f+mc=")</f>
        <v>#VALUE!</v>
      </c>
      <c r="DA91" t="e">
        <f>AND(Sheet1!B1219,"AAAAAD2f+mg=")</f>
        <v>#VALUE!</v>
      </c>
      <c r="DB91" t="e">
        <f>AND(Sheet1!C1219,"AAAAAD2f+mk=")</f>
        <v>#VALUE!</v>
      </c>
      <c r="DC91" t="e">
        <f>AND(Sheet1!D1219,"AAAAAD2f+mo=")</f>
        <v>#VALUE!</v>
      </c>
      <c r="DD91" t="e">
        <f>AND(Sheet1!E1219,"AAAAAD2f+ms=")</f>
        <v>#VALUE!</v>
      </c>
      <c r="DE91" t="e">
        <f>AND(Sheet1!F1219,"AAAAAD2f+mw=")</f>
        <v>#VALUE!</v>
      </c>
      <c r="DF91" t="e">
        <f>AND(Sheet1!G1219,"AAAAAD2f+m0=")</f>
        <v>#VALUE!</v>
      </c>
      <c r="DG91" t="e">
        <f>AND(Sheet1!H1219,"AAAAAD2f+m4=")</f>
        <v>#VALUE!</v>
      </c>
      <c r="DH91" t="e">
        <f>AND(Sheet1!I1219,"AAAAAD2f+m8=")</f>
        <v>#VALUE!</v>
      </c>
      <c r="DI91" t="e">
        <f>AND(Sheet1!J1219,"AAAAAD2f+nA=")</f>
        <v>#VALUE!</v>
      </c>
      <c r="DJ91" t="e">
        <f>AND(Sheet1!K1219,"AAAAAD2f+nE=")</f>
        <v>#VALUE!</v>
      </c>
      <c r="DK91" t="e">
        <f>AND(Sheet1!L1219,"AAAAAD2f+nI=")</f>
        <v>#VALUE!</v>
      </c>
      <c r="DL91" t="e">
        <f>AND(Sheet1!M1219,"AAAAAD2f+nM=")</f>
        <v>#VALUE!</v>
      </c>
      <c r="DM91" t="e">
        <f>AND(Sheet1!N1219,"AAAAAD2f+nQ=")</f>
        <v>#VALUE!</v>
      </c>
      <c r="DN91" t="e">
        <f>AND(Sheet1!#REF!,"AAAAAD2f+nU=")</f>
        <v>#REF!</v>
      </c>
      <c r="DO91" t="e">
        <f>AND(Sheet1!#REF!,"AAAAAD2f+nY=")</f>
        <v>#REF!</v>
      </c>
      <c r="DP91" t="e">
        <f>AND(Sheet1!#REF!,"AAAAAD2f+nc=")</f>
        <v>#REF!</v>
      </c>
      <c r="DQ91" t="e">
        <f>AND(Sheet1!#REF!,"AAAAAD2f+ng=")</f>
        <v>#REF!</v>
      </c>
      <c r="DR91">
        <f>IF(Sheet1!1220:1220,"AAAAAD2f+nk=",0)</f>
        <v>0</v>
      </c>
      <c r="DS91" t="e">
        <f>AND(Sheet1!A1220,"AAAAAD2f+no=")</f>
        <v>#VALUE!</v>
      </c>
      <c r="DT91" t="e">
        <f>AND(Sheet1!B1220,"AAAAAD2f+ns=")</f>
        <v>#VALUE!</v>
      </c>
      <c r="DU91" t="e">
        <f>AND(Sheet1!C1220,"AAAAAD2f+nw=")</f>
        <v>#VALUE!</v>
      </c>
      <c r="DV91" t="e">
        <f>AND(Sheet1!D1220,"AAAAAD2f+n0=")</f>
        <v>#VALUE!</v>
      </c>
      <c r="DW91" t="e">
        <f>AND(Sheet1!E1220,"AAAAAD2f+n4=")</f>
        <v>#VALUE!</v>
      </c>
      <c r="DX91" t="e">
        <f>AND(Sheet1!F1220,"AAAAAD2f+n8=")</f>
        <v>#VALUE!</v>
      </c>
      <c r="DY91" t="e">
        <f>AND(Sheet1!G1220,"AAAAAD2f+oA=")</f>
        <v>#VALUE!</v>
      </c>
      <c r="DZ91" t="e">
        <f>AND(Sheet1!H1220,"AAAAAD2f+oE=")</f>
        <v>#VALUE!</v>
      </c>
      <c r="EA91" t="e">
        <f>AND(Sheet1!I1220,"AAAAAD2f+oI=")</f>
        <v>#VALUE!</v>
      </c>
      <c r="EB91" t="e">
        <f>AND(Sheet1!J1220,"AAAAAD2f+oM=")</f>
        <v>#VALUE!</v>
      </c>
      <c r="EC91" t="e">
        <f>AND(Sheet1!K1220,"AAAAAD2f+oQ=")</f>
        <v>#VALUE!</v>
      </c>
      <c r="ED91" t="e">
        <f>AND(Sheet1!L1220,"AAAAAD2f+oU=")</f>
        <v>#VALUE!</v>
      </c>
      <c r="EE91" t="e">
        <f>AND(Sheet1!M1220,"AAAAAD2f+oY=")</f>
        <v>#VALUE!</v>
      </c>
      <c r="EF91" t="e">
        <f>AND(Sheet1!N1220,"AAAAAD2f+oc=")</f>
        <v>#VALUE!</v>
      </c>
      <c r="EG91" t="e">
        <f>AND(Sheet1!#REF!,"AAAAAD2f+og=")</f>
        <v>#REF!</v>
      </c>
      <c r="EH91" t="e">
        <f>AND(Sheet1!#REF!,"AAAAAD2f+ok=")</f>
        <v>#REF!</v>
      </c>
      <c r="EI91" t="e">
        <f>AND(Sheet1!#REF!,"AAAAAD2f+oo=")</f>
        <v>#REF!</v>
      </c>
      <c r="EJ91" t="e">
        <f>AND(Sheet1!#REF!,"AAAAAD2f+os=")</f>
        <v>#REF!</v>
      </c>
      <c r="EK91">
        <f>IF(Sheet1!1221:1221,"AAAAAD2f+ow=",0)</f>
        <v>0</v>
      </c>
      <c r="EL91" t="e">
        <f>AND(Sheet1!A1221,"AAAAAD2f+o0=")</f>
        <v>#VALUE!</v>
      </c>
      <c r="EM91" t="e">
        <f>AND(Sheet1!B1221,"AAAAAD2f+o4=")</f>
        <v>#VALUE!</v>
      </c>
      <c r="EN91" t="e">
        <f>AND(Sheet1!C1221,"AAAAAD2f+o8=")</f>
        <v>#VALUE!</v>
      </c>
      <c r="EO91" t="e">
        <f>AND(Sheet1!D1221,"AAAAAD2f+pA=")</f>
        <v>#VALUE!</v>
      </c>
      <c r="EP91" t="e">
        <f>AND(Sheet1!E1221,"AAAAAD2f+pE=")</f>
        <v>#VALUE!</v>
      </c>
      <c r="EQ91" t="e">
        <f>AND(Sheet1!F1221,"AAAAAD2f+pI=")</f>
        <v>#VALUE!</v>
      </c>
      <c r="ER91" t="e">
        <f>AND(Sheet1!G1221,"AAAAAD2f+pM=")</f>
        <v>#VALUE!</v>
      </c>
      <c r="ES91" t="e">
        <f>AND(Sheet1!H1221,"AAAAAD2f+pQ=")</f>
        <v>#VALUE!</v>
      </c>
      <c r="ET91" t="e">
        <f>AND(Sheet1!I1221,"AAAAAD2f+pU=")</f>
        <v>#VALUE!</v>
      </c>
      <c r="EU91" t="e">
        <f>AND(Sheet1!J1221,"AAAAAD2f+pY=")</f>
        <v>#VALUE!</v>
      </c>
      <c r="EV91" t="e">
        <f>AND(Sheet1!K1221,"AAAAAD2f+pc=")</f>
        <v>#VALUE!</v>
      </c>
      <c r="EW91" t="e">
        <f>AND(Sheet1!L1221,"AAAAAD2f+pg=")</f>
        <v>#VALUE!</v>
      </c>
      <c r="EX91" t="e">
        <f>AND(Sheet1!M1221,"AAAAAD2f+pk=")</f>
        <v>#VALUE!</v>
      </c>
      <c r="EY91" t="e">
        <f>AND(Sheet1!N1221,"AAAAAD2f+po=")</f>
        <v>#VALUE!</v>
      </c>
      <c r="EZ91" t="e">
        <f>AND(Sheet1!#REF!,"AAAAAD2f+ps=")</f>
        <v>#REF!</v>
      </c>
      <c r="FA91" t="e">
        <f>AND(Sheet1!#REF!,"AAAAAD2f+pw=")</f>
        <v>#REF!</v>
      </c>
      <c r="FB91" t="e">
        <f>AND(Sheet1!#REF!,"AAAAAD2f+p0=")</f>
        <v>#REF!</v>
      </c>
      <c r="FC91" t="e">
        <f>AND(Sheet1!#REF!,"AAAAAD2f+p4=")</f>
        <v>#REF!</v>
      </c>
      <c r="FD91">
        <f>IF(Sheet1!1222:1222,"AAAAAD2f+p8=",0)</f>
        <v>0</v>
      </c>
      <c r="FE91" t="e">
        <f>AND(Sheet1!A1222,"AAAAAD2f+qA=")</f>
        <v>#VALUE!</v>
      </c>
      <c r="FF91" t="e">
        <f>AND(Sheet1!B1222,"AAAAAD2f+qE=")</f>
        <v>#VALUE!</v>
      </c>
      <c r="FG91" t="e">
        <f>AND(Sheet1!C1222,"AAAAAD2f+qI=")</f>
        <v>#VALUE!</v>
      </c>
      <c r="FH91" t="e">
        <f>AND(Sheet1!D1222,"AAAAAD2f+qM=")</f>
        <v>#VALUE!</v>
      </c>
      <c r="FI91" t="e">
        <f>AND(Sheet1!E1222,"AAAAAD2f+qQ=")</f>
        <v>#VALUE!</v>
      </c>
      <c r="FJ91" t="e">
        <f>AND(Sheet1!F1222,"AAAAAD2f+qU=")</f>
        <v>#VALUE!</v>
      </c>
      <c r="FK91" t="e">
        <f>AND(Sheet1!G1222,"AAAAAD2f+qY=")</f>
        <v>#VALUE!</v>
      </c>
      <c r="FL91" t="e">
        <f>AND(Sheet1!H1222,"AAAAAD2f+qc=")</f>
        <v>#VALUE!</v>
      </c>
      <c r="FM91" t="e">
        <f>AND(Sheet1!I1222,"AAAAAD2f+qg=")</f>
        <v>#VALUE!</v>
      </c>
      <c r="FN91" t="e">
        <f>AND(Sheet1!J1222,"AAAAAD2f+qk=")</f>
        <v>#VALUE!</v>
      </c>
      <c r="FO91" t="e">
        <f>AND(Sheet1!K1222,"AAAAAD2f+qo=")</f>
        <v>#VALUE!</v>
      </c>
      <c r="FP91" t="e">
        <f>AND(Sheet1!L1222,"AAAAAD2f+qs=")</f>
        <v>#VALUE!</v>
      </c>
      <c r="FQ91" t="e">
        <f>AND(Sheet1!M1222,"AAAAAD2f+qw=")</f>
        <v>#VALUE!</v>
      </c>
      <c r="FR91" t="e">
        <f>AND(Sheet1!N1222,"AAAAAD2f+q0=")</f>
        <v>#VALUE!</v>
      </c>
      <c r="FS91" t="e">
        <f>AND(Sheet1!#REF!,"AAAAAD2f+q4=")</f>
        <v>#REF!</v>
      </c>
      <c r="FT91" t="e">
        <f>AND(Sheet1!#REF!,"AAAAAD2f+q8=")</f>
        <v>#REF!</v>
      </c>
      <c r="FU91" t="e">
        <f>AND(Sheet1!#REF!,"AAAAAD2f+rA=")</f>
        <v>#REF!</v>
      </c>
      <c r="FV91" t="e">
        <f>AND(Sheet1!#REF!,"AAAAAD2f+rE=")</f>
        <v>#REF!</v>
      </c>
      <c r="FW91">
        <f>IF(Sheet1!1223:1223,"AAAAAD2f+rI=",0)</f>
        <v>0</v>
      </c>
      <c r="FX91" t="e">
        <f>AND(Sheet1!A1223,"AAAAAD2f+rM=")</f>
        <v>#VALUE!</v>
      </c>
      <c r="FY91" t="e">
        <f>AND(Sheet1!B1223,"AAAAAD2f+rQ=")</f>
        <v>#VALUE!</v>
      </c>
      <c r="FZ91" t="e">
        <f>AND(Sheet1!C1223,"AAAAAD2f+rU=")</f>
        <v>#VALUE!</v>
      </c>
      <c r="GA91" t="e">
        <f>AND(Sheet1!D1223,"AAAAAD2f+rY=")</f>
        <v>#VALUE!</v>
      </c>
      <c r="GB91" t="e">
        <f>AND(Sheet1!E1223,"AAAAAD2f+rc=")</f>
        <v>#VALUE!</v>
      </c>
      <c r="GC91" t="e">
        <f>AND(Sheet1!F1223,"AAAAAD2f+rg=")</f>
        <v>#VALUE!</v>
      </c>
      <c r="GD91" t="e">
        <f>AND(Sheet1!G1223,"AAAAAD2f+rk=")</f>
        <v>#VALUE!</v>
      </c>
      <c r="GE91" t="e">
        <f>AND(Sheet1!H1223,"AAAAAD2f+ro=")</f>
        <v>#VALUE!</v>
      </c>
      <c r="GF91" t="e">
        <f>AND(Sheet1!I1223,"AAAAAD2f+rs=")</f>
        <v>#VALUE!</v>
      </c>
      <c r="GG91" t="e">
        <f>AND(Sheet1!J1223,"AAAAAD2f+rw=")</f>
        <v>#VALUE!</v>
      </c>
      <c r="GH91" t="e">
        <f>AND(Sheet1!K1223,"AAAAAD2f+r0=")</f>
        <v>#VALUE!</v>
      </c>
      <c r="GI91" t="e">
        <f>AND(Sheet1!L1223,"AAAAAD2f+r4=")</f>
        <v>#VALUE!</v>
      </c>
      <c r="GJ91" t="e">
        <f>AND(Sheet1!M1223,"AAAAAD2f+r8=")</f>
        <v>#VALUE!</v>
      </c>
      <c r="GK91" t="e">
        <f>AND(Sheet1!N1223,"AAAAAD2f+sA=")</f>
        <v>#VALUE!</v>
      </c>
      <c r="GL91" t="e">
        <f>AND(Sheet1!#REF!,"AAAAAD2f+sE=")</f>
        <v>#REF!</v>
      </c>
      <c r="GM91" t="e">
        <f>AND(Sheet1!#REF!,"AAAAAD2f+sI=")</f>
        <v>#REF!</v>
      </c>
      <c r="GN91" t="e">
        <f>AND(Sheet1!#REF!,"AAAAAD2f+sM=")</f>
        <v>#REF!</v>
      </c>
      <c r="GO91" t="e">
        <f>AND(Sheet1!#REF!,"AAAAAD2f+sQ=")</f>
        <v>#REF!</v>
      </c>
      <c r="GP91">
        <f>IF(Sheet1!1224:1224,"AAAAAD2f+sU=",0)</f>
        <v>0</v>
      </c>
      <c r="GQ91" t="e">
        <f>AND(Sheet1!A1224,"AAAAAD2f+sY=")</f>
        <v>#VALUE!</v>
      </c>
      <c r="GR91" t="e">
        <f>AND(Sheet1!B1224,"AAAAAD2f+sc=")</f>
        <v>#VALUE!</v>
      </c>
      <c r="GS91" t="e">
        <f>AND(Sheet1!C1224,"AAAAAD2f+sg=")</f>
        <v>#VALUE!</v>
      </c>
      <c r="GT91" t="e">
        <f>AND(Sheet1!D1224,"AAAAAD2f+sk=")</f>
        <v>#VALUE!</v>
      </c>
      <c r="GU91" t="e">
        <f>AND(Sheet1!E1224,"AAAAAD2f+so=")</f>
        <v>#VALUE!</v>
      </c>
      <c r="GV91" t="e">
        <f>AND(Sheet1!F1224,"AAAAAD2f+ss=")</f>
        <v>#VALUE!</v>
      </c>
      <c r="GW91" t="e">
        <f>AND(Sheet1!G1224,"AAAAAD2f+sw=")</f>
        <v>#VALUE!</v>
      </c>
      <c r="GX91" t="e">
        <f>AND(Sheet1!H1224,"AAAAAD2f+s0=")</f>
        <v>#VALUE!</v>
      </c>
      <c r="GY91" t="e">
        <f>AND(Sheet1!I1224,"AAAAAD2f+s4=")</f>
        <v>#VALUE!</v>
      </c>
      <c r="GZ91" t="e">
        <f>AND(Sheet1!J1224,"AAAAAD2f+s8=")</f>
        <v>#VALUE!</v>
      </c>
      <c r="HA91" t="e">
        <f>AND(Sheet1!K1224,"AAAAAD2f+tA=")</f>
        <v>#VALUE!</v>
      </c>
      <c r="HB91" t="e">
        <f>AND(Sheet1!L1224,"AAAAAD2f+tE=")</f>
        <v>#VALUE!</v>
      </c>
      <c r="HC91" t="e">
        <f>AND(Sheet1!M1224,"AAAAAD2f+tI=")</f>
        <v>#VALUE!</v>
      </c>
      <c r="HD91" t="e">
        <f>AND(Sheet1!N1224,"AAAAAD2f+tM=")</f>
        <v>#VALUE!</v>
      </c>
      <c r="HE91" t="e">
        <f>AND(Sheet1!#REF!,"AAAAAD2f+tQ=")</f>
        <v>#REF!</v>
      </c>
      <c r="HF91" t="e">
        <f>AND(Sheet1!#REF!,"AAAAAD2f+tU=")</f>
        <v>#REF!</v>
      </c>
      <c r="HG91" t="e">
        <f>AND(Sheet1!#REF!,"AAAAAD2f+tY=")</f>
        <v>#REF!</v>
      </c>
      <c r="HH91" t="e">
        <f>AND(Sheet1!#REF!,"AAAAAD2f+tc=")</f>
        <v>#REF!</v>
      </c>
      <c r="HI91">
        <f>IF(Sheet1!1225:1225,"AAAAAD2f+tg=",0)</f>
        <v>0</v>
      </c>
      <c r="HJ91" t="e">
        <f>AND(Sheet1!A1225,"AAAAAD2f+tk=")</f>
        <v>#VALUE!</v>
      </c>
      <c r="HK91" t="e">
        <f>AND(Sheet1!B1225,"AAAAAD2f+to=")</f>
        <v>#VALUE!</v>
      </c>
      <c r="HL91" t="e">
        <f>AND(Sheet1!C1225,"AAAAAD2f+ts=")</f>
        <v>#VALUE!</v>
      </c>
      <c r="HM91" t="e">
        <f>AND(Sheet1!D1225,"AAAAAD2f+tw=")</f>
        <v>#VALUE!</v>
      </c>
      <c r="HN91" t="e">
        <f>AND(Sheet1!E1225,"AAAAAD2f+t0=")</f>
        <v>#VALUE!</v>
      </c>
      <c r="HO91" t="e">
        <f>AND(Sheet1!F1225,"AAAAAD2f+t4=")</f>
        <v>#VALUE!</v>
      </c>
      <c r="HP91" t="e">
        <f>AND(Sheet1!G1225,"AAAAAD2f+t8=")</f>
        <v>#VALUE!</v>
      </c>
      <c r="HQ91" t="e">
        <f>AND(Sheet1!H1225,"AAAAAD2f+uA=")</f>
        <v>#VALUE!</v>
      </c>
      <c r="HR91" t="e">
        <f>AND(Sheet1!I1225,"AAAAAD2f+uE=")</f>
        <v>#VALUE!</v>
      </c>
      <c r="HS91" t="e">
        <f>AND(Sheet1!J1225,"AAAAAD2f+uI=")</f>
        <v>#VALUE!</v>
      </c>
      <c r="HT91" t="e">
        <f>AND(Sheet1!K1225,"AAAAAD2f+uM=")</f>
        <v>#VALUE!</v>
      </c>
      <c r="HU91" t="e">
        <f>AND(Sheet1!L1225,"AAAAAD2f+uQ=")</f>
        <v>#VALUE!</v>
      </c>
      <c r="HV91" t="e">
        <f>AND(Sheet1!M1225,"AAAAAD2f+uU=")</f>
        <v>#VALUE!</v>
      </c>
      <c r="HW91" t="e">
        <f>AND(Sheet1!N1225,"AAAAAD2f+uY=")</f>
        <v>#VALUE!</v>
      </c>
      <c r="HX91" t="e">
        <f>AND(Sheet1!#REF!,"AAAAAD2f+uc=")</f>
        <v>#REF!</v>
      </c>
      <c r="HY91" t="e">
        <f>AND(Sheet1!#REF!,"AAAAAD2f+ug=")</f>
        <v>#REF!</v>
      </c>
      <c r="HZ91" t="e">
        <f>AND(Sheet1!#REF!,"AAAAAD2f+uk=")</f>
        <v>#REF!</v>
      </c>
      <c r="IA91" t="e">
        <f>AND(Sheet1!#REF!,"AAAAAD2f+uo=")</f>
        <v>#REF!</v>
      </c>
      <c r="IB91">
        <f>IF(Sheet1!1226:1226,"AAAAAD2f+us=",0)</f>
        <v>0</v>
      </c>
      <c r="IC91" t="e">
        <f>AND(Sheet1!A1226,"AAAAAD2f+uw=")</f>
        <v>#VALUE!</v>
      </c>
      <c r="ID91" t="e">
        <f>AND(Sheet1!B1226,"AAAAAD2f+u0=")</f>
        <v>#VALUE!</v>
      </c>
      <c r="IE91" t="e">
        <f>AND(Sheet1!C1226,"AAAAAD2f+u4=")</f>
        <v>#VALUE!</v>
      </c>
      <c r="IF91" t="e">
        <f>AND(Sheet1!D1226,"AAAAAD2f+u8=")</f>
        <v>#VALUE!</v>
      </c>
      <c r="IG91" t="e">
        <f>AND(Sheet1!E1226,"AAAAAD2f+vA=")</f>
        <v>#VALUE!</v>
      </c>
      <c r="IH91" t="e">
        <f>AND(Sheet1!F1226,"AAAAAD2f+vE=")</f>
        <v>#VALUE!</v>
      </c>
      <c r="II91" t="e">
        <f>AND(Sheet1!G1226,"AAAAAD2f+vI=")</f>
        <v>#VALUE!</v>
      </c>
      <c r="IJ91" t="e">
        <f>AND(Sheet1!H1226,"AAAAAD2f+vM=")</f>
        <v>#VALUE!</v>
      </c>
      <c r="IK91" t="e">
        <f>AND(Sheet1!I1226,"AAAAAD2f+vQ=")</f>
        <v>#VALUE!</v>
      </c>
      <c r="IL91" t="e">
        <f>AND(Sheet1!J1226,"AAAAAD2f+vU=")</f>
        <v>#VALUE!</v>
      </c>
      <c r="IM91" t="e">
        <f>AND(Sheet1!K1226,"AAAAAD2f+vY=")</f>
        <v>#VALUE!</v>
      </c>
      <c r="IN91" t="e">
        <f>AND(Sheet1!L1226,"AAAAAD2f+vc=")</f>
        <v>#VALUE!</v>
      </c>
      <c r="IO91" t="e">
        <f>AND(Sheet1!M1226,"AAAAAD2f+vg=")</f>
        <v>#VALUE!</v>
      </c>
      <c r="IP91" t="e">
        <f>AND(Sheet1!N1226,"AAAAAD2f+vk=")</f>
        <v>#VALUE!</v>
      </c>
      <c r="IQ91" t="e">
        <f>AND(Sheet1!#REF!,"AAAAAD2f+vo=")</f>
        <v>#REF!</v>
      </c>
      <c r="IR91" t="e">
        <f>AND(Sheet1!#REF!,"AAAAAD2f+vs=")</f>
        <v>#REF!</v>
      </c>
      <c r="IS91" t="e">
        <f>AND(Sheet1!#REF!,"AAAAAD2f+vw=")</f>
        <v>#REF!</v>
      </c>
      <c r="IT91" t="e">
        <f>AND(Sheet1!#REF!,"AAAAAD2f+v0=")</f>
        <v>#REF!</v>
      </c>
      <c r="IU91">
        <f>IF(Sheet1!1227:1227,"AAAAAD2f+v4=",0)</f>
        <v>0</v>
      </c>
      <c r="IV91" t="e">
        <f>AND(Sheet1!A1227,"AAAAAD2f+v8=")</f>
        <v>#VALUE!</v>
      </c>
    </row>
    <row r="92" spans="1:256" x14ac:dyDescent="0.2">
      <c r="A92" t="e">
        <f>AND(Sheet1!B1227,"AAAAAHvd/wA=")</f>
        <v>#VALUE!</v>
      </c>
      <c r="B92" t="e">
        <f>AND(Sheet1!C1227,"AAAAAHvd/wE=")</f>
        <v>#VALUE!</v>
      </c>
      <c r="C92" t="e">
        <f>AND(Sheet1!D1227,"AAAAAHvd/wI=")</f>
        <v>#VALUE!</v>
      </c>
      <c r="D92" t="e">
        <f>AND(Sheet1!E1227,"AAAAAHvd/wM=")</f>
        <v>#VALUE!</v>
      </c>
      <c r="E92" t="e">
        <f>AND(Sheet1!F1227,"AAAAAHvd/wQ=")</f>
        <v>#VALUE!</v>
      </c>
      <c r="F92" t="e">
        <f>AND(Sheet1!G1227,"AAAAAHvd/wU=")</f>
        <v>#VALUE!</v>
      </c>
      <c r="G92" t="e">
        <f>AND(Sheet1!H1227,"AAAAAHvd/wY=")</f>
        <v>#VALUE!</v>
      </c>
      <c r="H92" t="e">
        <f>AND(Sheet1!I1227,"AAAAAHvd/wc=")</f>
        <v>#VALUE!</v>
      </c>
      <c r="I92" t="e">
        <f>AND(Sheet1!J1227,"AAAAAHvd/wg=")</f>
        <v>#VALUE!</v>
      </c>
      <c r="J92" t="e">
        <f>AND(Sheet1!K1227,"AAAAAHvd/wk=")</f>
        <v>#VALUE!</v>
      </c>
      <c r="K92" t="e">
        <f>AND(Sheet1!L1227,"AAAAAHvd/wo=")</f>
        <v>#VALUE!</v>
      </c>
      <c r="L92" t="e">
        <f>AND(Sheet1!M1227,"AAAAAHvd/ws=")</f>
        <v>#VALUE!</v>
      </c>
      <c r="M92" t="e">
        <f>AND(Sheet1!N1227,"AAAAAHvd/ww=")</f>
        <v>#VALUE!</v>
      </c>
      <c r="N92" t="e">
        <f>AND(Sheet1!#REF!,"AAAAAHvd/w0=")</f>
        <v>#REF!</v>
      </c>
      <c r="O92" t="e">
        <f>AND(Sheet1!#REF!,"AAAAAHvd/w4=")</f>
        <v>#REF!</v>
      </c>
      <c r="P92" t="e">
        <f>AND(Sheet1!#REF!,"AAAAAHvd/w8=")</f>
        <v>#REF!</v>
      </c>
      <c r="Q92" t="e">
        <f>AND(Sheet1!#REF!,"AAAAAHvd/xA=")</f>
        <v>#REF!</v>
      </c>
      <c r="R92">
        <f>IF(Sheet1!1228:1228,"AAAAAHvd/xE=",0)</f>
        <v>0</v>
      </c>
      <c r="S92" t="e">
        <f>AND(Sheet1!A1228,"AAAAAHvd/xI=")</f>
        <v>#VALUE!</v>
      </c>
      <c r="T92" t="e">
        <f>AND(Sheet1!B1228,"AAAAAHvd/xM=")</f>
        <v>#VALUE!</v>
      </c>
      <c r="U92" t="e">
        <f>AND(Sheet1!C1228,"AAAAAHvd/xQ=")</f>
        <v>#VALUE!</v>
      </c>
      <c r="V92" t="e">
        <f>AND(Sheet1!D1228,"AAAAAHvd/xU=")</f>
        <v>#VALUE!</v>
      </c>
      <c r="W92" t="e">
        <f>AND(Sheet1!E1228,"AAAAAHvd/xY=")</f>
        <v>#VALUE!</v>
      </c>
      <c r="X92" t="e">
        <f>AND(Sheet1!F1228,"AAAAAHvd/xc=")</f>
        <v>#VALUE!</v>
      </c>
      <c r="Y92" t="e">
        <f>AND(Sheet1!G1228,"AAAAAHvd/xg=")</f>
        <v>#VALUE!</v>
      </c>
      <c r="Z92" t="e">
        <f>AND(Sheet1!H1228,"AAAAAHvd/xk=")</f>
        <v>#VALUE!</v>
      </c>
      <c r="AA92" t="e">
        <f>AND(Sheet1!I1228,"AAAAAHvd/xo=")</f>
        <v>#VALUE!</v>
      </c>
      <c r="AB92" t="e">
        <f>AND(Sheet1!J1228,"AAAAAHvd/xs=")</f>
        <v>#VALUE!</v>
      </c>
      <c r="AC92" t="e">
        <f>AND(Sheet1!K1228,"AAAAAHvd/xw=")</f>
        <v>#VALUE!</v>
      </c>
      <c r="AD92" t="e">
        <f>AND(Sheet1!L1228,"AAAAAHvd/x0=")</f>
        <v>#VALUE!</v>
      </c>
      <c r="AE92" t="e">
        <f>AND(Sheet1!M1228,"AAAAAHvd/x4=")</f>
        <v>#VALUE!</v>
      </c>
      <c r="AF92" t="e">
        <f>AND(Sheet1!N1228,"AAAAAHvd/x8=")</f>
        <v>#VALUE!</v>
      </c>
      <c r="AG92" t="e">
        <f>AND(Sheet1!#REF!,"AAAAAHvd/yA=")</f>
        <v>#REF!</v>
      </c>
      <c r="AH92" t="e">
        <f>AND(Sheet1!#REF!,"AAAAAHvd/yE=")</f>
        <v>#REF!</v>
      </c>
      <c r="AI92" t="e">
        <f>AND(Sheet1!#REF!,"AAAAAHvd/yI=")</f>
        <v>#REF!</v>
      </c>
      <c r="AJ92" t="e">
        <f>AND(Sheet1!#REF!,"AAAAAHvd/yM=")</f>
        <v>#REF!</v>
      </c>
      <c r="AK92">
        <f>IF(Sheet1!1229:1229,"AAAAAHvd/yQ=",0)</f>
        <v>0</v>
      </c>
      <c r="AL92" t="e">
        <f>AND(Sheet1!A1229,"AAAAAHvd/yU=")</f>
        <v>#VALUE!</v>
      </c>
      <c r="AM92" t="e">
        <f>AND(Sheet1!B1229,"AAAAAHvd/yY=")</f>
        <v>#VALUE!</v>
      </c>
      <c r="AN92" t="e">
        <f>AND(Sheet1!C1229,"AAAAAHvd/yc=")</f>
        <v>#VALUE!</v>
      </c>
      <c r="AO92" t="e">
        <f>AND(Sheet1!D1229,"AAAAAHvd/yg=")</f>
        <v>#VALUE!</v>
      </c>
      <c r="AP92" t="e">
        <f>AND(Sheet1!E1229,"AAAAAHvd/yk=")</f>
        <v>#VALUE!</v>
      </c>
      <c r="AQ92" t="e">
        <f>AND(Sheet1!F1229,"AAAAAHvd/yo=")</f>
        <v>#VALUE!</v>
      </c>
      <c r="AR92" t="e">
        <f>AND(Sheet1!G1229,"AAAAAHvd/ys=")</f>
        <v>#VALUE!</v>
      </c>
      <c r="AS92" t="e">
        <f>AND(Sheet1!H1229,"AAAAAHvd/yw=")</f>
        <v>#VALUE!</v>
      </c>
      <c r="AT92" t="e">
        <f>AND(Sheet1!I1229,"AAAAAHvd/y0=")</f>
        <v>#VALUE!</v>
      </c>
      <c r="AU92" t="e">
        <f>AND(Sheet1!J1229,"AAAAAHvd/y4=")</f>
        <v>#VALUE!</v>
      </c>
      <c r="AV92" t="e">
        <f>AND(Sheet1!K1229,"AAAAAHvd/y8=")</f>
        <v>#VALUE!</v>
      </c>
      <c r="AW92" t="e">
        <f>AND(Sheet1!L1229,"AAAAAHvd/zA=")</f>
        <v>#VALUE!</v>
      </c>
      <c r="AX92" t="e">
        <f>AND(Sheet1!M1229,"AAAAAHvd/zE=")</f>
        <v>#VALUE!</v>
      </c>
      <c r="AY92" t="e">
        <f>AND(Sheet1!N1229,"AAAAAHvd/zI=")</f>
        <v>#VALUE!</v>
      </c>
      <c r="AZ92" t="e">
        <f>AND(Sheet1!#REF!,"AAAAAHvd/zM=")</f>
        <v>#REF!</v>
      </c>
      <c r="BA92" t="e">
        <f>AND(Sheet1!#REF!,"AAAAAHvd/zQ=")</f>
        <v>#REF!</v>
      </c>
      <c r="BB92" t="e">
        <f>AND(Sheet1!#REF!,"AAAAAHvd/zU=")</f>
        <v>#REF!</v>
      </c>
      <c r="BC92" t="e">
        <f>AND(Sheet1!#REF!,"AAAAAHvd/zY=")</f>
        <v>#REF!</v>
      </c>
      <c r="BD92">
        <f>IF(Sheet1!1230:1230,"AAAAAHvd/zc=",0)</f>
        <v>0</v>
      </c>
      <c r="BE92" t="e">
        <f>AND(Sheet1!A1230,"AAAAAHvd/zg=")</f>
        <v>#VALUE!</v>
      </c>
      <c r="BF92" t="e">
        <f>AND(Sheet1!B1230,"AAAAAHvd/zk=")</f>
        <v>#VALUE!</v>
      </c>
      <c r="BG92" t="e">
        <f>AND(Sheet1!C1230,"AAAAAHvd/zo=")</f>
        <v>#VALUE!</v>
      </c>
      <c r="BH92" t="e">
        <f>AND(Sheet1!D1230,"AAAAAHvd/zs=")</f>
        <v>#VALUE!</v>
      </c>
      <c r="BI92" t="e">
        <f>AND(Sheet1!E1230,"AAAAAHvd/zw=")</f>
        <v>#VALUE!</v>
      </c>
      <c r="BJ92" t="e">
        <f>AND(Sheet1!F1230,"AAAAAHvd/z0=")</f>
        <v>#VALUE!</v>
      </c>
      <c r="BK92" t="e">
        <f>AND(Sheet1!G1230,"AAAAAHvd/z4=")</f>
        <v>#VALUE!</v>
      </c>
      <c r="BL92" t="e">
        <f>AND(Sheet1!H1230,"AAAAAHvd/z8=")</f>
        <v>#VALUE!</v>
      </c>
      <c r="BM92" t="e">
        <f>AND(Sheet1!I1230,"AAAAAHvd/0A=")</f>
        <v>#VALUE!</v>
      </c>
      <c r="BN92" t="e">
        <f>AND(Sheet1!J1230,"AAAAAHvd/0E=")</f>
        <v>#VALUE!</v>
      </c>
      <c r="BO92" t="e">
        <f>AND(Sheet1!K1230,"AAAAAHvd/0I=")</f>
        <v>#VALUE!</v>
      </c>
      <c r="BP92" t="e">
        <f>AND(Sheet1!L1230,"AAAAAHvd/0M=")</f>
        <v>#VALUE!</v>
      </c>
      <c r="BQ92" t="e">
        <f>AND(Sheet1!M1230,"AAAAAHvd/0Q=")</f>
        <v>#VALUE!</v>
      </c>
      <c r="BR92" t="e">
        <f>AND(Sheet1!N1230,"AAAAAHvd/0U=")</f>
        <v>#VALUE!</v>
      </c>
      <c r="BS92" t="e">
        <f>AND(Sheet1!#REF!,"AAAAAHvd/0Y=")</f>
        <v>#REF!</v>
      </c>
      <c r="BT92" t="e">
        <f>AND(Sheet1!#REF!,"AAAAAHvd/0c=")</f>
        <v>#REF!</v>
      </c>
      <c r="BU92" t="e">
        <f>AND(Sheet1!#REF!,"AAAAAHvd/0g=")</f>
        <v>#REF!</v>
      </c>
      <c r="BV92" t="e">
        <f>AND(Sheet1!#REF!,"AAAAAHvd/0k=")</f>
        <v>#REF!</v>
      </c>
      <c r="BW92">
        <f>IF(Sheet1!1231:1231,"AAAAAHvd/0o=",0)</f>
        <v>0</v>
      </c>
      <c r="BX92" t="e">
        <f>AND(Sheet1!A1231,"AAAAAHvd/0s=")</f>
        <v>#VALUE!</v>
      </c>
      <c r="BY92" t="e">
        <f>AND(Sheet1!B1231,"AAAAAHvd/0w=")</f>
        <v>#VALUE!</v>
      </c>
      <c r="BZ92" t="e">
        <f>AND(Sheet1!C1231,"AAAAAHvd/00=")</f>
        <v>#VALUE!</v>
      </c>
      <c r="CA92" t="e">
        <f>AND(Sheet1!D1231,"AAAAAHvd/04=")</f>
        <v>#VALUE!</v>
      </c>
      <c r="CB92" t="e">
        <f>AND(Sheet1!E1231,"AAAAAHvd/08=")</f>
        <v>#VALUE!</v>
      </c>
      <c r="CC92" t="e">
        <f>AND(Sheet1!F1231,"AAAAAHvd/1A=")</f>
        <v>#VALUE!</v>
      </c>
      <c r="CD92" t="e">
        <f>AND(Sheet1!G1231,"AAAAAHvd/1E=")</f>
        <v>#VALUE!</v>
      </c>
      <c r="CE92" t="e">
        <f>AND(Sheet1!H1231,"AAAAAHvd/1I=")</f>
        <v>#VALUE!</v>
      </c>
      <c r="CF92" t="e">
        <f>AND(Sheet1!I1231,"AAAAAHvd/1M=")</f>
        <v>#VALUE!</v>
      </c>
      <c r="CG92" t="e">
        <f>AND(Sheet1!J1231,"AAAAAHvd/1Q=")</f>
        <v>#VALUE!</v>
      </c>
      <c r="CH92" t="e">
        <f>AND(Sheet1!K1231,"AAAAAHvd/1U=")</f>
        <v>#VALUE!</v>
      </c>
      <c r="CI92" t="e">
        <f>AND(Sheet1!L1231,"AAAAAHvd/1Y=")</f>
        <v>#VALUE!</v>
      </c>
      <c r="CJ92" t="e">
        <f>AND(Sheet1!M1231,"AAAAAHvd/1c=")</f>
        <v>#VALUE!</v>
      </c>
      <c r="CK92" t="e">
        <f>AND(Sheet1!N1231,"AAAAAHvd/1g=")</f>
        <v>#VALUE!</v>
      </c>
      <c r="CL92" t="e">
        <f>AND(Sheet1!#REF!,"AAAAAHvd/1k=")</f>
        <v>#REF!</v>
      </c>
      <c r="CM92" t="e">
        <f>AND(Sheet1!#REF!,"AAAAAHvd/1o=")</f>
        <v>#REF!</v>
      </c>
      <c r="CN92" t="e">
        <f>AND(Sheet1!#REF!,"AAAAAHvd/1s=")</f>
        <v>#REF!</v>
      </c>
      <c r="CO92" t="e">
        <f>AND(Sheet1!#REF!,"AAAAAHvd/1w=")</f>
        <v>#REF!</v>
      </c>
      <c r="CP92">
        <f>IF(Sheet1!1232:1232,"AAAAAHvd/10=",0)</f>
        <v>0</v>
      </c>
      <c r="CQ92" t="e">
        <f>AND(Sheet1!A1232,"AAAAAHvd/14=")</f>
        <v>#VALUE!</v>
      </c>
      <c r="CR92" t="e">
        <f>AND(Sheet1!B1232,"AAAAAHvd/18=")</f>
        <v>#VALUE!</v>
      </c>
      <c r="CS92" t="e">
        <f>AND(Sheet1!C1232,"AAAAAHvd/2A=")</f>
        <v>#VALUE!</v>
      </c>
      <c r="CT92" t="e">
        <f>AND(Sheet1!D1232,"AAAAAHvd/2E=")</f>
        <v>#VALUE!</v>
      </c>
      <c r="CU92" t="e">
        <f>AND(Sheet1!E1232,"AAAAAHvd/2I=")</f>
        <v>#VALUE!</v>
      </c>
      <c r="CV92" t="e">
        <f>AND(Sheet1!F1232,"AAAAAHvd/2M=")</f>
        <v>#VALUE!</v>
      </c>
      <c r="CW92" t="e">
        <f>AND(Sheet1!G1232,"AAAAAHvd/2Q=")</f>
        <v>#VALUE!</v>
      </c>
      <c r="CX92" t="e">
        <f>AND(Sheet1!H1232,"AAAAAHvd/2U=")</f>
        <v>#VALUE!</v>
      </c>
      <c r="CY92" t="e">
        <f>AND(Sheet1!I1232,"AAAAAHvd/2Y=")</f>
        <v>#VALUE!</v>
      </c>
      <c r="CZ92" t="e">
        <f>AND(Sheet1!J1232,"AAAAAHvd/2c=")</f>
        <v>#VALUE!</v>
      </c>
      <c r="DA92" t="e">
        <f>AND(Sheet1!K1232,"AAAAAHvd/2g=")</f>
        <v>#VALUE!</v>
      </c>
      <c r="DB92" t="e">
        <f>AND(Sheet1!L1232,"AAAAAHvd/2k=")</f>
        <v>#VALUE!</v>
      </c>
      <c r="DC92" t="e">
        <f>AND(Sheet1!M1232,"AAAAAHvd/2o=")</f>
        <v>#VALUE!</v>
      </c>
      <c r="DD92" t="e">
        <f>AND(Sheet1!N1232,"AAAAAHvd/2s=")</f>
        <v>#VALUE!</v>
      </c>
      <c r="DE92" t="e">
        <f>AND(Sheet1!#REF!,"AAAAAHvd/2w=")</f>
        <v>#REF!</v>
      </c>
      <c r="DF92" t="e">
        <f>AND(Sheet1!#REF!,"AAAAAHvd/20=")</f>
        <v>#REF!</v>
      </c>
      <c r="DG92" t="e">
        <f>AND(Sheet1!#REF!,"AAAAAHvd/24=")</f>
        <v>#REF!</v>
      </c>
      <c r="DH92" t="e">
        <f>AND(Sheet1!#REF!,"AAAAAHvd/28=")</f>
        <v>#REF!</v>
      </c>
      <c r="DI92">
        <f>IF(Sheet1!1233:1233,"AAAAAHvd/3A=",0)</f>
        <v>0</v>
      </c>
      <c r="DJ92" t="e">
        <f>AND(Sheet1!A1233,"AAAAAHvd/3E=")</f>
        <v>#VALUE!</v>
      </c>
      <c r="DK92" t="e">
        <f>AND(Sheet1!B1233,"AAAAAHvd/3I=")</f>
        <v>#VALUE!</v>
      </c>
      <c r="DL92" t="e">
        <f>AND(Sheet1!C1233,"AAAAAHvd/3M=")</f>
        <v>#VALUE!</v>
      </c>
      <c r="DM92" t="e">
        <f>AND(Sheet1!D1233,"AAAAAHvd/3Q=")</f>
        <v>#VALUE!</v>
      </c>
      <c r="DN92" t="e">
        <f>AND(Sheet1!E1233,"AAAAAHvd/3U=")</f>
        <v>#VALUE!</v>
      </c>
      <c r="DO92" t="e">
        <f>AND(Sheet1!F1233,"AAAAAHvd/3Y=")</f>
        <v>#VALUE!</v>
      </c>
      <c r="DP92" t="e">
        <f>AND(Sheet1!G1233,"AAAAAHvd/3c=")</f>
        <v>#VALUE!</v>
      </c>
      <c r="DQ92" t="e">
        <f>AND(Sheet1!H1233,"AAAAAHvd/3g=")</f>
        <v>#VALUE!</v>
      </c>
      <c r="DR92" t="e">
        <f>AND(Sheet1!I1233,"AAAAAHvd/3k=")</f>
        <v>#VALUE!</v>
      </c>
      <c r="DS92" t="e">
        <f>AND(Sheet1!J1233,"AAAAAHvd/3o=")</f>
        <v>#VALUE!</v>
      </c>
      <c r="DT92" t="e">
        <f>AND(Sheet1!K1233,"AAAAAHvd/3s=")</f>
        <v>#VALUE!</v>
      </c>
      <c r="DU92" t="e">
        <f>AND(Sheet1!L1233,"AAAAAHvd/3w=")</f>
        <v>#VALUE!</v>
      </c>
      <c r="DV92" t="e">
        <f>AND(Sheet1!M1233,"AAAAAHvd/30=")</f>
        <v>#VALUE!</v>
      </c>
      <c r="DW92" t="e">
        <f>AND(Sheet1!N1233,"AAAAAHvd/34=")</f>
        <v>#VALUE!</v>
      </c>
      <c r="DX92" t="e">
        <f>AND(Sheet1!#REF!,"AAAAAHvd/38=")</f>
        <v>#REF!</v>
      </c>
      <c r="DY92" t="e">
        <f>AND(Sheet1!#REF!,"AAAAAHvd/4A=")</f>
        <v>#REF!</v>
      </c>
      <c r="DZ92" t="e">
        <f>AND(Sheet1!#REF!,"AAAAAHvd/4E=")</f>
        <v>#REF!</v>
      </c>
      <c r="EA92" t="e">
        <f>AND(Sheet1!#REF!,"AAAAAHvd/4I=")</f>
        <v>#REF!</v>
      </c>
      <c r="EB92">
        <f>IF(Sheet1!1234:1234,"AAAAAHvd/4M=",0)</f>
        <v>0</v>
      </c>
      <c r="EC92" t="e">
        <f>AND(Sheet1!A1234,"AAAAAHvd/4Q=")</f>
        <v>#VALUE!</v>
      </c>
      <c r="ED92" t="e">
        <f>AND(Sheet1!B1234,"AAAAAHvd/4U=")</f>
        <v>#VALUE!</v>
      </c>
      <c r="EE92" t="e">
        <f>AND(Sheet1!C1234,"AAAAAHvd/4Y=")</f>
        <v>#VALUE!</v>
      </c>
      <c r="EF92" t="e">
        <f>AND(Sheet1!D1234,"AAAAAHvd/4c=")</f>
        <v>#VALUE!</v>
      </c>
      <c r="EG92" t="e">
        <f>AND(Sheet1!E1234,"AAAAAHvd/4g=")</f>
        <v>#VALUE!</v>
      </c>
      <c r="EH92" t="e">
        <f>AND(Sheet1!F1234,"AAAAAHvd/4k=")</f>
        <v>#VALUE!</v>
      </c>
      <c r="EI92" t="e">
        <f>AND(Sheet1!G1234,"AAAAAHvd/4o=")</f>
        <v>#VALUE!</v>
      </c>
      <c r="EJ92" t="e">
        <f>AND(Sheet1!H1234,"AAAAAHvd/4s=")</f>
        <v>#VALUE!</v>
      </c>
      <c r="EK92" t="e">
        <f>AND(Sheet1!I1234,"AAAAAHvd/4w=")</f>
        <v>#VALUE!</v>
      </c>
      <c r="EL92" t="e">
        <f>AND(Sheet1!J1234,"AAAAAHvd/40=")</f>
        <v>#VALUE!</v>
      </c>
      <c r="EM92" t="e">
        <f>AND(Sheet1!K1234,"AAAAAHvd/44=")</f>
        <v>#VALUE!</v>
      </c>
      <c r="EN92" t="e">
        <f>AND(Sheet1!L1234,"AAAAAHvd/48=")</f>
        <v>#VALUE!</v>
      </c>
      <c r="EO92" t="e">
        <f>AND(Sheet1!M1234,"AAAAAHvd/5A=")</f>
        <v>#VALUE!</v>
      </c>
      <c r="EP92" t="e">
        <f>AND(Sheet1!N1234,"AAAAAHvd/5E=")</f>
        <v>#VALUE!</v>
      </c>
      <c r="EQ92" t="e">
        <f>AND(Sheet1!#REF!,"AAAAAHvd/5I=")</f>
        <v>#REF!</v>
      </c>
      <c r="ER92" t="e">
        <f>AND(Sheet1!#REF!,"AAAAAHvd/5M=")</f>
        <v>#REF!</v>
      </c>
      <c r="ES92" t="e">
        <f>AND(Sheet1!#REF!,"AAAAAHvd/5Q=")</f>
        <v>#REF!</v>
      </c>
      <c r="ET92" t="e">
        <f>AND(Sheet1!#REF!,"AAAAAHvd/5U=")</f>
        <v>#REF!</v>
      </c>
      <c r="EU92">
        <f>IF(Sheet1!1235:1235,"AAAAAHvd/5Y=",0)</f>
        <v>0</v>
      </c>
      <c r="EV92" t="e">
        <f>AND(Sheet1!A1235,"AAAAAHvd/5c=")</f>
        <v>#VALUE!</v>
      </c>
      <c r="EW92" t="e">
        <f>AND(Sheet1!B1235,"AAAAAHvd/5g=")</f>
        <v>#VALUE!</v>
      </c>
      <c r="EX92" t="e">
        <f>AND(Sheet1!C1235,"AAAAAHvd/5k=")</f>
        <v>#VALUE!</v>
      </c>
      <c r="EY92" t="e">
        <f>AND(Sheet1!D1235,"AAAAAHvd/5o=")</f>
        <v>#VALUE!</v>
      </c>
      <c r="EZ92" t="e">
        <f>AND(Sheet1!E1235,"AAAAAHvd/5s=")</f>
        <v>#VALUE!</v>
      </c>
      <c r="FA92" t="e">
        <f>AND(Sheet1!F1235,"AAAAAHvd/5w=")</f>
        <v>#VALUE!</v>
      </c>
      <c r="FB92" t="e">
        <f>AND(Sheet1!G1235,"AAAAAHvd/50=")</f>
        <v>#VALUE!</v>
      </c>
      <c r="FC92" t="e">
        <f>AND(Sheet1!H1235,"AAAAAHvd/54=")</f>
        <v>#VALUE!</v>
      </c>
      <c r="FD92" t="e">
        <f>AND(Sheet1!I1235,"AAAAAHvd/58=")</f>
        <v>#VALUE!</v>
      </c>
      <c r="FE92" t="e">
        <f>AND(Sheet1!J1235,"AAAAAHvd/6A=")</f>
        <v>#VALUE!</v>
      </c>
      <c r="FF92" t="e">
        <f>AND(Sheet1!K1235,"AAAAAHvd/6E=")</f>
        <v>#VALUE!</v>
      </c>
      <c r="FG92" t="e">
        <f>AND(Sheet1!L1235,"AAAAAHvd/6I=")</f>
        <v>#VALUE!</v>
      </c>
      <c r="FH92" t="e">
        <f>AND(Sheet1!M1235,"AAAAAHvd/6M=")</f>
        <v>#VALUE!</v>
      </c>
      <c r="FI92" t="e">
        <f>AND(Sheet1!N1235,"AAAAAHvd/6Q=")</f>
        <v>#VALUE!</v>
      </c>
      <c r="FJ92" t="e">
        <f>AND(Sheet1!#REF!,"AAAAAHvd/6U=")</f>
        <v>#REF!</v>
      </c>
      <c r="FK92" t="e">
        <f>AND(Sheet1!#REF!,"AAAAAHvd/6Y=")</f>
        <v>#REF!</v>
      </c>
      <c r="FL92" t="e">
        <f>AND(Sheet1!#REF!,"AAAAAHvd/6c=")</f>
        <v>#REF!</v>
      </c>
      <c r="FM92" t="e">
        <f>AND(Sheet1!#REF!,"AAAAAHvd/6g=")</f>
        <v>#REF!</v>
      </c>
      <c r="FN92">
        <f>IF(Sheet1!1236:1236,"AAAAAHvd/6k=",0)</f>
        <v>0</v>
      </c>
      <c r="FO92" t="e">
        <f>AND(Sheet1!A1236,"AAAAAHvd/6o=")</f>
        <v>#VALUE!</v>
      </c>
      <c r="FP92" t="e">
        <f>AND(Sheet1!B1236,"AAAAAHvd/6s=")</f>
        <v>#VALUE!</v>
      </c>
      <c r="FQ92" t="e">
        <f>AND(Sheet1!C1236,"AAAAAHvd/6w=")</f>
        <v>#VALUE!</v>
      </c>
      <c r="FR92" t="e">
        <f>AND(Sheet1!D1236,"AAAAAHvd/60=")</f>
        <v>#VALUE!</v>
      </c>
      <c r="FS92" t="e">
        <f>AND(Sheet1!E1236,"AAAAAHvd/64=")</f>
        <v>#VALUE!</v>
      </c>
      <c r="FT92" t="e">
        <f>AND(Sheet1!F1236,"AAAAAHvd/68=")</f>
        <v>#VALUE!</v>
      </c>
      <c r="FU92" t="e">
        <f>AND(Sheet1!G1236,"AAAAAHvd/7A=")</f>
        <v>#VALUE!</v>
      </c>
      <c r="FV92" t="e">
        <f>AND(Sheet1!H1236,"AAAAAHvd/7E=")</f>
        <v>#VALUE!</v>
      </c>
      <c r="FW92" t="e">
        <f>AND(Sheet1!I1236,"AAAAAHvd/7I=")</f>
        <v>#VALUE!</v>
      </c>
      <c r="FX92" t="e">
        <f>AND(Sheet1!J1236,"AAAAAHvd/7M=")</f>
        <v>#VALUE!</v>
      </c>
      <c r="FY92" t="e">
        <f>AND(Sheet1!K1236,"AAAAAHvd/7Q=")</f>
        <v>#VALUE!</v>
      </c>
      <c r="FZ92" t="e">
        <f>AND(Sheet1!L1236,"AAAAAHvd/7U=")</f>
        <v>#VALUE!</v>
      </c>
      <c r="GA92" t="e">
        <f>AND(Sheet1!M1236,"AAAAAHvd/7Y=")</f>
        <v>#VALUE!</v>
      </c>
      <c r="GB92" t="e">
        <f>AND(Sheet1!N1236,"AAAAAHvd/7c=")</f>
        <v>#VALUE!</v>
      </c>
      <c r="GC92" t="e">
        <f>AND(Sheet1!#REF!,"AAAAAHvd/7g=")</f>
        <v>#REF!</v>
      </c>
      <c r="GD92" t="e">
        <f>AND(Sheet1!#REF!,"AAAAAHvd/7k=")</f>
        <v>#REF!</v>
      </c>
      <c r="GE92" t="e">
        <f>AND(Sheet1!#REF!,"AAAAAHvd/7o=")</f>
        <v>#REF!</v>
      </c>
      <c r="GF92" t="e">
        <f>AND(Sheet1!#REF!,"AAAAAHvd/7s=")</f>
        <v>#REF!</v>
      </c>
      <c r="GG92">
        <f>IF(Sheet1!1237:1237,"AAAAAHvd/7w=",0)</f>
        <v>0</v>
      </c>
      <c r="GH92" t="e">
        <f>AND(Sheet1!A1237,"AAAAAHvd/70=")</f>
        <v>#VALUE!</v>
      </c>
      <c r="GI92" t="e">
        <f>AND(Sheet1!B1237,"AAAAAHvd/74=")</f>
        <v>#VALUE!</v>
      </c>
      <c r="GJ92" t="e">
        <f>AND(Sheet1!C1237,"AAAAAHvd/78=")</f>
        <v>#VALUE!</v>
      </c>
      <c r="GK92" t="e">
        <f>AND(Sheet1!D1237,"AAAAAHvd/8A=")</f>
        <v>#VALUE!</v>
      </c>
      <c r="GL92" t="e">
        <f>AND(Sheet1!E1237,"AAAAAHvd/8E=")</f>
        <v>#VALUE!</v>
      </c>
      <c r="GM92" t="e">
        <f>AND(Sheet1!F1237,"AAAAAHvd/8I=")</f>
        <v>#VALUE!</v>
      </c>
      <c r="GN92" t="e">
        <f>AND(Sheet1!G1237,"AAAAAHvd/8M=")</f>
        <v>#VALUE!</v>
      </c>
      <c r="GO92" t="e">
        <f>AND(Sheet1!H1237,"AAAAAHvd/8Q=")</f>
        <v>#VALUE!</v>
      </c>
      <c r="GP92" t="e">
        <f>AND(Sheet1!I1237,"AAAAAHvd/8U=")</f>
        <v>#VALUE!</v>
      </c>
      <c r="GQ92" t="e">
        <f>AND(Sheet1!J1237,"AAAAAHvd/8Y=")</f>
        <v>#VALUE!</v>
      </c>
      <c r="GR92" t="e">
        <f>AND(Sheet1!K1237,"AAAAAHvd/8c=")</f>
        <v>#VALUE!</v>
      </c>
      <c r="GS92" t="e">
        <f>AND(Sheet1!L1237,"AAAAAHvd/8g=")</f>
        <v>#VALUE!</v>
      </c>
      <c r="GT92" t="e">
        <f>AND(Sheet1!M1237,"AAAAAHvd/8k=")</f>
        <v>#VALUE!</v>
      </c>
      <c r="GU92" t="e">
        <f>AND(Sheet1!N1237,"AAAAAHvd/8o=")</f>
        <v>#VALUE!</v>
      </c>
      <c r="GV92" t="e">
        <f>AND(Sheet1!#REF!,"AAAAAHvd/8s=")</f>
        <v>#REF!</v>
      </c>
      <c r="GW92" t="e">
        <f>AND(Sheet1!#REF!,"AAAAAHvd/8w=")</f>
        <v>#REF!</v>
      </c>
      <c r="GX92" t="e">
        <f>AND(Sheet1!#REF!,"AAAAAHvd/80=")</f>
        <v>#REF!</v>
      </c>
      <c r="GY92" t="e">
        <f>AND(Sheet1!#REF!,"AAAAAHvd/84=")</f>
        <v>#REF!</v>
      </c>
      <c r="GZ92">
        <f>IF(Sheet1!1238:1238,"AAAAAHvd/88=",0)</f>
        <v>0</v>
      </c>
      <c r="HA92" t="e">
        <f>AND(Sheet1!A1238,"AAAAAHvd/9A=")</f>
        <v>#VALUE!</v>
      </c>
      <c r="HB92" t="e">
        <f>AND(Sheet1!B1238,"AAAAAHvd/9E=")</f>
        <v>#VALUE!</v>
      </c>
      <c r="HC92" t="e">
        <f>AND(Sheet1!C1238,"AAAAAHvd/9I=")</f>
        <v>#VALUE!</v>
      </c>
      <c r="HD92" t="e">
        <f>AND(Sheet1!D1238,"AAAAAHvd/9M=")</f>
        <v>#VALUE!</v>
      </c>
      <c r="HE92" t="e">
        <f>AND(Sheet1!E1238,"AAAAAHvd/9Q=")</f>
        <v>#VALUE!</v>
      </c>
      <c r="HF92" t="e">
        <f>AND(Sheet1!F1238,"AAAAAHvd/9U=")</f>
        <v>#VALUE!</v>
      </c>
      <c r="HG92" t="e">
        <f>AND(Sheet1!G1238,"AAAAAHvd/9Y=")</f>
        <v>#VALUE!</v>
      </c>
      <c r="HH92" t="e">
        <f>AND(Sheet1!H1238,"AAAAAHvd/9c=")</f>
        <v>#VALUE!</v>
      </c>
      <c r="HI92" t="e">
        <f>AND(Sheet1!I1238,"AAAAAHvd/9g=")</f>
        <v>#VALUE!</v>
      </c>
      <c r="HJ92" t="e">
        <f>AND(Sheet1!J1238,"AAAAAHvd/9k=")</f>
        <v>#VALUE!</v>
      </c>
      <c r="HK92" t="e">
        <f>AND(Sheet1!K1238,"AAAAAHvd/9o=")</f>
        <v>#VALUE!</v>
      </c>
      <c r="HL92" t="e">
        <f>AND(Sheet1!L1238,"AAAAAHvd/9s=")</f>
        <v>#VALUE!</v>
      </c>
      <c r="HM92" t="e">
        <f>AND(Sheet1!M1238,"AAAAAHvd/9w=")</f>
        <v>#VALUE!</v>
      </c>
      <c r="HN92" t="e">
        <f>AND(Sheet1!N1238,"AAAAAHvd/90=")</f>
        <v>#VALUE!</v>
      </c>
      <c r="HO92" t="e">
        <f>AND(Sheet1!#REF!,"AAAAAHvd/94=")</f>
        <v>#REF!</v>
      </c>
      <c r="HP92" t="e">
        <f>AND(Sheet1!#REF!,"AAAAAHvd/98=")</f>
        <v>#REF!</v>
      </c>
      <c r="HQ92" t="e">
        <f>AND(Sheet1!#REF!,"AAAAAHvd/+A=")</f>
        <v>#REF!</v>
      </c>
      <c r="HR92" t="e">
        <f>AND(Sheet1!#REF!,"AAAAAHvd/+E=")</f>
        <v>#REF!</v>
      </c>
      <c r="HS92">
        <f>IF(Sheet1!1239:1239,"AAAAAHvd/+I=",0)</f>
        <v>0</v>
      </c>
      <c r="HT92" t="e">
        <f>AND(Sheet1!A1239,"AAAAAHvd/+M=")</f>
        <v>#VALUE!</v>
      </c>
      <c r="HU92" t="e">
        <f>AND(Sheet1!B1239,"AAAAAHvd/+Q=")</f>
        <v>#VALUE!</v>
      </c>
      <c r="HV92" t="e">
        <f>AND(Sheet1!C1239,"AAAAAHvd/+U=")</f>
        <v>#VALUE!</v>
      </c>
      <c r="HW92" t="e">
        <f>AND(Sheet1!D1239,"AAAAAHvd/+Y=")</f>
        <v>#VALUE!</v>
      </c>
      <c r="HX92" t="e">
        <f>AND(Sheet1!E1239,"AAAAAHvd/+c=")</f>
        <v>#VALUE!</v>
      </c>
      <c r="HY92" t="e">
        <f>AND(Sheet1!F1239,"AAAAAHvd/+g=")</f>
        <v>#VALUE!</v>
      </c>
      <c r="HZ92" t="e">
        <f>AND(Sheet1!G1239,"AAAAAHvd/+k=")</f>
        <v>#VALUE!</v>
      </c>
      <c r="IA92" t="e">
        <f>AND(Sheet1!H1239,"AAAAAHvd/+o=")</f>
        <v>#VALUE!</v>
      </c>
      <c r="IB92" t="e">
        <f>AND(Sheet1!I1239,"AAAAAHvd/+s=")</f>
        <v>#VALUE!</v>
      </c>
      <c r="IC92" t="e">
        <f>AND(Sheet1!J1239,"AAAAAHvd/+w=")</f>
        <v>#VALUE!</v>
      </c>
      <c r="ID92" t="e">
        <f>AND(Sheet1!K1239,"AAAAAHvd/+0=")</f>
        <v>#VALUE!</v>
      </c>
      <c r="IE92" t="e">
        <f>AND(Sheet1!L1239,"AAAAAHvd/+4=")</f>
        <v>#VALUE!</v>
      </c>
      <c r="IF92" t="e">
        <f>AND(Sheet1!M1239,"AAAAAHvd/+8=")</f>
        <v>#VALUE!</v>
      </c>
      <c r="IG92" t="e">
        <f>AND(Sheet1!N1239,"AAAAAHvd//A=")</f>
        <v>#VALUE!</v>
      </c>
      <c r="IH92" t="e">
        <f>AND(Sheet1!#REF!,"AAAAAHvd//E=")</f>
        <v>#REF!</v>
      </c>
      <c r="II92" t="e">
        <f>AND(Sheet1!#REF!,"AAAAAHvd//I=")</f>
        <v>#REF!</v>
      </c>
      <c r="IJ92" t="e">
        <f>AND(Sheet1!#REF!,"AAAAAHvd//M=")</f>
        <v>#REF!</v>
      </c>
      <c r="IK92" t="e">
        <f>AND(Sheet1!#REF!,"AAAAAHvd//Q=")</f>
        <v>#REF!</v>
      </c>
      <c r="IL92">
        <f>IF(Sheet1!1240:1240,"AAAAAHvd//U=",0)</f>
        <v>0</v>
      </c>
      <c r="IM92" t="e">
        <f>AND(Sheet1!A1240,"AAAAAHvd//Y=")</f>
        <v>#VALUE!</v>
      </c>
      <c r="IN92" t="e">
        <f>AND(Sheet1!B1240,"AAAAAHvd//c=")</f>
        <v>#VALUE!</v>
      </c>
      <c r="IO92" t="e">
        <f>AND(Sheet1!C1240,"AAAAAHvd//g=")</f>
        <v>#VALUE!</v>
      </c>
      <c r="IP92" t="e">
        <f>AND(Sheet1!D1240,"AAAAAHvd//k=")</f>
        <v>#VALUE!</v>
      </c>
      <c r="IQ92" t="e">
        <f>AND(Sheet1!E1240,"AAAAAHvd//o=")</f>
        <v>#VALUE!</v>
      </c>
      <c r="IR92" t="e">
        <f>AND(Sheet1!F1240,"AAAAAHvd//s=")</f>
        <v>#VALUE!</v>
      </c>
      <c r="IS92" t="e">
        <f>AND(Sheet1!G1240,"AAAAAHvd//w=")</f>
        <v>#VALUE!</v>
      </c>
      <c r="IT92" t="e">
        <f>AND(Sheet1!H1240,"AAAAAHvd//0=")</f>
        <v>#VALUE!</v>
      </c>
      <c r="IU92" t="e">
        <f>AND(Sheet1!I1240,"AAAAAHvd//4=")</f>
        <v>#VALUE!</v>
      </c>
      <c r="IV92" t="e">
        <f>AND(Sheet1!J1240,"AAAAAHvd//8=")</f>
        <v>#VALUE!</v>
      </c>
    </row>
    <row r="93" spans="1:256" x14ac:dyDescent="0.2">
      <c r="A93" t="e">
        <f>AND(Sheet1!K1240,"AAAAAH3rtgA=")</f>
        <v>#VALUE!</v>
      </c>
      <c r="B93" t="e">
        <f>AND(Sheet1!L1240,"AAAAAH3rtgE=")</f>
        <v>#VALUE!</v>
      </c>
      <c r="C93" t="e">
        <f>AND(Sheet1!M1240,"AAAAAH3rtgI=")</f>
        <v>#VALUE!</v>
      </c>
      <c r="D93" t="e">
        <f>AND(Sheet1!N1240,"AAAAAH3rtgM=")</f>
        <v>#VALUE!</v>
      </c>
      <c r="E93" t="e">
        <f>AND(Sheet1!#REF!,"AAAAAH3rtgQ=")</f>
        <v>#REF!</v>
      </c>
      <c r="F93" t="e">
        <f>AND(Sheet1!#REF!,"AAAAAH3rtgU=")</f>
        <v>#REF!</v>
      </c>
      <c r="G93" t="e">
        <f>AND(Sheet1!#REF!,"AAAAAH3rtgY=")</f>
        <v>#REF!</v>
      </c>
      <c r="H93" t="e">
        <f>AND(Sheet1!#REF!,"AAAAAH3rtgc=")</f>
        <v>#REF!</v>
      </c>
      <c r="I93">
        <f>IF(Sheet1!1241:1241,"AAAAAH3rtgg=",0)</f>
        <v>0</v>
      </c>
      <c r="J93" t="e">
        <f>AND(Sheet1!A1241,"AAAAAH3rtgk=")</f>
        <v>#VALUE!</v>
      </c>
      <c r="K93" t="e">
        <f>AND(Sheet1!B1241,"AAAAAH3rtgo=")</f>
        <v>#VALUE!</v>
      </c>
      <c r="L93" t="e">
        <f>AND(Sheet1!C1241,"AAAAAH3rtgs=")</f>
        <v>#VALUE!</v>
      </c>
      <c r="M93" t="e">
        <f>AND(Sheet1!D1241,"AAAAAH3rtgw=")</f>
        <v>#VALUE!</v>
      </c>
      <c r="N93" t="e">
        <f>AND(Sheet1!E1241,"AAAAAH3rtg0=")</f>
        <v>#VALUE!</v>
      </c>
      <c r="O93" t="e">
        <f>AND(Sheet1!F1241,"AAAAAH3rtg4=")</f>
        <v>#VALUE!</v>
      </c>
      <c r="P93" t="e">
        <f>AND(Sheet1!G1241,"AAAAAH3rtg8=")</f>
        <v>#VALUE!</v>
      </c>
      <c r="Q93" t="e">
        <f>AND(Sheet1!H1241,"AAAAAH3rthA=")</f>
        <v>#VALUE!</v>
      </c>
      <c r="R93" t="e">
        <f>AND(Sheet1!I1241,"AAAAAH3rthE=")</f>
        <v>#VALUE!</v>
      </c>
      <c r="S93" t="e">
        <f>AND(Sheet1!J1241,"AAAAAH3rthI=")</f>
        <v>#VALUE!</v>
      </c>
      <c r="T93" t="e">
        <f>AND(Sheet1!K1241,"AAAAAH3rthM=")</f>
        <v>#VALUE!</v>
      </c>
      <c r="U93" t="e">
        <f>AND(Sheet1!L1241,"AAAAAH3rthQ=")</f>
        <v>#VALUE!</v>
      </c>
      <c r="V93" t="e">
        <f>AND(Sheet1!M1241,"AAAAAH3rthU=")</f>
        <v>#VALUE!</v>
      </c>
      <c r="W93" t="e">
        <f>AND(Sheet1!N1241,"AAAAAH3rthY=")</f>
        <v>#VALUE!</v>
      </c>
      <c r="X93" t="e">
        <f>AND(Sheet1!#REF!,"AAAAAH3rthc=")</f>
        <v>#REF!</v>
      </c>
      <c r="Y93" t="e">
        <f>AND(Sheet1!#REF!,"AAAAAH3rthg=")</f>
        <v>#REF!</v>
      </c>
      <c r="Z93" t="e">
        <f>AND(Sheet1!#REF!,"AAAAAH3rthk=")</f>
        <v>#REF!</v>
      </c>
      <c r="AA93" t="e">
        <f>AND(Sheet1!#REF!,"AAAAAH3rtho=")</f>
        <v>#REF!</v>
      </c>
      <c r="AB93">
        <f>IF(Sheet1!1242:1242,"AAAAAH3rths=",0)</f>
        <v>0</v>
      </c>
      <c r="AC93" t="e">
        <f>AND(Sheet1!A1242,"AAAAAH3rthw=")</f>
        <v>#VALUE!</v>
      </c>
      <c r="AD93" t="e">
        <f>AND(Sheet1!B1242,"AAAAAH3rth0=")</f>
        <v>#VALUE!</v>
      </c>
      <c r="AE93" t="e">
        <f>AND(Sheet1!C1242,"AAAAAH3rth4=")</f>
        <v>#VALUE!</v>
      </c>
      <c r="AF93" t="e">
        <f>AND(Sheet1!D1242,"AAAAAH3rth8=")</f>
        <v>#VALUE!</v>
      </c>
      <c r="AG93" t="e">
        <f>AND(Sheet1!E1242,"AAAAAH3rtiA=")</f>
        <v>#VALUE!</v>
      </c>
      <c r="AH93" t="e">
        <f>AND(Sheet1!F1242,"AAAAAH3rtiE=")</f>
        <v>#VALUE!</v>
      </c>
      <c r="AI93" t="e">
        <f>AND(Sheet1!G1242,"AAAAAH3rtiI=")</f>
        <v>#VALUE!</v>
      </c>
      <c r="AJ93" t="e">
        <f>AND(Sheet1!H1242,"AAAAAH3rtiM=")</f>
        <v>#VALUE!</v>
      </c>
      <c r="AK93" t="e">
        <f>AND(Sheet1!I1242,"AAAAAH3rtiQ=")</f>
        <v>#VALUE!</v>
      </c>
      <c r="AL93" t="e">
        <f>AND(Sheet1!J1242,"AAAAAH3rtiU=")</f>
        <v>#VALUE!</v>
      </c>
      <c r="AM93" t="e">
        <f>AND(Sheet1!K1242,"AAAAAH3rtiY=")</f>
        <v>#VALUE!</v>
      </c>
      <c r="AN93" t="e">
        <f>AND(Sheet1!L1242,"AAAAAH3rtic=")</f>
        <v>#VALUE!</v>
      </c>
      <c r="AO93" t="e">
        <f>AND(Sheet1!M1242,"AAAAAH3rtig=")</f>
        <v>#VALUE!</v>
      </c>
      <c r="AP93" t="e">
        <f>AND(Sheet1!N1242,"AAAAAH3rtik=")</f>
        <v>#VALUE!</v>
      </c>
      <c r="AQ93" t="e">
        <f>AND(Sheet1!#REF!,"AAAAAH3rtio=")</f>
        <v>#REF!</v>
      </c>
      <c r="AR93" t="e">
        <f>AND(Sheet1!#REF!,"AAAAAH3rtis=")</f>
        <v>#REF!</v>
      </c>
      <c r="AS93" t="e">
        <f>AND(Sheet1!#REF!,"AAAAAH3rtiw=")</f>
        <v>#REF!</v>
      </c>
      <c r="AT93" t="e">
        <f>AND(Sheet1!#REF!,"AAAAAH3rti0=")</f>
        <v>#REF!</v>
      </c>
      <c r="AU93">
        <f>IF(Sheet1!1243:1243,"AAAAAH3rti4=",0)</f>
        <v>0</v>
      </c>
      <c r="AV93" t="e">
        <f>AND(Sheet1!A1243,"AAAAAH3rti8=")</f>
        <v>#VALUE!</v>
      </c>
      <c r="AW93" t="e">
        <f>AND(Sheet1!B1243,"AAAAAH3rtjA=")</f>
        <v>#VALUE!</v>
      </c>
      <c r="AX93" t="e">
        <f>AND(Sheet1!C1243,"AAAAAH3rtjE=")</f>
        <v>#VALUE!</v>
      </c>
      <c r="AY93" t="e">
        <f>AND(Sheet1!D1243,"AAAAAH3rtjI=")</f>
        <v>#VALUE!</v>
      </c>
      <c r="AZ93" t="e">
        <f>AND(Sheet1!E1243,"AAAAAH3rtjM=")</f>
        <v>#VALUE!</v>
      </c>
      <c r="BA93" t="e">
        <f>AND(Sheet1!F1243,"AAAAAH3rtjQ=")</f>
        <v>#VALUE!</v>
      </c>
      <c r="BB93" t="e">
        <f>AND(Sheet1!G1243,"AAAAAH3rtjU=")</f>
        <v>#VALUE!</v>
      </c>
      <c r="BC93" t="e">
        <f>AND(Sheet1!H1243,"AAAAAH3rtjY=")</f>
        <v>#VALUE!</v>
      </c>
      <c r="BD93" t="e">
        <f>AND(Sheet1!I1243,"AAAAAH3rtjc=")</f>
        <v>#VALUE!</v>
      </c>
      <c r="BE93" t="e">
        <f>AND(Sheet1!J1243,"AAAAAH3rtjg=")</f>
        <v>#VALUE!</v>
      </c>
      <c r="BF93" t="e">
        <f>AND(Sheet1!K1243,"AAAAAH3rtjk=")</f>
        <v>#VALUE!</v>
      </c>
      <c r="BG93" t="e">
        <f>AND(Sheet1!L1243,"AAAAAH3rtjo=")</f>
        <v>#VALUE!</v>
      </c>
      <c r="BH93" t="e">
        <f>AND(Sheet1!M1243,"AAAAAH3rtjs=")</f>
        <v>#VALUE!</v>
      </c>
      <c r="BI93" t="e">
        <f>AND(Sheet1!N1243,"AAAAAH3rtjw=")</f>
        <v>#VALUE!</v>
      </c>
      <c r="BJ93" t="e">
        <f>AND(Sheet1!#REF!,"AAAAAH3rtj0=")</f>
        <v>#REF!</v>
      </c>
      <c r="BK93" t="e">
        <f>AND(Sheet1!#REF!,"AAAAAH3rtj4=")</f>
        <v>#REF!</v>
      </c>
      <c r="BL93" t="e">
        <f>AND(Sheet1!#REF!,"AAAAAH3rtj8=")</f>
        <v>#REF!</v>
      </c>
      <c r="BM93" t="e">
        <f>AND(Sheet1!#REF!,"AAAAAH3rtkA=")</f>
        <v>#REF!</v>
      </c>
      <c r="BN93">
        <f>IF(Sheet1!1244:1244,"AAAAAH3rtkE=",0)</f>
        <v>0</v>
      </c>
      <c r="BO93" t="e">
        <f>AND(Sheet1!A1244,"AAAAAH3rtkI=")</f>
        <v>#VALUE!</v>
      </c>
      <c r="BP93" t="e">
        <f>AND(Sheet1!B1244,"AAAAAH3rtkM=")</f>
        <v>#VALUE!</v>
      </c>
      <c r="BQ93" t="e">
        <f>AND(Sheet1!C1244,"AAAAAH3rtkQ=")</f>
        <v>#VALUE!</v>
      </c>
      <c r="BR93" t="e">
        <f>AND(Sheet1!D1244,"AAAAAH3rtkU=")</f>
        <v>#VALUE!</v>
      </c>
      <c r="BS93" t="e">
        <f>AND(Sheet1!E1244,"AAAAAH3rtkY=")</f>
        <v>#VALUE!</v>
      </c>
      <c r="BT93" t="e">
        <f>AND(Sheet1!F1244,"AAAAAH3rtkc=")</f>
        <v>#VALUE!</v>
      </c>
      <c r="BU93" t="e">
        <f>AND(Sheet1!G1244,"AAAAAH3rtkg=")</f>
        <v>#VALUE!</v>
      </c>
      <c r="BV93" t="e">
        <f>AND(Sheet1!H1244,"AAAAAH3rtkk=")</f>
        <v>#VALUE!</v>
      </c>
      <c r="BW93" t="e">
        <f>AND(Sheet1!I1244,"AAAAAH3rtko=")</f>
        <v>#VALUE!</v>
      </c>
      <c r="BX93" t="e">
        <f>AND(Sheet1!J1244,"AAAAAH3rtks=")</f>
        <v>#VALUE!</v>
      </c>
      <c r="BY93" t="e">
        <f>AND(Sheet1!K1244,"AAAAAH3rtkw=")</f>
        <v>#VALUE!</v>
      </c>
      <c r="BZ93" t="e">
        <f>AND(Sheet1!L1244,"AAAAAH3rtk0=")</f>
        <v>#VALUE!</v>
      </c>
      <c r="CA93" t="e">
        <f>AND(Sheet1!M1244,"AAAAAH3rtk4=")</f>
        <v>#VALUE!</v>
      </c>
      <c r="CB93" t="e">
        <f>AND(Sheet1!N1244,"AAAAAH3rtk8=")</f>
        <v>#VALUE!</v>
      </c>
      <c r="CC93" t="e">
        <f>AND(Sheet1!#REF!,"AAAAAH3rtlA=")</f>
        <v>#REF!</v>
      </c>
      <c r="CD93" t="e">
        <f>AND(Sheet1!#REF!,"AAAAAH3rtlE=")</f>
        <v>#REF!</v>
      </c>
      <c r="CE93" t="e">
        <f>AND(Sheet1!#REF!,"AAAAAH3rtlI=")</f>
        <v>#REF!</v>
      </c>
      <c r="CF93" t="e">
        <f>AND(Sheet1!#REF!,"AAAAAH3rtlM=")</f>
        <v>#REF!</v>
      </c>
      <c r="CG93">
        <f>IF(Sheet1!1245:1245,"AAAAAH3rtlQ=",0)</f>
        <v>0</v>
      </c>
      <c r="CH93" t="e">
        <f>AND(Sheet1!A1245,"AAAAAH3rtlU=")</f>
        <v>#VALUE!</v>
      </c>
      <c r="CI93" t="e">
        <f>AND(Sheet1!B1245,"AAAAAH3rtlY=")</f>
        <v>#VALUE!</v>
      </c>
      <c r="CJ93" t="e">
        <f>AND(Sheet1!C1245,"AAAAAH3rtlc=")</f>
        <v>#VALUE!</v>
      </c>
      <c r="CK93" t="e">
        <f>AND(Sheet1!D1245,"AAAAAH3rtlg=")</f>
        <v>#VALUE!</v>
      </c>
      <c r="CL93" t="e">
        <f>AND(Sheet1!E1245,"AAAAAH3rtlk=")</f>
        <v>#VALUE!</v>
      </c>
      <c r="CM93" t="e">
        <f>AND(Sheet1!F1245,"AAAAAH3rtlo=")</f>
        <v>#VALUE!</v>
      </c>
      <c r="CN93" t="e">
        <f>AND(Sheet1!G1245,"AAAAAH3rtls=")</f>
        <v>#VALUE!</v>
      </c>
      <c r="CO93" t="e">
        <f>AND(Sheet1!H1245,"AAAAAH3rtlw=")</f>
        <v>#VALUE!</v>
      </c>
      <c r="CP93" t="e">
        <f>AND(Sheet1!I1245,"AAAAAH3rtl0=")</f>
        <v>#VALUE!</v>
      </c>
      <c r="CQ93" t="e">
        <f>AND(Sheet1!J1245,"AAAAAH3rtl4=")</f>
        <v>#VALUE!</v>
      </c>
      <c r="CR93" t="e">
        <f>AND(Sheet1!K1245,"AAAAAH3rtl8=")</f>
        <v>#VALUE!</v>
      </c>
      <c r="CS93" t="e">
        <f>AND(Sheet1!L1245,"AAAAAH3rtmA=")</f>
        <v>#VALUE!</v>
      </c>
      <c r="CT93" t="e">
        <f>AND(Sheet1!M1245,"AAAAAH3rtmE=")</f>
        <v>#VALUE!</v>
      </c>
      <c r="CU93" t="e">
        <f>AND(Sheet1!N1245,"AAAAAH3rtmI=")</f>
        <v>#VALUE!</v>
      </c>
      <c r="CV93" t="e">
        <f>AND(Sheet1!#REF!,"AAAAAH3rtmM=")</f>
        <v>#REF!</v>
      </c>
      <c r="CW93" t="e">
        <f>AND(Sheet1!#REF!,"AAAAAH3rtmQ=")</f>
        <v>#REF!</v>
      </c>
      <c r="CX93" t="e">
        <f>AND(Sheet1!#REF!,"AAAAAH3rtmU=")</f>
        <v>#REF!</v>
      </c>
      <c r="CY93" t="e">
        <f>AND(Sheet1!#REF!,"AAAAAH3rtmY=")</f>
        <v>#REF!</v>
      </c>
      <c r="CZ93">
        <f>IF(Sheet1!1246:1246,"AAAAAH3rtmc=",0)</f>
        <v>0</v>
      </c>
      <c r="DA93" t="e">
        <f>AND(Sheet1!A1246,"AAAAAH3rtmg=")</f>
        <v>#VALUE!</v>
      </c>
      <c r="DB93" t="e">
        <f>AND(Sheet1!B1246,"AAAAAH3rtmk=")</f>
        <v>#VALUE!</v>
      </c>
      <c r="DC93" t="e">
        <f>AND(Sheet1!C1246,"AAAAAH3rtmo=")</f>
        <v>#VALUE!</v>
      </c>
      <c r="DD93" t="e">
        <f>AND(Sheet1!D1246,"AAAAAH3rtms=")</f>
        <v>#VALUE!</v>
      </c>
      <c r="DE93" t="e">
        <f>AND(Sheet1!E1246,"AAAAAH3rtmw=")</f>
        <v>#VALUE!</v>
      </c>
      <c r="DF93" t="e">
        <f>AND(Sheet1!F1246,"AAAAAH3rtm0=")</f>
        <v>#VALUE!</v>
      </c>
      <c r="DG93" t="e">
        <f>AND(Sheet1!G1246,"AAAAAH3rtm4=")</f>
        <v>#VALUE!</v>
      </c>
      <c r="DH93" t="e">
        <f>AND(Sheet1!H1246,"AAAAAH3rtm8=")</f>
        <v>#VALUE!</v>
      </c>
      <c r="DI93" t="e">
        <f>AND(Sheet1!I1246,"AAAAAH3rtnA=")</f>
        <v>#VALUE!</v>
      </c>
      <c r="DJ93" t="e">
        <f>AND(Sheet1!J1246,"AAAAAH3rtnE=")</f>
        <v>#VALUE!</v>
      </c>
      <c r="DK93" t="e">
        <f>AND(Sheet1!K1246,"AAAAAH3rtnI=")</f>
        <v>#VALUE!</v>
      </c>
      <c r="DL93" t="e">
        <f>AND(Sheet1!L1246,"AAAAAH3rtnM=")</f>
        <v>#VALUE!</v>
      </c>
      <c r="DM93" t="e">
        <f>AND(Sheet1!M1246,"AAAAAH3rtnQ=")</f>
        <v>#VALUE!</v>
      </c>
      <c r="DN93" t="e">
        <f>AND(Sheet1!N1246,"AAAAAH3rtnU=")</f>
        <v>#VALUE!</v>
      </c>
      <c r="DO93" t="e">
        <f>AND(Sheet1!#REF!,"AAAAAH3rtnY=")</f>
        <v>#REF!</v>
      </c>
      <c r="DP93" t="e">
        <f>AND(Sheet1!#REF!,"AAAAAH3rtnc=")</f>
        <v>#REF!</v>
      </c>
      <c r="DQ93" t="e">
        <f>AND(Sheet1!#REF!,"AAAAAH3rtng=")</f>
        <v>#REF!</v>
      </c>
      <c r="DR93" t="e">
        <f>AND(Sheet1!#REF!,"AAAAAH3rtnk=")</f>
        <v>#REF!</v>
      </c>
      <c r="DS93">
        <f>IF(Sheet1!1247:1247,"AAAAAH3rtno=",0)</f>
        <v>0</v>
      </c>
      <c r="DT93" t="e">
        <f>AND(Sheet1!A1247,"AAAAAH3rtns=")</f>
        <v>#VALUE!</v>
      </c>
      <c r="DU93" t="e">
        <f>AND(Sheet1!B1247,"AAAAAH3rtnw=")</f>
        <v>#VALUE!</v>
      </c>
      <c r="DV93" t="e">
        <f>AND(Sheet1!C1247,"AAAAAH3rtn0=")</f>
        <v>#VALUE!</v>
      </c>
      <c r="DW93" t="e">
        <f>AND(Sheet1!D1247,"AAAAAH3rtn4=")</f>
        <v>#VALUE!</v>
      </c>
      <c r="DX93" t="e">
        <f>AND(Sheet1!E1247,"AAAAAH3rtn8=")</f>
        <v>#VALUE!</v>
      </c>
      <c r="DY93" t="e">
        <f>AND(Sheet1!F1247,"AAAAAH3rtoA=")</f>
        <v>#VALUE!</v>
      </c>
      <c r="DZ93" t="e">
        <f>AND(Sheet1!G1247,"AAAAAH3rtoE=")</f>
        <v>#VALUE!</v>
      </c>
      <c r="EA93" t="e">
        <f>AND(Sheet1!H1247,"AAAAAH3rtoI=")</f>
        <v>#VALUE!</v>
      </c>
      <c r="EB93" t="e">
        <f>AND(Sheet1!I1247,"AAAAAH3rtoM=")</f>
        <v>#VALUE!</v>
      </c>
      <c r="EC93" t="e">
        <f>AND(Sheet1!J1247,"AAAAAH3rtoQ=")</f>
        <v>#VALUE!</v>
      </c>
      <c r="ED93" t="e">
        <f>AND(Sheet1!K1247,"AAAAAH3rtoU=")</f>
        <v>#VALUE!</v>
      </c>
      <c r="EE93" t="e">
        <f>AND(Sheet1!L1247,"AAAAAH3rtoY=")</f>
        <v>#VALUE!</v>
      </c>
      <c r="EF93" t="e">
        <f>AND(Sheet1!M1247,"AAAAAH3rtoc=")</f>
        <v>#VALUE!</v>
      </c>
      <c r="EG93" t="e">
        <f>AND(Sheet1!N1247,"AAAAAH3rtog=")</f>
        <v>#VALUE!</v>
      </c>
      <c r="EH93" t="e">
        <f>AND(Sheet1!#REF!,"AAAAAH3rtok=")</f>
        <v>#REF!</v>
      </c>
      <c r="EI93" t="e">
        <f>AND(Sheet1!#REF!,"AAAAAH3rtoo=")</f>
        <v>#REF!</v>
      </c>
      <c r="EJ93" t="e">
        <f>AND(Sheet1!#REF!,"AAAAAH3rtos=")</f>
        <v>#REF!</v>
      </c>
      <c r="EK93" t="e">
        <f>AND(Sheet1!#REF!,"AAAAAH3rtow=")</f>
        <v>#REF!</v>
      </c>
      <c r="EL93">
        <f>IF(Sheet1!1248:1248,"AAAAAH3rto0=",0)</f>
        <v>0</v>
      </c>
      <c r="EM93" t="e">
        <f>AND(Sheet1!A1248,"AAAAAH3rto4=")</f>
        <v>#VALUE!</v>
      </c>
      <c r="EN93" t="e">
        <f>AND(Sheet1!B1248,"AAAAAH3rto8=")</f>
        <v>#VALUE!</v>
      </c>
      <c r="EO93" t="e">
        <f>AND(Sheet1!C1248,"AAAAAH3rtpA=")</f>
        <v>#VALUE!</v>
      </c>
      <c r="EP93" t="e">
        <f>AND(Sheet1!D1248,"AAAAAH3rtpE=")</f>
        <v>#VALUE!</v>
      </c>
      <c r="EQ93" t="e">
        <f>AND(Sheet1!E1248,"AAAAAH3rtpI=")</f>
        <v>#VALUE!</v>
      </c>
      <c r="ER93" t="e">
        <f>AND(Sheet1!F1248,"AAAAAH3rtpM=")</f>
        <v>#VALUE!</v>
      </c>
      <c r="ES93" t="e">
        <f>AND(Sheet1!G1248,"AAAAAH3rtpQ=")</f>
        <v>#VALUE!</v>
      </c>
      <c r="ET93" t="e">
        <f>AND(Sheet1!H1248,"AAAAAH3rtpU=")</f>
        <v>#VALUE!</v>
      </c>
      <c r="EU93" t="e">
        <f>AND(Sheet1!I1248,"AAAAAH3rtpY=")</f>
        <v>#VALUE!</v>
      </c>
      <c r="EV93" t="e">
        <f>AND(Sheet1!J1248,"AAAAAH3rtpc=")</f>
        <v>#VALUE!</v>
      </c>
      <c r="EW93" t="e">
        <f>AND(Sheet1!K1248,"AAAAAH3rtpg=")</f>
        <v>#VALUE!</v>
      </c>
      <c r="EX93" t="e">
        <f>AND(Sheet1!L1248,"AAAAAH3rtpk=")</f>
        <v>#VALUE!</v>
      </c>
      <c r="EY93" t="e">
        <f>AND(Sheet1!M1248,"AAAAAH3rtpo=")</f>
        <v>#VALUE!</v>
      </c>
      <c r="EZ93" t="e">
        <f>AND(Sheet1!N1248,"AAAAAH3rtps=")</f>
        <v>#VALUE!</v>
      </c>
      <c r="FA93" t="e">
        <f>AND(Sheet1!#REF!,"AAAAAH3rtpw=")</f>
        <v>#REF!</v>
      </c>
      <c r="FB93" t="e">
        <f>AND(Sheet1!#REF!,"AAAAAH3rtp0=")</f>
        <v>#REF!</v>
      </c>
      <c r="FC93" t="e">
        <f>AND(Sheet1!#REF!,"AAAAAH3rtp4=")</f>
        <v>#REF!</v>
      </c>
      <c r="FD93" t="e">
        <f>AND(Sheet1!#REF!,"AAAAAH3rtp8=")</f>
        <v>#REF!</v>
      </c>
      <c r="FE93">
        <f>IF(Sheet1!1249:1249,"AAAAAH3rtqA=",0)</f>
        <v>0</v>
      </c>
      <c r="FF93" t="e">
        <f>AND(Sheet1!A1249,"AAAAAH3rtqE=")</f>
        <v>#VALUE!</v>
      </c>
      <c r="FG93" t="e">
        <f>AND(Sheet1!B1249,"AAAAAH3rtqI=")</f>
        <v>#VALUE!</v>
      </c>
      <c r="FH93" t="e">
        <f>AND(Sheet1!C1249,"AAAAAH3rtqM=")</f>
        <v>#VALUE!</v>
      </c>
      <c r="FI93" t="e">
        <f>AND(Sheet1!D1249,"AAAAAH3rtqQ=")</f>
        <v>#VALUE!</v>
      </c>
      <c r="FJ93" t="e">
        <f>AND(Sheet1!E1249,"AAAAAH3rtqU=")</f>
        <v>#VALUE!</v>
      </c>
      <c r="FK93" t="e">
        <f>AND(Sheet1!F1249,"AAAAAH3rtqY=")</f>
        <v>#VALUE!</v>
      </c>
      <c r="FL93" t="e">
        <f>AND(Sheet1!G1249,"AAAAAH3rtqc=")</f>
        <v>#VALUE!</v>
      </c>
      <c r="FM93" t="e">
        <f>AND(Sheet1!H1249,"AAAAAH3rtqg=")</f>
        <v>#VALUE!</v>
      </c>
      <c r="FN93" t="e">
        <f>AND(Sheet1!I1249,"AAAAAH3rtqk=")</f>
        <v>#VALUE!</v>
      </c>
      <c r="FO93" t="e">
        <f>AND(Sheet1!J1249,"AAAAAH3rtqo=")</f>
        <v>#VALUE!</v>
      </c>
      <c r="FP93" t="e">
        <f>AND(Sheet1!K1249,"AAAAAH3rtqs=")</f>
        <v>#VALUE!</v>
      </c>
      <c r="FQ93" t="e">
        <f>AND(Sheet1!L1249,"AAAAAH3rtqw=")</f>
        <v>#VALUE!</v>
      </c>
      <c r="FR93" t="e">
        <f>AND(Sheet1!M1249,"AAAAAH3rtq0=")</f>
        <v>#VALUE!</v>
      </c>
      <c r="FS93" t="e">
        <f>AND(Sheet1!N1249,"AAAAAH3rtq4=")</f>
        <v>#VALUE!</v>
      </c>
      <c r="FT93" t="e">
        <f>AND(Sheet1!#REF!,"AAAAAH3rtq8=")</f>
        <v>#REF!</v>
      </c>
      <c r="FU93" t="e">
        <f>AND(Sheet1!#REF!,"AAAAAH3rtrA=")</f>
        <v>#REF!</v>
      </c>
      <c r="FV93" t="e">
        <f>AND(Sheet1!#REF!,"AAAAAH3rtrE=")</f>
        <v>#REF!</v>
      </c>
      <c r="FW93" t="e">
        <f>AND(Sheet1!#REF!,"AAAAAH3rtrI=")</f>
        <v>#REF!</v>
      </c>
      <c r="FX93">
        <f>IF(Sheet1!1250:1250,"AAAAAH3rtrM=",0)</f>
        <v>0</v>
      </c>
      <c r="FY93" t="e">
        <f>AND(Sheet1!A1250,"AAAAAH3rtrQ=")</f>
        <v>#VALUE!</v>
      </c>
      <c r="FZ93" t="e">
        <f>AND(Sheet1!B1250,"AAAAAH3rtrU=")</f>
        <v>#VALUE!</v>
      </c>
      <c r="GA93" t="e">
        <f>AND(Sheet1!C1250,"AAAAAH3rtrY=")</f>
        <v>#VALUE!</v>
      </c>
      <c r="GB93" t="e">
        <f>AND(Sheet1!D1250,"AAAAAH3rtrc=")</f>
        <v>#VALUE!</v>
      </c>
      <c r="GC93" t="e">
        <f>AND(Sheet1!E1250,"AAAAAH3rtrg=")</f>
        <v>#VALUE!</v>
      </c>
      <c r="GD93" t="e">
        <f>AND(Sheet1!F1250,"AAAAAH3rtrk=")</f>
        <v>#VALUE!</v>
      </c>
      <c r="GE93" t="e">
        <f>AND(Sheet1!G1250,"AAAAAH3rtro=")</f>
        <v>#VALUE!</v>
      </c>
      <c r="GF93" t="e">
        <f>AND(Sheet1!H1250,"AAAAAH3rtrs=")</f>
        <v>#VALUE!</v>
      </c>
      <c r="GG93" t="e">
        <f>AND(Sheet1!I1250,"AAAAAH3rtrw=")</f>
        <v>#VALUE!</v>
      </c>
      <c r="GH93" t="e">
        <f>AND(Sheet1!J1250,"AAAAAH3rtr0=")</f>
        <v>#VALUE!</v>
      </c>
      <c r="GI93" t="e">
        <f>AND(Sheet1!K1250,"AAAAAH3rtr4=")</f>
        <v>#VALUE!</v>
      </c>
      <c r="GJ93" t="e">
        <f>AND(Sheet1!L1250,"AAAAAH3rtr8=")</f>
        <v>#VALUE!</v>
      </c>
      <c r="GK93" t="e">
        <f>AND(Sheet1!M1250,"AAAAAH3rtsA=")</f>
        <v>#VALUE!</v>
      </c>
      <c r="GL93" t="e">
        <f>AND(Sheet1!N1250,"AAAAAH3rtsE=")</f>
        <v>#VALUE!</v>
      </c>
      <c r="GM93" t="e">
        <f>AND(Sheet1!#REF!,"AAAAAH3rtsI=")</f>
        <v>#REF!</v>
      </c>
      <c r="GN93" t="e">
        <f>AND(Sheet1!#REF!,"AAAAAH3rtsM=")</f>
        <v>#REF!</v>
      </c>
      <c r="GO93" t="e">
        <f>AND(Sheet1!#REF!,"AAAAAH3rtsQ=")</f>
        <v>#REF!</v>
      </c>
      <c r="GP93" t="e">
        <f>AND(Sheet1!#REF!,"AAAAAH3rtsU=")</f>
        <v>#REF!</v>
      </c>
      <c r="GQ93">
        <f>IF(Sheet1!1251:1251,"AAAAAH3rtsY=",0)</f>
        <v>0</v>
      </c>
      <c r="GR93" t="e">
        <f>AND(Sheet1!A1251,"AAAAAH3rtsc=")</f>
        <v>#VALUE!</v>
      </c>
      <c r="GS93" t="e">
        <f>AND(Sheet1!B1251,"AAAAAH3rtsg=")</f>
        <v>#VALUE!</v>
      </c>
      <c r="GT93" t="e">
        <f>AND(Sheet1!C1251,"AAAAAH3rtsk=")</f>
        <v>#VALUE!</v>
      </c>
      <c r="GU93" t="e">
        <f>AND(Sheet1!D1251,"AAAAAH3rtso=")</f>
        <v>#VALUE!</v>
      </c>
      <c r="GV93" t="e">
        <f>AND(Sheet1!E1251,"AAAAAH3rtss=")</f>
        <v>#VALUE!</v>
      </c>
      <c r="GW93" t="e">
        <f>AND(Sheet1!F1251,"AAAAAH3rtsw=")</f>
        <v>#VALUE!</v>
      </c>
      <c r="GX93" t="e">
        <f>AND(Sheet1!G1251,"AAAAAH3rts0=")</f>
        <v>#VALUE!</v>
      </c>
      <c r="GY93" t="e">
        <f>AND(Sheet1!H1251,"AAAAAH3rts4=")</f>
        <v>#VALUE!</v>
      </c>
      <c r="GZ93" t="e">
        <f>AND(Sheet1!I1251,"AAAAAH3rts8=")</f>
        <v>#VALUE!</v>
      </c>
      <c r="HA93" t="e">
        <f>AND(Sheet1!J1251,"AAAAAH3rttA=")</f>
        <v>#VALUE!</v>
      </c>
      <c r="HB93" t="e">
        <f>AND(Sheet1!K1251,"AAAAAH3rttE=")</f>
        <v>#VALUE!</v>
      </c>
      <c r="HC93" t="e">
        <f>AND(Sheet1!L1251,"AAAAAH3rttI=")</f>
        <v>#VALUE!</v>
      </c>
      <c r="HD93" t="e">
        <f>AND(Sheet1!M1251,"AAAAAH3rttM=")</f>
        <v>#VALUE!</v>
      </c>
      <c r="HE93" t="e">
        <f>AND(Sheet1!N1251,"AAAAAH3rttQ=")</f>
        <v>#VALUE!</v>
      </c>
      <c r="HF93" t="e">
        <f>AND(Sheet1!#REF!,"AAAAAH3rttU=")</f>
        <v>#REF!</v>
      </c>
      <c r="HG93" t="e">
        <f>AND(Sheet1!#REF!,"AAAAAH3rttY=")</f>
        <v>#REF!</v>
      </c>
      <c r="HH93" t="e">
        <f>AND(Sheet1!#REF!,"AAAAAH3rttc=")</f>
        <v>#REF!</v>
      </c>
      <c r="HI93" t="e">
        <f>AND(Sheet1!#REF!,"AAAAAH3rttg=")</f>
        <v>#REF!</v>
      </c>
      <c r="HJ93">
        <f>IF(Sheet1!1252:1252,"AAAAAH3rttk=",0)</f>
        <v>0</v>
      </c>
      <c r="HK93" t="e">
        <f>AND(Sheet1!A1252,"AAAAAH3rtto=")</f>
        <v>#VALUE!</v>
      </c>
      <c r="HL93" t="e">
        <f>AND(Sheet1!B1252,"AAAAAH3rtts=")</f>
        <v>#VALUE!</v>
      </c>
      <c r="HM93" t="e">
        <f>AND(Sheet1!C1252,"AAAAAH3rttw=")</f>
        <v>#VALUE!</v>
      </c>
      <c r="HN93" t="e">
        <f>AND(Sheet1!D1252,"AAAAAH3rtt0=")</f>
        <v>#VALUE!</v>
      </c>
      <c r="HO93" t="e">
        <f>AND(Sheet1!E1252,"AAAAAH3rtt4=")</f>
        <v>#VALUE!</v>
      </c>
      <c r="HP93" t="e">
        <f>AND(Sheet1!F1252,"AAAAAH3rtt8=")</f>
        <v>#VALUE!</v>
      </c>
      <c r="HQ93" t="e">
        <f>AND(Sheet1!G1252,"AAAAAH3rtuA=")</f>
        <v>#VALUE!</v>
      </c>
      <c r="HR93" t="e">
        <f>AND(Sheet1!H1252,"AAAAAH3rtuE=")</f>
        <v>#VALUE!</v>
      </c>
      <c r="HS93" t="e">
        <f>AND(Sheet1!I1252,"AAAAAH3rtuI=")</f>
        <v>#VALUE!</v>
      </c>
      <c r="HT93" t="e">
        <f>AND(Sheet1!J1252,"AAAAAH3rtuM=")</f>
        <v>#VALUE!</v>
      </c>
      <c r="HU93" t="e">
        <f>AND(Sheet1!K1252,"AAAAAH3rtuQ=")</f>
        <v>#VALUE!</v>
      </c>
      <c r="HV93" t="e">
        <f>AND(Sheet1!L1252,"AAAAAH3rtuU=")</f>
        <v>#VALUE!</v>
      </c>
      <c r="HW93" t="e">
        <f>AND(Sheet1!M1252,"AAAAAH3rtuY=")</f>
        <v>#VALUE!</v>
      </c>
      <c r="HX93" t="e">
        <f>AND(Sheet1!N1252,"AAAAAH3rtuc=")</f>
        <v>#VALUE!</v>
      </c>
      <c r="HY93" t="e">
        <f>AND(Sheet1!#REF!,"AAAAAH3rtug=")</f>
        <v>#REF!</v>
      </c>
      <c r="HZ93" t="e">
        <f>AND(Sheet1!#REF!,"AAAAAH3rtuk=")</f>
        <v>#REF!</v>
      </c>
      <c r="IA93" t="e">
        <f>AND(Sheet1!#REF!,"AAAAAH3rtuo=")</f>
        <v>#REF!</v>
      </c>
      <c r="IB93" t="e">
        <f>AND(Sheet1!#REF!,"AAAAAH3rtus=")</f>
        <v>#REF!</v>
      </c>
      <c r="IC93">
        <f>IF(Sheet1!1253:1253,"AAAAAH3rtuw=",0)</f>
        <v>0</v>
      </c>
      <c r="ID93" t="e">
        <f>AND(Sheet1!A1253,"AAAAAH3rtu0=")</f>
        <v>#VALUE!</v>
      </c>
      <c r="IE93" t="e">
        <f>AND(Sheet1!B1253,"AAAAAH3rtu4=")</f>
        <v>#VALUE!</v>
      </c>
      <c r="IF93" t="e">
        <f>AND(Sheet1!C1253,"AAAAAH3rtu8=")</f>
        <v>#VALUE!</v>
      </c>
      <c r="IG93" t="e">
        <f>AND(Sheet1!D1253,"AAAAAH3rtvA=")</f>
        <v>#VALUE!</v>
      </c>
      <c r="IH93" t="e">
        <f>AND(Sheet1!E1253,"AAAAAH3rtvE=")</f>
        <v>#VALUE!</v>
      </c>
      <c r="II93" t="e">
        <f>AND(Sheet1!F1253,"AAAAAH3rtvI=")</f>
        <v>#VALUE!</v>
      </c>
      <c r="IJ93" t="e">
        <f>AND(Sheet1!G1253,"AAAAAH3rtvM=")</f>
        <v>#VALUE!</v>
      </c>
      <c r="IK93" t="e">
        <f>AND(Sheet1!H1253,"AAAAAH3rtvQ=")</f>
        <v>#VALUE!</v>
      </c>
      <c r="IL93" t="e">
        <f>AND(Sheet1!I1253,"AAAAAH3rtvU=")</f>
        <v>#VALUE!</v>
      </c>
      <c r="IM93" t="e">
        <f>AND(Sheet1!J1253,"AAAAAH3rtvY=")</f>
        <v>#VALUE!</v>
      </c>
      <c r="IN93" t="e">
        <f>AND(Sheet1!K1253,"AAAAAH3rtvc=")</f>
        <v>#VALUE!</v>
      </c>
      <c r="IO93" t="e">
        <f>AND(Sheet1!L1253,"AAAAAH3rtvg=")</f>
        <v>#VALUE!</v>
      </c>
      <c r="IP93" t="e">
        <f>AND(Sheet1!M1253,"AAAAAH3rtvk=")</f>
        <v>#VALUE!</v>
      </c>
      <c r="IQ93" t="e">
        <f>AND(Sheet1!N1253,"AAAAAH3rtvo=")</f>
        <v>#VALUE!</v>
      </c>
      <c r="IR93" t="e">
        <f>AND(Sheet1!#REF!,"AAAAAH3rtvs=")</f>
        <v>#REF!</v>
      </c>
      <c r="IS93" t="e">
        <f>AND(Sheet1!#REF!,"AAAAAH3rtvw=")</f>
        <v>#REF!</v>
      </c>
      <c r="IT93" t="e">
        <f>AND(Sheet1!#REF!,"AAAAAH3rtv0=")</f>
        <v>#REF!</v>
      </c>
      <c r="IU93" t="e">
        <f>AND(Sheet1!#REF!,"AAAAAH3rtv4=")</f>
        <v>#REF!</v>
      </c>
      <c r="IV93">
        <f>IF(Sheet1!1254:1254,"AAAAAH3rtv8=",0)</f>
        <v>0</v>
      </c>
    </row>
    <row r="94" spans="1:256" x14ac:dyDescent="0.2">
      <c r="A94" t="e">
        <f>AND(Sheet1!A1254,"AAAAAH/rvgA=")</f>
        <v>#VALUE!</v>
      </c>
      <c r="B94" t="e">
        <f>AND(Sheet1!B1254,"AAAAAH/rvgE=")</f>
        <v>#VALUE!</v>
      </c>
      <c r="C94" t="e">
        <f>AND(Sheet1!C1254,"AAAAAH/rvgI=")</f>
        <v>#VALUE!</v>
      </c>
      <c r="D94" t="e">
        <f>AND(Sheet1!D1254,"AAAAAH/rvgM=")</f>
        <v>#VALUE!</v>
      </c>
      <c r="E94" t="e">
        <f>AND(Sheet1!E1254,"AAAAAH/rvgQ=")</f>
        <v>#VALUE!</v>
      </c>
      <c r="F94" t="e">
        <f>AND(Sheet1!F1254,"AAAAAH/rvgU=")</f>
        <v>#VALUE!</v>
      </c>
      <c r="G94" t="e">
        <f>AND(Sheet1!G1254,"AAAAAH/rvgY=")</f>
        <v>#VALUE!</v>
      </c>
      <c r="H94" t="e">
        <f>AND(Sheet1!H1254,"AAAAAH/rvgc=")</f>
        <v>#VALUE!</v>
      </c>
      <c r="I94" t="e">
        <f>AND(Sheet1!I1254,"AAAAAH/rvgg=")</f>
        <v>#VALUE!</v>
      </c>
      <c r="J94" t="e">
        <f>AND(Sheet1!J1254,"AAAAAH/rvgk=")</f>
        <v>#VALUE!</v>
      </c>
      <c r="K94" t="e">
        <f>AND(Sheet1!K1254,"AAAAAH/rvgo=")</f>
        <v>#VALUE!</v>
      </c>
      <c r="L94" t="e">
        <f>AND(Sheet1!L1254,"AAAAAH/rvgs=")</f>
        <v>#VALUE!</v>
      </c>
      <c r="M94" t="e">
        <f>AND(Sheet1!M1254,"AAAAAH/rvgw=")</f>
        <v>#VALUE!</v>
      </c>
      <c r="N94" t="e">
        <f>AND(Sheet1!N1254,"AAAAAH/rvg0=")</f>
        <v>#VALUE!</v>
      </c>
      <c r="O94" t="e">
        <f>AND(Sheet1!#REF!,"AAAAAH/rvg4=")</f>
        <v>#REF!</v>
      </c>
      <c r="P94" t="e">
        <f>AND(Sheet1!#REF!,"AAAAAH/rvg8=")</f>
        <v>#REF!</v>
      </c>
      <c r="Q94" t="e">
        <f>AND(Sheet1!#REF!,"AAAAAH/rvhA=")</f>
        <v>#REF!</v>
      </c>
      <c r="R94" t="e">
        <f>AND(Sheet1!#REF!,"AAAAAH/rvhE=")</f>
        <v>#REF!</v>
      </c>
      <c r="S94">
        <f>IF(Sheet1!1255:1255,"AAAAAH/rvhI=",0)</f>
        <v>0</v>
      </c>
      <c r="T94" t="e">
        <f>AND(Sheet1!A1255,"AAAAAH/rvhM=")</f>
        <v>#VALUE!</v>
      </c>
      <c r="U94" t="e">
        <f>AND(Sheet1!B1255,"AAAAAH/rvhQ=")</f>
        <v>#VALUE!</v>
      </c>
      <c r="V94" t="e">
        <f>AND(Sheet1!C1255,"AAAAAH/rvhU=")</f>
        <v>#VALUE!</v>
      </c>
      <c r="W94" t="e">
        <f>AND(Sheet1!D1255,"AAAAAH/rvhY=")</f>
        <v>#VALUE!</v>
      </c>
      <c r="X94" t="e">
        <f>AND(Sheet1!E1255,"AAAAAH/rvhc=")</f>
        <v>#VALUE!</v>
      </c>
      <c r="Y94" t="e">
        <f>AND(Sheet1!F1255,"AAAAAH/rvhg=")</f>
        <v>#VALUE!</v>
      </c>
      <c r="Z94" t="e">
        <f>AND(Sheet1!G1255,"AAAAAH/rvhk=")</f>
        <v>#VALUE!</v>
      </c>
      <c r="AA94" t="e">
        <f>AND(Sheet1!H1255,"AAAAAH/rvho=")</f>
        <v>#VALUE!</v>
      </c>
      <c r="AB94" t="e">
        <f>AND(Sheet1!I1255,"AAAAAH/rvhs=")</f>
        <v>#VALUE!</v>
      </c>
      <c r="AC94" t="e">
        <f>AND(Sheet1!J1255,"AAAAAH/rvhw=")</f>
        <v>#VALUE!</v>
      </c>
      <c r="AD94" t="e">
        <f>AND(Sheet1!K1255,"AAAAAH/rvh0=")</f>
        <v>#VALUE!</v>
      </c>
      <c r="AE94" t="e">
        <f>AND(Sheet1!L1255,"AAAAAH/rvh4=")</f>
        <v>#VALUE!</v>
      </c>
      <c r="AF94" t="e">
        <f>AND(Sheet1!M1255,"AAAAAH/rvh8=")</f>
        <v>#VALUE!</v>
      </c>
      <c r="AG94" t="e">
        <f>AND(Sheet1!N1255,"AAAAAH/rviA=")</f>
        <v>#VALUE!</v>
      </c>
      <c r="AH94" t="e">
        <f>AND(Sheet1!#REF!,"AAAAAH/rviE=")</f>
        <v>#REF!</v>
      </c>
      <c r="AI94" t="e">
        <f>AND(Sheet1!#REF!,"AAAAAH/rviI=")</f>
        <v>#REF!</v>
      </c>
      <c r="AJ94" t="e">
        <f>AND(Sheet1!#REF!,"AAAAAH/rviM=")</f>
        <v>#REF!</v>
      </c>
      <c r="AK94" t="e">
        <f>AND(Sheet1!#REF!,"AAAAAH/rviQ=")</f>
        <v>#REF!</v>
      </c>
      <c r="AL94">
        <f>IF(Sheet1!1256:1256,"AAAAAH/rviU=",0)</f>
        <v>0</v>
      </c>
      <c r="AM94" t="e">
        <f>AND(Sheet1!A1256,"AAAAAH/rviY=")</f>
        <v>#VALUE!</v>
      </c>
      <c r="AN94" t="e">
        <f>AND(Sheet1!B1256,"AAAAAH/rvic=")</f>
        <v>#VALUE!</v>
      </c>
      <c r="AO94" t="e">
        <f>AND(Sheet1!C1256,"AAAAAH/rvig=")</f>
        <v>#VALUE!</v>
      </c>
      <c r="AP94" t="e">
        <f>AND(Sheet1!D1256,"AAAAAH/rvik=")</f>
        <v>#VALUE!</v>
      </c>
      <c r="AQ94" t="e">
        <f>AND(Sheet1!E1256,"AAAAAH/rvio=")</f>
        <v>#VALUE!</v>
      </c>
      <c r="AR94" t="e">
        <f>AND(Sheet1!F1256,"AAAAAH/rvis=")</f>
        <v>#VALUE!</v>
      </c>
      <c r="AS94" t="e">
        <f>AND(Sheet1!G1256,"AAAAAH/rviw=")</f>
        <v>#VALUE!</v>
      </c>
      <c r="AT94" t="e">
        <f>AND(Sheet1!H1256,"AAAAAH/rvi0=")</f>
        <v>#VALUE!</v>
      </c>
      <c r="AU94" t="e">
        <f>AND(Sheet1!I1256,"AAAAAH/rvi4=")</f>
        <v>#VALUE!</v>
      </c>
      <c r="AV94" t="e">
        <f>AND(Sheet1!J1256,"AAAAAH/rvi8=")</f>
        <v>#VALUE!</v>
      </c>
      <c r="AW94" t="e">
        <f>AND(Sheet1!K1256,"AAAAAH/rvjA=")</f>
        <v>#VALUE!</v>
      </c>
      <c r="AX94" t="e">
        <f>AND(Sheet1!L1256,"AAAAAH/rvjE=")</f>
        <v>#VALUE!</v>
      </c>
      <c r="AY94" t="e">
        <f>AND(Sheet1!M1256,"AAAAAH/rvjI=")</f>
        <v>#VALUE!</v>
      </c>
      <c r="AZ94" t="e">
        <f>AND(Sheet1!N1256,"AAAAAH/rvjM=")</f>
        <v>#VALUE!</v>
      </c>
      <c r="BA94" t="e">
        <f>AND(Sheet1!#REF!,"AAAAAH/rvjQ=")</f>
        <v>#REF!</v>
      </c>
      <c r="BB94" t="e">
        <f>AND(Sheet1!#REF!,"AAAAAH/rvjU=")</f>
        <v>#REF!</v>
      </c>
      <c r="BC94" t="e">
        <f>AND(Sheet1!#REF!,"AAAAAH/rvjY=")</f>
        <v>#REF!</v>
      </c>
      <c r="BD94" t="e">
        <f>AND(Sheet1!#REF!,"AAAAAH/rvjc=")</f>
        <v>#REF!</v>
      </c>
      <c r="BE94">
        <f>IF(Sheet1!1257:1257,"AAAAAH/rvjg=",0)</f>
        <v>0</v>
      </c>
      <c r="BF94" t="e">
        <f>AND(Sheet1!A1257,"AAAAAH/rvjk=")</f>
        <v>#VALUE!</v>
      </c>
      <c r="BG94" t="e">
        <f>AND(Sheet1!B1257,"AAAAAH/rvjo=")</f>
        <v>#VALUE!</v>
      </c>
      <c r="BH94" t="e">
        <f>AND(Sheet1!C1257,"AAAAAH/rvjs=")</f>
        <v>#VALUE!</v>
      </c>
      <c r="BI94" t="e">
        <f>AND(Sheet1!D1257,"AAAAAH/rvjw=")</f>
        <v>#VALUE!</v>
      </c>
      <c r="BJ94" t="e">
        <f>AND(Sheet1!E1257,"AAAAAH/rvj0=")</f>
        <v>#VALUE!</v>
      </c>
      <c r="BK94" t="e">
        <f>AND(Sheet1!F1257,"AAAAAH/rvj4=")</f>
        <v>#VALUE!</v>
      </c>
      <c r="BL94" t="e">
        <f>AND(Sheet1!G1257,"AAAAAH/rvj8=")</f>
        <v>#VALUE!</v>
      </c>
      <c r="BM94" t="e">
        <f>AND(Sheet1!H1257,"AAAAAH/rvkA=")</f>
        <v>#VALUE!</v>
      </c>
      <c r="BN94" t="e">
        <f>AND(Sheet1!I1257,"AAAAAH/rvkE=")</f>
        <v>#VALUE!</v>
      </c>
      <c r="BO94" t="e">
        <f>AND(Sheet1!J1257,"AAAAAH/rvkI=")</f>
        <v>#VALUE!</v>
      </c>
      <c r="BP94" t="e">
        <f>AND(Sheet1!K1257,"AAAAAH/rvkM=")</f>
        <v>#VALUE!</v>
      </c>
      <c r="BQ94" t="e">
        <f>AND(Sheet1!L1257,"AAAAAH/rvkQ=")</f>
        <v>#VALUE!</v>
      </c>
      <c r="BR94" t="e">
        <f>AND(Sheet1!M1257,"AAAAAH/rvkU=")</f>
        <v>#VALUE!</v>
      </c>
      <c r="BS94" t="e">
        <f>AND(Sheet1!N1257,"AAAAAH/rvkY=")</f>
        <v>#VALUE!</v>
      </c>
      <c r="BT94" t="e">
        <f>AND(Sheet1!#REF!,"AAAAAH/rvkc=")</f>
        <v>#REF!</v>
      </c>
      <c r="BU94" t="e">
        <f>AND(Sheet1!#REF!,"AAAAAH/rvkg=")</f>
        <v>#REF!</v>
      </c>
      <c r="BV94" t="e">
        <f>AND(Sheet1!#REF!,"AAAAAH/rvkk=")</f>
        <v>#REF!</v>
      </c>
      <c r="BW94" t="e">
        <f>AND(Sheet1!#REF!,"AAAAAH/rvko=")</f>
        <v>#REF!</v>
      </c>
      <c r="BX94">
        <f>IF(Sheet1!1258:1258,"AAAAAH/rvks=",0)</f>
        <v>0</v>
      </c>
      <c r="BY94" t="e">
        <f>AND(Sheet1!A1258,"AAAAAH/rvkw=")</f>
        <v>#VALUE!</v>
      </c>
      <c r="BZ94" t="e">
        <f>AND(Sheet1!B1258,"AAAAAH/rvk0=")</f>
        <v>#VALUE!</v>
      </c>
      <c r="CA94" t="e">
        <f>AND(Sheet1!C1258,"AAAAAH/rvk4=")</f>
        <v>#VALUE!</v>
      </c>
      <c r="CB94" t="e">
        <f>AND(Sheet1!D1258,"AAAAAH/rvk8=")</f>
        <v>#VALUE!</v>
      </c>
      <c r="CC94" t="e">
        <f>AND(Sheet1!E1258,"AAAAAH/rvlA=")</f>
        <v>#VALUE!</v>
      </c>
      <c r="CD94" t="e">
        <f>AND(Sheet1!F1258,"AAAAAH/rvlE=")</f>
        <v>#VALUE!</v>
      </c>
      <c r="CE94" t="e">
        <f>AND(Sheet1!G1258,"AAAAAH/rvlI=")</f>
        <v>#VALUE!</v>
      </c>
      <c r="CF94" t="e">
        <f>AND(Sheet1!H1258,"AAAAAH/rvlM=")</f>
        <v>#VALUE!</v>
      </c>
      <c r="CG94" t="e">
        <f>AND(Sheet1!I1258,"AAAAAH/rvlQ=")</f>
        <v>#VALUE!</v>
      </c>
      <c r="CH94" t="e">
        <f>AND(Sheet1!J1258,"AAAAAH/rvlU=")</f>
        <v>#VALUE!</v>
      </c>
      <c r="CI94" t="e">
        <f>AND(Sheet1!K1258,"AAAAAH/rvlY=")</f>
        <v>#VALUE!</v>
      </c>
      <c r="CJ94" t="e">
        <f>AND(Sheet1!L1258,"AAAAAH/rvlc=")</f>
        <v>#VALUE!</v>
      </c>
      <c r="CK94" t="e">
        <f>AND(Sheet1!M1258,"AAAAAH/rvlg=")</f>
        <v>#VALUE!</v>
      </c>
      <c r="CL94" t="e">
        <f>AND(Sheet1!N1258,"AAAAAH/rvlk=")</f>
        <v>#VALUE!</v>
      </c>
      <c r="CM94" t="e">
        <f>AND(Sheet1!#REF!,"AAAAAH/rvlo=")</f>
        <v>#REF!</v>
      </c>
      <c r="CN94" t="e">
        <f>AND(Sheet1!#REF!,"AAAAAH/rvls=")</f>
        <v>#REF!</v>
      </c>
      <c r="CO94" t="e">
        <f>AND(Sheet1!#REF!,"AAAAAH/rvlw=")</f>
        <v>#REF!</v>
      </c>
      <c r="CP94" t="e">
        <f>AND(Sheet1!#REF!,"AAAAAH/rvl0=")</f>
        <v>#REF!</v>
      </c>
      <c r="CQ94">
        <f>IF(Sheet1!1259:1259,"AAAAAH/rvl4=",0)</f>
        <v>0</v>
      </c>
      <c r="CR94" t="e">
        <f>AND(Sheet1!A1259,"AAAAAH/rvl8=")</f>
        <v>#VALUE!</v>
      </c>
      <c r="CS94" t="e">
        <f>AND(Sheet1!B1259,"AAAAAH/rvmA=")</f>
        <v>#VALUE!</v>
      </c>
      <c r="CT94" t="e">
        <f>AND(Sheet1!C1259,"AAAAAH/rvmE=")</f>
        <v>#VALUE!</v>
      </c>
      <c r="CU94" t="e">
        <f>AND(Sheet1!D1259,"AAAAAH/rvmI=")</f>
        <v>#VALUE!</v>
      </c>
      <c r="CV94" t="e">
        <f>AND(Sheet1!E1259,"AAAAAH/rvmM=")</f>
        <v>#VALUE!</v>
      </c>
      <c r="CW94" t="e">
        <f>AND(Sheet1!F1259,"AAAAAH/rvmQ=")</f>
        <v>#VALUE!</v>
      </c>
      <c r="CX94" t="e">
        <f>AND(Sheet1!G1259,"AAAAAH/rvmU=")</f>
        <v>#VALUE!</v>
      </c>
      <c r="CY94" t="e">
        <f>AND(Sheet1!H1259,"AAAAAH/rvmY=")</f>
        <v>#VALUE!</v>
      </c>
      <c r="CZ94" t="e">
        <f>AND(Sheet1!I1259,"AAAAAH/rvmc=")</f>
        <v>#VALUE!</v>
      </c>
      <c r="DA94" t="e">
        <f>AND(Sheet1!J1259,"AAAAAH/rvmg=")</f>
        <v>#VALUE!</v>
      </c>
      <c r="DB94" t="e">
        <f>AND(Sheet1!K1259,"AAAAAH/rvmk=")</f>
        <v>#VALUE!</v>
      </c>
      <c r="DC94" t="e">
        <f>AND(Sheet1!L1259,"AAAAAH/rvmo=")</f>
        <v>#VALUE!</v>
      </c>
      <c r="DD94" t="e">
        <f>AND(Sheet1!M1259,"AAAAAH/rvms=")</f>
        <v>#VALUE!</v>
      </c>
      <c r="DE94" t="e">
        <f>AND(Sheet1!N1259,"AAAAAH/rvmw=")</f>
        <v>#VALUE!</v>
      </c>
      <c r="DF94" t="e">
        <f>AND(Sheet1!#REF!,"AAAAAH/rvm0=")</f>
        <v>#REF!</v>
      </c>
      <c r="DG94" t="e">
        <f>AND(Sheet1!#REF!,"AAAAAH/rvm4=")</f>
        <v>#REF!</v>
      </c>
      <c r="DH94" t="e">
        <f>AND(Sheet1!#REF!,"AAAAAH/rvm8=")</f>
        <v>#REF!</v>
      </c>
      <c r="DI94" t="e">
        <f>AND(Sheet1!#REF!,"AAAAAH/rvnA=")</f>
        <v>#REF!</v>
      </c>
      <c r="DJ94">
        <f>IF(Sheet1!1260:1260,"AAAAAH/rvnE=",0)</f>
        <v>0</v>
      </c>
      <c r="DK94" t="e">
        <f>AND(Sheet1!A1260,"AAAAAH/rvnI=")</f>
        <v>#VALUE!</v>
      </c>
      <c r="DL94" t="e">
        <f>AND(Sheet1!B1260,"AAAAAH/rvnM=")</f>
        <v>#VALUE!</v>
      </c>
      <c r="DM94" t="e">
        <f>AND(Sheet1!C1260,"AAAAAH/rvnQ=")</f>
        <v>#VALUE!</v>
      </c>
      <c r="DN94" t="e">
        <f>AND(Sheet1!D1260,"AAAAAH/rvnU=")</f>
        <v>#VALUE!</v>
      </c>
      <c r="DO94" t="e">
        <f>AND(Sheet1!E1260,"AAAAAH/rvnY=")</f>
        <v>#VALUE!</v>
      </c>
      <c r="DP94" t="e">
        <f>AND(Sheet1!F1260,"AAAAAH/rvnc=")</f>
        <v>#VALUE!</v>
      </c>
      <c r="DQ94" t="e">
        <f>AND(Sheet1!G1260,"AAAAAH/rvng=")</f>
        <v>#VALUE!</v>
      </c>
      <c r="DR94" t="e">
        <f>AND(Sheet1!H1260,"AAAAAH/rvnk=")</f>
        <v>#VALUE!</v>
      </c>
      <c r="DS94" t="e">
        <f>AND(Sheet1!I1260,"AAAAAH/rvno=")</f>
        <v>#VALUE!</v>
      </c>
      <c r="DT94" t="e">
        <f>AND(Sheet1!J1260,"AAAAAH/rvns=")</f>
        <v>#VALUE!</v>
      </c>
      <c r="DU94" t="e">
        <f>AND(Sheet1!K1260,"AAAAAH/rvnw=")</f>
        <v>#VALUE!</v>
      </c>
      <c r="DV94" t="e">
        <f>AND(Sheet1!L1260,"AAAAAH/rvn0=")</f>
        <v>#VALUE!</v>
      </c>
      <c r="DW94" t="e">
        <f>AND(Sheet1!M1260,"AAAAAH/rvn4=")</f>
        <v>#VALUE!</v>
      </c>
      <c r="DX94" t="e">
        <f>AND(Sheet1!N1260,"AAAAAH/rvn8=")</f>
        <v>#VALUE!</v>
      </c>
      <c r="DY94" t="e">
        <f>AND(Sheet1!#REF!,"AAAAAH/rvoA=")</f>
        <v>#REF!</v>
      </c>
      <c r="DZ94" t="e">
        <f>AND(Sheet1!#REF!,"AAAAAH/rvoE=")</f>
        <v>#REF!</v>
      </c>
      <c r="EA94" t="e">
        <f>AND(Sheet1!#REF!,"AAAAAH/rvoI=")</f>
        <v>#REF!</v>
      </c>
      <c r="EB94" t="e">
        <f>AND(Sheet1!#REF!,"AAAAAH/rvoM=")</f>
        <v>#REF!</v>
      </c>
      <c r="EC94">
        <f>IF(Sheet1!1261:1261,"AAAAAH/rvoQ=",0)</f>
        <v>0</v>
      </c>
      <c r="ED94" t="e">
        <f>AND(Sheet1!A1261,"AAAAAH/rvoU=")</f>
        <v>#VALUE!</v>
      </c>
      <c r="EE94" t="e">
        <f>AND(Sheet1!B1261,"AAAAAH/rvoY=")</f>
        <v>#VALUE!</v>
      </c>
      <c r="EF94" t="e">
        <f>AND(Sheet1!C1261,"AAAAAH/rvoc=")</f>
        <v>#VALUE!</v>
      </c>
      <c r="EG94" t="e">
        <f>AND(Sheet1!D1261,"AAAAAH/rvog=")</f>
        <v>#VALUE!</v>
      </c>
      <c r="EH94" t="e">
        <f>AND(Sheet1!E1261,"AAAAAH/rvok=")</f>
        <v>#VALUE!</v>
      </c>
      <c r="EI94" t="e">
        <f>AND(Sheet1!F1261,"AAAAAH/rvoo=")</f>
        <v>#VALUE!</v>
      </c>
      <c r="EJ94" t="e">
        <f>AND(Sheet1!G1261,"AAAAAH/rvos=")</f>
        <v>#VALUE!</v>
      </c>
      <c r="EK94" t="e">
        <f>AND(Sheet1!H1261,"AAAAAH/rvow=")</f>
        <v>#VALUE!</v>
      </c>
      <c r="EL94" t="e">
        <f>AND(Sheet1!I1261,"AAAAAH/rvo0=")</f>
        <v>#VALUE!</v>
      </c>
      <c r="EM94" t="e">
        <f>AND(Sheet1!J1261,"AAAAAH/rvo4=")</f>
        <v>#VALUE!</v>
      </c>
      <c r="EN94" t="e">
        <f>AND(Sheet1!K1261,"AAAAAH/rvo8=")</f>
        <v>#VALUE!</v>
      </c>
      <c r="EO94" t="e">
        <f>AND(Sheet1!L1261,"AAAAAH/rvpA=")</f>
        <v>#VALUE!</v>
      </c>
      <c r="EP94" t="e">
        <f>AND(Sheet1!M1261,"AAAAAH/rvpE=")</f>
        <v>#VALUE!</v>
      </c>
      <c r="EQ94" t="e">
        <f>AND(Sheet1!N1261,"AAAAAH/rvpI=")</f>
        <v>#VALUE!</v>
      </c>
      <c r="ER94" t="e">
        <f>AND(Sheet1!#REF!,"AAAAAH/rvpM=")</f>
        <v>#REF!</v>
      </c>
      <c r="ES94" t="e">
        <f>AND(Sheet1!#REF!,"AAAAAH/rvpQ=")</f>
        <v>#REF!</v>
      </c>
      <c r="ET94" t="e">
        <f>AND(Sheet1!#REF!,"AAAAAH/rvpU=")</f>
        <v>#REF!</v>
      </c>
      <c r="EU94" t="e">
        <f>AND(Sheet1!#REF!,"AAAAAH/rvpY=")</f>
        <v>#REF!</v>
      </c>
      <c r="EV94">
        <f>IF(Sheet1!1262:1262,"AAAAAH/rvpc=",0)</f>
        <v>0</v>
      </c>
      <c r="EW94" t="e">
        <f>AND(Sheet1!A1262,"AAAAAH/rvpg=")</f>
        <v>#VALUE!</v>
      </c>
      <c r="EX94" t="e">
        <f>AND(Sheet1!B1262,"AAAAAH/rvpk=")</f>
        <v>#VALUE!</v>
      </c>
      <c r="EY94" t="e">
        <f>AND(Sheet1!C1262,"AAAAAH/rvpo=")</f>
        <v>#VALUE!</v>
      </c>
      <c r="EZ94" t="e">
        <f>AND(Sheet1!D1262,"AAAAAH/rvps=")</f>
        <v>#VALUE!</v>
      </c>
      <c r="FA94" t="e">
        <f>AND(Sheet1!E1262,"AAAAAH/rvpw=")</f>
        <v>#VALUE!</v>
      </c>
      <c r="FB94" t="e">
        <f>AND(Sheet1!F1262,"AAAAAH/rvp0=")</f>
        <v>#VALUE!</v>
      </c>
      <c r="FC94" t="e">
        <f>AND(Sheet1!G1262,"AAAAAH/rvp4=")</f>
        <v>#VALUE!</v>
      </c>
      <c r="FD94" t="e">
        <f>AND(Sheet1!H1262,"AAAAAH/rvp8=")</f>
        <v>#VALUE!</v>
      </c>
      <c r="FE94" t="e">
        <f>AND(Sheet1!I1262,"AAAAAH/rvqA=")</f>
        <v>#VALUE!</v>
      </c>
      <c r="FF94" t="e">
        <f>AND(Sheet1!J1262,"AAAAAH/rvqE=")</f>
        <v>#VALUE!</v>
      </c>
      <c r="FG94" t="e">
        <f>AND(Sheet1!K1262,"AAAAAH/rvqI=")</f>
        <v>#VALUE!</v>
      </c>
      <c r="FH94" t="e">
        <f>AND(Sheet1!L1262,"AAAAAH/rvqM=")</f>
        <v>#VALUE!</v>
      </c>
      <c r="FI94" t="e">
        <f>AND(Sheet1!M1262,"AAAAAH/rvqQ=")</f>
        <v>#VALUE!</v>
      </c>
      <c r="FJ94" t="e">
        <f>AND(Sheet1!N1262,"AAAAAH/rvqU=")</f>
        <v>#VALUE!</v>
      </c>
      <c r="FK94" t="e">
        <f>AND(Sheet1!#REF!,"AAAAAH/rvqY=")</f>
        <v>#REF!</v>
      </c>
      <c r="FL94" t="e">
        <f>AND(Sheet1!#REF!,"AAAAAH/rvqc=")</f>
        <v>#REF!</v>
      </c>
      <c r="FM94" t="e">
        <f>AND(Sheet1!#REF!,"AAAAAH/rvqg=")</f>
        <v>#REF!</v>
      </c>
      <c r="FN94" t="e">
        <f>AND(Sheet1!#REF!,"AAAAAH/rvqk=")</f>
        <v>#REF!</v>
      </c>
      <c r="FO94">
        <f>IF(Sheet1!1263:1263,"AAAAAH/rvqo=",0)</f>
        <v>0</v>
      </c>
      <c r="FP94" t="e">
        <f>AND(Sheet1!A1263,"AAAAAH/rvqs=")</f>
        <v>#VALUE!</v>
      </c>
      <c r="FQ94" t="e">
        <f>AND(Sheet1!B1263,"AAAAAH/rvqw=")</f>
        <v>#VALUE!</v>
      </c>
      <c r="FR94" t="e">
        <f>AND(Sheet1!C1263,"AAAAAH/rvq0=")</f>
        <v>#VALUE!</v>
      </c>
      <c r="FS94" t="e">
        <f>AND(Sheet1!D1263,"AAAAAH/rvq4=")</f>
        <v>#VALUE!</v>
      </c>
      <c r="FT94" t="e">
        <f>AND(Sheet1!E1263,"AAAAAH/rvq8=")</f>
        <v>#VALUE!</v>
      </c>
      <c r="FU94" t="e">
        <f>AND(Sheet1!F1263,"AAAAAH/rvrA=")</f>
        <v>#VALUE!</v>
      </c>
      <c r="FV94" t="e">
        <f>AND(Sheet1!G1263,"AAAAAH/rvrE=")</f>
        <v>#VALUE!</v>
      </c>
      <c r="FW94" t="e">
        <f>AND(Sheet1!H1263,"AAAAAH/rvrI=")</f>
        <v>#VALUE!</v>
      </c>
      <c r="FX94" t="e">
        <f>AND(Sheet1!I1263,"AAAAAH/rvrM=")</f>
        <v>#VALUE!</v>
      </c>
      <c r="FY94" t="e">
        <f>AND(Sheet1!J1263,"AAAAAH/rvrQ=")</f>
        <v>#VALUE!</v>
      </c>
      <c r="FZ94" t="e">
        <f>AND(Sheet1!K1263,"AAAAAH/rvrU=")</f>
        <v>#VALUE!</v>
      </c>
      <c r="GA94" t="e">
        <f>AND(Sheet1!L1263,"AAAAAH/rvrY=")</f>
        <v>#VALUE!</v>
      </c>
      <c r="GB94" t="e">
        <f>AND(Sheet1!M1263,"AAAAAH/rvrc=")</f>
        <v>#VALUE!</v>
      </c>
      <c r="GC94" t="e">
        <f>AND(Sheet1!N1263,"AAAAAH/rvrg=")</f>
        <v>#VALUE!</v>
      </c>
      <c r="GD94" t="e">
        <f>AND(Sheet1!#REF!,"AAAAAH/rvrk=")</f>
        <v>#REF!</v>
      </c>
      <c r="GE94" t="e">
        <f>AND(Sheet1!#REF!,"AAAAAH/rvro=")</f>
        <v>#REF!</v>
      </c>
      <c r="GF94" t="e">
        <f>AND(Sheet1!#REF!,"AAAAAH/rvrs=")</f>
        <v>#REF!</v>
      </c>
      <c r="GG94" t="e">
        <f>AND(Sheet1!#REF!,"AAAAAH/rvrw=")</f>
        <v>#REF!</v>
      </c>
      <c r="GH94">
        <f>IF(Sheet1!1264:1264,"AAAAAH/rvr0=",0)</f>
        <v>0</v>
      </c>
      <c r="GI94" t="e">
        <f>AND(Sheet1!A1264,"AAAAAH/rvr4=")</f>
        <v>#VALUE!</v>
      </c>
      <c r="GJ94" t="e">
        <f>AND(Sheet1!B1264,"AAAAAH/rvr8=")</f>
        <v>#VALUE!</v>
      </c>
      <c r="GK94" t="e">
        <f>AND(Sheet1!C1264,"AAAAAH/rvsA=")</f>
        <v>#VALUE!</v>
      </c>
      <c r="GL94" t="e">
        <f>AND(Sheet1!D1264,"AAAAAH/rvsE=")</f>
        <v>#VALUE!</v>
      </c>
      <c r="GM94" t="e">
        <f>AND(Sheet1!E1264,"AAAAAH/rvsI=")</f>
        <v>#VALUE!</v>
      </c>
      <c r="GN94" t="e">
        <f>AND(Sheet1!F1264,"AAAAAH/rvsM=")</f>
        <v>#VALUE!</v>
      </c>
      <c r="GO94" t="e">
        <f>AND(Sheet1!G1264,"AAAAAH/rvsQ=")</f>
        <v>#VALUE!</v>
      </c>
      <c r="GP94" t="e">
        <f>AND(Sheet1!H1264,"AAAAAH/rvsU=")</f>
        <v>#VALUE!</v>
      </c>
      <c r="GQ94" t="e">
        <f>AND(Sheet1!I1264,"AAAAAH/rvsY=")</f>
        <v>#VALUE!</v>
      </c>
      <c r="GR94" t="e">
        <f>AND(Sheet1!J1264,"AAAAAH/rvsc=")</f>
        <v>#VALUE!</v>
      </c>
      <c r="GS94" t="e">
        <f>AND(Sheet1!K1264,"AAAAAH/rvsg=")</f>
        <v>#VALUE!</v>
      </c>
      <c r="GT94" t="e">
        <f>AND(Sheet1!L1264,"AAAAAH/rvsk=")</f>
        <v>#VALUE!</v>
      </c>
      <c r="GU94" t="e">
        <f>AND(Sheet1!M1264,"AAAAAH/rvso=")</f>
        <v>#VALUE!</v>
      </c>
      <c r="GV94" t="e">
        <f>AND(Sheet1!N1264,"AAAAAH/rvss=")</f>
        <v>#VALUE!</v>
      </c>
      <c r="GW94" t="e">
        <f>AND(Sheet1!#REF!,"AAAAAH/rvsw=")</f>
        <v>#REF!</v>
      </c>
      <c r="GX94" t="e">
        <f>AND(Sheet1!#REF!,"AAAAAH/rvs0=")</f>
        <v>#REF!</v>
      </c>
      <c r="GY94" t="e">
        <f>AND(Sheet1!#REF!,"AAAAAH/rvs4=")</f>
        <v>#REF!</v>
      </c>
      <c r="GZ94" t="e">
        <f>AND(Sheet1!#REF!,"AAAAAH/rvs8=")</f>
        <v>#REF!</v>
      </c>
      <c r="HA94">
        <f>IF(Sheet1!1265:1265,"AAAAAH/rvtA=",0)</f>
        <v>0</v>
      </c>
      <c r="HB94" t="e">
        <f>AND(Sheet1!A1265,"AAAAAH/rvtE=")</f>
        <v>#VALUE!</v>
      </c>
      <c r="HC94" t="e">
        <f>AND(Sheet1!B1265,"AAAAAH/rvtI=")</f>
        <v>#VALUE!</v>
      </c>
      <c r="HD94" t="e">
        <f>AND(Sheet1!C1265,"AAAAAH/rvtM=")</f>
        <v>#VALUE!</v>
      </c>
      <c r="HE94" t="e">
        <f>AND(Sheet1!D1265,"AAAAAH/rvtQ=")</f>
        <v>#VALUE!</v>
      </c>
      <c r="HF94" t="e">
        <f>AND(Sheet1!E1265,"AAAAAH/rvtU=")</f>
        <v>#VALUE!</v>
      </c>
      <c r="HG94" t="e">
        <f>AND(Sheet1!F1265,"AAAAAH/rvtY=")</f>
        <v>#VALUE!</v>
      </c>
      <c r="HH94" t="e">
        <f>AND(Sheet1!G1265,"AAAAAH/rvtc=")</f>
        <v>#VALUE!</v>
      </c>
      <c r="HI94" t="e">
        <f>AND(Sheet1!H1265,"AAAAAH/rvtg=")</f>
        <v>#VALUE!</v>
      </c>
      <c r="HJ94" t="e">
        <f>AND(Sheet1!I1265,"AAAAAH/rvtk=")</f>
        <v>#VALUE!</v>
      </c>
      <c r="HK94" t="e">
        <f>AND(Sheet1!J1265,"AAAAAH/rvto=")</f>
        <v>#VALUE!</v>
      </c>
      <c r="HL94" t="e">
        <f>AND(Sheet1!K1265,"AAAAAH/rvts=")</f>
        <v>#VALUE!</v>
      </c>
      <c r="HM94" t="e">
        <f>AND(Sheet1!L1265,"AAAAAH/rvtw=")</f>
        <v>#VALUE!</v>
      </c>
      <c r="HN94" t="e">
        <f>AND(Sheet1!M1265,"AAAAAH/rvt0=")</f>
        <v>#VALUE!</v>
      </c>
      <c r="HO94" t="e">
        <f>AND(Sheet1!N1265,"AAAAAH/rvt4=")</f>
        <v>#VALUE!</v>
      </c>
      <c r="HP94" t="e">
        <f>AND(Sheet1!#REF!,"AAAAAH/rvt8=")</f>
        <v>#REF!</v>
      </c>
      <c r="HQ94" t="e">
        <f>AND(Sheet1!#REF!,"AAAAAH/rvuA=")</f>
        <v>#REF!</v>
      </c>
      <c r="HR94" t="e">
        <f>AND(Sheet1!#REF!,"AAAAAH/rvuE=")</f>
        <v>#REF!</v>
      </c>
      <c r="HS94" t="e">
        <f>AND(Sheet1!#REF!,"AAAAAH/rvuI=")</f>
        <v>#REF!</v>
      </c>
      <c r="HT94">
        <f>IF(Sheet1!1266:1266,"AAAAAH/rvuM=",0)</f>
        <v>0</v>
      </c>
      <c r="HU94" t="e">
        <f>AND(Sheet1!A1266,"AAAAAH/rvuQ=")</f>
        <v>#VALUE!</v>
      </c>
      <c r="HV94" t="e">
        <f>AND(Sheet1!B1266,"AAAAAH/rvuU=")</f>
        <v>#VALUE!</v>
      </c>
      <c r="HW94" t="e">
        <f>AND(Sheet1!C1266,"AAAAAH/rvuY=")</f>
        <v>#VALUE!</v>
      </c>
      <c r="HX94" t="e">
        <f>AND(Sheet1!D1266,"AAAAAH/rvuc=")</f>
        <v>#VALUE!</v>
      </c>
      <c r="HY94" t="e">
        <f>AND(Sheet1!E1266,"AAAAAH/rvug=")</f>
        <v>#VALUE!</v>
      </c>
      <c r="HZ94" t="e">
        <f>AND(Sheet1!F1266,"AAAAAH/rvuk=")</f>
        <v>#VALUE!</v>
      </c>
      <c r="IA94" t="e">
        <f>AND(Sheet1!G1266,"AAAAAH/rvuo=")</f>
        <v>#VALUE!</v>
      </c>
      <c r="IB94" t="e">
        <f>AND(Sheet1!H1266,"AAAAAH/rvus=")</f>
        <v>#VALUE!</v>
      </c>
      <c r="IC94" t="e">
        <f>AND(Sheet1!I1266,"AAAAAH/rvuw=")</f>
        <v>#VALUE!</v>
      </c>
      <c r="ID94" t="e">
        <f>AND(Sheet1!J1266,"AAAAAH/rvu0=")</f>
        <v>#VALUE!</v>
      </c>
      <c r="IE94" t="e">
        <f>AND(Sheet1!K1266,"AAAAAH/rvu4=")</f>
        <v>#VALUE!</v>
      </c>
      <c r="IF94" t="e">
        <f>AND(Sheet1!L1266,"AAAAAH/rvu8=")</f>
        <v>#VALUE!</v>
      </c>
      <c r="IG94" t="e">
        <f>AND(Sheet1!M1266,"AAAAAH/rvvA=")</f>
        <v>#VALUE!</v>
      </c>
      <c r="IH94" t="e">
        <f>AND(Sheet1!N1266,"AAAAAH/rvvE=")</f>
        <v>#VALUE!</v>
      </c>
      <c r="II94" t="e">
        <f>AND(Sheet1!#REF!,"AAAAAH/rvvI=")</f>
        <v>#REF!</v>
      </c>
      <c r="IJ94" t="e">
        <f>AND(Sheet1!#REF!,"AAAAAH/rvvM=")</f>
        <v>#REF!</v>
      </c>
      <c r="IK94" t="e">
        <f>AND(Sheet1!#REF!,"AAAAAH/rvvQ=")</f>
        <v>#REF!</v>
      </c>
      <c r="IL94" t="e">
        <f>AND(Sheet1!#REF!,"AAAAAH/rvvU=")</f>
        <v>#REF!</v>
      </c>
      <c r="IM94">
        <f>IF(Sheet1!1267:1267,"AAAAAH/rvvY=",0)</f>
        <v>0</v>
      </c>
      <c r="IN94" t="e">
        <f>AND(Sheet1!A1267,"AAAAAH/rvvc=")</f>
        <v>#VALUE!</v>
      </c>
      <c r="IO94" t="e">
        <f>AND(Sheet1!B1267,"AAAAAH/rvvg=")</f>
        <v>#VALUE!</v>
      </c>
      <c r="IP94" t="e">
        <f>AND(Sheet1!C1267,"AAAAAH/rvvk=")</f>
        <v>#VALUE!</v>
      </c>
      <c r="IQ94" t="e">
        <f>AND(Sheet1!D1267,"AAAAAH/rvvo=")</f>
        <v>#VALUE!</v>
      </c>
      <c r="IR94" t="e">
        <f>AND(Sheet1!E1267,"AAAAAH/rvvs=")</f>
        <v>#VALUE!</v>
      </c>
      <c r="IS94" t="e">
        <f>AND(Sheet1!F1267,"AAAAAH/rvvw=")</f>
        <v>#VALUE!</v>
      </c>
      <c r="IT94" t="e">
        <f>AND(Sheet1!G1267,"AAAAAH/rvv0=")</f>
        <v>#VALUE!</v>
      </c>
      <c r="IU94" t="e">
        <f>AND(Sheet1!H1267,"AAAAAH/rvv4=")</f>
        <v>#VALUE!</v>
      </c>
      <c r="IV94" t="e">
        <f>AND(Sheet1!I1267,"AAAAAH/rvv8=")</f>
        <v>#VALUE!</v>
      </c>
    </row>
    <row r="95" spans="1:256" x14ac:dyDescent="0.2">
      <c r="A95" t="e">
        <f>AND(Sheet1!J1267,"AAAAAHWtqwA=")</f>
        <v>#VALUE!</v>
      </c>
      <c r="B95" t="e">
        <f>AND(Sheet1!K1267,"AAAAAHWtqwE=")</f>
        <v>#VALUE!</v>
      </c>
      <c r="C95" t="e">
        <f>AND(Sheet1!L1267,"AAAAAHWtqwI=")</f>
        <v>#VALUE!</v>
      </c>
      <c r="D95" t="e">
        <f>AND(Sheet1!M1267,"AAAAAHWtqwM=")</f>
        <v>#VALUE!</v>
      </c>
      <c r="E95" t="e">
        <f>AND(Sheet1!N1267,"AAAAAHWtqwQ=")</f>
        <v>#VALUE!</v>
      </c>
      <c r="F95" t="e">
        <f>AND(Sheet1!#REF!,"AAAAAHWtqwU=")</f>
        <v>#REF!</v>
      </c>
      <c r="G95" t="e">
        <f>AND(Sheet1!#REF!,"AAAAAHWtqwY=")</f>
        <v>#REF!</v>
      </c>
      <c r="H95" t="e">
        <f>AND(Sheet1!#REF!,"AAAAAHWtqwc=")</f>
        <v>#REF!</v>
      </c>
      <c r="I95" t="e">
        <f>AND(Sheet1!#REF!,"AAAAAHWtqwg=")</f>
        <v>#REF!</v>
      </c>
      <c r="J95" t="e">
        <f>IF(Sheet1!1268:1268,"AAAAAHWtqwk=",0)</f>
        <v>#VALUE!</v>
      </c>
      <c r="K95" t="e">
        <f>AND(Sheet1!A1268,"AAAAAHWtqwo=")</f>
        <v>#VALUE!</v>
      </c>
      <c r="L95" t="e">
        <f>AND(Sheet1!B1268,"AAAAAHWtqws=")</f>
        <v>#VALUE!</v>
      </c>
      <c r="M95" t="e">
        <f>AND(Sheet1!C1268,"AAAAAHWtqww=")</f>
        <v>#VALUE!</v>
      </c>
      <c r="N95" t="e">
        <f>AND(Sheet1!D1268,"AAAAAHWtqw0=")</f>
        <v>#VALUE!</v>
      </c>
      <c r="O95" t="e">
        <f>AND(Sheet1!E1268,"AAAAAHWtqw4=")</f>
        <v>#VALUE!</v>
      </c>
      <c r="P95" t="e">
        <f>AND(Sheet1!F1268,"AAAAAHWtqw8=")</f>
        <v>#VALUE!</v>
      </c>
      <c r="Q95" t="e">
        <f>AND(Sheet1!G1268,"AAAAAHWtqxA=")</f>
        <v>#VALUE!</v>
      </c>
      <c r="R95" t="e">
        <f>AND(Sheet1!H1268,"AAAAAHWtqxE=")</f>
        <v>#VALUE!</v>
      </c>
      <c r="S95" t="e">
        <f>AND(Sheet1!I1268,"AAAAAHWtqxI=")</f>
        <v>#VALUE!</v>
      </c>
      <c r="T95" t="e">
        <f>AND(Sheet1!J1268,"AAAAAHWtqxM=")</f>
        <v>#VALUE!</v>
      </c>
      <c r="U95" t="e">
        <f>AND(Sheet1!K1268,"AAAAAHWtqxQ=")</f>
        <v>#VALUE!</v>
      </c>
      <c r="V95" t="e">
        <f>AND(Sheet1!L1268,"AAAAAHWtqxU=")</f>
        <v>#VALUE!</v>
      </c>
      <c r="W95" t="e">
        <f>AND(Sheet1!M1268,"AAAAAHWtqxY=")</f>
        <v>#VALUE!</v>
      </c>
      <c r="X95" t="e">
        <f>AND(Sheet1!N1268,"AAAAAHWtqxc=")</f>
        <v>#VALUE!</v>
      </c>
      <c r="Y95" t="e">
        <f>AND(Sheet1!#REF!,"AAAAAHWtqxg=")</f>
        <v>#REF!</v>
      </c>
      <c r="Z95" t="e">
        <f>AND(Sheet1!#REF!,"AAAAAHWtqxk=")</f>
        <v>#REF!</v>
      </c>
      <c r="AA95" t="e">
        <f>AND(Sheet1!#REF!,"AAAAAHWtqxo=")</f>
        <v>#REF!</v>
      </c>
      <c r="AB95" t="e">
        <f>AND(Sheet1!#REF!,"AAAAAHWtqxs=")</f>
        <v>#REF!</v>
      </c>
      <c r="AC95">
        <f>IF(Sheet1!1269:1269,"AAAAAHWtqxw=",0)</f>
        <v>0</v>
      </c>
      <c r="AD95" t="e">
        <f>AND(Sheet1!A1269,"AAAAAHWtqx0=")</f>
        <v>#VALUE!</v>
      </c>
      <c r="AE95" t="e">
        <f>AND(Sheet1!B1269,"AAAAAHWtqx4=")</f>
        <v>#VALUE!</v>
      </c>
      <c r="AF95" t="e">
        <f>AND(Sheet1!C1269,"AAAAAHWtqx8=")</f>
        <v>#VALUE!</v>
      </c>
      <c r="AG95" t="e">
        <f>AND(Sheet1!D1269,"AAAAAHWtqyA=")</f>
        <v>#VALUE!</v>
      </c>
      <c r="AH95" t="e">
        <f>AND(Sheet1!E1269,"AAAAAHWtqyE=")</f>
        <v>#VALUE!</v>
      </c>
      <c r="AI95" t="e">
        <f>AND(Sheet1!F1269,"AAAAAHWtqyI=")</f>
        <v>#VALUE!</v>
      </c>
      <c r="AJ95" t="e">
        <f>AND(Sheet1!G1269,"AAAAAHWtqyM=")</f>
        <v>#VALUE!</v>
      </c>
      <c r="AK95" t="e">
        <f>AND(Sheet1!H1269,"AAAAAHWtqyQ=")</f>
        <v>#VALUE!</v>
      </c>
      <c r="AL95" t="e">
        <f>AND(Sheet1!I1269,"AAAAAHWtqyU=")</f>
        <v>#VALUE!</v>
      </c>
      <c r="AM95" t="e">
        <f>AND(Sheet1!J1269,"AAAAAHWtqyY=")</f>
        <v>#VALUE!</v>
      </c>
      <c r="AN95" t="e">
        <f>AND(Sheet1!K1269,"AAAAAHWtqyc=")</f>
        <v>#VALUE!</v>
      </c>
      <c r="AO95" t="e">
        <f>AND(Sheet1!L1269,"AAAAAHWtqyg=")</f>
        <v>#VALUE!</v>
      </c>
      <c r="AP95" t="e">
        <f>AND(Sheet1!M1269,"AAAAAHWtqyk=")</f>
        <v>#VALUE!</v>
      </c>
      <c r="AQ95" t="e">
        <f>AND(Sheet1!N1269,"AAAAAHWtqyo=")</f>
        <v>#VALUE!</v>
      </c>
      <c r="AR95" t="e">
        <f>AND(Sheet1!#REF!,"AAAAAHWtqys=")</f>
        <v>#REF!</v>
      </c>
      <c r="AS95" t="e">
        <f>AND(Sheet1!#REF!,"AAAAAHWtqyw=")</f>
        <v>#REF!</v>
      </c>
      <c r="AT95" t="e">
        <f>AND(Sheet1!#REF!,"AAAAAHWtqy0=")</f>
        <v>#REF!</v>
      </c>
      <c r="AU95" t="e">
        <f>AND(Sheet1!#REF!,"AAAAAHWtqy4=")</f>
        <v>#REF!</v>
      </c>
      <c r="AV95">
        <f>IF(Sheet1!1270:1270,"AAAAAHWtqy8=",0)</f>
        <v>0</v>
      </c>
      <c r="AW95" t="e">
        <f>AND(Sheet1!A1270,"AAAAAHWtqzA=")</f>
        <v>#VALUE!</v>
      </c>
      <c r="AX95" t="e">
        <f>AND(Sheet1!B1270,"AAAAAHWtqzE=")</f>
        <v>#VALUE!</v>
      </c>
      <c r="AY95" t="e">
        <f>AND(Sheet1!C1270,"AAAAAHWtqzI=")</f>
        <v>#VALUE!</v>
      </c>
      <c r="AZ95" t="e">
        <f>AND(Sheet1!D1270,"AAAAAHWtqzM=")</f>
        <v>#VALUE!</v>
      </c>
      <c r="BA95" t="e">
        <f>AND(Sheet1!E1270,"AAAAAHWtqzQ=")</f>
        <v>#VALUE!</v>
      </c>
      <c r="BB95" t="e">
        <f>AND(Sheet1!F1270,"AAAAAHWtqzU=")</f>
        <v>#VALUE!</v>
      </c>
      <c r="BC95" t="e">
        <f>AND(Sheet1!G1270,"AAAAAHWtqzY=")</f>
        <v>#VALUE!</v>
      </c>
      <c r="BD95" t="e">
        <f>AND(Sheet1!H1270,"AAAAAHWtqzc=")</f>
        <v>#VALUE!</v>
      </c>
      <c r="BE95" t="e">
        <f>AND(Sheet1!I1270,"AAAAAHWtqzg=")</f>
        <v>#VALUE!</v>
      </c>
      <c r="BF95" t="e">
        <f>AND(Sheet1!J1270,"AAAAAHWtqzk=")</f>
        <v>#VALUE!</v>
      </c>
      <c r="BG95" t="e">
        <f>AND(Sheet1!K1270,"AAAAAHWtqzo=")</f>
        <v>#VALUE!</v>
      </c>
      <c r="BH95" t="e">
        <f>AND(Sheet1!L1270,"AAAAAHWtqzs=")</f>
        <v>#VALUE!</v>
      </c>
      <c r="BI95" t="e">
        <f>AND(Sheet1!M1270,"AAAAAHWtqzw=")</f>
        <v>#VALUE!</v>
      </c>
      <c r="BJ95" t="e">
        <f>AND(Sheet1!N1270,"AAAAAHWtqz0=")</f>
        <v>#VALUE!</v>
      </c>
      <c r="BK95" t="e">
        <f>AND(Sheet1!#REF!,"AAAAAHWtqz4=")</f>
        <v>#REF!</v>
      </c>
      <c r="BL95" t="e">
        <f>AND(Sheet1!#REF!,"AAAAAHWtqz8=")</f>
        <v>#REF!</v>
      </c>
      <c r="BM95" t="e">
        <f>AND(Sheet1!#REF!,"AAAAAHWtq0A=")</f>
        <v>#REF!</v>
      </c>
      <c r="BN95" t="e">
        <f>AND(Sheet1!#REF!,"AAAAAHWtq0E=")</f>
        <v>#REF!</v>
      </c>
      <c r="BO95">
        <f>IF(Sheet1!1271:1271,"AAAAAHWtq0I=",0)</f>
        <v>0</v>
      </c>
      <c r="BP95" t="e">
        <f>AND(Sheet1!A1271,"AAAAAHWtq0M=")</f>
        <v>#VALUE!</v>
      </c>
      <c r="BQ95" t="e">
        <f>AND(Sheet1!B1271,"AAAAAHWtq0Q=")</f>
        <v>#VALUE!</v>
      </c>
      <c r="BR95" t="e">
        <f>AND(Sheet1!C1271,"AAAAAHWtq0U=")</f>
        <v>#VALUE!</v>
      </c>
      <c r="BS95" t="e">
        <f>AND(Sheet1!D1271,"AAAAAHWtq0Y=")</f>
        <v>#VALUE!</v>
      </c>
      <c r="BT95" t="e">
        <f>AND(Sheet1!E1271,"AAAAAHWtq0c=")</f>
        <v>#VALUE!</v>
      </c>
      <c r="BU95" t="e">
        <f>AND(Sheet1!F1271,"AAAAAHWtq0g=")</f>
        <v>#VALUE!</v>
      </c>
      <c r="BV95" t="e">
        <f>AND(Sheet1!G1271,"AAAAAHWtq0k=")</f>
        <v>#VALUE!</v>
      </c>
      <c r="BW95" t="e">
        <f>AND(Sheet1!H1271,"AAAAAHWtq0o=")</f>
        <v>#VALUE!</v>
      </c>
      <c r="BX95" t="e">
        <f>AND(Sheet1!I1271,"AAAAAHWtq0s=")</f>
        <v>#VALUE!</v>
      </c>
      <c r="BY95" t="e">
        <f>AND(Sheet1!J1271,"AAAAAHWtq0w=")</f>
        <v>#VALUE!</v>
      </c>
      <c r="BZ95" t="e">
        <f>AND(Sheet1!K1271,"AAAAAHWtq00=")</f>
        <v>#VALUE!</v>
      </c>
      <c r="CA95" t="e">
        <f>AND(Sheet1!L1271,"AAAAAHWtq04=")</f>
        <v>#VALUE!</v>
      </c>
      <c r="CB95" t="e">
        <f>AND(Sheet1!M1271,"AAAAAHWtq08=")</f>
        <v>#VALUE!</v>
      </c>
      <c r="CC95" t="e">
        <f>AND(Sheet1!N1271,"AAAAAHWtq1A=")</f>
        <v>#VALUE!</v>
      </c>
      <c r="CD95" t="e">
        <f>AND(Sheet1!#REF!,"AAAAAHWtq1E=")</f>
        <v>#REF!</v>
      </c>
      <c r="CE95" t="e">
        <f>AND(Sheet1!#REF!,"AAAAAHWtq1I=")</f>
        <v>#REF!</v>
      </c>
      <c r="CF95" t="e">
        <f>AND(Sheet1!#REF!,"AAAAAHWtq1M=")</f>
        <v>#REF!</v>
      </c>
      <c r="CG95" t="e">
        <f>AND(Sheet1!#REF!,"AAAAAHWtq1Q=")</f>
        <v>#REF!</v>
      </c>
      <c r="CH95">
        <f>IF(Sheet1!1272:1272,"AAAAAHWtq1U=",0)</f>
        <v>0</v>
      </c>
      <c r="CI95" t="e">
        <f>AND(Sheet1!A1272,"AAAAAHWtq1Y=")</f>
        <v>#VALUE!</v>
      </c>
      <c r="CJ95" t="e">
        <f>AND(Sheet1!B1272,"AAAAAHWtq1c=")</f>
        <v>#VALUE!</v>
      </c>
      <c r="CK95" t="e">
        <f>AND(Sheet1!C1272,"AAAAAHWtq1g=")</f>
        <v>#VALUE!</v>
      </c>
      <c r="CL95" t="e">
        <f>AND(Sheet1!D1272,"AAAAAHWtq1k=")</f>
        <v>#VALUE!</v>
      </c>
      <c r="CM95" t="e">
        <f>AND(Sheet1!E1272,"AAAAAHWtq1o=")</f>
        <v>#VALUE!</v>
      </c>
      <c r="CN95" t="e">
        <f>AND(Sheet1!F1272,"AAAAAHWtq1s=")</f>
        <v>#VALUE!</v>
      </c>
      <c r="CO95" t="e">
        <f>AND(Sheet1!G1272,"AAAAAHWtq1w=")</f>
        <v>#VALUE!</v>
      </c>
      <c r="CP95" t="e">
        <f>AND(Sheet1!H1272,"AAAAAHWtq10=")</f>
        <v>#VALUE!</v>
      </c>
      <c r="CQ95" t="e">
        <f>AND(Sheet1!I1272,"AAAAAHWtq14=")</f>
        <v>#VALUE!</v>
      </c>
      <c r="CR95" t="e">
        <f>AND(Sheet1!J1272,"AAAAAHWtq18=")</f>
        <v>#VALUE!</v>
      </c>
      <c r="CS95" t="e">
        <f>AND(Sheet1!K1272,"AAAAAHWtq2A=")</f>
        <v>#VALUE!</v>
      </c>
      <c r="CT95" t="e">
        <f>AND(Sheet1!L1272,"AAAAAHWtq2E=")</f>
        <v>#VALUE!</v>
      </c>
      <c r="CU95" t="e">
        <f>AND(Sheet1!M1272,"AAAAAHWtq2I=")</f>
        <v>#VALUE!</v>
      </c>
      <c r="CV95" t="e">
        <f>AND(Sheet1!N1272,"AAAAAHWtq2M=")</f>
        <v>#VALUE!</v>
      </c>
      <c r="CW95" t="e">
        <f>AND(Sheet1!#REF!,"AAAAAHWtq2Q=")</f>
        <v>#REF!</v>
      </c>
      <c r="CX95" t="e">
        <f>AND(Sheet1!#REF!,"AAAAAHWtq2U=")</f>
        <v>#REF!</v>
      </c>
      <c r="CY95" t="e">
        <f>AND(Sheet1!#REF!,"AAAAAHWtq2Y=")</f>
        <v>#REF!</v>
      </c>
      <c r="CZ95" t="e">
        <f>AND(Sheet1!#REF!,"AAAAAHWtq2c=")</f>
        <v>#REF!</v>
      </c>
      <c r="DA95">
        <f>IF(Sheet1!1273:1273,"AAAAAHWtq2g=",0)</f>
        <v>0</v>
      </c>
      <c r="DB95" t="e">
        <f>AND(Sheet1!A1273,"AAAAAHWtq2k=")</f>
        <v>#VALUE!</v>
      </c>
      <c r="DC95" t="e">
        <f>AND(Sheet1!B1273,"AAAAAHWtq2o=")</f>
        <v>#VALUE!</v>
      </c>
      <c r="DD95" t="e">
        <f>AND(Sheet1!C1273,"AAAAAHWtq2s=")</f>
        <v>#VALUE!</v>
      </c>
      <c r="DE95" t="e">
        <f>AND(Sheet1!D1273,"AAAAAHWtq2w=")</f>
        <v>#VALUE!</v>
      </c>
      <c r="DF95" t="e">
        <f>AND(Sheet1!E1273,"AAAAAHWtq20=")</f>
        <v>#VALUE!</v>
      </c>
      <c r="DG95" t="e">
        <f>AND(Sheet1!F1273,"AAAAAHWtq24=")</f>
        <v>#VALUE!</v>
      </c>
      <c r="DH95" t="e">
        <f>AND(Sheet1!G1273,"AAAAAHWtq28=")</f>
        <v>#VALUE!</v>
      </c>
      <c r="DI95" t="e">
        <f>AND(Sheet1!H1273,"AAAAAHWtq3A=")</f>
        <v>#VALUE!</v>
      </c>
      <c r="DJ95" t="e">
        <f>AND(Sheet1!I1273,"AAAAAHWtq3E=")</f>
        <v>#VALUE!</v>
      </c>
      <c r="DK95" t="e">
        <f>AND(Sheet1!J1273,"AAAAAHWtq3I=")</f>
        <v>#VALUE!</v>
      </c>
      <c r="DL95" t="e">
        <f>AND(Sheet1!K1273,"AAAAAHWtq3M=")</f>
        <v>#VALUE!</v>
      </c>
      <c r="DM95" t="e">
        <f>AND(Sheet1!L1273,"AAAAAHWtq3Q=")</f>
        <v>#VALUE!</v>
      </c>
      <c r="DN95" t="e">
        <f>AND(Sheet1!M1273,"AAAAAHWtq3U=")</f>
        <v>#VALUE!</v>
      </c>
      <c r="DO95" t="e">
        <f>AND(Sheet1!N1273,"AAAAAHWtq3Y=")</f>
        <v>#VALUE!</v>
      </c>
      <c r="DP95" t="e">
        <f>AND(Sheet1!#REF!,"AAAAAHWtq3c=")</f>
        <v>#REF!</v>
      </c>
      <c r="DQ95" t="e">
        <f>AND(Sheet1!#REF!,"AAAAAHWtq3g=")</f>
        <v>#REF!</v>
      </c>
      <c r="DR95" t="e">
        <f>AND(Sheet1!#REF!,"AAAAAHWtq3k=")</f>
        <v>#REF!</v>
      </c>
      <c r="DS95" t="e">
        <f>AND(Sheet1!#REF!,"AAAAAHWtq3o=")</f>
        <v>#REF!</v>
      </c>
      <c r="DT95">
        <f>IF(Sheet1!1274:1274,"AAAAAHWtq3s=",0)</f>
        <v>0</v>
      </c>
      <c r="DU95" t="e">
        <f>AND(Sheet1!A1274,"AAAAAHWtq3w=")</f>
        <v>#VALUE!</v>
      </c>
      <c r="DV95" t="e">
        <f>AND(Sheet1!B1274,"AAAAAHWtq30=")</f>
        <v>#VALUE!</v>
      </c>
      <c r="DW95" t="e">
        <f>AND(Sheet1!C1274,"AAAAAHWtq34=")</f>
        <v>#VALUE!</v>
      </c>
      <c r="DX95" t="e">
        <f>AND(Sheet1!D1274,"AAAAAHWtq38=")</f>
        <v>#VALUE!</v>
      </c>
      <c r="DY95" t="e">
        <f>AND(Sheet1!E1274,"AAAAAHWtq4A=")</f>
        <v>#VALUE!</v>
      </c>
      <c r="DZ95" t="e">
        <f>AND(Sheet1!F1274,"AAAAAHWtq4E=")</f>
        <v>#VALUE!</v>
      </c>
      <c r="EA95" t="e">
        <f>AND(Sheet1!G1274,"AAAAAHWtq4I=")</f>
        <v>#VALUE!</v>
      </c>
      <c r="EB95" t="e">
        <f>AND(Sheet1!H1274,"AAAAAHWtq4M=")</f>
        <v>#VALUE!</v>
      </c>
      <c r="EC95" t="e">
        <f>AND(Sheet1!I1274,"AAAAAHWtq4Q=")</f>
        <v>#VALUE!</v>
      </c>
      <c r="ED95" t="e">
        <f>AND(Sheet1!J1274,"AAAAAHWtq4U=")</f>
        <v>#VALUE!</v>
      </c>
      <c r="EE95" t="e">
        <f>AND(Sheet1!K1274,"AAAAAHWtq4Y=")</f>
        <v>#VALUE!</v>
      </c>
      <c r="EF95" t="e">
        <f>AND(Sheet1!L1274,"AAAAAHWtq4c=")</f>
        <v>#VALUE!</v>
      </c>
      <c r="EG95" t="e">
        <f>AND(Sheet1!M1274,"AAAAAHWtq4g=")</f>
        <v>#VALUE!</v>
      </c>
      <c r="EH95" t="e">
        <f>AND(Sheet1!N1274,"AAAAAHWtq4k=")</f>
        <v>#VALUE!</v>
      </c>
      <c r="EI95" t="e">
        <f>AND(Sheet1!#REF!,"AAAAAHWtq4o=")</f>
        <v>#REF!</v>
      </c>
      <c r="EJ95" t="e">
        <f>AND(Sheet1!#REF!,"AAAAAHWtq4s=")</f>
        <v>#REF!</v>
      </c>
      <c r="EK95" t="e">
        <f>AND(Sheet1!#REF!,"AAAAAHWtq4w=")</f>
        <v>#REF!</v>
      </c>
      <c r="EL95" t="e">
        <f>AND(Sheet1!#REF!,"AAAAAHWtq40=")</f>
        <v>#REF!</v>
      </c>
      <c r="EM95">
        <f>IF(Sheet1!1275:1275,"AAAAAHWtq44=",0)</f>
        <v>0</v>
      </c>
      <c r="EN95" t="e">
        <f>AND(Sheet1!A1275,"AAAAAHWtq48=")</f>
        <v>#VALUE!</v>
      </c>
      <c r="EO95" t="e">
        <f>AND(Sheet1!B1275,"AAAAAHWtq5A=")</f>
        <v>#VALUE!</v>
      </c>
      <c r="EP95" t="e">
        <f>AND(Sheet1!C1275,"AAAAAHWtq5E=")</f>
        <v>#VALUE!</v>
      </c>
      <c r="EQ95" t="e">
        <f>AND(Sheet1!D1275,"AAAAAHWtq5I=")</f>
        <v>#VALUE!</v>
      </c>
      <c r="ER95" t="e">
        <f>AND(Sheet1!E1275,"AAAAAHWtq5M=")</f>
        <v>#VALUE!</v>
      </c>
      <c r="ES95" t="e">
        <f>AND(Sheet1!F1275,"AAAAAHWtq5Q=")</f>
        <v>#VALUE!</v>
      </c>
      <c r="ET95" t="e">
        <f>AND(Sheet1!G1275,"AAAAAHWtq5U=")</f>
        <v>#VALUE!</v>
      </c>
      <c r="EU95" t="e">
        <f>AND(Sheet1!H1275,"AAAAAHWtq5Y=")</f>
        <v>#VALUE!</v>
      </c>
      <c r="EV95" t="e">
        <f>AND(Sheet1!I1275,"AAAAAHWtq5c=")</f>
        <v>#VALUE!</v>
      </c>
      <c r="EW95" t="e">
        <f>AND(Sheet1!J1275,"AAAAAHWtq5g=")</f>
        <v>#VALUE!</v>
      </c>
      <c r="EX95" t="e">
        <f>AND(Sheet1!K1275,"AAAAAHWtq5k=")</f>
        <v>#VALUE!</v>
      </c>
      <c r="EY95" t="e">
        <f>AND(Sheet1!L1275,"AAAAAHWtq5o=")</f>
        <v>#VALUE!</v>
      </c>
      <c r="EZ95" t="e">
        <f>AND(Sheet1!M1275,"AAAAAHWtq5s=")</f>
        <v>#VALUE!</v>
      </c>
      <c r="FA95" t="e">
        <f>AND(Sheet1!N1275,"AAAAAHWtq5w=")</f>
        <v>#VALUE!</v>
      </c>
      <c r="FB95" t="e">
        <f>AND(Sheet1!#REF!,"AAAAAHWtq50=")</f>
        <v>#REF!</v>
      </c>
      <c r="FC95" t="e">
        <f>AND(Sheet1!#REF!,"AAAAAHWtq54=")</f>
        <v>#REF!</v>
      </c>
      <c r="FD95" t="e">
        <f>AND(Sheet1!#REF!,"AAAAAHWtq58=")</f>
        <v>#REF!</v>
      </c>
      <c r="FE95" t="e">
        <f>AND(Sheet1!#REF!,"AAAAAHWtq6A=")</f>
        <v>#REF!</v>
      </c>
      <c r="FF95">
        <f>IF(Sheet1!1276:1276,"AAAAAHWtq6E=",0)</f>
        <v>0</v>
      </c>
      <c r="FG95" t="e">
        <f>AND(Sheet1!A1276,"AAAAAHWtq6I=")</f>
        <v>#VALUE!</v>
      </c>
      <c r="FH95" t="e">
        <f>AND(Sheet1!B1276,"AAAAAHWtq6M=")</f>
        <v>#VALUE!</v>
      </c>
      <c r="FI95" t="e">
        <f>AND(Sheet1!C1276,"AAAAAHWtq6Q=")</f>
        <v>#VALUE!</v>
      </c>
      <c r="FJ95" t="e">
        <f>AND(Sheet1!D1276,"AAAAAHWtq6U=")</f>
        <v>#VALUE!</v>
      </c>
      <c r="FK95" t="e">
        <f>AND(Sheet1!E1276,"AAAAAHWtq6Y=")</f>
        <v>#VALUE!</v>
      </c>
      <c r="FL95" t="e">
        <f>AND(Sheet1!F1276,"AAAAAHWtq6c=")</f>
        <v>#VALUE!</v>
      </c>
      <c r="FM95" t="e">
        <f>AND(Sheet1!G1276,"AAAAAHWtq6g=")</f>
        <v>#VALUE!</v>
      </c>
      <c r="FN95" t="e">
        <f>AND(Sheet1!H1276,"AAAAAHWtq6k=")</f>
        <v>#VALUE!</v>
      </c>
      <c r="FO95" t="e">
        <f>AND(Sheet1!I1276,"AAAAAHWtq6o=")</f>
        <v>#VALUE!</v>
      </c>
      <c r="FP95" t="e">
        <f>AND(Sheet1!J1276,"AAAAAHWtq6s=")</f>
        <v>#VALUE!</v>
      </c>
      <c r="FQ95" t="e">
        <f>AND(Sheet1!K1276,"AAAAAHWtq6w=")</f>
        <v>#VALUE!</v>
      </c>
      <c r="FR95" t="e">
        <f>AND(Sheet1!L1276,"AAAAAHWtq60=")</f>
        <v>#VALUE!</v>
      </c>
      <c r="FS95" t="e">
        <f>AND(Sheet1!M1276,"AAAAAHWtq64=")</f>
        <v>#VALUE!</v>
      </c>
      <c r="FT95" t="e">
        <f>AND(Sheet1!N1276,"AAAAAHWtq68=")</f>
        <v>#VALUE!</v>
      </c>
      <c r="FU95" t="e">
        <f>AND(Sheet1!#REF!,"AAAAAHWtq7A=")</f>
        <v>#REF!</v>
      </c>
      <c r="FV95" t="e">
        <f>AND(Sheet1!#REF!,"AAAAAHWtq7E=")</f>
        <v>#REF!</v>
      </c>
      <c r="FW95" t="e">
        <f>AND(Sheet1!#REF!,"AAAAAHWtq7I=")</f>
        <v>#REF!</v>
      </c>
      <c r="FX95" t="e">
        <f>AND(Sheet1!#REF!,"AAAAAHWtq7M=")</f>
        <v>#REF!</v>
      </c>
      <c r="FY95">
        <f>IF(Sheet1!1277:1277,"AAAAAHWtq7Q=",0)</f>
        <v>0</v>
      </c>
      <c r="FZ95" t="e">
        <f>AND(Sheet1!A1277,"AAAAAHWtq7U=")</f>
        <v>#VALUE!</v>
      </c>
      <c r="GA95" t="e">
        <f>AND(Sheet1!B1277,"AAAAAHWtq7Y=")</f>
        <v>#VALUE!</v>
      </c>
      <c r="GB95" t="e">
        <f>AND(Sheet1!C1277,"AAAAAHWtq7c=")</f>
        <v>#VALUE!</v>
      </c>
      <c r="GC95" t="e">
        <f>AND(Sheet1!D1277,"AAAAAHWtq7g=")</f>
        <v>#VALUE!</v>
      </c>
      <c r="GD95" t="e">
        <f>AND(Sheet1!E1277,"AAAAAHWtq7k=")</f>
        <v>#VALUE!</v>
      </c>
      <c r="GE95" t="e">
        <f>AND(Sheet1!F1277,"AAAAAHWtq7o=")</f>
        <v>#VALUE!</v>
      </c>
      <c r="GF95" t="e">
        <f>AND(Sheet1!G1277,"AAAAAHWtq7s=")</f>
        <v>#VALUE!</v>
      </c>
      <c r="GG95" t="e">
        <f>AND(Sheet1!H1277,"AAAAAHWtq7w=")</f>
        <v>#VALUE!</v>
      </c>
      <c r="GH95" t="e">
        <f>AND(Sheet1!I1277,"AAAAAHWtq70=")</f>
        <v>#VALUE!</v>
      </c>
      <c r="GI95" t="e">
        <f>AND(Sheet1!J1277,"AAAAAHWtq74=")</f>
        <v>#VALUE!</v>
      </c>
      <c r="GJ95" t="e">
        <f>AND(Sheet1!K1277,"AAAAAHWtq78=")</f>
        <v>#VALUE!</v>
      </c>
      <c r="GK95" t="e">
        <f>AND(Sheet1!L1277,"AAAAAHWtq8A=")</f>
        <v>#VALUE!</v>
      </c>
      <c r="GL95" t="e">
        <f>AND(Sheet1!M1277,"AAAAAHWtq8E=")</f>
        <v>#VALUE!</v>
      </c>
      <c r="GM95" t="e">
        <f>AND(Sheet1!N1277,"AAAAAHWtq8I=")</f>
        <v>#VALUE!</v>
      </c>
      <c r="GN95" t="e">
        <f>AND(Sheet1!#REF!,"AAAAAHWtq8M=")</f>
        <v>#REF!</v>
      </c>
      <c r="GO95" t="e">
        <f>AND(Sheet1!#REF!,"AAAAAHWtq8Q=")</f>
        <v>#REF!</v>
      </c>
      <c r="GP95" t="e">
        <f>AND(Sheet1!#REF!,"AAAAAHWtq8U=")</f>
        <v>#REF!</v>
      </c>
      <c r="GQ95" t="e">
        <f>AND(Sheet1!#REF!,"AAAAAHWtq8Y=")</f>
        <v>#REF!</v>
      </c>
      <c r="GR95">
        <f>IF(Sheet1!1278:1278,"AAAAAHWtq8c=",0)</f>
        <v>0</v>
      </c>
      <c r="GS95" t="e">
        <f>AND(Sheet1!A1278,"AAAAAHWtq8g=")</f>
        <v>#VALUE!</v>
      </c>
      <c r="GT95" t="e">
        <f>AND(Sheet1!B1278,"AAAAAHWtq8k=")</f>
        <v>#VALUE!</v>
      </c>
      <c r="GU95" t="e">
        <f>AND(Sheet1!C1278,"AAAAAHWtq8o=")</f>
        <v>#VALUE!</v>
      </c>
      <c r="GV95" t="e">
        <f>AND(Sheet1!D1278,"AAAAAHWtq8s=")</f>
        <v>#VALUE!</v>
      </c>
      <c r="GW95" t="e">
        <f>AND(Sheet1!E1278,"AAAAAHWtq8w=")</f>
        <v>#VALUE!</v>
      </c>
      <c r="GX95" t="e">
        <f>AND(Sheet1!F1278,"AAAAAHWtq80=")</f>
        <v>#VALUE!</v>
      </c>
      <c r="GY95" t="e">
        <f>AND(Sheet1!G1278,"AAAAAHWtq84=")</f>
        <v>#VALUE!</v>
      </c>
      <c r="GZ95" t="e">
        <f>AND(Sheet1!H1278,"AAAAAHWtq88=")</f>
        <v>#VALUE!</v>
      </c>
      <c r="HA95" t="e">
        <f>AND(Sheet1!I1278,"AAAAAHWtq9A=")</f>
        <v>#VALUE!</v>
      </c>
      <c r="HB95" t="e">
        <f>AND(Sheet1!J1278,"AAAAAHWtq9E=")</f>
        <v>#VALUE!</v>
      </c>
      <c r="HC95" t="e">
        <f>AND(Sheet1!K1278,"AAAAAHWtq9I=")</f>
        <v>#VALUE!</v>
      </c>
      <c r="HD95" t="e">
        <f>AND(Sheet1!L1278,"AAAAAHWtq9M=")</f>
        <v>#VALUE!</v>
      </c>
      <c r="HE95" t="e">
        <f>AND(Sheet1!M1278,"AAAAAHWtq9Q=")</f>
        <v>#VALUE!</v>
      </c>
      <c r="HF95" t="e">
        <f>AND(Sheet1!N1278,"AAAAAHWtq9U=")</f>
        <v>#VALUE!</v>
      </c>
      <c r="HG95" t="e">
        <f>AND(Sheet1!#REF!,"AAAAAHWtq9Y=")</f>
        <v>#REF!</v>
      </c>
      <c r="HH95" t="e">
        <f>AND(Sheet1!#REF!,"AAAAAHWtq9c=")</f>
        <v>#REF!</v>
      </c>
      <c r="HI95" t="e">
        <f>AND(Sheet1!#REF!,"AAAAAHWtq9g=")</f>
        <v>#REF!</v>
      </c>
      <c r="HJ95" t="e">
        <f>AND(Sheet1!#REF!,"AAAAAHWtq9k=")</f>
        <v>#REF!</v>
      </c>
      <c r="HK95">
        <f>IF(Sheet1!1279:1279,"AAAAAHWtq9o=",0)</f>
        <v>0</v>
      </c>
      <c r="HL95" t="e">
        <f>AND(Sheet1!A1279,"AAAAAHWtq9s=")</f>
        <v>#VALUE!</v>
      </c>
      <c r="HM95" t="e">
        <f>AND(Sheet1!B1279,"AAAAAHWtq9w=")</f>
        <v>#VALUE!</v>
      </c>
      <c r="HN95" t="e">
        <f>AND(Sheet1!C1279,"AAAAAHWtq90=")</f>
        <v>#VALUE!</v>
      </c>
      <c r="HO95" t="e">
        <f>AND(Sheet1!D1279,"AAAAAHWtq94=")</f>
        <v>#VALUE!</v>
      </c>
      <c r="HP95" t="e">
        <f>AND(Sheet1!E1279,"AAAAAHWtq98=")</f>
        <v>#VALUE!</v>
      </c>
      <c r="HQ95" t="e">
        <f>AND(Sheet1!F1279,"AAAAAHWtq+A=")</f>
        <v>#VALUE!</v>
      </c>
      <c r="HR95" t="e">
        <f>AND(Sheet1!G1279,"AAAAAHWtq+E=")</f>
        <v>#VALUE!</v>
      </c>
      <c r="HS95" t="e">
        <f>AND(Sheet1!H1279,"AAAAAHWtq+I=")</f>
        <v>#VALUE!</v>
      </c>
      <c r="HT95" t="e">
        <f>AND(Sheet1!I1279,"AAAAAHWtq+M=")</f>
        <v>#VALUE!</v>
      </c>
      <c r="HU95" t="e">
        <f>AND(Sheet1!J1279,"AAAAAHWtq+Q=")</f>
        <v>#VALUE!</v>
      </c>
      <c r="HV95" t="e">
        <f>AND(Sheet1!K1279,"AAAAAHWtq+U=")</f>
        <v>#VALUE!</v>
      </c>
      <c r="HW95" t="e">
        <f>AND(Sheet1!L1279,"AAAAAHWtq+Y=")</f>
        <v>#VALUE!</v>
      </c>
      <c r="HX95" t="e">
        <f>AND(Sheet1!M1279,"AAAAAHWtq+c=")</f>
        <v>#VALUE!</v>
      </c>
      <c r="HY95" t="e">
        <f>AND(Sheet1!N1279,"AAAAAHWtq+g=")</f>
        <v>#VALUE!</v>
      </c>
      <c r="HZ95" t="e">
        <f>AND(Sheet1!#REF!,"AAAAAHWtq+k=")</f>
        <v>#REF!</v>
      </c>
      <c r="IA95" t="e">
        <f>AND(Sheet1!#REF!,"AAAAAHWtq+o=")</f>
        <v>#REF!</v>
      </c>
      <c r="IB95" t="e">
        <f>AND(Sheet1!#REF!,"AAAAAHWtq+s=")</f>
        <v>#REF!</v>
      </c>
      <c r="IC95" t="e">
        <f>AND(Sheet1!#REF!,"AAAAAHWtq+w=")</f>
        <v>#REF!</v>
      </c>
      <c r="ID95">
        <f>IF(Sheet1!1280:1280,"AAAAAHWtq+0=",0)</f>
        <v>0</v>
      </c>
      <c r="IE95" t="e">
        <f>AND(Sheet1!A1280,"AAAAAHWtq+4=")</f>
        <v>#VALUE!</v>
      </c>
      <c r="IF95" t="e">
        <f>AND(Sheet1!B1280,"AAAAAHWtq+8=")</f>
        <v>#VALUE!</v>
      </c>
      <c r="IG95" t="e">
        <f>AND(Sheet1!C1280,"AAAAAHWtq/A=")</f>
        <v>#VALUE!</v>
      </c>
      <c r="IH95" t="e">
        <f>AND(Sheet1!D1280,"AAAAAHWtq/E=")</f>
        <v>#VALUE!</v>
      </c>
      <c r="II95" t="e">
        <f>AND(Sheet1!E1280,"AAAAAHWtq/I=")</f>
        <v>#VALUE!</v>
      </c>
      <c r="IJ95" t="e">
        <f>AND(Sheet1!F1280,"AAAAAHWtq/M=")</f>
        <v>#VALUE!</v>
      </c>
      <c r="IK95" t="e">
        <f>AND(Sheet1!G1280,"AAAAAHWtq/Q=")</f>
        <v>#VALUE!</v>
      </c>
      <c r="IL95" t="e">
        <f>AND(Sheet1!H1280,"AAAAAHWtq/U=")</f>
        <v>#VALUE!</v>
      </c>
      <c r="IM95" t="e">
        <f>AND(Sheet1!I1280,"AAAAAHWtq/Y=")</f>
        <v>#VALUE!</v>
      </c>
      <c r="IN95" t="e">
        <f>AND(Sheet1!J1280,"AAAAAHWtq/c=")</f>
        <v>#VALUE!</v>
      </c>
      <c r="IO95" t="e">
        <f>AND(Sheet1!K1280,"AAAAAHWtq/g=")</f>
        <v>#VALUE!</v>
      </c>
      <c r="IP95" t="e">
        <f>AND(Sheet1!L1280,"AAAAAHWtq/k=")</f>
        <v>#VALUE!</v>
      </c>
      <c r="IQ95" t="e">
        <f>AND(Sheet1!M1280,"AAAAAHWtq/o=")</f>
        <v>#VALUE!</v>
      </c>
      <c r="IR95" t="e">
        <f>AND(Sheet1!N1280,"AAAAAHWtq/s=")</f>
        <v>#VALUE!</v>
      </c>
      <c r="IS95" t="e">
        <f>AND(Sheet1!#REF!,"AAAAAHWtq/w=")</f>
        <v>#REF!</v>
      </c>
      <c r="IT95" t="e">
        <f>AND(Sheet1!#REF!,"AAAAAHWtq/0=")</f>
        <v>#REF!</v>
      </c>
      <c r="IU95" t="e">
        <f>AND(Sheet1!#REF!,"AAAAAHWtq/4=")</f>
        <v>#REF!</v>
      </c>
      <c r="IV95" t="e">
        <f>AND(Sheet1!#REF!,"AAAAAHWtq/8=")</f>
        <v>#REF!</v>
      </c>
    </row>
    <row r="96" spans="1:256" x14ac:dyDescent="0.2">
      <c r="A96" t="e">
        <f>IF(Sheet1!1281:1281,"AAAAAEv32wA=",0)</f>
        <v>#VALUE!</v>
      </c>
      <c r="B96" t="e">
        <f>AND(Sheet1!A1281,"AAAAAEv32wE=")</f>
        <v>#VALUE!</v>
      </c>
      <c r="C96" t="e">
        <f>AND(Sheet1!B1281,"AAAAAEv32wI=")</f>
        <v>#VALUE!</v>
      </c>
      <c r="D96" t="e">
        <f>AND(Sheet1!C1281,"AAAAAEv32wM=")</f>
        <v>#VALUE!</v>
      </c>
      <c r="E96" t="e">
        <f>AND(Sheet1!D1281,"AAAAAEv32wQ=")</f>
        <v>#VALUE!</v>
      </c>
      <c r="F96" t="e">
        <f>AND(Sheet1!E1281,"AAAAAEv32wU=")</f>
        <v>#VALUE!</v>
      </c>
      <c r="G96" t="e">
        <f>AND(Sheet1!F1281,"AAAAAEv32wY=")</f>
        <v>#VALUE!</v>
      </c>
      <c r="H96" t="e">
        <f>AND(Sheet1!G1281,"AAAAAEv32wc=")</f>
        <v>#VALUE!</v>
      </c>
      <c r="I96" t="e">
        <f>AND(Sheet1!H1281,"AAAAAEv32wg=")</f>
        <v>#VALUE!</v>
      </c>
      <c r="J96" t="e">
        <f>AND(Sheet1!I1281,"AAAAAEv32wk=")</f>
        <v>#VALUE!</v>
      </c>
      <c r="K96" t="e">
        <f>AND(Sheet1!J1281,"AAAAAEv32wo=")</f>
        <v>#VALUE!</v>
      </c>
      <c r="L96" t="e">
        <f>AND(Sheet1!K1281,"AAAAAEv32ws=")</f>
        <v>#VALUE!</v>
      </c>
      <c r="M96" t="e">
        <f>AND(Sheet1!L1281,"AAAAAEv32ww=")</f>
        <v>#VALUE!</v>
      </c>
      <c r="N96" t="e">
        <f>AND(Sheet1!M1281,"AAAAAEv32w0=")</f>
        <v>#VALUE!</v>
      </c>
      <c r="O96" t="e">
        <f>AND(Sheet1!N1281,"AAAAAEv32w4=")</f>
        <v>#VALUE!</v>
      </c>
      <c r="P96" t="e">
        <f>AND(Sheet1!#REF!,"AAAAAEv32w8=")</f>
        <v>#REF!</v>
      </c>
      <c r="Q96" t="e">
        <f>AND(Sheet1!#REF!,"AAAAAEv32xA=")</f>
        <v>#REF!</v>
      </c>
      <c r="R96" t="e">
        <f>AND(Sheet1!#REF!,"AAAAAEv32xE=")</f>
        <v>#REF!</v>
      </c>
      <c r="S96" t="e">
        <f>AND(Sheet1!#REF!,"AAAAAEv32xI=")</f>
        <v>#REF!</v>
      </c>
      <c r="T96">
        <f>IF(Sheet1!1282:1282,"AAAAAEv32xM=",0)</f>
        <v>0</v>
      </c>
      <c r="U96" t="e">
        <f>AND(Sheet1!A1282,"AAAAAEv32xQ=")</f>
        <v>#VALUE!</v>
      </c>
      <c r="V96" t="e">
        <f>AND(Sheet1!B1282,"AAAAAEv32xU=")</f>
        <v>#VALUE!</v>
      </c>
      <c r="W96" t="e">
        <f>AND(Sheet1!C1282,"AAAAAEv32xY=")</f>
        <v>#VALUE!</v>
      </c>
      <c r="X96" t="e">
        <f>AND(Sheet1!D1282,"AAAAAEv32xc=")</f>
        <v>#VALUE!</v>
      </c>
      <c r="Y96" t="e">
        <f>AND(Sheet1!E1282,"AAAAAEv32xg=")</f>
        <v>#VALUE!</v>
      </c>
      <c r="Z96" t="e">
        <f>AND(Sheet1!F1282,"AAAAAEv32xk=")</f>
        <v>#VALUE!</v>
      </c>
      <c r="AA96" t="e">
        <f>AND(Sheet1!G1282,"AAAAAEv32xo=")</f>
        <v>#VALUE!</v>
      </c>
      <c r="AB96" t="e">
        <f>AND(Sheet1!H1282,"AAAAAEv32xs=")</f>
        <v>#VALUE!</v>
      </c>
      <c r="AC96" t="e">
        <f>AND(Sheet1!I1282,"AAAAAEv32xw=")</f>
        <v>#VALUE!</v>
      </c>
      <c r="AD96" t="e">
        <f>AND(Sheet1!J1282,"AAAAAEv32x0=")</f>
        <v>#VALUE!</v>
      </c>
      <c r="AE96" t="e">
        <f>AND(Sheet1!K1282,"AAAAAEv32x4=")</f>
        <v>#VALUE!</v>
      </c>
      <c r="AF96" t="e">
        <f>AND(Sheet1!L1282,"AAAAAEv32x8=")</f>
        <v>#VALUE!</v>
      </c>
      <c r="AG96" t="e">
        <f>AND(Sheet1!M1282,"AAAAAEv32yA=")</f>
        <v>#VALUE!</v>
      </c>
      <c r="AH96" t="e">
        <f>AND(Sheet1!N1282,"AAAAAEv32yE=")</f>
        <v>#VALUE!</v>
      </c>
      <c r="AI96" t="e">
        <f>AND(Sheet1!#REF!,"AAAAAEv32yI=")</f>
        <v>#REF!</v>
      </c>
      <c r="AJ96" t="e">
        <f>AND(Sheet1!#REF!,"AAAAAEv32yM=")</f>
        <v>#REF!</v>
      </c>
      <c r="AK96" t="e">
        <f>AND(Sheet1!#REF!,"AAAAAEv32yQ=")</f>
        <v>#REF!</v>
      </c>
      <c r="AL96" t="e">
        <f>AND(Sheet1!#REF!,"AAAAAEv32yU=")</f>
        <v>#REF!</v>
      </c>
      <c r="AM96">
        <f>IF(Sheet1!1283:1283,"AAAAAEv32yY=",0)</f>
        <v>0</v>
      </c>
      <c r="AN96" t="e">
        <f>AND(Sheet1!A1283,"AAAAAEv32yc=")</f>
        <v>#VALUE!</v>
      </c>
      <c r="AO96" t="e">
        <f>AND(Sheet1!B1283,"AAAAAEv32yg=")</f>
        <v>#VALUE!</v>
      </c>
      <c r="AP96" t="e">
        <f>AND(Sheet1!C1283,"AAAAAEv32yk=")</f>
        <v>#VALUE!</v>
      </c>
      <c r="AQ96" t="e">
        <f>AND(Sheet1!D1283,"AAAAAEv32yo=")</f>
        <v>#VALUE!</v>
      </c>
      <c r="AR96" t="e">
        <f>AND(Sheet1!E1283,"AAAAAEv32ys=")</f>
        <v>#VALUE!</v>
      </c>
      <c r="AS96" t="e">
        <f>AND(Sheet1!F1283,"AAAAAEv32yw=")</f>
        <v>#VALUE!</v>
      </c>
      <c r="AT96" t="e">
        <f>AND(Sheet1!G1283,"AAAAAEv32y0=")</f>
        <v>#VALUE!</v>
      </c>
      <c r="AU96" t="e">
        <f>AND(Sheet1!H1283,"AAAAAEv32y4=")</f>
        <v>#VALUE!</v>
      </c>
      <c r="AV96" t="e">
        <f>AND(Sheet1!I1283,"AAAAAEv32y8=")</f>
        <v>#VALUE!</v>
      </c>
      <c r="AW96" t="e">
        <f>AND(Sheet1!J1283,"AAAAAEv32zA=")</f>
        <v>#VALUE!</v>
      </c>
      <c r="AX96" t="e">
        <f>AND(Sheet1!K1283,"AAAAAEv32zE=")</f>
        <v>#VALUE!</v>
      </c>
      <c r="AY96" t="e">
        <f>AND(Sheet1!L1283,"AAAAAEv32zI=")</f>
        <v>#VALUE!</v>
      </c>
      <c r="AZ96" t="e">
        <f>AND(Sheet1!M1283,"AAAAAEv32zM=")</f>
        <v>#VALUE!</v>
      </c>
      <c r="BA96" t="e">
        <f>AND(Sheet1!N1283,"AAAAAEv32zQ=")</f>
        <v>#VALUE!</v>
      </c>
      <c r="BB96" t="e">
        <f>AND(Sheet1!#REF!,"AAAAAEv32zU=")</f>
        <v>#REF!</v>
      </c>
      <c r="BC96" t="e">
        <f>AND(Sheet1!#REF!,"AAAAAEv32zY=")</f>
        <v>#REF!</v>
      </c>
      <c r="BD96" t="e">
        <f>AND(Sheet1!#REF!,"AAAAAEv32zc=")</f>
        <v>#REF!</v>
      </c>
      <c r="BE96" t="e">
        <f>AND(Sheet1!#REF!,"AAAAAEv32zg=")</f>
        <v>#REF!</v>
      </c>
      <c r="BF96">
        <f>IF(Sheet1!1284:1284,"AAAAAEv32zk=",0)</f>
        <v>0</v>
      </c>
      <c r="BG96" t="e">
        <f>AND(Sheet1!A1284,"AAAAAEv32zo=")</f>
        <v>#VALUE!</v>
      </c>
      <c r="BH96" t="e">
        <f>AND(Sheet1!B1284,"AAAAAEv32zs=")</f>
        <v>#VALUE!</v>
      </c>
      <c r="BI96" t="e">
        <f>AND(Sheet1!C1284,"AAAAAEv32zw=")</f>
        <v>#VALUE!</v>
      </c>
      <c r="BJ96" t="e">
        <f>AND(Sheet1!D1284,"AAAAAEv32z0=")</f>
        <v>#VALUE!</v>
      </c>
      <c r="BK96" t="e">
        <f>AND(Sheet1!E1284,"AAAAAEv32z4=")</f>
        <v>#VALUE!</v>
      </c>
      <c r="BL96" t="e">
        <f>AND(Sheet1!F1284,"AAAAAEv32z8=")</f>
        <v>#VALUE!</v>
      </c>
      <c r="BM96" t="e">
        <f>AND(Sheet1!G1284,"AAAAAEv320A=")</f>
        <v>#VALUE!</v>
      </c>
      <c r="BN96" t="e">
        <f>AND(Sheet1!H1284,"AAAAAEv320E=")</f>
        <v>#VALUE!</v>
      </c>
      <c r="BO96" t="e">
        <f>AND(Sheet1!I1284,"AAAAAEv320I=")</f>
        <v>#VALUE!</v>
      </c>
      <c r="BP96" t="e">
        <f>AND(Sheet1!J1284,"AAAAAEv320M=")</f>
        <v>#VALUE!</v>
      </c>
      <c r="BQ96" t="e">
        <f>AND(Sheet1!K1284,"AAAAAEv320Q=")</f>
        <v>#VALUE!</v>
      </c>
      <c r="BR96" t="e">
        <f>AND(Sheet1!L1284,"AAAAAEv320U=")</f>
        <v>#VALUE!</v>
      </c>
      <c r="BS96" t="e">
        <f>AND(Sheet1!M1284,"AAAAAEv320Y=")</f>
        <v>#VALUE!</v>
      </c>
      <c r="BT96" t="e">
        <f>AND(Sheet1!N1284,"AAAAAEv320c=")</f>
        <v>#VALUE!</v>
      </c>
      <c r="BU96" t="e">
        <f>AND(Sheet1!#REF!,"AAAAAEv320g=")</f>
        <v>#REF!</v>
      </c>
      <c r="BV96" t="e">
        <f>AND(Sheet1!#REF!,"AAAAAEv320k=")</f>
        <v>#REF!</v>
      </c>
      <c r="BW96" t="e">
        <f>AND(Sheet1!#REF!,"AAAAAEv320o=")</f>
        <v>#REF!</v>
      </c>
      <c r="BX96" t="e">
        <f>AND(Sheet1!#REF!,"AAAAAEv320s=")</f>
        <v>#REF!</v>
      </c>
      <c r="BY96">
        <f>IF(Sheet1!1285:1285,"AAAAAEv320w=",0)</f>
        <v>0</v>
      </c>
      <c r="BZ96" t="e">
        <f>AND(Sheet1!A1285,"AAAAAEv3200=")</f>
        <v>#VALUE!</v>
      </c>
      <c r="CA96" t="e">
        <f>AND(Sheet1!B1285,"AAAAAEv3204=")</f>
        <v>#VALUE!</v>
      </c>
      <c r="CB96" t="e">
        <f>AND(Sheet1!C1285,"AAAAAEv3208=")</f>
        <v>#VALUE!</v>
      </c>
      <c r="CC96" t="e">
        <f>AND(Sheet1!D1285,"AAAAAEv321A=")</f>
        <v>#VALUE!</v>
      </c>
      <c r="CD96" t="e">
        <f>AND(Sheet1!E1285,"AAAAAEv321E=")</f>
        <v>#VALUE!</v>
      </c>
      <c r="CE96" t="e">
        <f>AND(Sheet1!F1285,"AAAAAEv321I=")</f>
        <v>#VALUE!</v>
      </c>
      <c r="CF96" t="e">
        <f>AND(Sheet1!G1285,"AAAAAEv321M=")</f>
        <v>#VALUE!</v>
      </c>
      <c r="CG96" t="e">
        <f>AND(Sheet1!H1285,"AAAAAEv321Q=")</f>
        <v>#VALUE!</v>
      </c>
      <c r="CH96" t="e">
        <f>AND(Sheet1!I1285,"AAAAAEv321U=")</f>
        <v>#VALUE!</v>
      </c>
      <c r="CI96" t="e">
        <f>AND(Sheet1!J1285,"AAAAAEv321Y=")</f>
        <v>#VALUE!</v>
      </c>
      <c r="CJ96" t="e">
        <f>AND(Sheet1!K1285,"AAAAAEv321c=")</f>
        <v>#VALUE!</v>
      </c>
      <c r="CK96" t="e">
        <f>AND(Sheet1!L1285,"AAAAAEv321g=")</f>
        <v>#VALUE!</v>
      </c>
      <c r="CL96" t="e">
        <f>AND(Sheet1!M1285,"AAAAAEv321k=")</f>
        <v>#VALUE!</v>
      </c>
      <c r="CM96" t="e">
        <f>AND(Sheet1!N1285,"AAAAAEv321o=")</f>
        <v>#VALUE!</v>
      </c>
      <c r="CN96" t="e">
        <f>AND(Sheet1!#REF!,"AAAAAEv321s=")</f>
        <v>#REF!</v>
      </c>
      <c r="CO96" t="e">
        <f>AND(Sheet1!#REF!,"AAAAAEv321w=")</f>
        <v>#REF!</v>
      </c>
      <c r="CP96" t="e">
        <f>AND(Sheet1!#REF!,"AAAAAEv3210=")</f>
        <v>#REF!</v>
      </c>
      <c r="CQ96" t="e">
        <f>AND(Sheet1!#REF!,"AAAAAEv3214=")</f>
        <v>#REF!</v>
      </c>
      <c r="CR96">
        <f>IF(Sheet1!1286:1286,"AAAAAEv3218=",0)</f>
        <v>0</v>
      </c>
      <c r="CS96" t="e">
        <f>AND(Sheet1!A1286,"AAAAAEv322A=")</f>
        <v>#VALUE!</v>
      </c>
      <c r="CT96" t="e">
        <f>AND(Sheet1!B1286,"AAAAAEv322E=")</f>
        <v>#VALUE!</v>
      </c>
      <c r="CU96" t="e">
        <f>AND(Sheet1!C1286,"AAAAAEv322I=")</f>
        <v>#VALUE!</v>
      </c>
      <c r="CV96" t="e">
        <f>AND(Sheet1!D1286,"AAAAAEv322M=")</f>
        <v>#VALUE!</v>
      </c>
      <c r="CW96" t="e">
        <f>AND(Sheet1!E1286,"AAAAAEv322Q=")</f>
        <v>#VALUE!</v>
      </c>
      <c r="CX96" t="e">
        <f>AND(Sheet1!F1286,"AAAAAEv322U=")</f>
        <v>#VALUE!</v>
      </c>
      <c r="CY96" t="e">
        <f>AND(Sheet1!G1286,"AAAAAEv322Y=")</f>
        <v>#VALUE!</v>
      </c>
      <c r="CZ96" t="e">
        <f>AND(Sheet1!H1286,"AAAAAEv322c=")</f>
        <v>#VALUE!</v>
      </c>
      <c r="DA96" t="e">
        <f>AND(Sheet1!I1286,"AAAAAEv322g=")</f>
        <v>#VALUE!</v>
      </c>
      <c r="DB96" t="e">
        <f>AND(Sheet1!J1286,"AAAAAEv322k=")</f>
        <v>#VALUE!</v>
      </c>
      <c r="DC96" t="e">
        <f>AND(Sheet1!K1286,"AAAAAEv322o=")</f>
        <v>#VALUE!</v>
      </c>
      <c r="DD96" t="e">
        <f>AND(Sheet1!L1286,"AAAAAEv322s=")</f>
        <v>#VALUE!</v>
      </c>
      <c r="DE96" t="e">
        <f>AND(Sheet1!M1286,"AAAAAEv322w=")</f>
        <v>#VALUE!</v>
      </c>
      <c r="DF96" t="e">
        <f>AND(Sheet1!N1286,"AAAAAEv3220=")</f>
        <v>#VALUE!</v>
      </c>
      <c r="DG96" t="e">
        <f>AND(Sheet1!#REF!,"AAAAAEv3224=")</f>
        <v>#REF!</v>
      </c>
      <c r="DH96" t="e">
        <f>AND(Sheet1!#REF!,"AAAAAEv3228=")</f>
        <v>#REF!</v>
      </c>
      <c r="DI96" t="e">
        <f>AND(Sheet1!#REF!,"AAAAAEv323A=")</f>
        <v>#REF!</v>
      </c>
      <c r="DJ96" t="e">
        <f>AND(Sheet1!#REF!,"AAAAAEv323E=")</f>
        <v>#REF!</v>
      </c>
      <c r="DK96">
        <f>IF(Sheet1!1287:1287,"AAAAAEv323I=",0)</f>
        <v>0</v>
      </c>
      <c r="DL96" t="e">
        <f>AND(Sheet1!A1287,"AAAAAEv323M=")</f>
        <v>#VALUE!</v>
      </c>
      <c r="DM96" t="e">
        <f>AND(Sheet1!B1287,"AAAAAEv323Q=")</f>
        <v>#VALUE!</v>
      </c>
      <c r="DN96" t="e">
        <f>AND(Sheet1!C1287,"AAAAAEv323U=")</f>
        <v>#VALUE!</v>
      </c>
      <c r="DO96" t="e">
        <f>AND(Sheet1!D1287,"AAAAAEv323Y=")</f>
        <v>#VALUE!</v>
      </c>
      <c r="DP96" t="e">
        <f>AND(Sheet1!E1287,"AAAAAEv323c=")</f>
        <v>#VALUE!</v>
      </c>
      <c r="DQ96" t="e">
        <f>AND(Sheet1!F1287,"AAAAAEv323g=")</f>
        <v>#VALUE!</v>
      </c>
      <c r="DR96" t="e">
        <f>AND(Sheet1!G1287,"AAAAAEv323k=")</f>
        <v>#VALUE!</v>
      </c>
      <c r="DS96" t="e">
        <f>AND(Sheet1!H1287,"AAAAAEv323o=")</f>
        <v>#VALUE!</v>
      </c>
      <c r="DT96" t="e">
        <f>AND(Sheet1!I1287,"AAAAAEv323s=")</f>
        <v>#VALUE!</v>
      </c>
      <c r="DU96" t="e">
        <f>AND(Sheet1!J1287,"AAAAAEv323w=")</f>
        <v>#VALUE!</v>
      </c>
      <c r="DV96" t="e">
        <f>AND(Sheet1!K1287,"AAAAAEv3230=")</f>
        <v>#VALUE!</v>
      </c>
      <c r="DW96" t="e">
        <f>AND(Sheet1!L1287,"AAAAAEv3234=")</f>
        <v>#VALUE!</v>
      </c>
      <c r="DX96" t="e">
        <f>AND(Sheet1!M1287,"AAAAAEv3238=")</f>
        <v>#VALUE!</v>
      </c>
      <c r="DY96" t="e">
        <f>AND(Sheet1!N1287,"AAAAAEv324A=")</f>
        <v>#VALUE!</v>
      </c>
      <c r="DZ96" t="e">
        <f>AND(Sheet1!#REF!,"AAAAAEv324E=")</f>
        <v>#REF!</v>
      </c>
      <c r="EA96" t="e">
        <f>AND(Sheet1!#REF!,"AAAAAEv324I=")</f>
        <v>#REF!</v>
      </c>
      <c r="EB96" t="e">
        <f>AND(Sheet1!#REF!,"AAAAAEv324M=")</f>
        <v>#REF!</v>
      </c>
      <c r="EC96" t="e">
        <f>AND(Sheet1!#REF!,"AAAAAEv324Q=")</f>
        <v>#REF!</v>
      </c>
      <c r="ED96">
        <f>IF(Sheet1!1288:1288,"AAAAAEv324U=",0)</f>
        <v>0</v>
      </c>
      <c r="EE96" t="e">
        <f>AND(Sheet1!A1288,"AAAAAEv324Y=")</f>
        <v>#VALUE!</v>
      </c>
      <c r="EF96" t="e">
        <f>AND(Sheet1!B1288,"AAAAAEv324c=")</f>
        <v>#VALUE!</v>
      </c>
      <c r="EG96" t="e">
        <f>AND(Sheet1!C1288,"AAAAAEv324g=")</f>
        <v>#VALUE!</v>
      </c>
      <c r="EH96" t="e">
        <f>AND(Sheet1!D1288,"AAAAAEv324k=")</f>
        <v>#VALUE!</v>
      </c>
      <c r="EI96" t="e">
        <f>AND(Sheet1!E1288,"AAAAAEv324o=")</f>
        <v>#VALUE!</v>
      </c>
      <c r="EJ96" t="e">
        <f>AND(Sheet1!F1288,"AAAAAEv324s=")</f>
        <v>#VALUE!</v>
      </c>
      <c r="EK96" t="e">
        <f>AND(Sheet1!G1288,"AAAAAEv324w=")</f>
        <v>#VALUE!</v>
      </c>
      <c r="EL96" t="e">
        <f>AND(Sheet1!H1288,"AAAAAEv3240=")</f>
        <v>#VALUE!</v>
      </c>
      <c r="EM96" t="e">
        <f>AND(Sheet1!I1288,"AAAAAEv3244=")</f>
        <v>#VALUE!</v>
      </c>
      <c r="EN96" t="e">
        <f>AND(Sheet1!J1288,"AAAAAEv3248=")</f>
        <v>#VALUE!</v>
      </c>
      <c r="EO96" t="e">
        <f>AND(Sheet1!K1288,"AAAAAEv325A=")</f>
        <v>#VALUE!</v>
      </c>
      <c r="EP96" t="e">
        <f>AND(Sheet1!L1288,"AAAAAEv325E=")</f>
        <v>#VALUE!</v>
      </c>
      <c r="EQ96" t="e">
        <f>AND(Sheet1!M1288,"AAAAAEv325I=")</f>
        <v>#VALUE!</v>
      </c>
      <c r="ER96" t="e">
        <f>AND(Sheet1!N1288,"AAAAAEv325M=")</f>
        <v>#VALUE!</v>
      </c>
      <c r="ES96" t="e">
        <f>AND(Sheet1!#REF!,"AAAAAEv325Q=")</f>
        <v>#REF!</v>
      </c>
      <c r="ET96" t="e">
        <f>AND(Sheet1!#REF!,"AAAAAEv325U=")</f>
        <v>#REF!</v>
      </c>
      <c r="EU96" t="e">
        <f>AND(Sheet1!#REF!,"AAAAAEv325Y=")</f>
        <v>#REF!</v>
      </c>
      <c r="EV96" t="e">
        <f>AND(Sheet1!#REF!,"AAAAAEv325c=")</f>
        <v>#REF!</v>
      </c>
      <c r="EW96">
        <f>IF(Sheet1!1289:1289,"AAAAAEv325g=",0)</f>
        <v>0</v>
      </c>
      <c r="EX96" t="e">
        <f>AND(Sheet1!A1289,"AAAAAEv325k=")</f>
        <v>#VALUE!</v>
      </c>
      <c r="EY96" t="e">
        <f>AND(Sheet1!B1289,"AAAAAEv325o=")</f>
        <v>#VALUE!</v>
      </c>
      <c r="EZ96" t="e">
        <f>AND(Sheet1!C1289,"AAAAAEv325s=")</f>
        <v>#VALUE!</v>
      </c>
      <c r="FA96" t="e">
        <f>AND(Sheet1!D1289,"AAAAAEv325w=")</f>
        <v>#VALUE!</v>
      </c>
      <c r="FB96" t="e">
        <f>AND(Sheet1!E1289,"AAAAAEv3250=")</f>
        <v>#VALUE!</v>
      </c>
      <c r="FC96" t="e">
        <f>AND(Sheet1!F1289,"AAAAAEv3254=")</f>
        <v>#VALUE!</v>
      </c>
      <c r="FD96" t="e">
        <f>AND(Sheet1!G1289,"AAAAAEv3258=")</f>
        <v>#VALUE!</v>
      </c>
      <c r="FE96" t="e">
        <f>AND(Sheet1!H1289,"AAAAAEv326A=")</f>
        <v>#VALUE!</v>
      </c>
      <c r="FF96" t="e">
        <f>AND(Sheet1!I1289,"AAAAAEv326E=")</f>
        <v>#VALUE!</v>
      </c>
      <c r="FG96" t="e">
        <f>AND(Sheet1!J1289,"AAAAAEv326I=")</f>
        <v>#VALUE!</v>
      </c>
      <c r="FH96" t="e">
        <f>AND(Sheet1!K1289,"AAAAAEv326M=")</f>
        <v>#VALUE!</v>
      </c>
      <c r="FI96" t="e">
        <f>AND(Sheet1!L1289,"AAAAAEv326Q=")</f>
        <v>#VALUE!</v>
      </c>
      <c r="FJ96" t="e">
        <f>AND(Sheet1!M1289,"AAAAAEv326U=")</f>
        <v>#VALUE!</v>
      </c>
      <c r="FK96" t="e">
        <f>AND(Sheet1!N1289,"AAAAAEv326Y=")</f>
        <v>#VALUE!</v>
      </c>
      <c r="FL96" t="e">
        <f>AND(Sheet1!#REF!,"AAAAAEv326c=")</f>
        <v>#REF!</v>
      </c>
      <c r="FM96" t="e">
        <f>AND(Sheet1!#REF!,"AAAAAEv326g=")</f>
        <v>#REF!</v>
      </c>
      <c r="FN96" t="e">
        <f>AND(Sheet1!#REF!,"AAAAAEv326k=")</f>
        <v>#REF!</v>
      </c>
      <c r="FO96" t="e">
        <f>AND(Sheet1!#REF!,"AAAAAEv326o=")</f>
        <v>#REF!</v>
      </c>
      <c r="FP96">
        <f>IF(Sheet1!1290:1290,"AAAAAEv326s=",0)</f>
        <v>0</v>
      </c>
      <c r="FQ96" t="e">
        <f>AND(Sheet1!A1290,"AAAAAEv326w=")</f>
        <v>#VALUE!</v>
      </c>
      <c r="FR96" t="e">
        <f>AND(Sheet1!B1290,"AAAAAEv3260=")</f>
        <v>#VALUE!</v>
      </c>
      <c r="FS96" t="e">
        <f>AND(Sheet1!C1290,"AAAAAEv3264=")</f>
        <v>#VALUE!</v>
      </c>
      <c r="FT96" t="e">
        <f>AND(Sheet1!D1290,"AAAAAEv3268=")</f>
        <v>#VALUE!</v>
      </c>
      <c r="FU96" t="e">
        <f>AND(Sheet1!E1290,"AAAAAEv327A=")</f>
        <v>#VALUE!</v>
      </c>
      <c r="FV96" t="e">
        <f>AND(Sheet1!F1290,"AAAAAEv327E=")</f>
        <v>#VALUE!</v>
      </c>
      <c r="FW96" t="e">
        <f>AND(Sheet1!G1290,"AAAAAEv327I=")</f>
        <v>#VALUE!</v>
      </c>
      <c r="FX96" t="e">
        <f>AND(Sheet1!H1290,"AAAAAEv327M=")</f>
        <v>#VALUE!</v>
      </c>
      <c r="FY96" t="e">
        <f>AND(Sheet1!I1290,"AAAAAEv327Q=")</f>
        <v>#VALUE!</v>
      </c>
      <c r="FZ96" t="e">
        <f>AND(Sheet1!J1290,"AAAAAEv327U=")</f>
        <v>#VALUE!</v>
      </c>
      <c r="GA96" t="e">
        <f>AND(Sheet1!K1290,"AAAAAEv327Y=")</f>
        <v>#VALUE!</v>
      </c>
      <c r="GB96" t="e">
        <f>AND(Sheet1!L1290,"AAAAAEv327c=")</f>
        <v>#VALUE!</v>
      </c>
      <c r="GC96" t="e">
        <f>AND(Sheet1!M1290,"AAAAAEv327g=")</f>
        <v>#VALUE!</v>
      </c>
      <c r="GD96" t="e">
        <f>AND(Sheet1!N1290,"AAAAAEv327k=")</f>
        <v>#VALUE!</v>
      </c>
      <c r="GE96" t="e">
        <f>AND(Sheet1!#REF!,"AAAAAEv327o=")</f>
        <v>#REF!</v>
      </c>
      <c r="GF96" t="e">
        <f>AND(Sheet1!#REF!,"AAAAAEv327s=")</f>
        <v>#REF!</v>
      </c>
      <c r="GG96" t="e">
        <f>AND(Sheet1!#REF!,"AAAAAEv327w=")</f>
        <v>#REF!</v>
      </c>
      <c r="GH96" t="e">
        <f>AND(Sheet1!#REF!,"AAAAAEv3270=")</f>
        <v>#REF!</v>
      </c>
      <c r="GI96">
        <f>IF(Sheet1!1291:1291,"AAAAAEv3274=",0)</f>
        <v>0</v>
      </c>
      <c r="GJ96" t="e">
        <f>AND(Sheet1!A1291,"AAAAAEv3278=")</f>
        <v>#VALUE!</v>
      </c>
      <c r="GK96" t="e">
        <f>AND(Sheet1!B1291,"AAAAAEv328A=")</f>
        <v>#VALUE!</v>
      </c>
      <c r="GL96" t="e">
        <f>AND(Sheet1!C1291,"AAAAAEv328E=")</f>
        <v>#VALUE!</v>
      </c>
      <c r="GM96" t="e">
        <f>AND(Sheet1!D1291,"AAAAAEv328I=")</f>
        <v>#VALUE!</v>
      </c>
      <c r="GN96" t="e">
        <f>AND(Sheet1!E1291,"AAAAAEv328M=")</f>
        <v>#VALUE!</v>
      </c>
      <c r="GO96" t="e">
        <f>AND(Sheet1!F1291,"AAAAAEv328Q=")</f>
        <v>#VALUE!</v>
      </c>
      <c r="GP96" t="e">
        <f>AND(Sheet1!G1291,"AAAAAEv328U=")</f>
        <v>#VALUE!</v>
      </c>
      <c r="GQ96" t="e">
        <f>AND(Sheet1!H1291,"AAAAAEv328Y=")</f>
        <v>#VALUE!</v>
      </c>
      <c r="GR96" t="e">
        <f>AND(Sheet1!I1291,"AAAAAEv328c=")</f>
        <v>#VALUE!</v>
      </c>
      <c r="GS96" t="e">
        <f>AND(Sheet1!J1291,"AAAAAEv328g=")</f>
        <v>#VALUE!</v>
      </c>
      <c r="GT96" t="e">
        <f>AND(Sheet1!K1291,"AAAAAEv328k=")</f>
        <v>#VALUE!</v>
      </c>
      <c r="GU96" t="e">
        <f>AND(Sheet1!L1291,"AAAAAEv328o=")</f>
        <v>#VALUE!</v>
      </c>
      <c r="GV96" t="e">
        <f>AND(Sheet1!M1291,"AAAAAEv328s=")</f>
        <v>#VALUE!</v>
      </c>
      <c r="GW96" t="e">
        <f>AND(Sheet1!N1291,"AAAAAEv328w=")</f>
        <v>#VALUE!</v>
      </c>
      <c r="GX96" t="e">
        <f>AND(Sheet1!#REF!,"AAAAAEv3280=")</f>
        <v>#REF!</v>
      </c>
      <c r="GY96" t="e">
        <f>AND(Sheet1!#REF!,"AAAAAEv3284=")</f>
        <v>#REF!</v>
      </c>
      <c r="GZ96" t="e">
        <f>AND(Sheet1!#REF!,"AAAAAEv3288=")</f>
        <v>#REF!</v>
      </c>
      <c r="HA96" t="e">
        <f>AND(Sheet1!#REF!,"AAAAAEv329A=")</f>
        <v>#REF!</v>
      </c>
      <c r="HB96">
        <f>IF(Sheet1!1292:1292,"AAAAAEv329E=",0)</f>
        <v>0</v>
      </c>
      <c r="HC96" t="e">
        <f>AND(Sheet1!A1292,"AAAAAEv329I=")</f>
        <v>#VALUE!</v>
      </c>
      <c r="HD96" t="e">
        <f>AND(Sheet1!B1292,"AAAAAEv329M=")</f>
        <v>#VALUE!</v>
      </c>
      <c r="HE96" t="e">
        <f>AND(Sheet1!C1292,"AAAAAEv329Q=")</f>
        <v>#VALUE!</v>
      </c>
      <c r="HF96" t="e">
        <f>AND(Sheet1!D1292,"AAAAAEv329U=")</f>
        <v>#VALUE!</v>
      </c>
      <c r="HG96" t="e">
        <f>AND(Sheet1!E1292,"AAAAAEv329Y=")</f>
        <v>#VALUE!</v>
      </c>
      <c r="HH96" t="e">
        <f>AND(Sheet1!F1292,"AAAAAEv329c=")</f>
        <v>#VALUE!</v>
      </c>
      <c r="HI96" t="e">
        <f>AND(Sheet1!G1292,"AAAAAEv329g=")</f>
        <v>#VALUE!</v>
      </c>
      <c r="HJ96" t="e">
        <f>AND(Sheet1!H1292,"AAAAAEv329k=")</f>
        <v>#VALUE!</v>
      </c>
      <c r="HK96" t="e">
        <f>AND(Sheet1!I1292,"AAAAAEv329o=")</f>
        <v>#VALUE!</v>
      </c>
      <c r="HL96" t="e">
        <f>AND(Sheet1!J1292,"AAAAAEv329s=")</f>
        <v>#VALUE!</v>
      </c>
      <c r="HM96" t="e">
        <f>AND(Sheet1!K1292,"AAAAAEv329w=")</f>
        <v>#VALUE!</v>
      </c>
      <c r="HN96" t="e">
        <f>AND(Sheet1!L1292,"AAAAAEv3290=")</f>
        <v>#VALUE!</v>
      </c>
      <c r="HO96" t="e">
        <f>AND(Sheet1!M1292,"AAAAAEv3294=")</f>
        <v>#VALUE!</v>
      </c>
      <c r="HP96" t="e">
        <f>AND(Sheet1!N1292,"AAAAAEv3298=")</f>
        <v>#VALUE!</v>
      </c>
      <c r="HQ96" t="e">
        <f>AND(Sheet1!#REF!,"AAAAAEv32+A=")</f>
        <v>#REF!</v>
      </c>
      <c r="HR96" t="e">
        <f>AND(Sheet1!#REF!,"AAAAAEv32+E=")</f>
        <v>#REF!</v>
      </c>
      <c r="HS96" t="e">
        <f>AND(Sheet1!#REF!,"AAAAAEv32+I=")</f>
        <v>#REF!</v>
      </c>
      <c r="HT96" t="e">
        <f>AND(Sheet1!#REF!,"AAAAAEv32+M=")</f>
        <v>#REF!</v>
      </c>
      <c r="HU96">
        <f>IF(Sheet1!1293:1293,"AAAAAEv32+Q=",0)</f>
        <v>0</v>
      </c>
      <c r="HV96" t="e">
        <f>AND(Sheet1!A1293,"AAAAAEv32+U=")</f>
        <v>#VALUE!</v>
      </c>
      <c r="HW96" t="e">
        <f>AND(Sheet1!B1293,"AAAAAEv32+Y=")</f>
        <v>#VALUE!</v>
      </c>
      <c r="HX96" t="e">
        <f>AND(Sheet1!C1293,"AAAAAEv32+c=")</f>
        <v>#VALUE!</v>
      </c>
      <c r="HY96" t="e">
        <f>AND(Sheet1!D1293,"AAAAAEv32+g=")</f>
        <v>#VALUE!</v>
      </c>
      <c r="HZ96" t="e">
        <f>AND(Sheet1!E1293,"AAAAAEv32+k=")</f>
        <v>#VALUE!</v>
      </c>
      <c r="IA96" t="e">
        <f>AND(Sheet1!F1293,"AAAAAEv32+o=")</f>
        <v>#VALUE!</v>
      </c>
      <c r="IB96" t="e">
        <f>AND(Sheet1!G1293,"AAAAAEv32+s=")</f>
        <v>#VALUE!</v>
      </c>
      <c r="IC96" t="e">
        <f>AND(Sheet1!H1293,"AAAAAEv32+w=")</f>
        <v>#VALUE!</v>
      </c>
      <c r="ID96" t="e">
        <f>AND(Sheet1!I1293,"AAAAAEv32+0=")</f>
        <v>#VALUE!</v>
      </c>
      <c r="IE96" t="e">
        <f>AND(Sheet1!J1293,"AAAAAEv32+4=")</f>
        <v>#VALUE!</v>
      </c>
      <c r="IF96" t="e">
        <f>AND(Sheet1!K1293,"AAAAAEv32+8=")</f>
        <v>#VALUE!</v>
      </c>
      <c r="IG96" t="e">
        <f>AND(Sheet1!L1293,"AAAAAEv32/A=")</f>
        <v>#VALUE!</v>
      </c>
      <c r="IH96" t="e">
        <f>AND(Sheet1!M1293,"AAAAAEv32/E=")</f>
        <v>#VALUE!</v>
      </c>
      <c r="II96" t="e">
        <f>AND(Sheet1!N1293,"AAAAAEv32/I=")</f>
        <v>#VALUE!</v>
      </c>
      <c r="IJ96" t="e">
        <f>AND(Sheet1!#REF!,"AAAAAEv32/M=")</f>
        <v>#REF!</v>
      </c>
      <c r="IK96" t="e">
        <f>AND(Sheet1!#REF!,"AAAAAEv32/Q=")</f>
        <v>#REF!</v>
      </c>
      <c r="IL96" t="e">
        <f>AND(Sheet1!#REF!,"AAAAAEv32/U=")</f>
        <v>#REF!</v>
      </c>
      <c r="IM96" t="e">
        <f>AND(Sheet1!#REF!,"AAAAAEv32/Y=")</f>
        <v>#REF!</v>
      </c>
      <c r="IN96">
        <f>IF(Sheet1!1294:1294,"AAAAAEv32/c=",0)</f>
        <v>0</v>
      </c>
      <c r="IO96" t="e">
        <f>AND(Sheet1!A1294,"AAAAAEv32/g=")</f>
        <v>#VALUE!</v>
      </c>
      <c r="IP96" t="e">
        <f>AND(Sheet1!B1294,"AAAAAEv32/k=")</f>
        <v>#VALUE!</v>
      </c>
      <c r="IQ96" t="e">
        <f>AND(Sheet1!C1294,"AAAAAEv32/o=")</f>
        <v>#VALUE!</v>
      </c>
      <c r="IR96" t="e">
        <f>AND(Sheet1!D1294,"AAAAAEv32/s=")</f>
        <v>#VALUE!</v>
      </c>
      <c r="IS96" t="e">
        <f>AND(Sheet1!E1294,"AAAAAEv32/w=")</f>
        <v>#VALUE!</v>
      </c>
      <c r="IT96" t="e">
        <f>AND(Sheet1!F1294,"AAAAAEv32/0=")</f>
        <v>#VALUE!</v>
      </c>
      <c r="IU96" t="e">
        <f>AND(Sheet1!G1294,"AAAAAEv32/4=")</f>
        <v>#VALUE!</v>
      </c>
      <c r="IV96" t="e">
        <f>AND(Sheet1!H1294,"AAAAAEv32/8=")</f>
        <v>#VALUE!</v>
      </c>
    </row>
    <row r="97" spans="1:256" x14ac:dyDescent="0.2">
      <c r="A97" t="e">
        <f>AND(Sheet1!I1294,"AAAAAGCj/gA=")</f>
        <v>#VALUE!</v>
      </c>
      <c r="B97" t="e">
        <f>AND(Sheet1!J1294,"AAAAAGCj/gE=")</f>
        <v>#VALUE!</v>
      </c>
      <c r="C97" t="e">
        <f>AND(Sheet1!K1294,"AAAAAGCj/gI=")</f>
        <v>#VALUE!</v>
      </c>
      <c r="D97" t="e">
        <f>AND(Sheet1!L1294,"AAAAAGCj/gM=")</f>
        <v>#VALUE!</v>
      </c>
      <c r="E97" t="e">
        <f>AND(Sheet1!M1294,"AAAAAGCj/gQ=")</f>
        <v>#VALUE!</v>
      </c>
      <c r="F97" t="e">
        <f>AND(Sheet1!N1294,"AAAAAGCj/gU=")</f>
        <v>#VALUE!</v>
      </c>
      <c r="G97" t="e">
        <f>AND(Sheet1!#REF!,"AAAAAGCj/gY=")</f>
        <v>#REF!</v>
      </c>
      <c r="H97" t="e">
        <f>AND(Sheet1!#REF!,"AAAAAGCj/gc=")</f>
        <v>#REF!</v>
      </c>
      <c r="I97" t="e">
        <f>AND(Sheet1!#REF!,"AAAAAGCj/gg=")</f>
        <v>#REF!</v>
      </c>
      <c r="J97" t="e">
        <f>AND(Sheet1!#REF!,"AAAAAGCj/gk=")</f>
        <v>#REF!</v>
      </c>
      <c r="K97" t="e">
        <f>IF(Sheet1!1295:1295,"AAAAAGCj/go=",0)</f>
        <v>#VALUE!</v>
      </c>
      <c r="L97" t="e">
        <f>AND(Sheet1!A1295,"AAAAAGCj/gs=")</f>
        <v>#VALUE!</v>
      </c>
      <c r="M97" t="e">
        <f>AND(Sheet1!B1295,"AAAAAGCj/gw=")</f>
        <v>#VALUE!</v>
      </c>
      <c r="N97" t="e">
        <f>AND(Sheet1!C1295,"AAAAAGCj/g0=")</f>
        <v>#VALUE!</v>
      </c>
      <c r="O97" t="e">
        <f>AND(Sheet1!D1295,"AAAAAGCj/g4=")</f>
        <v>#VALUE!</v>
      </c>
      <c r="P97" t="e">
        <f>AND(Sheet1!E1295,"AAAAAGCj/g8=")</f>
        <v>#VALUE!</v>
      </c>
      <c r="Q97" t="e">
        <f>AND(Sheet1!F1295,"AAAAAGCj/hA=")</f>
        <v>#VALUE!</v>
      </c>
      <c r="R97" t="e">
        <f>AND(Sheet1!G1295,"AAAAAGCj/hE=")</f>
        <v>#VALUE!</v>
      </c>
      <c r="S97" t="e">
        <f>AND(Sheet1!H1295,"AAAAAGCj/hI=")</f>
        <v>#VALUE!</v>
      </c>
      <c r="T97" t="e">
        <f>AND(Sheet1!I1295,"AAAAAGCj/hM=")</f>
        <v>#VALUE!</v>
      </c>
      <c r="U97" t="e">
        <f>AND(Sheet1!J1295,"AAAAAGCj/hQ=")</f>
        <v>#VALUE!</v>
      </c>
      <c r="V97" t="e">
        <f>AND(Sheet1!K1295,"AAAAAGCj/hU=")</f>
        <v>#VALUE!</v>
      </c>
      <c r="W97" t="e">
        <f>AND(Sheet1!L1295,"AAAAAGCj/hY=")</f>
        <v>#VALUE!</v>
      </c>
      <c r="X97" t="e">
        <f>AND(Sheet1!M1295,"AAAAAGCj/hc=")</f>
        <v>#VALUE!</v>
      </c>
      <c r="Y97" t="e">
        <f>AND(Sheet1!N1295,"AAAAAGCj/hg=")</f>
        <v>#VALUE!</v>
      </c>
      <c r="Z97" t="e">
        <f>AND(Sheet1!#REF!,"AAAAAGCj/hk=")</f>
        <v>#REF!</v>
      </c>
      <c r="AA97" t="e">
        <f>AND(Sheet1!#REF!,"AAAAAGCj/ho=")</f>
        <v>#REF!</v>
      </c>
      <c r="AB97" t="e">
        <f>AND(Sheet1!#REF!,"AAAAAGCj/hs=")</f>
        <v>#REF!</v>
      </c>
      <c r="AC97" t="e">
        <f>AND(Sheet1!#REF!,"AAAAAGCj/hw=")</f>
        <v>#REF!</v>
      </c>
      <c r="AD97">
        <f>IF(Sheet1!1296:1296,"AAAAAGCj/h0=",0)</f>
        <v>0</v>
      </c>
      <c r="AE97" t="e">
        <f>AND(Sheet1!A1296,"AAAAAGCj/h4=")</f>
        <v>#VALUE!</v>
      </c>
      <c r="AF97" t="e">
        <f>AND(Sheet1!B1296,"AAAAAGCj/h8=")</f>
        <v>#VALUE!</v>
      </c>
      <c r="AG97" t="e">
        <f>AND(Sheet1!C1296,"AAAAAGCj/iA=")</f>
        <v>#VALUE!</v>
      </c>
      <c r="AH97" t="e">
        <f>AND(Sheet1!D1296,"AAAAAGCj/iE=")</f>
        <v>#VALUE!</v>
      </c>
      <c r="AI97" t="e">
        <f>AND(Sheet1!E1296,"AAAAAGCj/iI=")</f>
        <v>#VALUE!</v>
      </c>
      <c r="AJ97" t="e">
        <f>AND(Sheet1!F1296,"AAAAAGCj/iM=")</f>
        <v>#VALUE!</v>
      </c>
      <c r="AK97" t="e">
        <f>AND(Sheet1!G1296,"AAAAAGCj/iQ=")</f>
        <v>#VALUE!</v>
      </c>
      <c r="AL97" t="e">
        <f>AND(Sheet1!H1296,"AAAAAGCj/iU=")</f>
        <v>#VALUE!</v>
      </c>
      <c r="AM97" t="e">
        <f>AND(Sheet1!I1296,"AAAAAGCj/iY=")</f>
        <v>#VALUE!</v>
      </c>
      <c r="AN97" t="e">
        <f>AND(Sheet1!J1296,"AAAAAGCj/ic=")</f>
        <v>#VALUE!</v>
      </c>
      <c r="AO97" t="e">
        <f>AND(Sheet1!K1296,"AAAAAGCj/ig=")</f>
        <v>#VALUE!</v>
      </c>
      <c r="AP97" t="e">
        <f>AND(Sheet1!L1296,"AAAAAGCj/ik=")</f>
        <v>#VALUE!</v>
      </c>
      <c r="AQ97" t="e">
        <f>AND(Sheet1!M1296,"AAAAAGCj/io=")</f>
        <v>#VALUE!</v>
      </c>
      <c r="AR97" t="e">
        <f>AND(Sheet1!N1296,"AAAAAGCj/is=")</f>
        <v>#VALUE!</v>
      </c>
      <c r="AS97" t="e">
        <f>AND(Sheet1!#REF!,"AAAAAGCj/iw=")</f>
        <v>#REF!</v>
      </c>
      <c r="AT97" t="e">
        <f>AND(Sheet1!#REF!,"AAAAAGCj/i0=")</f>
        <v>#REF!</v>
      </c>
      <c r="AU97" t="e">
        <f>AND(Sheet1!#REF!,"AAAAAGCj/i4=")</f>
        <v>#REF!</v>
      </c>
      <c r="AV97" t="e">
        <f>AND(Sheet1!#REF!,"AAAAAGCj/i8=")</f>
        <v>#REF!</v>
      </c>
      <c r="AW97">
        <f>IF(Sheet1!1297:1297,"AAAAAGCj/jA=",0)</f>
        <v>0</v>
      </c>
      <c r="AX97" t="e">
        <f>AND(Sheet1!A1297,"AAAAAGCj/jE=")</f>
        <v>#VALUE!</v>
      </c>
      <c r="AY97" t="e">
        <f>AND(Sheet1!B1297,"AAAAAGCj/jI=")</f>
        <v>#VALUE!</v>
      </c>
      <c r="AZ97" t="e">
        <f>AND(Sheet1!C1297,"AAAAAGCj/jM=")</f>
        <v>#VALUE!</v>
      </c>
      <c r="BA97" t="e">
        <f>AND(Sheet1!D1297,"AAAAAGCj/jQ=")</f>
        <v>#VALUE!</v>
      </c>
      <c r="BB97" t="e">
        <f>AND(Sheet1!E1297,"AAAAAGCj/jU=")</f>
        <v>#VALUE!</v>
      </c>
      <c r="BC97" t="e">
        <f>AND(Sheet1!F1297,"AAAAAGCj/jY=")</f>
        <v>#VALUE!</v>
      </c>
      <c r="BD97" t="e">
        <f>AND(Sheet1!G1297,"AAAAAGCj/jc=")</f>
        <v>#VALUE!</v>
      </c>
      <c r="BE97" t="e">
        <f>AND(Sheet1!H1297,"AAAAAGCj/jg=")</f>
        <v>#VALUE!</v>
      </c>
      <c r="BF97" t="e">
        <f>AND(Sheet1!I1297,"AAAAAGCj/jk=")</f>
        <v>#VALUE!</v>
      </c>
      <c r="BG97" t="e">
        <f>AND(Sheet1!J1297,"AAAAAGCj/jo=")</f>
        <v>#VALUE!</v>
      </c>
      <c r="BH97" t="e">
        <f>AND(Sheet1!K1297,"AAAAAGCj/js=")</f>
        <v>#VALUE!</v>
      </c>
      <c r="BI97" t="e">
        <f>AND(Sheet1!L1297,"AAAAAGCj/jw=")</f>
        <v>#VALUE!</v>
      </c>
      <c r="BJ97" t="e">
        <f>AND(Sheet1!M1297,"AAAAAGCj/j0=")</f>
        <v>#VALUE!</v>
      </c>
      <c r="BK97" t="e">
        <f>AND(Sheet1!N1297,"AAAAAGCj/j4=")</f>
        <v>#VALUE!</v>
      </c>
      <c r="BL97" t="e">
        <f>AND(Sheet1!#REF!,"AAAAAGCj/j8=")</f>
        <v>#REF!</v>
      </c>
      <c r="BM97" t="e">
        <f>AND(Sheet1!#REF!,"AAAAAGCj/kA=")</f>
        <v>#REF!</v>
      </c>
      <c r="BN97" t="e">
        <f>AND(Sheet1!#REF!,"AAAAAGCj/kE=")</f>
        <v>#REF!</v>
      </c>
      <c r="BO97" t="e">
        <f>AND(Sheet1!#REF!,"AAAAAGCj/kI=")</f>
        <v>#REF!</v>
      </c>
      <c r="BP97">
        <f>IF(Sheet1!1298:1298,"AAAAAGCj/kM=",0)</f>
        <v>0</v>
      </c>
      <c r="BQ97" t="e">
        <f>AND(Sheet1!A1298,"AAAAAGCj/kQ=")</f>
        <v>#VALUE!</v>
      </c>
      <c r="BR97" t="e">
        <f>AND(Sheet1!B1298,"AAAAAGCj/kU=")</f>
        <v>#VALUE!</v>
      </c>
      <c r="BS97" t="e">
        <f>AND(Sheet1!C1298,"AAAAAGCj/kY=")</f>
        <v>#VALUE!</v>
      </c>
      <c r="BT97" t="e">
        <f>AND(Sheet1!D1298,"AAAAAGCj/kc=")</f>
        <v>#VALUE!</v>
      </c>
      <c r="BU97" t="e">
        <f>AND(Sheet1!E1298,"AAAAAGCj/kg=")</f>
        <v>#VALUE!</v>
      </c>
      <c r="BV97" t="e">
        <f>AND(Sheet1!F1298,"AAAAAGCj/kk=")</f>
        <v>#VALUE!</v>
      </c>
      <c r="BW97" t="e">
        <f>AND(Sheet1!G1298,"AAAAAGCj/ko=")</f>
        <v>#VALUE!</v>
      </c>
      <c r="BX97" t="e">
        <f>AND(Sheet1!H1298,"AAAAAGCj/ks=")</f>
        <v>#VALUE!</v>
      </c>
      <c r="BY97" t="e">
        <f>AND(Sheet1!I1298,"AAAAAGCj/kw=")</f>
        <v>#VALUE!</v>
      </c>
      <c r="BZ97" t="e">
        <f>AND(Sheet1!J1298,"AAAAAGCj/k0=")</f>
        <v>#VALUE!</v>
      </c>
      <c r="CA97" t="e">
        <f>AND(Sheet1!K1298,"AAAAAGCj/k4=")</f>
        <v>#VALUE!</v>
      </c>
      <c r="CB97" t="e">
        <f>AND(Sheet1!L1298,"AAAAAGCj/k8=")</f>
        <v>#VALUE!</v>
      </c>
      <c r="CC97" t="e">
        <f>AND(Sheet1!M1298,"AAAAAGCj/lA=")</f>
        <v>#VALUE!</v>
      </c>
      <c r="CD97" t="e">
        <f>AND(Sheet1!N1298,"AAAAAGCj/lE=")</f>
        <v>#VALUE!</v>
      </c>
      <c r="CE97" t="e">
        <f>AND(Sheet1!#REF!,"AAAAAGCj/lI=")</f>
        <v>#REF!</v>
      </c>
      <c r="CF97" t="e">
        <f>AND(Sheet1!#REF!,"AAAAAGCj/lM=")</f>
        <v>#REF!</v>
      </c>
      <c r="CG97" t="e">
        <f>AND(Sheet1!#REF!,"AAAAAGCj/lQ=")</f>
        <v>#REF!</v>
      </c>
      <c r="CH97" t="e">
        <f>AND(Sheet1!#REF!,"AAAAAGCj/lU=")</f>
        <v>#REF!</v>
      </c>
      <c r="CI97">
        <f>IF(Sheet1!1299:1299,"AAAAAGCj/lY=",0)</f>
        <v>0</v>
      </c>
      <c r="CJ97" t="e">
        <f>AND(Sheet1!A1299,"AAAAAGCj/lc=")</f>
        <v>#VALUE!</v>
      </c>
      <c r="CK97" t="e">
        <f>AND(Sheet1!B1299,"AAAAAGCj/lg=")</f>
        <v>#VALUE!</v>
      </c>
      <c r="CL97" t="e">
        <f>AND(Sheet1!C1299,"AAAAAGCj/lk=")</f>
        <v>#VALUE!</v>
      </c>
      <c r="CM97" t="e">
        <f>AND(Sheet1!D1299,"AAAAAGCj/lo=")</f>
        <v>#VALUE!</v>
      </c>
      <c r="CN97" t="e">
        <f>AND(Sheet1!E1299,"AAAAAGCj/ls=")</f>
        <v>#VALUE!</v>
      </c>
      <c r="CO97" t="e">
        <f>AND(Sheet1!F1299,"AAAAAGCj/lw=")</f>
        <v>#VALUE!</v>
      </c>
      <c r="CP97" t="e">
        <f>AND(Sheet1!G1299,"AAAAAGCj/l0=")</f>
        <v>#VALUE!</v>
      </c>
      <c r="CQ97" t="e">
        <f>AND(Sheet1!H1299,"AAAAAGCj/l4=")</f>
        <v>#VALUE!</v>
      </c>
      <c r="CR97" t="e">
        <f>AND(Sheet1!I1299,"AAAAAGCj/l8=")</f>
        <v>#VALUE!</v>
      </c>
      <c r="CS97" t="e">
        <f>AND(Sheet1!J1299,"AAAAAGCj/mA=")</f>
        <v>#VALUE!</v>
      </c>
      <c r="CT97" t="e">
        <f>AND(Sheet1!K1299,"AAAAAGCj/mE=")</f>
        <v>#VALUE!</v>
      </c>
      <c r="CU97" t="e">
        <f>AND(Sheet1!L1299,"AAAAAGCj/mI=")</f>
        <v>#VALUE!</v>
      </c>
      <c r="CV97" t="e">
        <f>AND(Sheet1!M1299,"AAAAAGCj/mM=")</f>
        <v>#VALUE!</v>
      </c>
      <c r="CW97" t="e">
        <f>AND(Sheet1!N1299,"AAAAAGCj/mQ=")</f>
        <v>#VALUE!</v>
      </c>
      <c r="CX97" t="e">
        <f>AND(Sheet1!#REF!,"AAAAAGCj/mU=")</f>
        <v>#REF!</v>
      </c>
      <c r="CY97" t="e">
        <f>AND(Sheet1!#REF!,"AAAAAGCj/mY=")</f>
        <v>#REF!</v>
      </c>
      <c r="CZ97" t="e">
        <f>AND(Sheet1!#REF!,"AAAAAGCj/mc=")</f>
        <v>#REF!</v>
      </c>
      <c r="DA97" t="e">
        <f>AND(Sheet1!#REF!,"AAAAAGCj/mg=")</f>
        <v>#REF!</v>
      </c>
      <c r="DB97">
        <f>IF(Sheet1!1300:1300,"AAAAAGCj/mk=",0)</f>
        <v>0</v>
      </c>
      <c r="DC97" t="e">
        <f>AND(Sheet1!A1300,"AAAAAGCj/mo=")</f>
        <v>#VALUE!</v>
      </c>
      <c r="DD97" t="e">
        <f>AND(Sheet1!B1300,"AAAAAGCj/ms=")</f>
        <v>#VALUE!</v>
      </c>
      <c r="DE97" t="e">
        <f>AND(Sheet1!C1300,"AAAAAGCj/mw=")</f>
        <v>#VALUE!</v>
      </c>
      <c r="DF97" t="e">
        <f>AND(Sheet1!D1300,"AAAAAGCj/m0=")</f>
        <v>#VALUE!</v>
      </c>
      <c r="DG97" t="e">
        <f>AND(Sheet1!E1300,"AAAAAGCj/m4=")</f>
        <v>#VALUE!</v>
      </c>
      <c r="DH97" t="e">
        <f>AND(Sheet1!F1300,"AAAAAGCj/m8=")</f>
        <v>#VALUE!</v>
      </c>
      <c r="DI97" t="e">
        <f>AND(Sheet1!G1300,"AAAAAGCj/nA=")</f>
        <v>#VALUE!</v>
      </c>
      <c r="DJ97" t="e">
        <f>AND(Sheet1!H1300,"AAAAAGCj/nE=")</f>
        <v>#VALUE!</v>
      </c>
      <c r="DK97" t="e">
        <f>AND(Sheet1!I1300,"AAAAAGCj/nI=")</f>
        <v>#VALUE!</v>
      </c>
      <c r="DL97" t="e">
        <f>AND(Sheet1!J1300,"AAAAAGCj/nM=")</f>
        <v>#VALUE!</v>
      </c>
      <c r="DM97" t="e">
        <f>AND(Sheet1!K1300,"AAAAAGCj/nQ=")</f>
        <v>#VALUE!</v>
      </c>
      <c r="DN97" t="e">
        <f>AND(Sheet1!L1300,"AAAAAGCj/nU=")</f>
        <v>#VALUE!</v>
      </c>
      <c r="DO97" t="e">
        <f>AND(Sheet1!M1300,"AAAAAGCj/nY=")</f>
        <v>#VALUE!</v>
      </c>
      <c r="DP97" t="e">
        <f>AND(Sheet1!N1300,"AAAAAGCj/nc=")</f>
        <v>#VALUE!</v>
      </c>
      <c r="DQ97" t="e">
        <f>AND(Sheet1!#REF!,"AAAAAGCj/ng=")</f>
        <v>#REF!</v>
      </c>
      <c r="DR97" t="e">
        <f>AND(Sheet1!#REF!,"AAAAAGCj/nk=")</f>
        <v>#REF!</v>
      </c>
      <c r="DS97" t="e">
        <f>AND(Sheet1!#REF!,"AAAAAGCj/no=")</f>
        <v>#REF!</v>
      </c>
      <c r="DT97" t="e">
        <f>AND(Sheet1!#REF!,"AAAAAGCj/ns=")</f>
        <v>#REF!</v>
      </c>
      <c r="DU97">
        <f>IF(Sheet1!1301:1301,"AAAAAGCj/nw=",0)</f>
        <v>0</v>
      </c>
      <c r="DV97" t="e">
        <f>AND(Sheet1!A1301,"AAAAAGCj/n0=")</f>
        <v>#VALUE!</v>
      </c>
      <c r="DW97" t="e">
        <f>AND(Sheet1!B1301,"AAAAAGCj/n4=")</f>
        <v>#VALUE!</v>
      </c>
      <c r="DX97" t="e">
        <f>AND(Sheet1!C1301,"AAAAAGCj/n8=")</f>
        <v>#VALUE!</v>
      </c>
      <c r="DY97" t="e">
        <f>AND(Sheet1!D1301,"AAAAAGCj/oA=")</f>
        <v>#VALUE!</v>
      </c>
      <c r="DZ97" t="e">
        <f>AND(Sheet1!E1301,"AAAAAGCj/oE=")</f>
        <v>#VALUE!</v>
      </c>
      <c r="EA97" t="e">
        <f>AND(Sheet1!F1301,"AAAAAGCj/oI=")</f>
        <v>#VALUE!</v>
      </c>
      <c r="EB97" t="e">
        <f>AND(Sheet1!G1301,"AAAAAGCj/oM=")</f>
        <v>#VALUE!</v>
      </c>
      <c r="EC97" t="e">
        <f>AND(Sheet1!H1301,"AAAAAGCj/oQ=")</f>
        <v>#VALUE!</v>
      </c>
      <c r="ED97" t="e">
        <f>AND(Sheet1!I1301,"AAAAAGCj/oU=")</f>
        <v>#VALUE!</v>
      </c>
      <c r="EE97" t="e">
        <f>AND(Sheet1!J1301,"AAAAAGCj/oY=")</f>
        <v>#VALUE!</v>
      </c>
      <c r="EF97" t="e">
        <f>AND(Sheet1!K1301,"AAAAAGCj/oc=")</f>
        <v>#VALUE!</v>
      </c>
      <c r="EG97" t="e">
        <f>AND(Sheet1!L1301,"AAAAAGCj/og=")</f>
        <v>#VALUE!</v>
      </c>
      <c r="EH97" t="e">
        <f>AND(Sheet1!M1301,"AAAAAGCj/ok=")</f>
        <v>#VALUE!</v>
      </c>
      <c r="EI97" t="e">
        <f>AND(Sheet1!N1301,"AAAAAGCj/oo=")</f>
        <v>#VALUE!</v>
      </c>
      <c r="EJ97" t="e">
        <f>AND(Sheet1!#REF!,"AAAAAGCj/os=")</f>
        <v>#REF!</v>
      </c>
      <c r="EK97" t="e">
        <f>AND(Sheet1!#REF!,"AAAAAGCj/ow=")</f>
        <v>#REF!</v>
      </c>
      <c r="EL97" t="e">
        <f>AND(Sheet1!#REF!,"AAAAAGCj/o0=")</f>
        <v>#REF!</v>
      </c>
      <c r="EM97" t="e">
        <f>AND(Sheet1!#REF!,"AAAAAGCj/o4=")</f>
        <v>#REF!</v>
      </c>
      <c r="EN97">
        <f>IF(Sheet1!1302:1302,"AAAAAGCj/o8=",0)</f>
        <v>0</v>
      </c>
      <c r="EO97" t="e">
        <f>AND(Sheet1!A1302,"AAAAAGCj/pA=")</f>
        <v>#VALUE!</v>
      </c>
      <c r="EP97" t="e">
        <f>AND(Sheet1!B1302,"AAAAAGCj/pE=")</f>
        <v>#VALUE!</v>
      </c>
      <c r="EQ97" t="e">
        <f>AND(Sheet1!C1302,"AAAAAGCj/pI=")</f>
        <v>#VALUE!</v>
      </c>
      <c r="ER97" t="e">
        <f>AND(Sheet1!D1302,"AAAAAGCj/pM=")</f>
        <v>#VALUE!</v>
      </c>
      <c r="ES97" t="e">
        <f>AND(Sheet1!E1302,"AAAAAGCj/pQ=")</f>
        <v>#VALUE!</v>
      </c>
      <c r="ET97" t="e">
        <f>AND(Sheet1!F1302,"AAAAAGCj/pU=")</f>
        <v>#VALUE!</v>
      </c>
      <c r="EU97" t="e">
        <f>AND(Sheet1!G1302,"AAAAAGCj/pY=")</f>
        <v>#VALUE!</v>
      </c>
      <c r="EV97" t="e">
        <f>AND(Sheet1!H1302,"AAAAAGCj/pc=")</f>
        <v>#VALUE!</v>
      </c>
      <c r="EW97" t="e">
        <f>AND(Sheet1!I1302,"AAAAAGCj/pg=")</f>
        <v>#VALUE!</v>
      </c>
      <c r="EX97" t="e">
        <f>AND(Sheet1!J1302,"AAAAAGCj/pk=")</f>
        <v>#VALUE!</v>
      </c>
      <c r="EY97" t="e">
        <f>AND(Sheet1!K1302,"AAAAAGCj/po=")</f>
        <v>#VALUE!</v>
      </c>
      <c r="EZ97" t="e">
        <f>AND(Sheet1!L1302,"AAAAAGCj/ps=")</f>
        <v>#VALUE!</v>
      </c>
      <c r="FA97" t="e">
        <f>AND(Sheet1!M1302,"AAAAAGCj/pw=")</f>
        <v>#VALUE!</v>
      </c>
      <c r="FB97" t="e">
        <f>AND(Sheet1!N1302,"AAAAAGCj/p0=")</f>
        <v>#VALUE!</v>
      </c>
      <c r="FC97" t="e">
        <f>AND(Sheet1!#REF!,"AAAAAGCj/p4=")</f>
        <v>#REF!</v>
      </c>
      <c r="FD97" t="e">
        <f>AND(Sheet1!#REF!,"AAAAAGCj/p8=")</f>
        <v>#REF!</v>
      </c>
      <c r="FE97" t="e">
        <f>AND(Sheet1!#REF!,"AAAAAGCj/qA=")</f>
        <v>#REF!</v>
      </c>
      <c r="FF97" t="e">
        <f>AND(Sheet1!#REF!,"AAAAAGCj/qE=")</f>
        <v>#REF!</v>
      </c>
      <c r="FG97">
        <f>IF(Sheet1!1303:1303,"AAAAAGCj/qI=",0)</f>
        <v>0</v>
      </c>
      <c r="FH97" t="e">
        <f>AND(Sheet1!A1303,"AAAAAGCj/qM=")</f>
        <v>#VALUE!</v>
      </c>
      <c r="FI97" t="e">
        <f>AND(Sheet1!B1303,"AAAAAGCj/qQ=")</f>
        <v>#VALUE!</v>
      </c>
      <c r="FJ97" t="e">
        <f>AND(Sheet1!C1303,"AAAAAGCj/qU=")</f>
        <v>#VALUE!</v>
      </c>
      <c r="FK97" t="e">
        <f>AND(Sheet1!D1303,"AAAAAGCj/qY=")</f>
        <v>#VALUE!</v>
      </c>
      <c r="FL97" t="e">
        <f>AND(Sheet1!E1303,"AAAAAGCj/qc=")</f>
        <v>#VALUE!</v>
      </c>
      <c r="FM97" t="e">
        <f>AND(Sheet1!F1303,"AAAAAGCj/qg=")</f>
        <v>#VALUE!</v>
      </c>
      <c r="FN97" t="e">
        <f>AND(Sheet1!G1303,"AAAAAGCj/qk=")</f>
        <v>#VALUE!</v>
      </c>
      <c r="FO97" t="e">
        <f>AND(Sheet1!H1303,"AAAAAGCj/qo=")</f>
        <v>#VALUE!</v>
      </c>
      <c r="FP97" t="e">
        <f>AND(Sheet1!I1303,"AAAAAGCj/qs=")</f>
        <v>#VALUE!</v>
      </c>
      <c r="FQ97" t="e">
        <f>AND(Sheet1!J1303,"AAAAAGCj/qw=")</f>
        <v>#VALUE!</v>
      </c>
      <c r="FR97" t="e">
        <f>AND(Sheet1!K1303,"AAAAAGCj/q0=")</f>
        <v>#VALUE!</v>
      </c>
      <c r="FS97" t="e">
        <f>AND(Sheet1!L1303,"AAAAAGCj/q4=")</f>
        <v>#VALUE!</v>
      </c>
      <c r="FT97" t="e">
        <f>AND(Sheet1!M1303,"AAAAAGCj/q8=")</f>
        <v>#VALUE!</v>
      </c>
      <c r="FU97" t="e">
        <f>AND(Sheet1!N1303,"AAAAAGCj/rA=")</f>
        <v>#VALUE!</v>
      </c>
      <c r="FV97" t="e">
        <f>AND(Sheet1!#REF!,"AAAAAGCj/rE=")</f>
        <v>#REF!</v>
      </c>
      <c r="FW97" t="e">
        <f>AND(Sheet1!#REF!,"AAAAAGCj/rI=")</f>
        <v>#REF!</v>
      </c>
      <c r="FX97" t="e">
        <f>AND(Sheet1!#REF!,"AAAAAGCj/rM=")</f>
        <v>#REF!</v>
      </c>
      <c r="FY97" t="e">
        <f>AND(Sheet1!#REF!,"AAAAAGCj/rQ=")</f>
        <v>#REF!</v>
      </c>
      <c r="FZ97">
        <f>IF(Sheet1!1304:1304,"AAAAAGCj/rU=",0)</f>
        <v>0</v>
      </c>
      <c r="GA97" t="e">
        <f>AND(Sheet1!A1304,"AAAAAGCj/rY=")</f>
        <v>#VALUE!</v>
      </c>
      <c r="GB97" t="e">
        <f>AND(Sheet1!B1304,"AAAAAGCj/rc=")</f>
        <v>#VALUE!</v>
      </c>
      <c r="GC97" t="e">
        <f>AND(Sheet1!C1304,"AAAAAGCj/rg=")</f>
        <v>#VALUE!</v>
      </c>
      <c r="GD97" t="e">
        <f>AND(Sheet1!D1304,"AAAAAGCj/rk=")</f>
        <v>#VALUE!</v>
      </c>
      <c r="GE97" t="e">
        <f>AND(Sheet1!E1304,"AAAAAGCj/ro=")</f>
        <v>#VALUE!</v>
      </c>
      <c r="GF97" t="e">
        <f>AND(Sheet1!F1304,"AAAAAGCj/rs=")</f>
        <v>#VALUE!</v>
      </c>
      <c r="GG97" t="e">
        <f>AND(Sheet1!G1304,"AAAAAGCj/rw=")</f>
        <v>#VALUE!</v>
      </c>
      <c r="GH97" t="e">
        <f>AND(Sheet1!H1304,"AAAAAGCj/r0=")</f>
        <v>#VALUE!</v>
      </c>
      <c r="GI97" t="e">
        <f>AND(Sheet1!I1304,"AAAAAGCj/r4=")</f>
        <v>#VALUE!</v>
      </c>
      <c r="GJ97" t="e">
        <f>AND(Sheet1!J1304,"AAAAAGCj/r8=")</f>
        <v>#VALUE!</v>
      </c>
      <c r="GK97" t="e">
        <f>AND(Sheet1!K1304,"AAAAAGCj/sA=")</f>
        <v>#VALUE!</v>
      </c>
      <c r="GL97" t="e">
        <f>AND(Sheet1!L1304,"AAAAAGCj/sE=")</f>
        <v>#VALUE!</v>
      </c>
      <c r="GM97" t="e">
        <f>AND(Sheet1!M1304,"AAAAAGCj/sI=")</f>
        <v>#VALUE!</v>
      </c>
      <c r="GN97" t="e">
        <f>AND(Sheet1!N1304,"AAAAAGCj/sM=")</f>
        <v>#VALUE!</v>
      </c>
      <c r="GO97" t="e">
        <f>AND(Sheet1!#REF!,"AAAAAGCj/sQ=")</f>
        <v>#REF!</v>
      </c>
      <c r="GP97" t="e">
        <f>AND(Sheet1!#REF!,"AAAAAGCj/sU=")</f>
        <v>#REF!</v>
      </c>
      <c r="GQ97" t="e">
        <f>AND(Sheet1!#REF!,"AAAAAGCj/sY=")</f>
        <v>#REF!</v>
      </c>
      <c r="GR97" t="e">
        <f>AND(Sheet1!#REF!,"AAAAAGCj/sc=")</f>
        <v>#REF!</v>
      </c>
      <c r="GS97">
        <f>IF(Sheet1!1305:1305,"AAAAAGCj/sg=",0)</f>
        <v>0</v>
      </c>
      <c r="GT97" t="e">
        <f>AND(Sheet1!A1305,"AAAAAGCj/sk=")</f>
        <v>#VALUE!</v>
      </c>
      <c r="GU97" t="e">
        <f>AND(Sheet1!B1305,"AAAAAGCj/so=")</f>
        <v>#VALUE!</v>
      </c>
      <c r="GV97" t="e">
        <f>AND(Sheet1!C1305,"AAAAAGCj/ss=")</f>
        <v>#VALUE!</v>
      </c>
      <c r="GW97" t="e">
        <f>AND(Sheet1!D1305,"AAAAAGCj/sw=")</f>
        <v>#VALUE!</v>
      </c>
      <c r="GX97" t="e">
        <f>AND(Sheet1!E1305,"AAAAAGCj/s0=")</f>
        <v>#VALUE!</v>
      </c>
      <c r="GY97" t="e">
        <f>AND(Sheet1!F1305,"AAAAAGCj/s4=")</f>
        <v>#VALUE!</v>
      </c>
      <c r="GZ97" t="e">
        <f>AND(Sheet1!G1305,"AAAAAGCj/s8=")</f>
        <v>#VALUE!</v>
      </c>
      <c r="HA97" t="e">
        <f>AND(Sheet1!H1305,"AAAAAGCj/tA=")</f>
        <v>#VALUE!</v>
      </c>
      <c r="HB97" t="e">
        <f>AND(Sheet1!I1305,"AAAAAGCj/tE=")</f>
        <v>#VALUE!</v>
      </c>
      <c r="HC97" t="e">
        <f>AND(Sheet1!J1305,"AAAAAGCj/tI=")</f>
        <v>#VALUE!</v>
      </c>
      <c r="HD97" t="e">
        <f>AND(Sheet1!K1305,"AAAAAGCj/tM=")</f>
        <v>#VALUE!</v>
      </c>
      <c r="HE97" t="e">
        <f>AND(Sheet1!L1305,"AAAAAGCj/tQ=")</f>
        <v>#VALUE!</v>
      </c>
      <c r="HF97" t="e">
        <f>AND(Sheet1!M1305,"AAAAAGCj/tU=")</f>
        <v>#VALUE!</v>
      </c>
      <c r="HG97" t="e">
        <f>AND(Sheet1!N1305,"AAAAAGCj/tY=")</f>
        <v>#VALUE!</v>
      </c>
      <c r="HH97" t="e">
        <f>AND(Sheet1!#REF!,"AAAAAGCj/tc=")</f>
        <v>#REF!</v>
      </c>
      <c r="HI97" t="e">
        <f>AND(Sheet1!#REF!,"AAAAAGCj/tg=")</f>
        <v>#REF!</v>
      </c>
      <c r="HJ97" t="e">
        <f>AND(Sheet1!#REF!,"AAAAAGCj/tk=")</f>
        <v>#REF!</v>
      </c>
      <c r="HK97" t="e">
        <f>AND(Sheet1!#REF!,"AAAAAGCj/to=")</f>
        <v>#REF!</v>
      </c>
      <c r="HL97">
        <f>IF(Sheet1!1306:1306,"AAAAAGCj/ts=",0)</f>
        <v>0</v>
      </c>
      <c r="HM97" t="e">
        <f>AND(Sheet1!A1306,"AAAAAGCj/tw=")</f>
        <v>#VALUE!</v>
      </c>
      <c r="HN97" t="e">
        <f>AND(Sheet1!B1306,"AAAAAGCj/t0=")</f>
        <v>#VALUE!</v>
      </c>
      <c r="HO97" t="e">
        <f>AND(Sheet1!C1306,"AAAAAGCj/t4=")</f>
        <v>#VALUE!</v>
      </c>
      <c r="HP97" t="e">
        <f>AND(Sheet1!D1306,"AAAAAGCj/t8=")</f>
        <v>#VALUE!</v>
      </c>
      <c r="HQ97" t="e">
        <f>AND(Sheet1!E1306,"AAAAAGCj/uA=")</f>
        <v>#VALUE!</v>
      </c>
      <c r="HR97" t="e">
        <f>AND(Sheet1!F1306,"AAAAAGCj/uE=")</f>
        <v>#VALUE!</v>
      </c>
      <c r="HS97" t="e">
        <f>AND(Sheet1!G1306,"AAAAAGCj/uI=")</f>
        <v>#VALUE!</v>
      </c>
      <c r="HT97" t="e">
        <f>AND(Sheet1!H1306,"AAAAAGCj/uM=")</f>
        <v>#VALUE!</v>
      </c>
      <c r="HU97" t="e">
        <f>AND(Sheet1!I1306,"AAAAAGCj/uQ=")</f>
        <v>#VALUE!</v>
      </c>
      <c r="HV97" t="e">
        <f>AND(Sheet1!J1306,"AAAAAGCj/uU=")</f>
        <v>#VALUE!</v>
      </c>
      <c r="HW97" t="e">
        <f>AND(Sheet1!K1306,"AAAAAGCj/uY=")</f>
        <v>#VALUE!</v>
      </c>
      <c r="HX97" t="e">
        <f>AND(Sheet1!L1306,"AAAAAGCj/uc=")</f>
        <v>#VALUE!</v>
      </c>
      <c r="HY97" t="e">
        <f>AND(Sheet1!M1306,"AAAAAGCj/ug=")</f>
        <v>#VALUE!</v>
      </c>
      <c r="HZ97" t="e">
        <f>AND(Sheet1!N1306,"AAAAAGCj/uk=")</f>
        <v>#VALUE!</v>
      </c>
      <c r="IA97" t="e">
        <f>AND(Sheet1!#REF!,"AAAAAGCj/uo=")</f>
        <v>#REF!</v>
      </c>
      <c r="IB97" t="e">
        <f>AND(Sheet1!#REF!,"AAAAAGCj/us=")</f>
        <v>#REF!</v>
      </c>
      <c r="IC97" t="e">
        <f>AND(Sheet1!#REF!,"AAAAAGCj/uw=")</f>
        <v>#REF!</v>
      </c>
      <c r="ID97" t="e">
        <f>AND(Sheet1!#REF!,"AAAAAGCj/u0=")</f>
        <v>#REF!</v>
      </c>
      <c r="IE97">
        <f>IF(Sheet1!1307:1307,"AAAAAGCj/u4=",0)</f>
        <v>0</v>
      </c>
      <c r="IF97" t="e">
        <f>AND(Sheet1!A1307,"AAAAAGCj/u8=")</f>
        <v>#VALUE!</v>
      </c>
      <c r="IG97" t="e">
        <f>AND(Sheet1!B1307,"AAAAAGCj/vA=")</f>
        <v>#VALUE!</v>
      </c>
      <c r="IH97" t="e">
        <f>AND(Sheet1!C1307,"AAAAAGCj/vE=")</f>
        <v>#VALUE!</v>
      </c>
      <c r="II97" t="e">
        <f>AND(Sheet1!D1307,"AAAAAGCj/vI=")</f>
        <v>#VALUE!</v>
      </c>
      <c r="IJ97" t="e">
        <f>AND(Sheet1!E1307,"AAAAAGCj/vM=")</f>
        <v>#VALUE!</v>
      </c>
      <c r="IK97" t="e">
        <f>AND(Sheet1!F1307,"AAAAAGCj/vQ=")</f>
        <v>#VALUE!</v>
      </c>
      <c r="IL97" t="e">
        <f>AND(Sheet1!G1307,"AAAAAGCj/vU=")</f>
        <v>#VALUE!</v>
      </c>
      <c r="IM97" t="e">
        <f>AND(Sheet1!H1307,"AAAAAGCj/vY=")</f>
        <v>#VALUE!</v>
      </c>
      <c r="IN97" t="e">
        <f>AND(Sheet1!I1307,"AAAAAGCj/vc=")</f>
        <v>#VALUE!</v>
      </c>
      <c r="IO97" t="e">
        <f>AND(Sheet1!J1307,"AAAAAGCj/vg=")</f>
        <v>#VALUE!</v>
      </c>
      <c r="IP97" t="e">
        <f>AND(Sheet1!K1307,"AAAAAGCj/vk=")</f>
        <v>#VALUE!</v>
      </c>
      <c r="IQ97" t="e">
        <f>AND(Sheet1!L1307,"AAAAAGCj/vo=")</f>
        <v>#VALUE!</v>
      </c>
      <c r="IR97" t="e">
        <f>AND(Sheet1!M1307,"AAAAAGCj/vs=")</f>
        <v>#VALUE!</v>
      </c>
      <c r="IS97" t="e">
        <f>AND(Sheet1!N1307,"AAAAAGCj/vw=")</f>
        <v>#VALUE!</v>
      </c>
      <c r="IT97" t="e">
        <f>AND(Sheet1!#REF!,"AAAAAGCj/v0=")</f>
        <v>#REF!</v>
      </c>
      <c r="IU97" t="e">
        <f>AND(Sheet1!#REF!,"AAAAAGCj/v4=")</f>
        <v>#REF!</v>
      </c>
      <c r="IV97" t="e">
        <f>AND(Sheet1!#REF!,"AAAAAGCj/v8=")</f>
        <v>#REF!</v>
      </c>
    </row>
    <row r="98" spans="1:256" x14ac:dyDescent="0.2">
      <c r="A98" t="e">
        <f>AND(Sheet1!#REF!,"AAAAAD/rXgA=")</f>
        <v>#REF!</v>
      </c>
      <c r="B98" t="e">
        <f>IF(Sheet1!1308:1308,"AAAAAD/rXgE=",0)</f>
        <v>#VALUE!</v>
      </c>
      <c r="C98" t="e">
        <f>AND(Sheet1!A1308,"AAAAAD/rXgI=")</f>
        <v>#VALUE!</v>
      </c>
      <c r="D98" t="e">
        <f>AND(Sheet1!B1308,"AAAAAD/rXgM=")</f>
        <v>#VALUE!</v>
      </c>
      <c r="E98" t="e">
        <f>AND(Sheet1!C1308,"AAAAAD/rXgQ=")</f>
        <v>#VALUE!</v>
      </c>
      <c r="F98" t="e">
        <f>AND(Sheet1!D1308,"AAAAAD/rXgU=")</f>
        <v>#VALUE!</v>
      </c>
      <c r="G98" t="e">
        <f>AND(Sheet1!E1308,"AAAAAD/rXgY=")</f>
        <v>#VALUE!</v>
      </c>
      <c r="H98" t="e">
        <f>AND(Sheet1!F1308,"AAAAAD/rXgc=")</f>
        <v>#VALUE!</v>
      </c>
      <c r="I98" t="e">
        <f>AND(Sheet1!G1308,"AAAAAD/rXgg=")</f>
        <v>#VALUE!</v>
      </c>
      <c r="J98" t="e">
        <f>AND(Sheet1!H1308,"AAAAAD/rXgk=")</f>
        <v>#VALUE!</v>
      </c>
      <c r="K98" t="e">
        <f>AND(Sheet1!I1308,"AAAAAD/rXgo=")</f>
        <v>#VALUE!</v>
      </c>
      <c r="L98" t="e">
        <f>AND(Sheet1!J1308,"AAAAAD/rXgs=")</f>
        <v>#VALUE!</v>
      </c>
      <c r="M98" t="e">
        <f>AND(Sheet1!K1308,"AAAAAD/rXgw=")</f>
        <v>#VALUE!</v>
      </c>
      <c r="N98" t="e">
        <f>AND(Sheet1!L1308,"AAAAAD/rXg0=")</f>
        <v>#VALUE!</v>
      </c>
      <c r="O98" t="e">
        <f>AND(Sheet1!M1308,"AAAAAD/rXg4=")</f>
        <v>#VALUE!</v>
      </c>
      <c r="P98" t="e">
        <f>AND(Sheet1!N1308,"AAAAAD/rXg8=")</f>
        <v>#VALUE!</v>
      </c>
      <c r="Q98" t="e">
        <f>AND(Sheet1!#REF!,"AAAAAD/rXhA=")</f>
        <v>#REF!</v>
      </c>
      <c r="R98" t="e">
        <f>AND(Sheet1!#REF!,"AAAAAD/rXhE=")</f>
        <v>#REF!</v>
      </c>
      <c r="S98" t="e">
        <f>AND(Sheet1!#REF!,"AAAAAD/rXhI=")</f>
        <v>#REF!</v>
      </c>
      <c r="T98" t="e">
        <f>AND(Sheet1!#REF!,"AAAAAD/rXhM=")</f>
        <v>#REF!</v>
      </c>
      <c r="U98">
        <f>IF(Sheet1!1309:1309,"AAAAAD/rXhQ=",0)</f>
        <v>0</v>
      </c>
      <c r="V98" t="e">
        <f>AND(Sheet1!A1309,"AAAAAD/rXhU=")</f>
        <v>#VALUE!</v>
      </c>
      <c r="W98" t="e">
        <f>AND(Sheet1!B1309,"AAAAAD/rXhY=")</f>
        <v>#VALUE!</v>
      </c>
      <c r="X98" t="e">
        <f>AND(Sheet1!C1309,"AAAAAD/rXhc=")</f>
        <v>#VALUE!</v>
      </c>
      <c r="Y98" t="e">
        <f>AND(Sheet1!D1309,"AAAAAD/rXhg=")</f>
        <v>#VALUE!</v>
      </c>
      <c r="Z98" t="e">
        <f>AND(Sheet1!E1309,"AAAAAD/rXhk=")</f>
        <v>#VALUE!</v>
      </c>
      <c r="AA98" t="e">
        <f>AND(Sheet1!F1309,"AAAAAD/rXho=")</f>
        <v>#VALUE!</v>
      </c>
      <c r="AB98" t="e">
        <f>AND(Sheet1!G1309,"AAAAAD/rXhs=")</f>
        <v>#VALUE!</v>
      </c>
      <c r="AC98" t="e">
        <f>AND(Sheet1!H1309,"AAAAAD/rXhw=")</f>
        <v>#VALUE!</v>
      </c>
      <c r="AD98" t="e">
        <f>AND(Sheet1!I1309,"AAAAAD/rXh0=")</f>
        <v>#VALUE!</v>
      </c>
      <c r="AE98" t="e">
        <f>AND(Sheet1!J1309,"AAAAAD/rXh4=")</f>
        <v>#VALUE!</v>
      </c>
      <c r="AF98" t="e">
        <f>AND(Sheet1!K1309,"AAAAAD/rXh8=")</f>
        <v>#VALUE!</v>
      </c>
      <c r="AG98" t="e">
        <f>AND(Sheet1!L1309,"AAAAAD/rXiA=")</f>
        <v>#VALUE!</v>
      </c>
      <c r="AH98" t="e">
        <f>AND(Sheet1!M1309,"AAAAAD/rXiE=")</f>
        <v>#VALUE!</v>
      </c>
      <c r="AI98" t="e">
        <f>AND(Sheet1!N1309,"AAAAAD/rXiI=")</f>
        <v>#VALUE!</v>
      </c>
      <c r="AJ98" t="e">
        <f>AND(Sheet1!#REF!,"AAAAAD/rXiM=")</f>
        <v>#REF!</v>
      </c>
      <c r="AK98" t="e">
        <f>AND(Sheet1!#REF!,"AAAAAD/rXiQ=")</f>
        <v>#REF!</v>
      </c>
      <c r="AL98" t="e">
        <f>AND(Sheet1!#REF!,"AAAAAD/rXiU=")</f>
        <v>#REF!</v>
      </c>
      <c r="AM98" t="e">
        <f>AND(Sheet1!#REF!,"AAAAAD/rXiY=")</f>
        <v>#REF!</v>
      </c>
      <c r="AN98">
        <f>IF(Sheet1!1310:1310,"AAAAAD/rXic=",0)</f>
        <v>0</v>
      </c>
      <c r="AO98" t="e">
        <f>AND(Sheet1!A1310,"AAAAAD/rXig=")</f>
        <v>#VALUE!</v>
      </c>
      <c r="AP98" t="e">
        <f>AND(Sheet1!B1310,"AAAAAD/rXik=")</f>
        <v>#VALUE!</v>
      </c>
      <c r="AQ98" t="e">
        <f>AND(Sheet1!C1310,"AAAAAD/rXio=")</f>
        <v>#VALUE!</v>
      </c>
      <c r="AR98" t="e">
        <f>AND(Sheet1!D1310,"AAAAAD/rXis=")</f>
        <v>#VALUE!</v>
      </c>
      <c r="AS98" t="e">
        <f>AND(Sheet1!E1310,"AAAAAD/rXiw=")</f>
        <v>#VALUE!</v>
      </c>
      <c r="AT98" t="e">
        <f>AND(Sheet1!F1310,"AAAAAD/rXi0=")</f>
        <v>#VALUE!</v>
      </c>
      <c r="AU98" t="e">
        <f>AND(Sheet1!G1310,"AAAAAD/rXi4=")</f>
        <v>#VALUE!</v>
      </c>
      <c r="AV98" t="e">
        <f>AND(Sheet1!H1310,"AAAAAD/rXi8=")</f>
        <v>#VALUE!</v>
      </c>
      <c r="AW98" t="e">
        <f>AND(Sheet1!I1310,"AAAAAD/rXjA=")</f>
        <v>#VALUE!</v>
      </c>
      <c r="AX98" t="e">
        <f>AND(Sheet1!J1310,"AAAAAD/rXjE=")</f>
        <v>#VALUE!</v>
      </c>
      <c r="AY98" t="e">
        <f>AND(Sheet1!K1310,"AAAAAD/rXjI=")</f>
        <v>#VALUE!</v>
      </c>
      <c r="AZ98" t="e">
        <f>AND(Sheet1!L1310,"AAAAAD/rXjM=")</f>
        <v>#VALUE!</v>
      </c>
      <c r="BA98" t="e">
        <f>AND(Sheet1!M1310,"AAAAAD/rXjQ=")</f>
        <v>#VALUE!</v>
      </c>
      <c r="BB98" t="e">
        <f>AND(Sheet1!N1310,"AAAAAD/rXjU=")</f>
        <v>#VALUE!</v>
      </c>
      <c r="BC98" t="e">
        <f>AND(Sheet1!#REF!,"AAAAAD/rXjY=")</f>
        <v>#REF!</v>
      </c>
      <c r="BD98" t="e">
        <f>AND(Sheet1!#REF!,"AAAAAD/rXjc=")</f>
        <v>#REF!</v>
      </c>
      <c r="BE98" t="e">
        <f>AND(Sheet1!#REF!,"AAAAAD/rXjg=")</f>
        <v>#REF!</v>
      </c>
      <c r="BF98" t="e">
        <f>AND(Sheet1!#REF!,"AAAAAD/rXjk=")</f>
        <v>#REF!</v>
      </c>
      <c r="BG98">
        <f>IF(Sheet1!1311:1311,"AAAAAD/rXjo=",0)</f>
        <v>0</v>
      </c>
      <c r="BH98" t="e">
        <f>AND(Sheet1!A1311,"AAAAAD/rXjs=")</f>
        <v>#VALUE!</v>
      </c>
      <c r="BI98" t="e">
        <f>AND(Sheet1!B1311,"AAAAAD/rXjw=")</f>
        <v>#VALUE!</v>
      </c>
      <c r="BJ98" t="e">
        <f>AND(Sheet1!C1311,"AAAAAD/rXj0=")</f>
        <v>#VALUE!</v>
      </c>
      <c r="BK98" t="e">
        <f>AND(Sheet1!D1311,"AAAAAD/rXj4=")</f>
        <v>#VALUE!</v>
      </c>
      <c r="BL98" t="e">
        <f>AND(Sheet1!E1311,"AAAAAD/rXj8=")</f>
        <v>#VALUE!</v>
      </c>
      <c r="BM98" t="e">
        <f>AND(Sheet1!F1311,"AAAAAD/rXkA=")</f>
        <v>#VALUE!</v>
      </c>
      <c r="BN98" t="e">
        <f>AND(Sheet1!G1311,"AAAAAD/rXkE=")</f>
        <v>#VALUE!</v>
      </c>
      <c r="BO98" t="e">
        <f>AND(Sheet1!H1311,"AAAAAD/rXkI=")</f>
        <v>#VALUE!</v>
      </c>
      <c r="BP98" t="e">
        <f>AND(Sheet1!I1311,"AAAAAD/rXkM=")</f>
        <v>#VALUE!</v>
      </c>
      <c r="BQ98" t="e">
        <f>AND(Sheet1!J1311,"AAAAAD/rXkQ=")</f>
        <v>#VALUE!</v>
      </c>
      <c r="BR98" t="e">
        <f>AND(Sheet1!K1311,"AAAAAD/rXkU=")</f>
        <v>#VALUE!</v>
      </c>
      <c r="BS98" t="e">
        <f>AND(Sheet1!L1311,"AAAAAD/rXkY=")</f>
        <v>#VALUE!</v>
      </c>
      <c r="BT98" t="e">
        <f>AND(Sheet1!M1311,"AAAAAD/rXkc=")</f>
        <v>#VALUE!</v>
      </c>
      <c r="BU98" t="e">
        <f>AND(Sheet1!N1311,"AAAAAD/rXkg=")</f>
        <v>#VALUE!</v>
      </c>
      <c r="BV98" t="e">
        <f>AND(Sheet1!#REF!,"AAAAAD/rXkk=")</f>
        <v>#REF!</v>
      </c>
      <c r="BW98" t="e">
        <f>AND(Sheet1!#REF!,"AAAAAD/rXko=")</f>
        <v>#REF!</v>
      </c>
      <c r="BX98" t="e">
        <f>AND(Sheet1!#REF!,"AAAAAD/rXks=")</f>
        <v>#REF!</v>
      </c>
      <c r="BY98" t="e">
        <f>AND(Sheet1!#REF!,"AAAAAD/rXkw=")</f>
        <v>#REF!</v>
      </c>
      <c r="BZ98">
        <f>IF(Sheet1!1312:1312,"AAAAAD/rXk0=",0)</f>
        <v>0</v>
      </c>
      <c r="CA98" t="e">
        <f>AND(Sheet1!A1312,"AAAAAD/rXk4=")</f>
        <v>#VALUE!</v>
      </c>
      <c r="CB98" t="e">
        <f>AND(Sheet1!B1312,"AAAAAD/rXk8=")</f>
        <v>#VALUE!</v>
      </c>
      <c r="CC98" t="e">
        <f>AND(Sheet1!C1312,"AAAAAD/rXlA=")</f>
        <v>#VALUE!</v>
      </c>
      <c r="CD98" t="e">
        <f>AND(Sheet1!D1312,"AAAAAD/rXlE=")</f>
        <v>#VALUE!</v>
      </c>
      <c r="CE98" t="e">
        <f>AND(Sheet1!E1312,"AAAAAD/rXlI=")</f>
        <v>#VALUE!</v>
      </c>
      <c r="CF98" t="e">
        <f>AND(Sheet1!F1312,"AAAAAD/rXlM=")</f>
        <v>#VALUE!</v>
      </c>
      <c r="CG98" t="e">
        <f>AND(Sheet1!G1312,"AAAAAD/rXlQ=")</f>
        <v>#VALUE!</v>
      </c>
      <c r="CH98" t="e">
        <f>AND(Sheet1!H1312,"AAAAAD/rXlU=")</f>
        <v>#VALUE!</v>
      </c>
      <c r="CI98" t="e">
        <f>AND(Sheet1!I1312,"AAAAAD/rXlY=")</f>
        <v>#VALUE!</v>
      </c>
      <c r="CJ98" t="e">
        <f>AND(Sheet1!J1312,"AAAAAD/rXlc=")</f>
        <v>#VALUE!</v>
      </c>
      <c r="CK98" t="e">
        <f>AND(Sheet1!K1312,"AAAAAD/rXlg=")</f>
        <v>#VALUE!</v>
      </c>
      <c r="CL98" t="e">
        <f>AND(Sheet1!L1312,"AAAAAD/rXlk=")</f>
        <v>#VALUE!</v>
      </c>
      <c r="CM98" t="e">
        <f>AND(Sheet1!M1312,"AAAAAD/rXlo=")</f>
        <v>#VALUE!</v>
      </c>
      <c r="CN98" t="e">
        <f>AND(Sheet1!N1312,"AAAAAD/rXls=")</f>
        <v>#VALUE!</v>
      </c>
      <c r="CO98" t="e">
        <f>AND(Sheet1!#REF!,"AAAAAD/rXlw=")</f>
        <v>#REF!</v>
      </c>
      <c r="CP98" t="e">
        <f>AND(Sheet1!#REF!,"AAAAAD/rXl0=")</f>
        <v>#REF!</v>
      </c>
      <c r="CQ98" t="e">
        <f>AND(Sheet1!#REF!,"AAAAAD/rXl4=")</f>
        <v>#REF!</v>
      </c>
      <c r="CR98" t="e">
        <f>AND(Sheet1!#REF!,"AAAAAD/rXl8=")</f>
        <v>#REF!</v>
      </c>
      <c r="CS98">
        <f>IF(Sheet1!1313:1313,"AAAAAD/rXmA=",0)</f>
        <v>0</v>
      </c>
      <c r="CT98" t="e">
        <f>AND(Sheet1!A1313,"AAAAAD/rXmE=")</f>
        <v>#VALUE!</v>
      </c>
      <c r="CU98" t="e">
        <f>AND(Sheet1!B1313,"AAAAAD/rXmI=")</f>
        <v>#VALUE!</v>
      </c>
      <c r="CV98" t="e">
        <f>AND(Sheet1!C1313,"AAAAAD/rXmM=")</f>
        <v>#VALUE!</v>
      </c>
      <c r="CW98" t="e">
        <f>AND(Sheet1!D1313,"AAAAAD/rXmQ=")</f>
        <v>#VALUE!</v>
      </c>
      <c r="CX98" t="e">
        <f>AND(Sheet1!E1313,"AAAAAD/rXmU=")</f>
        <v>#VALUE!</v>
      </c>
      <c r="CY98" t="e">
        <f>AND(Sheet1!F1313,"AAAAAD/rXmY=")</f>
        <v>#VALUE!</v>
      </c>
      <c r="CZ98" t="e">
        <f>AND(Sheet1!G1313,"AAAAAD/rXmc=")</f>
        <v>#VALUE!</v>
      </c>
      <c r="DA98" t="e">
        <f>AND(Sheet1!H1313,"AAAAAD/rXmg=")</f>
        <v>#VALUE!</v>
      </c>
      <c r="DB98" t="e">
        <f>AND(Sheet1!I1313,"AAAAAD/rXmk=")</f>
        <v>#VALUE!</v>
      </c>
      <c r="DC98" t="e">
        <f>AND(Sheet1!J1313,"AAAAAD/rXmo=")</f>
        <v>#VALUE!</v>
      </c>
      <c r="DD98" t="e">
        <f>AND(Sheet1!K1313,"AAAAAD/rXms=")</f>
        <v>#VALUE!</v>
      </c>
      <c r="DE98" t="e">
        <f>AND(Sheet1!L1313,"AAAAAD/rXmw=")</f>
        <v>#VALUE!</v>
      </c>
      <c r="DF98" t="e">
        <f>AND(Sheet1!M1313,"AAAAAD/rXm0=")</f>
        <v>#VALUE!</v>
      </c>
      <c r="DG98" t="e">
        <f>AND(Sheet1!N1313,"AAAAAD/rXm4=")</f>
        <v>#VALUE!</v>
      </c>
      <c r="DH98" t="e">
        <f>AND(Sheet1!#REF!,"AAAAAD/rXm8=")</f>
        <v>#REF!</v>
      </c>
      <c r="DI98" t="e">
        <f>AND(Sheet1!#REF!,"AAAAAD/rXnA=")</f>
        <v>#REF!</v>
      </c>
      <c r="DJ98" t="e">
        <f>AND(Sheet1!#REF!,"AAAAAD/rXnE=")</f>
        <v>#REF!</v>
      </c>
      <c r="DK98" t="e">
        <f>AND(Sheet1!#REF!,"AAAAAD/rXnI=")</f>
        <v>#REF!</v>
      </c>
      <c r="DL98">
        <f>IF(Sheet1!1314:1314,"AAAAAD/rXnM=",0)</f>
        <v>0</v>
      </c>
      <c r="DM98" t="e">
        <f>AND(Sheet1!A1314,"AAAAAD/rXnQ=")</f>
        <v>#VALUE!</v>
      </c>
      <c r="DN98" t="e">
        <f>AND(Sheet1!B1314,"AAAAAD/rXnU=")</f>
        <v>#VALUE!</v>
      </c>
      <c r="DO98" t="e">
        <f>AND(Sheet1!C1314,"AAAAAD/rXnY=")</f>
        <v>#VALUE!</v>
      </c>
      <c r="DP98" t="e">
        <f>AND(Sheet1!D1314,"AAAAAD/rXnc=")</f>
        <v>#VALUE!</v>
      </c>
      <c r="DQ98" t="e">
        <f>AND(Sheet1!E1314,"AAAAAD/rXng=")</f>
        <v>#VALUE!</v>
      </c>
      <c r="DR98" t="e">
        <f>AND(Sheet1!F1314,"AAAAAD/rXnk=")</f>
        <v>#VALUE!</v>
      </c>
      <c r="DS98" t="e">
        <f>AND(Sheet1!G1314,"AAAAAD/rXno=")</f>
        <v>#VALUE!</v>
      </c>
      <c r="DT98" t="e">
        <f>AND(Sheet1!H1314,"AAAAAD/rXns=")</f>
        <v>#VALUE!</v>
      </c>
      <c r="DU98" t="e">
        <f>AND(Sheet1!I1314,"AAAAAD/rXnw=")</f>
        <v>#VALUE!</v>
      </c>
      <c r="DV98" t="e">
        <f>AND(Sheet1!J1314,"AAAAAD/rXn0=")</f>
        <v>#VALUE!</v>
      </c>
      <c r="DW98" t="e">
        <f>AND(Sheet1!K1314,"AAAAAD/rXn4=")</f>
        <v>#VALUE!</v>
      </c>
      <c r="DX98" t="e">
        <f>AND(Sheet1!L1314,"AAAAAD/rXn8=")</f>
        <v>#VALUE!</v>
      </c>
      <c r="DY98" t="e">
        <f>AND(Sheet1!M1314,"AAAAAD/rXoA=")</f>
        <v>#VALUE!</v>
      </c>
      <c r="DZ98" t="e">
        <f>AND(Sheet1!N1314,"AAAAAD/rXoE=")</f>
        <v>#VALUE!</v>
      </c>
      <c r="EA98" t="e">
        <f>AND(Sheet1!#REF!,"AAAAAD/rXoI=")</f>
        <v>#REF!</v>
      </c>
      <c r="EB98" t="e">
        <f>AND(Sheet1!#REF!,"AAAAAD/rXoM=")</f>
        <v>#REF!</v>
      </c>
      <c r="EC98" t="e">
        <f>AND(Sheet1!#REF!,"AAAAAD/rXoQ=")</f>
        <v>#REF!</v>
      </c>
      <c r="ED98" t="e">
        <f>AND(Sheet1!#REF!,"AAAAAD/rXoU=")</f>
        <v>#REF!</v>
      </c>
      <c r="EE98">
        <f>IF(Sheet1!1315:1315,"AAAAAD/rXoY=",0)</f>
        <v>0</v>
      </c>
      <c r="EF98" t="e">
        <f>AND(Sheet1!A1315,"AAAAAD/rXoc=")</f>
        <v>#VALUE!</v>
      </c>
      <c r="EG98" t="e">
        <f>AND(Sheet1!B1315,"AAAAAD/rXog=")</f>
        <v>#VALUE!</v>
      </c>
      <c r="EH98" t="e">
        <f>AND(Sheet1!C1315,"AAAAAD/rXok=")</f>
        <v>#VALUE!</v>
      </c>
      <c r="EI98" t="e">
        <f>AND(Sheet1!D1315,"AAAAAD/rXoo=")</f>
        <v>#VALUE!</v>
      </c>
      <c r="EJ98" t="e">
        <f>AND(Sheet1!E1315,"AAAAAD/rXos=")</f>
        <v>#VALUE!</v>
      </c>
      <c r="EK98" t="e">
        <f>AND(Sheet1!F1315,"AAAAAD/rXow=")</f>
        <v>#VALUE!</v>
      </c>
      <c r="EL98" t="e">
        <f>AND(Sheet1!G1315,"AAAAAD/rXo0=")</f>
        <v>#VALUE!</v>
      </c>
      <c r="EM98" t="e">
        <f>AND(Sheet1!H1315,"AAAAAD/rXo4=")</f>
        <v>#VALUE!</v>
      </c>
      <c r="EN98" t="e">
        <f>AND(Sheet1!I1315,"AAAAAD/rXo8=")</f>
        <v>#VALUE!</v>
      </c>
      <c r="EO98" t="e">
        <f>AND(Sheet1!J1315,"AAAAAD/rXpA=")</f>
        <v>#VALUE!</v>
      </c>
      <c r="EP98" t="e">
        <f>AND(Sheet1!K1315,"AAAAAD/rXpE=")</f>
        <v>#VALUE!</v>
      </c>
      <c r="EQ98" t="e">
        <f>AND(Sheet1!L1315,"AAAAAD/rXpI=")</f>
        <v>#VALUE!</v>
      </c>
      <c r="ER98" t="e">
        <f>AND(Sheet1!M1315,"AAAAAD/rXpM=")</f>
        <v>#VALUE!</v>
      </c>
      <c r="ES98" t="e">
        <f>AND(Sheet1!N1315,"AAAAAD/rXpQ=")</f>
        <v>#VALUE!</v>
      </c>
      <c r="ET98" t="e">
        <f>AND(Sheet1!#REF!,"AAAAAD/rXpU=")</f>
        <v>#REF!</v>
      </c>
      <c r="EU98" t="e">
        <f>AND(Sheet1!#REF!,"AAAAAD/rXpY=")</f>
        <v>#REF!</v>
      </c>
      <c r="EV98" t="e">
        <f>AND(Sheet1!#REF!,"AAAAAD/rXpc=")</f>
        <v>#REF!</v>
      </c>
      <c r="EW98" t="e">
        <f>AND(Sheet1!#REF!,"AAAAAD/rXpg=")</f>
        <v>#REF!</v>
      </c>
      <c r="EX98">
        <f>IF(Sheet1!1316:1316,"AAAAAD/rXpk=",0)</f>
        <v>0</v>
      </c>
      <c r="EY98" t="e">
        <f>AND(Sheet1!A1316,"AAAAAD/rXpo=")</f>
        <v>#VALUE!</v>
      </c>
      <c r="EZ98" t="e">
        <f>AND(Sheet1!B1316,"AAAAAD/rXps=")</f>
        <v>#VALUE!</v>
      </c>
      <c r="FA98" t="e">
        <f>AND(Sheet1!C1316,"AAAAAD/rXpw=")</f>
        <v>#VALUE!</v>
      </c>
      <c r="FB98" t="e">
        <f>AND(Sheet1!D1316,"AAAAAD/rXp0=")</f>
        <v>#VALUE!</v>
      </c>
      <c r="FC98" t="e">
        <f>AND(Sheet1!E1316,"AAAAAD/rXp4=")</f>
        <v>#VALUE!</v>
      </c>
      <c r="FD98" t="e">
        <f>AND(Sheet1!F1316,"AAAAAD/rXp8=")</f>
        <v>#VALUE!</v>
      </c>
      <c r="FE98" t="e">
        <f>AND(Sheet1!G1316,"AAAAAD/rXqA=")</f>
        <v>#VALUE!</v>
      </c>
      <c r="FF98" t="e">
        <f>AND(Sheet1!H1316,"AAAAAD/rXqE=")</f>
        <v>#VALUE!</v>
      </c>
      <c r="FG98" t="e">
        <f>AND(Sheet1!I1316,"AAAAAD/rXqI=")</f>
        <v>#VALUE!</v>
      </c>
      <c r="FH98" t="e">
        <f>AND(Sheet1!J1316,"AAAAAD/rXqM=")</f>
        <v>#VALUE!</v>
      </c>
      <c r="FI98" t="e">
        <f>AND(Sheet1!K1316,"AAAAAD/rXqQ=")</f>
        <v>#VALUE!</v>
      </c>
      <c r="FJ98" t="e">
        <f>AND(Sheet1!L1316,"AAAAAD/rXqU=")</f>
        <v>#VALUE!</v>
      </c>
      <c r="FK98" t="e">
        <f>AND(Sheet1!M1316,"AAAAAD/rXqY=")</f>
        <v>#VALUE!</v>
      </c>
      <c r="FL98" t="e">
        <f>AND(Sheet1!N1316,"AAAAAD/rXqc=")</f>
        <v>#VALUE!</v>
      </c>
      <c r="FM98" t="e">
        <f>AND(Sheet1!#REF!,"AAAAAD/rXqg=")</f>
        <v>#REF!</v>
      </c>
      <c r="FN98" t="e">
        <f>AND(Sheet1!#REF!,"AAAAAD/rXqk=")</f>
        <v>#REF!</v>
      </c>
      <c r="FO98" t="e">
        <f>AND(Sheet1!#REF!,"AAAAAD/rXqo=")</f>
        <v>#REF!</v>
      </c>
      <c r="FP98" t="e">
        <f>AND(Sheet1!#REF!,"AAAAAD/rXqs=")</f>
        <v>#REF!</v>
      </c>
      <c r="FQ98">
        <f>IF(Sheet1!1317:1317,"AAAAAD/rXqw=",0)</f>
        <v>0</v>
      </c>
      <c r="FR98" t="e">
        <f>AND(Sheet1!A1317,"AAAAAD/rXq0=")</f>
        <v>#VALUE!</v>
      </c>
      <c r="FS98" t="e">
        <f>AND(Sheet1!B1317,"AAAAAD/rXq4=")</f>
        <v>#VALUE!</v>
      </c>
      <c r="FT98" t="e">
        <f>AND(Sheet1!C1317,"AAAAAD/rXq8=")</f>
        <v>#VALUE!</v>
      </c>
      <c r="FU98" t="e">
        <f>AND(Sheet1!D1317,"AAAAAD/rXrA=")</f>
        <v>#VALUE!</v>
      </c>
      <c r="FV98" t="e">
        <f>AND(Sheet1!E1317,"AAAAAD/rXrE=")</f>
        <v>#VALUE!</v>
      </c>
      <c r="FW98" t="e">
        <f>AND(Sheet1!F1317,"AAAAAD/rXrI=")</f>
        <v>#VALUE!</v>
      </c>
      <c r="FX98" t="e">
        <f>AND(Sheet1!G1317,"AAAAAD/rXrM=")</f>
        <v>#VALUE!</v>
      </c>
      <c r="FY98" t="e">
        <f>AND(Sheet1!H1317,"AAAAAD/rXrQ=")</f>
        <v>#VALUE!</v>
      </c>
      <c r="FZ98" t="e">
        <f>AND(Sheet1!I1317,"AAAAAD/rXrU=")</f>
        <v>#VALUE!</v>
      </c>
      <c r="GA98" t="e">
        <f>AND(Sheet1!J1317,"AAAAAD/rXrY=")</f>
        <v>#VALUE!</v>
      </c>
      <c r="GB98" t="e">
        <f>AND(Sheet1!K1317,"AAAAAD/rXrc=")</f>
        <v>#VALUE!</v>
      </c>
      <c r="GC98" t="e">
        <f>AND(Sheet1!L1317,"AAAAAD/rXrg=")</f>
        <v>#VALUE!</v>
      </c>
      <c r="GD98" t="e">
        <f>AND(Sheet1!M1317,"AAAAAD/rXrk=")</f>
        <v>#VALUE!</v>
      </c>
      <c r="GE98" t="e">
        <f>AND(Sheet1!N1317,"AAAAAD/rXro=")</f>
        <v>#VALUE!</v>
      </c>
      <c r="GF98" t="e">
        <f>AND(Sheet1!#REF!,"AAAAAD/rXrs=")</f>
        <v>#REF!</v>
      </c>
      <c r="GG98" t="e">
        <f>AND(Sheet1!#REF!,"AAAAAD/rXrw=")</f>
        <v>#REF!</v>
      </c>
      <c r="GH98" t="e">
        <f>AND(Sheet1!#REF!,"AAAAAD/rXr0=")</f>
        <v>#REF!</v>
      </c>
      <c r="GI98" t="e">
        <f>AND(Sheet1!#REF!,"AAAAAD/rXr4=")</f>
        <v>#REF!</v>
      </c>
      <c r="GJ98">
        <f>IF(Sheet1!1318:1318,"AAAAAD/rXr8=",0)</f>
        <v>0</v>
      </c>
      <c r="GK98" t="e">
        <f>AND(Sheet1!A1318,"AAAAAD/rXsA=")</f>
        <v>#VALUE!</v>
      </c>
      <c r="GL98" t="e">
        <f>AND(Sheet1!B1318,"AAAAAD/rXsE=")</f>
        <v>#VALUE!</v>
      </c>
      <c r="GM98" t="e">
        <f>AND(Sheet1!C1318,"AAAAAD/rXsI=")</f>
        <v>#VALUE!</v>
      </c>
      <c r="GN98" t="e">
        <f>AND(Sheet1!D1318,"AAAAAD/rXsM=")</f>
        <v>#VALUE!</v>
      </c>
      <c r="GO98" t="e">
        <f>AND(Sheet1!E1318,"AAAAAD/rXsQ=")</f>
        <v>#VALUE!</v>
      </c>
      <c r="GP98" t="e">
        <f>AND(Sheet1!F1318,"AAAAAD/rXsU=")</f>
        <v>#VALUE!</v>
      </c>
      <c r="GQ98" t="e">
        <f>AND(Sheet1!G1318,"AAAAAD/rXsY=")</f>
        <v>#VALUE!</v>
      </c>
      <c r="GR98" t="e">
        <f>AND(Sheet1!H1318,"AAAAAD/rXsc=")</f>
        <v>#VALUE!</v>
      </c>
      <c r="GS98" t="e">
        <f>AND(Sheet1!I1318,"AAAAAD/rXsg=")</f>
        <v>#VALUE!</v>
      </c>
      <c r="GT98" t="e">
        <f>AND(Sheet1!J1318,"AAAAAD/rXsk=")</f>
        <v>#VALUE!</v>
      </c>
      <c r="GU98" t="e">
        <f>AND(Sheet1!K1318,"AAAAAD/rXso=")</f>
        <v>#VALUE!</v>
      </c>
      <c r="GV98" t="e">
        <f>AND(Sheet1!L1318,"AAAAAD/rXss=")</f>
        <v>#VALUE!</v>
      </c>
      <c r="GW98" t="e">
        <f>AND(Sheet1!M1318,"AAAAAD/rXsw=")</f>
        <v>#VALUE!</v>
      </c>
      <c r="GX98" t="e">
        <f>AND(Sheet1!N1318,"AAAAAD/rXs0=")</f>
        <v>#VALUE!</v>
      </c>
      <c r="GY98" t="e">
        <f>AND(Sheet1!#REF!,"AAAAAD/rXs4=")</f>
        <v>#REF!</v>
      </c>
      <c r="GZ98" t="e">
        <f>AND(Sheet1!#REF!,"AAAAAD/rXs8=")</f>
        <v>#REF!</v>
      </c>
      <c r="HA98" t="e">
        <f>AND(Sheet1!#REF!,"AAAAAD/rXtA=")</f>
        <v>#REF!</v>
      </c>
      <c r="HB98" t="e">
        <f>AND(Sheet1!#REF!,"AAAAAD/rXtE=")</f>
        <v>#REF!</v>
      </c>
      <c r="HC98">
        <f>IF(Sheet1!1319:1319,"AAAAAD/rXtI=",0)</f>
        <v>0</v>
      </c>
      <c r="HD98" t="e">
        <f>AND(Sheet1!A1319,"AAAAAD/rXtM=")</f>
        <v>#VALUE!</v>
      </c>
      <c r="HE98" t="e">
        <f>AND(Sheet1!B1319,"AAAAAD/rXtQ=")</f>
        <v>#VALUE!</v>
      </c>
      <c r="HF98" t="e">
        <f>AND(Sheet1!C1319,"AAAAAD/rXtU=")</f>
        <v>#VALUE!</v>
      </c>
      <c r="HG98" t="e">
        <f>AND(Sheet1!D1319,"AAAAAD/rXtY=")</f>
        <v>#VALUE!</v>
      </c>
      <c r="HH98" t="e">
        <f>AND(Sheet1!E1319,"AAAAAD/rXtc=")</f>
        <v>#VALUE!</v>
      </c>
      <c r="HI98" t="e">
        <f>AND(Sheet1!F1319,"AAAAAD/rXtg=")</f>
        <v>#VALUE!</v>
      </c>
      <c r="HJ98" t="e">
        <f>AND(Sheet1!G1319,"AAAAAD/rXtk=")</f>
        <v>#VALUE!</v>
      </c>
      <c r="HK98" t="e">
        <f>AND(Sheet1!H1319,"AAAAAD/rXto=")</f>
        <v>#VALUE!</v>
      </c>
      <c r="HL98" t="e">
        <f>AND(Sheet1!I1319,"AAAAAD/rXts=")</f>
        <v>#VALUE!</v>
      </c>
      <c r="HM98" t="e">
        <f>AND(Sheet1!J1319,"AAAAAD/rXtw=")</f>
        <v>#VALUE!</v>
      </c>
      <c r="HN98" t="e">
        <f>AND(Sheet1!K1319,"AAAAAD/rXt0=")</f>
        <v>#VALUE!</v>
      </c>
      <c r="HO98" t="e">
        <f>AND(Sheet1!L1319,"AAAAAD/rXt4=")</f>
        <v>#VALUE!</v>
      </c>
      <c r="HP98" t="e">
        <f>AND(Sheet1!M1319,"AAAAAD/rXt8=")</f>
        <v>#VALUE!</v>
      </c>
      <c r="HQ98" t="e">
        <f>AND(Sheet1!N1319,"AAAAAD/rXuA=")</f>
        <v>#VALUE!</v>
      </c>
      <c r="HR98" t="e">
        <f>AND(Sheet1!#REF!,"AAAAAD/rXuE=")</f>
        <v>#REF!</v>
      </c>
      <c r="HS98" t="e">
        <f>AND(Sheet1!#REF!,"AAAAAD/rXuI=")</f>
        <v>#REF!</v>
      </c>
      <c r="HT98" t="e">
        <f>AND(Sheet1!#REF!,"AAAAAD/rXuM=")</f>
        <v>#REF!</v>
      </c>
      <c r="HU98" t="e">
        <f>AND(Sheet1!#REF!,"AAAAAD/rXuQ=")</f>
        <v>#REF!</v>
      </c>
      <c r="HV98">
        <f>IF(Sheet1!1320:1320,"AAAAAD/rXuU=",0)</f>
        <v>0</v>
      </c>
      <c r="HW98" t="e">
        <f>AND(Sheet1!A1320,"AAAAAD/rXuY=")</f>
        <v>#VALUE!</v>
      </c>
      <c r="HX98" t="e">
        <f>AND(Sheet1!B1320,"AAAAAD/rXuc=")</f>
        <v>#VALUE!</v>
      </c>
      <c r="HY98" t="e">
        <f>AND(Sheet1!C1320,"AAAAAD/rXug=")</f>
        <v>#VALUE!</v>
      </c>
      <c r="HZ98" t="e">
        <f>AND(Sheet1!D1320,"AAAAAD/rXuk=")</f>
        <v>#VALUE!</v>
      </c>
      <c r="IA98" t="e">
        <f>AND(Sheet1!E1320,"AAAAAD/rXuo=")</f>
        <v>#VALUE!</v>
      </c>
      <c r="IB98" t="e">
        <f>AND(Sheet1!F1320,"AAAAAD/rXus=")</f>
        <v>#VALUE!</v>
      </c>
      <c r="IC98" t="e">
        <f>AND(Sheet1!G1320,"AAAAAD/rXuw=")</f>
        <v>#VALUE!</v>
      </c>
      <c r="ID98" t="e">
        <f>AND(Sheet1!H1320,"AAAAAD/rXu0=")</f>
        <v>#VALUE!</v>
      </c>
      <c r="IE98" t="e">
        <f>AND(Sheet1!I1320,"AAAAAD/rXu4=")</f>
        <v>#VALUE!</v>
      </c>
      <c r="IF98" t="e">
        <f>AND(Sheet1!J1320,"AAAAAD/rXu8=")</f>
        <v>#VALUE!</v>
      </c>
      <c r="IG98" t="e">
        <f>AND(Sheet1!K1320,"AAAAAD/rXvA=")</f>
        <v>#VALUE!</v>
      </c>
      <c r="IH98" t="e">
        <f>AND(Sheet1!L1320,"AAAAAD/rXvE=")</f>
        <v>#VALUE!</v>
      </c>
      <c r="II98" t="e">
        <f>AND(Sheet1!M1320,"AAAAAD/rXvI=")</f>
        <v>#VALUE!</v>
      </c>
      <c r="IJ98" t="e">
        <f>AND(Sheet1!N1320,"AAAAAD/rXvM=")</f>
        <v>#VALUE!</v>
      </c>
      <c r="IK98" t="e">
        <f>AND(Sheet1!#REF!,"AAAAAD/rXvQ=")</f>
        <v>#REF!</v>
      </c>
      <c r="IL98" t="e">
        <f>AND(Sheet1!#REF!,"AAAAAD/rXvU=")</f>
        <v>#REF!</v>
      </c>
      <c r="IM98" t="e">
        <f>AND(Sheet1!#REF!,"AAAAAD/rXvY=")</f>
        <v>#REF!</v>
      </c>
      <c r="IN98" t="e">
        <f>AND(Sheet1!#REF!,"AAAAAD/rXvc=")</f>
        <v>#REF!</v>
      </c>
      <c r="IO98">
        <f>IF(Sheet1!1321:1321,"AAAAAD/rXvg=",0)</f>
        <v>0</v>
      </c>
      <c r="IP98" t="e">
        <f>AND(Sheet1!A1321,"AAAAAD/rXvk=")</f>
        <v>#VALUE!</v>
      </c>
      <c r="IQ98" t="e">
        <f>AND(Sheet1!B1321,"AAAAAD/rXvo=")</f>
        <v>#VALUE!</v>
      </c>
      <c r="IR98" t="e">
        <f>AND(Sheet1!C1321,"AAAAAD/rXvs=")</f>
        <v>#VALUE!</v>
      </c>
      <c r="IS98" t="e">
        <f>AND(Sheet1!D1321,"AAAAAD/rXvw=")</f>
        <v>#VALUE!</v>
      </c>
      <c r="IT98" t="e">
        <f>AND(Sheet1!E1321,"AAAAAD/rXv0=")</f>
        <v>#VALUE!</v>
      </c>
      <c r="IU98" t="e">
        <f>AND(Sheet1!F1321,"AAAAAD/rXv4=")</f>
        <v>#VALUE!</v>
      </c>
      <c r="IV98" t="e">
        <f>AND(Sheet1!G1321,"AAAAAD/rXv8=")</f>
        <v>#VALUE!</v>
      </c>
    </row>
    <row r="99" spans="1:256" x14ac:dyDescent="0.2">
      <c r="A99" t="e">
        <f>AND(Sheet1!H1321,"AAAAADv6zwA=")</f>
        <v>#VALUE!</v>
      </c>
      <c r="B99" t="e">
        <f>AND(Sheet1!I1321,"AAAAADv6zwE=")</f>
        <v>#VALUE!</v>
      </c>
      <c r="C99" t="e">
        <f>AND(Sheet1!J1321,"AAAAADv6zwI=")</f>
        <v>#VALUE!</v>
      </c>
      <c r="D99" t="e">
        <f>AND(Sheet1!K1321,"AAAAADv6zwM=")</f>
        <v>#VALUE!</v>
      </c>
      <c r="E99" t="e">
        <f>AND(Sheet1!L1321,"AAAAADv6zwQ=")</f>
        <v>#VALUE!</v>
      </c>
      <c r="F99" t="e">
        <f>AND(Sheet1!M1321,"AAAAADv6zwU=")</f>
        <v>#VALUE!</v>
      </c>
      <c r="G99" t="e">
        <f>AND(Sheet1!N1321,"AAAAADv6zwY=")</f>
        <v>#VALUE!</v>
      </c>
      <c r="H99" t="e">
        <f>AND(Sheet1!#REF!,"AAAAADv6zwc=")</f>
        <v>#REF!</v>
      </c>
      <c r="I99" t="e">
        <f>AND(Sheet1!#REF!,"AAAAADv6zwg=")</f>
        <v>#REF!</v>
      </c>
      <c r="J99" t="e">
        <f>AND(Sheet1!#REF!,"AAAAADv6zwk=")</f>
        <v>#REF!</v>
      </c>
      <c r="K99" t="e">
        <f>AND(Sheet1!#REF!,"AAAAADv6zwo=")</f>
        <v>#REF!</v>
      </c>
      <c r="L99">
        <f>IF(Sheet1!1322:1322,"AAAAADv6zws=",0)</f>
        <v>0</v>
      </c>
      <c r="M99" t="e">
        <f>AND(Sheet1!A1322,"AAAAADv6zww=")</f>
        <v>#VALUE!</v>
      </c>
      <c r="N99" t="e">
        <f>AND(Sheet1!B1322,"AAAAADv6zw0=")</f>
        <v>#VALUE!</v>
      </c>
      <c r="O99" t="e">
        <f>AND(Sheet1!C1322,"AAAAADv6zw4=")</f>
        <v>#VALUE!</v>
      </c>
      <c r="P99" t="e">
        <f>AND(Sheet1!D1322,"AAAAADv6zw8=")</f>
        <v>#VALUE!</v>
      </c>
      <c r="Q99" t="e">
        <f>AND(Sheet1!E1322,"AAAAADv6zxA=")</f>
        <v>#VALUE!</v>
      </c>
      <c r="R99" t="e">
        <f>AND(Sheet1!F1322,"AAAAADv6zxE=")</f>
        <v>#VALUE!</v>
      </c>
      <c r="S99" t="e">
        <f>AND(Sheet1!G1322,"AAAAADv6zxI=")</f>
        <v>#VALUE!</v>
      </c>
      <c r="T99" t="e">
        <f>AND(Sheet1!H1322,"AAAAADv6zxM=")</f>
        <v>#VALUE!</v>
      </c>
      <c r="U99" t="e">
        <f>AND(Sheet1!I1322,"AAAAADv6zxQ=")</f>
        <v>#VALUE!</v>
      </c>
      <c r="V99" t="e">
        <f>AND(Sheet1!J1322,"AAAAADv6zxU=")</f>
        <v>#VALUE!</v>
      </c>
      <c r="W99" t="e">
        <f>AND(Sheet1!K1322,"AAAAADv6zxY=")</f>
        <v>#VALUE!</v>
      </c>
      <c r="X99" t="e">
        <f>AND(Sheet1!L1322,"AAAAADv6zxc=")</f>
        <v>#VALUE!</v>
      </c>
      <c r="Y99" t="e">
        <f>AND(Sheet1!M1322,"AAAAADv6zxg=")</f>
        <v>#VALUE!</v>
      </c>
      <c r="Z99" t="e">
        <f>AND(Sheet1!N1322,"AAAAADv6zxk=")</f>
        <v>#VALUE!</v>
      </c>
      <c r="AA99" t="e">
        <f>AND(Sheet1!#REF!,"AAAAADv6zxo=")</f>
        <v>#REF!</v>
      </c>
      <c r="AB99" t="e">
        <f>AND(Sheet1!#REF!,"AAAAADv6zxs=")</f>
        <v>#REF!</v>
      </c>
      <c r="AC99" t="e">
        <f>AND(Sheet1!#REF!,"AAAAADv6zxw=")</f>
        <v>#REF!</v>
      </c>
      <c r="AD99" t="e">
        <f>AND(Sheet1!#REF!,"AAAAADv6zx0=")</f>
        <v>#REF!</v>
      </c>
      <c r="AE99">
        <f>IF(Sheet1!1323:1323,"AAAAADv6zx4=",0)</f>
        <v>0</v>
      </c>
      <c r="AF99" t="e">
        <f>AND(Sheet1!A1323,"AAAAADv6zx8=")</f>
        <v>#VALUE!</v>
      </c>
      <c r="AG99" t="e">
        <f>AND(Sheet1!B1323,"AAAAADv6zyA=")</f>
        <v>#VALUE!</v>
      </c>
      <c r="AH99" t="e">
        <f>AND(Sheet1!C1323,"AAAAADv6zyE=")</f>
        <v>#VALUE!</v>
      </c>
      <c r="AI99" t="e">
        <f>AND(Sheet1!D1323,"AAAAADv6zyI=")</f>
        <v>#VALUE!</v>
      </c>
      <c r="AJ99" t="e">
        <f>AND(Sheet1!E1323,"AAAAADv6zyM=")</f>
        <v>#VALUE!</v>
      </c>
      <c r="AK99" t="e">
        <f>AND(Sheet1!F1323,"AAAAADv6zyQ=")</f>
        <v>#VALUE!</v>
      </c>
      <c r="AL99" t="e">
        <f>AND(Sheet1!G1323,"AAAAADv6zyU=")</f>
        <v>#VALUE!</v>
      </c>
      <c r="AM99" t="e">
        <f>AND(Sheet1!H1323,"AAAAADv6zyY=")</f>
        <v>#VALUE!</v>
      </c>
      <c r="AN99" t="e">
        <f>AND(Sheet1!I1323,"AAAAADv6zyc=")</f>
        <v>#VALUE!</v>
      </c>
      <c r="AO99" t="e">
        <f>AND(Sheet1!J1323,"AAAAADv6zyg=")</f>
        <v>#VALUE!</v>
      </c>
      <c r="AP99" t="e">
        <f>AND(Sheet1!K1323,"AAAAADv6zyk=")</f>
        <v>#VALUE!</v>
      </c>
      <c r="AQ99" t="e">
        <f>AND(Sheet1!L1323,"AAAAADv6zyo=")</f>
        <v>#VALUE!</v>
      </c>
      <c r="AR99" t="e">
        <f>AND(Sheet1!M1323,"AAAAADv6zys=")</f>
        <v>#VALUE!</v>
      </c>
      <c r="AS99" t="e">
        <f>AND(Sheet1!N1323,"AAAAADv6zyw=")</f>
        <v>#VALUE!</v>
      </c>
      <c r="AT99" t="e">
        <f>AND(Sheet1!#REF!,"AAAAADv6zy0=")</f>
        <v>#REF!</v>
      </c>
      <c r="AU99" t="e">
        <f>AND(Sheet1!#REF!,"AAAAADv6zy4=")</f>
        <v>#REF!</v>
      </c>
      <c r="AV99" t="e">
        <f>AND(Sheet1!#REF!,"AAAAADv6zy8=")</f>
        <v>#REF!</v>
      </c>
      <c r="AW99" t="e">
        <f>AND(Sheet1!#REF!,"AAAAADv6zzA=")</f>
        <v>#REF!</v>
      </c>
      <c r="AX99">
        <f>IF(Sheet1!1324:1324,"AAAAADv6zzE=",0)</f>
        <v>0</v>
      </c>
      <c r="AY99" t="e">
        <f>AND(Sheet1!A1324,"AAAAADv6zzI=")</f>
        <v>#VALUE!</v>
      </c>
      <c r="AZ99" t="e">
        <f>AND(Sheet1!B1324,"AAAAADv6zzM=")</f>
        <v>#VALUE!</v>
      </c>
      <c r="BA99" t="e">
        <f>AND(Sheet1!C1324,"AAAAADv6zzQ=")</f>
        <v>#VALUE!</v>
      </c>
      <c r="BB99" t="e">
        <f>AND(Sheet1!D1324,"AAAAADv6zzU=")</f>
        <v>#VALUE!</v>
      </c>
      <c r="BC99" t="e">
        <f>AND(Sheet1!E1324,"AAAAADv6zzY=")</f>
        <v>#VALUE!</v>
      </c>
      <c r="BD99" t="e">
        <f>AND(Sheet1!F1324,"AAAAADv6zzc=")</f>
        <v>#VALUE!</v>
      </c>
      <c r="BE99" t="e">
        <f>AND(Sheet1!G1324,"AAAAADv6zzg=")</f>
        <v>#VALUE!</v>
      </c>
      <c r="BF99" t="e">
        <f>AND(Sheet1!H1324,"AAAAADv6zzk=")</f>
        <v>#VALUE!</v>
      </c>
      <c r="BG99" t="e">
        <f>AND(Sheet1!I1324,"AAAAADv6zzo=")</f>
        <v>#VALUE!</v>
      </c>
      <c r="BH99" t="e">
        <f>AND(Sheet1!J1324,"AAAAADv6zzs=")</f>
        <v>#VALUE!</v>
      </c>
      <c r="BI99" t="e">
        <f>AND(Sheet1!K1324,"AAAAADv6zzw=")</f>
        <v>#VALUE!</v>
      </c>
      <c r="BJ99" t="e">
        <f>AND(Sheet1!L1324,"AAAAADv6zz0=")</f>
        <v>#VALUE!</v>
      </c>
      <c r="BK99" t="e">
        <f>AND(Sheet1!M1324,"AAAAADv6zz4=")</f>
        <v>#VALUE!</v>
      </c>
      <c r="BL99" t="e">
        <f>AND(Sheet1!N1324,"AAAAADv6zz8=")</f>
        <v>#VALUE!</v>
      </c>
      <c r="BM99" t="e">
        <f>AND(Sheet1!#REF!,"AAAAADv6z0A=")</f>
        <v>#REF!</v>
      </c>
      <c r="BN99" t="e">
        <f>AND(Sheet1!#REF!,"AAAAADv6z0E=")</f>
        <v>#REF!</v>
      </c>
      <c r="BO99" t="e">
        <f>AND(Sheet1!#REF!,"AAAAADv6z0I=")</f>
        <v>#REF!</v>
      </c>
      <c r="BP99" t="e">
        <f>AND(Sheet1!#REF!,"AAAAADv6z0M=")</f>
        <v>#REF!</v>
      </c>
      <c r="BQ99">
        <f>IF(Sheet1!1325:1325,"AAAAADv6z0Q=",0)</f>
        <v>0</v>
      </c>
      <c r="BR99" t="e">
        <f>AND(Sheet1!A1325,"AAAAADv6z0U=")</f>
        <v>#VALUE!</v>
      </c>
      <c r="BS99" t="e">
        <f>AND(Sheet1!B1325,"AAAAADv6z0Y=")</f>
        <v>#VALUE!</v>
      </c>
      <c r="BT99" t="e">
        <f>AND(Sheet1!C1325,"AAAAADv6z0c=")</f>
        <v>#VALUE!</v>
      </c>
      <c r="BU99" t="e">
        <f>AND(Sheet1!D1325,"AAAAADv6z0g=")</f>
        <v>#VALUE!</v>
      </c>
      <c r="BV99" t="e">
        <f>AND(Sheet1!E1325,"AAAAADv6z0k=")</f>
        <v>#VALUE!</v>
      </c>
      <c r="BW99" t="e">
        <f>AND(Sheet1!F1325,"AAAAADv6z0o=")</f>
        <v>#VALUE!</v>
      </c>
      <c r="BX99" t="e">
        <f>AND(Sheet1!G1325,"AAAAADv6z0s=")</f>
        <v>#VALUE!</v>
      </c>
      <c r="BY99" t="e">
        <f>AND(Sheet1!H1325,"AAAAADv6z0w=")</f>
        <v>#VALUE!</v>
      </c>
      <c r="BZ99" t="e">
        <f>AND(Sheet1!I1325,"AAAAADv6z00=")</f>
        <v>#VALUE!</v>
      </c>
      <c r="CA99" t="e">
        <f>AND(Sheet1!J1325,"AAAAADv6z04=")</f>
        <v>#VALUE!</v>
      </c>
      <c r="CB99" t="e">
        <f>AND(Sheet1!K1325,"AAAAADv6z08=")</f>
        <v>#VALUE!</v>
      </c>
      <c r="CC99" t="e">
        <f>AND(Sheet1!L1325,"AAAAADv6z1A=")</f>
        <v>#VALUE!</v>
      </c>
      <c r="CD99" t="e">
        <f>AND(Sheet1!M1325,"AAAAADv6z1E=")</f>
        <v>#VALUE!</v>
      </c>
      <c r="CE99" t="e">
        <f>AND(Sheet1!N1325,"AAAAADv6z1I=")</f>
        <v>#VALUE!</v>
      </c>
      <c r="CF99" t="e">
        <f>AND(Sheet1!#REF!,"AAAAADv6z1M=")</f>
        <v>#REF!</v>
      </c>
      <c r="CG99" t="e">
        <f>AND(Sheet1!#REF!,"AAAAADv6z1Q=")</f>
        <v>#REF!</v>
      </c>
      <c r="CH99" t="e">
        <f>AND(Sheet1!#REF!,"AAAAADv6z1U=")</f>
        <v>#REF!</v>
      </c>
      <c r="CI99" t="e">
        <f>AND(Sheet1!#REF!,"AAAAADv6z1Y=")</f>
        <v>#REF!</v>
      </c>
      <c r="CJ99">
        <f>IF(Sheet1!1326:1326,"AAAAADv6z1c=",0)</f>
        <v>0</v>
      </c>
      <c r="CK99" t="e">
        <f>AND(Sheet1!A1326,"AAAAADv6z1g=")</f>
        <v>#VALUE!</v>
      </c>
      <c r="CL99" t="e">
        <f>AND(Sheet1!B1326,"AAAAADv6z1k=")</f>
        <v>#VALUE!</v>
      </c>
      <c r="CM99" t="e">
        <f>AND(Sheet1!C1326,"AAAAADv6z1o=")</f>
        <v>#VALUE!</v>
      </c>
      <c r="CN99" t="e">
        <f>AND(Sheet1!D1326,"AAAAADv6z1s=")</f>
        <v>#VALUE!</v>
      </c>
      <c r="CO99" t="e">
        <f>AND(Sheet1!E1326,"AAAAADv6z1w=")</f>
        <v>#VALUE!</v>
      </c>
      <c r="CP99" t="e">
        <f>AND(Sheet1!F1326,"AAAAADv6z10=")</f>
        <v>#VALUE!</v>
      </c>
      <c r="CQ99" t="e">
        <f>AND(Sheet1!G1326,"AAAAADv6z14=")</f>
        <v>#VALUE!</v>
      </c>
      <c r="CR99" t="e">
        <f>AND(Sheet1!H1326,"AAAAADv6z18=")</f>
        <v>#VALUE!</v>
      </c>
      <c r="CS99" t="e">
        <f>AND(Sheet1!I1326,"AAAAADv6z2A=")</f>
        <v>#VALUE!</v>
      </c>
      <c r="CT99" t="e">
        <f>AND(Sheet1!J1326,"AAAAADv6z2E=")</f>
        <v>#VALUE!</v>
      </c>
      <c r="CU99" t="e">
        <f>AND(Sheet1!K1326,"AAAAADv6z2I=")</f>
        <v>#VALUE!</v>
      </c>
      <c r="CV99" t="e">
        <f>AND(Sheet1!L1326,"AAAAADv6z2M=")</f>
        <v>#VALUE!</v>
      </c>
      <c r="CW99" t="e">
        <f>AND(Sheet1!M1326,"AAAAADv6z2Q=")</f>
        <v>#VALUE!</v>
      </c>
      <c r="CX99" t="e">
        <f>AND(Sheet1!N1326,"AAAAADv6z2U=")</f>
        <v>#VALUE!</v>
      </c>
      <c r="CY99" t="e">
        <f>AND(Sheet1!#REF!,"AAAAADv6z2Y=")</f>
        <v>#REF!</v>
      </c>
      <c r="CZ99" t="e">
        <f>AND(Sheet1!#REF!,"AAAAADv6z2c=")</f>
        <v>#REF!</v>
      </c>
      <c r="DA99" t="e">
        <f>AND(Sheet1!#REF!,"AAAAADv6z2g=")</f>
        <v>#REF!</v>
      </c>
      <c r="DB99" t="e">
        <f>AND(Sheet1!#REF!,"AAAAADv6z2k=")</f>
        <v>#REF!</v>
      </c>
      <c r="DC99">
        <f>IF(Sheet1!1327:1327,"AAAAADv6z2o=",0)</f>
        <v>0</v>
      </c>
      <c r="DD99" t="e">
        <f>AND(Sheet1!A1327,"AAAAADv6z2s=")</f>
        <v>#VALUE!</v>
      </c>
      <c r="DE99" t="e">
        <f>AND(Sheet1!B1327,"AAAAADv6z2w=")</f>
        <v>#VALUE!</v>
      </c>
      <c r="DF99" t="e">
        <f>AND(Sheet1!C1327,"AAAAADv6z20=")</f>
        <v>#VALUE!</v>
      </c>
      <c r="DG99" t="e">
        <f>AND(Sheet1!D1327,"AAAAADv6z24=")</f>
        <v>#VALUE!</v>
      </c>
      <c r="DH99" t="e">
        <f>AND(Sheet1!E1327,"AAAAADv6z28=")</f>
        <v>#VALUE!</v>
      </c>
      <c r="DI99" t="e">
        <f>AND(Sheet1!F1327,"AAAAADv6z3A=")</f>
        <v>#VALUE!</v>
      </c>
      <c r="DJ99" t="e">
        <f>AND(Sheet1!G1327,"AAAAADv6z3E=")</f>
        <v>#VALUE!</v>
      </c>
      <c r="DK99" t="e">
        <f>AND(Sheet1!H1327,"AAAAADv6z3I=")</f>
        <v>#VALUE!</v>
      </c>
      <c r="DL99" t="e">
        <f>AND(Sheet1!I1327,"AAAAADv6z3M=")</f>
        <v>#VALUE!</v>
      </c>
      <c r="DM99" t="e">
        <f>AND(Sheet1!J1327,"AAAAADv6z3Q=")</f>
        <v>#VALUE!</v>
      </c>
      <c r="DN99" t="e">
        <f>AND(Sheet1!K1327,"AAAAADv6z3U=")</f>
        <v>#VALUE!</v>
      </c>
      <c r="DO99" t="e">
        <f>AND(Sheet1!L1327,"AAAAADv6z3Y=")</f>
        <v>#VALUE!</v>
      </c>
      <c r="DP99" t="e">
        <f>AND(Sheet1!M1327,"AAAAADv6z3c=")</f>
        <v>#VALUE!</v>
      </c>
      <c r="DQ99" t="e">
        <f>AND(Sheet1!N1327,"AAAAADv6z3g=")</f>
        <v>#VALUE!</v>
      </c>
      <c r="DR99" t="e">
        <f>AND(Sheet1!#REF!,"AAAAADv6z3k=")</f>
        <v>#REF!</v>
      </c>
      <c r="DS99" t="e">
        <f>AND(Sheet1!#REF!,"AAAAADv6z3o=")</f>
        <v>#REF!</v>
      </c>
      <c r="DT99" t="e">
        <f>AND(Sheet1!#REF!,"AAAAADv6z3s=")</f>
        <v>#REF!</v>
      </c>
      <c r="DU99" t="e">
        <f>AND(Sheet1!#REF!,"AAAAADv6z3w=")</f>
        <v>#REF!</v>
      </c>
      <c r="DV99">
        <f>IF(Sheet1!1328:1328,"AAAAADv6z30=",0)</f>
        <v>0</v>
      </c>
      <c r="DW99" t="e">
        <f>AND(Sheet1!A1328,"AAAAADv6z34=")</f>
        <v>#VALUE!</v>
      </c>
      <c r="DX99" t="e">
        <f>AND(Sheet1!B1328,"AAAAADv6z38=")</f>
        <v>#VALUE!</v>
      </c>
      <c r="DY99" t="e">
        <f>AND(Sheet1!C1328,"AAAAADv6z4A=")</f>
        <v>#VALUE!</v>
      </c>
      <c r="DZ99" t="e">
        <f>AND(Sheet1!D1328,"AAAAADv6z4E=")</f>
        <v>#VALUE!</v>
      </c>
      <c r="EA99" t="e">
        <f>AND(Sheet1!E1328,"AAAAADv6z4I=")</f>
        <v>#VALUE!</v>
      </c>
      <c r="EB99" t="e">
        <f>AND(Sheet1!F1328,"AAAAADv6z4M=")</f>
        <v>#VALUE!</v>
      </c>
      <c r="EC99" t="e">
        <f>AND(Sheet1!G1328,"AAAAADv6z4Q=")</f>
        <v>#VALUE!</v>
      </c>
      <c r="ED99" t="e">
        <f>AND(Sheet1!H1328,"AAAAADv6z4U=")</f>
        <v>#VALUE!</v>
      </c>
      <c r="EE99" t="e">
        <f>AND(Sheet1!I1328,"AAAAADv6z4Y=")</f>
        <v>#VALUE!</v>
      </c>
      <c r="EF99" t="e">
        <f>AND(Sheet1!J1328,"AAAAADv6z4c=")</f>
        <v>#VALUE!</v>
      </c>
      <c r="EG99" t="e">
        <f>AND(Sheet1!K1328,"AAAAADv6z4g=")</f>
        <v>#VALUE!</v>
      </c>
      <c r="EH99" t="e">
        <f>AND(Sheet1!L1328,"AAAAADv6z4k=")</f>
        <v>#VALUE!</v>
      </c>
      <c r="EI99" t="e">
        <f>AND(Sheet1!M1328,"AAAAADv6z4o=")</f>
        <v>#VALUE!</v>
      </c>
      <c r="EJ99" t="e">
        <f>AND(Sheet1!N1328,"AAAAADv6z4s=")</f>
        <v>#VALUE!</v>
      </c>
      <c r="EK99" t="e">
        <f>AND(Sheet1!#REF!,"AAAAADv6z4w=")</f>
        <v>#REF!</v>
      </c>
      <c r="EL99" t="e">
        <f>AND(Sheet1!#REF!,"AAAAADv6z40=")</f>
        <v>#REF!</v>
      </c>
      <c r="EM99" t="e">
        <f>AND(Sheet1!#REF!,"AAAAADv6z44=")</f>
        <v>#REF!</v>
      </c>
      <c r="EN99" t="e">
        <f>AND(Sheet1!#REF!,"AAAAADv6z48=")</f>
        <v>#REF!</v>
      </c>
      <c r="EO99">
        <f>IF(Sheet1!1329:1329,"AAAAADv6z5A=",0)</f>
        <v>0</v>
      </c>
      <c r="EP99" t="e">
        <f>AND(Sheet1!A1329,"AAAAADv6z5E=")</f>
        <v>#VALUE!</v>
      </c>
      <c r="EQ99" t="e">
        <f>AND(Sheet1!B1329,"AAAAADv6z5I=")</f>
        <v>#VALUE!</v>
      </c>
      <c r="ER99" t="e">
        <f>AND(Sheet1!C1329,"AAAAADv6z5M=")</f>
        <v>#VALUE!</v>
      </c>
      <c r="ES99" t="e">
        <f>AND(Sheet1!D1329,"AAAAADv6z5Q=")</f>
        <v>#VALUE!</v>
      </c>
      <c r="ET99" t="e">
        <f>AND(Sheet1!E1329,"AAAAADv6z5U=")</f>
        <v>#VALUE!</v>
      </c>
      <c r="EU99" t="e">
        <f>AND(Sheet1!F1329,"AAAAADv6z5Y=")</f>
        <v>#VALUE!</v>
      </c>
      <c r="EV99" t="e">
        <f>AND(Sheet1!G1329,"AAAAADv6z5c=")</f>
        <v>#VALUE!</v>
      </c>
      <c r="EW99" t="e">
        <f>AND(Sheet1!H1329,"AAAAADv6z5g=")</f>
        <v>#VALUE!</v>
      </c>
      <c r="EX99" t="e">
        <f>AND(Sheet1!I1329,"AAAAADv6z5k=")</f>
        <v>#VALUE!</v>
      </c>
      <c r="EY99" t="e">
        <f>AND(Sheet1!J1329,"AAAAADv6z5o=")</f>
        <v>#VALUE!</v>
      </c>
      <c r="EZ99" t="e">
        <f>AND(Sheet1!K1329,"AAAAADv6z5s=")</f>
        <v>#VALUE!</v>
      </c>
      <c r="FA99" t="e">
        <f>AND(Sheet1!L1329,"AAAAADv6z5w=")</f>
        <v>#VALUE!</v>
      </c>
      <c r="FB99" t="e">
        <f>AND(Sheet1!M1329,"AAAAADv6z50=")</f>
        <v>#VALUE!</v>
      </c>
      <c r="FC99" t="e">
        <f>AND(Sheet1!N1329,"AAAAADv6z54=")</f>
        <v>#VALUE!</v>
      </c>
      <c r="FD99" t="e">
        <f>AND(Sheet1!#REF!,"AAAAADv6z58=")</f>
        <v>#REF!</v>
      </c>
      <c r="FE99" t="e">
        <f>AND(Sheet1!#REF!,"AAAAADv6z6A=")</f>
        <v>#REF!</v>
      </c>
      <c r="FF99" t="e">
        <f>AND(Sheet1!#REF!,"AAAAADv6z6E=")</f>
        <v>#REF!</v>
      </c>
      <c r="FG99" t="e">
        <f>AND(Sheet1!#REF!,"AAAAADv6z6I=")</f>
        <v>#REF!</v>
      </c>
      <c r="FH99">
        <f>IF(Sheet1!1330:1330,"AAAAADv6z6M=",0)</f>
        <v>0</v>
      </c>
      <c r="FI99" t="e">
        <f>AND(Sheet1!A1330,"AAAAADv6z6Q=")</f>
        <v>#VALUE!</v>
      </c>
      <c r="FJ99" t="e">
        <f>AND(Sheet1!B1330,"AAAAADv6z6U=")</f>
        <v>#VALUE!</v>
      </c>
      <c r="FK99" t="e">
        <f>AND(Sheet1!C1330,"AAAAADv6z6Y=")</f>
        <v>#VALUE!</v>
      </c>
      <c r="FL99" t="e">
        <f>AND(Sheet1!D1330,"AAAAADv6z6c=")</f>
        <v>#VALUE!</v>
      </c>
      <c r="FM99" t="e">
        <f>AND(Sheet1!E1330,"AAAAADv6z6g=")</f>
        <v>#VALUE!</v>
      </c>
      <c r="FN99" t="e">
        <f>AND(Sheet1!F1330,"AAAAADv6z6k=")</f>
        <v>#VALUE!</v>
      </c>
      <c r="FO99" t="e">
        <f>AND(Sheet1!G1330,"AAAAADv6z6o=")</f>
        <v>#VALUE!</v>
      </c>
      <c r="FP99" t="e">
        <f>AND(Sheet1!H1330,"AAAAADv6z6s=")</f>
        <v>#VALUE!</v>
      </c>
      <c r="FQ99" t="e">
        <f>AND(Sheet1!I1330,"AAAAADv6z6w=")</f>
        <v>#VALUE!</v>
      </c>
      <c r="FR99" t="e">
        <f>AND(Sheet1!J1330,"AAAAADv6z60=")</f>
        <v>#VALUE!</v>
      </c>
      <c r="FS99" t="e">
        <f>AND(Sheet1!K1330,"AAAAADv6z64=")</f>
        <v>#VALUE!</v>
      </c>
      <c r="FT99" t="e">
        <f>AND(Sheet1!L1330,"AAAAADv6z68=")</f>
        <v>#VALUE!</v>
      </c>
      <c r="FU99" t="e">
        <f>AND(Sheet1!M1330,"AAAAADv6z7A=")</f>
        <v>#VALUE!</v>
      </c>
      <c r="FV99" t="e">
        <f>AND(Sheet1!N1330,"AAAAADv6z7E=")</f>
        <v>#VALUE!</v>
      </c>
      <c r="FW99" t="e">
        <f>AND(Sheet1!#REF!,"AAAAADv6z7I=")</f>
        <v>#REF!</v>
      </c>
      <c r="FX99" t="e">
        <f>AND(Sheet1!#REF!,"AAAAADv6z7M=")</f>
        <v>#REF!</v>
      </c>
      <c r="FY99" t="e">
        <f>AND(Sheet1!#REF!,"AAAAADv6z7Q=")</f>
        <v>#REF!</v>
      </c>
      <c r="FZ99" t="e">
        <f>AND(Sheet1!#REF!,"AAAAADv6z7U=")</f>
        <v>#REF!</v>
      </c>
      <c r="GA99">
        <f>IF(Sheet1!1331:1331,"AAAAADv6z7Y=",0)</f>
        <v>0</v>
      </c>
      <c r="GB99" t="e">
        <f>AND(Sheet1!A1331,"AAAAADv6z7c=")</f>
        <v>#VALUE!</v>
      </c>
      <c r="GC99" t="e">
        <f>AND(Sheet1!B1331,"AAAAADv6z7g=")</f>
        <v>#VALUE!</v>
      </c>
      <c r="GD99" t="e">
        <f>AND(Sheet1!C1331,"AAAAADv6z7k=")</f>
        <v>#VALUE!</v>
      </c>
      <c r="GE99" t="e">
        <f>AND(Sheet1!D1331,"AAAAADv6z7o=")</f>
        <v>#VALUE!</v>
      </c>
      <c r="GF99" t="e">
        <f>AND(Sheet1!E1331,"AAAAADv6z7s=")</f>
        <v>#VALUE!</v>
      </c>
      <c r="GG99" t="e">
        <f>AND(Sheet1!F1331,"AAAAADv6z7w=")</f>
        <v>#VALUE!</v>
      </c>
      <c r="GH99" t="e">
        <f>AND(Sheet1!G1331,"AAAAADv6z70=")</f>
        <v>#VALUE!</v>
      </c>
      <c r="GI99" t="e">
        <f>AND(Sheet1!H1331,"AAAAADv6z74=")</f>
        <v>#VALUE!</v>
      </c>
      <c r="GJ99" t="e">
        <f>AND(Sheet1!I1331,"AAAAADv6z78=")</f>
        <v>#VALUE!</v>
      </c>
      <c r="GK99" t="e">
        <f>AND(Sheet1!J1331,"AAAAADv6z8A=")</f>
        <v>#VALUE!</v>
      </c>
      <c r="GL99" t="e">
        <f>AND(Sheet1!K1331,"AAAAADv6z8E=")</f>
        <v>#VALUE!</v>
      </c>
      <c r="GM99" t="e">
        <f>AND(Sheet1!L1331,"AAAAADv6z8I=")</f>
        <v>#VALUE!</v>
      </c>
      <c r="GN99" t="e">
        <f>AND(Sheet1!M1331,"AAAAADv6z8M=")</f>
        <v>#VALUE!</v>
      </c>
      <c r="GO99" t="e">
        <f>AND(Sheet1!N1331,"AAAAADv6z8Q=")</f>
        <v>#VALUE!</v>
      </c>
      <c r="GP99" t="e">
        <f>AND(Sheet1!#REF!,"AAAAADv6z8U=")</f>
        <v>#REF!</v>
      </c>
      <c r="GQ99" t="e">
        <f>AND(Sheet1!#REF!,"AAAAADv6z8Y=")</f>
        <v>#REF!</v>
      </c>
      <c r="GR99" t="e">
        <f>AND(Sheet1!#REF!,"AAAAADv6z8c=")</f>
        <v>#REF!</v>
      </c>
      <c r="GS99" t="e">
        <f>AND(Sheet1!#REF!,"AAAAADv6z8g=")</f>
        <v>#REF!</v>
      </c>
      <c r="GT99">
        <f>IF(Sheet1!1332:1332,"AAAAADv6z8k=",0)</f>
        <v>0</v>
      </c>
      <c r="GU99" t="e">
        <f>AND(Sheet1!A1332,"AAAAADv6z8o=")</f>
        <v>#VALUE!</v>
      </c>
      <c r="GV99" t="e">
        <f>AND(Sheet1!B1332,"AAAAADv6z8s=")</f>
        <v>#VALUE!</v>
      </c>
      <c r="GW99" t="e">
        <f>AND(Sheet1!C1332,"AAAAADv6z8w=")</f>
        <v>#VALUE!</v>
      </c>
      <c r="GX99" t="e">
        <f>AND(Sheet1!D1332,"AAAAADv6z80=")</f>
        <v>#VALUE!</v>
      </c>
      <c r="GY99" t="e">
        <f>AND(Sheet1!E1332,"AAAAADv6z84=")</f>
        <v>#VALUE!</v>
      </c>
      <c r="GZ99" t="e">
        <f>AND(Sheet1!F1332,"AAAAADv6z88=")</f>
        <v>#VALUE!</v>
      </c>
      <c r="HA99" t="e">
        <f>AND(Sheet1!G1332,"AAAAADv6z9A=")</f>
        <v>#VALUE!</v>
      </c>
      <c r="HB99" t="e">
        <f>AND(Sheet1!H1332,"AAAAADv6z9E=")</f>
        <v>#VALUE!</v>
      </c>
      <c r="HC99" t="e">
        <f>AND(Sheet1!I1332,"AAAAADv6z9I=")</f>
        <v>#VALUE!</v>
      </c>
      <c r="HD99" t="e">
        <f>AND(Sheet1!J1332,"AAAAADv6z9M=")</f>
        <v>#VALUE!</v>
      </c>
      <c r="HE99" t="e">
        <f>AND(Sheet1!K1332,"AAAAADv6z9Q=")</f>
        <v>#VALUE!</v>
      </c>
      <c r="HF99" t="e">
        <f>AND(Sheet1!L1332,"AAAAADv6z9U=")</f>
        <v>#VALUE!</v>
      </c>
      <c r="HG99" t="e">
        <f>AND(Sheet1!M1332,"AAAAADv6z9Y=")</f>
        <v>#VALUE!</v>
      </c>
      <c r="HH99" t="e">
        <f>AND(Sheet1!N1332,"AAAAADv6z9c=")</f>
        <v>#VALUE!</v>
      </c>
      <c r="HI99" t="e">
        <f>AND(Sheet1!#REF!,"AAAAADv6z9g=")</f>
        <v>#REF!</v>
      </c>
      <c r="HJ99" t="e">
        <f>AND(Sheet1!#REF!,"AAAAADv6z9k=")</f>
        <v>#REF!</v>
      </c>
      <c r="HK99" t="e">
        <f>AND(Sheet1!#REF!,"AAAAADv6z9o=")</f>
        <v>#REF!</v>
      </c>
      <c r="HL99" t="e">
        <f>AND(Sheet1!#REF!,"AAAAADv6z9s=")</f>
        <v>#REF!</v>
      </c>
      <c r="HM99">
        <f>IF(Sheet1!1333:1333,"AAAAADv6z9w=",0)</f>
        <v>0</v>
      </c>
      <c r="HN99" t="e">
        <f>AND(Sheet1!A1333,"AAAAADv6z90=")</f>
        <v>#VALUE!</v>
      </c>
      <c r="HO99" t="e">
        <f>AND(Sheet1!B1333,"AAAAADv6z94=")</f>
        <v>#VALUE!</v>
      </c>
      <c r="HP99" t="e">
        <f>AND(Sheet1!C1333,"AAAAADv6z98=")</f>
        <v>#VALUE!</v>
      </c>
      <c r="HQ99" t="e">
        <f>AND(Sheet1!D1333,"AAAAADv6z+A=")</f>
        <v>#VALUE!</v>
      </c>
      <c r="HR99" t="e">
        <f>AND(Sheet1!E1333,"AAAAADv6z+E=")</f>
        <v>#VALUE!</v>
      </c>
      <c r="HS99" t="e">
        <f>AND(Sheet1!F1333,"AAAAADv6z+I=")</f>
        <v>#VALUE!</v>
      </c>
      <c r="HT99" t="e">
        <f>AND(Sheet1!G1333,"AAAAADv6z+M=")</f>
        <v>#VALUE!</v>
      </c>
      <c r="HU99" t="e">
        <f>AND(Sheet1!H1333,"AAAAADv6z+Q=")</f>
        <v>#VALUE!</v>
      </c>
      <c r="HV99" t="e">
        <f>AND(Sheet1!I1333,"AAAAADv6z+U=")</f>
        <v>#VALUE!</v>
      </c>
      <c r="HW99" t="e">
        <f>AND(Sheet1!J1333,"AAAAADv6z+Y=")</f>
        <v>#VALUE!</v>
      </c>
      <c r="HX99" t="e">
        <f>AND(Sheet1!K1333,"AAAAADv6z+c=")</f>
        <v>#VALUE!</v>
      </c>
      <c r="HY99" t="e">
        <f>AND(Sheet1!L1333,"AAAAADv6z+g=")</f>
        <v>#VALUE!</v>
      </c>
      <c r="HZ99" t="e">
        <f>AND(Sheet1!M1333,"AAAAADv6z+k=")</f>
        <v>#VALUE!</v>
      </c>
      <c r="IA99" t="e">
        <f>AND(Sheet1!N1333,"AAAAADv6z+o=")</f>
        <v>#VALUE!</v>
      </c>
      <c r="IB99" t="e">
        <f>AND(Sheet1!#REF!,"AAAAADv6z+s=")</f>
        <v>#REF!</v>
      </c>
      <c r="IC99" t="e">
        <f>AND(Sheet1!#REF!,"AAAAADv6z+w=")</f>
        <v>#REF!</v>
      </c>
      <c r="ID99" t="e">
        <f>AND(Sheet1!#REF!,"AAAAADv6z+0=")</f>
        <v>#REF!</v>
      </c>
      <c r="IE99" t="e">
        <f>AND(Sheet1!#REF!,"AAAAADv6z+4=")</f>
        <v>#REF!</v>
      </c>
      <c r="IF99">
        <f>IF(Sheet1!1334:1334,"AAAAADv6z+8=",0)</f>
        <v>0</v>
      </c>
      <c r="IG99" t="e">
        <f>AND(Sheet1!A1334,"AAAAADv6z/A=")</f>
        <v>#VALUE!</v>
      </c>
      <c r="IH99" t="e">
        <f>AND(Sheet1!B1334,"AAAAADv6z/E=")</f>
        <v>#VALUE!</v>
      </c>
      <c r="II99" t="e">
        <f>AND(Sheet1!C1334,"AAAAADv6z/I=")</f>
        <v>#VALUE!</v>
      </c>
      <c r="IJ99" t="e">
        <f>AND(Sheet1!D1334,"AAAAADv6z/M=")</f>
        <v>#VALUE!</v>
      </c>
      <c r="IK99" t="e">
        <f>AND(Sheet1!E1334,"AAAAADv6z/Q=")</f>
        <v>#VALUE!</v>
      </c>
      <c r="IL99" t="e">
        <f>AND(Sheet1!F1334,"AAAAADv6z/U=")</f>
        <v>#VALUE!</v>
      </c>
      <c r="IM99" t="e">
        <f>AND(Sheet1!G1334,"AAAAADv6z/Y=")</f>
        <v>#VALUE!</v>
      </c>
      <c r="IN99" t="e">
        <f>AND(Sheet1!H1334,"AAAAADv6z/c=")</f>
        <v>#VALUE!</v>
      </c>
      <c r="IO99" t="e">
        <f>AND(Sheet1!I1334,"AAAAADv6z/g=")</f>
        <v>#VALUE!</v>
      </c>
      <c r="IP99" t="e">
        <f>AND(Sheet1!J1334,"AAAAADv6z/k=")</f>
        <v>#VALUE!</v>
      </c>
      <c r="IQ99" t="e">
        <f>AND(Sheet1!K1334,"AAAAADv6z/o=")</f>
        <v>#VALUE!</v>
      </c>
      <c r="IR99" t="e">
        <f>AND(Sheet1!L1334,"AAAAADv6z/s=")</f>
        <v>#VALUE!</v>
      </c>
      <c r="IS99" t="e">
        <f>AND(Sheet1!M1334,"AAAAADv6z/w=")</f>
        <v>#VALUE!</v>
      </c>
      <c r="IT99" t="e">
        <f>AND(Sheet1!N1334,"AAAAADv6z/0=")</f>
        <v>#VALUE!</v>
      </c>
      <c r="IU99" t="e">
        <f>AND(Sheet1!#REF!,"AAAAADv6z/4=")</f>
        <v>#REF!</v>
      </c>
      <c r="IV99" t="e">
        <f>AND(Sheet1!#REF!,"AAAAADv6z/8=")</f>
        <v>#REF!</v>
      </c>
    </row>
    <row r="100" spans="1:256" x14ac:dyDescent="0.2">
      <c r="A100" t="e">
        <f>AND(Sheet1!#REF!,"AAAAADr+awA=")</f>
        <v>#REF!</v>
      </c>
      <c r="B100" t="e">
        <f>AND(Sheet1!#REF!,"AAAAADr+awE=")</f>
        <v>#REF!</v>
      </c>
      <c r="C100" t="e">
        <f>IF(Sheet1!1335:1335,"AAAAADr+awI=",0)</f>
        <v>#VALUE!</v>
      </c>
      <c r="D100" t="e">
        <f>AND(Sheet1!A1335,"AAAAADr+awM=")</f>
        <v>#VALUE!</v>
      </c>
      <c r="E100" t="e">
        <f>AND(Sheet1!B1335,"AAAAADr+awQ=")</f>
        <v>#VALUE!</v>
      </c>
      <c r="F100" t="e">
        <f>AND(Sheet1!C1335,"AAAAADr+awU=")</f>
        <v>#VALUE!</v>
      </c>
      <c r="G100" t="e">
        <f>AND(Sheet1!D1335,"AAAAADr+awY=")</f>
        <v>#VALUE!</v>
      </c>
      <c r="H100" t="e">
        <f>AND(Sheet1!E1335,"AAAAADr+awc=")</f>
        <v>#VALUE!</v>
      </c>
      <c r="I100" t="e">
        <f>AND(Sheet1!F1335,"AAAAADr+awg=")</f>
        <v>#VALUE!</v>
      </c>
      <c r="J100" t="e">
        <f>AND(Sheet1!G1335,"AAAAADr+awk=")</f>
        <v>#VALUE!</v>
      </c>
      <c r="K100" t="e">
        <f>AND(Sheet1!H1335,"AAAAADr+awo=")</f>
        <v>#VALUE!</v>
      </c>
      <c r="L100" t="e">
        <f>AND(Sheet1!I1335,"AAAAADr+aws=")</f>
        <v>#VALUE!</v>
      </c>
      <c r="M100" t="e">
        <f>AND(Sheet1!J1335,"AAAAADr+aww=")</f>
        <v>#VALUE!</v>
      </c>
      <c r="N100" t="e">
        <f>AND(Sheet1!K1335,"AAAAADr+aw0=")</f>
        <v>#VALUE!</v>
      </c>
      <c r="O100" t="e">
        <f>AND(Sheet1!L1335,"AAAAADr+aw4=")</f>
        <v>#VALUE!</v>
      </c>
      <c r="P100" t="e">
        <f>AND(Sheet1!M1335,"AAAAADr+aw8=")</f>
        <v>#VALUE!</v>
      </c>
      <c r="Q100" t="e">
        <f>AND(Sheet1!N1335,"AAAAADr+axA=")</f>
        <v>#VALUE!</v>
      </c>
      <c r="R100" t="e">
        <f>AND(Sheet1!#REF!,"AAAAADr+axE=")</f>
        <v>#REF!</v>
      </c>
      <c r="S100" t="e">
        <f>AND(Sheet1!#REF!,"AAAAADr+axI=")</f>
        <v>#REF!</v>
      </c>
      <c r="T100" t="e">
        <f>AND(Sheet1!#REF!,"AAAAADr+axM=")</f>
        <v>#REF!</v>
      </c>
      <c r="U100" t="e">
        <f>AND(Sheet1!#REF!,"AAAAADr+axQ=")</f>
        <v>#REF!</v>
      </c>
      <c r="V100">
        <f>IF(Sheet1!1336:1336,"AAAAADr+axU=",0)</f>
        <v>0</v>
      </c>
      <c r="W100" t="e">
        <f>AND(Sheet1!A1336,"AAAAADr+axY=")</f>
        <v>#VALUE!</v>
      </c>
      <c r="X100" t="e">
        <f>AND(Sheet1!B1336,"AAAAADr+axc=")</f>
        <v>#VALUE!</v>
      </c>
      <c r="Y100" t="e">
        <f>AND(Sheet1!C1336,"AAAAADr+axg=")</f>
        <v>#VALUE!</v>
      </c>
      <c r="Z100" t="e">
        <f>AND(Sheet1!D1336,"AAAAADr+axk=")</f>
        <v>#VALUE!</v>
      </c>
      <c r="AA100" t="e">
        <f>AND(Sheet1!E1336,"AAAAADr+axo=")</f>
        <v>#VALUE!</v>
      </c>
      <c r="AB100" t="e">
        <f>AND(Sheet1!F1336,"AAAAADr+axs=")</f>
        <v>#VALUE!</v>
      </c>
      <c r="AC100" t="e">
        <f>AND(Sheet1!G1336,"AAAAADr+axw=")</f>
        <v>#VALUE!</v>
      </c>
      <c r="AD100" t="e">
        <f>AND(Sheet1!H1336,"AAAAADr+ax0=")</f>
        <v>#VALUE!</v>
      </c>
      <c r="AE100" t="e">
        <f>AND(Sheet1!I1336,"AAAAADr+ax4=")</f>
        <v>#VALUE!</v>
      </c>
      <c r="AF100" t="e">
        <f>AND(Sheet1!J1336,"AAAAADr+ax8=")</f>
        <v>#VALUE!</v>
      </c>
      <c r="AG100" t="e">
        <f>AND(Sheet1!K1336,"AAAAADr+ayA=")</f>
        <v>#VALUE!</v>
      </c>
      <c r="AH100" t="e">
        <f>AND(Sheet1!L1336,"AAAAADr+ayE=")</f>
        <v>#VALUE!</v>
      </c>
      <c r="AI100" t="e">
        <f>AND(Sheet1!M1336,"AAAAADr+ayI=")</f>
        <v>#VALUE!</v>
      </c>
      <c r="AJ100" t="e">
        <f>AND(Sheet1!N1336,"AAAAADr+ayM=")</f>
        <v>#VALUE!</v>
      </c>
      <c r="AK100" t="e">
        <f>AND(Sheet1!#REF!,"AAAAADr+ayQ=")</f>
        <v>#REF!</v>
      </c>
      <c r="AL100" t="e">
        <f>AND(Sheet1!#REF!,"AAAAADr+ayU=")</f>
        <v>#REF!</v>
      </c>
      <c r="AM100" t="e">
        <f>AND(Sheet1!#REF!,"AAAAADr+ayY=")</f>
        <v>#REF!</v>
      </c>
      <c r="AN100" t="e">
        <f>AND(Sheet1!#REF!,"AAAAADr+ayc=")</f>
        <v>#REF!</v>
      </c>
      <c r="AO100">
        <f>IF(Sheet1!1337:1337,"AAAAADr+ayg=",0)</f>
        <v>0</v>
      </c>
      <c r="AP100" t="e">
        <f>AND(Sheet1!A1337,"AAAAADr+ayk=")</f>
        <v>#VALUE!</v>
      </c>
      <c r="AQ100" t="e">
        <f>AND(Sheet1!B1337,"AAAAADr+ayo=")</f>
        <v>#VALUE!</v>
      </c>
      <c r="AR100" t="e">
        <f>AND(Sheet1!C1337,"AAAAADr+ays=")</f>
        <v>#VALUE!</v>
      </c>
      <c r="AS100" t="e">
        <f>AND(Sheet1!D1337,"AAAAADr+ayw=")</f>
        <v>#VALUE!</v>
      </c>
      <c r="AT100" t="e">
        <f>AND(Sheet1!E1337,"AAAAADr+ay0=")</f>
        <v>#VALUE!</v>
      </c>
      <c r="AU100" t="e">
        <f>AND(Sheet1!F1337,"AAAAADr+ay4=")</f>
        <v>#VALUE!</v>
      </c>
      <c r="AV100" t="e">
        <f>AND(Sheet1!G1337,"AAAAADr+ay8=")</f>
        <v>#VALUE!</v>
      </c>
      <c r="AW100" t="e">
        <f>AND(Sheet1!H1337,"AAAAADr+azA=")</f>
        <v>#VALUE!</v>
      </c>
      <c r="AX100" t="e">
        <f>AND(Sheet1!I1337,"AAAAADr+azE=")</f>
        <v>#VALUE!</v>
      </c>
      <c r="AY100" t="e">
        <f>AND(Sheet1!J1337,"AAAAADr+azI=")</f>
        <v>#VALUE!</v>
      </c>
      <c r="AZ100" t="e">
        <f>AND(Sheet1!K1337,"AAAAADr+azM=")</f>
        <v>#VALUE!</v>
      </c>
      <c r="BA100" t="e">
        <f>AND(Sheet1!L1337,"AAAAADr+azQ=")</f>
        <v>#VALUE!</v>
      </c>
      <c r="BB100" t="e">
        <f>AND(Sheet1!M1337,"AAAAADr+azU=")</f>
        <v>#VALUE!</v>
      </c>
      <c r="BC100" t="e">
        <f>AND(Sheet1!N1337,"AAAAADr+azY=")</f>
        <v>#VALUE!</v>
      </c>
      <c r="BD100" t="e">
        <f>AND(Sheet1!#REF!,"AAAAADr+azc=")</f>
        <v>#REF!</v>
      </c>
      <c r="BE100" t="e">
        <f>AND(Sheet1!#REF!,"AAAAADr+azg=")</f>
        <v>#REF!</v>
      </c>
      <c r="BF100" t="e">
        <f>AND(Sheet1!#REF!,"AAAAADr+azk=")</f>
        <v>#REF!</v>
      </c>
      <c r="BG100" t="e">
        <f>AND(Sheet1!#REF!,"AAAAADr+azo=")</f>
        <v>#REF!</v>
      </c>
      <c r="BH100">
        <f>IF(Sheet1!1338:1338,"AAAAADr+azs=",0)</f>
        <v>0</v>
      </c>
      <c r="BI100" t="e">
        <f>AND(Sheet1!A1338,"AAAAADr+azw=")</f>
        <v>#VALUE!</v>
      </c>
      <c r="BJ100" t="e">
        <f>AND(Sheet1!B1338,"AAAAADr+az0=")</f>
        <v>#VALUE!</v>
      </c>
      <c r="BK100" t="e">
        <f>AND(Sheet1!C1338,"AAAAADr+az4=")</f>
        <v>#VALUE!</v>
      </c>
      <c r="BL100" t="e">
        <f>AND(Sheet1!D1338,"AAAAADr+az8=")</f>
        <v>#VALUE!</v>
      </c>
      <c r="BM100" t="e">
        <f>AND(Sheet1!E1338,"AAAAADr+a0A=")</f>
        <v>#VALUE!</v>
      </c>
      <c r="BN100" t="e">
        <f>AND(Sheet1!F1338,"AAAAADr+a0E=")</f>
        <v>#VALUE!</v>
      </c>
      <c r="BO100" t="e">
        <f>AND(Sheet1!G1338,"AAAAADr+a0I=")</f>
        <v>#VALUE!</v>
      </c>
      <c r="BP100" t="e">
        <f>AND(Sheet1!H1338,"AAAAADr+a0M=")</f>
        <v>#VALUE!</v>
      </c>
      <c r="BQ100" t="e">
        <f>AND(Sheet1!I1338,"AAAAADr+a0Q=")</f>
        <v>#VALUE!</v>
      </c>
      <c r="BR100" t="e">
        <f>AND(Sheet1!J1338,"AAAAADr+a0U=")</f>
        <v>#VALUE!</v>
      </c>
      <c r="BS100" t="e">
        <f>AND(Sheet1!K1338,"AAAAADr+a0Y=")</f>
        <v>#VALUE!</v>
      </c>
      <c r="BT100" t="e">
        <f>AND(Sheet1!L1338,"AAAAADr+a0c=")</f>
        <v>#VALUE!</v>
      </c>
      <c r="BU100" t="e">
        <f>AND(Sheet1!M1338,"AAAAADr+a0g=")</f>
        <v>#VALUE!</v>
      </c>
      <c r="BV100" t="e">
        <f>AND(Sheet1!N1338,"AAAAADr+a0k=")</f>
        <v>#VALUE!</v>
      </c>
      <c r="BW100" t="e">
        <f>AND(Sheet1!#REF!,"AAAAADr+a0o=")</f>
        <v>#REF!</v>
      </c>
      <c r="BX100" t="e">
        <f>AND(Sheet1!#REF!,"AAAAADr+a0s=")</f>
        <v>#REF!</v>
      </c>
      <c r="BY100" t="e">
        <f>AND(Sheet1!#REF!,"AAAAADr+a0w=")</f>
        <v>#REF!</v>
      </c>
      <c r="BZ100" t="e">
        <f>AND(Sheet1!#REF!,"AAAAADr+a00=")</f>
        <v>#REF!</v>
      </c>
      <c r="CA100">
        <f>IF(Sheet1!1339:1339,"AAAAADr+a04=",0)</f>
        <v>0</v>
      </c>
      <c r="CB100" t="e">
        <f>AND(Sheet1!A1339,"AAAAADr+a08=")</f>
        <v>#VALUE!</v>
      </c>
      <c r="CC100" t="e">
        <f>AND(Sheet1!B1339,"AAAAADr+a1A=")</f>
        <v>#VALUE!</v>
      </c>
      <c r="CD100" t="e">
        <f>AND(Sheet1!C1339,"AAAAADr+a1E=")</f>
        <v>#VALUE!</v>
      </c>
      <c r="CE100" t="e">
        <f>AND(Sheet1!D1339,"AAAAADr+a1I=")</f>
        <v>#VALUE!</v>
      </c>
      <c r="CF100" t="e">
        <f>AND(Sheet1!E1339,"AAAAADr+a1M=")</f>
        <v>#VALUE!</v>
      </c>
      <c r="CG100" t="e">
        <f>AND(Sheet1!F1339,"AAAAADr+a1Q=")</f>
        <v>#VALUE!</v>
      </c>
      <c r="CH100" t="e">
        <f>AND(Sheet1!G1339,"AAAAADr+a1U=")</f>
        <v>#VALUE!</v>
      </c>
      <c r="CI100" t="e">
        <f>AND(Sheet1!H1339,"AAAAADr+a1Y=")</f>
        <v>#VALUE!</v>
      </c>
      <c r="CJ100" t="e">
        <f>AND(Sheet1!I1339,"AAAAADr+a1c=")</f>
        <v>#VALUE!</v>
      </c>
      <c r="CK100" t="e">
        <f>AND(Sheet1!J1339,"AAAAADr+a1g=")</f>
        <v>#VALUE!</v>
      </c>
      <c r="CL100" t="e">
        <f>AND(Sheet1!K1339,"AAAAADr+a1k=")</f>
        <v>#VALUE!</v>
      </c>
      <c r="CM100" t="e">
        <f>AND(Sheet1!L1339,"AAAAADr+a1o=")</f>
        <v>#VALUE!</v>
      </c>
      <c r="CN100" t="e">
        <f>AND(Sheet1!M1339,"AAAAADr+a1s=")</f>
        <v>#VALUE!</v>
      </c>
      <c r="CO100" t="e">
        <f>AND(Sheet1!N1339,"AAAAADr+a1w=")</f>
        <v>#VALUE!</v>
      </c>
      <c r="CP100" t="e">
        <f>AND(Sheet1!#REF!,"AAAAADr+a10=")</f>
        <v>#REF!</v>
      </c>
      <c r="CQ100" t="e">
        <f>AND(Sheet1!#REF!,"AAAAADr+a14=")</f>
        <v>#REF!</v>
      </c>
      <c r="CR100" t="e">
        <f>AND(Sheet1!#REF!,"AAAAADr+a18=")</f>
        <v>#REF!</v>
      </c>
      <c r="CS100" t="e">
        <f>AND(Sheet1!#REF!,"AAAAADr+a2A=")</f>
        <v>#REF!</v>
      </c>
      <c r="CT100">
        <f>IF(Sheet1!1340:1340,"AAAAADr+a2E=",0)</f>
        <v>0</v>
      </c>
      <c r="CU100" t="e">
        <f>AND(Sheet1!A1340,"AAAAADr+a2I=")</f>
        <v>#VALUE!</v>
      </c>
      <c r="CV100" t="e">
        <f>AND(Sheet1!B1340,"AAAAADr+a2M=")</f>
        <v>#VALUE!</v>
      </c>
      <c r="CW100" t="e">
        <f>AND(Sheet1!C1340,"AAAAADr+a2Q=")</f>
        <v>#VALUE!</v>
      </c>
      <c r="CX100" t="e">
        <f>AND(Sheet1!D1340,"AAAAADr+a2U=")</f>
        <v>#VALUE!</v>
      </c>
      <c r="CY100" t="e">
        <f>AND(Sheet1!E1340,"AAAAADr+a2Y=")</f>
        <v>#VALUE!</v>
      </c>
      <c r="CZ100" t="e">
        <f>AND(Sheet1!F1340,"AAAAADr+a2c=")</f>
        <v>#VALUE!</v>
      </c>
      <c r="DA100" t="e">
        <f>AND(Sheet1!G1340,"AAAAADr+a2g=")</f>
        <v>#VALUE!</v>
      </c>
      <c r="DB100" t="e">
        <f>AND(Sheet1!H1340,"AAAAADr+a2k=")</f>
        <v>#VALUE!</v>
      </c>
      <c r="DC100" t="e">
        <f>AND(Sheet1!I1340,"AAAAADr+a2o=")</f>
        <v>#VALUE!</v>
      </c>
      <c r="DD100" t="e">
        <f>AND(Sheet1!J1340,"AAAAADr+a2s=")</f>
        <v>#VALUE!</v>
      </c>
      <c r="DE100" t="e">
        <f>AND(Sheet1!K1340,"AAAAADr+a2w=")</f>
        <v>#VALUE!</v>
      </c>
      <c r="DF100" t="e">
        <f>AND(Sheet1!L1340,"AAAAADr+a20=")</f>
        <v>#VALUE!</v>
      </c>
      <c r="DG100" t="e">
        <f>AND(Sheet1!M1340,"AAAAADr+a24=")</f>
        <v>#VALUE!</v>
      </c>
      <c r="DH100" t="e">
        <f>AND(Sheet1!N1340,"AAAAADr+a28=")</f>
        <v>#VALUE!</v>
      </c>
      <c r="DI100" t="e">
        <f>AND(Sheet1!#REF!,"AAAAADr+a3A=")</f>
        <v>#REF!</v>
      </c>
      <c r="DJ100" t="e">
        <f>AND(Sheet1!#REF!,"AAAAADr+a3E=")</f>
        <v>#REF!</v>
      </c>
      <c r="DK100" t="e">
        <f>AND(Sheet1!#REF!,"AAAAADr+a3I=")</f>
        <v>#REF!</v>
      </c>
      <c r="DL100" t="e">
        <f>AND(Sheet1!#REF!,"AAAAADr+a3M=")</f>
        <v>#REF!</v>
      </c>
      <c r="DM100">
        <f>IF(Sheet1!1341:1341,"AAAAADr+a3Q=",0)</f>
        <v>0</v>
      </c>
      <c r="DN100" t="e">
        <f>AND(Sheet1!A1341,"AAAAADr+a3U=")</f>
        <v>#VALUE!</v>
      </c>
      <c r="DO100" t="e">
        <f>AND(Sheet1!B1341,"AAAAADr+a3Y=")</f>
        <v>#VALUE!</v>
      </c>
      <c r="DP100" t="e">
        <f>AND(Sheet1!C1341,"AAAAADr+a3c=")</f>
        <v>#VALUE!</v>
      </c>
      <c r="DQ100" t="e">
        <f>AND(Sheet1!D1341,"AAAAADr+a3g=")</f>
        <v>#VALUE!</v>
      </c>
      <c r="DR100" t="e">
        <f>AND(Sheet1!E1341,"AAAAADr+a3k=")</f>
        <v>#VALUE!</v>
      </c>
      <c r="DS100" t="e">
        <f>AND(Sheet1!F1341,"AAAAADr+a3o=")</f>
        <v>#VALUE!</v>
      </c>
      <c r="DT100" t="e">
        <f>AND(Sheet1!G1341,"AAAAADr+a3s=")</f>
        <v>#VALUE!</v>
      </c>
      <c r="DU100" t="e">
        <f>AND(Sheet1!H1341,"AAAAADr+a3w=")</f>
        <v>#VALUE!</v>
      </c>
      <c r="DV100" t="e">
        <f>AND(Sheet1!I1341,"AAAAADr+a30=")</f>
        <v>#VALUE!</v>
      </c>
      <c r="DW100" t="e">
        <f>AND(Sheet1!J1341,"AAAAADr+a34=")</f>
        <v>#VALUE!</v>
      </c>
      <c r="DX100" t="e">
        <f>AND(Sheet1!K1341,"AAAAADr+a38=")</f>
        <v>#VALUE!</v>
      </c>
      <c r="DY100" t="e">
        <f>AND(Sheet1!L1341,"AAAAADr+a4A=")</f>
        <v>#VALUE!</v>
      </c>
      <c r="DZ100" t="e">
        <f>AND(Sheet1!M1341,"AAAAADr+a4E=")</f>
        <v>#VALUE!</v>
      </c>
      <c r="EA100" t="e">
        <f>AND(Sheet1!N1341,"AAAAADr+a4I=")</f>
        <v>#VALUE!</v>
      </c>
      <c r="EB100" t="e">
        <f>AND(Sheet1!#REF!,"AAAAADr+a4M=")</f>
        <v>#REF!</v>
      </c>
      <c r="EC100" t="e">
        <f>AND(Sheet1!#REF!,"AAAAADr+a4Q=")</f>
        <v>#REF!</v>
      </c>
      <c r="ED100" t="e">
        <f>AND(Sheet1!#REF!,"AAAAADr+a4U=")</f>
        <v>#REF!</v>
      </c>
      <c r="EE100" t="e">
        <f>AND(Sheet1!#REF!,"AAAAADr+a4Y=")</f>
        <v>#REF!</v>
      </c>
      <c r="EF100">
        <f>IF(Sheet1!1342:1342,"AAAAADr+a4c=",0)</f>
        <v>0</v>
      </c>
      <c r="EG100" t="e">
        <f>AND(Sheet1!A1342,"AAAAADr+a4g=")</f>
        <v>#VALUE!</v>
      </c>
      <c r="EH100" t="e">
        <f>AND(Sheet1!B1342,"AAAAADr+a4k=")</f>
        <v>#VALUE!</v>
      </c>
      <c r="EI100" t="e">
        <f>AND(Sheet1!C1342,"AAAAADr+a4o=")</f>
        <v>#VALUE!</v>
      </c>
      <c r="EJ100" t="e">
        <f>AND(Sheet1!D1342,"AAAAADr+a4s=")</f>
        <v>#VALUE!</v>
      </c>
      <c r="EK100" t="e">
        <f>AND(Sheet1!E1342,"AAAAADr+a4w=")</f>
        <v>#VALUE!</v>
      </c>
      <c r="EL100" t="e">
        <f>AND(Sheet1!F1342,"AAAAADr+a40=")</f>
        <v>#VALUE!</v>
      </c>
      <c r="EM100" t="e">
        <f>AND(Sheet1!G1342,"AAAAADr+a44=")</f>
        <v>#VALUE!</v>
      </c>
      <c r="EN100" t="e">
        <f>AND(Sheet1!H1342,"AAAAADr+a48=")</f>
        <v>#VALUE!</v>
      </c>
      <c r="EO100" t="e">
        <f>AND(Sheet1!I1342,"AAAAADr+a5A=")</f>
        <v>#VALUE!</v>
      </c>
      <c r="EP100" t="e">
        <f>AND(Sheet1!J1342,"AAAAADr+a5E=")</f>
        <v>#VALUE!</v>
      </c>
      <c r="EQ100" t="e">
        <f>AND(Sheet1!K1342,"AAAAADr+a5I=")</f>
        <v>#VALUE!</v>
      </c>
      <c r="ER100" t="e">
        <f>AND(Sheet1!L1342,"AAAAADr+a5M=")</f>
        <v>#VALUE!</v>
      </c>
      <c r="ES100" t="e">
        <f>AND(Sheet1!M1342,"AAAAADr+a5Q=")</f>
        <v>#VALUE!</v>
      </c>
      <c r="ET100" t="e">
        <f>AND(Sheet1!N1342,"AAAAADr+a5U=")</f>
        <v>#VALUE!</v>
      </c>
      <c r="EU100" t="e">
        <f>AND(Sheet1!#REF!,"AAAAADr+a5Y=")</f>
        <v>#REF!</v>
      </c>
      <c r="EV100" t="e">
        <f>AND(Sheet1!#REF!,"AAAAADr+a5c=")</f>
        <v>#REF!</v>
      </c>
      <c r="EW100" t="e">
        <f>AND(Sheet1!#REF!,"AAAAADr+a5g=")</f>
        <v>#REF!</v>
      </c>
      <c r="EX100" t="e">
        <f>AND(Sheet1!#REF!,"AAAAADr+a5k=")</f>
        <v>#REF!</v>
      </c>
      <c r="EY100">
        <f>IF(Sheet1!1343:1343,"AAAAADr+a5o=",0)</f>
        <v>0</v>
      </c>
      <c r="EZ100" t="e">
        <f>AND(Sheet1!A1343,"AAAAADr+a5s=")</f>
        <v>#VALUE!</v>
      </c>
      <c r="FA100" t="e">
        <f>AND(Sheet1!B1343,"AAAAADr+a5w=")</f>
        <v>#VALUE!</v>
      </c>
      <c r="FB100" t="e">
        <f>AND(Sheet1!C1343,"AAAAADr+a50=")</f>
        <v>#VALUE!</v>
      </c>
      <c r="FC100" t="e">
        <f>AND(Sheet1!D1343,"AAAAADr+a54=")</f>
        <v>#VALUE!</v>
      </c>
      <c r="FD100" t="e">
        <f>AND(Sheet1!E1343,"AAAAADr+a58=")</f>
        <v>#VALUE!</v>
      </c>
      <c r="FE100" t="e">
        <f>AND(Sheet1!F1343,"AAAAADr+a6A=")</f>
        <v>#VALUE!</v>
      </c>
      <c r="FF100" t="e">
        <f>AND(Sheet1!G1343,"AAAAADr+a6E=")</f>
        <v>#VALUE!</v>
      </c>
      <c r="FG100" t="e">
        <f>AND(Sheet1!H1343,"AAAAADr+a6I=")</f>
        <v>#VALUE!</v>
      </c>
      <c r="FH100" t="e">
        <f>AND(Sheet1!I1343,"AAAAADr+a6M=")</f>
        <v>#VALUE!</v>
      </c>
      <c r="FI100" t="e">
        <f>AND(Sheet1!J1343,"AAAAADr+a6Q=")</f>
        <v>#VALUE!</v>
      </c>
      <c r="FJ100" t="e">
        <f>AND(Sheet1!K1343,"AAAAADr+a6U=")</f>
        <v>#VALUE!</v>
      </c>
      <c r="FK100" t="e">
        <f>AND(Sheet1!L1343,"AAAAADr+a6Y=")</f>
        <v>#VALUE!</v>
      </c>
      <c r="FL100" t="e">
        <f>AND(Sheet1!M1343,"AAAAADr+a6c=")</f>
        <v>#VALUE!</v>
      </c>
      <c r="FM100" t="e">
        <f>AND(Sheet1!N1343,"AAAAADr+a6g=")</f>
        <v>#VALUE!</v>
      </c>
      <c r="FN100" t="e">
        <f>AND(Sheet1!#REF!,"AAAAADr+a6k=")</f>
        <v>#REF!</v>
      </c>
      <c r="FO100" t="e">
        <f>AND(Sheet1!#REF!,"AAAAADr+a6o=")</f>
        <v>#REF!</v>
      </c>
      <c r="FP100" t="e">
        <f>AND(Sheet1!#REF!,"AAAAADr+a6s=")</f>
        <v>#REF!</v>
      </c>
      <c r="FQ100" t="e">
        <f>AND(Sheet1!#REF!,"AAAAADr+a6w=")</f>
        <v>#REF!</v>
      </c>
      <c r="FR100">
        <f>IF(Sheet1!1344:1344,"AAAAADr+a60=",0)</f>
        <v>0</v>
      </c>
      <c r="FS100" t="e">
        <f>AND(Sheet1!A1344,"AAAAADr+a64=")</f>
        <v>#VALUE!</v>
      </c>
      <c r="FT100" t="e">
        <f>AND(Sheet1!B1344,"AAAAADr+a68=")</f>
        <v>#VALUE!</v>
      </c>
      <c r="FU100" t="e">
        <f>AND(Sheet1!C1344,"AAAAADr+a7A=")</f>
        <v>#VALUE!</v>
      </c>
      <c r="FV100" t="e">
        <f>AND(Sheet1!D1344,"AAAAADr+a7E=")</f>
        <v>#VALUE!</v>
      </c>
      <c r="FW100" t="e">
        <f>AND(Sheet1!E1344,"AAAAADr+a7I=")</f>
        <v>#VALUE!</v>
      </c>
      <c r="FX100" t="e">
        <f>AND(Sheet1!F1344,"AAAAADr+a7M=")</f>
        <v>#VALUE!</v>
      </c>
      <c r="FY100" t="e">
        <f>AND(Sheet1!G1344,"AAAAADr+a7Q=")</f>
        <v>#VALUE!</v>
      </c>
      <c r="FZ100" t="e">
        <f>AND(Sheet1!H1344,"AAAAADr+a7U=")</f>
        <v>#VALUE!</v>
      </c>
      <c r="GA100" t="e">
        <f>AND(Sheet1!I1344,"AAAAADr+a7Y=")</f>
        <v>#VALUE!</v>
      </c>
      <c r="GB100" t="e">
        <f>AND(Sheet1!J1344,"AAAAADr+a7c=")</f>
        <v>#VALUE!</v>
      </c>
      <c r="GC100" t="e">
        <f>AND(Sheet1!K1344,"AAAAADr+a7g=")</f>
        <v>#VALUE!</v>
      </c>
      <c r="GD100" t="e">
        <f>AND(Sheet1!L1344,"AAAAADr+a7k=")</f>
        <v>#VALUE!</v>
      </c>
      <c r="GE100" t="e">
        <f>AND(Sheet1!M1344,"AAAAADr+a7o=")</f>
        <v>#VALUE!</v>
      </c>
      <c r="GF100" t="e">
        <f>AND(Sheet1!N1344,"AAAAADr+a7s=")</f>
        <v>#VALUE!</v>
      </c>
      <c r="GG100" t="e">
        <f>AND(Sheet1!#REF!,"AAAAADr+a7w=")</f>
        <v>#REF!</v>
      </c>
      <c r="GH100" t="e">
        <f>AND(Sheet1!#REF!,"AAAAADr+a70=")</f>
        <v>#REF!</v>
      </c>
      <c r="GI100" t="e">
        <f>AND(Sheet1!#REF!,"AAAAADr+a74=")</f>
        <v>#REF!</v>
      </c>
      <c r="GJ100" t="e">
        <f>AND(Sheet1!#REF!,"AAAAADr+a78=")</f>
        <v>#REF!</v>
      </c>
      <c r="GK100">
        <f>IF(Sheet1!1345:1345,"AAAAADr+a8A=",0)</f>
        <v>0</v>
      </c>
      <c r="GL100" t="e">
        <f>AND(Sheet1!A1345,"AAAAADr+a8E=")</f>
        <v>#VALUE!</v>
      </c>
      <c r="GM100" t="e">
        <f>AND(Sheet1!B1345,"AAAAADr+a8I=")</f>
        <v>#VALUE!</v>
      </c>
      <c r="GN100" t="e">
        <f>AND(Sheet1!C1345,"AAAAADr+a8M=")</f>
        <v>#VALUE!</v>
      </c>
      <c r="GO100" t="e">
        <f>AND(Sheet1!D1345,"AAAAADr+a8Q=")</f>
        <v>#VALUE!</v>
      </c>
      <c r="GP100" t="e">
        <f>AND(Sheet1!E1345,"AAAAADr+a8U=")</f>
        <v>#VALUE!</v>
      </c>
      <c r="GQ100" t="e">
        <f>AND(Sheet1!F1345,"AAAAADr+a8Y=")</f>
        <v>#VALUE!</v>
      </c>
      <c r="GR100" t="e">
        <f>AND(Sheet1!G1345,"AAAAADr+a8c=")</f>
        <v>#VALUE!</v>
      </c>
      <c r="GS100" t="e">
        <f>AND(Sheet1!H1345,"AAAAADr+a8g=")</f>
        <v>#VALUE!</v>
      </c>
      <c r="GT100" t="e">
        <f>AND(Sheet1!I1345,"AAAAADr+a8k=")</f>
        <v>#VALUE!</v>
      </c>
      <c r="GU100" t="e">
        <f>AND(Sheet1!J1345,"AAAAADr+a8o=")</f>
        <v>#VALUE!</v>
      </c>
      <c r="GV100" t="e">
        <f>AND(Sheet1!K1345,"AAAAADr+a8s=")</f>
        <v>#VALUE!</v>
      </c>
      <c r="GW100" t="e">
        <f>AND(Sheet1!L1345,"AAAAADr+a8w=")</f>
        <v>#VALUE!</v>
      </c>
      <c r="GX100" t="e">
        <f>AND(Sheet1!M1345,"AAAAADr+a80=")</f>
        <v>#VALUE!</v>
      </c>
      <c r="GY100" t="e">
        <f>AND(Sheet1!N1345,"AAAAADr+a84=")</f>
        <v>#VALUE!</v>
      </c>
      <c r="GZ100" t="e">
        <f>AND(Sheet1!#REF!,"AAAAADr+a88=")</f>
        <v>#REF!</v>
      </c>
      <c r="HA100" t="e">
        <f>AND(Sheet1!#REF!,"AAAAADr+a9A=")</f>
        <v>#REF!</v>
      </c>
      <c r="HB100" t="e">
        <f>AND(Sheet1!#REF!,"AAAAADr+a9E=")</f>
        <v>#REF!</v>
      </c>
      <c r="HC100" t="e">
        <f>AND(Sheet1!#REF!,"AAAAADr+a9I=")</f>
        <v>#REF!</v>
      </c>
      <c r="HD100">
        <f>IF(Sheet1!1346:1346,"AAAAADr+a9M=",0)</f>
        <v>0</v>
      </c>
      <c r="HE100" t="e">
        <f>AND(Sheet1!A1346,"AAAAADr+a9Q=")</f>
        <v>#VALUE!</v>
      </c>
      <c r="HF100" t="e">
        <f>AND(Sheet1!B1346,"AAAAADr+a9U=")</f>
        <v>#VALUE!</v>
      </c>
      <c r="HG100" t="e">
        <f>AND(Sheet1!C1346,"AAAAADr+a9Y=")</f>
        <v>#VALUE!</v>
      </c>
      <c r="HH100" t="e">
        <f>AND(Sheet1!D1346,"AAAAADr+a9c=")</f>
        <v>#VALUE!</v>
      </c>
      <c r="HI100" t="e">
        <f>AND(Sheet1!E1346,"AAAAADr+a9g=")</f>
        <v>#VALUE!</v>
      </c>
      <c r="HJ100" t="e">
        <f>AND(Sheet1!F1346,"AAAAADr+a9k=")</f>
        <v>#VALUE!</v>
      </c>
      <c r="HK100" t="e">
        <f>AND(Sheet1!G1346,"AAAAADr+a9o=")</f>
        <v>#VALUE!</v>
      </c>
      <c r="HL100" t="e">
        <f>AND(Sheet1!H1346,"AAAAADr+a9s=")</f>
        <v>#VALUE!</v>
      </c>
      <c r="HM100" t="e">
        <f>AND(Sheet1!I1346,"AAAAADr+a9w=")</f>
        <v>#VALUE!</v>
      </c>
      <c r="HN100" t="e">
        <f>AND(Sheet1!J1346,"AAAAADr+a90=")</f>
        <v>#VALUE!</v>
      </c>
      <c r="HO100" t="e">
        <f>AND(Sheet1!K1346,"AAAAADr+a94=")</f>
        <v>#VALUE!</v>
      </c>
      <c r="HP100" t="e">
        <f>AND(Sheet1!L1346,"AAAAADr+a98=")</f>
        <v>#VALUE!</v>
      </c>
      <c r="HQ100" t="e">
        <f>AND(Sheet1!M1346,"AAAAADr+a+A=")</f>
        <v>#VALUE!</v>
      </c>
      <c r="HR100" t="e">
        <f>AND(Sheet1!N1346,"AAAAADr+a+E=")</f>
        <v>#VALUE!</v>
      </c>
      <c r="HS100" t="e">
        <f>AND(Sheet1!#REF!,"AAAAADr+a+I=")</f>
        <v>#REF!</v>
      </c>
      <c r="HT100" t="e">
        <f>AND(Sheet1!#REF!,"AAAAADr+a+M=")</f>
        <v>#REF!</v>
      </c>
      <c r="HU100" t="e">
        <f>AND(Sheet1!#REF!,"AAAAADr+a+Q=")</f>
        <v>#REF!</v>
      </c>
      <c r="HV100" t="e">
        <f>AND(Sheet1!#REF!,"AAAAADr+a+U=")</f>
        <v>#REF!</v>
      </c>
      <c r="HW100">
        <f>IF(Sheet1!1347:1347,"AAAAADr+a+Y=",0)</f>
        <v>0</v>
      </c>
      <c r="HX100" t="e">
        <f>AND(Sheet1!A1347,"AAAAADr+a+c=")</f>
        <v>#VALUE!</v>
      </c>
      <c r="HY100" t="e">
        <f>AND(Sheet1!B1347,"AAAAADr+a+g=")</f>
        <v>#VALUE!</v>
      </c>
      <c r="HZ100" t="e">
        <f>AND(Sheet1!C1347,"AAAAADr+a+k=")</f>
        <v>#VALUE!</v>
      </c>
      <c r="IA100" t="e">
        <f>AND(Sheet1!D1347,"AAAAADr+a+o=")</f>
        <v>#VALUE!</v>
      </c>
      <c r="IB100" t="e">
        <f>AND(Sheet1!E1347,"AAAAADr+a+s=")</f>
        <v>#VALUE!</v>
      </c>
      <c r="IC100" t="e">
        <f>AND(Sheet1!F1347,"AAAAADr+a+w=")</f>
        <v>#VALUE!</v>
      </c>
      <c r="ID100" t="e">
        <f>AND(Sheet1!G1347,"AAAAADr+a+0=")</f>
        <v>#VALUE!</v>
      </c>
      <c r="IE100" t="e">
        <f>AND(Sheet1!H1347,"AAAAADr+a+4=")</f>
        <v>#VALUE!</v>
      </c>
      <c r="IF100" t="e">
        <f>AND(Sheet1!I1347,"AAAAADr+a+8=")</f>
        <v>#VALUE!</v>
      </c>
      <c r="IG100" t="e">
        <f>AND(Sheet1!J1347,"AAAAADr+a/A=")</f>
        <v>#VALUE!</v>
      </c>
      <c r="IH100" t="e">
        <f>AND(Sheet1!K1347,"AAAAADr+a/E=")</f>
        <v>#VALUE!</v>
      </c>
      <c r="II100" t="e">
        <f>AND(Sheet1!L1347,"AAAAADr+a/I=")</f>
        <v>#VALUE!</v>
      </c>
      <c r="IJ100" t="e">
        <f>AND(Sheet1!M1347,"AAAAADr+a/M=")</f>
        <v>#VALUE!</v>
      </c>
      <c r="IK100" t="e">
        <f>AND(Sheet1!N1347,"AAAAADr+a/Q=")</f>
        <v>#VALUE!</v>
      </c>
      <c r="IL100" t="e">
        <f>AND(Sheet1!#REF!,"AAAAADr+a/U=")</f>
        <v>#REF!</v>
      </c>
      <c r="IM100" t="e">
        <f>AND(Sheet1!#REF!,"AAAAADr+a/Y=")</f>
        <v>#REF!</v>
      </c>
      <c r="IN100" t="e">
        <f>AND(Sheet1!#REF!,"AAAAADr+a/c=")</f>
        <v>#REF!</v>
      </c>
      <c r="IO100" t="e">
        <f>AND(Sheet1!#REF!,"AAAAADr+a/g=")</f>
        <v>#REF!</v>
      </c>
      <c r="IP100">
        <f>IF(Sheet1!1348:1348,"AAAAADr+a/k=",0)</f>
        <v>0</v>
      </c>
      <c r="IQ100" t="e">
        <f>AND(Sheet1!A1348,"AAAAADr+a/o=")</f>
        <v>#VALUE!</v>
      </c>
      <c r="IR100" t="e">
        <f>AND(Sheet1!B1348,"AAAAADr+a/s=")</f>
        <v>#VALUE!</v>
      </c>
      <c r="IS100" t="e">
        <f>AND(Sheet1!C1348,"AAAAADr+a/w=")</f>
        <v>#VALUE!</v>
      </c>
      <c r="IT100" t="e">
        <f>AND(Sheet1!D1348,"AAAAADr+a/0=")</f>
        <v>#VALUE!</v>
      </c>
      <c r="IU100" t="e">
        <f>AND(Sheet1!E1348,"AAAAADr+a/4=")</f>
        <v>#VALUE!</v>
      </c>
      <c r="IV100" t="e">
        <f>AND(Sheet1!F1348,"AAAAADr+a/8=")</f>
        <v>#VALUE!</v>
      </c>
    </row>
    <row r="101" spans="1:256" x14ac:dyDescent="0.2">
      <c r="A101" t="e">
        <f>AND(Sheet1!G1348,"AAAAAFy6+QA=")</f>
        <v>#VALUE!</v>
      </c>
      <c r="B101" t="e">
        <f>AND(Sheet1!H1348,"AAAAAFy6+QE=")</f>
        <v>#VALUE!</v>
      </c>
      <c r="C101" t="e">
        <f>AND(Sheet1!I1348,"AAAAAFy6+QI=")</f>
        <v>#VALUE!</v>
      </c>
      <c r="D101" t="e">
        <f>AND(Sheet1!J1348,"AAAAAFy6+QM=")</f>
        <v>#VALUE!</v>
      </c>
      <c r="E101" t="e">
        <f>AND(Sheet1!K1348,"AAAAAFy6+QQ=")</f>
        <v>#VALUE!</v>
      </c>
      <c r="F101" t="e">
        <f>AND(Sheet1!L1348,"AAAAAFy6+QU=")</f>
        <v>#VALUE!</v>
      </c>
      <c r="G101" t="e">
        <f>AND(Sheet1!M1348,"AAAAAFy6+QY=")</f>
        <v>#VALUE!</v>
      </c>
      <c r="H101" t="e">
        <f>AND(Sheet1!N1348,"AAAAAFy6+Qc=")</f>
        <v>#VALUE!</v>
      </c>
      <c r="I101" t="e">
        <f>AND(Sheet1!#REF!,"AAAAAFy6+Qg=")</f>
        <v>#REF!</v>
      </c>
      <c r="J101" t="e">
        <f>AND(Sheet1!#REF!,"AAAAAFy6+Qk=")</f>
        <v>#REF!</v>
      </c>
      <c r="K101" t="e">
        <f>AND(Sheet1!#REF!,"AAAAAFy6+Qo=")</f>
        <v>#REF!</v>
      </c>
      <c r="L101" t="e">
        <f>AND(Sheet1!#REF!,"AAAAAFy6+Qs=")</f>
        <v>#REF!</v>
      </c>
      <c r="M101" t="str">
        <f>IF(Sheet1!1349:1349,"AAAAAFy6+Qw=",0)</f>
        <v>AAAAAFy6+Qw=</v>
      </c>
      <c r="N101" t="e">
        <f>AND(Sheet1!A1349,"AAAAAFy6+Q0=")</f>
        <v>#VALUE!</v>
      </c>
      <c r="O101" t="e">
        <f>AND(Sheet1!B1349,"AAAAAFy6+Q4=")</f>
        <v>#VALUE!</v>
      </c>
      <c r="P101" t="e">
        <f>AND(Sheet1!C1349,"AAAAAFy6+Q8=")</f>
        <v>#VALUE!</v>
      </c>
      <c r="Q101" t="e">
        <f>AND(Sheet1!D1349,"AAAAAFy6+RA=")</f>
        <v>#VALUE!</v>
      </c>
      <c r="R101" t="e">
        <f>AND(Sheet1!E1349,"AAAAAFy6+RE=")</f>
        <v>#VALUE!</v>
      </c>
      <c r="S101" t="e">
        <f>AND(Sheet1!F1349,"AAAAAFy6+RI=")</f>
        <v>#VALUE!</v>
      </c>
      <c r="T101" t="e">
        <f>AND(Sheet1!G1349,"AAAAAFy6+RM=")</f>
        <v>#VALUE!</v>
      </c>
      <c r="U101" t="e">
        <f>AND(Sheet1!H1349,"AAAAAFy6+RQ=")</f>
        <v>#VALUE!</v>
      </c>
      <c r="V101" t="e">
        <f>AND(Sheet1!I1349,"AAAAAFy6+RU=")</f>
        <v>#VALUE!</v>
      </c>
      <c r="W101" t="e">
        <f>AND(Sheet1!J1349,"AAAAAFy6+RY=")</f>
        <v>#VALUE!</v>
      </c>
      <c r="X101" t="e">
        <f>AND(Sheet1!K1349,"AAAAAFy6+Rc=")</f>
        <v>#VALUE!</v>
      </c>
      <c r="Y101" t="e">
        <f>AND(Sheet1!L1349,"AAAAAFy6+Rg=")</f>
        <v>#VALUE!</v>
      </c>
      <c r="Z101" t="e">
        <f>AND(Sheet1!M1349,"AAAAAFy6+Rk=")</f>
        <v>#VALUE!</v>
      </c>
      <c r="AA101" t="e">
        <f>AND(Sheet1!N1349,"AAAAAFy6+Ro=")</f>
        <v>#VALUE!</v>
      </c>
      <c r="AB101" t="e">
        <f>AND(Sheet1!#REF!,"AAAAAFy6+Rs=")</f>
        <v>#REF!</v>
      </c>
      <c r="AC101" t="e">
        <f>AND(Sheet1!#REF!,"AAAAAFy6+Rw=")</f>
        <v>#REF!</v>
      </c>
      <c r="AD101" t="e">
        <f>AND(Sheet1!#REF!,"AAAAAFy6+R0=")</f>
        <v>#REF!</v>
      </c>
      <c r="AE101" t="e">
        <f>AND(Sheet1!#REF!,"AAAAAFy6+R4=")</f>
        <v>#REF!</v>
      </c>
      <c r="AF101">
        <f>IF(Sheet1!1350:1350,"AAAAAFy6+R8=",0)</f>
        <v>0</v>
      </c>
      <c r="AG101" t="e">
        <f>AND(Sheet1!A1350,"AAAAAFy6+SA=")</f>
        <v>#VALUE!</v>
      </c>
      <c r="AH101" t="e">
        <f>AND(Sheet1!B1350,"AAAAAFy6+SE=")</f>
        <v>#VALUE!</v>
      </c>
      <c r="AI101" t="e">
        <f>AND(Sheet1!C1350,"AAAAAFy6+SI=")</f>
        <v>#VALUE!</v>
      </c>
      <c r="AJ101" t="e">
        <f>AND(Sheet1!D1350,"AAAAAFy6+SM=")</f>
        <v>#VALUE!</v>
      </c>
      <c r="AK101" t="e">
        <f>AND(Sheet1!E1350,"AAAAAFy6+SQ=")</f>
        <v>#VALUE!</v>
      </c>
      <c r="AL101" t="e">
        <f>AND(Sheet1!F1350,"AAAAAFy6+SU=")</f>
        <v>#VALUE!</v>
      </c>
      <c r="AM101" t="e">
        <f>AND(Sheet1!G1350,"AAAAAFy6+SY=")</f>
        <v>#VALUE!</v>
      </c>
      <c r="AN101" t="e">
        <f>AND(Sheet1!H1350,"AAAAAFy6+Sc=")</f>
        <v>#VALUE!</v>
      </c>
      <c r="AO101" t="e">
        <f>AND(Sheet1!I1350,"AAAAAFy6+Sg=")</f>
        <v>#VALUE!</v>
      </c>
      <c r="AP101" t="e">
        <f>AND(Sheet1!J1350,"AAAAAFy6+Sk=")</f>
        <v>#VALUE!</v>
      </c>
      <c r="AQ101" t="e">
        <f>AND(Sheet1!K1350,"AAAAAFy6+So=")</f>
        <v>#VALUE!</v>
      </c>
      <c r="AR101" t="e">
        <f>AND(Sheet1!L1350,"AAAAAFy6+Ss=")</f>
        <v>#VALUE!</v>
      </c>
      <c r="AS101" t="e">
        <f>AND(Sheet1!M1350,"AAAAAFy6+Sw=")</f>
        <v>#VALUE!</v>
      </c>
      <c r="AT101" t="e">
        <f>AND(Sheet1!N1350,"AAAAAFy6+S0=")</f>
        <v>#VALUE!</v>
      </c>
      <c r="AU101" t="e">
        <f>AND(Sheet1!#REF!,"AAAAAFy6+S4=")</f>
        <v>#REF!</v>
      </c>
      <c r="AV101" t="e">
        <f>AND(Sheet1!#REF!,"AAAAAFy6+S8=")</f>
        <v>#REF!</v>
      </c>
      <c r="AW101" t="e">
        <f>AND(Sheet1!#REF!,"AAAAAFy6+TA=")</f>
        <v>#REF!</v>
      </c>
      <c r="AX101" t="e">
        <f>AND(Sheet1!#REF!,"AAAAAFy6+TE=")</f>
        <v>#REF!</v>
      </c>
      <c r="AY101">
        <f>IF(Sheet1!1351:1351,"AAAAAFy6+TI=",0)</f>
        <v>0</v>
      </c>
      <c r="AZ101" t="e">
        <f>AND(Sheet1!A1351,"AAAAAFy6+TM=")</f>
        <v>#VALUE!</v>
      </c>
      <c r="BA101" t="e">
        <f>AND(Sheet1!B1351,"AAAAAFy6+TQ=")</f>
        <v>#VALUE!</v>
      </c>
      <c r="BB101" t="e">
        <f>AND(Sheet1!C1351,"AAAAAFy6+TU=")</f>
        <v>#VALUE!</v>
      </c>
      <c r="BC101" t="e">
        <f>AND(Sheet1!D1351,"AAAAAFy6+TY=")</f>
        <v>#VALUE!</v>
      </c>
      <c r="BD101" t="e">
        <f>AND(Sheet1!E1351,"AAAAAFy6+Tc=")</f>
        <v>#VALUE!</v>
      </c>
      <c r="BE101" t="e">
        <f>AND(Sheet1!F1351,"AAAAAFy6+Tg=")</f>
        <v>#VALUE!</v>
      </c>
      <c r="BF101" t="e">
        <f>AND(Sheet1!G1351,"AAAAAFy6+Tk=")</f>
        <v>#VALUE!</v>
      </c>
      <c r="BG101" t="e">
        <f>AND(Sheet1!H1351,"AAAAAFy6+To=")</f>
        <v>#VALUE!</v>
      </c>
      <c r="BH101" t="e">
        <f>AND(Sheet1!I1351,"AAAAAFy6+Ts=")</f>
        <v>#VALUE!</v>
      </c>
      <c r="BI101" t="e">
        <f>AND(Sheet1!J1351,"AAAAAFy6+Tw=")</f>
        <v>#VALUE!</v>
      </c>
      <c r="BJ101" t="e">
        <f>AND(Sheet1!K1351,"AAAAAFy6+T0=")</f>
        <v>#VALUE!</v>
      </c>
      <c r="BK101" t="e">
        <f>AND(Sheet1!L1351,"AAAAAFy6+T4=")</f>
        <v>#VALUE!</v>
      </c>
      <c r="BL101" t="e">
        <f>AND(Sheet1!M1351,"AAAAAFy6+T8=")</f>
        <v>#VALUE!</v>
      </c>
      <c r="BM101" t="e">
        <f>AND(Sheet1!N1351,"AAAAAFy6+UA=")</f>
        <v>#VALUE!</v>
      </c>
      <c r="BN101" t="e">
        <f>AND(Sheet1!#REF!,"AAAAAFy6+UE=")</f>
        <v>#REF!</v>
      </c>
      <c r="BO101" t="e">
        <f>AND(Sheet1!#REF!,"AAAAAFy6+UI=")</f>
        <v>#REF!</v>
      </c>
      <c r="BP101" t="e">
        <f>AND(Sheet1!#REF!,"AAAAAFy6+UM=")</f>
        <v>#REF!</v>
      </c>
      <c r="BQ101" t="e">
        <f>AND(Sheet1!#REF!,"AAAAAFy6+UQ=")</f>
        <v>#REF!</v>
      </c>
      <c r="BR101">
        <f>IF(Sheet1!1352:1352,"AAAAAFy6+UU=",0)</f>
        <v>0</v>
      </c>
      <c r="BS101" t="e">
        <f>AND(Sheet1!A1352,"AAAAAFy6+UY=")</f>
        <v>#VALUE!</v>
      </c>
      <c r="BT101" t="e">
        <f>AND(Sheet1!B1352,"AAAAAFy6+Uc=")</f>
        <v>#VALUE!</v>
      </c>
      <c r="BU101" t="e">
        <f>AND(Sheet1!C1352,"AAAAAFy6+Ug=")</f>
        <v>#VALUE!</v>
      </c>
      <c r="BV101" t="e">
        <f>AND(Sheet1!D1352,"AAAAAFy6+Uk=")</f>
        <v>#VALUE!</v>
      </c>
      <c r="BW101" t="e">
        <f>AND(Sheet1!E1352,"AAAAAFy6+Uo=")</f>
        <v>#VALUE!</v>
      </c>
      <c r="BX101" t="e">
        <f>AND(Sheet1!F1352,"AAAAAFy6+Us=")</f>
        <v>#VALUE!</v>
      </c>
      <c r="BY101" t="e">
        <f>AND(Sheet1!G1352,"AAAAAFy6+Uw=")</f>
        <v>#VALUE!</v>
      </c>
      <c r="BZ101" t="e">
        <f>AND(Sheet1!H1352,"AAAAAFy6+U0=")</f>
        <v>#VALUE!</v>
      </c>
      <c r="CA101" t="e">
        <f>AND(Sheet1!I1352,"AAAAAFy6+U4=")</f>
        <v>#VALUE!</v>
      </c>
      <c r="CB101" t="e">
        <f>AND(Sheet1!J1352,"AAAAAFy6+U8=")</f>
        <v>#VALUE!</v>
      </c>
      <c r="CC101" t="e">
        <f>AND(Sheet1!K1352,"AAAAAFy6+VA=")</f>
        <v>#VALUE!</v>
      </c>
      <c r="CD101" t="e">
        <f>AND(Sheet1!L1352,"AAAAAFy6+VE=")</f>
        <v>#VALUE!</v>
      </c>
      <c r="CE101" t="e">
        <f>AND(Sheet1!M1352,"AAAAAFy6+VI=")</f>
        <v>#VALUE!</v>
      </c>
      <c r="CF101" t="e">
        <f>AND(Sheet1!N1352,"AAAAAFy6+VM=")</f>
        <v>#VALUE!</v>
      </c>
      <c r="CG101" t="e">
        <f>AND(Sheet1!#REF!,"AAAAAFy6+VQ=")</f>
        <v>#REF!</v>
      </c>
      <c r="CH101" t="e">
        <f>AND(Sheet1!#REF!,"AAAAAFy6+VU=")</f>
        <v>#REF!</v>
      </c>
      <c r="CI101" t="e">
        <f>AND(Sheet1!#REF!,"AAAAAFy6+VY=")</f>
        <v>#REF!</v>
      </c>
      <c r="CJ101" t="e">
        <f>AND(Sheet1!#REF!,"AAAAAFy6+Vc=")</f>
        <v>#REF!</v>
      </c>
      <c r="CK101">
        <f>IF(Sheet1!1353:1353,"AAAAAFy6+Vg=",0)</f>
        <v>0</v>
      </c>
      <c r="CL101" t="e">
        <f>AND(Sheet1!A1353,"AAAAAFy6+Vk=")</f>
        <v>#VALUE!</v>
      </c>
      <c r="CM101" t="e">
        <f>AND(Sheet1!B1353,"AAAAAFy6+Vo=")</f>
        <v>#VALUE!</v>
      </c>
      <c r="CN101" t="e">
        <f>AND(Sheet1!C1353,"AAAAAFy6+Vs=")</f>
        <v>#VALUE!</v>
      </c>
      <c r="CO101" t="e">
        <f>AND(Sheet1!D1353,"AAAAAFy6+Vw=")</f>
        <v>#VALUE!</v>
      </c>
      <c r="CP101" t="e">
        <f>AND(Sheet1!E1353,"AAAAAFy6+V0=")</f>
        <v>#VALUE!</v>
      </c>
      <c r="CQ101" t="e">
        <f>AND(Sheet1!F1353,"AAAAAFy6+V4=")</f>
        <v>#VALUE!</v>
      </c>
      <c r="CR101" t="e">
        <f>AND(Sheet1!G1353,"AAAAAFy6+V8=")</f>
        <v>#VALUE!</v>
      </c>
      <c r="CS101" t="e">
        <f>AND(Sheet1!H1353,"AAAAAFy6+WA=")</f>
        <v>#VALUE!</v>
      </c>
      <c r="CT101" t="e">
        <f>AND(Sheet1!I1353,"AAAAAFy6+WE=")</f>
        <v>#VALUE!</v>
      </c>
      <c r="CU101" t="e">
        <f>AND(Sheet1!J1353,"AAAAAFy6+WI=")</f>
        <v>#VALUE!</v>
      </c>
      <c r="CV101" t="e">
        <f>AND(Sheet1!K1353,"AAAAAFy6+WM=")</f>
        <v>#VALUE!</v>
      </c>
      <c r="CW101" t="e">
        <f>AND(Sheet1!L1353,"AAAAAFy6+WQ=")</f>
        <v>#VALUE!</v>
      </c>
      <c r="CX101" t="e">
        <f>AND(Sheet1!M1353,"AAAAAFy6+WU=")</f>
        <v>#VALUE!</v>
      </c>
      <c r="CY101" t="e">
        <f>AND(Sheet1!N1353,"AAAAAFy6+WY=")</f>
        <v>#VALUE!</v>
      </c>
      <c r="CZ101" t="e">
        <f>AND(Sheet1!#REF!,"AAAAAFy6+Wc=")</f>
        <v>#REF!</v>
      </c>
      <c r="DA101" t="e">
        <f>AND(Sheet1!#REF!,"AAAAAFy6+Wg=")</f>
        <v>#REF!</v>
      </c>
      <c r="DB101" t="e">
        <f>AND(Sheet1!#REF!,"AAAAAFy6+Wk=")</f>
        <v>#REF!</v>
      </c>
      <c r="DC101" t="e">
        <f>AND(Sheet1!#REF!,"AAAAAFy6+Wo=")</f>
        <v>#REF!</v>
      </c>
      <c r="DD101">
        <f>IF(Sheet1!1354:1354,"AAAAAFy6+Ws=",0)</f>
        <v>0</v>
      </c>
      <c r="DE101" t="e">
        <f>AND(Sheet1!A1354,"AAAAAFy6+Ww=")</f>
        <v>#VALUE!</v>
      </c>
      <c r="DF101" t="e">
        <f>AND(Sheet1!B1354,"AAAAAFy6+W0=")</f>
        <v>#VALUE!</v>
      </c>
      <c r="DG101" t="e">
        <f>AND(Sheet1!C1354,"AAAAAFy6+W4=")</f>
        <v>#VALUE!</v>
      </c>
      <c r="DH101" t="e">
        <f>AND(Sheet1!D1354,"AAAAAFy6+W8=")</f>
        <v>#VALUE!</v>
      </c>
      <c r="DI101" t="e">
        <f>AND(Sheet1!E1354,"AAAAAFy6+XA=")</f>
        <v>#VALUE!</v>
      </c>
      <c r="DJ101" t="e">
        <f>AND(Sheet1!F1354,"AAAAAFy6+XE=")</f>
        <v>#VALUE!</v>
      </c>
      <c r="DK101" t="e">
        <f>AND(Sheet1!G1354,"AAAAAFy6+XI=")</f>
        <v>#VALUE!</v>
      </c>
      <c r="DL101" t="e">
        <f>AND(Sheet1!H1354,"AAAAAFy6+XM=")</f>
        <v>#VALUE!</v>
      </c>
      <c r="DM101" t="e">
        <f>AND(Sheet1!I1354,"AAAAAFy6+XQ=")</f>
        <v>#VALUE!</v>
      </c>
      <c r="DN101" t="e">
        <f>AND(Sheet1!J1354,"AAAAAFy6+XU=")</f>
        <v>#VALUE!</v>
      </c>
      <c r="DO101" t="e">
        <f>AND(Sheet1!K1354,"AAAAAFy6+XY=")</f>
        <v>#VALUE!</v>
      </c>
      <c r="DP101" t="e">
        <f>AND(Sheet1!L1354,"AAAAAFy6+Xc=")</f>
        <v>#VALUE!</v>
      </c>
      <c r="DQ101" t="e">
        <f>AND(Sheet1!M1354,"AAAAAFy6+Xg=")</f>
        <v>#VALUE!</v>
      </c>
      <c r="DR101" t="e">
        <f>AND(Sheet1!N1354,"AAAAAFy6+Xk=")</f>
        <v>#VALUE!</v>
      </c>
      <c r="DS101" t="e">
        <f>AND(Sheet1!#REF!,"AAAAAFy6+Xo=")</f>
        <v>#REF!</v>
      </c>
      <c r="DT101" t="e">
        <f>AND(Sheet1!#REF!,"AAAAAFy6+Xs=")</f>
        <v>#REF!</v>
      </c>
      <c r="DU101" t="e">
        <f>AND(Sheet1!#REF!,"AAAAAFy6+Xw=")</f>
        <v>#REF!</v>
      </c>
      <c r="DV101" t="e">
        <f>AND(Sheet1!#REF!,"AAAAAFy6+X0=")</f>
        <v>#REF!</v>
      </c>
      <c r="DW101">
        <f>IF(Sheet1!1355:1355,"AAAAAFy6+X4=",0)</f>
        <v>0</v>
      </c>
      <c r="DX101" t="e">
        <f>AND(Sheet1!A1355,"AAAAAFy6+X8=")</f>
        <v>#VALUE!</v>
      </c>
      <c r="DY101" t="e">
        <f>AND(Sheet1!B1355,"AAAAAFy6+YA=")</f>
        <v>#VALUE!</v>
      </c>
      <c r="DZ101" t="e">
        <f>AND(Sheet1!C1355,"AAAAAFy6+YE=")</f>
        <v>#VALUE!</v>
      </c>
      <c r="EA101" t="e">
        <f>AND(Sheet1!D1355,"AAAAAFy6+YI=")</f>
        <v>#VALUE!</v>
      </c>
      <c r="EB101" t="e">
        <f>AND(Sheet1!E1355,"AAAAAFy6+YM=")</f>
        <v>#VALUE!</v>
      </c>
      <c r="EC101" t="e">
        <f>AND(Sheet1!F1355,"AAAAAFy6+YQ=")</f>
        <v>#VALUE!</v>
      </c>
      <c r="ED101" t="e">
        <f>AND(Sheet1!G1355,"AAAAAFy6+YU=")</f>
        <v>#VALUE!</v>
      </c>
      <c r="EE101" t="e">
        <f>AND(Sheet1!H1355,"AAAAAFy6+YY=")</f>
        <v>#VALUE!</v>
      </c>
      <c r="EF101" t="e">
        <f>AND(Sheet1!I1355,"AAAAAFy6+Yc=")</f>
        <v>#VALUE!</v>
      </c>
      <c r="EG101" t="e">
        <f>AND(Sheet1!J1355,"AAAAAFy6+Yg=")</f>
        <v>#VALUE!</v>
      </c>
      <c r="EH101" t="e">
        <f>AND(Sheet1!K1355,"AAAAAFy6+Yk=")</f>
        <v>#VALUE!</v>
      </c>
      <c r="EI101" t="e">
        <f>AND(Sheet1!L1355,"AAAAAFy6+Yo=")</f>
        <v>#VALUE!</v>
      </c>
      <c r="EJ101" t="e">
        <f>AND(Sheet1!M1355,"AAAAAFy6+Ys=")</f>
        <v>#VALUE!</v>
      </c>
      <c r="EK101" t="e">
        <f>AND(Sheet1!N1355,"AAAAAFy6+Yw=")</f>
        <v>#VALUE!</v>
      </c>
      <c r="EL101" t="e">
        <f>AND(Sheet1!#REF!,"AAAAAFy6+Y0=")</f>
        <v>#REF!</v>
      </c>
      <c r="EM101" t="e">
        <f>AND(Sheet1!#REF!,"AAAAAFy6+Y4=")</f>
        <v>#REF!</v>
      </c>
      <c r="EN101" t="e">
        <f>AND(Sheet1!#REF!,"AAAAAFy6+Y8=")</f>
        <v>#REF!</v>
      </c>
      <c r="EO101" t="e">
        <f>AND(Sheet1!#REF!,"AAAAAFy6+ZA=")</f>
        <v>#REF!</v>
      </c>
      <c r="EP101">
        <f>IF(Sheet1!1356:1356,"AAAAAFy6+ZE=",0)</f>
        <v>0</v>
      </c>
      <c r="EQ101" t="e">
        <f>AND(Sheet1!A1356,"AAAAAFy6+ZI=")</f>
        <v>#VALUE!</v>
      </c>
      <c r="ER101" t="e">
        <f>AND(Sheet1!B1356,"AAAAAFy6+ZM=")</f>
        <v>#VALUE!</v>
      </c>
      <c r="ES101" t="e">
        <f>AND(Sheet1!C1356,"AAAAAFy6+ZQ=")</f>
        <v>#VALUE!</v>
      </c>
      <c r="ET101" t="e">
        <f>AND(Sheet1!D1356,"AAAAAFy6+ZU=")</f>
        <v>#VALUE!</v>
      </c>
      <c r="EU101" t="e">
        <f>AND(Sheet1!E1356,"AAAAAFy6+ZY=")</f>
        <v>#VALUE!</v>
      </c>
      <c r="EV101" t="e">
        <f>AND(Sheet1!F1356,"AAAAAFy6+Zc=")</f>
        <v>#VALUE!</v>
      </c>
      <c r="EW101" t="e">
        <f>AND(Sheet1!G1356,"AAAAAFy6+Zg=")</f>
        <v>#VALUE!</v>
      </c>
      <c r="EX101" t="e">
        <f>AND(Sheet1!H1356,"AAAAAFy6+Zk=")</f>
        <v>#VALUE!</v>
      </c>
      <c r="EY101" t="e">
        <f>AND(Sheet1!I1356,"AAAAAFy6+Zo=")</f>
        <v>#VALUE!</v>
      </c>
      <c r="EZ101" t="e">
        <f>AND(Sheet1!J1356,"AAAAAFy6+Zs=")</f>
        <v>#VALUE!</v>
      </c>
      <c r="FA101" t="e">
        <f>AND(Sheet1!K1356,"AAAAAFy6+Zw=")</f>
        <v>#VALUE!</v>
      </c>
      <c r="FB101" t="e">
        <f>AND(Sheet1!L1356,"AAAAAFy6+Z0=")</f>
        <v>#VALUE!</v>
      </c>
      <c r="FC101" t="e">
        <f>AND(Sheet1!M1356,"AAAAAFy6+Z4=")</f>
        <v>#VALUE!</v>
      </c>
      <c r="FD101" t="e">
        <f>AND(Sheet1!N1356,"AAAAAFy6+Z8=")</f>
        <v>#VALUE!</v>
      </c>
      <c r="FE101" t="e">
        <f>AND(Sheet1!#REF!,"AAAAAFy6+aA=")</f>
        <v>#REF!</v>
      </c>
      <c r="FF101" t="e">
        <f>AND(Sheet1!#REF!,"AAAAAFy6+aE=")</f>
        <v>#REF!</v>
      </c>
      <c r="FG101" t="e">
        <f>AND(Sheet1!#REF!,"AAAAAFy6+aI=")</f>
        <v>#REF!</v>
      </c>
      <c r="FH101" t="e">
        <f>AND(Sheet1!#REF!,"AAAAAFy6+aM=")</f>
        <v>#REF!</v>
      </c>
      <c r="FI101">
        <f>IF(Sheet1!1357:1357,"AAAAAFy6+aQ=",0)</f>
        <v>0</v>
      </c>
      <c r="FJ101" t="e">
        <f>AND(Sheet1!A1357,"AAAAAFy6+aU=")</f>
        <v>#VALUE!</v>
      </c>
      <c r="FK101" t="e">
        <f>AND(Sheet1!B1357,"AAAAAFy6+aY=")</f>
        <v>#VALUE!</v>
      </c>
      <c r="FL101" t="e">
        <f>AND(Sheet1!C1357,"AAAAAFy6+ac=")</f>
        <v>#VALUE!</v>
      </c>
      <c r="FM101" t="e">
        <f>AND(Sheet1!D1357,"AAAAAFy6+ag=")</f>
        <v>#VALUE!</v>
      </c>
      <c r="FN101" t="e">
        <f>AND(Sheet1!E1357,"AAAAAFy6+ak=")</f>
        <v>#VALUE!</v>
      </c>
      <c r="FO101" t="e">
        <f>AND(Sheet1!F1357,"AAAAAFy6+ao=")</f>
        <v>#VALUE!</v>
      </c>
      <c r="FP101" t="e">
        <f>AND(Sheet1!G1357,"AAAAAFy6+as=")</f>
        <v>#VALUE!</v>
      </c>
      <c r="FQ101" t="e">
        <f>AND(Sheet1!H1357,"AAAAAFy6+aw=")</f>
        <v>#VALUE!</v>
      </c>
      <c r="FR101" t="e">
        <f>AND(Sheet1!I1357,"AAAAAFy6+a0=")</f>
        <v>#VALUE!</v>
      </c>
      <c r="FS101" t="e">
        <f>AND(Sheet1!J1357,"AAAAAFy6+a4=")</f>
        <v>#VALUE!</v>
      </c>
      <c r="FT101" t="e">
        <f>AND(Sheet1!K1357,"AAAAAFy6+a8=")</f>
        <v>#VALUE!</v>
      </c>
      <c r="FU101" t="e">
        <f>AND(Sheet1!L1357,"AAAAAFy6+bA=")</f>
        <v>#VALUE!</v>
      </c>
      <c r="FV101" t="e">
        <f>AND(Sheet1!M1357,"AAAAAFy6+bE=")</f>
        <v>#VALUE!</v>
      </c>
      <c r="FW101" t="e">
        <f>AND(Sheet1!N1357,"AAAAAFy6+bI=")</f>
        <v>#VALUE!</v>
      </c>
      <c r="FX101" t="e">
        <f>AND(Sheet1!#REF!,"AAAAAFy6+bM=")</f>
        <v>#REF!</v>
      </c>
      <c r="FY101" t="e">
        <f>AND(Sheet1!#REF!,"AAAAAFy6+bQ=")</f>
        <v>#REF!</v>
      </c>
      <c r="FZ101" t="e">
        <f>AND(Sheet1!#REF!,"AAAAAFy6+bU=")</f>
        <v>#REF!</v>
      </c>
      <c r="GA101" t="e">
        <f>AND(Sheet1!#REF!,"AAAAAFy6+bY=")</f>
        <v>#REF!</v>
      </c>
      <c r="GB101">
        <f>IF(Sheet1!1358:1358,"AAAAAFy6+bc=",0)</f>
        <v>0</v>
      </c>
      <c r="GC101" t="e">
        <f>AND(Sheet1!A1358,"AAAAAFy6+bg=")</f>
        <v>#VALUE!</v>
      </c>
      <c r="GD101" t="e">
        <f>AND(Sheet1!B1358,"AAAAAFy6+bk=")</f>
        <v>#VALUE!</v>
      </c>
      <c r="GE101" t="e">
        <f>AND(Sheet1!C1358,"AAAAAFy6+bo=")</f>
        <v>#VALUE!</v>
      </c>
      <c r="GF101" t="e">
        <f>AND(Sheet1!D1358,"AAAAAFy6+bs=")</f>
        <v>#VALUE!</v>
      </c>
      <c r="GG101" t="e">
        <f>AND(Sheet1!E1358,"AAAAAFy6+bw=")</f>
        <v>#VALUE!</v>
      </c>
      <c r="GH101" t="e">
        <f>AND(Sheet1!F1358,"AAAAAFy6+b0=")</f>
        <v>#VALUE!</v>
      </c>
      <c r="GI101" t="e">
        <f>AND(Sheet1!G1358,"AAAAAFy6+b4=")</f>
        <v>#VALUE!</v>
      </c>
      <c r="GJ101" t="e">
        <f>AND(Sheet1!H1358,"AAAAAFy6+b8=")</f>
        <v>#VALUE!</v>
      </c>
      <c r="GK101" t="e">
        <f>AND(Sheet1!I1358,"AAAAAFy6+cA=")</f>
        <v>#VALUE!</v>
      </c>
      <c r="GL101" t="e">
        <f>AND(Sheet1!J1358,"AAAAAFy6+cE=")</f>
        <v>#VALUE!</v>
      </c>
      <c r="GM101" t="e">
        <f>AND(Sheet1!K1358,"AAAAAFy6+cI=")</f>
        <v>#VALUE!</v>
      </c>
      <c r="GN101" t="e">
        <f>AND(Sheet1!L1358,"AAAAAFy6+cM=")</f>
        <v>#VALUE!</v>
      </c>
      <c r="GO101" t="e">
        <f>AND(Sheet1!M1358,"AAAAAFy6+cQ=")</f>
        <v>#VALUE!</v>
      </c>
      <c r="GP101" t="e">
        <f>AND(Sheet1!N1358,"AAAAAFy6+cU=")</f>
        <v>#VALUE!</v>
      </c>
      <c r="GQ101" t="e">
        <f>AND(Sheet1!#REF!,"AAAAAFy6+cY=")</f>
        <v>#REF!</v>
      </c>
      <c r="GR101" t="e">
        <f>AND(Sheet1!#REF!,"AAAAAFy6+cc=")</f>
        <v>#REF!</v>
      </c>
      <c r="GS101" t="e">
        <f>AND(Sheet1!#REF!,"AAAAAFy6+cg=")</f>
        <v>#REF!</v>
      </c>
      <c r="GT101" t="e">
        <f>AND(Sheet1!#REF!,"AAAAAFy6+ck=")</f>
        <v>#REF!</v>
      </c>
      <c r="GU101">
        <f>IF(Sheet1!1359:1359,"AAAAAFy6+co=",0)</f>
        <v>0</v>
      </c>
      <c r="GV101" t="e">
        <f>AND(Sheet1!A1359,"AAAAAFy6+cs=")</f>
        <v>#VALUE!</v>
      </c>
      <c r="GW101" t="e">
        <f>AND(Sheet1!B1359,"AAAAAFy6+cw=")</f>
        <v>#VALUE!</v>
      </c>
      <c r="GX101" t="e">
        <f>AND(Sheet1!C1359,"AAAAAFy6+c0=")</f>
        <v>#VALUE!</v>
      </c>
      <c r="GY101" t="e">
        <f>AND(Sheet1!D1359,"AAAAAFy6+c4=")</f>
        <v>#VALUE!</v>
      </c>
      <c r="GZ101" t="e">
        <f>AND(Sheet1!E1359,"AAAAAFy6+c8=")</f>
        <v>#VALUE!</v>
      </c>
      <c r="HA101" t="e">
        <f>AND(Sheet1!F1359,"AAAAAFy6+dA=")</f>
        <v>#VALUE!</v>
      </c>
      <c r="HB101" t="e">
        <f>AND(Sheet1!G1359,"AAAAAFy6+dE=")</f>
        <v>#VALUE!</v>
      </c>
      <c r="HC101" t="e">
        <f>AND(Sheet1!H1359,"AAAAAFy6+dI=")</f>
        <v>#VALUE!</v>
      </c>
      <c r="HD101" t="e">
        <f>AND(Sheet1!I1359,"AAAAAFy6+dM=")</f>
        <v>#VALUE!</v>
      </c>
      <c r="HE101" t="e">
        <f>AND(Sheet1!J1359,"AAAAAFy6+dQ=")</f>
        <v>#VALUE!</v>
      </c>
      <c r="HF101" t="e">
        <f>AND(Sheet1!K1359,"AAAAAFy6+dU=")</f>
        <v>#VALUE!</v>
      </c>
      <c r="HG101" t="e">
        <f>AND(Sheet1!L1359,"AAAAAFy6+dY=")</f>
        <v>#VALUE!</v>
      </c>
      <c r="HH101" t="e">
        <f>AND(Sheet1!M1359,"AAAAAFy6+dc=")</f>
        <v>#VALUE!</v>
      </c>
      <c r="HI101" t="e">
        <f>AND(Sheet1!N1359,"AAAAAFy6+dg=")</f>
        <v>#VALUE!</v>
      </c>
      <c r="HJ101" t="e">
        <f>AND(Sheet1!#REF!,"AAAAAFy6+dk=")</f>
        <v>#REF!</v>
      </c>
      <c r="HK101" t="e">
        <f>AND(Sheet1!#REF!,"AAAAAFy6+do=")</f>
        <v>#REF!</v>
      </c>
      <c r="HL101" t="e">
        <f>AND(Sheet1!#REF!,"AAAAAFy6+ds=")</f>
        <v>#REF!</v>
      </c>
      <c r="HM101" t="e">
        <f>AND(Sheet1!#REF!,"AAAAAFy6+dw=")</f>
        <v>#REF!</v>
      </c>
      <c r="HN101">
        <f>IF(Sheet1!1360:1360,"AAAAAFy6+d0=",0)</f>
        <v>0</v>
      </c>
      <c r="HO101" t="e">
        <f>AND(Sheet1!A1360,"AAAAAFy6+d4=")</f>
        <v>#VALUE!</v>
      </c>
      <c r="HP101" t="e">
        <f>AND(Sheet1!B1360,"AAAAAFy6+d8=")</f>
        <v>#VALUE!</v>
      </c>
      <c r="HQ101" t="e">
        <f>AND(Sheet1!C1360,"AAAAAFy6+eA=")</f>
        <v>#VALUE!</v>
      </c>
      <c r="HR101" t="e">
        <f>AND(Sheet1!D1360,"AAAAAFy6+eE=")</f>
        <v>#VALUE!</v>
      </c>
      <c r="HS101" t="e">
        <f>AND(Sheet1!E1360,"AAAAAFy6+eI=")</f>
        <v>#VALUE!</v>
      </c>
      <c r="HT101" t="e">
        <f>AND(Sheet1!F1360,"AAAAAFy6+eM=")</f>
        <v>#VALUE!</v>
      </c>
      <c r="HU101" t="e">
        <f>AND(Sheet1!G1360,"AAAAAFy6+eQ=")</f>
        <v>#VALUE!</v>
      </c>
      <c r="HV101" t="e">
        <f>AND(Sheet1!H1360,"AAAAAFy6+eU=")</f>
        <v>#VALUE!</v>
      </c>
      <c r="HW101" t="e">
        <f>AND(Sheet1!I1360,"AAAAAFy6+eY=")</f>
        <v>#VALUE!</v>
      </c>
      <c r="HX101" t="e">
        <f>AND(Sheet1!J1360,"AAAAAFy6+ec=")</f>
        <v>#VALUE!</v>
      </c>
      <c r="HY101" t="e">
        <f>AND(Sheet1!K1360,"AAAAAFy6+eg=")</f>
        <v>#VALUE!</v>
      </c>
      <c r="HZ101" t="e">
        <f>AND(Sheet1!L1360,"AAAAAFy6+ek=")</f>
        <v>#VALUE!</v>
      </c>
      <c r="IA101" t="e">
        <f>AND(Sheet1!M1360,"AAAAAFy6+eo=")</f>
        <v>#VALUE!</v>
      </c>
      <c r="IB101" t="e">
        <f>AND(Sheet1!N1360,"AAAAAFy6+es=")</f>
        <v>#VALUE!</v>
      </c>
      <c r="IC101" t="e">
        <f>AND(Sheet1!#REF!,"AAAAAFy6+ew=")</f>
        <v>#REF!</v>
      </c>
      <c r="ID101" t="e">
        <f>AND(Sheet1!#REF!,"AAAAAFy6+e0=")</f>
        <v>#REF!</v>
      </c>
      <c r="IE101" t="e">
        <f>AND(Sheet1!#REF!,"AAAAAFy6+e4=")</f>
        <v>#REF!</v>
      </c>
      <c r="IF101" t="e">
        <f>AND(Sheet1!#REF!,"AAAAAFy6+e8=")</f>
        <v>#REF!</v>
      </c>
      <c r="IG101">
        <f>IF(Sheet1!1361:1361,"AAAAAFy6+fA=",0)</f>
        <v>0</v>
      </c>
      <c r="IH101" t="e">
        <f>AND(Sheet1!A1361,"AAAAAFy6+fE=")</f>
        <v>#VALUE!</v>
      </c>
      <c r="II101" t="e">
        <f>AND(Sheet1!B1361,"AAAAAFy6+fI=")</f>
        <v>#VALUE!</v>
      </c>
      <c r="IJ101" t="e">
        <f>AND(Sheet1!C1361,"AAAAAFy6+fM=")</f>
        <v>#VALUE!</v>
      </c>
      <c r="IK101" t="e">
        <f>AND(Sheet1!D1361,"AAAAAFy6+fQ=")</f>
        <v>#VALUE!</v>
      </c>
      <c r="IL101" t="e">
        <f>AND(Sheet1!E1361,"AAAAAFy6+fU=")</f>
        <v>#VALUE!</v>
      </c>
      <c r="IM101" t="e">
        <f>AND(Sheet1!F1361,"AAAAAFy6+fY=")</f>
        <v>#VALUE!</v>
      </c>
      <c r="IN101" t="e">
        <f>AND(Sheet1!G1361,"AAAAAFy6+fc=")</f>
        <v>#VALUE!</v>
      </c>
      <c r="IO101" t="e">
        <f>AND(Sheet1!H1361,"AAAAAFy6+fg=")</f>
        <v>#VALUE!</v>
      </c>
      <c r="IP101" t="e">
        <f>AND(Sheet1!I1361,"AAAAAFy6+fk=")</f>
        <v>#VALUE!</v>
      </c>
      <c r="IQ101" t="e">
        <f>AND(Sheet1!J1361,"AAAAAFy6+fo=")</f>
        <v>#VALUE!</v>
      </c>
      <c r="IR101" t="e">
        <f>AND(Sheet1!K1361,"AAAAAFy6+fs=")</f>
        <v>#VALUE!</v>
      </c>
      <c r="IS101" t="e">
        <f>AND(Sheet1!L1361,"AAAAAFy6+fw=")</f>
        <v>#VALUE!</v>
      </c>
      <c r="IT101" t="e">
        <f>AND(Sheet1!M1361,"AAAAAFy6+f0=")</f>
        <v>#VALUE!</v>
      </c>
      <c r="IU101" t="e">
        <f>AND(Sheet1!N1361,"AAAAAFy6+f4=")</f>
        <v>#VALUE!</v>
      </c>
      <c r="IV101" t="e">
        <f>AND(Sheet1!#REF!,"AAAAAFy6+f8=")</f>
        <v>#REF!</v>
      </c>
    </row>
    <row r="102" spans="1:256" x14ac:dyDescent="0.2">
      <c r="A102" t="e">
        <f>AND(Sheet1!#REF!,"AAAAAF+v/AA=")</f>
        <v>#REF!</v>
      </c>
      <c r="B102" t="e">
        <f>AND(Sheet1!#REF!,"AAAAAF+v/AE=")</f>
        <v>#REF!</v>
      </c>
      <c r="C102" t="e">
        <f>AND(Sheet1!#REF!,"AAAAAF+v/AI=")</f>
        <v>#REF!</v>
      </c>
      <c r="D102" t="e">
        <f>IF(Sheet1!1362:1362,"AAAAAF+v/AM=",0)</f>
        <v>#VALUE!</v>
      </c>
      <c r="E102" t="e">
        <f>AND(Sheet1!A1362,"AAAAAF+v/AQ=")</f>
        <v>#VALUE!</v>
      </c>
      <c r="F102" t="e">
        <f>AND(Sheet1!B1362,"AAAAAF+v/AU=")</f>
        <v>#VALUE!</v>
      </c>
      <c r="G102" t="e">
        <f>AND(Sheet1!C1362,"AAAAAF+v/AY=")</f>
        <v>#VALUE!</v>
      </c>
      <c r="H102" t="e">
        <f>AND(Sheet1!D1362,"AAAAAF+v/Ac=")</f>
        <v>#VALUE!</v>
      </c>
      <c r="I102" t="e">
        <f>AND(Sheet1!E1362,"AAAAAF+v/Ag=")</f>
        <v>#VALUE!</v>
      </c>
      <c r="J102" t="e">
        <f>AND(Sheet1!F1362,"AAAAAF+v/Ak=")</f>
        <v>#VALUE!</v>
      </c>
      <c r="K102" t="e">
        <f>AND(Sheet1!G1362,"AAAAAF+v/Ao=")</f>
        <v>#VALUE!</v>
      </c>
      <c r="L102" t="e">
        <f>AND(Sheet1!H1362,"AAAAAF+v/As=")</f>
        <v>#VALUE!</v>
      </c>
      <c r="M102" t="e">
        <f>AND(Sheet1!I1362,"AAAAAF+v/Aw=")</f>
        <v>#VALUE!</v>
      </c>
      <c r="N102" t="e">
        <f>AND(Sheet1!J1362,"AAAAAF+v/A0=")</f>
        <v>#VALUE!</v>
      </c>
      <c r="O102" t="e">
        <f>AND(Sheet1!K1362,"AAAAAF+v/A4=")</f>
        <v>#VALUE!</v>
      </c>
      <c r="P102" t="e">
        <f>AND(Sheet1!L1362,"AAAAAF+v/A8=")</f>
        <v>#VALUE!</v>
      </c>
      <c r="Q102" t="e">
        <f>AND(Sheet1!M1362,"AAAAAF+v/BA=")</f>
        <v>#VALUE!</v>
      </c>
      <c r="R102" t="e">
        <f>AND(Sheet1!N1362,"AAAAAF+v/BE=")</f>
        <v>#VALUE!</v>
      </c>
      <c r="S102" t="e">
        <f>AND(Sheet1!#REF!,"AAAAAF+v/BI=")</f>
        <v>#REF!</v>
      </c>
      <c r="T102" t="e">
        <f>AND(Sheet1!#REF!,"AAAAAF+v/BM=")</f>
        <v>#REF!</v>
      </c>
      <c r="U102" t="e">
        <f>AND(Sheet1!#REF!,"AAAAAF+v/BQ=")</f>
        <v>#REF!</v>
      </c>
      <c r="V102" t="e">
        <f>AND(Sheet1!#REF!,"AAAAAF+v/BU=")</f>
        <v>#REF!</v>
      </c>
      <c r="W102">
        <f>IF(Sheet1!1363:1363,"AAAAAF+v/BY=",0)</f>
        <v>0</v>
      </c>
      <c r="X102" t="e">
        <f>AND(Sheet1!A1363,"AAAAAF+v/Bc=")</f>
        <v>#VALUE!</v>
      </c>
      <c r="Y102" t="e">
        <f>AND(Sheet1!B1363,"AAAAAF+v/Bg=")</f>
        <v>#VALUE!</v>
      </c>
      <c r="Z102" t="e">
        <f>AND(Sheet1!C1363,"AAAAAF+v/Bk=")</f>
        <v>#VALUE!</v>
      </c>
      <c r="AA102" t="e">
        <f>AND(Sheet1!D1363,"AAAAAF+v/Bo=")</f>
        <v>#VALUE!</v>
      </c>
      <c r="AB102" t="e">
        <f>AND(Sheet1!E1363,"AAAAAF+v/Bs=")</f>
        <v>#VALUE!</v>
      </c>
      <c r="AC102" t="e">
        <f>AND(Sheet1!F1363,"AAAAAF+v/Bw=")</f>
        <v>#VALUE!</v>
      </c>
      <c r="AD102" t="e">
        <f>AND(Sheet1!G1363,"AAAAAF+v/B0=")</f>
        <v>#VALUE!</v>
      </c>
      <c r="AE102" t="e">
        <f>AND(Sheet1!H1363,"AAAAAF+v/B4=")</f>
        <v>#VALUE!</v>
      </c>
      <c r="AF102" t="e">
        <f>AND(Sheet1!I1363,"AAAAAF+v/B8=")</f>
        <v>#VALUE!</v>
      </c>
      <c r="AG102" t="e">
        <f>AND(Sheet1!J1363,"AAAAAF+v/CA=")</f>
        <v>#VALUE!</v>
      </c>
      <c r="AH102" t="e">
        <f>AND(Sheet1!K1363,"AAAAAF+v/CE=")</f>
        <v>#VALUE!</v>
      </c>
      <c r="AI102" t="e">
        <f>AND(Sheet1!L1363,"AAAAAF+v/CI=")</f>
        <v>#VALUE!</v>
      </c>
      <c r="AJ102" t="e">
        <f>AND(Sheet1!M1363,"AAAAAF+v/CM=")</f>
        <v>#VALUE!</v>
      </c>
      <c r="AK102" t="e">
        <f>AND(Sheet1!N1363,"AAAAAF+v/CQ=")</f>
        <v>#VALUE!</v>
      </c>
      <c r="AL102" t="e">
        <f>AND(Sheet1!#REF!,"AAAAAF+v/CU=")</f>
        <v>#REF!</v>
      </c>
      <c r="AM102" t="e">
        <f>AND(Sheet1!#REF!,"AAAAAF+v/CY=")</f>
        <v>#REF!</v>
      </c>
      <c r="AN102" t="e">
        <f>AND(Sheet1!#REF!,"AAAAAF+v/Cc=")</f>
        <v>#REF!</v>
      </c>
      <c r="AO102" t="e">
        <f>AND(Sheet1!#REF!,"AAAAAF+v/Cg=")</f>
        <v>#REF!</v>
      </c>
      <c r="AP102">
        <f>IF(Sheet1!1364:1364,"AAAAAF+v/Ck=",0)</f>
        <v>0</v>
      </c>
      <c r="AQ102" t="e">
        <f>AND(Sheet1!A1364,"AAAAAF+v/Co=")</f>
        <v>#VALUE!</v>
      </c>
      <c r="AR102" t="e">
        <f>AND(Sheet1!B1364,"AAAAAF+v/Cs=")</f>
        <v>#VALUE!</v>
      </c>
      <c r="AS102" t="e">
        <f>AND(Sheet1!C1364,"AAAAAF+v/Cw=")</f>
        <v>#VALUE!</v>
      </c>
      <c r="AT102" t="e">
        <f>AND(Sheet1!D1364,"AAAAAF+v/C0=")</f>
        <v>#VALUE!</v>
      </c>
      <c r="AU102" t="e">
        <f>AND(Sheet1!E1364,"AAAAAF+v/C4=")</f>
        <v>#VALUE!</v>
      </c>
      <c r="AV102" t="e">
        <f>AND(Sheet1!F1364,"AAAAAF+v/C8=")</f>
        <v>#VALUE!</v>
      </c>
      <c r="AW102" t="e">
        <f>AND(Sheet1!G1364,"AAAAAF+v/DA=")</f>
        <v>#VALUE!</v>
      </c>
      <c r="AX102" t="e">
        <f>AND(Sheet1!H1364,"AAAAAF+v/DE=")</f>
        <v>#VALUE!</v>
      </c>
      <c r="AY102" t="e">
        <f>AND(Sheet1!I1364,"AAAAAF+v/DI=")</f>
        <v>#VALUE!</v>
      </c>
      <c r="AZ102" t="e">
        <f>AND(Sheet1!J1364,"AAAAAF+v/DM=")</f>
        <v>#VALUE!</v>
      </c>
      <c r="BA102" t="e">
        <f>AND(Sheet1!K1364,"AAAAAF+v/DQ=")</f>
        <v>#VALUE!</v>
      </c>
      <c r="BB102" t="e">
        <f>AND(Sheet1!L1364,"AAAAAF+v/DU=")</f>
        <v>#VALUE!</v>
      </c>
      <c r="BC102" t="e">
        <f>AND(Sheet1!M1364,"AAAAAF+v/DY=")</f>
        <v>#VALUE!</v>
      </c>
      <c r="BD102" t="e">
        <f>AND(Sheet1!N1364,"AAAAAF+v/Dc=")</f>
        <v>#VALUE!</v>
      </c>
      <c r="BE102" t="e">
        <f>AND(Sheet1!#REF!,"AAAAAF+v/Dg=")</f>
        <v>#REF!</v>
      </c>
      <c r="BF102" t="e">
        <f>AND(Sheet1!#REF!,"AAAAAF+v/Dk=")</f>
        <v>#REF!</v>
      </c>
      <c r="BG102" t="e">
        <f>AND(Sheet1!#REF!,"AAAAAF+v/Do=")</f>
        <v>#REF!</v>
      </c>
      <c r="BH102" t="e">
        <f>AND(Sheet1!#REF!,"AAAAAF+v/Ds=")</f>
        <v>#REF!</v>
      </c>
      <c r="BI102">
        <f>IF(Sheet1!1365:1365,"AAAAAF+v/Dw=",0)</f>
        <v>0</v>
      </c>
      <c r="BJ102" t="e">
        <f>AND(Sheet1!A1365,"AAAAAF+v/D0=")</f>
        <v>#VALUE!</v>
      </c>
      <c r="BK102" t="e">
        <f>AND(Sheet1!B1365,"AAAAAF+v/D4=")</f>
        <v>#VALUE!</v>
      </c>
      <c r="BL102" t="e">
        <f>AND(Sheet1!C1365,"AAAAAF+v/D8=")</f>
        <v>#VALUE!</v>
      </c>
      <c r="BM102" t="e">
        <f>AND(Sheet1!D1365,"AAAAAF+v/EA=")</f>
        <v>#VALUE!</v>
      </c>
      <c r="BN102" t="e">
        <f>AND(Sheet1!E1365,"AAAAAF+v/EE=")</f>
        <v>#VALUE!</v>
      </c>
      <c r="BO102" t="e">
        <f>AND(Sheet1!F1365,"AAAAAF+v/EI=")</f>
        <v>#VALUE!</v>
      </c>
      <c r="BP102" t="e">
        <f>AND(Sheet1!G1365,"AAAAAF+v/EM=")</f>
        <v>#VALUE!</v>
      </c>
      <c r="BQ102" t="e">
        <f>AND(Sheet1!H1365,"AAAAAF+v/EQ=")</f>
        <v>#VALUE!</v>
      </c>
      <c r="BR102" t="e">
        <f>AND(Sheet1!I1365,"AAAAAF+v/EU=")</f>
        <v>#VALUE!</v>
      </c>
      <c r="BS102" t="e">
        <f>AND(Sheet1!J1365,"AAAAAF+v/EY=")</f>
        <v>#VALUE!</v>
      </c>
      <c r="BT102" t="e">
        <f>AND(Sheet1!K1365,"AAAAAF+v/Ec=")</f>
        <v>#VALUE!</v>
      </c>
      <c r="BU102" t="e">
        <f>AND(Sheet1!L1365,"AAAAAF+v/Eg=")</f>
        <v>#VALUE!</v>
      </c>
      <c r="BV102" t="e">
        <f>AND(Sheet1!M1365,"AAAAAF+v/Ek=")</f>
        <v>#VALUE!</v>
      </c>
      <c r="BW102" t="e">
        <f>AND(Sheet1!N1365,"AAAAAF+v/Eo=")</f>
        <v>#VALUE!</v>
      </c>
      <c r="BX102" t="e">
        <f>AND(Sheet1!#REF!,"AAAAAF+v/Es=")</f>
        <v>#REF!</v>
      </c>
      <c r="BY102" t="e">
        <f>AND(Sheet1!#REF!,"AAAAAF+v/Ew=")</f>
        <v>#REF!</v>
      </c>
      <c r="BZ102" t="e">
        <f>AND(Sheet1!#REF!,"AAAAAF+v/E0=")</f>
        <v>#REF!</v>
      </c>
      <c r="CA102" t="e">
        <f>AND(Sheet1!#REF!,"AAAAAF+v/E4=")</f>
        <v>#REF!</v>
      </c>
      <c r="CB102">
        <f>IF(Sheet1!1366:1366,"AAAAAF+v/E8=",0)</f>
        <v>0</v>
      </c>
      <c r="CC102" t="e">
        <f>AND(Sheet1!A1366,"AAAAAF+v/FA=")</f>
        <v>#VALUE!</v>
      </c>
      <c r="CD102" t="e">
        <f>AND(Sheet1!B1366,"AAAAAF+v/FE=")</f>
        <v>#VALUE!</v>
      </c>
      <c r="CE102" t="e">
        <f>AND(Sheet1!C1366,"AAAAAF+v/FI=")</f>
        <v>#VALUE!</v>
      </c>
      <c r="CF102" t="e">
        <f>AND(Sheet1!D1366,"AAAAAF+v/FM=")</f>
        <v>#VALUE!</v>
      </c>
      <c r="CG102" t="e">
        <f>AND(Sheet1!E1366,"AAAAAF+v/FQ=")</f>
        <v>#VALUE!</v>
      </c>
      <c r="CH102" t="e">
        <f>AND(Sheet1!F1366,"AAAAAF+v/FU=")</f>
        <v>#VALUE!</v>
      </c>
      <c r="CI102" t="e">
        <f>AND(Sheet1!G1366,"AAAAAF+v/FY=")</f>
        <v>#VALUE!</v>
      </c>
      <c r="CJ102" t="e">
        <f>AND(Sheet1!H1366,"AAAAAF+v/Fc=")</f>
        <v>#VALUE!</v>
      </c>
      <c r="CK102" t="e">
        <f>AND(Sheet1!I1366,"AAAAAF+v/Fg=")</f>
        <v>#VALUE!</v>
      </c>
      <c r="CL102" t="e">
        <f>AND(Sheet1!J1366,"AAAAAF+v/Fk=")</f>
        <v>#VALUE!</v>
      </c>
      <c r="CM102" t="e">
        <f>AND(Sheet1!K1366,"AAAAAF+v/Fo=")</f>
        <v>#VALUE!</v>
      </c>
      <c r="CN102" t="e">
        <f>AND(Sheet1!L1366,"AAAAAF+v/Fs=")</f>
        <v>#VALUE!</v>
      </c>
      <c r="CO102" t="e">
        <f>AND(Sheet1!M1366,"AAAAAF+v/Fw=")</f>
        <v>#VALUE!</v>
      </c>
      <c r="CP102" t="e">
        <f>AND(Sheet1!N1366,"AAAAAF+v/F0=")</f>
        <v>#VALUE!</v>
      </c>
      <c r="CQ102" t="e">
        <f>AND(Sheet1!#REF!,"AAAAAF+v/F4=")</f>
        <v>#REF!</v>
      </c>
      <c r="CR102" t="e">
        <f>AND(Sheet1!#REF!,"AAAAAF+v/F8=")</f>
        <v>#REF!</v>
      </c>
      <c r="CS102" t="e">
        <f>AND(Sheet1!#REF!,"AAAAAF+v/GA=")</f>
        <v>#REF!</v>
      </c>
      <c r="CT102" t="e">
        <f>AND(Sheet1!#REF!,"AAAAAF+v/GE=")</f>
        <v>#REF!</v>
      </c>
      <c r="CU102">
        <f>IF(Sheet1!1367:1367,"AAAAAF+v/GI=",0)</f>
        <v>0</v>
      </c>
      <c r="CV102" t="e">
        <f>AND(Sheet1!A1367,"AAAAAF+v/GM=")</f>
        <v>#VALUE!</v>
      </c>
      <c r="CW102" t="e">
        <f>AND(Sheet1!B1367,"AAAAAF+v/GQ=")</f>
        <v>#VALUE!</v>
      </c>
      <c r="CX102" t="e">
        <f>AND(Sheet1!C1367,"AAAAAF+v/GU=")</f>
        <v>#VALUE!</v>
      </c>
      <c r="CY102" t="e">
        <f>AND(Sheet1!D1367,"AAAAAF+v/GY=")</f>
        <v>#VALUE!</v>
      </c>
      <c r="CZ102" t="e">
        <f>AND(Sheet1!E1367,"AAAAAF+v/Gc=")</f>
        <v>#VALUE!</v>
      </c>
      <c r="DA102" t="e">
        <f>AND(Sheet1!F1367,"AAAAAF+v/Gg=")</f>
        <v>#VALUE!</v>
      </c>
      <c r="DB102" t="e">
        <f>AND(Sheet1!G1367,"AAAAAF+v/Gk=")</f>
        <v>#VALUE!</v>
      </c>
      <c r="DC102" t="e">
        <f>AND(Sheet1!H1367,"AAAAAF+v/Go=")</f>
        <v>#VALUE!</v>
      </c>
      <c r="DD102" t="e">
        <f>AND(Sheet1!I1367,"AAAAAF+v/Gs=")</f>
        <v>#VALUE!</v>
      </c>
      <c r="DE102" t="e">
        <f>AND(Sheet1!J1367,"AAAAAF+v/Gw=")</f>
        <v>#VALUE!</v>
      </c>
      <c r="DF102" t="e">
        <f>AND(Sheet1!K1367,"AAAAAF+v/G0=")</f>
        <v>#VALUE!</v>
      </c>
      <c r="DG102" t="e">
        <f>AND(Sheet1!L1367,"AAAAAF+v/G4=")</f>
        <v>#VALUE!</v>
      </c>
      <c r="DH102" t="e">
        <f>AND(Sheet1!M1367,"AAAAAF+v/G8=")</f>
        <v>#VALUE!</v>
      </c>
      <c r="DI102" t="e">
        <f>AND(Sheet1!N1367,"AAAAAF+v/HA=")</f>
        <v>#VALUE!</v>
      </c>
      <c r="DJ102" t="e">
        <f>AND(Sheet1!#REF!,"AAAAAF+v/HE=")</f>
        <v>#REF!</v>
      </c>
      <c r="DK102" t="e">
        <f>AND(Sheet1!#REF!,"AAAAAF+v/HI=")</f>
        <v>#REF!</v>
      </c>
      <c r="DL102" t="e">
        <f>AND(Sheet1!#REF!,"AAAAAF+v/HM=")</f>
        <v>#REF!</v>
      </c>
      <c r="DM102" t="e">
        <f>AND(Sheet1!#REF!,"AAAAAF+v/HQ=")</f>
        <v>#REF!</v>
      </c>
      <c r="DN102">
        <f>IF(Sheet1!1368:1368,"AAAAAF+v/HU=",0)</f>
        <v>0</v>
      </c>
      <c r="DO102" t="e">
        <f>AND(Sheet1!A1368,"AAAAAF+v/HY=")</f>
        <v>#VALUE!</v>
      </c>
      <c r="DP102" t="e">
        <f>AND(Sheet1!B1368,"AAAAAF+v/Hc=")</f>
        <v>#VALUE!</v>
      </c>
      <c r="DQ102" t="e">
        <f>AND(Sheet1!C1368,"AAAAAF+v/Hg=")</f>
        <v>#VALUE!</v>
      </c>
      <c r="DR102" t="e">
        <f>AND(Sheet1!D1368,"AAAAAF+v/Hk=")</f>
        <v>#VALUE!</v>
      </c>
      <c r="DS102" t="e">
        <f>AND(Sheet1!E1368,"AAAAAF+v/Ho=")</f>
        <v>#VALUE!</v>
      </c>
      <c r="DT102" t="e">
        <f>AND(Sheet1!F1368,"AAAAAF+v/Hs=")</f>
        <v>#VALUE!</v>
      </c>
      <c r="DU102" t="e">
        <f>AND(Sheet1!G1368,"AAAAAF+v/Hw=")</f>
        <v>#VALUE!</v>
      </c>
      <c r="DV102" t="e">
        <f>AND(Sheet1!H1368,"AAAAAF+v/H0=")</f>
        <v>#VALUE!</v>
      </c>
      <c r="DW102" t="e">
        <f>AND(Sheet1!I1368,"AAAAAF+v/H4=")</f>
        <v>#VALUE!</v>
      </c>
      <c r="DX102" t="e">
        <f>AND(Sheet1!J1368,"AAAAAF+v/H8=")</f>
        <v>#VALUE!</v>
      </c>
      <c r="DY102" t="e">
        <f>AND(Sheet1!K1368,"AAAAAF+v/IA=")</f>
        <v>#VALUE!</v>
      </c>
      <c r="DZ102" t="e">
        <f>AND(Sheet1!L1368,"AAAAAF+v/IE=")</f>
        <v>#VALUE!</v>
      </c>
      <c r="EA102" t="e">
        <f>AND(Sheet1!M1368,"AAAAAF+v/II=")</f>
        <v>#VALUE!</v>
      </c>
      <c r="EB102" t="e">
        <f>AND(Sheet1!N1368,"AAAAAF+v/IM=")</f>
        <v>#VALUE!</v>
      </c>
      <c r="EC102" t="e">
        <f>AND(Sheet1!#REF!,"AAAAAF+v/IQ=")</f>
        <v>#REF!</v>
      </c>
      <c r="ED102" t="e">
        <f>AND(Sheet1!#REF!,"AAAAAF+v/IU=")</f>
        <v>#REF!</v>
      </c>
      <c r="EE102" t="e">
        <f>AND(Sheet1!#REF!,"AAAAAF+v/IY=")</f>
        <v>#REF!</v>
      </c>
      <c r="EF102" t="e">
        <f>AND(Sheet1!#REF!,"AAAAAF+v/Ic=")</f>
        <v>#REF!</v>
      </c>
      <c r="EG102">
        <f>IF(Sheet1!1369:1369,"AAAAAF+v/Ig=",0)</f>
        <v>0</v>
      </c>
      <c r="EH102" t="e">
        <f>AND(Sheet1!A1369,"AAAAAF+v/Ik=")</f>
        <v>#VALUE!</v>
      </c>
      <c r="EI102" t="e">
        <f>AND(Sheet1!B1369,"AAAAAF+v/Io=")</f>
        <v>#VALUE!</v>
      </c>
      <c r="EJ102" t="e">
        <f>AND(Sheet1!C1369,"AAAAAF+v/Is=")</f>
        <v>#VALUE!</v>
      </c>
      <c r="EK102" t="e">
        <f>AND(Sheet1!D1369,"AAAAAF+v/Iw=")</f>
        <v>#VALUE!</v>
      </c>
      <c r="EL102" t="e">
        <f>AND(Sheet1!E1369,"AAAAAF+v/I0=")</f>
        <v>#VALUE!</v>
      </c>
      <c r="EM102" t="e">
        <f>AND(Sheet1!F1369,"AAAAAF+v/I4=")</f>
        <v>#VALUE!</v>
      </c>
      <c r="EN102" t="e">
        <f>AND(Sheet1!G1369,"AAAAAF+v/I8=")</f>
        <v>#VALUE!</v>
      </c>
      <c r="EO102" t="e">
        <f>AND(Sheet1!H1369,"AAAAAF+v/JA=")</f>
        <v>#VALUE!</v>
      </c>
      <c r="EP102" t="e">
        <f>AND(Sheet1!I1369,"AAAAAF+v/JE=")</f>
        <v>#VALUE!</v>
      </c>
      <c r="EQ102" t="e">
        <f>AND(Sheet1!J1369,"AAAAAF+v/JI=")</f>
        <v>#VALUE!</v>
      </c>
      <c r="ER102" t="e">
        <f>AND(Sheet1!K1369,"AAAAAF+v/JM=")</f>
        <v>#VALUE!</v>
      </c>
      <c r="ES102" t="e">
        <f>AND(Sheet1!L1369,"AAAAAF+v/JQ=")</f>
        <v>#VALUE!</v>
      </c>
      <c r="ET102" t="e">
        <f>AND(Sheet1!M1369,"AAAAAF+v/JU=")</f>
        <v>#VALUE!</v>
      </c>
      <c r="EU102" t="e">
        <f>AND(Sheet1!N1369,"AAAAAF+v/JY=")</f>
        <v>#VALUE!</v>
      </c>
      <c r="EV102" t="e">
        <f>AND(Sheet1!#REF!,"AAAAAF+v/Jc=")</f>
        <v>#REF!</v>
      </c>
      <c r="EW102" t="e">
        <f>AND(Sheet1!#REF!,"AAAAAF+v/Jg=")</f>
        <v>#REF!</v>
      </c>
      <c r="EX102" t="e">
        <f>AND(Sheet1!#REF!,"AAAAAF+v/Jk=")</f>
        <v>#REF!</v>
      </c>
      <c r="EY102" t="e">
        <f>AND(Sheet1!#REF!,"AAAAAF+v/Jo=")</f>
        <v>#REF!</v>
      </c>
      <c r="EZ102">
        <f>IF(Sheet1!1370:1370,"AAAAAF+v/Js=",0)</f>
        <v>0</v>
      </c>
      <c r="FA102" t="e">
        <f>AND(Sheet1!A1370,"AAAAAF+v/Jw=")</f>
        <v>#VALUE!</v>
      </c>
      <c r="FB102" t="e">
        <f>AND(Sheet1!B1370,"AAAAAF+v/J0=")</f>
        <v>#VALUE!</v>
      </c>
      <c r="FC102" t="e">
        <f>AND(Sheet1!C1370,"AAAAAF+v/J4=")</f>
        <v>#VALUE!</v>
      </c>
      <c r="FD102" t="e">
        <f>AND(Sheet1!D1370,"AAAAAF+v/J8=")</f>
        <v>#VALUE!</v>
      </c>
      <c r="FE102" t="e">
        <f>AND(Sheet1!E1370,"AAAAAF+v/KA=")</f>
        <v>#VALUE!</v>
      </c>
      <c r="FF102" t="e">
        <f>AND(Sheet1!F1370,"AAAAAF+v/KE=")</f>
        <v>#VALUE!</v>
      </c>
      <c r="FG102" t="e">
        <f>AND(Sheet1!G1370,"AAAAAF+v/KI=")</f>
        <v>#VALUE!</v>
      </c>
      <c r="FH102" t="e">
        <f>AND(Sheet1!H1370,"AAAAAF+v/KM=")</f>
        <v>#VALUE!</v>
      </c>
      <c r="FI102" t="e">
        <f>AND(Sheet1!I1370,"AAAAAF+v/KQ=")</f>
        <v>#VALUE!</v>
      </c>
      <c r="FJ102" t="e">
        <f>AND(Sheet1!J1370,"AAAAAF+v/KU=")</f>
        <v>#VALUE!</v>
      </c>
      <c r="FK102" t="e">
        <f>AND(Sheet1!K1370,"AAAAAF+v/KY=")</f>
        <v>#VALUE!</v>
      </c>
      <c r="FL102" t="e">
        <f>AND(Sheet1!L1370,"AAAAAF+v/Kc=")</f>
        <v>#VALUE!</v>
      </c>
      <c r="FM102" t="e">
        <f>AND(Sheet1!M1370,"AAAAAF+v/Kg=")</f>
        <v>#VALUE!</v>
      </c>
      <c r="FN102" t="e">
        <f>AND(Sheet1!N1370,"AAAAAF+v/Kk=")</f>
        <v>#VALUE!</v>
      </c>
      <c r="FO102" t="e">
        <f>AND(Sheet1!#REF!,"AAAAAF+v/Ko=")</f>
        <v>#REF!</v>
      </c>
      <c r="FP102" t="e">
        <f>AND(Sheet1!#REF!,"AAAAAF+v/Ks=")</f>
        <v>#REF!</v>
      </c>
      <c r="FQ102" t="e">
        <f>AND(Sheet1!#REF!,"AAAAAF+v/Kw=")</f>
        <v>#REF!</v>
      </c>
      <c r="FR102" t="e">
        <f>AND(Sheet1!#REF!,"AAAAAF+v/K0=")</f>
        <v>#REF!</v>
      </c>
      <c r="FS102">
        <f>IF(Sheet1!1371:1371,"AAAAAF+v/K4=",0)</f>
        <v>0</v>
      </c>
      <c r="FT102" t="e">
        <f>AND(Sheet1!A1371,"AAAAAF+v/K8=")</f>
        <v>#VALUE!</v>
      </c>
      <c r="FU102" t="e">
        <f>AND(Sheet1!B1371,"AAAAAF+v/LA=")</f>
        <v>#VALUE!</v>
      </c>
      <c r="FV102" t="e">
        <f>AND(Sheet1!C1371,"AAAAAF+v/LE=")</f>
        <v>#VALUE!</v>
      </c>
      <c r="FW102" t="e">
        <f>AND(Sheet1!D1371,"AAAAAF+v/LI=")</f>
        <v>#VALUE!</v>
      </c>
      <c r="FX102" t="e">
        <f>AND(Sheet1!E1371,"AAAAAF+v/LM=")</f>
        <v>#VALUE!</v>
      </c>
      <c r="FY102" t="e">
        <f>AND(Sheet1!F1371,"AAAAAF+v/LQ=")</f>
        <v>#VALUE!</v>
      </c>
      <c r="FZ102" t="e">
        <f>AND(Sheet1!G1371,"AAAAAF+v/LU=")</f>
        <v>#VALUE!</v>
      </c>
      <c r="GA102" t="e">
        <f>AND(Sheet1!H1371,"AAAAAF+v/LY=")</f>
        <v>#VALUE!</v>
      </c>
      <c r="GB102" t="e">
        <f>AND(Sheet1!I1371,"AAAAAF+v/Lc=")</f>
        <v>#VALUE!</v>
      </c>
      <c r="GC102" t="e">
        <f>AND(Sheet1!J1371,"AAAAAF+v/Lg=")</f>
        <v>#VALUE!</v>
      </c>
      <c r="GD102" t="e">
        <f>AND(Sheet1!K1371,"AAAAAF+v/Lk=")</f>
        <v>#VALUE!</v>
      </c>
      <c r="GE102" t="e">
        <f>AND(Sheet1!L1371,"AAAAAF+v/Lo=")</f>
        <v>#VALUE!</v>
      </c>
      <c r="GF102" t="e">
        <f>AND(Sheet1!M1371,"AAAAAF+v/Ls=")</f>
        <v>#VALUE!</v>
      </c>
      <c r="GG102" t="e">
        <f>AND(Sheet1!N1371,"AAAAAF+v/Lw=")</f>
        <v>#VALUE!</v>
      </c>
      <c r="GH102" t="e">
        <f>AND(Sheet1!#REF!,"AAAAAF+v/L0=")</f>
        <v>#REF!</v>
      </c>
      <c r="GI102" t="e">
        <f>AND(Sheet1!#REF!,"AAAAAF+v/L4=")</f>
        <v>#REF!</v>
      </c>
      <c r="GJ102" t="e">
        <f>AND(Sheet1!#REF!,"AAAAAF+v/L8=")</f>
        <v>#REF!</v>
      </c>
      <c r="GK102" t="e">
        <f>AND(Sheet1!#REF!,"AAAAAF+v/MA=")</f>
        <v>#REF!</v>
      </c>
      <c r="GL102">
        <f>IF(Sheet1!1372:1372,"AAAAAF+v/ME=",0)</f>
        <v>0</v>
      </c>
      <c r="GM102" t="e">
        <f>AND(Sheet1!A1372,"AAAAAF+v/MI=")</f>
        <v>#VALUE!</v>
      </c>
      <c r="GN102" t="e">
        <f>AND(Sheet1!B1372,"AAAAAF+v/MM=")</f>
        <v>#VALUE!</v>
      </c>
      <c r="GO102" t="e">
        <f>AND(Sheet1!C1372,"AAAAAF+v/MQ=")</f>
        <v>#VALUE!</v>
      </c>
      <c r="GP102" t="e">
        <f>AND(Sheet1!D1372,"AAAAAF+v/MU=")</f>
        <v>#VALUE!</v>
      </c>
      <c r="GQ102" t="e">
        <f>AND(Sheet1!E1372,"AAAAAF+v/MY=")</f>
        <v>#VALUE!</v>
      </c>
      <c r="GR102" t="e">
        <f>AND(Sheet1!F1372,"AAAAAF+v/Mc=")</f>
        <v>#VALUE!</v>
      </c>
      <c r="GS102" t="e">
        <f>AND(Sheet1!G1372,"AAAAAF+v/Mg=")</f>
        <v>#VALUE!</v>
      </c>
      <c r="GT102" t="e">
        <f>AND(Sheet1!H1372,"AAAAAF+v/Mk=")</f>
        <v>#VALUE!</v>
      </c>
      <c r="GU102" t="e">
        <f>AND(Sheet1!I1372,"AAAAAF+v/Mo=")</f>
        <v>#VALUE!</v>
      </c>
      <c r="GV102" t="e">
        <f>AND(Sheet1!J1372,"AAAAAF+v/Ms=")</f>
        <v>#VALUE!</v>
      </c>
      <c r="GW102" t="e">
        <f>AND(Sheet1!K1372,"AAAAAF+v/Mw=")</f>
        <v>#VALUE!</v>
      </c>
      <c r="GX102" t="e">
        <f>AND(Sheet1!L1372,"AAAAAF+v/M0=")</f>
        <v>#VALUE!</v>
      </c>
      <c r="GY102" t="e">
        <f>AND(Sheet1!M1372,"AAAAAF+v/M4=")</f>
        <v>#VALUE!</v>
      </c>
      <c r="GZ102" t="e">
        <f>AND(Sheet1!N1372,"AAAAAF+v/M8=")</f>
        <v>#VALUE!</v>
      </c>
      <c r="HA102" t="e">
        <f>AND(Sheet1!#REF!,"AAAAAF+v/NA=")</f>
        <v>#REF!</v>
      </c>
      <c r="HB102" t="e">
        <f>AND(Sheet1!#REF!,"AAAAAF+v/NE=")</f>
        <v>#REF!</v>
      </c>
      <c r="HC102" t="e">
        <f>AND(Sheet1!#REF!,"AAAAAF+v/NI=")</f>
        <v>#REF!</v>
      </c>
      <c r="HD102" t="e">
        <f>AND(Sheet1!#REF!,"AAAAAF+v/NM=")</f>
        <v>#REF!</v>
      </c>
      <c r="HE102">
        <f>IF(Sheet1!1373:1373,"AAAAAF+v/NQ=",0)</f>
        <v>0</v>
      </c>
      <c r="HF102" t="e">
        <f>AND(Sheet1!A1373,"AAAAAF+v/NU=")</f>
        <v>#VALUE!</v>
      </c>
      <c r="HG102" t="e">
        <f>AND(Sheet1!B1373,"AAAAAF+v/NY=")</f>
        <v>#VALUE!</v>
      </c>
      <c r="HH102" t="e">
        <f>AND(Sheet1!C1373,"AAAAAF+v/Nc=")</f>
        <v>#VALUE!</v>
      </c>
      <c r="HI102" t="e">
        <f>AND(Sheet1!D1373,"AAAAAF+v/Ng=")</f>
        <v>#VALUE!</v>
      </c>
      <c r="HJ102" t="e">
        <f>AND(Sheet1!E1373,"AAAAAF+v/Nk=")</f>
        <v>#VALUE!</v>
      </c>
      <c r="HK102" t="e">
        <f>AND(Sheet1!F1373,"AAAAAF+v/No=")</f>
        <v>#VALUE!</v>
      </c>
      <c r="HL102" t="e">
        <f>AND(Sheet1!G1373,"AAAAAF+v/Ns=")</f>
        <v>#VALUE!</v>
      </c>
      <c r="HM102" t="e">
        <f>AND(Sheet1!H1373,"AAAAAF+v/Nw=")</f>
        <v>#VALUE!</v>
      </c>
      <c r="HN102" t="e">
        <f>AND(Sheet1!I1373,"AAAAAF+v/N0=")</f>
        <v>#VALUE!</v>
      </c>
      <c r="HO102" t="e">
        <f>AND(Sheet1!J1373,"AAAAAF+v/N4=")</f>
        <v>#VALUE!</v>
      </c>
      <c r="HP102" t="e">
        <f>AND(Sheet1!K1373,"AAAAAF+v/N8=")</f>
        <v>#VALUE!</v>
      </c>
      <c r="HQ102" t="e">
        <f>AND(Sheet1!L1373,"AAAAAF+v/OA=")</f>
        <v>#VALUE!</v>
      </c>
      <c r="HR102" t="e">
        <f>AND(Sheet1!M1373,"AAAAAF+v/OE=")</f>
        <v>#VALUE!</v>
      </c>
      <c r="HS102" t="e">
        <f>AND(Sheet1!N1373,"AAAAAF+v/OI=")</f>
        <v>#VALUE!</v>
      </c>
      <c r="HT102" t="e">
        <f>AND(Sheet1!#REF!,"AAAAAF+v/OM=")</f>
        <v>#REF!</v>
      </c>
      <c r="HU102" t="e">
        <f>AND(Sheet1!#REF!,"AAAAAF+v/OQ=")</f>
        <v>#REF!</v>
      </c>
      <c r="HV102" t="e">
        <f>AND(Sheet1!#REF!,"AAAAAF+v/OU=")</f>
        <v>#REF!</v>
      </c>
      <c r="HW102" t="e">
        <f>AND(Sheet1!#REF!,"AAAAAF+v/OY=")</f>
        <v>#REF!</v>
      </c>
      <c r="HX102">
        <f>IF(Sheet1!1374:1374,"AAAAAF+v/Oc=",0)</f>
        <v>0</v>
      </c>
      <c r="HY102" t="e">
        <f>AND(Sheet1!A1374,"AAAAAF+v/Og=")</f>
        <v>#VALUE!</v>
      </c>
      <c r="HZ102" t="e">
        <f>AND(Sheet1!B1374,"AAAAAF+v/Ok=")</f>
        <v>#VALUE!</v>
      </c>
      <c r="IA102" t="e">
        <f>AND(Sheet1!C1374,"AAAAAF+v/Oo=")</f>
        <v>#VALUE!</v>
      </c>
      <c r="IB102" t="e">
        <f>AND(Sheet1!D1374,"AAAAAF+v/Os=")</f>
        <v>#VALUE!</v>
      </c>
      <c r="IC102" t="e">
        <f>AND(Sheet1!E1374,"AAAAAF+v/Ow=")</f>
        <v>#VALUE!</v>
      </c>
      <c r="ID102" t="e">
        <f>AND(Sheet1!F1374,"AAAAAF+v/O0=")</f>
        <v>#VALUE!</v>
      </c>
      <c r="IE102" t="e">
        <f>AND(Sheet1!G1374,"AAAAAF+v/O4=")</f>
        <v>#VALUE!</v>
      </c>
      <c r="IF102" t="e">
        <f>AND(Sheet1!H1374,"AAAAAF+v/O8=")</f>
        <v>#VALUE!</v>
      </c>
      <c r="IG102" t="e">
        <f>AND(Sheet1!I1374,"AAAAAF+v/PA=")</f>
        <v>#VALUE!</v>
      </c>
      <c r="IH102" t="e">
        <f>AND(Sheet1!J1374,"AAAAAF+v/PE=")</f>
        <v>#VALUE!</v>
      </c>
      <c r="II102" t="e">
        <f>AND(Sheet1!K1374,"AAAAAF+v/PI=")</f>
        <v>#VALUE!</v>
      </c>
      <c r="IJ102" t="e">
        <f>AND(Sheet1!L1374,"AAAAAF+v/PM=")</f>
        <v>#VALUE!</v>
      </c>
      <c r="IK102" t="e">
        <f>AND(Sheet1!M1374,"AAAAAF+v/PQ=")</f>
        <v>#VALUE!</v>
      </c>
      <c r="IL102" t="e">
        <f>AND(Sheet1!N1374,"AAAAAF+v/PU=")</f>
        <v>#VALUE!</v>
      </c>
      <c r="IM102" t="e">
        <f>AND(Sheet1!#REF!,"AAAAAF+v/PY=")</f>
        <v>#REF!</v>
      </c>
      <c r="IN102" t="e">
        <f>AND(Sheet1!#REF!,"AAAAAF+v/Pc=")</f>
        <v>#REF!</v>
      </c>
      <c r="IO102" t="e">
        <f>AND(Sheet1!#REF!,"AAAAAF+v/Pg=")</f>
        <v>#REF!</v>
      </c>
      <c r="IP102" t="e">
        <f>AND(Sheet1!#REF!,"AAAAAF+v/Pk=")</f>
        <v>#REF!</v>
      </c>
      <c r="IQ102">
        <f>IF(Sheet1!1375:1375,"AAAAAF+v/Po=",0)</f>
        <v>0</v>
      </c>
      <c r="IR102" t="e">
        <f>AND(Sheet1!A1375,"AAAAAF+v/Ps=")</f>
        <v>#VALUE!</v>
      </c>
      <c r="IS102" t="e">
        <f>AND(Sheet1!B1375,"AAAAAF+v/Pw=")</f>
        <v>#VALUE!</v>
      </c>
      <c r="IT102" t="e">
        <f>AND(Sheet1!C1375,"AAAAAF+v/P0=")</f>
        <v>#VALUE!</v>
      </c>
      <c r="IU102" t="e">
        <f>AND(Sheet1!D1375,"AAAAAF+v/P4=")</f>
        <v>#VALUE!</v>
      </c>
      <c r="IV102" t="e">
        <f>AND(Sheet1!E1375,"AAAAAF+v/P8=")</f>
        <v>#VALUE!</v>
      </c>
    </row>
    <row r="103" spans="1:256" x14ac:dyDescent="0.2">
      <c r="A103" t="e">
        <f>AND(Sheet1!F1375,"AAAAAHv33wA=")</f>
        <v>#VALUE!</v>
      </c>
      <c r="B103" t="e">
        <f>AND(Sheet1!G1375,"AAAAAHv33wE=")</f>
        <v>#VALUE!</v>
      </c>
      <c r="C103" t="e">
        <f>AND(Sheet1!H1375,"AAAAAHv33wI=")</f>
        <v>#VALUE!</v>
      </c>
      <c r="D103" t="e">
        <f>AND(Sheet1!I1375,"AAAAAHv33wM=")</f>
        <v>#VALUE!</v>
      </c>
      <c r="E103" t="e">
        <f>AND(Sheet1!J1375,"AAAAAHv33wQ=")</f>
        <v>#VALUE!</v>
      </c>
      <c r="F103" t="e">
        <f>AND(Sheet1!K1375,"AAAAAHv33wU=")</f>
        <v>#VALUE!</v>
      </c>
      <c r="G103" t="e">
        <f>AND(Sheet1!L1375,"AAAAAHv33wY=")</f>
        <v>#VALUE!</v>
      </c>
      <c r="H103" t="e">
        <f>AND(Sheet1!M1375,"AAAAAHv33wc=")</f>
        <v>#VALUE!</v>
      </c>
      <c r="I103" t="e">
        <f>AND(Sheet1!N1375,"AAAAAHv33wg=")</f>
        <v>#VALUE!</v>
      </c>
      <c r="J103" t="e">
        <f>AND(Sheet1!#REF!,"AAAAAHv33wk=")</f>
        <v>#REF!</v>
      </c>
      <c r="K103" t="e">
        <f>AND(Sheet1!#REF!,"AAAAAHv33wo=")</f>
        <v>#REF!</v>
      </c>
      <c r="L103" t="e">
        <f>AND(Sheet1!#REF!,"AAAAAHv33ws=")</f>
        <v>#REF!</v>
      </c>
      <c r="M103" t="e">
        <f>AND(Sheet1!#REF!,"AAAAAHv33ww=")</f>
        <v>#REF!</v>
      </c>
      <c r="N103" t="e">
        <f>IF(Sheet1!1376:1376,"AAAAAHv33w0=",0)</f>
        <v>#VALUE!</v>
      </c>
      <c r="O103" t="e">
        <f>AND(Sheet1!A1376,"AAAAAHv33w4=")</f>
        <v>#VALUE!</v>
      </c>
      <c r="P103" t="e">
        <f>AND(Sheet1!B1376,"AAAAAHv33w8=")</f>
        <v>#VALUE!</v>
      </c>
      <c r="Q103" t="e">
        <f>AND(Sheet1!C1376,"AAAAAHv33xA=")</f>
        <v>#VALUE!</v>
      </c>
      <c r="R103" t="e">
        <f>AND(Sheet1!D1376,"AAAAAHv33xE=")</f>
        <v>#VALUE!</v>
      </c>
      <c r="S103" t="e">
        <f>AND(Sheet1!E1376,"AAAAAHv33xI=")</f>
        <v>#VALUE!</v>
      </c>
      <c r="T103" t="e">
        <f>AND(Sheet1!F1376,"AAAAAHv33xM=")</f>
        <v>#VALUE!</v>
      </c>
      <c r="U103" t="e">
        <f>AND(Sheet1!G1376,"AAAAAHv33xQ=")</f>
        <v>#VALUE!</v>
      </c>
      <c r="V103" t="e">
        <f>AND(Sheet1!H1376,"AAAAAHv33xU=")</f>
        <v>#VALUE!</v>
      </c>
      <c r="W103" t="e">
        <f>AND(Sheet1!I1376,"AAAAAHv33xY=")</f>
        <v>#VALUE!</v>
      </c>
      <c r="X103" t="e">
        <f>AND(Sheet1!J1376,"AAAAAHv33xc=")</f>
        <v>#VALUE!</v>
      </c>
      <c r="Y103" t="e">
        <f>AND(Sheet1!K1376,"AAAAAHv33xg=")</f>
        <v>#VALUE!</v>
      </c>
      <c r="Z103" t="e">
        <f>AND(Sheet1!L1376,"AAAAAHv33xk=")</f>
        <v>#VALUE!</v>
      </c>
      <c r="AA103" t="e">
        <f>AND(Sheet1!M1376,"AAAAAHv33xo=")</f>
        <v>#VALUE!</v>
      </c>
      <c r="AB103" t="e">
        <f>AND(Sheet1!N1376,"AAAAAHv33xs=")</f>
        <v>#VALUE!</v>
      </c>
      <c r="AC103" t="e">
        <f>AND(Sheet1!#REF!,"AAAAAHv33xw=")</f>
        <v>#REF!</v>
      </c>
      <c r="AD103" t="e">
        <f>AND(Sheet1!#REF!,"AAAAAHv33x0=")</f>
        <v>#REF!</v>
      </c>
      <c r="AE103" t="e">
        <f>AND(Sheet1!#REF!,"AAAAAHv33x4=")</f>
        <v>#REF!</v>
      </c>
      <c r="AF103" t="e">
        <f>AND(Sheet1!#REF!,"AAAAAHv33x8=")</f>
        <v>#REF!</v>
      </c>
      <c r="AG103">
        <f>IF(Sheet1!1377:1377,"AAAAAHv33yA=",0)</f>
        <v>0</v>
      </c>
      <c r="AH103" t="e">
        <f>AND(Sheet1!A1377,"AAAAAHv33yE=")</f>
        <v>#VALUE!</v>
      </c>
      <c r="AI103" t="e">
        <f>AND(Sheet1!B1377,"AAAAAHv33yI=")</f>
        <v>#VALUE!</v>
      </c>
      <c r="AJ103" t="e">
        <f>AND(Sheet1!C1377,"AAAAAHv33yM=")</f>
        <v>#VALUE!</v>
      </c>
      <c r="AK103" t="e">
        <f>AND(Sheet1!D1377,"AAAAAHv33yQ=")</f>
        <v>#VALUE!</v>
      </c>
      <c r="AL103" t="e">
        <f>AND(Sheet1!E1377,"AAAAAHv33yU=")</f>
        <v>#VALUE!</v>
      </c>
      <c r="AM103" t="e">
        <f>AND(Sheet1!F1377,"AAAAAHv33yY=")</f>
        <v>#VALUE!</v>
      </c>
      <c r="AN103" t="e">
        <f>AND(Sheet1!G1377,"AAAAAHv33yc=")</f>
        <v>#VALUE!</v>
      </c>
      <c r="AO103" t="e">
        <f>AND(Sheet1!H1377,"AAAAAHv33yg=")</f>
        <v>#VALUE!</v>
      </c>
      <c r="AP103" t="e">
        <f>AND(Sheet1!I1377,"AAAAAHv33yk=")</f>
        <v>#VALUE!</v>
      </c>
      <c r="AQ103" t="e">
        <f>AND(Sheet1!J1377,"AAAAAHv33yo=")</f>
        <v>#VALUE!</v>
      </c>
      <c r="AR103" t="e">
        <f>AND(Sheet1!K1377,"AAAAAHv33ys=")</f>
        <v>#VALUE!</v>
      </c>
      <c r="AS103" t="e">
        <f>AND(Sheet1!L1377,"AAAAAHv33yw=")</f>
        <v>#VALUE!</v>
      </c>
      <c r="AT103" t="e">
        <f>AND(Sheet1!M1377,"AAAAAHv33y0=")</f>
        <v>#VALUE!</v>
      </c>
      <c r="AU103" t="e">
        <f>AND(Sheet1!N1377,"AAAAAHv33y4=")</f>
        <v>#VALUE!</v>
      </c>
      <c r="AV103" t="e">
        <f>AND(Sheet1!#REF!,"AAAAAHv33y8=")</f>
        <v>#REF!</v>
      </c>
      <c r="AW103" t="e">
        <f>AND(Sheet1!#REF!,"AAAAAHv33zA=")</f>
        <v>#REF!</v>
      </c>
      <c r="AX103" t="e">
        <f>AND(Sheet1!#REF!,"AAAAAHv33zE=")</f>
        <v>#REF!</v>
      </c>
      <c r="AY103" t="e">
        <f>AND(Sheet1!#REF!,"AAAAAHv33zI=")</f>
        <v>#REF!</v>
      </c>
      <c r="AZ103">
        <f>IF(Sheet1!1378:1378,"AAAAAHv33zM=",0)</f>
        <v>0</v>
      </c>
      <c r="BA103" t="e">
        <f>AND(Sheet1!A1378,"AAAAAHv33zQ=")</f>
        <v>#VALUE!</v>
      </c>
      <c r="BB103" t="e">
        <f>AND(Sheet1!B1378,"AAAAAHv33zU=")</f>
        <v>#VALUE!</v>
      </c>
      <c r="BC103" t="e">
        <f>AND(Sheet1!C1378,"AAAAAHv33zY=")</f>
        <v>#VALUE!</v>
      </c>
      <c r="BD103" t="e">
        <f>AND(Sheet1!D1378,"AAAAAHv33zc=")</f>
        <v>#VALUE!</v>
      </c>
      <c r="BE103" t="e">
        <f>AND(Sheet1!E1378,"AAAAAHv33zg=")</f>
        <v>#VALUE!</v>
      </c>
      <c r="BF103" t="e">
        <f>AND(Sheet1!F1378,"AAAAAHv33zk=")</f>
        <v>#VALUE!</v>
      </c>
      <c r="BG103" t="e">
        <f>AND(Sheet1!G1378,"AAAAAHv33zo=")</f>
        <v>#VALUE!</v>
      </c>
      <c r="BH103" t="e">
        <f>AND(Sheet1!H1378,"AAAAAHv33zs=")</f>
        <v>#VALUE!</v>
      </c>
      <c r="BI103" t="e">
        <f>AND(Sheet1!I1378,"AAAAAHv33zw=")</f>
        <v>#VALUE!</v>
      </c>
      <c r="BJ103" t="e">
        <f>AND(Sheet1!J1378,"AAAAAHv33z0=")</f>
        <v>#VALUE!</v>
      </c>
      <c r="BK103" t="e">
        <f>AND(Sheet1!K1378,"AAAAAHv33z4=")</f>
        <v>#VALUE!</v>
      </c>
      <c r="BL103" t="e">
        <f>AND(Sheet1!L1378,"AAAAAHv33z8=")</f>
        <v>#VALUE!</v>
      </c>
      <c r="BM103" t="e">
        <f>AND(Sheet1!M1378,"AAAAAHv330A=")</f>
        <v>#VALUE!</v>
      </c>
      <c r="BN103" t="e">
        <f>AND(Sheet1!N1378,"AAAAAHv330E=")</f>
        <v>#VALUE!</v>
      </c>
      <c r="BO103" t="e">
        <f>AND(Sheet1!#REF!,"AAAAAHv330I=")</f>
        <v>#REF!</v>
      </c>
      <c r="BP103" t="e">
        <f>AND(Sheet1!#REF!,"AAAAAHv330M=")</f>
        <v>#REF!</v>
      </c>
      <c r="BQ103" t="e">
        <f>AND(Sheet1!#REF!,"AAAAAHv330Q=")</f>
        <v>#REF!</v>
      </c>
      <c r="BR103" t="e">
        <f>AND(Sheet1!#REF!,"AAAAAHv330U=")</f>
        <v>#REF!</v>
      </c>
      <c r="BS103">
        <f>IF(Sheet1!1379:1379,"AAAAAHv330Y=",0)</f>
        <v>0</v>
      </c>
      <c r="BT103" t="e">
        <f>AND(Sheet1!A1379,"AAAAAHv330c=")</f>
        <v>#VALUE!</v>
      </c>
      <c r="BU103" t="e">
        <f>AND(Sheet1!B1379,"AAAAAHv330g=")</f>
        <v>#VALUE!</v>
      </c>
      <c r="BV103" t="e">
        <f>AND(Sheet1!C1379,"AAAAAHv330k=")</f>
        <v>#VALUE!</v>
      </c>
      <c r="BW103" t="e">
        <f>AND(Sheet1!D1379,"AAAAAHv330o=")</f>
        <v>#VALUE!</v>
      </c>
      <c r="BX103" t="e">
        <f>AND(Sheet1!E1379,"AAAAAHv330s=")</f>
        <v>#VALUE!</v>
      </c>
      <c r="BY103" t="e">
        <f>AND(Sheet1!F1379,"AAAAAHv330w=")</f>
        <v>#VALUE!</v>
      </c>
      <c r="BZ103" t="e">
        <f>AND(Sheet1!G1379,"AAAAAHv3300=")</f>
        <v>#VALUE!</v>
      </c>
      <c r="CA103" t="e">
        <f>AND(Sheet1!H1379,"AAAAAHv3304=")</f>
        <v>#VALUE!</v>
      </c>
      <c r="CB103" t="e">
        <f>AND(Sheet1!I1379,"AAAAAHv3308=")</f>
        <v>#VALUE!</v>
      </c>
      <c r="CC103" t="e">
        <f>AND(Sheet1!J1379,"AAAAAHv331A=")</f>
        <v>#VALUE!</v>
      </c>
      <c r="CD103" t="e">
        <f>AND(Sheet1!K1379,"AAAAAHv331E=")</f>
        <v>#VALUE!</v>
      </c>
      <c r="CE103" t="e">
        <f>AND(Sheet1!L1379,"AAAAAHv331I=")</f>
        <v>#VALUE!</v>
      </c>
      <c r="CF103" t="e">
        <f>AND(Sheet1!M1379,"AAAAAHv331M=")</f>
        <v>#VALUE!</v>
      </c>
      <c r="CG103" t="e">
        <f>AND(Sheet1!N1379,"AAAAAHv331Q=")</f>
        <v>#VALUE!</v>
      </c>
      <c r="CH103" t="e">
        <f>AND(Sheet1!#REF!,"AAAAAHv331U=")</f>
        <v>#REF!</v>
      </c>
      <c r="CI103" t="e">
        <f>AND(Sheet1!#REF!,"AAAAAHv331Y=")</f>
        <v>#REF!</v>
      </c>
      <c r="CJ103" t="e">
        <f>AND(Sheet1!#REF!,"AAAAAHv331c=")</f>
        <v>#REF!</v>
      </c>
      <c r="CK103" t="e">
        <f>AND(Sheet1!#REF!,"AAAAAHv331g=")</f>
        <v>#REF!</v>
      </c>
      <c r="CL103">
        <f>IF(Sheet1!1380:1380,"AAAAAHv331k=",0)</f>
        <v>0</v>
      </c>
      <c r="CM103" t="e">
        <f>AND(Sheet1!A1380,"AAAAAHv331o=")</f>
        <v>#VALUE!</v>
      </c>
      <c r="CN103" t="e">
        <f>AND(Sheet1!B1380,"AAAAAHv331s=")</f>
        <v>#VALUE!</v>
      </c>
      <c r="CO103" t="e">
        <f>AND(Sheet1!C1380,"AAAAAHv331w=")</f>
        <v>#VALUE!</v>
      </c>
      <c r="CP103" t="e">
        <f>AND(Sheet1!D1380,"AAAAAHv3310=")</f>
        <v>#VALUE!</v>
      </c>
      <c r="CQ103" t="e">
        <f>AND(Sheet1!E1380,"AAAAAHv3314=")</f>
        <v>#VALUE!</v>
      </c>
      <c r="CR103" t="e">
        <f>AND(Sheet1!F1380,"AAAAAHv3318=")</f>
        <v>#VALUE!</v>
      </c>
      <c r="CS103" t="e">
        <f>AND(Sheet1!G1380,"AAAAAHv332A=")</f>
        <v>#VALUE!</v>
      </c>
      <c r="CT103" t="e">
        <f>AND(Sheet1!H1380,"AAAAAHv332E=")</f>
        <v>#VALUE!</v>
      </c>
      <c r="CU103" t="e">
        <f>AND(Sheet1!I1380,"AAAAAHv332I=")</f>
        <v>#VALUE!</v>
      </c>
      <c r="CV103" t="e">
        <f>AND(Sheet1!J1380,"AAAAAHv332M=")</f>
        <v>#VALUE!</v>
      </c>
      <c r="CW103" t="e">
        <f>AND(Sheet1!K1380,"AAAAAHv332Q=")</f>
        <v>#VALUE!</v>
      </c>
      <c r="CX103" t="e">
        <f>AND(Sheet1!L1380,"AAAAAHv332U=")</f>
        <v>#VALUE!</v>
      </c>
      <c r="CY103" t="e">
        <f>AND(Sheet1!M1380,"AAAAAHv332Y=")</f>
        <v>#VALUE!</v>
      </c>
      <c r="CZ103" t="e">
        <f>AND(Sheet1!N1380,"AAAAAHv332c=")</f>
        <v>#VALUE!</v>
      </c>
      <c r="DA103" t="e">
        <f>AND(Sheet1!#REF!,"AAAAAHv332g=")</f>
        <v>#REF!</v>
      </c>
      <c r="DB103" t="e">
        <f>AND(Sheet1!#REF!,"AAAAAHv332k=")</f>
        <v>#REF!</v>
      </c>
      <c r="DC103" t="e">
        <f>AND(Sheet1!#REF!,"AAAAAHv332o=")</f>
        <v>#REF!</v>
      </c>
      <c r="DD103" t="e">
        <f>AND(Sheet1!#REF!,"AAAAAHv332s=")</f>
        <v>#REF!</v>
      </c>
      <c r="DE103">
        <f>IF(Sheet1!1381:1381,"AAAAAHv332w=",0)</f>
        <v>0</v>
      </c>
      <c r="DF103" t="e">
        <f>AND(Sheet1!A1381,"AAAAAHv3320=")</f>
        <v>#VALUE!</v>
      </c>
      <c r="DG103" t="e">
        <f>AND(Sheet1!B1381,"AAAAAHv3324=")</f>
        <v>#VALUE!</v>
      </c>
      <c r="DH103" t="e">
        <f>AND(Sheet1!C1381,"AAAAAHv3328=")</f>
        <v>#VALUE!</v>
      </c>
      <c r="DI103" t="e">
        <f>AND(Sheet1!D1381,"AAAAAHv333A=")</f>
        <v>#VALUE!</v>
      </c>
      <c r="DJ103" t="e">
        <f>AND(Sheet1!E1381,"AAAAAHv333E=")</f>
        <v>#VALUE!</v>
      </c>
      <c r="DK103" t="e">
        <f>AND(Sheet1!F1381,"AAAAAHv333I=")</f>
        <v>#VALUE!</v>
      </c>
      <c r="DL103" t="e">
        <f>AND(Sheet1!G1381,"AAAAAHv333M=")</f>
        <v>#VALUE!</v>
      </c>
      <c r="DM103" t="e">
        <f>AND(Sheet1!H1381,"AAAAAHv333Q=")</f>
        <v>#VALUE!</v>
      </c>
      <c r="DN103" t="e">
        <f>AND(Sheet1!I1381,"AAAAAHv333U=")</f>
        <v>#VALUE!</v>
      </c>
      <c r="DO103" t="e">
        <f>AND(Sheet1!J1381,"AAAAAHv333Y=")</f>
        <v>#VALUE!</v>
      </c>
      <c r="DP103" t="e">
        <f>AND(Sheet1!K1381,"AAAAAHv333c=")</f>
        <v>#VALUE!</v>
      </c>
      <c r="DQ103" t="e">
        <f>AND(Sheet1!L1381,"AAAAAHv333g=")</f>
        <v>#VALUE!</v>
      </c>
      <c r="DR103" t="e">
        <f>AND(Sheet1!M1381,"AAAAAHv333k=")</f>
        <v>#VALUE!</v>
      </c>
      <c r="DS103" t="e">
        <f>AND(Sheet1!N1381,"AAAAAHv333o=")</f>
        <v>#VALUE!</v>
      </c>
      <c r="DT103" t="e">
        <f>AND(Sheet1!#REF!,"AAAAAHv333s=")</f>
        <v>#REF!</v>
      </c>
      <c r="DU103" t="e">
        <f>AND(Sheet1!#REF!,"AAAAAHv333w=")</f>
        <v>#REF!</v>
      </c>
      <c r="DV103" t="e">
        <f>AND(Sheet1!#REF!,"AAAAAHv3330=")</f>
        <v>#REF!</v>
      </c>
      <c r="DW103" t="e">
        <f>AND(Sheet1!#REF!,"AAAAAHv3334=")</f>
        <v>#REF!</v>
      </c>
      <c r="DX103">
        <f>IF(Sheet1!1382:1382,"AAAAAHv3338=",0)</f>
        <v>0</v>
      </c>
      <c r="DY103" t="e">
        <f>AND(Sheet1!A1382,"AAAAAHv334A=")</f>
        <v>#VALUE!</v>
      </c>
      <c r="DZ103" t="e">
        <f>AND(Sheet1!B1382,"AAAAAHv334E=")</f>
        <v>#VALUE!</v>
      </c>
      <c r="EA103" t="e">
        <f>AND(Sheet1!C1382,"AAAAAHv334I=")</f>
        <v>#VALUE!</v>
      </c>
      <c r="EB103" t="e">
        <f>AND(Sheet1!D1382,"AAAAAHv334M=")</f>
        <v>#VALUE!</v>
      </c>
      <c r="EC103" t="e">
        <f>AND(Sheet1!E1382,"AAAAAHv334Q=")</f>
        <v>#VALUE!</v>
      </c>
      <c r="ED103" t="e">
        <f>AND(Sheet1!F1382,"AAAAAHv334U=")</f>
        <v>#VALUE!</v>
      </c>
      <c r="EE103" t="e">
        <f>AND(Sheet1!G1382,"AAAAAHv334Y=")</f>
        <v>#VALUE!</v>
      </c>
      <c r="EF103" t="e">
        <f>AND(Sheet1!H1382,"AAAAAHv334c=")</f>
        <v>#VALUE!</v>
      </c>
      <c r="EG103" t="e">
        <f>AND(Sheet1!I1382,"AAAAAHv334g=")</f>
        <v>#VALUE!</v>
      </c>
      <c r="EH103" t="e">
        <f>AND(Sheet1!J1382,"AAAAAHv334k=")</f>
        <v>#VALUE!</v>
      </c>
      <c r="EI103" t="e">
        <f>AND(Sheet1!K1382,"AAAAAHv334o=")</f>
        <v>#VALUE!</v>
      </c>
      <c r="EJ103" t="e">
        <f>AND(Sheet1!L1382,"AAAAAHv334s=")</f>
        <v>#VALUE!</v>
      </c>
      <c r="EK103" t="e">
        <f>AND(Sheet1!M1382,"AAAAAHv334w=")</f>
        <v>#VALUE!</v>
      </c>
      <c r="EL103" t="e">
        <f>AND(Sheet1!N1382,"AAAAAHv3340=")</f>
        <v>#VALUE!</v>
      </c>
      <c r="EM103" t="e">
        <f>AND(Sheet1!#REF!,"AAAAAHv3344=")</f>
        <v>#REF!</v>
      </c>
      <c r="EN103" t="e">
        <f>AND(Sheet1!#REF!,"AAAAAHv3348=")</f>
        <v>#REF!</v>
      </c>
      <c r="EO103" t="e">
        <f>AND(Sheet1!#REF!,"AAAAAHv335A=")</f>
        <v>#REF!</v>
      </c>
      <c r="EP103" t="e">
        <f>AND(Sheet1!#REF!,"AAAAAHv335E=")</f>
        <v>#REF!</v>
      </c>
      <c r="EQ103">
        <f>IF(Sheet1!1383:1383,"AAAAAHv335I=",0)</f>
        <v>0</v>
      </c>
      <c r="ER103" t="e">
        <f>AND(Sheet1!A1383,"AAAAAHv335M=")</f>
        <v>#VALUE!</v>
      </c>
      <c r="ES103" t="e">
        <f>AND(Sheet1!B1383,"AAAAAHv335Q=")</f>
        <v>#VALUE!</v>
      </c>
      <c r="ET103" t="e">
        <f>AND(Sheet1!C1383,"AAAAAHv335U=")</f>
        <v>#VALUE!</v>
      </c>
      <c r="EU103" t="e">
        <f>AND(Sheet1!D1383,"AAAAAHv335Y=")</f>
        <v>#VALUE!</v>
      </c>
      <c r="EV103" t="e">
        <f>AND(Sheet1!E1383,"AAAAAHv335c=")</f>
        <v>#VALUE!</v>
      </c>
      <c r="EW103" t="e">
        <f>AND(Sheet1!F1383,"AAAAAHv335g=")</f>
        <v>#VALUE!</v>
      </c>
      <c r="EX103" t="e">
        <f>AND(Sheet1!G1383,"AAAAAHv335k=")</f>
        <v>#VALUE!</v>
      </c>
      <c r="EY103" t="e">
        <f>AND(Sheet1!H1383,"AAAAAHv335o=")</f>
        <v>#VALUE!</v>
      </c>
      <c r="EZ103" t="e">
        <f>AND(Sheet1!I1383,"AAAAAHv335s=")</f>
        <v>#VALUE!</v>
      </c>
      <c r="FA103" t="e">
        <f>AND(Sheet1!J1383,"AAAAAHv335w=")</f>
        <v>#VALUE!</v>
      </c>
      <c r="FB103" t="e">
        <f>AND(Sheet1!K1383,"AAAAAHv3350=")</f>
        <v>#VALUE!</v>
      </c>
      <c r="FC103" t="e">
        <f>AND(Sheet1!L1383,"AAAAAHv3354=")</f>
        <v>#VALUE!</v>
      </c>
      <c r="FD103" t="e">
        <f>AND(Sheet1!M1383,"AAAAAHv3358=")</f>
        <v>#VALUE!</v>
      </c>
      <c r="FE103" t="e">
        <f>AND(Sheet1!N1383,"AAAAAHv336A=")</f>
        <v>#VALUE!</v>
      </c>
      <c r="FF103" t="e">
        <f>AND(Sheet1!#REF!,"AAAAAHv336E=")</f>
        <v>#REF!</v>
      </c>
      <c r="FG103" t="e">
        <f>AND(Sheet1!#REF!,"AAAAAHv336I=")</f>
        <v>#REF!</v>
      </c>
      <c r="FH103" t="e">
        <f>AND(Sheet1!#REF!,"AAAAAHv336M=")</f>
        <v>#REF!</v>
      </c>
      <c r="FI103" t="e">
        <f>AND(Sheet1!#REF!,"AAAAAHv336Q=")</f>
        <v>#REF!</v>
      </c>
      <c r="FJ103">
        <f>IF(Sheet1!1384:1384,"AAAAAHv336U=",0)</f>
        <v>0</v>
      </c>
      <c r="FK103" t="e">
        <f>AND(Sheet1!A1384,"AAAAAHv336Y=")</f>
        <v>#VALUE!</v>
      </c>
      <c r="FL103" t="e">
        <f>AND(Sheet1!B1384,"AAAAAHv336c=")</f>
        <v>#VALUE!</v>
      </c>
      <c r="FM103" t="e">
        <f>AND(Sheet1!C1384,"AAAAAHv336g=")</f>
        <v>#VALUE!</v>
      </c>
      <c r="FN103" t="e">
        <f>AND(Sheet1!D1384,"AAAAAHv336k=")</f>
        <v>#VALUE!</v>
      </c>
      <c r="FO103" t="e">
        <f>AND(Sheet1!E1384,"AAAAAHv336o=")</f>
        <v>#VALUE!</v>
      </c>
      <c r="FP103" t="e">
        <f>AND(Sheet1!F1384,"AAAAAHv336s=")</f>
        <v>#VALUE!</v>
      </c>
      <c r="FQ103" t="e">
        <f>AND(Sheet1!G1384,"AAAAAHv336w=")</f>
        <v>#VALUE!</v>
      </c>
      <c r="FR103" t="e">
        <f>AND(Sheet1!H1384,"AAAAAHv3360=")</f>
        <v>#VALUE!</v>
      </c>
      <c r="FS103" t="e">
        <f>AND(Sheet1!I1384,"AAAAAHv3364=")</f>
        <v>#VALUE!</v>
      </c>
      <c r="FT103" t="e">
        <f>AND(Sheet1!J1384,"AAAAAHv3368=")</f>
        <v>#VALUE!</v>
      </c>
      <c r="FU103" t="e">
        <f>AND(Sheet1!K1384,"AAAAAHv337A=")</f>
        <v>#VALUE!</v>
      </c>
      <c r="FV103" t="e">
        <f>AND(Sheet1!L1384,"AAAAAHv337E=")</f>
        <v>#VALUE!</v>
      </c>
      <c r="FW103" t="e">
        <f>AND(Sheet1!M1384,"AAAAAHv337I=")</f>
        <v>#VALUE!</v>
      </c>
      <c r="FX103" t="e">
        <f>AND(Sheet1!N1384,"AAAAAHv337M=")</f>
        <v>#VALUE!</v>
      </c>
      <c r="FY103" t="e">
        <f>AND(Sheet1!#REF!,"AAAAAHv337Q=")</f>
        <v>#REF!</v>
      </c>
      <c r="FZ103" t="e">
        <f>AND(Sheet1!#REF!,"AAAAAHv337U=")</f>
        <v>#REF!</v>
      </c>
      <c r="GA103" t="e">
        <f>AND(Sheet1!#REF!,"AAAAAHv337Y=")</f>
        <v>#REF!</v>
      </c>
      <c r="GB103" t="e">
        <f>AND(Sheet1!#REF!,"AAAAAHv337c=")</f>
        <v>#REF!</v>
      </c>
      <c r="GC103">
        <f>IF(Sheet1!1385:1385,"AAAAAHv337g=",0)</f>
        <v>0</v>
      </c>
      <c r="GD103" t="e">
        <f>AND(Sheet1!A1385,"AAAAAHv337k=")</f>
        <v>#VALUE!</v>
      </c>
      <c r="GE103" t="e">
        <f>AND(Sheet1!B1385,"AAAAAHv337o=")</f>
        <v>#VALUE!</v>
      </c>
      <c r="GF103" t="e">
        <f>AND(Sheet1!C1385,"AAAAAHv337s=")</f>
        <v>#VALUE!</v>
      </c>
      <c r="GG103" t="e">
        <f>AND(Sheet1!D1385,"AAAAAHv337w=")</f>
        <v>#VALUE!</v>
      </c>
      <c r="GH103" t="e">
        <f>AND(Sheet1!E1385,"AAAAAHv3370=")</f>
        <v>#VALUE!</v>
      </c>
      <c r="GI103" t="e">
        <f>AND(Sheet1!F1385,"AAAAAHv3374=")</f>
        <v>#VALUE!</v>
      </c>
      <c r="GJ103" t="e">
        <f>AND(Sheet1!G1385,"AAAAAHv3378=")</f>
        <v>#VALUE!</v>
      </c>
      <c r="GK103" t="e">
        <f>AND(Sheet1!H1385,"AAAAAHv338A=")</f>
        <v>#VALUE!</v>
      </c>
      <c r="GL103" t="e">
        <f>AND(Sheet1!I1385,"AAAAAHv338E=")</f>
        <v>#VALUE!</v>
      </c>
      <c r="GM103" t="e">
        <f>AND(Sheet1!J1385,"AAAAAHv338I=")</f>
        <v>#VALUE!</v>
      </c>
      <c r="GN103" t="e">
        <f>AND(Sheet1!K1385,"AAAAAHv338M=")</f>
        <v>#VALUE!</v>
      </c>
      <c r="GO103" t="e">
        <f>AND(Sheet1!L1385,"AAAAAHv338Q=")</f>
        <v>#VALUE!</v>
      </c>
      <c r="GP103" t="e">
        <f>AND(Sheet1!M1385,"AAAAAHv338U=")</f>
        <v>#VALUE!</v>
      </c>
      <c r="GQ103" t="e">
        <f>AND(Sheet1!N1385,"AAAAAHv338Y=")</f>
        <v>#VALUE!</v>
      </c>
      <c r="GR103" t="e">
        <f>AND(Sheet1!#REF!,"AAAAAHv338c=")</f>
        <v>#REF!</v>
      </c>
      <c r="GS103" t="e">
        <f>AND(Sheet1!#REF!,"AAAAAHv338g=")</f>
        <v>#REF!</v>
      </c>
      <c r="GT103" t="e">
        <f>AND(Sheet1!#REF!,"AAAAAHv338k=")</f>
        <v>#REF!</v>
      </c>
      <c r="GU103" t="e">
        <f>AND(Sheet1!#REF!,"AAAAAHv338o=")</f>
        <v>#REF!</v>
      </c>
      <c r="GV103">
        <f>IF(Sheet1!1386:1386,"AAAAAHv338s=",0)</f>
        <v>0</v>
      </c>
      <c r="GW103" t="e">
        <f>AND(Sheet1!A1386,"AAAAAHv338w=")</f>
        <v>#VALUE!</v>
      </c>
      <c r="GX103" t="e">
        <f>AND(Sheet1!B1386,"AAAAAHv3380=")</f>
        <v>#VALUE!</v>
      </c>
      <c r="GY103" t="e">
        <f>AND(Sheet1!C1386,"AAAAAHv3384=")</f>
        <v>#VALUE!</v>
      </c>
      <c r="GZ103" t="e">
        <f>AND(Sheet1!D1386,"AAAAAHv3388=")</f>
        <v>#VALUE!</v>
      </c>
      <c r="HA103" t="e">
        <f>AND(Sheet1!E1386,"AAAAAHv339A=")</f>
        <v>#VALUE!</v>
      </c>
      <c r="HB103" t="e">
        <f>AND(Sheet1!F1386,"AAAAAHv339E=")</f>
        <v>#VALUE!</v>
      </c>
      <c r="HC103" t="e">
        <f>AND(Sheet1!G1386,"AAAAAHv339I=")</f>
        <v>#VALUE!</v>
      </c>
      <c r="HD103" t="e">
        <f>AND(Sheet1!H1386,"AAAAAHv339M=")</f>
        <v>#VALUE!</v>
      </c>
      <c r="HE103" t="e">
        <f>AND(Sheet1!I1386,"AAAAAHv339Q=")</f>
        <v>#VALUE!</v>
      </c>
      <c r="HF103" t="e">
        <f>AND(Sheet1!J1386,"AAAAAHv339U=")</f>
        <v>#VALUE!</v>
      </c>
      <c r="HG103" t="e">
        <f>AND(Sheet1!K1386,"AAAAAHv339Y=")</f>
        <v>#VALUE!</v>
      </c>
      <c r="HH103" t="e">
        <f>AND(Sheet1!L1386,"AAAAAHv339c=")</f>
        <v>#VALUE!</v>
      </c>
      <c r="HI103" t="e">
        <f>AND(Sheet1!M1386,"AAAAAHv339g=")</f>
        <v>#VALUE!</v>
      </c>
      <c r="HJ103" t="e">
        <f>AND(Sheet1!N1386,"AAAAAHv339k=")</f>
        <v>#VALUE!</v>
      </c>
      <c r="HK103" t="e">
        <f>AND(Sheet1!#REF!,"AAAAAHv339o=")</f>
        <v>#REF!</v>
      </c>
      <c r="HL103" t="e">
        <f>AND(Sheet1!#REF!,"AAAAAHv339s=")</f>
        <v>#REF!</v>
      </c>
      <c r="HM103" t="e">
        <f>AND(Sheet1!#REF!,"AAAAAHv339w=")</f>
        <v>#REF!</v>
      </c>
      <c r="HN103" t="e">
        <f>AND(Sheet1!#REF!,"AAAAAHv3390=")</f>
        <v>#REF!</v>
      </c>
      <c r="HO103">
        <f>IF(Sheet1!1387:1387,"AAAAAHv3394=",0)</f>
        <v>0</v>
      </c>
      <c r="HP103" t="e">
        <f>AND(Sheet1!A1387,"AAAAAHv3398=")</f>
        <v>#VALUE!</v>
      </c>
      <c r="HQ103" t="e">
        <f>AND(Sheet1!B1387,"AAAAAHv33+A=")</f>
        <v>#VALUE!</v>
      </c>
      <c r="HR103" t="e">
        <f>AND(Sheet1!C1387,"AAAAAHv33+E=")</f>
        <v>#VALUE!</v>
      </c>
      <c r="HS103" t="e">
        <f>AND(Sheet1!D1387,"AAAAAHv33+I=")</f>
        <v>#VALUE!</v>
      </c>
      <c r="HT103" t="e">
        <f>AND(Sheet1!E1387,"AAAAAHv33+M=")</f>
        <v>#VALUE!</v>
      </c>
      <c r="HU103" t="e">
        <f>AND(Sheet1!F1387,"AAAAAHv33+Q=")</f>
        <v>#VALUE!</v>
      </c>
      <c r="HV103" t="e">
        <f>AND(Sheet1!G1387,"AAAAAHv33+U=")</f>
        <v>#VALUE!</v>
      </c>
      <c r="HW103" t="e">
        <f>AND(Sheet1!H1387,"AAAAAHv33+Y=")</f>
        <v>#VALUE!</v>
      </c>
      <c r="HX103" t="e">
        <f>AND(Sheet1!I1387,"AAAAAHv33+c=")</f>
        <v>#VALUE!</v>
      </c>
      <c r="HY103" t="e">
        <f>AND(Sheet1!J1387,"AAAAAHv33+g=")</f>
        <v>#VALUE!</v>
      </c>
      <c r="HZ103" t="e">
        <f>AND(Sheet1!K1387,"AAAAAHv33+k=")</f>
        <v>#VALUE!</v>
      </c>
      <c r="IA103" t="e">
        <f>AND(Sheet1!L1387,"AAAAAHv33+o=")</f>
        <v>#VALUE!</v>
      </c>
      <c r="IB103" t="e">
        <f>AND(Sheet1!M1387,"AAAAAHv33+s=")</f>
        <v>#VALUE!</v>
      </c>
      <c r="IC103" t="e">
        <f>AND(Sheet1!N1387,"AAAAAHv33+w=")</f>
        <v>#VALUE!</v>
      </c>
      <c r="ID103" t="e">
        <f>AND(Sheet1!#REF!,"AAAAAHv33+0=")</f>
        <v>#REF!</v>
      </c>
      <c r="IE103" t="e">
        <f>AND(Sheet1!#REF!,"AAAAAHv33+4=")</f>
        <v>#REF!</v>
      </c>
      <c r="IF103" t="e">
        <f>AND(Sheet1!#REF!,"AAAAAHv33+8=")</f>
        <v>#REF!</v>
      </c>
      <c r="IG103" t="e">
        <f>AND(Sheet1!#REF!,"AAAAAHv33/A=")</f>
        <v>#REF!</v>
      </c>
      <c r="IH103">
        <f>IF(Sheet1!1388:1388,"AAAAAHv33/E=",0)</f>
        <v>0</v>
      </c>
      <c r="II103" t="e">
        <f>AND(Sheet1!A1388,"AAAAAHv33/I=")</f>
        <v>#VALUE!</v>
      </c>
      <c r="IJ103" t="e">
        <f>AND(Sheet1!B1388,"AAAAAHv33/M=")</f>
        <v>#VALUE!</v>
      </c>
      <c r="IK103" t="e">
        <f>AND(Sheet1!C1388,"AAAAAHv33/Q=")</f>
        <v>#VALUE!</v>
      </c>
      <c r="IL103" t="e">
        <f>AND(Sheet1!D1388,"AAAAAHv33/U=")</f>
        <v>#VALUE!</v>
      </c>
      <c r="IM103" t="e">
        <f>AND(Sheet1!E1388,"AAAAAHv33/Y=")</f>
        <v>#VALUE!</v>
      </c>
      <c r="IN103" t="e">
        <f>AND(Sheet1!F1388,"AAAAAHv33/c=")</f>
        <v>#VALUE!</v>
      </c>
      <c r="IO103" t="e">
        <f>AND(Sheet1!G1388,"AAAAAHv33/g=")</f>
        <v>#VALUE!</v>
      </c>
      <c r="IP103" t="e">
        <f>AND(Sheet1!H1388,"AAAAAHv33/k=")</f>
        <v>#VALUE!</v>
      </c>
      <c r="IQ103" t="e">
        <f>AND(Sheet1!I1388,"AAAAAHv33/o=")</f>
        <v>#VALUE!</v>
      </c>
      <c r="IR103" t="e">
        <f>AND(Sheet1!J1388,"AAAAAHv33/s=")</f>
        <v>#VALUE!</v>
      </c>
      <c r="IS103" t="e">
        <f>AND(Sheet1!K1388,"AAAAAHv33/w=")</f>
        <v>#VALUE!</v>
      </c>
      <c r="IT103" t="e">
        <f>AND(Sheet1!L1388,"AAAAAHv33/0=")</f>
        <v>#VALUE!</v>
      </c>
      <c r="IU103" t="e">
        <f>AND(Sheet1!M1388,"AAAAAHv33/4=")</f>
        <v>#VALUE!</v>
      </c>
      <c r="IV103" t="e">
        <f>AND(Sheet1!N1388,"AAAAAHv33/8=")</f>
        <v>#VALUE!</v>
      </c>
    </row>
    <row r="104" spans="1:256" x14ac:dyDescent="0.2">
      <c r="A104" t="e">
        <f>AND(Sheet1!#REF!,"AAAAAF7Y2wA=")</f>
        <v>#REF!</v>
      </c>
      <c r="B104" t="e">
        <f>AND(Sheet1!#REF!,"AAAAAF7Y2wE=")</f>
        <v>#REF!</v>
      </c>
      <c r="C104" t="e">
        <f>AND(Sheet1!#REF!,"AAAAAF7Y2wI=")</f>
        <v>#REF!</v>
      </c>
      <c r="D104" t="e">
        <f>AND(Sheet1!#REF!,"AAAAAF7Y2wM=")</f>
        <v>#REF!</v>
      </c>
      <c r="E104" t="e">
        <f>IF(Sheet1!1389:1389,"AAAAAF7Y2wQ=",0)</f>
        <v>#VALUE!</v>
      </c>
      <c r="F104" t="e">
        <f>AND(Sheet1!A1389,"AAAAAF7Y2wU=")</f>
        <v>#VALUE!</v>
      </c>
      <c r="G104" t="e">
        <f>AND(Sheet1!B1389,"AAAAAF7Y2wY=")</f>
        <v>#VALUE!</v>
      </c>
      <c r="H104" t="e">
        <f>AND(Sheet1!C1389,"AAAAAF7Y2wc=")</f>
        <v>#VALUE!</v>
      </c>
      <c r="I104" t="e">
        <f>AND(Sheet1!D1389,"AAAAAF7Y2wg=")</f>
        <v>#VALUE!</v>
      </c>
      <c r="J104" t="e">
        <f>AND(Sheet1!E1389,"AAAAAF7Y2wk=")</f>
        <v>#VALUE!</v>
      </c>
      <c r="K104" t="e">
        <f>AND(Sheet1!F1389,"AAAAAF7Y2wo=")</f>
        <v>#VALUE!</v>
      </c>
      <c r="L104" t="e">
        <f>AND(Sheet1!G1389,"AAAAAF7Y2ws=")</f>
        <v>#VALUE!</v>
      </c>
      <c r="M104" t="e">
        <f>AND(Sheet1!H1389,"AAAAAF7Y2ww=")</f>
        <v>#VALUE!</v>
      </c>
      <c r="N104" t="e">
        <f>AND(Sheet1!I1389,"AAAAAF7Y2w0=")</f>
        <v>#VALUE!</v>
      </c>
      <c r="O104" t="e">
        <f>AND(Sheet1!J1389,"AAAAAF7Y2w4=")</f>
        <v>#VALUE!</v>
      </c>
      <c r="P104" t="e">
        <f>AND(Sheet1!K1389,"AAAAAF7Y2w8=")</f>
        <v>#VALUE!</v>
      </c>
      <c r="Q104" t="e">
        <f>AND(Sheet1!L1389,"AAAAAF7Y2xA=")</f>
        <v>#VALUE!</v>
      </c>
      <c r="R104" t="e">
        <f>AND(Sheet1!M1389,"AAAAAF7Y2xE=")</f>
        <v>#VALUE!</v>
      </c>
      <c r="S104" t="e">
        <f>AND(Sheet1!N1389,"AAAAAF7Y2xI=")</f>
        <v>#VALUE!</v>
      </c>
      <c r="T104" t="e">
        <f>AND(Sheet1!#REF!,"AAAAAF7Y2xM=")</f>
        <v>#REF!</v>
      </c>
      <c r="U104" t="e">
        <f>AND(Sheet1!#REF!,"AAAAAF7Y2xQ=")</f>
        <v>#REF!</v>
      </c>
      <c r="V104" t="e">
        <f>AND(Sheet1!#REF!,"AAAAAF7Y2xU=")</f>
        <v>#REF!</v>
      </c>
      <c r="W104" t="e">
        <f>AND(Sheet1!#REF!,"AAAAAF7Y2xY=")</f>
        <v>#REF!</v>
      </c>
      <c r="X104">
        <f>IF(Sheet1!1390:1390,"AAAAAF7Y2xc=",0)</f>
        <v>0</v>
      </c>
      <c r="Y104" t="e">
        <f>AND(Sheet1!A1390,"AAAAAF7Y2xg=")</f>
        <v>#VALUE!</v>
      </c>
      <c r="Z104" t="e">
        <f>AND(Sheet1!B1390,"AAAAAF7Y2xk=")</f>
        <v>#VALUE!</v>
      </c>
      <c r="AA104" t="e">
        <f>AND(Sheet1!C1390,"AAAAAF7Y2xo=")</f>
        <v>#VALUE!</v>
      </c>
      <c r="AB104" t="e">
        <f>AND(Sheet1!D1390,"AAAAAF7Y2xs=")</f>
        <v>#VALUE!</v>
      </c>
      <c r="AC104" t="e">
        <f>AND(Sheet1!E1390,"AAAAAF7Y2xw=")</f>
        <v>#VALUE!</v>
      </c>
      <c r="AD104" t="e">
        <f>AND(Sheet1!F1390,"AAAAAF7Y2x0=")</f>
        <v>#VALUE!</v>
      </c>
      <c r="AE104" t="e">
        <f>AND(Sheet1!G1390,"AAAAAF7Y2x4=")</f>
        <v>#VALUE!</v>
      </c>
      <c r="AF104" t="e">
        <f>AND(Sheet1!H1390,"AAAAAF7Y2x8=")</f>
        <v>#VALUE!</v>
      </c>
      <c r="AG104" t="e">
        <f>AND(Sheet1!I1390,"AAAAAF7Y2yA=")</f>
        <v>#VALUE!</v>
      </c>
      <c r="AH104" t="e">
        <f>AND(Sheet1!J1390,"AAAAAF7Y2yE=")</f>
        <v>#VALUE!</v>
      </c>
      <c r="AI104" t="e">
        <f>AND(Sheet1!K1390,"AAAAAF7Y2yI=")</f>
        <v>#VALUE!</v>
      </c>
      <c r="AJ104" t="e">
        <f>AND(Sheet1!L1390,"AAAAAF7Y2yM=")</f>
        <v>#VALUE!</v>
      </c>
      <c r="AK104" t="e">
        <f>AND(Sheet1!M1390,"AAAAAF7Y2yQ=")</f>
        <v>#VALUE!</v>
      </c>
      <c r="AL104" t="e">
        <f>AND(Sheet1!N1390,"AAAAAF7Y2yU=")</f>
        <v>#VALUE!</v>
      </c>
      <c r="AM104" t="e">
        <f>AND(Sheet1!#REF!,"AAAAAF7Y2yY=")</f>
        <v>#REF!</v>
      </c>
      <c r="AN104" t="e">
        <f>AND(Sheet1!#REF!,"AAAAAF7Y2yc=")</f>
        <v>#REF!</v>
      </c>
      <c r="AO104" t="e">
        <f>AND(Sheet1!#REF!,"AAAAAF7Y2yg=")</f>
        <v>#REF!</v>
      </c>
      <c r="AP104" t="e">
        <f>AND(Sheet1!#REF!,"AAAAAF7Y2yk=")</f>
        <v>#REF!</v>
      </c>
      <c r="AQ104">
        <f>IF(Sheet1!1391:1391,"AAAAAF7Y2yo=",0)</f>
        <v>0</v>
      </c>
      <c r="AR104" t="e">
        <f>AND(Sheet1!A1391,"AAAAAF7Y2ys=")</f>
        <v>#VALUE!</v>
      </c>
      <c r="AS104" t="e">
        <f>AND(Sheet1!B1391,"AAAAAF7Y2yw=")</f>
        <v>#VALUE!</v>
      </c>
      <c r="AT104" t="e">
        <f>AND(Sheet1!C1391,"AAAAAF7Y2y0=")</f>
        <v>#VALUE!</v>
      </c>
      <c r="AU104" t="e">
        <f>AND(Sheet1!D1391,"AAAAAF7Y2y4=")</f>
        <v>#VALUE!</v>
      </c>
      <c r="AV104" t="e">
        <f>AND(Sheet1!E1391,"AAAAAF7Y2y8=")</f>
        <v>#VALUE!</v>
      </c>
      <c r="AW104" t="e">
        <f>AND(Sheet1!F1391,"AAAAAF7Y2zA=")</f>
        <v>#VALUE!</v>
      </c>
      <c r="AX104" t="e">
        <f>AND(Sheet1!G1391,"AAAAAF7Y2zE=")</f>
        <v>#VALUE!</v>
      </c>
      <c r="AY104" t="e">
        <f>AND(Sheet1!H1391,"AAAAAF7Y2zI=")</f>
        <v>#VALUE!</v>
      </c>
      <c r="AZ104" t="e">
        <f>AND(Sheet1!I1391,"AAAAAF7Y2zM=")</f>
        <v>#VALUE!</v>
      </c>
      <c r="BA104" t="e">
        <f>AND(Sheet1!J1391,"AAAAAF7Y2zQ=")</f>
        <v>#VALUE!</v>
      </c>
      <c r="BB104" t="e">
        <f>AND(Sheet1!K1391,"AAAAAF7Y2zU=")</f>
        <v>#VALUE!</v>
      </c>
      <c r="BC104" t="e">
        <f>AND(Sheet1!L1391,"AAAAAF7Y2zY=")</f>
        <v>#VALUE!</v>
      </c>
      <c r="BD104" t="e">
        <f>AND(Sheet1!M1391,"AAAAAF7Y2zc=")</f>
        <v>#VALUE!</v>
      </c>
      <c r="BE104" t="e">
        <f>AND(Sheet1!N1391,"AAAAAF7Y2zg=")</f>
        <v>#VALUE!</v>
      </c>
      <c r="BF104" t="e">
        <f>AND(Sheet1!#REF!,"AAAAAF7Y2zk=")</f>
        <v>#REF!</v>
      </c>
      <c r="BG104" t="e">
        <f>AND(Sheet1!#REF!,"AAAAAF7Y2zo=")</f>
        <v>#REF!</v>
      </c>
      <c r="BH104" t="e">
        <f>AND(Sheet1!#REF!,"AAAAAF7Y2zs=")</f>
        <v>#REF!</v>
      </c>
      <c r="BI104" t="e">
        <f>AND(Sheet1!#REF!,"AAAAAF7Y2zw=")</f>
        <v>#REF!</v>
      </c>
      <c r="BJ104">
        <f>IF(Sheet1!1392:1392,"AAAAAF7Y2z0=",0)</f>
        <v>0</v>
      </c>
      <c r="BK104" t="e">
        <f>AND(Sheet1!A1392,"AAAAAF7Y2z4=")</f>
        <v>#VALUE!</v>
      </c>
      <c r="BL104" t="e">
        <f>AND(Sheet1!B1392,"AAAAAF7Y2z8=")</f>
        <v>#VALUE!</v>
      </c>
      <c r="BM104" t="e">
        <f>AND(Sheet1!C1392,"AAAAAF7Y20A=")</f>
        <v>#VALUE!</v>
      </c>
      <c r="BN104" t="e">
        <f>AND(Sheet1!D1392,"AAAAAF7Y20E=")</f>
        <v>#VALUE!</v>
      </c>
      <c r="BO104" t="e">
        <f>AND(Sheet1!E1392,"AAAAAF7Y20I=")</f>
        <v>#VALUE!</v>
      </c>
      <c r="BP104" t="e">
        <f>AND(Sheet1!F1392,"AAAAAF7Y20M=")</f>
        <v>#VALUE!</v>
      </c>
      <c r="BQ104" t="e">
        <f>AND(Sheet1!G1392,"AAAAAF7Y20Q=")</f>
        <v>#VALUE!</v>
      </c>
      <c r="BR104" t="e">
        <f>AND(Sheet1!H1392,"AAAAAF7Y20U=")</f>
        <v>#VALUE!</v>
      </c>
      <c r="BS104" t="e">
        <f>AND(Sheet1!I1392,"AAAAAF7Y20Y=")</f>
        <v>#VALUE!</v>
      </c>
      <c r="BT104" t="e">
        <f>AND(Sheet1!J1392,"AAAAAF7Y20c=")</f>
        <v>#VALUE!</v>
      </c>
      <c r="BU104" t="e">
        <f>AND(Sheet1!K1392,"AAAAAF7Y20g=")</f>
        <v>#VALUE!</v>
      </c>
      <c r="BV104" t="e">
        <f>AND(Sheet1!L1392,"AAAAAF7Y20k=")</f>
        <v>#VALUE!</v>
      </c>
      <c r="BW104" t="e">
        <f>AND(Sheet1!M1392,"AAAAAF7Y20o=")</f>
        <v>#VALUE!</v>
      </c>
      <c r="BX104" t="e">
        <f>AND(Sheet1!N1392,"AAAAAF7Y20s=")</f>
        <v>#VALUE!</v>
      </c>
      <c r="BY104" t="e">
        <f>AND(Sheet1!#REF!,"AAAAAF7Y20w=")</f>
        <v>#REF!</v>
      </c>
      <c r="BZ104" t="e">
        <f>AND(Sheet1!#REF!,"AAAAAF7Y200=")</f>
        <v>#REF!</v>
      </c>
      <c r="CA104" t="e">
        <f>AND(Sheet1!#REF!,"AAAAAF7Y204=")</f>
        <v>#REF!</v>
      </c>
      <c r="CB104" t="e">
        <f>AND(Sheet1!#REF!,"AAAAAF7Y208=")</f>
        <v>#REF!</v>
      </c>
      <c r="CC104">
        <f>IF(Sheet1!1393:1393,"AAAAAF7Y21A=",0)</f>
        <v>0</v>
      </c>
      <c r="CD104" t="e">
        <f>AND(Sheet1!A1393,"AAAAAF7Y21E=")</f>
        <v>#VALUE!</v>
      </c>
      <c r="CE104" t="e">
        <f>AND(Sheet1!B1393,"AAAAAF7Y21I=")</f>
        <v>#VALUE!</v>
      </c>
      <c r="CF104" t="e">
        <f>AND(Sheet1!C1393,"AAAAAF7Y21M=")</f>
        <v>#VALUE!</v>
      </c>
      <c r="CG104" t="e">
        <f>AND(Sheet1!D1393,"AAAAAF7Y21Q=")</f>
        <v>#VALUE!</v>
      </c>
      <c r="CH104" t="e">
        <f>AND(Sheet1!E1393,"AAAAAF7Y21U=")</f>
        <v>#VALUE!</v>
      </c>
      <c r="CI104" t="e">
        <f>AND(Sheet1!F1393,"AAAAAF7Y21Y=")</f>
        <v>#VALUE!</v>
      </c>
      <c r="CJ104" t="e">
        <f>AND(Sheet1!G1393,"AAAAAF7Y21c=")</f>
        <v>#VALUE!</v>
      </c>
      <c r="CK104" t="e">
        <f>AND(Sheet1!H1393,"AAAAAF7Y21g=")</f>
        <v>#VALUE!</v>
      </c>
      <c r="CL104" t="e">
        <f>AND(Sheet1!I1393,"AAAAAF7Y21k=")</f>
        <v>#VALUE!</v>
      </c>
      <c r="CM104" t="e">
        <f>AND(Sheet1!J1393,"AAAAAF7Y21o=")</f>
        <v>#VALUE!</v>
      </c>
      <c r="CN104" t="e">
        <f>AND(Sheet1!K1393,"AAAAAF7Y21s=")</f>
        <v>#VALUE!</v>
      </c>
      <c r="CO104" t="e">
        <f>AND(Sheet1!L1393,"AAAAAF7Y21w=")</f>
        <v>#VALUE!</v>
      </c>
      <c r="CP104" t="e">
        <f>AND(Sheet1!M1393,"AAAAAF7Y210=")</f>
        <v>#VALUE!</v>
      </c>
      <c r="CQ104" t="e">
        <f>AND(Sheet1!N1393,"AAAAAF7Y214=")</f>
        <v>#VALUE!</v>
      </c>
      <c r="CR104" t="e">
        <f>AND(Sheet1!#REF!,"AAAAAF7Y218=")</f>
        <v>#REF!</v>
      </c>
      <c r="CS104" t="e">
        <f>AND(Sheet1!#REF!,"AAAAAF7Y22A=")</f>
        <v>#REF!</v>
      </c>
      <c r="CT104" t="e">
        <f>AND(Sheet1!#REF!,"AAAAAF7Y22E=")</f>
        <v>#REF!</v>
      </c>
      <c r="CU104" t="e">
        <f>AND(Sheet1!#REF!,"AAAAAF7Y22I=")</f>
        <v>#REF!</v>
      </c>
      <c r="CV104">
        <f>IF(Sheet1!1394:1394,"AAAAAF7Y22M=",0)</f>
        <v>0</v>
      </c>
      <c r="CW104" t="e">
        <f>AND(Sheet1!A1394,"AAAAAF7Y22Q=")</f>
        <v>#VALUE!</v>
      </c>
      <c r="CX104" t="e">
        <f>AND(Sheet1!B1394,"AAAAAF7Y22U=")</f>
        <v>#VALUE!</v>
      </c>
      <c r="CY104" t="e">
        <f>AND(Sheet1!C1394,"AAAAAF7Y22Y=")</f>
        <v>#VALUE!</v>
      </c>
      <c r="CZ104" t="e">
        <f>AND(Sheet1!D1394,"AAAAAF7Y22c=")</f>
        <v>#VALUE!</v>
      </c>
      <c r="DA104" t="e">
        <f>AND(Sheet1!E1394,"AAAAAF7Y22g=")</f>
        <v>#VALUE!</v>
      </c>
      <c r="DB104" t="e">
        <f>AND(Sheet1!F1394,"AAAAAF7Y22k=")</f>
        <v>#VALUE!</v>
      </c>
      <c r="DC104" t="e">
        <f>AND(Sheet1!G1394,"AAAAAF7Y22o=")</f>
        <v>#VALUE!</v>
      </c>
      <c r="DD104" t="e">
        <f>AND(Sheet1!H1394,"AAAAAF7Y22s=")</f>
        <v>#VALUE!</v>
      </c>
      <c r="DE104" t="e">
        <f>AND(Sheet1!I1394,"AAAAAF7Y22w=")</f>
        <v>#VALUE!</v>
      </c>
      <c r="DF104" t="e">
        <f>AND(Sheet1!J1394,"AAAAAF7Y220=")</f>
        <v>#VALUE!</v>
      </c>
      <c r="DG104" t="e">
        <f>AND(Sheet1!K1394,"AAAAAF7Y224=")</f>
        <v>#VALUE!</v>
      </c>
      <c r="DH104" t="e">
        <f>AND(Sheet1!L1394,"AAAAAF7Y228=")</f>
        <v>#VALUE!</v>
      </c>
      <c r="DI104" t="e">
        <f>AND(Sheet1!M1394,"AAAAAF7Y23A=")</f>
        <v>#VALUE!</v>
      </c>
      <c r="DJ104" t="e">
        <f>AND(Sheet1!N1394,"AAAAAF7Y23E=")</f>
        <v>#VALUE!</v>
      </c>
      <c r="DK104" t="e">
        <f>AND(Sheet1!#REF!,"AAAAAF7Y23I=")</f>
        <v>#REF!</v>
      </c>
      <c r="DL104" t="e">
        <f>AND(Sheet1!#REF!,"AAAAAF7Y23M=")</f>
        <v>#REF!</v>
      </c>
      <c r="DM104" t="e">
        <f>AND(Sheet1!#REF!,"AAAAAF7Y23Q=")</f>
        <v>#REF!</v>
      </c>
      <c r="DN104" t="e">
        <f>AND(Sheet1!#REF!,"AAAAAF7Y23U=")</f>
        <v>#REF!</v>
      </c>
      <c r="DO104">
        <f>IF(Sheet1!1395:1395,"AAAAAF7Y23Y=",0)</f>
        <v>0</v>
      </c>
      <c r="DP104" t="e">
        <f>AND(Sheet1!A1395,"AAAAAF7Y23c=")</f>
        <v>#VALUE!</v>
      </c>
      <c r="DQ104" t="e">
        <f>AND(Sheet1!B1395,"AAAAAF7Y23g=")</f>
        <v>#VALUE!</v>
      </c>
      <c r="DR104" t="e">
        <f>AND(Sheet1!C1395,"AAAAAF7Y23k=")</f>
        <v>#VALUE!</v>
      </c>
      <c r="DS104" t="e">
        <f>AND(Sheet1!D1395,"AAAAAF7Y23o=")</f>
        <v>#VALUE!</v>
      </c>
      <c r="DT104" t="e">
        <f>AND(Sheet1!E1395,"AAAAAF7Y23s=")</f>
        <v>#VALUE!</v>
      </c>
      <c r="DU104" t="e">
        <f>AND(Sheet1!F1395,"AAAAAF7Y23w=")</f>
        <v>#VALUE!</v>
      </c>
      <c r="DV104" t="e">
        <f>AND(Sheet1!G1395,"AAAAAF7Y230=")</f>
        <v>#VALUE!</v>
      </c>
      <c r="DW104" t="e">
        <f>AND(Sheet1!H1395,"AAAAAF7Y234=")</f>
        <v>#VALUE!</v>
      </c>
      <c r="DX104" t="e">
        <f>AND(Sheet1!I1395,"AAAAAF7Y238=")</f>
        <v>#VALUE!</v>
      </c>
      <c r="DY104" t="e">
        <f>AND(Sheet1!J1395,"AAAAAF7Y24A=")</f>
        <v>#VALUE!</v>
      </c>
      <c r="DZ104" t="e">
        <f>AND(Sheet1!K1395,"AAAAAF7Y24E=")</f>
        <v>#VALUE!</v>
      </c>
      <c r="EA104" t="e">
        <f>AND(Sheet1!L1395,"AAAAAF7Y24I=")</f>
        <v>#VALUE!</v>
      </c>
      <c r="EB104" t="e">
        <f>AND(Sheet1!M1395,"AAAAAF7Y24M=")</f>
        <v>#VALUE!</v>
      </c>
      <c r="EC104" t="e">
        <f>AND(Sheet1!N1395,"AAAAAF7Y24Q=")</f>
        <v>#VALUE!</v>
      </c>
      <c r="ED104" t="e">
        <f>AND(Sheet1!#REF!,"AAAAAF7Y24U=")</f>
        <v>#REF!</v>
      </c>
      <c r="EE104" t="e">
        <f>AND(Sheet1!#REF!,"AAAAAF7Y24Y=")</f>
        <v>#REF!</v>
      </c>
      <c r="EF104" t="e">
        <f>AND(Sheet1!#REF!,"AAAAAF7Y24c=")</f>
        <v>#REF!</v>
      </c>
      <c r="EG104" t="e">
        <f>AND(Sheet1!#REF!,"AAAAAF7Y24g=")</f>
        <v>#REF!</v>
      </c>
      <c r="EH104">
        <f>IF(Sheet1!1396:1396,"AAAAAF7Y24k=",0)</f>
        <v>0</v>
      </c>
      <c r="EI104" t="e">
        <f>AND(Sheet1!A1396,"AAAAAF7Y24o=")</f>
        <v>#VALUE!</v>
      </c>
      <c r="EJ104" t="e">
        <f>AND(Sheet1!B1396,"AAAAAF7Y24s=")</f>
        <v>#VALUE!</v>
      </c>
      <c r="EK104" t="e">
        <f>AND(Sheet1!C1396,"AAAAAF7Y24w=")</f>
        <v>#VALUE!</v>
      </c>
      <c r="EL104" t="e">
        <f>AND(Sheet1!D1396,"AAAAAF7Y240=")</f>
        <v>#VALUE!</v>
      </c>
      <c r="EM104" t="e">
        <f>AND(Sheet1!E1396,"AAAAAF7Y244=")</f>
        <v>#VALUE!</v>
      </c>
      <c r="EN104" t="e">
        <f>AND(Sheet1!F1396,"AAAAAF7Y248=")</f>
        <v>#VALUE!</v>
      </c>
      <c r="EO104" t="e">
        <f>AND(Sheet1!G1396,"AAAAAF7Y25A=")</f>
        <v>#VALUE!</v>
      </c>
      <c r="EP104" t="e">
        <f>AND(Sheet1!H1396,"AAAAAF7Y25E=")</f>
        <v>#VALUE!</v>
      </c>
      <c r="EQ104" t="e">
        <f>AND(Sheet1!I1396,"AAAAAF7Y25I=")</f>
        <v>#VALUE!</v>
      </c>
      <c r="ER104" t="e">
        <f>AND(Sheet1!J1396,"AAAAAF7Y25M=")</f>
        <v>#VALUE!</v>
      </c>
      <c r="ES104" t="e">
        <f>AND(Sheet1!K1396,"AAAAAF7Y25Q=")</f>
        <v>#VALUE!</v>
      </c>
      <c r="ET104" t="e">
        <f>AND(Sheet1!L1396,"AAAAAF7Y25U=")</f>
        <v>#VALUE!</v>
      </c>
      <c r="EU104" t="e">
        <f>AND(Sheet1!M1396,"AAAAAF7Y25Y=")</f>
        <v>#VALUE!</v>
      </c>
      <c r="EV104" t="e">
        <f>AND(Sheet1!N1396,"AAAAAF7Y25c=")</f>
        <v>#VALUE!</v>
      </c>
      <c r="EW104" t="e">
        <f>AND(Sheet1!#REF!,"AAAAAF7Y25g=")</f>
        <v>#REF!</v>
      </c>
      <c r="EX104" t="e">
        <f>AND(Sheet1!#REF!,"AAAAAF7Y25k=")</f>
        <v>#REF!</v>
      </c>
      <c r="EY104" t="e">
        <f>AND(Sheet1!#REF!,"AAAAAF7Y25o=")</f>
        <v>#REF!</v>
      </c>
      <c r="EZ104" t="e">
        <f>AND(Sheet1!#REF!,"AAAAAF7Y25s=")</f>
        <v>#REF!</v>
      </c>
      <c r="FA104">
        <f>IF(Sheet1!1397:1397,"AAAAAF7Y25w=",0)</f>
        <v>0</v>
      </c>
      <c r="FB104" t="e">
        <f>AND(Sheet1!A1397,"AAAAAF7Y250=")</f>
        <v>#VALUE!</v>
      </c>
      <c r="FC104" t="e">
        <f>AND(Sheet1!B1397,"AAAAAF7Y254=")</f>
        <v>#VALUE!</v>
      </c>
      <c r="FD104" t="e">
        <f>AND(Sheet1!C1397,"AAAAAF7Y258=")</f>
        <v>#VALUE!</v>
      </c>
      <c r="FE104" t="e">
        <f>AND(Sheet1!D1397,"AAAAAF7Y26A=")</f>
        <v>#VALUE!</v>
      </c>
      <c r="FF104" t="e">
        <f>AND(Sheet1!E1397,"AAAAAF7Y26E=")</f>
        <v>#VALUE!</v>
      </c>
      <c r="FG104" t="e">
        <f>AND(Sheet1!F1397,"AAAAAF7Y26I=")</f>
        <v>#VALUE!</v>
      </c>
      <c r="FH104" t="e">
        <f>AND(Sheet1!G1397,"AAAAAF7Y26M=")</f>
        <v>#VALUE!</v>
      </c>
      <c r="FI104" t="e">
        <f>AND(Sheet1!H1397,"AAAAAF7Y26Q=")</f>
        <v>#VALUE!</v>
      </c>
      <c r="FJ104" t="e">
        <f>AND(Sheet1!I1397,"AAAAAF7Y26U=")</f>
        <v>#VALUE!</v>
      </c>
      <c r="FK104" t="e">
        <f>AND(Sheet1!J1397,"AAAAAF7Y26Y=")</f>
        <v>#VALUE!</v>
      </c>
      <c r="FL104" t="e">
        <f>AND(Sheet1!K1397,"AAAAAF7Y26c=")</f>
        <v>#VALUE!</v>
      </c>
      <c r="FM104" t="e">
        <f>AND(Sheet1!L1397,"AAAAAF7Y26g=")</f>
        <v>#VALUE!</v>
      </c>
      <c r="FN104" t="e">
        <f>AND(Sheet1!M1397,"AAAAAF7Y26k=")</f>
        <v>#VALUE!</v>
      </c>
      <c r="FO104" t="e">
        <f>AND(Sheet1!N1397,"AAAAAF7Y26o=")</f>
        <v>#VALUE!</v>
      </c>
      <c r="FP104" t="e">
        <f>AND(Sheet1!#REF!,"AAAAAF7Y26s=")</f>
        <v>#REF!</v>
      </c>
      <c r="FQ104" t="e">
        <f>AND(Sheet1!#REF!,"AAAAAF7Y26w=")</f>
        <v>#REF!</v>
      </c>
      <c r="FR104" t="e">
        <f>AND(Sheet1!#REF!,"AAAAAF7Y260=")</f>
        <v>#REF!</v>
      </c>
      <c r="FS104" t="e">
        <f>AND(Sheet1!#REF!,"AAAAAF7Y264=")</f>
        <v>#REF!</v>
      </c>
      <c r="FT104">
        <f>IF(Sheet1!1398:1398,"AAAAAF7Y268=",0)</f>
        <v>0</v>
      </c>
      <c r="FU104" t="e">
        <f>AND(Sheet1!A1398,"AAAAAF7Y27A=")</f>
        <v>#VALUE!</v>
      </c>
      <c r="FV104" t="e">
        <f>AND(Sheet1!B1398,"AAAAAF7Y27E=")</f>
        <v>#VALUE!</v>
      </c>
      <c r="FW104" t="e">
        <f>AND(Sheet1!C1398,"AAAAAF7Y27I=")</f>
        <v>#VALUE!</v>
      </c>
      <c r="FX104" t="e">
        <f>AND(Sheet1!D1398,"AAAAAF7Y27M=")</f>
        <v>#VALUE!</v>
      </c>
      <c r="FY104" t="e">
        <f>AND(Sheet1!E1398,"AAAAAF7Y27Q=")</f>
        <v>#VALUE!</v>
      </c>
      <c r="FZ104" t="e">
        <f>AND(Sheet1!F1398,"AAAAAF7Y27U=")</f>
        <v>#VALUE!</v>
      </c>
      <c r="GA104" t="e">
        <f>AND(Sheet1!G1398,"AAAAAF7Y27Y=")</f>
        <v>#VALUE!</v>
      </c>
      <c r="GB104" t="e">
        <f>AND(Sheet1!H1398,"AAAAAF7Y27c=")</f>
        <v>#VALUE!</v>
      </c>
      <c r="GC104" t="e">
        <f>AND(Sheet1!I1398,"AAAAAF7Y27g=")</f>
        <v>#VALUE!</v>
      </c>
      <c r="GD104" t="e">
        <f>AND(Sheet1!J1398,"AAAAAF7Y27k=")</f>
        <v>#VALUE!</v>
      </c>
      <c r="GE104" t="e">
        <f>AND(Sheet1!K1398,"AAAAAF7Y27o=")</f>
        <v>#VALUE!</v>
      </c>
      <c r="GF104" t="e">
        <f>AND(Sheet1!L1398,"AAAAAF7Y27s=")</f>
        <v>#VALUE!</v>
      </c>
      <c r="GG104" t="e">
        <f>AND(Sheet1!M1398,"AAAAAF7Y27w=")</f>
        <v>#VALUE!</v>
      </c>
      <c r="GH104" t="e">
        <f>AND(Sheet1!N1398,"AAAAAF7Y270=")</f>
        <v>#VALUE!</v>
      </c>
      <c r="GI104" t="e">
        <f>AND(Sheet1!#REF!,"AAAAAF7Y274=")</f>
        <v>#REF!</v>
      </c>
      <c r="GJ104" t="e">
        <f>AND(Sheet1!#REF!,"AAAAAF7Y278=")</f>
        <v>#REF!</v>
      </c>
      <c r="GK104" t="e">
        <f>AND(Sheet1!#REF!,"AAAAAF7Y28A=")</f>
        <v>#REF!</v>
      </c>
      <c r="GL104" t="e">
        <f>AND(Sheet1!#REF!,"AAAAAF7Y28E=")</f>
        <v>#REF!</v>
      </c>
      <c r="GM104">
        <f>IF(Sheet1!1399:1399,"AAAAAF7Y28I=",0)</f>
        <v>0</v>
      </c>
      <c r="GN104" t="e">
        <f>AND(Sheet1!A1399,"AAAAAF7Y28M=")</f>
        <v>#VALUE!</v>
      </c>
      <c r="GO104" t="e">
        <f>AND(Sheet1!B1399,"AAAAAF7Y28Q=")</f>
        <v>#VALUE!</v>
      </c>
      <c r="GP104" t="e">
        <f>AND(Sheet1!C1399,"AAAAAF7Y28U=")</f>
        <v>#VALUE!</v>
      </c>
      <c r="GQ104" t="e">
        <f>AND(Sheet1!D1399,"AAAAAF7Y28Y=")</f>
        <v>#VALUE!</v>
      </c>
      <c r="GR104" t="e">
        <f>AND(Sheet1!E1399,"AAAAAF7Y28c=")</f>
        <v>#VALUE!</v>
      </c>
      <c r="GS104" t="e">
        <f>AND(Sheet1!F1399,"AAAAAF7Y28g=")</f>
        <v>#VALUE!</v>
      </c>
      <c r="GT104" t="e">
        <f>AND(Sheet1!G1399,"AAAAAF7Y28k=")</f>
        <v>#VALUE!</v>
      </c>
      <c r="GU104" t="e">
        <f>AND(Sheet1!H1399,"AAAAAF7Y28o=")</f>
        <v>#VALUE!</v>
      </c>
      <c r="GV104" t="e">
        <f>AND(Sheet1!I1399,"AAAAAF7Y28s=")</f>
        <v>#VALUE!</v>
      </c>
      <c r="GW104" t="e">
        <f>AND(Sheet1!J1399,"AAAAAF7Y28w=")</f>
        <v>#VALUE!</v>
      </c>
      <c r="GX104" t="e">
        <f>AND(Sheet1!K1399,"AAAAAF7Y280=")</f>
        <v>#VALUE!</v>
      </c>
      <c r="GY104" t="e">
        <f>AND(Sheet1!L1399,"AAAAAF7Y284=")</f>
        <v>#VALUE!</v>
      </c>
      <c r="GZ104" t="e">
        <f>AND(Sheet1!M1399,"AAAAAF7Y288=")</f>
        <v>#VALUE!</v>
      </c>
      <c r="HA104" t="e">
        <f>AND(Sheet1!N1399,"AAAAAF7Y29A=")</f>
        <v>#VALUE!</v>
      </c>
      <c r="HB104" t="e">
        <f>AND(Sheet1!#REF!,"AAAAAF7Y29E=")</f>
        <v>#REF!</v>
      </c>
      <c r="HC104" t="e">
        <f>AND(Sheet1!#REF!,"AAAAAF7Y29I=")</f>
        <v>#REF!</v>
      </c>
      <c r="HD104" t="e">
        <f>AND(Sheet1!#REF!,"AAAAAF7Y29M=")</f>
        <v>#REF!</v>
      </c>
      <c r="HE104" t="e">
        <f>AND(Sheet1!#REF!,"AAAAAF7Y29Q=")</f>
        <v>#REF!</v>
      </c>
      <c r="HF104">
        <f>IF(Sheet1!1400:1400,"AAAAAF7Y29U=",0)</f>
        <v>0</v>
      </c>
      <c r="HG104" t="e">
        <f>AND(Sheet1!A1400,"AAAAAF7Y29Y=")</f>
        <v>#VALUE!</v>
      </c>
      <c r="HH104" t="e">
        <f>AND(Sheet1!B1400,"AAAAAF7Y29c=")</f>
        <v>#VALUE!</v>
      </c>
      <c r="HI104" t="e">
        <f>AND(Sheet1!C1400,"AAAAAF7Y29g=")</f>
        <v>#VALUE!</v>
      </c>
      <c r="HJ104" t="e">
        <f>AND(Sheet1!D1400,"AAAAAF7Y29k=")</f>
        <v>#VALUE!</v>
      </c>
      <c r="HK104" t="e">
        <f>AND(Sheet1!E1400,"AAAAAF7Y29o=")</f>
        <v>#VALUE!</v>
      </c>
      <c r="HL104" t="e">
        <f>AND(Sheet1!F1400,"AAAAAF7Y29s=")</f>
        <v>#VALUE!</v>
      </c>
      <c r="HM104" t="e">
        <f>AND(Sheet1!G1400,"AAAAAF7Y29w=")</f>
        <v>#VALUE!</v>
      </c>
      <c r="HN104" t="e">
        <f>AND(Sheet1!H1400,"AAAAAF7Y290=")</f>
        <v>#VALUE!</v>
      </c>
      <c r="HO104" t="e">
        <f>AND(Sheet1!I1400,"AAAAAF7Y294=")</f>
        <v>#VALUE!</v>
      </c>
      <c r="HP104" t="e">
        <f>AND(Sheet1!J1400,"AAAAAF7Y298=")</f>
        <v>#VALUE!</v>
      </c>
      <c r="HQ104" t="e">
        <f>AND(Sheet1!K1400,"AAAAAF7Y2+A=")</f>
        <v>#VALUE!</v>
      </c>
      <c r="HR104" t="e">
        <f>AND(Sheet1!L1400,"AAAAAF7Y2+E=")</f>
        <v>#VALUE!</v>
      </c>
      <c r="HS104" t="e">
        <f>AND(Sheet1!M1400,"AAAAAF7Y2+I=")</f>
        <v>#VALUE!</v>
      </c>
      <c r="HT104" t="e">
        <f>AND(Sheet1!N1400,"AAAAAF7Y2+M=")</f>
        <v>#VALUE!</v>
      </c>
      <c r="HU104" t="e">
        <f>AND(Sheet1!#REF!,"AAAAAF7Y2+Q=")</f>
        <v>#REF!</v>
      </c>
      <c r="HV104" t="e">
        <f>AND(Sheet1!#REF!,"AAAAAF7Y2+U=")</f>
        <v>#REF!</v>
      </c>
      <c r="HW104" t="e">
        <f>AND(Sheet1!#REF!,"AAAAAF7Y2+Y=")</f>
        <v>#REF!</v>
      </c>
      <c r="HX104" t="e">
        <f>AND(Sheet1!#REF!,"AAAAAF7Y2+c=")</f>
        <v>#REF!</v>
      </c>
      <c r="HY104">
        <f>IF(Sheet1!1401:1401,"AAAAAF7Y2+g=",0)</f>
        <v>0</v>
      </c>
      <c r="HZ104" t="e">
        <f>AND(Sheet1!A1401,"AAAAAF7Y2+k=")</f>
        <v>#VALUE!</v>
      </c>
      <c r="IA104" t="e">
        <f>AND(Sheet1!B1401,"AAAAAF7Y2+o=")</f>
        <v>#VALUE!</v>
      </c>
      <c r="IB104" t="e">
        <f>AND(Sheet1!C1401,"AAAAAF7Y2+s=")</f>
        <v>#VALUE!</v>
      </c>
      <c r="IC104" t="e">
        <f>AND(Sheet1!D1401,"AAAAAF7Y2+w=")</f>
        <v>#VALUE!</v>
      </c>
      <c r="ID104" t="e">
        <f>AND(Sheet1!E1401,"AAAAAF7Y2+0=")</f>
        <v>#VALUE!</v>
      </c>
      <c r="IE104" t="e">
        <f>AND(Sheet1!F1401,"AAAAAF7Y2+4=")</f>
        <v>#VALUE!</v>
      </c>
      <c r="IF104" t="e">
        <f>AND(Sheet1!G1401,"AAAAAF7Y2+8=")</f>
        <v>#VALUE!</v>
      </c>
      <c r="IG104" t="e">
        <f>AND(Sheet1!H1401,"AAAAAF7Y2/A=")</f>
        <v>#VALUE!</v>
      </c>
      <c r="IH104" t="e">
        <f>AND(Sheet1!I1401,"AAAAAF7Y2/E=")</f>
        <v>#VALUE!</v>
      </c>
      <c r="II104" t="e">
        <f>AND(Sheet1!J1401,"AAAAAF7Y2/I=")</f>
        <v>#VALUE!</v>
      </c>
      <c r="IJ104" t="e">
        <f>AND(Sheet1!K1401,"AAAAAF7Y2/M=")</f>
        <v>#VALUE!</v>
      </c>
      <c r="IK104" t="e">
        <f>AND(Sheet1!L1401,"AAAAAF7Y2/Q=")</f>
        <v>#VALUE!</v>
      </c>
      <c r="IL104" t="e">
        <f>AND(Sheet1!M1401,"AAAAAF7Y2/U=")</f>
        <v>#VALUE!</v>
      </c>
      <c r="IM104" t="e">
        <f>AND(Sheet1!N1401,"AAAAAF7Y2/Y=")</f>
        <v>#VALUE!</v>
      </c>
      <c r="IN104" t="e">
        <f>AND(Sheet1!#REF!,"AAAAAF7Y2/c=")</f>
        <v>#REF!</v>
      </c>
      <c r="IO104" t="e">
        <f>AND(Sheet1!#REF!,"AAAAAF7Y2/g=")</f>
        <v>#REF!</v>
      </c>
      <c r="IP104" t="e">
        <f>AND(Sheet1!#REF!,"AAAAAF7Y2/k=")</f>
        <v>#REF!</v>
      </c>
      <c r="IQ104" t="e">
        <f>AND(Sheet1!#REF!,"AAAAAF7Y2/o=")</f>
        <v>#REF!</v>
      </c>
      <c r="IR104">
        <f>IF(Sheet1!1402:1402,"AAAAAF7Y2/s=",0)</f>
        <v>0</v>
      </c>
      <c r="IS104" t="e">
        <f>AND(Sheet1!A1402,"AAAAAF7Y2/w=")</f>
        <v>#VALUE!</v>
      </c>
      <c r="IT104" t="e">
        <f>AND(Sheet1!B1402,"AAAAAF7Y2/0=")</f>
        <v>#VALUE!</v>
      </c>
      <c r="IU104" t="e">
        <f>AND(Sheet1!C1402,"AAAAAF7Y2/4=")</f>
        <v>#VALUE!</v>
      </c>
      <c r="IV104" t="e">
        <f>AND(Sheet1!D1402,"AAAAAF7Y2/8=")</f>
        <v>#VALUE!</v>
      </c>
    </row>
    <row r="105" spans="1:256" x14ac:dyDescent="0.2">
      <c r="A105" t="e">
        <f>AND(Sheet1!E1402,"AAAAAEOe/wA=")</f>
        <v>#VALUE!</v>
      </c>
      <c r="B105" t="e">
        <f>AND(Sheet1!F1402,"AAAAAEOe/wE=")</f>
        <v>#VALUE!</v>
      </c>
      <c r="C105" t="e">
        <f>AND(Sheet1!G1402,"AAAAAEOe/wI=")</f>
        <v>#VALUE!</v>
      </c>
      <c r="D105" t="e">
        <f>AND(Sheet1!H1402,"AAAAAEOe/wM=")</f>
        <v>#VALUE!</v>
      </c>
      <c r="E105" t="e">
        <f>AND(Sheet1!I1402,"AAAAAEOe/wQ=")</f>
        <v>#VALUE!</v>
      </c>
      <c r="F105" t="e">
        <f>AND(Sheet1!J1402,"AAAAAEOe/wU=")</f>
        <v>#VALUE!</v>
      </c>
      <c r="G105" t="e">
        <f>AND(Sheet1!K1402,"AAAAAEOe/wY=")</f>
        <v>#VALUE!</v>
      </c>
      <c r="H105" t="e">
        <f>AND(Sheet1!L1402,"AAAAAEOe/wc=")</f>
        <v>#VALUE!</v>
      </c>
      <c r="I105" t="e">
        <f>AND(Sheet1!M1402,"AAAAAEOe/wg=")</f>
        <v>#VALUE!</v>
      </c>
      <c r="J105" t="e">
        <f>AND(Sheet1!N1402,"AAAAAEOe/wk=")</f>
        <v>#VALUE!</v>
      </c>
      <c r="K105" t="e">
        <f>AND(Sheet1!#REF!,"AAAAAEOe/wo=")</f>
        <v>#REF!</v>
      </c>
      <c r="L105" t="e">
        <f>AND(Sheet1!#REF!,"AAAAAEOe/ws=")</f>
        <v>#REF!</v>
      </c>
      <c r="M105" t="e">
        <f>AND(Sheet1!#REF!,"AAAAAEOe/ww=")</f>
        <v>#REF!</v>
      </c>
      <c r="N105" t="e">
        <f>AND(Sheet1!#REF!,"AAAAAEOe/w0=")</f>
        <v>#REF!</v>
      </c>
      <c r="O105">
        <f>IF(Sheet1!1403:1403,"AAAAAEOe/w4=",0)</f>
        <v>0</v>
      </c>
      <c r="P105" t="e">
        <f>AND(Sheet1!A1403,"AAAAAEOe/w8=")</f>
        <v>#VALUE!</v>
      </c>
      <c r="Q105" t="e">
        <f>AND(Sheet1!B1403,"AAAAAEOe/xA=")</f>
        <v>#VALUE!</v>
      </c>
      <c r="R105" t="e">
        <f>AND(Sheet1!C1403,"AAAAAEOe/xE=")</f>
        <v>#VALUE!</v>
      </c>
      <c r="S105" t="e">
        <f>AND(Sheet1!D1403,"AAAAAEOe/xI=")</f>
        <v>#VALUE!</v>
      </c>
      <c r="T105" t="e">
        <f>AND(Sheet1!E1403,"AAAAAEOe/xM=")</f>
        <v>#VALUE!</v>
      </c>
      <c r="U105" t="e">
        <f>AND(Sheet1!F1403,"AAAAAEOe/xQ=")</f>
        <v>#VALUE!</v>
      </c>
      <c r="V105" t="e">
        <f>AND(Sheet1!G1403,"AAAAAEOe/xU=")</f>
        <v>#VALUE!</v>
      </c>
      <c r="W105" t="e">
        <f>AND(Sheet1!H1403,"AAAAAEOe/xY=")</f>
        <v>#VALUE!</v>
      </c>
      <c r="X105" t="e">
        <f>AND(Sheet1!I1403,"AAAAAEOe/xc=")</f>
        <v>#VALUE!</v>
      </c>
      <c r="Y105" t="e">
        <f>AND(Sheet1!J1403,"AAAAAEOe/xg=")</f>
        <v>#VALUE!</v>
      </c>
      <c r="Z105" t="e">
        <f>AND(Sheet1!K1403,"AAAAAEOe/xk=")</f>
        <v>#VALUE!</v>
      </c>
      <c r="AA105" t="e">
        <f>AND(Sheet1!L1403,"AAAAAEOe/xo=")</f>
        <v>#VALUE!</v>
      </c>
      <c r="AB105" t="e">
        <f>AND(Sheet1!M1403,"AAAAAEOe/xs=")</f>
        <v>#VALUE!</v>
      </c>
      <c r="AC105" t="e">
        <f>AND(Sheet1!N1403,"AAAAAEOe/xw=")</f>
        <v>#VALUE!</v>
      </c>
      <c r="AD105" t="e">
        <f>AND(Sheet1!#REF!,"AAAAAEOe/x0=")</f>
        <v>#REF!</v>
      </c>
      <c r="AE105" t="e">
        <f>AND(Sheet1!#REF!,"AAAAAEOe/x4=")</f>
        <v>#REF!</v>
      </c>
      <c r="AF105" t="e">
        <f>AND(Sheet1!#REF!,"AAAAAEOe/x8=")</f>
        <v>#REF!</v>
      </c>
      <c r="AG105" t="e">
        <f>AND(Sheet1!#REF!,"AAAAAEOe/yA=")</f>
        <v>#REF!</v>
      </c>
      <c r="AH105">
        <f>IF(Sheet1!1404:1404,"AAAAAEOe/yE=",0)</f>
        <v>0</v>
      </c>
      <c r="AI105" t="e">
        <f>AND(Sheet1!A1404,"AAAAAEOe/yI=")</f>
        <v>#VALUE!</v>
      </c>
      <c r="AJ105" t="e">
        <f>AND(Sheet1!B1404,"AAAAAEOe/yM=")</f>
        <v>#VALUE!</v>
      </c>
      <c r="AK105" t="e">
        <f>AND(Sheet1!C1404,"AAAAAEOe/yQ=")</f>
        <v>#VALUE!</v>
      </c>
      <c r="AL105" t="e">
        <f>AND(Sheet1!D1404,"AAAAAEOe/yU=")</f>
        <v>#VALUE!</v>
      </c>
      <c r="AM105" t="e">
        <f>AND(Sheet1!E1404,"AAAAAEOe/yY=")</f>
        <v>#VALUE!</v>
      </c>
      <c r="AN105" t="e">
        <f>AND(Sheet1!F1404,"AAAAAEOe/yc=")</f>
        <v>#VALUE!</v>
      </c>
      <c r="AO105" t="e">
        <f>AND(Sheet1!G1404,"AAAAAEOe/yg=")</f>
        <v>#VALUE!</v>
      </c>
      <c r="AP105" t="e">
        <f>AND(Sheet1!H1404,"AAAAAEOe/yk=")</f>
        <v>#VALUE!</v>
      </c>
      <c r="AQ105" t="e">
        <f>AND(Sheet1!I1404,"AAAAAEOe/yo=")</f>
        <v>#VALUE!</v>
      </c>
      <c r="AR105" t="e">
        <f>AND(Sheet1!J1404,"AAAAAEOe/ys=")</f>
        <v>#VALUE!</v>
      </c>
      <c r="AS105" t="e">
        <f>AND(Sheet1!K1404,"AAAAAEOe/yw=")</f>
        <v>#VALUE!</v>
      </c>
      <c r="AT105" t="e">
        <f>AND(Sheet1!L1404,"AAAAAEOe/y0=")</f>
        <v>#VALUE!</v>
      </c>
      <c r="AU105" t="e">
        <f>AND(Sheet1!M1404,"AAAAAEOe/y4=")</f>
        <v>#VALUE!</v>
      </c>
      <c r="AV105" t="e">
        <f>AND(Sheet1!N1404,"AAAAAEOe/y8=")</f>
        <v>#VALUE!</v>
      </c>
      <c r="AW105" t="e">
        <f>AND(Sheet1!#REF!,"AAAAAEOe/zA=")</f>
        <v>#REF!</v>
      </c>
      <c r="AX105" t="e">
        <f>AND(Sheet1!#REF!,"AAAAAEOe/zE=")</f>
        <v>#REF!</v>
      </c>
      <c r="AY105" t="e">
        <f>AND(Sheet1!#REF!,"AAAAAEOe/zI=")</f>
        <v>#REF!</v>
      </c>
      <c r="AZ105" t="e">
        <f>AND(Sheet1!#REF!,"AAAAAEOe/zM=")</f>
        <v>#REF!</v>
      </c>
      <c r="BA105">
        <f>IF(Sheet1!1405:1405,"AAAAAEOe/zQ=",0)</f>
        <v>0</v>
      </c>
      <c r="BB105" t="e">
        <f>AND(Sheet1!A1405,"AAAAAEOe/zU=")</f>
        <v>#VALUE!</v>
      </c>
      <c r="BC105" t="e">
        <f>AND(Sheet1!B1405,"AAAAAEOe/zY=")</f>
        <v>#VALUE!</v>
      </c>
      <c r="BD105" t="e">
        <f>AND(Sheet1!C1405,"AAAAAEOe/zc=")</f>
        <v>#VALUE!</v>
      </c>
      <c r="BE105" t="e">
        <f>AND(Sheet1!D1405,"AAAAAEOe/zg=")</f>
        <v>#VALUE!</v>
      </c>
      <c r="BF105" t="e">
        <f>AND(Sheet1!E1405,"AAAAAEOe/zk=")</f>
        <v>#VALUE!</v>
      </c>
      <c r="BG105" t="e">
        <f>AND(Sheet1!F1405,"AAAAAEOe/zo=")</f>
        <v>#VALUE!</v>
      </c>
      <c r="BH105" t="e">
        <f>AND(Sheet1!G1405,"AAAAAEOe/zs=")</f>
        <v>#VALUE!</v>
      </c>
      <c r="BI105" t="e">
        <f>AND(Sheet1!H1405,"AAAAAEOe/zw=")</f>
        <v>#VALUE!</v>
      </c>
      <c r="BJ105" t="e">
        <f>AND(Sheet1!I1405,"AAAAAEOe/z0=")</f>
        <v>#VALUE!</v>
      </c>
      <c r="BK105" t="e">
        <f>AND(Sheet1!J1405,"AAAAAEOe/z4=")</f>
        <v>#VALUE!</v>
      </c>
      <c r="BL105" t="e">
        <f>AND(Sheet1!K1405,"AAAAAEOe/z8=")</f>
        <v>#VALUE!</v>
      </c>
      <c r="BM105" t="e">
        <f>AND(Sheet1!L1405,"AAAAAEOe/0A=")</f>
        <v>#VALUE!</v>
      </c>
      <c r="BN105" t="e">
        <f>AND(Sheet1!M1405,"AAAAAEOe/0E=")</f>
        <v>#VALUE!</v>
      </c>
      <c r="BO105" t="e">
        <f>AND(Sheet1!N1405,"AAAAAEOe/0I=")</f>
        <v>#VALUE!</v>
      </c>
      <c r="BP105" t="e">
        <f>AND(Sheet1!#REF!,"AAAAAEOe/0M=")</f>
        <v>#REF!</v>
      </c>
      <c r="BQ105" t="e">
        <f>AND(Sheet1!#REF!,"AAAAAEOe/0Q=")</f>
        <v>#REF!</v>
      </c>
      <c r="BR105" t="e">
        <f>AND(Sheet1!#REF!,"AAAAAEOe/0U=")</f>
        <v>#REF!</v>
      </c>
      <c r="BS105" t="e">
        <f>AND(Sheet1!#REF!,"AAAAAEOe/0Y=")</f>
        <v>#REF!</v>
      </c>
      <c r="BT105">
        <f>IF(Sheet1!1406:1406,"AAAAAEOe/0c=",0)</f>
        <v>0</v>
      </c>
      <c r="BU105" t="e">
        <f>AND(Sheet1!A1406,"AAAAAEOe/0g=")</f>
        <v>#VALUE!</v>
      </c>
      <c r="BV105" t="e">
        <f>AND(Sheet1!B1406,"AAAAAEOe/0k=")</f>
        <v>#VALUE!</v>
      </c>
      <c r="BW105" t="e">
        <f>AND(Sheet1!C1406,"AAAAAEOe/0o=")</f>
        <v>#VALUE!</v>
      </c>
      <c r="BX105" t="e">
        <f>AND(Sheet1!D1406,"AAAAAEOe/0s=")</f>
        <v>#VALUE!</v>
      </c>
      <c r="BY105" t="e">
        <f>AND(Sheet1!E1406,"AAAAAEOe/0w=")</f>
        <v>#VALUE!</v>
      </c>
      <c r="BZ105" t="e">
        <f>AND(Sheet1!F1406,"AAAAAEOe/00=")</f>
        <v>#VALUE!</v>
      </c>
      <c r="CA105" t="e">
        <f>AND(Sheet1!G1406,"AAAAAEOe/04=")</f>
        <v>#VALUE!</v>
      </c>
      <c r="CB105" t="e">
        <f>AND(Sheet1!H1406,"AAAAAEOe/08=")</f>
        <v>#VALUE!</v>
      </c>
      <c r="CC105" t="e">
        <f>AND(Sheet1!I1406,"AAAAAEOe/1A=")</f>
        <v>#VALUE!</v>
      </c>
      <c r="CD105" t="e">
        <f>AND(Sheet1!J1406,"AAAAAEOe/1E=")</f>
        <v>#VALUE!</v>
      </c>
      <c r="CE105" t="e">
        <f>AND(Sheet1!K1406,"AAAAAEOe/1I=")</f>
        <v>#VALUE!</v>
      </c>
      <c r="CF105" t="e">
        <f>AND(Sheet1!L1406,"AAAAAEOe/1M=")</f>
        <v>#VALUE!</v>
      </c>
      <c r="CG105" t="e">
        <f>AND(Sheet1!M1406,"AAAAAEOe/1Q=")</f>
        <v>#VALUE!</v>
      </c>
      <c r="CH105" t="e">
        <f>AND(Sheet1!N1406,"AAAAAEOe/1U=")</f>
        <v>#VALUE!</v>
      </c>
      <c r="CI105" t="e">
        <f>AND(Sheet1!#REF!,"AAAAAEOe/1Y=")</f>
        <v>#REF!</v>
      </c>
      <c r="CJ105" t="e">
        <f>AND(Sheet1!#REF!,"AAAAAEOe/1c=")</f>
        <v>#REF!</v>
      </c>
      <c r="CK105" t="e">
        <f>AND(Sheet1!#REF!,"AAAAAEOe/1g=")</f>
        <v>#REF!</v>
      </c>
      <c r="CL105" t="e">
        <f>AND(Sheet1!#REF!,"AAAAAEOe/1k=")</f>
        <v>#REF!</v>
      </c>
      <c r="CM105">
        <f>IF(Sheet1!1407:1407,"AAAAAEOe/1o=",0)</f>
        <v>0</v>
      </c>
      <c r="CN105" t="e">
        <f>AND(Sheet1!A1407,"AAAAAEOe/1s=")</f>
        <v>#VALUE!</v>
      </c>
      <c r="CO105" t="e">
        <f>AND(Sheet1!B1407,"AAAAAEOe/1w=")</f>
        <v>#VALUE!</v>
      </c>
      <c r="CP105" t="e">
        <f>AND(Sheet1!C1407,"AAAAAEOe/10=")</f>
        <v>#VALUE!</v>
      </c>
      <c r="CQ105" t="e">
        <f>AND(Sheet1!D1407,"AAAAAEOe/14=")</f>
        <v>#VALUE!</v>
      </c>
      <c r="CR105" t="e">
        <f>AND(Sheet1!E1407,"AAAAAEOe/18=")</f>
        <v>#VALUE!</v>
      </c>
      <c r="CS105" t="e">
        <f>AND(Sheet1!F1407,"AAAAAEOe/2A=")</f>
        <v>#VALUE!</v>
      </c>
      <c r="CT105" t="e">
        <f>AND(Sheet1!G1407,"AAAAAEOe/2E=")</f>
        <v>#VALUE!</v>
      </c>
      <c r="CU105" t="e">
        <f>AND(Sheet1!H1407,"AAAAAEOe/2I=")</f>
        <v>#VALUE!</v>
      </c>
      <c r="CV105" t="e">
        <f>AND(Sheet1!I1407,"AAAAAEOe/2M=")</f>
        <v>#VALUE!</v>
      </c>
      <c r="CW105" t="e">
        <f>AND(Sheet1!J1407,"AAAAAEOe/2Q=")</f>
        <v>#VALUE!</v>
      </c>
      <c r="CX105" t="e">
        <f>AND(Sheet1!K1407,"AAAAAEOe/2U=")</f>
        <v>#VALUE!</v>
      </c>
      <c r="CY105" t="e">
        <f>AND(Sheet1!L1407,"AAAAAEOe/2Y=")</f>
        <v>#VALUE!</v>
      </c>
      <c r="CZ105" t="e">
        <f>AND(Sheet1!M1407,"AAAAAEOe/2c=")</f>
        <v>#VALUE!</v>
      </c>
      <c r="DA105" t="e">
        <f>AND(Sheet1!N1407,"AAAAAEOe/2g=")</f>
        <v>#VALUE!</v>
      </c>
      <c r="DB105" t="e">
        <f>AND(Sheet1!#REF!,"AAAAAEOe/2k=")</f>
        <v>#REF!</v>
      </c>
      <c r="DC105" t="e">
        <f>AND(Sheet1!#REF!,"AAAAAEOe/2o=")</f>
        <v>#REF!</v>
      </c>
      <c r="DD105" t="e">
        <f>AND(Sheet1!#REF!,"AAAAAEOe/2s=")</f>
        <v>#REF!</v>
      </c>
      <c r="DE105" t="e">
        <f>AND(Sheet1!#REF!,"AAAAAEOe/2w=")</f>
        <v>#REF!</v>
      </c>
      <c r="DF105">
        <f>IF(Sheet1!1408:1408,"AAAAAEOe/20=",0)</f>
        <v>0</v>
      </c>
      <c r="DG105" t="e">
        <f>AND(Sheet1!A1408,"AAAAAEOe/24=")</f>
        <v>#VALUE!</v>
      </c>
      <c r="DH105" t="e">
        <f>AND(Sheet1!B1408,"AAAAAEOe/28=")</f>
        <v>#VALUE!</v>
      </c>
      <c r="DI105" t="e">
        <f>AND(Sheet1!C1408,"AAAAAEOe/3A=")</f>
        <v>#VALUE!</v>
      </c>
      <c r="DJ105" t="e">
        <f>AND(Sheet1!D1408,"AAAAAEOe/3E=")</f>
        <v>#VALUE!</v>
      </c>
      <c r="DK105" t="e">
        <f>AND(Sheet1!E1408,"AAAAAEOe/3I=")</f>
        <v>#VALUE!</v>
      </c>
      <c r="DL105" t="e">
        <f>AND(Sheet1!F1408,"AAAAAEOe/3M=")</f>
        <v>#VALUE!</v>
      </c>
      <c r="DM105" t="e">
        <f>AND(Sheet1!G1408,"AAAAAEOe/3Q=")</f>
        <v>#VALUE!</v>
      </c>
      <c r="DN105" t="e">
        <f>AND(Sheet1!H1408,"AAAAAEOe/3U=")</f>
        <v>#VALUE!</v>
      </c>
      <c r="DO105" t="e">
        <f>AND(Sheet1!I1408,"AAAAAEOe/3Y=")</f>
        <v>#VALUE!</v>
      </c>
      <c r="DP105" t="e">
        <f>AND(Sheet1!J1408,"AAAAAEOe/3c=")</f>
        <v>#VALUE!</v>
      </c>
      <c r="DQ105" t="e">
        <f>AND(Sheet1!K1408,"AAAAAEOe/3g=")</f>
        <v>#VALUE!</v>
      </c>
      <c r="DR105" t="e">
        <f>AND(Sheet1!L1408,"AAAAAEOe/3k=")</f>
        <v>#VALUE!</v>
      </c>
      <c r="DS105" t="e">
        <f>AND(Sheet1!M1408,"AAAAAEOe/3o=")</f>
        <v>#VALUE!</v>
      </c>
      <c r="DT105" t="e">
        <f>AND(Sheet1!N1408,"AAAAAEOe/3s=")</f>
        <v>#VALUE!</v>
      </c>
      <c r="DU105" t="e">
        <f>AND(Sheet1!#REF!,"AAAAAEOe/3w=")</f>
        <v>#REF!</v>
      </c>
      <c r="DV105" t="e">
        <f>AND(Sheet1!#REF!,"AAAAAEOe/30=")</f>
        <v>#REF!</v>
      </c>
      <c r="DW105" t="e">
        <f>AND(Sheet1!#REF!,"AAAAAEOe/34=")</f>
        <v>#REF!</v>
      </c>
      <c r="DX105" t="e">
        <f>AND(Sheet1!#REF!,"AAAAAEOe/38=")</f>
        <v>#REF!</v>
      </c>
      <c r="DY105">
        <f>IF(Sheet1!1409:1409,"AAAAAEOe/4A=",0)</f>
        <v>0</v>
      </c>
      <c r="DZ105" t="e">
        <f>AND(Sheet1!A1409,"AAAAAEOe/4E=")</f>
        <v>#VALUE!</v>
      </c>
      <c r="EA105" t="e">
        <f>AND(Sheet1!B1409,"AAAAAEOe/4I=")</f>
        <v>#VALUE!</v>
      </c>
      <c r="EB105" t="e">
        <f>AND(Sheet1!C1409,"AAAAAEOe/4M=")</f>
        <v>#VALUE!</v>
      </c>
      <c r="EC105" t="e">
        <f>AND(Sheet1!D1409,"AAAAAEOe/4Q=")</f>
        <v>#VALUE!</v>
      </c>
      <c r="ED105" t="e">
        <f>AND(Sheet1!E1409,"AAAAAEOe/4U=")</f>
        <v>#VALUE!</v>
      </c>
      <c r="EE105" t="e">
        <f>AND(Sheet1!F1409,"AAAAAEOe/4Y=")</f>
        <v>#VALUE!</v>
      </c>
      <c r="EF105" t="e">
        <f>AND(Sheet1!G1409,"AAAAAEOe/4c=")</f>
        <v>#VALUE!</v>
      </c>
      <c r="EG105" t="e">
        <f>AND(Sheet1!H1409,"AAAAAEOe/4g=")</f>
        <v>#VALUE!</v>
      </c>
      <c r="EH105" t="e">
        <f>AND(Sheet1!I1409,"AAAAAEOe/4k=")</f>
        <v>#VALUE!</v>
      </c>
      <c r="EI105" t="e">
        <f>AND(Sheet1!J1409,"AAAAAEOe/4o=")</f>
        <v>#VALUE!</v>
      </c>
      <c r="EJ105" t="e">
        <f>AND(Sheet1!K1409,"AAAAAEOe/4s=")</f>
        <v>#VALUE!</v>
      </c>
      <c r="EK105" t="e">
        <f>AND(Sheet1!L1409,"AAAAAEOe/4w=")</f>
        <v>#VALUE!</v>
      </c>
      <c r="EL105" t="e">
        <f>AND(Sheet1!M1409,"AAAAAEOe/40=")</f>
        <v>#VALUE!</v>
      </c>
      <c r="EM105" t="e">
        <f>AND(Sheet1!N1409,"AAAAAEOe/44=")</f>
        <v>#VALUE!</v>
      </c>
      <c r="EN105" t="e">
        <f>AND(Sheet1!#REF!,"AAAAAEOe/48=")</f>
        <v>#REF!</v>
      </c>
      <c r="EO105" t="e">
        <f>AND(Sheet1!#REF!,"AAAAAEOe/5A=")</f>
        <v>#REF!</v>
      </c>
      <c r="EP105" t="e">
        <f>AND(Sheet1!#REF!,"AAAAAEOe/5E=")</f>
        <v>#REF!</v>
      </c>
      <c r="EQ105" t="e">
        <f>AND(Sheet1!#REF!,"AAAAAEOe/5I=")</f>
        <v>#REF!</v>
      </c>
      <c r="ER105">
        <f>IF(Sheet1!1410:1410,"AAAAAEOe/5M=",0)</f>
        <v>0</v>
      </c>
      <c r="ES105" t="e">
        <f>AND(Sheet1!A1410,"AAAAAEOe/5Q=")</f>
        <v>#VALUE!</v>
      </c>
      <c r="ET105" t="e">
        <f>AND(Sheet1!B1410,"AAAAAEOe/5U=")</f>
        <v>#VALUE!</v>
      </c>
      <c r="EU105" t="e">
        <f>AND(Sheet1!C1410,"AAAAAEOe/5Y=")</f>
        <v>#VALUE!</v>
      </c>
      <c r="EV105" t="e">
        <f>AND(Sheet1!D1410,"AAAAAEOe/5c=")</f>
        <v>#VALUE!</v>
      </c>
      <c r="EW105" t="e">
        <f>AND(Sheet1!E1410,"AAAAAEOe/5g=")</f>
        <v>#VALUE!</v>
      </c>
      <c r="EX105" t="e">
        <f>AND(Sheet1!F1410,"AAAAAEOe/5k=")</f>
        <v>#VALUE!</v>
      </c>
      <c r="EY105" t="e">
        <f>AND(Sheet1!G1410,"AAAAAEOe/5o=")</f>
        <v>#VALUE!</v>
      </c>
      <c r="EZ105" t="e">
        <f>AND(Sheet1!H1410,"AAAAAEOe/5s=")</f>
        <v>#VALUE!</v>
      </c>
      <c r="FA105" t="e">
        <f>AND(Sheet1!I1410,"AAAAAEOe/5w=")</f>
        <v>#VALUE!</v>
      </c>
      <c r="FB105" t="e">
        <f>AND(Sheet1!J1410,"AAAAAEOe/50=")</f>
        <v>#VALUE!</v>
      </c>
      <c r="FC105" t="e">
        <f>AND(Sheet1!K1410,"AAAAAEOe/54=")</f>
        <v>#VALUE!</v>
      </c>
      <c r="FD105" t="e">
        <f>AND(Sheet1!L1410,"AAAAAEOe/58=")</f>
        <v>#VALUE!</v>
      </c>
      <c r="FE105" t="e">
        <f>AND(Sheet1!M1410,"AAAAAEOe/6A=")</f>
        <v>#VALUE!</v>
      </c>
      <c r="FF105" t="e">
        <f>AND(Sheet1!N1410,"AAAAAEOe/6E=")</f>
        <v>#VALUE!</v>
      </c>
      <c r="FG105" t="e">
        <f>AND(Sheet1!#REF!,"AAAAAEOe/6I=")</f>
        <v>#REF!</v>
      </c>
      <c r="FH105" t="e">
        <f>AND(Sheet1!#REF!,"AAAAAEOe/6M=")</f>
        <v>#REF!</v>
      </c>
      <c r="FI105" t="e">
        <f>AND(Sheet1!#REF!,"AAAAAEOe/6Q=")</f>
        <v>#REF!</v>
      </c>
      <c r="FJ105" t="e">
        <f>AND(Sheet1!#REF!,"AAAAAEOe/6U=")</f>
        <v>#REF!</v>
      </c>
      <c r="FK105">
        <f>IF(Sheet1!1411:1411,"AAAAAEOe/6Y=",0)</f>
        <v>0</v>
      </c>
      <c r="FL105" t="e">
        <f>AND(Sheet1!A1411,"AAAAAEOe/6c=")</f>
        <v>#VALUE!</v>
      </c>
      <c r="FM105" t="e">
        <f>AND(Sheet1!B1411,"AAAAAEOe/6g=")</f>
        <v>#VALUE!</v>
      </c>
      <c r="FN105" t="e">
        <f>AND(Sheet1!C1411,"AAAAAEOe/6k=")</f>
        <v>#VALUE!</v>
      </c>
      <c r="FO105" t="e">
        <f>AND(Sheet1!D1411,"AAAAAEOe/6o=")</f>
        <v>#VALUE!</v>
      </c>
      <c r="FP105" t="e">
        <f>AND(Sheet1!E1411,"AAAAAEOe/6s=")</f>
        <v>#VALUE!</v>
      </c>
      <c r="FQ105" t="e">
        <f>AND(Sheet1!F1411,"AAAAAEOe/6w=")</f>
        <v>#VALUE!</v>
      </c>
      <c r="FR105" t="e">
        <f>AND(Sheet1!G1411,"AAAAAEOe/60=")</f>
        <v>#VALUE!</v>
      </c>
      <c r="FS105" t="e">
        <f>AND(Sheet1!H1411,"AAAAAEOe/64=")</f>
        <v>#VALUE!</v>
      </c>
      <c r="FT105" t="e">
        <f>AND(Sheet1!I1411,"AAAAAEOe/68=")</f>
        <v>#VALUE!</v>
      </c>
      <c r="FU105" t="e">
        <f>AND(Sheet1!J1411,"AAAAAEOe/7A=")</f>
        <v>#VALUE!</v>
      </c>
      <c r="FV105" t="e">
        <f>AND(Sheet1!K1411,"AAAAAEOe/7E=")</f>
        <v>#VALUE!</v>
      </c>
      <c r="FW105" t="e">
        <f>AND(Sheet1!L1411,"AAAAAEOe/7I=")</f>
        <v>#VALUE!</v>
      </c>
      <c r="FX105" t="e">
        <f>AND(Sheet1!M1411,"AAAAAEOe/7M=")</f>
        <v>#VALUE!</v>
      </c>
      <c r="FY105" t="e">
        <f>AND(Sheet1!N1411,"AAAAAEOe/7Q=")</f>
        <v>#VALUE!</v>
      </c>
      <c r="FZ105" t="e">
        <f>AND(Sheet1!#REF!,"AAAAAEOe/7U=")</f>
        <v>#REF!</v>
      </c>
      <c r="GA105" t="e">
        <f>AND(Sheet1!#REF!,"AAAAAEOe/7Y=")</f>
        <v>#REF!</v>
      </c>
      <c r="GB105" t="e">
        <f>AND(Sheet1!#REF!,"AAAAAEOe/7c=")</f>
        <v>#REF!</v>
      </c>
      <c r="GC105" t="e">
        <f>AND(Sheet1!#REF!,"AAAAAEOe/7g=")</f>
        <v>#REF!</v>
      </c>
      <c r="GD105">
        <f>IF(Sheet1!1412:1412,"AAAAAEOe/7k=",0)</f>
        <v>0</v>
      </c>
      <c r="GE105" t="e">
        <f>AND(Sheet1!A1412,"AAAAAEOe/7o=")</f>
        <v>#VALUE!</v>
      </c>
      <c r="GF105" t="e">
        <f>AND(Sheet1!B1412,"AAAAAEOe/7s=")</f>
        <v>#VALUE!</v>
      </c>
      <c r="GG105" t="e">
        <f>AND(Sheet1!C1412,"AAAAAEOe/7w=")</f>
        <v>#VALUE!</v>
      </c>
      <c r="GH105" t="e">
        <f>AND(Sheet1!D1412,"AAAAAEOe/70=")</f>
        <v>#VALUE!</v>
      </c>
      <c r="GI105" t="e">
        <f>AND(Sheet1!E1412,"AAAAAEOe/74=")</f>
        <v>#VALUE!</v>
      </c>
      <c r="GJ105" t="e">
        <f>AND(Sheet1!F1412,"AAAAAEOe/78=")</f>
        <v>#VALUE!</v>
      </c>
      <c r="GK105" t="e">
        <f>AND(Sheet1!G1412,"AAAAAEOe/8A=")</f>
        <v>#VALUE!</v>
      </c>
      <c r="GL105" t="e">
        <f>AND(Sheet1!H1412,"AAAAAEOe/8E=")</f>
        <v>#VALUE!</v>
      </c>
      <c r="GM105" t="e">
        <f>AND(Sheet1!I1412,"AAAAAEOe/8I=")</f>
        <v>#VALUE!</v>
      </c>
      <c r="GN105" t="e">
        <f>AND(Sheet1!J1412,"AAAAAEOe/8M=")</f>
        <v>#VALUE!</v>
      </c>
      <c r="GO105" t="e">
        <f>AND(Sheet1!K1412,"AAAAAEOe/8Q=")</f>
        <v>#VALUE!</v>
      </c>
      <c r="GP105" t="e">
        <f>AND(Sheet1!L1412,"AAAAAEOe/8U=")</f>
        <v>#VALUE!</v>
      </c>
      <c r="GQ105" t="e">
        <f>AND(Sheet1!M1412,"AAAAAEOe/8Y=")</f>
        <v>#VALUE!</v>
      </c>
      <c r="GR105" t="e">
        <f>AND(Sheet1!N1412,"AAAAAEOe/8c=")</f>
        <v>#VALUE!</v>
      </c>
      <c r="GS105" t="e">
        <f>AND(Sheet1!#REF!,"AAAAAEOe/8g=")</f>
        <v>#REF!</v>
      </c>
      <c r="GT105" t="e">
        <f>AND(Sheet1!#REF!,"AAAAAEOe/8k=")</f>
        <v>#REF!</v>
      </c>
      <c r="GU105" t="e">
        <f>AND(Sheet1!#REF!,"AAAAAEOe/8o=")</f>
        <v>#REF!</v>
      </c>
      <c r="GV105" t="e">
        <f>AND(Sheet1!#REF!,"AAAAAEOe/8s=")</f>
        <v>#REF!</v>
      </c>
      <c r="GW105">
        <f>IF(Sheet1!1413:1413,"AAAAAEOe/8w=",0)</f>
        <v>0</v>
      </c>
      <c r="GX105" t="e">
        <f>AND(Sheet1!A1413,"AAAAAEOe/80=")</f>
        <v>#VALUE!</v>
      </c>
      <c r="GY105" t="e">
        <f>AND(Sheet1!B1413,"AAAAAEOe/84=")</f>
        <v>#VALUE!</v>
      </c>
      <c r="GZ105" t="e">
        <f>AND(Sheet1!C1413,"AAAAAEOe/88=")</f>
        <v>#VALUE!</v>
      </c>
      <c r="HA105" t="e">
        <f>AND(Sheet1!D1413,"AAAAAEOe/9A=")</f>
        <v>#VALUE!</v>
      </c>
      <c r="HB105" t="e">
        <f>AND(Sheet1!E1413,"AAAAAEOe/9E=")</f>
        <v>#VALUE!</v>
      </c>
      <c r="HC105" t="e">
        <f>AND(Sheet1!F1413,"AAAAAEOe/9I=")</f>
        <v>#VALUE!</v>
      </c>
      <c r="HD105" t="e">
        <f>AND(Sheet1!G1413,"AAAAAEOe/9M=")</f>
        <v>#VALUE!</v>
      </c>
      <c r="HE105" t="e">
        <f>AND(Sheet1!H1413,"AAAAAEOe/9Q=")</f>
        <v>#VALUE!</v>
      </c>
      <c r="HF105" t="e">
        <f>AND(Sheet1!I1413,"AAAAAEOe/9U=")</f>
        <v>#VALUE!</v>
      </c>
      <c r="HG105" t="e">
        <f>AND(Sheet1!J1413,"AAAAAEOe/9Y=")</f>
        <v>#VALUE!</v>
      </c>
      <c r="HH105" t="e">
        <f>AND(Sheet1!K1413,"AAAAAEOe/9c=")</f>
        <v>#VALUE!</v>
      </c>
      <c r="HI105" t="e">
        <f>AND(Sheet1!L1413,"AAAAAEOe/9g=")</f>
        <v>#VALUE!</v>
      </c>
      <c r="HJ105" t="e">
        <f>AND(Sheet1!M1413,"AAAAAEOe/9k=")</f>
        <v>#VALUE!</v>
      </c>
      <c r="HK105" t="e">
        <f>AND(Sheet1!N1413,"AAAAAEOe/9o=")</f>
        <v>#VALUE!</v>
      </c>
      <c r="HL105" t="e">
        <f>AND(Sheet1!#REF!,"AAAAAEOe/9s=")</f>
        <v>#REF!</v>
      </c>
      <c r="HM105" t="e">
        <f>AND(Sheet1!#REF!,"AAAAAEOe/9w=")</f>
        <v>#REF!</v>
      </c>
      <c r="HN105" t="e">
        <f>AND(Sheet1!#REF!,"AAAAAEOe/90=")</f>
        <v>#REF!</v>
      </c>
      <c r="HO105" t="e">
        <f>AND(Sheet1!#REF!,"AAAAAEOe/94=")</f>
        <v>#REF!</v>
      </c>
      <c r="HP105">
        <f>IF(Sheet1!1414:1414,"AAAAAEOe/98=",0)</f>
        <v>0</v>
      </c>
      <c r="HQ105" t="e">
        <f>AND(Sheet1!A1414,"AAAAAEOe/+A=")</f>
        <v>#VALUE!</v>
      </c>
      <c r="HR105" t="e">
        <f>AND(Sheet1!B1414,"AAAAAEOe/+E=")</f>
        <v>#VALUE!</v>
      </c>
      <c r="HS105" t="e">
        <f>AND(Sheet1!C1414,"AAAAAEOe/+I=")</f>
        <v>#VALUE!</v>
      </c>
      <c r="HT105" t="e">
        <f>AND(Sheet1!D1414,"AAAAAEOe/+M=")</f>
        <v>#VALUE!</v>
      </c>
      <c r="HU105" t="e">
        <f>AND(Sheet1!E1414,"AAAAAEOe/+Q=")</f>
        <v>#VALUE!</v>
      </c>
      <c r="HV105" t="e">
        <f>AND(Sheet1!F1414,"AAAAAEOe/+U=")</f>
        <v>#VALUE!</v>
      </c>
      <c r="HW105" t="e">
        <f>AND(Sheet1!G1414,"AAAAAEOe/+Y=")</f>
        <v>#VALUE!</v>
      </c>
      <c r="HX105" t="e">
        <f>AND(Sheet1!H1414,"AAAAAEOe/+c=")</f>
        <v>#VALUE!</v>
      </c>
      <c r="HY105" t="e">
        <f>AND(Sheet1!I1414,"AAAAAEOe/+g=")</f>
        <v>#VALUE!</v>
      </c>
      <c r="HZ105" t="e">
        <f>AND(Sheet1!J1414,"AAAAAEOe/+k=")</f>
        <v>#VALUE!</v>
      </c>
      <c r="IA105" t="e">
        <f>AND(Sheet1!K1414,"AAAAAEOe/+o=")</f>
        <v>#VALUE!</v>
      </c>
      <c r="IB105" t="e">
        <f>AND(Sheet1!L1414,"AAAAAEOe/+s=")</f>
        <v>#VALUE!</v>
      </c>
      <c r="IC105" t="e">
        <f>AND(Sheet1!M1414,"AAAAAEOe/+w=")</f>
        <v>#VALUE!</v>
      </c>
      <c r="ID105" t="e">
        <f>AND(Sheet1!N1414,"AAAAAEOe/+0=")</f>
        <v>#VALUE!</v>
      </c>
      <c r="IE105" t="e">
        <f>AND(Sheet1!#REF!,"AAAAAEOe/+4=")</f>
        <v>#REF!</v>
      </c>
      <c r="IF105" t="e">
        <f>AND(Sheet1!#REF!,"AAAAAEOe/+8=")</f>
        <v>#REF!</v>
      </c>
      <c r="IG105" t="e">
        <f>AND(Sheet1!#REF!,"AAAAAEOe//A=")</f>
        <v>#REF!</v>
      </c>
      <c r="IH105" t="e">
        <f>AND(Sheet1!#REF!,"AAAAAEOe//E=")</f>
        <v>#REF!</v>
      </c>
      <c r="II105">
        <f>IF(Sheet1!1415:1415,"AAAAAEOe//I=",0)</f>
        <v>0</v>
      </c>
      <c r="IJ105" t="e">
        <f>AND(Sheet1!A1415,"AAAAAEOe//M=")</f>
        <v>#VALUE!</v>
      </c>
      <c r="IK105" t="e">
        <f>AND(Sheet1!B1415,"AAAAAEOe//Q=")</f>
        <v>#VALUE!</v>
      </c>
      <c r="IL105" t="e">
        <f>AND(Sheet1!C1415,"AAAAAEOe//U=")</f>
        <v>#VALUE!</v>
      </c>
      <c r="IM105" t="e">
        <f>AND(Sheet1!D1415,"AAAAAEOe//Y=")</f>
        <v>#VALUE!</v>
      </c>
      <c r="IN105" t="e">
        <f>AND(Sheet1!E1415,"AAAAAEOe//c=")</f>
        <v>#VALUE!</v>
      </c>
      <c r="IO105" t="e">
        <f>AND(Sheet1!F1415,"AAAAAEOe//g=")</f>
        <v>#VALUE!</v>
      </c>
      <c r="IP105" t="e">
        <f>AND(Sheet1!G1415,"AAAAAEOe//k=")</f>
        <v>#VALUE!</v>
      </c>
      <c r="IQ105" t="e">
        <f>AND(Sheet1!H1415,"AAAAAEOe//o=")</f>
        <v>#VALUE!</v>
      </c>
      <c r="IR105" t="e">
        <f>AND(Sheet1!I1415,"AAAAAEOe//s=")</f>
        <v>#VALUE!</v>
      </c>
      <c r="IS105" t="e">
        <f>AND(Sheet1!J1415,"AAAAAEOe//w=")</f>
        <v>#VALUE!</v>
      </c>
      <c r="IT105" t="e">
        <f>AND(Sheet1!K1415,"AAAAAEOe//0=")</f>
        <v>#VALUE!</v>
      </c>
      <c r="IU105" t="e">
        <f>AND(Sheet1!L1415,"AAAAAEOe//4=")</f>
        <v>#VALUE!</v>
      </c>
      <c r="IV105" t="e">
        <f>AND(Sheet1!M1415,"AAAAAEOe//8=")</f>
        <v>#VALUE!</v>
      </c>
    </row>
    <row r="106" spans="1:256" x14ac:dyDescent="0.2">
      <c r="A106" t="e">
        <f>AND(Sheet1!N1415,"AAAAAG5e5wA=")</f>
        <v>#VALUE!</v>
      </c>
      <c r="B106" t="e">
        <f>AND(Sheet1!#REF!,"AAAAAG5e5wE=")</f>
        <v>#REF!</v>
      </c>
      <c r="C106" t="e">
        <f>AND(Sheet1!#REF!,"AAAAAG5e5wI=")</f>
        <v>#REF!</v>
      </c>
      <c r="D106" t="e">
        <f>AND(Sheet1!#REF!,"AAAAAG5e5wM=")</f>
        <v>#REF!</v>
      </c>
      <c r="E106" t="e">
        <f>AND(Sheet1!#REF!,"AAAAAG5e5wQ=")</f>
        <v>#REF!</v>
      </c>
      <c r="F106" t="e">
        <f>IF(Sheet1!1416:1416,"AAAAAG5e5wU=",0)</f>
        <v>#VALUE!</v>
      </c>
      <c r="G106" t="e">
        <f>AND(Sheet1!A1416,"AAAAAG5e5wY=")</f>
        <v>#VALUE!</v>
      </c>
      <c r="H106" t="e">
        <f>AND(Sheet1!B1416,"AAAAAG5e5wc=")</f>
        <v>#VALUE!</v>
      </c>
      <c r="I106" t="e">
        <f>AND(Sheet1!C1416,"AAAAAG5e5wg=")</f>
        <v>#VALUE!</v>
      </c>
      <c r="J106" t="e">
        <f>AND(Sheet1!D1416,"AAAAAG5e5wk=")</f>
        <v>#VALUE!</v>
      </c>
      <c r="K106" t="e">
        <f>AND(Sheet1!E1416,"AAAAAG5e5wo=")</f>
        <v>#VALUE!</v>
      </c>
      <c r="L106" t="e">
        <f>AND(Sheet1!F1416,"AAAAAG5e5ws=")</f>
        <v>#VALUE!</v>
      </c>
      <c r="M106" t="e">
        <f>AND(Sheet1!G1416,"AAAAAG5e5ww=")</f>
        <v>#VALUE!</v>
      </c>
      <c r="N106" t="e">
        <f>AND(Sheet1!H1416,"AAAAAG5e5w0=")</f>
        <v>#VALUE!</v>
      </c>
      <c r="O106" t="e">
        <f>AND(Sheet1!I1416,"AAAAAG5e5w4=")</f>
        <v>#VALUE!</v>
      </c>
      <c r="P106" t="e">
        <f>AND(Sheet1!J1416,"AAAAAG5e5w8=")</f>
        <v>#VALUE!</v>
      </c>
      <c r="Q106" t="e">
        <f>AND(Sheet1!K1416,"AAAAAG5e5xA=")</f>
        <v>#VALUE!</v>
      </c>
      <c r="R106" t="e">
        <f>AND(Sheet1!L1416,"AAAAAG5e5xE=")</f>
        <v>#VALUE!</v>
      </c>
      <c r="S106" t="e">
        <f>AND(Sheet1!M1416,"AAAAAG5e5xI=")</f>
        <v>#VALUE!</v>
      </c>
      <c r="T106" t="e">
        <f>AND(Sheet1!N1416,"AAAAAG5e5xM=")</f>
        <v>#VALUE!</v>
      </c>
      <c r="U106" t="e">
        <f>AND(Sheet1!#REF!,"AAAAAG5e5xQ=")</f>
        <v>#REF!</v>
      </c>
      <c r="V106" t="e">
        <f>AND(Sheet1!#REF!,"AAAAAG5e5xU=")</f>
        <v>#REF!</v>
      </c>
      <c r="W106" t="e">
        <f>AND(Sheet1!#REF!,"AAAAAG5e5xY=")</f>
        <v>#REF!</v>
      </c>
      <c r="X106" t="e">
        <f>AND(Sheet1!#REF!,"AAAAAG5e5xc=")</f>
        <v>#REF!</v>
      </c>
      <c r="Y106">
        <f>IF(Sheet1!1417:1417,"AAAAAG5e5xg=",0)</f>
        <v>0</v>
      </c>
      <c r="Z106" t="e">
        <f>AND(Sheet1!A1417,"AAAAAG5e5xk=")</f>
        <v>#VALUE!</v>
      </c>
      <c r="AA106" t="e">
        <f>AND(Sheet1!B1417,"AAAAAG5e5xo=")</f>
        <v>#VALUE!</v>
      </c>
      <c r="AB106" t="e">
        <f>AND(Sheet1!C1417,"AAAAAG5e5xs=")</f>
        <v>#VALUE!</v>
      </c>
      <c r="AC106" t="e">
        <f>AND(Sheet1!D1417,"AAAAAG5e5xw=")</f>
        <v>#VALUE!</v>
      </c>
      <c r="AD106" t="e">
        <f>AND(Sheet1!E1417,"AAAAAG5e5x0=")</f>
        <v>#VALUE!</v>
      </c>
      <c r="AE106" t="e">
        <f>AND(Sheet1!F1417,"AAAAAG5e5x4=")</f>
        <v>#VALUE!</v>
      </c>
      <c r="AF106" t="e">
        <f>AND(Sheet1!G1417,"AAAAAG5e5x8=")</f>
        <v>#VALUE!</v>
      </c>
      <c r="AG106" t="e">
        <f>AND(Sheet1!H1417,"AAAAAG5e5yA=")</f>
        <v>#VALUE!</v>
      </c>
      <c r="AH106" t="e">
        <f>AND(Sheet1!I1417,"AAAAAG5e5yE=")</f>
        <v>#VALUE!</v>
      </c>
      <c r="AI106" t="e">
        <f>AND(Sheet1!J1417,"AAAAAG5e5yI=")</f>
        <v>#VALUE!</v>
      </c>
      <c r="AJ106" t="e">
        <f>AND(Sheet1!K1417,"AAAAAG5e5yM=")</f>
        <v>#VALUE!</v>
      </c>
      <c r="AK106" t="e">
        <f>AND(Sheet1!L1417,"AAAAAG5e5yQ=")</f>
        <v>#VALUE!</v>
      </c>
      <c r="AL106" t="e">
        <f>AND(Sheet1!M1417,"AAAAAG5e5yU=")</f>
        <v>#VALUE!</v>
      </c>
      <c r="AM106" t="e">
        <f>AND(Sheet1!N1417,"AAAAAG5e5yY=")</f>
        <v>#VALUE!</v>
      </c>
      <c r="AN106" t="e">
        <f>AND(Sheet1!#REF!,"AAAAAG5e5yc=")</f>
        <v>#REF!</v>
      </c>
      <c r="AO106" t="e">
        <f>AND(Sheet1!#REF!,"AAAAAG5e5yg=")</f>
        <v>#REF!</v>
      </c>
      <c r="AP106" t="e">
        <f>AND(Sheet1!#REF!,"AAAAAG5e5yk=")</f>
        <v>#REF!</v>
      </c>
      <c r="AQ106" t="e">
        <f>AND(Sheet1!#REF!,"AAAAAG5e5yo=")</f>
        <v>#REF!</v>
      </c>
      <c r="AR106">
        <f>IF(Sheet1!1418:1418,"AAAAAG5e5ys=",0)</f>
        <v>0</v>
      </c>
      <c r="AS106" t="e">
        <f>AND(Sheet1!A1418,"AAAAAG5e5yw=")</f>
        <v>#VALUE!</v>
      </c>
      <c r="AT106" t="e">
        <f>AND(Sheet1!B1418,"AAAAAG5e5y0=")</f>
        <v>#VALUE!</v>
      </c>
      <c r="AU106" t="e">
        <f>AND(Sheet1!C1418,"AAAAAG5e5y4=")</f>
        <v>#VALUE!</v>
      </c>
      <c r="AV106" t="e">
        <f>AND(Sheet1!D1418,"AAAAAG5e5y8=")</f>
        <v>#VALUE!</v>
      </c>
      <c r="AW106" t="e">
        <f>AND(Sheet1!E1418,"AAAAAG5e5zA=")</f>
        <v>#VALUE!</v>
      </c>
      <c r="AX106" t="e">
        <f>AND(Sheet1!F1418,"AAAAAG5e5zE=")</f>
        <v>#VALUE!</v>
      </c>
      <c r="AY106" t="e">
        <f>AND(Sheet1!G1418,"AAAAAG5e5zI=")</f>
        <v>#VALUE!</v>
      </c>
      <c r="AZ106" t="e">
        <f>AND(Sheet1!H1418,"AAAAAG5e5zM=")</f>
        <v>#VALUE!</v>
      </c>
      <c r="BA106" t="e">
        <f>AND(Sheet1!I1418,"AAAAAG5e5zQ=")</f>
        <v>#VALUE!</v>
      </c>
      <c r="BB106" t="e">
        <f>AND(Sheet1!J1418,"AAAAAG5e5zU=")</f>
        <v>#VALUE!</v>
      </c>
      <c r="BC106" t="e">
        <f>AND(Sheet1!K1418,"AAAAAG5e5zY=")</f>
        <v>#VALUE!</v>
      </c>
      <c r="BD106" t="e">
        <f>AND(Sheet1!L1418,"AAAAAG5e5zc=")</f>
        <v>#VALUE!</v>
      </c>
      <c r="BE106" t="e">
        <f>AND(Sheet1!M1418,"AAAAAG5e5zg=")</f>
        <v>#VALUE!</v>
      </c>
      <c r="BF106" t="e">
        <f>AND(Sheet1!N1418,"AAAAAG5e5zk=")</f>
        <v>#VALUE!</v>
      </c>
      <c r="BG106" t="e">
        <f>AND(Sheet1!#REF!,"AAAAAG5e5zo=")</f>
        <v>#REF!</v>
      </c>
      <c r="BH106" t="e">
        <f>AND(Sheet1!#REF!,"AAAAAG5e5zs=")</f>
        <v>#REF!</v>
      </c>
      <c r="BI106" t="e">
        <f>AND(Sheet1!#REF!,"AAAAAG5e5zw=")</f>
        <v>#REF!</v>
      </c>
      <c r="BJ106" t="e">
        <f>AND(Sheet1!#REF!,"AAAAAG5e5z0=")</f>
        <v>#REF!</v>
      </c>
      <c r="BK106">
        <f>IF(Sheet1!1419:1419,"AAAAAG5e5z4=",0)</f>
        <v>0</v>
      </c>
      <c r="BL106" t="e">
        <f>AND(Sheet1!A1419,"AAAAAG5e5z8=")</f>
        <v>#VALUE!</v>
      </c>
      <c r="BM106" t="e">
        <f>AND(Sheet1!B1419,"AAAAAG5e50A=")</f>
        <v>#VALUE!</v>
      </c>
      <c r="BN106" t="e">
        <f>AND(Sheet1!C1419,"AAAAAG5e50E=")</f>
        <v>#VALUE!</v>
      </c>
      <c r="BO106" t="e">
        <f>AND(Sheet1!D1419,"AAAAAG5e50I=")</f>
        <v>#VALUE!</v>
      </c>
      <c r="BP106" t="e">
        <f>AND(Sheet1!E1419,"AAAAAG5e50M=")</f>
        <v>#VALUE!</v>
      </c>
      <c r="BQ106" t="e">
        <f>AND(Sheet1!F1419,"AAAAAG5e50Q=")</f>
        <v>#VALUE!</v>
      </c>
      <c r="BR106" t="e">
        <f>AND(Sheet1!G1419,"AAAAAG5e50U=")</f>
        <v>#VALUE!</v>
      </c>
      <c r="BS106" t="e">
        <f>AND(Sheet1!H1419,"AAAAAG5e50Y=")</f>
        <v>#VALUE!</v>
      </c>
      <c r="BT106" t="e">
        <f>AND(Sheet1!I1419,"AAAAAG5e50c=")</f>
        <v>#VALUE!</v>
      </c>
      <c r="BU106" t="e">
        <f>AND(Sheet1!J1419,"AAAAAG5e50g=")</f>
        <v>#VALUE!</v>
      </c>
      <c r="BV106" t="e">
        <f>AND(Sheet1!K1419,"AAAAAG5e50k=")</f>
        <v>#VALUE!</v>
      </c>
      <c r="BW106" t="e">
        <f>AND(Sheet1!L1419,"AAAAAG5e50o=")</f>
        <v>#VALUE!</v>
      </c>
      <c r="BX106" t="e">
        <f>AND(Sheet1!M1419,"AAAAAG5e50s=")</f>
        <v>#VALUE!</v>
      </c>
      <c r="BY106" t="e">
        <f>AND(Sheet1!N1419,"AAAAAG5e50w=")</f>
        <v>#VALUE!</v>
      </c>
      <c r="BZ106" t="e">
        <f>AND(Sheet1!#REF!,"AAAAAG5e500=")</f>
        <v>#REF!</v>
      </c>
      <c r="CA106" t="e">
        <f>AND(Sheet1!#REF!,"AAAAAG5e504=")</f>
        <v>#REF!</v>
      </c>
      <c r="CB106" t="e">
        <f>AND(Sheet1!#REF!,"AAAAAG5e508=")</f>
        <v>#REF!</v>
      </c>
      <c r="CC106" t="e">
        <f>AND(Sheet1!#REF!,"AAAAAG5e51A=")</f>
        <v>#REF!</v>
      </c>
      <c r="CD106">
        <f>IF(Sheet1!1420:1420,"AAAAAG5e51E=",0)</f>
        <v>0</v>
      </c>
      <c r="CE106" t="e">
        <f>AND(Sheet1!A1420,"AAAAAG5e51I=")</f>
        <v>#VALUE!</v>
      </c>
      <c r="CF106" t="e">
        <f>AND(Sheet1!B1420,"AAAAAG5e51M=")</f>
        <v>#VALUE!</v>
      </c>
      <c r="CG106" t="e">
        <f>AND(Sheet1!C1420,"AAAAAG5e51Q=")</f>
        <v>#VALUE!</v>
      </c>
      <c r="CH106" t="e">
        <f>AND(Sheet1!D1420,"AAAAAG5e51U=")</f>
        <v>#VALUE!</v>
      </c>
      <c r="CI106" t="e">
        <f>AND(Sheet1!E1420,"AAAAAG5e51Y=")</f>
        <v>#VALUE!</v>
      </c>
      <c r="CJ106" t="e">
        <f>AND(Sheet1!F1420,"AAAAAG5e51c=")</f>
        <v>#VALUE!</v>
      </c>
      <c r="CK106" t="e">
        <f>AND(Sheet1!G1420,"AAAAAG5e51g=")</f>
        <v>#VALUE!</v>
      </c>
      <c r="CL106" t="e">
        <f>AND(Sheet1!H1420,"AAAAAG5e51k=")</f>
        <v>#VALUE!</v>
      </c>
      <c r="CM106" t="e">
        <f>AND(Sheet1!I1420,"AAAAAG5e51o=")</f>
        <v>#VALUE!</v>
      </c>
      <c r="CN106" t="e">
        <f>AND(Sheet1!J1420,"AAAAAG5e51s=")</f>
        <v>#VALUE!</v>
      </c>
      <c r="CO106" t="e">
        <f>AND(Sheet1!K1420,"AAAAAG5e51w=")</f>
        <v>#VALUE!</v>
      </c>
      <c r="CP106" t="e">
        <f>AND(Sheet1!L1420,"AAAAAG5e510=")</f>
        <v>#VALUE!</v>
      </c>
      <c r="CQ106" t="e">
        <f>AND(Sheet1!M1420,"AAAAAG5e514=")</f>
        <v>#VALUE!</v>
      </c>
      <c r="CR106" t="e">
        <f>AND(Sheet1!N1420,"AAAAAG5e518=")</f>
        <v>#VALUE!</v>
      </c>
      <c r="CS106" t="e">
        <f>AND(Sheet1!#REF!,"AAAAAG5e52A=")</f>
        <v>#REF!</v>
      </c>
      <c r="CT106" t="e">
        <f>AND(Sheet1!#REF!,"AAAAAG5e52E=")</f>
        <v>#REF!</v>
      </c>
      <c r="CU106" t="e">
        <f>AND(Sheet1!#REF!,"AAAAAG5e52I=")</f>
        <v>#REF!</v>
      </c>
      <c r="CV106" t="e">
        <f>AND(Sheet1!#REF!,"AAAAAG5e52M=")</f>
        <v>#REF!</v>
      </c>
      <c r="CW106">
        <f>IF(Sheet1!1421:1421,"AAAAAG5e52Q=",0)</f>
        <v>0</v>
      </c>
      <c r="CX106" t="e">
        <f>AND(Sheet1!A1421,"AAAAAG5e52U=")</f>
        <v>#VALUE!</v>
      </c>
      <c r="CY106" t="e">
        <f>AND(Sheet1!B1421,"AAAAAG5e52Y=")</f>
        <v>#VALUE!</v>
      </c>
      <c r="CZ106" t="e">
        <f>AND(Sheet1!C1421,"AAAAAG5e52c=")</f>
        <v>#VALUE!</v>
      </c>
      <c r="DA106" t="e">
        <f>AND(Sheet1!D1421,"AAAAAG5e52g=")</f>
        <v>#VALUE!</v>
      </c>
      <c r="DB106" t="e">
        <f>AND(Sheet1!E1421,"AAAAAG5e52k=")</f>
        <v>#VALUE!</v>
      </c>
      <c r="DC106" t="e">
        <f>AND(Sheet1!F1421,"AAAAAG5e52o=")</f>
        <v>#VALUE!</v>
      </c>
      <c r="DD106" t="e">
        <f>AND(Sheet1!G1421,"AAAAAG5e52s=")</f>
        <v>#VALUE!</v>
      </c>
      <c r="DE106" t="e">
        <f>AND(Sheet1!H1421,"AAAAAG5e52w=")</f>
        <v>#VALUE!</v>
      </c>
      <c r="DF106" t="e">
        <f>AND(Sheet1!I1421,"AAAAAG5e520=")</f>
        <v>#VALUE!</v>
      </c>
      <c r="DG106" t="e">
        <f>AND(Sheet1!J1421,"AAAAAG5e524=")</f>
        <v>#VALUE!</v>
      </c>
      <c r="DH106" t="e">
        <f>AND(Sheet1!K1421,"AAAAAG5e528=")</f>
        <v>#VALUE!</v>
      </c>
      <c r="DI106" t="e">
        <f>AND(Sheet1!L1421,"AAAAAG5e53A=")</f>
        <v>#VALUE!</v>
      </c>
      <c r="DJ106" t="e">
        <f>AND(Sheet1!M1421,"AAAAAG5e53E=")</f>
        <v>#VALUE!</v>
      </c>
      <c r="DK106" t="e">
        <f>AND(Sheet1!N1421,"AAAAAG5e53I=")</f>
        <v>#VALUE!</v>
      </c>
      <c r="DL106" t="e">
        <f>AND(Sheet1!#REF!,"AAAAAG5e53M=")</f>
        <v>#REF!</v>
      </c>
      <c r="DM106" t="e">
        <f>AND(Sheet1!#REF!,"AAAAAG5e53Q=")</f>
        <v>#REF!</v>
      </c>
      <c r="DN106" t="e">
        <f>AND(Sheet1!#REF!,"AAAAAG5e53U=")</f>
        <v>#REF!</v>
      </c>
      <c r="DO106" t="e">
        <f>AND(Sheet1!#REF!,"AAAAAG5e53Y=")</f>
        <v>#REF!</v>
      </c>
      <c r="DP106">
        <f>IF(Sheet1!1422:1422,"AAAAAG5e53c=",0)</f>
        <v>0</v>
      </c>
      <c r="DQ106" t="e">
        <f>AND(Sheet1!A1422,"AAAAAG5e53g=")</f>
        <v>#VALUE!</v>
      </c>
      <c r="DR106" t="e">
        <f>AND(Sheet1!B1422,"AAAAAG5e53k=")</f>
        <v>#VALUE!</v>
      </c>
      <c r="DS106" t="e">
        <f>AND(Sheet1!C1422,"AAAAAG5e53o=")</f>
        <v>#VALUE!</v>
      </c>
      <c r="DT106" t="e">
        <f>AND(Sheet1!D1422,"AAAAAG5e53s=")</f>
        <v>#VALUE!</v>
      </c>
      <c r="DU106" t="e">
        <f>AND(Sheet1!E1422,"AAAAAG5e53w=")</f>
        <v>#VALUE!</v>
      </c>
      <c r="DV106" t="e">
        <f>AND(Sheet1!F1422,"AAAAAG5e530=")</f>
        <v>#VALUE!</v>
      </c>
      <c r="DW106" t="e">
        <f>AND(Sheet1!G1422,"AAAAAG5e534=")</f>
        <v>#VALUE!</v>
      </c>
      <c r="DX106" t="e">
        <f>AND(Sheet1!H1422,"AAAAAG5e538=")</f>
        <v>#VALUE!</v>
      </c>
      <c r="DY106" t="e">
        <f>AND(Sheet1!I1422,"AAAAAG5e54A=")</f>
        <v>#VALUE!</v>
      </c>
      <c r="DZ106" t="e">
        <f>AND(Sheet1!J1422,"AAAAAG5e54E=")</f>
        <v>#VALUE!</v>
      </c>
      <c r="EA106" t="e">
        <f>AND(Sheet1!K1422,"AAAAAG5e54I=")</f>
        <v>#VALUE!</v>
      </c>
      <c r="EB106" t="e">
        <f>AND(Sheet1!L1422,"AAAAAG5e54M=")</f>
        <v>#VALUE!</v>
      </c>
      <c r="EC106" t="e">
        <f>AND(Sheet1!M1422,"AAAAAG5e54Q=")</f>
        <v>#VALUE!</v>
      </c>
      <c r="ED106" t="e">
        <f>AND(Sheet1!N1422,"AAAAAG5e54U=")</f>
        <v>#VALUE!</v>
      </c>
      <c r="EE106" t="e">
        <f>AND(Sheet1!#REF!,"AAAAAG5e54Y=")</f>
        <v>#REF!</v>
      </c>
      <c r="EF106" t="e">
        <f>AND(Sheet1!#REF!,"AAAAAG5e54c=")</f>
        <v>#REF!</v>
      </c>
      <c r="EG106" t="e">
        <f>AND(Sheet1!#REF!,"AAAAAG5e54g=")</f>
        <v>#REF!</v>
      </c>
      <c r="EH106" t="e">
        <f>AND(Sheet1!#REF!,"AAAAAG5e54k=")</f>
        <v>#REF!</v>
      </c>
      <c r="EI106">
        <f>IF(Sheet1!1423:1423,"AAAAAG5e54o=",0)</f>
        <v>0</v>
      </c>
      <c r="EJ106" t="e">
        <f>AND(Sheet1!A1423,"AAAAAG5e54s=")</f>
        <v>#VALUE!</v>
      </c>
      <c r="EK106" t="e">
        <f>AND(Sheet1!B1423,"AAAAAG5e54w=")</f>
        <v>#VALUE!</v>
      </c>
      <c r="EL106" t="e">
        <f>AND(Sheet1!C1423,"AAAAAG5e540=")</f>
        <v>#VALUE!</v>
      </c>
      <c r="EM106" t="e">
        <f>AND(Sheet1!D1423,"AAAAAG5e544=")</f>
        <v>#VALUE!</v>
      </c>
      <c r="EN106" t="e">
        <f>AND(Sheet1!E1423,"AAAAAG5e548=")</f>
        <v>#VALUE!</v>
      </c>
      <c r="EO106" t="e">
        <f>AND(Sheet1!F1423,"AAAAAG5e55A=")</f>
        <v>#VALUE!</v>
      </c>
      <c r="EP106" t="e">
        <f>AND(Sheet1!G1423,"AAAAAG5e55E=")</f>
        <v>#VALUE!</v>
      </c>
      <c r="EQ106" t="e">
        <f>AND(Sheet1!H1423,"AAAAAG5e55I=")</f>
        <v>#VALUE!</v>
      </c>
      <c r="ER106" t="e">
        <f>AND(Sheet1!I1423,"AAAAAG5e55M=")</f>
        <v>#VALUE!</v>
      </c>
      <c r="ES106" t="e">
        <f>AND(Sheet1!J1423,"AAAAAG5e55Q=")</f>
        <v>#VALUE!</v>
      </c>
      <c r="ET106" t="e">
        <f>AND(Sheet1!K1423,"AAAAAG5e55U=")</f>
        <v>#VALUE!</v>
      </c>
      <c r="EU106" t="e">
        <f>AND(Sheet1!L1423,"AAAAAG5e55Y=")</f>
        <v>#VALUE!</v>
      </c>
      <c r="EV106" t="e">
        <f>AND(Sheet1!M1423,"AAAAAG5e55c=")</f>
        <v>#VALUE!</v>
      </c>
      <c r="EW106" t="e">
        <f>AND(Sheet1!N1423,"AAAAAG5e55g=")</f>
        <v>#VALUE!</v>
      </c>
      <c r="EX106" t="e">
        <f>AND(Sheet1!#REF!,"AAAAAG5e55k=")</f>
        <v>#REF!</v>
      </c>
      <c r="EY106" t="e">
        <f>AND(Sheet1!#REF!,"AAAAAG5e55o=")</f>
        <v>#REF!</v>
      </c>
      <c r="EZ106" t="e">
        <f>AND(Sheet1!#REF!,"AAAAAG5e55s=")</f>
        <v>#REF!</v>
      </c>
      <c r="FA106" t="e">
        <f>AND(Sheet1!#REF!,"AAAAAG5e55w=")</f>
        <v>#REF!</v>
      </c>
      <c r="FB106">
        <f>IF(Sheet1!1424:1424,"AAAAAG5e550=",0)</f>
        <v>0</v>
      </c>
      <c r="FC106" t="e">
        <f>AND(Sheet1!A1424,"AAAAAG5e554=")</f>
        <v>#VALUE!</v>
      </c>
      <c r="FD106" t="e">
        <f>AND(Sheet1!B1424,"AAAAAG5e558=")</f>
        <v>#VALUE!</v>
      </c>
      <c r="FE106" t="e">
        <f>AND(Sheet1!C1424,"AAAAAG5e56A=")</f>
        <v>#VALUE!</v>
      </c>
      <c r="FF106" t="e">
        <f>AND(Sheet1!D1424,"AAAAAG5e56E=")</f>
        <v>#VALUE!</v>
      </c>
      <c r="FG106" t="e">
        <f>AND(Sheet1!E1424,"AAAAAG5e56I=")</f>
        <v>#VALUE!</v>
      </c>
      <c r="FH106" t="e">
        <f>AND(Sheet1!F1424,"AAAAAG5e56M=")</f>
        <v>#VALUE!</v>
      </c>
      <c r="FI106" t="e">
        <f>AND(Sheet1!G1424,"AAAAAG5e56Q=")</f>
        <v>#VALUE!</v>
      </c>
      <c r="FJ106" t="e">
        <f>AND(Sheet1!H1424,"AAAAAG5e56U=")</f>
        <v>#VALUE!</v>
      </c>
      <c r="FK106" t="e">
        <f>AND(Sheet1!I1424,"AAAAAG5e56Y=")</f>
        <v>#VALUE!</v>
      </c>
      <c r="FL106" t="e">
        <f>AND(Sheet1!J1424,"AAAAAG5e56c=")</f>
        <v>#VALUE!</v>
      </c>
      <c r="FM106" t="e">
        <f>AND(Sheet1!K1424,"AAAAAG5e56g=")</f>
        <v>#VALUE!</v>
      </c>
      <c r="FN106" t="e">
        <f>AND(Sheet1!L1424,"AAAAAG5e56k=")</f>
        <v>#VALUE!</v>
      </c>
      <c r="FO106" t="e">
        <f>AND(Sheet1!M1424,"AAAAAG5e56o=")</f>
        <v>#VALUE!</v>
      </c>
      <c r="FP106" t="e">
        <f>AND(Sheet1!N1424,"AAAAAG5e56s=")</f>
        <v>#VALUE!</v>
      </c>
      <c r="FQ106" t="e">
        <f>AND(Sheet1!#REF!,"AAAAAG5e56w=")</f>
        <v>#REF!</v>
      </c>
      <c r="FR106" t="e">
        <f>AND(Sheet1!#REF!,"AAAAAG5e560=")</f>
        <v>#REF!</v>
      </c>
      <c r="FS106" t="e">
        <f>AND(Sheet1!#REF!,"AAAAAG5e564=")</f>
        <v>#REF!</v>
      </c>
      <c r="FT106" t="e">
        <f>AND(Sheet1!#REF!,"AAAAAG5e568=")</f>
        <v>#REF!</v>
      </c>
      <c r="FU106">
        <f>IF(Sheet1!1425:1425,"AAAAAG5e57A=",0)</f>
        <v>0</v>
      </c>
      <c r="FV106" t="e">
        <f>AND(Sheet1!A1425,"AAAAAG5e57E=")</f>
        <v>#VALUE!</v>
      </c>
      <c r="FW106" t="e">
        <f>AND(Sheet1!B1425,"AAAAAG5e57I=")</f>
        <v>#VALUE!</v>
      </c>
      <c r="FX106" t="e">
        <f>AND(Sheet1!C1425,"AAAAAG5e57M=")</f>
        <v>#VALUE!</v>
      </c>
      <c r="FY106" t="e">
        <f>AND(Sheet1!D1425,"AAAAAG5e57Q=")</f>
        <v>#VALUE!</v>
      </c>
      <c r="FZ106" t="e">
        <f>AND(Sheet1!E1425,"AAAAAG5e57U=")</f>
        <v>#VALUE!</v>
      </c>
      <c r="GA106" t="e">
        <f>AND(Sheet1!F1425,"AAAAAG5e57Y=")</f>
        <v>#VALUE!</v>
      </c>
      <c r="GB106" t="e">
        <f>AND(Sheet1!G1425,"AAAAAG5e57c=")</f>
        <v>#VALUE!</v>
      </c>
      <c r="GC106" t="e">
        <f>AND(Sheet1!H1425,"AAAAAG5e57g=")</f>
        <v>#VALUE!</v>
      </c>
      <c r="GD106" t="e">
        <f>AND(Sheet1!I1425,"AAAAAG5e57k=")</f>
        <v>#VALUE!</v>
      </c>
      <c r="GE106" t="e">
        <f>AND(Sheet1!J1425,"AAAAAG5e57o=")</f>
        <v>#VALUE!</v>
      </c>
      <c r="GF106" t="e">
        <f>AND(Sheet1!K1425,"AAAAAG5e57s=")</f>
        <v>#VALUE!</v>
      </c>
      <c r="GG106" t="e">
        <f>AND(Sheet1!L1425,"AAAAAG5e57w=")</f>
        <v>#VALUE!</v>
      </c>
      <c r="GH106" t="e">
        <f>AND(Sheet1!M1425,"AAAAAG5e570=")</f>
        <v>#VALUE!</v>
      </c>
      <c r="GI106" t="e">
        <f>AND(Sheet1!N1425,"AAAAAG5e574=")</f>
        <v>#VALUE!</v>
      </c>
      <c r="GJ106" t="e">
        <f>AND(Sheet1!#REF!,"AAAAAG5e578=")</f>
        <v>#REF!</v>
      </c>
      <c r="GK106" t="e">
        <f>AND(Sheet1!#REF!,"AAAAAG5e58A=")</f>
        <v>#REF!</v>
      </c>
      <c r="GL106" t="e">
        <f>AND(Sheet1!#REF!,"AAAAAG5e58E=")</f>
        <v>#REF!</v>
      </c>
      <c r="GM106" t="e">
        <f>AND(Sheet1!#REF!,"AAAAAG5e58I=")</f>
        <v>#REF!</v>
      </c>
      <c r="GN106">
        <f>IF(Sheet1!1426:1426,"AAAAAG5e58M=",0)</f>
        <v>0</v>
      </c>
      <c r="GO106" t="e">
        <f>AND(Sheet1!A1426,"AAAAAG5e58Q=")</f>
        <v>#VALUE!</v>
      </c>
      <c r="GP106" t="e">
        <f>AND(Sheet1!B1426,"AAAAAG5e58U=")</f>
        <v>#VALUE!</v>
      </c>
      <c r="GQ106" t="e">
        <f>AND(Sheet1!C1426,"AAAAAG5e58Y=")</f>
        <v>#VALUE!</v>
      </c>
      <c r="GR106" t="e">
        <f>AND(Sheet1!D1426,"AAAAAG5e58c=")</f>
        <v>#VALUE!</v>
      </c>
      <c r="GS106" t="e">
        <f>AND(Sheet1!E1426,"AAAAAG5e58g=")</f>
        <v>#VALUE!</v>
      </c>
      <c r="GT106" t="e">
        <f>AND(Sheet1!F1426,"AAAAAG5e58k=")</f>
        <v>#VALUE!</v>
      </c>
      <c r="GU106" t="e">
        <f>AND(Sheet1!G1426,"AAAAAG5e58o=")</f>
        <v>#VALUE!</v>
      </c>
      <c r="GV106" t="e">
        <f>AND(Sheet1!H1426,"AAAAAG5e58s=")</f>
        <v>#VALUE!</v>
      </c>
      <c r="GW106" t="e">
        <f>AND(Sheet1!I1426,"AAAAAG5e58w=")</f>
        <v>#VALUE!</v>
      </c>
      <c r="GX106" t="e">
        <f>AND(Sheet1!J1426,"AAAAAG5e580=")</f>
        <v>#VALUE!</v>
      </c>
      <c r="GY106" t="e">
        <f>AND(Sheet1!K1426,"AAAAAG5e584=")</f>
        <v>#VALUE!</v>
      </c>
      <c r="GZ106" t="e">
        <f>AND(Sheet1!L1426,"AAAAAG5e588=")</f>
        <v>#VALUE!</v>
      </c>
      <c r="HA106" t="e">
        <f>AND(Sheet1!M1426,"AAAAAG5e59A=")</f>
        <v>#VALUE!</v>
      </c>
      <c r="HB106" t="e">
        <f>AND(Sheet1!N1426,"AAAAAG5e59E=")</f>
        <v>#VALUE!</v>
      </c>
      <c r="HC106" t="e">
        <f>AND(Sheet1!#REF!,"AAAAAG5e59I=")</f>
        <v>#REF!</v>
      </c>
      <c r="HD106" t="e">
        <f>AND(Sheet1!#REF!,"AAAAAG5e59M=")</f>
        <v>#REF!</v>
      </c>
      <c r="HE106" t="e">
        <f>AND(Sheet1!#REF!,"AAAAAG5e59Q=")</f>
        <v>#REF!</v>
      </c>
      <c r="HF106" t="e">
        <f>AND(Sheet1!#REF!,"AAAAAG5e59U=")</f>
        <v>#REF!</v>
      </c>
      <c r="HG106">
        <f>IF(Sheet1!1427:1427,"AAAAAG5e59Y=",0)</f>
        <v>0</v>
      </c>
      <c r="HH106" t="e">
        <f>AND(Sheet1!A1427,"AAAAAG5e59c=")</f>
        <v>#VALUE!</v>
      </c>
      <c r="HI106" t="e">
        <f>AND(Sheet1!B1427,"AAAAAG5e59g=")</f>
        <v>#VALUE!</v>
      </c>
      <c r="HJ106" t="e">
        <f>AND(Sheet1!C1427,"AAAAAG5e59k=")</f>
        <v>#VALUE!</v>
      </c>
      <c r="HK106" t="e">
        <f>AND(Sheet1!D1427,"AAAAAG5e59o=")</f>
        <v>#VALUE!</v>
      </c>
      <c r="HL106" t="e">
        <f>AND(Sheet1!E1427,"AAAAAG5e59s=")</f>
        <v>#VALUE!</v>
      </c>
      <c r="HM106" t="e">
        <f>AND(Sheet1!F1427,"AAAAAG5e59w=")</f>
        <v>#VALUE!</v>
      </c>
      <c r="HN106" t="e">
        <f>AND(Sheet1!G1427,"AAAAAG5e590=")</f>
        <v>#VALUE!</v>
      </c>
      <c r="HO106" t="e">
        <f>AND(Sheet1!H1427,"AAAAAG5e594=")</f>
        <v>#VALUE!</v>
      </c>
      <c r="HP106" t="e">
        <f>AND(Sheet1!I1427,"AAAAAG5e598=")</f>
        <v>#VALUE!</v>
      </c>
      <c r="HQ106" t="e">
        <f>AND(Sheet1!J1427,"AAAAAG5e5+A=")</f>
        <v>#VALUE!</v>
      </c>
      <c r="HR106" t="e">
        <f>AND(Sheet1!K1427,"AAAAAG5e5+E=")</f>
        <v>#VALUE!</v>
      </c>
      <c r="HS106" t="e">
        <f>AND(Sheet1!L1427,"AAAAAG5e5+I=")</f>
        <v>#VALUE!</v>
      </c>
      <c r="HT106" t="e">
        <f>AND(Sheet1!M1427,"AAAAAG5e5+M=")</f>
        <v>#VALUE!</v>
      </c>
      <c r="HU106" t="e">
        <f>AND(Sheet1!N1427,"AAAAAG5e5+Q=")</f>
        <v>#VALUE!</v>
      </c>
      <c r="HV106" t="e">
        <f>AND(Sheet1!#REF!,"AAAAAG5e5+U=")</f>
        <v>#REF!</v>
      </c>
      <c r="HW106" t="e">
        <f>AND(Sheet1!#REF!,"AAAAAG5e5+Y=")</f>
        <v>#REF!</v>
      </c>
      <c r="HX106" t="e">
        <f>AND(Sheet1!#REF!,"AAAAAG5e5+c=")</f>
        <v>#REF!</v>
      </c>
      <c r="HY106" t="e">
        <f>AND(Sheet1!#REF!,"AAAAAG5e5+g=")</f>
        <v>#REF!</v>
      </c>
      <c r="HZ106">
        <f>IF(Sheet1!1428:1428,"AAAAAG5e5+k=",0)</f>
        <v>0</v>
      </c>
      <c r="IA106" t="e">
        <f>AND(Sheet1!A1428,"AAAAAG5e5+o=")</f>
        <v>#VALUE!</v>
      </c>
      <c r="IB106" t="e">
        <f>AND(Sheet1!B1428,"AAAAAG5e5+s=")</f>
        <v>#VALUE!</v>
      </c>
      <c r="IC106" t="e">
        <f>AND(Sheet1!C1428,"AAAAAG5e5+w=")</f>
        <v>#VALUE!</v>
      </c>
      <c r="ID106" t="e">
        <f>AND(Sheet1!D1428,"AAAAAG5e5+0=")</f>
        <v>#VALUE!</v>
      </c>
      <c r="IE106" t="e">
        <f>AND(Sheet1!E1428,"AAAAAG5e5+4=")</f>
        <v>#VALUE!</v>
      </c>
      <c r="IF106" t="e">
        <f>AND(Sheet1!F1428,"AAAAAG5e5+8=")</f>
        <v>#VALUE!</v>
      </c>
      <c r="IG106" t="e">
        <f>AND(Sheet1!G1428,"AAAAAG5e5/A=")</f>
        <v>#VALUE!</v>
      </c>
      <c r="IH106" t="e">
        <f>AND(Sheet1!H1428,"AAAAAG5e5/E=")</f>
        <v>#VALUE!</v>
      </c>
      <c r="II106" t="e">
        <f>AND(Sheet1!I1428,"AAAAAG5e5/I=")</f>
        <v>#VALUE!</v>
      </c>
      <c r="IJ106" t="e">
        <f>AND(Sheet1!J1428,"AAAAAG5e5/M=")</f>
        <v>#VALUE!</v>
      </c>
      <c r="IK106" t="e">
        <f>AND(Sheet1!K1428,"AAAAAG5e5/Q=")</f>
        <v>#VALUE!</v>
      </c>
      <c r="IL106" t="e">
        <f>AND(Sheet1!L1428,"AAAAAG5e5/U=")</f>
        <v>#VALUE!</v>
      </c>
      <c r="IM106" t="e">
        <f>AND(Sheet1!M1428,"AAAAAG5e5/Y=")</f>
        <v>#VALUE!</v>
      </c>
      <c r="IN106" t="e">
        <f>AND(Sheet1!N1428,"AAAAAG5e5/c=")</f>
        <v>#VALUE!</v>
      </c>
      <c r="IO106" t="e">
        <f>AND(Sheet1!#REF!,"AAAAAG5e5/g=")</f>
        <v>#REF!</v>
      </c>
      <c r="IP106" t="e">
        <f>AND(Sheet1!#REF!,"AAAAAG5e5/k=")</f>
        <v>#REF!</v>
      </c>
      <c r="IQ106" t="e">
        <f>AND(Sheet1!#REF!,"AAAAAG5e5/o=")</f>
        <v>#REF!</v>
      </c>
      <c r="IR106" t="e">
        <f>AND(Sheet1!#REF!,"AAAAAG5e5/s=")</f>
        <v>#REF!</v>
      </c>
      <c r="IS106">
        <f>IF(Sheet1!1429:1429,"AAAAAG5e5/w=",0)</f>
        <v>0</v>
      </c>
      <c r="IT106" t="e">
        <f>AND(Sheet1!A1429,"AAAAAG5e5/0=")</f>
        <v>#VALUE!</v>
      </c>
      <c r="IU106" t="e">
        <f>AND(Sheet1!B1429,"AAAAAG5e5/4=")</f>
        <v>#VALUE!</v>
      </c>
      <c r="IV106" t="e">
        <f>AND(Sheet1!C1429,"AAAAAG5e5/8=")</f>
        <v>#VALUE!</v>
      </c>
    </row>
    <row r="107" spans="1:256" x14ac:dyDescent="0.2">
      <c r="A107" t="e">
        <f>AND(Sheet1!D1429,"AAAAAHp3/wA=")</f>
        <v>#VALUE!</v>
      </c>
      <c r="B107" t="e">
        <f>AND(Sheet1!E1429,"AAAAAHp3/wE=")</f>
        <v>#VALUE!</v>
      </c>
      <c r="C107" t="e">
        <f>AND(Sheet1!F1429,"AAAAAHp3/wI=")</f>
        <v>#VALUE!</v>
      </c>
      <c r="D107" t="e">
        <f>AND(Sheet1!G1429,"AAAAAHp3/wM=")</f>
        <v>#VALUE!</v>
      </c>
      <c r="E107" t="e">
        <f>AND(Sheet1!H1429,"AAAAAHp3/wQ=")</f>
        <v>#VALUE!</v>
      </c>
      <c r="F107" t="e">
        <f>AND(Sheet1!I1429,"AAAAAHp3/wU=")</f>
        <v>#VALUE!</v>
      </c>
      <c r="G107" t="e">
        <f>AND(Sheet1!J1429,"AAAAAHp3/wY=")</f>
        <v>#VALUE!</v>
      </c>
      <c r="H107" t="e">
        <f>AND(Sheet1!K1429,"AAAAAHp3/wc=")</f>
        <v>#VALUE!</v>
      </c>
      <c r="I107" t="e">
        <f>AND(Sheet1!L1429,"AAAAAHp3/wg=")</f>
        <v>#VALUE!</v>
      </c>
      <c r="J107" t="e">
        <f>AND(Sheet1!M1429,"AAAAAHp3/wk=")</f>
        <v>#VALUE!</v>
      </c>
      <c r="K107" t="e">
        <f>AND(Sheet1!N1429,"AAAAAHp3/wo=")</f>
        <v>#VALUE!</v>
      </c>
      <c r="L107" t="e">
        <f>AND(Sheet1!#REF!,"AAAAAHp3/ws=")</f>
        <v>#REF!</v>
      </c>
      <c r="M107" t="e">
        <f>AND(Sheet1!#REF!,"AAAAAHp3/ww=")</f>
        <v>#REF!</v>
      </c>
      <c r="N107" t="e">
        <f>AND(Sheet1!#REF!,"AAAAAHp3/w0=")</f>
        <v>#REF!</v>
      </c>
      <c r="O107" t="e">
        <f>AND(Sheet1!#REF!,"AAAAAHp3/w4=")</f>
        <v>#REF!</v>
      </c>
      <c r="P107">
        <f>IF(Sheet1!1430:1430,"AAAAAHp3/w8=",0)</f>
        <v>0</v>
      </c>
      <c r="Q107" t="e">
        <f>AND(Sheet1!A1430,"AAAAAHp3/xA=")</f>
        <v>#VALUE!</v>
      </c>
      <c r="R107" t="e">
        <f>AND(Sheet1!B1430,"AAAAAHp3/xE=")</f>
        <v>#VALUE!</v>
      </c>
      <c r="S107" t="e">
        <f>AND(Sheet1!C1430,"AAAAAHp3/xI=")</f>
        <v>#VALUE!</v>
      </c>
      <c r="T107" t="e">
        <f>AND(Sheet1!D1430,"AAAAAHp3/xM=")</f>
        <v>#VALUE!</v>
      </c>
      <c r="U107" t="e">
        <f>AND(Sheet1!E1430,"AAAAAHp3/xQ=")</f>
        <v>#VALUE!</v>
      </c>
      <c r="V107" t="e">
        <f>AND(Sheet1!F1430,"AAAAAHp3/xU=")</f>
        <v>#VALUE!</v>
      </c>
      <c r="W107" t="e">
        <f>AND(Sheet1!G1430,"AAAAAHp3/xY=")</f>
        <v>#VALUE!</v>
      </c>
      <c r="X107" t="e">
        <f>AND(Sheet1!H1430,"AAAAAHp3/xc=")</f>
        <v>#VALUE!</v>
      </c>
      <c r="Y107" t="e">
        <f>AND(Sheet1!I1430,"AAAAAHp3/xg=")</f>
        <v>#VALUE!</v>
      </c>
      <c r="Z107" t="e">
        <f>AND(Sheet1!J1430,"AAAAAHp3/xk=")</f>
        <v>#VALUE!</v>
      </c>
      <c r="AA107" t="e">
        <f>AND(Sheet1!K1430,"AAAAAHp3/xo=")</f>
        <v>#VALUE!</v>
      </c>
      <c r="AB107" t="e">
        <f>AND(Sheet1!L1430,"AAAAAHp3/xs=")</f>
        <v>#VALUE!</v>
      </c>
      <c r="AC107" t="e">
        <f>AND(Sheet1!M1430,"AAAAAHp3/xw=")</f>
        <v>#VALUE!</v>
      </c>
      <c r="AD107" t="e">
        <f>AND(Sheet1!N1430,"AAAAAHp3/x0=")</f>
        <v>#VALUE!</v>
      </c>
      <c r="AE107" t="e">
        <f>AND(Sheet1!#REF!,"AAAAAHp3/x4=")</f>
        <v>#REF!</v>
      </c>
      <c r="AF107" t="e">
        <f>AND(Sheet1!#REF!,"AAAAAHp3/x8=")</f>
        <v>#REF!</v>
      </c>
      <c r="AG107" t="e">
        <f>AND(Sheet1!#REF!,"AAAAAHp3/yA=")</f>
        <v>#REF!</v>
      </c>
      <c r="AH107" t="e">
        <f>AND(Sheet1!#REF!,"AAAAAHp3/yE=")</f>
        <v>#REF!</v>
      </c>
      <c r="AI107">
        <f>IF(Sheet1!1431:1431,"AAAAAHp3/yI=",0)</f>
        <v>0</v>
      </c>
      <c r="AJ107" t="e">
        <f>AND(Sheet1!A1431,"AAAAAHp3/yM=")</f>
        <v>#VALUE!</v>
      </c>
      <c r="AK107" t="e">
        <f>AND(Sheet1!B1431,"AAAAAHp3/yQ=")</f>
        <v>#VALUE!</v>
      </c>
      <c r="AL107" t="e">
        <f>AND(Sheet1!C1431,"AAAAAHp3/yU=")</f>
        <v>#VALUE!</v>
      </c>
      <c r="AM107" t="e">
        <f>AND(Sheet1!D1431,"AAAAAHp3/yY=")</f>
        <v>#VALUE!</v>
      </c>
      <c r="AN107" t="e">
        <f>AND(Sheet1!E1431,"AAAAAHp3/yc=")</f>
        <v>#VALUE!</v>
      </c>
      <c r="AO107" t="e">
        <f>AND(Sheet1!F1431,"AAAAAHp3/yg=")</f>
        <v>#VALUE!</v>
      </c>
      <c r="AP107" t="e">
        <f>AND(Sheet1!G1431,"AAAAAHp3/yk=")</f>
        <v>#VALUE!</v>
      </c>
      <c r="AQ107" t="e">
        <f>AND(Sheet1!H1431,"AAAAAHp3/yo=")</f>
        <v>#VALUE!</v>
      </c>
      <c r="AR107" t="e">
        <f>AND(Sheet1!I1431,"AAAAAHp3/ys=")</f>
        <v>#VALUE!</v>
      </c>
      <c r="AS107" t="e">
        <f>AND(Sheet1!J1431,"AAAAAHp3/yw=")</f>
        <v>#VALUE!</v>
      </c>
      <c r="AT107" t="e">
        <f>AND(Sheet1!K1431,"AAAAAHp3/y0=")</f>
        <v>#VALUE!</v>
      </c>
      <c r="AU107" t="e">
        <f>AND(Sheet1!L1431,"AAAAAHp3/y4=")</f>
        <v>#VALUE!</v>
      </c>
      <c r="AV107" t="e">
        <f>AND(Sheet1!M1431,"AAAAAHp3/y8=")</f>
        <v>#VALUE!</v>
      </c>
      <c r="AW107" t="e">
        <f>AND(Sheet1!N1431,"AAAAAHp3/zA=")</f>
        <v>#VALUE!</v>
      </c>
      <c r="AX107" t="e">
        <f>AND(Sheet1!#REF!,"AAAAAHp3/zE=")</f>
        <v>#REF!</v>
      </c>
      <c r="AY107" t="e">
        <f>AND(Sheet1!#REF!,"AAAAAHp3/zI=")</f>
        <v>#REF!</v>
      </c>
      <c r="AZ107" t="e">
        <f>AND(Sheet1!#REF!,"AAAAAHp3/zM=")</f>
        <v>#REF!</v>
      </c>
      <c r="BA107" t="e">
        <f>AND(Sheet1!#REF!,"AAAAAHp3/zQ=")</f>
        <v>#REF!</v>
      </c>
      <c r="BB107">
        <f>IF(Sheet1!1432:1432,"AAAAAHp3/zU=",0)</f>
        <v>0</v>
      </c>
      <c r="BC107" t="e">
        <f>AND(Sheet1!A1432,"AAAAAHp3/zY=")</f>
        <v>#VALUE!</v>
      </c>
      <c r="BD107" t="e">
        <f>AND(Sheet1!B1432,"AAAAAHp3/zc=")</f>
        <v>#VALUE!</v>
      </c>
      <c r="BE107" t="e">
        <f>AND(Sheet1!C1432,"AAAAAHp3/zg=")</f>
        <v>#VALUE!</v>
      </c>
      <c r="BF107" t="e">
        <f>AND(Sheet1!D1432,"AAAAAHp3/zk=")</f>
        <v>#VALUE!</v>
      </c>
      <c r="BG107" t="e">
        <f>AND(Sheet1!E1432,"AAAAAHp3/zo=")</f>
        <v>#VALUE!</v>
      </c>
      <c r="BH107" t="e">
        <f>AND(Sheet1!F1432,"AAAAAHp3/zs=")</f>
        <v>#VALUE!</v>
      </c>
      <c r="BI107" t="e">
        <f>AND(Sheet1!G1432,"AAAAAHp3/zw=")</f>
        <v>#VALUE!</v>
      </c>
      <c r="BJ107" t="e">
        <f>AND(Sheet1!H1432,"AAAAAHp3/z0=")</f>
        <v>#VALUE!</v>
      </c>
      <c r="BK107" t="e">
        <f>AND(Sheet1!I1432,"AAAAAHp3/z4=")</f>
        <v>#VALUE!</v>
      </c>
      <c r="BL107" t="e">
        <f>AND(Sheet1!J1432,"AAAAAHp3/z8=")</f>
        <v>#VALUE!</v>
      </c>
      <c r="BM107" t="e">
        <f>AND(Sheet1!K1432,"AAAAAHp3/0A=")</f>
        <v>#VALUE!</v>
      </c>
      <c r="BN107" t="e">
        <f>AND(Sheet1!L1432,"AAAAAHp3/0E=")</f>
        <v>#VALUE!</v>
      </c>
      <c r="BO107" t="e">
        <f>AND(Sheet1!M1432,"AAAAAHp3/0I=")</f>
        <v>#VALUE!</v>
      </c>
      <c r="BP107" t="e">
        <f>AND(Sheet1!N1432,"AAAAAHp3/0M=")</f>
        <v>#VALUE!</v>
      </c>
      <c r="BQ107" t="e">
        <f>AND(Sheet1!#REF!,"AAAAAHp3/0Q=")</f>
        <v>#REF!</v>
      </c>
      <c r="BR107" t="e">
        <f>AND(Sheet1!#REF!,"AAAAAHp3/0U=")</f>
        <v>#REF!</v>
      </c>
      <c r="BS107" t="e">
        <f>AND(Sheet1!#REF!,"AAAAAHp3/0Y=")</f>
        <v>#REF!</v>
      </c>
      <c r="BT107" t="e">
        <f>AND(Sheet1!#REF!,"AAAAAHp3/0c=")</f>
        <v>#REF!</v>
      </c>
      <c r="BU107">
        <f>IF(Sheet1!1433:1433,"AAAAAHp3/0g=",0)</f>
        <v>0</v>
      </c>
      <c r="BV107" t="e">
        <f>AND(Sheet1!A1433,"AAAAAHp3/0k=")</f>
        <v>#VALUE!</v>
      </c>
      <c r="BW107" t="e">
        <f>AND(Sheet1!B1433,"AAAAAHp3/0o=")</f>
        <v>#VALUE!</v>
      </c>
      <c r="BX107" t="e">
        <f>AND(Sheet1!C1433,"AAAAAHp3/0s=")</f>
        <v>#VALUE!</v>
      </c>
      <c r="BY107" t="e">
        <f>AND(Sheet1!D1433,"AAAAAHp3/0w=")</f>
        <v>#VALUE!</v>
      </c>
      <c r="BZ107" t="e">
        <f>AND(Sheet1!E1433,"AAAAAHp3/00=")</f>
        <v>#VALUE!</v>
      </c>
      <c r="CA107" t="e">
        <f>AND(Sheet1!F1433,"AAAAAHp3/04=")</f>
        <v>#VALUE!</v>
      </c>
      <c r="CB107" t="e">
        <f>AND(Sheet1!G1433,"AAAAAHp3/08=")</f>
        <v>#VALUE!</v>
      </c>
      <c r="CC107" t="e">
        <f>AND(Sheet1!H1433,"AAAAAHp3/1A=")</f>
        <v>#VALUE!</v>
      </c>
      <c r="CD107" t="e">
        <f>AND(Sheet1!I1433,"AAAAAHp3/1E=")</f>
        <v>#VALUE!</v>
      </c>
      <c r="CE107" t="e">
        <f>AND(Sheet1!J1433,"AAAAAHp3/1I=")</f>
        <v>#VALUE!</v>
      </c>
      <c r="CF107" t="e">
        <f>AND(Sheet1!K1433,"AAAAAHp3/1M=")</f>
        <v>#VALUE!</v>
      </c>
      <c r="CG107" t="e">
        <f>AND(Sheet1!L1433,"AAAAAHp3/1Q=")</f>
        <v>#VALUE!</v>
      </c>
      <c r="CH107" t="e">
        <f>AND(Sheet1!M1433,"AAAAAHp3/1U=")</f>
        <v>#VALUE!</v>
      </c>
      <c r="CI107" t="e">
        <f>AND(Sheet1!N1433,"AAAAAHp3/1Y=")</f>
        <v>#VALUE!</v>
      </c>
      <c r="CJ107" t="e">
        <f>AND(Sheet1!#REF!,"AAAAAHp3/1c=")</f>
        <v>#REF!</v>
      </c>
      <c r="CK107" t="e">
        <f>AND(Sheet1!#REF!,"AAAAAHp3/1g=")</f>
        <v>#REF!</v>
      </c>
      <c r="CL107" t="e">
        <f>AND(Sheet1!#REF!,"AAAAAHp3/1k=")</f>
        <v>#REF!</v>
      </c>
      <c r="CM107" t="e">
        <f>AND(Sheet1!#REF!,"AAAAAHp3/1o=")</f>
        <v>#REF!</v>
      </c>
      <c r="CN107">
        <f>IF(Sheet1!1434:1434,"AAAAAHp3/1s=",0)</f>
        <v>0</v>
      </c>
      <c r="CO107" t="e">
        <f>AND(Sheet1!A1434,"AAAAAHp3/1w=")</f>
        <v>#VALUE!</v>
      </c>
      <c r="CP107" t="e">
        <f>AND(Sheet1!B1434,"AAAAAHp3/10=")</f>
        <v>#VALUE!</v>
      </c>
      <c r="CQ107" t="e">
        <f>AND(Sheet1!C1434,"AAAAAHp3/14=")</f>
        <v>#VALUE!</v>
      </c>
      <c r="CR107" t="e">
        <f>AND(Sheet1!D1434,"AAAAAHp3/18=")</f>
        <v>#VALUE!</v>
      </c>
      <c r="CS107" t="e">
        <f>AND(Sheet1!E1434,"AAAAAHp3/2A=")</f>
        <v>#VALUE!</v>
      </c>
      <c r="CT107" t="e">
        <f>AND(Sheet1!F1434,"AAAAAHp3/2E=")</f>
        <v>#VALUE!</v>
      </c>
      <c r="CU107" t="e">
        <f>AND(Sheet1!G1434,"AAAAAHp3/2I=")</f>
        <v>#VALUE!</v>
      </c>
      <c r="CV107" t="e">
        <f>AND(Sheet1!H1434,"AAAAAHp3/2M=")</f>
        <v>#VALUE!</v>
      </c>
      <c r="CW107" t="e">
        <f>AND(Sheet1!I1434,"AAAAAHp3/2Q=")</f>
        <v>#VALUE!</v>
      </c>
      <c r="CX107" t="e">
        <f>AND(Sheet1!J1434,"AAAAAHp3/2U=")</f>
        <v>#VALUE!</v>
      </c>
      <c r="CY107" t="e">
        <f>AND(Sheet1!K1434,"AAAAAHp3/2Y=")</f>
        <v>#VALUE!</v>
      </c>
      <c r="CZ107" t="e">
        <f>AND(Sheet1!L1434,"AAAAAHp3/2c=")</f>
        <v>#VALUE!</v>
      </c>
      <c r="DA107" t="e">
        <f>AND(Sheet1!M1434,"AAAAAHp3/2g=")</f>
        <v>#VALUE!</v>
      </c>
      <c r="DB107" t="e">
        <f>AND(Sheet1!N1434,"AAAAAHp3/2k=")</f>
        <v>#VALUE!</v>
      </c>
      <c r="DC107" t="e">
        <f>AND(Sheet1!#REF!,"AAAAAHp3/2o=")</f>
        <v>#REF!</v>
      </c>
      <c r="DD107" t="e">
        <f>AND(Sheet1!#REF!,"AAAAAHp3/2s=")</f>
        <v>#REF!</v>
      </c>
      <c r="DE107" t="e">
        <f>AND(Sheet1!#REF!,"AAAAAHp3/2w=")</f>
        <v>#REF!</v>
      </c>
      <c r="DF107" t="e">
        <f>AND(Sheet1!#REF!,"AAAAAHp3/20=")</f>
        <v>#REF!</v>
      </c>
      <c r="DG107">
        <f>IF(Sheet1!1435:1435,"AAAAAHp3/24=",0)</f>
        <v>0</v>
      </c>
      <c r="DH107" t="e">
        <f>AND(Sheet1!A1435,"AAAAAHp3/28=")</f>
        <v>#VALUE!</v>
      </c>
      <c r="DI107" t="e">
        <f>AND(Sheet1!B1435,"AAAAAHp3/3A=")</f>
        <v>#VALUE!</v>
      </c>
      <c r="DJ107" t="e">
        <f>AND(Sheet1!C1435,"AAAAAHp3/3E=")</f>
        <v>#VALUE!</v>
      </c>
      <c r="DK107" t="e">
        <f>AND(Sheet1!D1435,"AAAAAHp3/3I=")</f>
        <v>#VALUE!</v>
      </c>
      <c r="DL107" t="e">
        <f>AND(Sheet1!E1435,"AAAAAHp3/3M=")</f>
        <v>#VALUE!</v>
      </c>
      <c r="DM107" t="e">
        <f>AND(Sheet1!F1435,"AAAAAHp3/3Q=")</f>
        <v>#VALUE!</v>
      </c>
      <c r="DN107" t="e">
        <f>AND(Sheet1!G1435,"AAAAAHp3/3U=")</f>
        <v>#VALUE!</v>
      </c>
      <c r="DO107" t="e">
        <f>AND(Sheet1!H1435,"AAAAAHp3/3Y=")</f>
        <v>#VALUE!</v>
      </c>
      <c r="DP107" t="e">
        <f>AND(Sheet1!I1435,"AAAAAHp3/3c=")</f>
        <v>#VALUE!</v>
      </c>
      <c r="DQ107" t="e">
        <f>AND(Sheet1!J1435,"AAAAAHp3/3g=")</f>
        <v>#VALUE!</v>
      </c>
      <c r="DR107" t="e">
        <f>AND(Sheet1!K1435,"AAAAAHp3/3k=")</f>
        <v>#VALUE!</v>
      </c>
      <c r="DS107" t="e">
        <f>AND(Sheet1!L1435,"AAAAAHp3/3o=")</f>
        <v>#VALUE!</v>
      </c>
      <c r="DT107" t="e">
        <f>AND(Sheet1!M1435,"AAAAAHp3/3s=")</f>
        <v>#VALUE!</v>
      </c>
      <c r="DU107" t="e">
        <f>AND(Sheet1!N1435,"AAAAAHp3/3w=")</f>
        <v>#VALUE!</v>
      </c>
      <c r="DV107" t="e">
        <f>AND(Sheet1!#REF!,"AAAAAHp3/30=")</f>
        <v>#REF!</v>
      </c>
      <c r="DW107" t="e">
        <f>AND(Sheet1!#REF!,"AAAAAHp3/34=")</f>
        <v>#REF!</v>
      </c>
      <c r="DX107" t="e">
        <f>AND(Sheet1!#REF!,"AAAAAHp3/38=")</f>
        <v>#REF!</v>
      </c>
      <c r="DY107" t="e">
        <f>AND(Sheet1!#REF!,"AAAAAHp3/4A=")</f>
        <v>#REF!</v>
      </c>
      <c r="DZ107">
        <f>IF(Sheet1!1436:1436,"AAAAAHp3/4E=",0)</f>
        <v>0</v>
      </c>
      <c r="EA107" t="e">
        <f>AND(Sheet1!A1436,"AAAAAHp3/4I=")</f>
        <v>#VALUE!</v>
      </c>
      <c r="EB107" t="e">
        <f>AND(Sheet1!B1436,"AAAAAHp3/4M=")</f>
        <v>#VALUE!</v>
      </c>
      <c r="EC107" t="e">
        <f>AND(Sheet1!C1436,"AAAAAHp3/4Q=")</f>
        <v>#VALUE!</v>
      </c>
      <c r="ED107" t="e">
        <f>AND(Sheet1!D1436,"AAAAAHp3/4U=")</f>
        <v>#VALUE!</v>
      </c>
      <c r="EE107" t="e">
        <f>AND(Sheet1!E1436,"AAAAAHp3/4Y=")</f>
        <v>#VALUE!</v>
      </c>
      <c r="EF107" t="e">
        <f>AND(Sheet1!F1436,"AAAAAHp3/4c=")</f>
        <v>#VALUE!</v>
      </c>
      <c r="EG107" t="e">
        <f>AND(Sheet1!G1436,"AAAAAHp3/4g=")</f>
        <v>#VALUE!</v>
      </c>
      <c r="EH107" t="e">
        <f>AND(Sheet1!H1436,"AAAAAHp3/4k=")</f>
        <v>#VALUE!</v>
      </c>
      <c r="EI107" t="e">
        <f>AND(Sheet1!I1436,"AAAAAHp3/4o=")</f>
        <v>#VALUE!</v>
      </c>
      <c r="EJ107" t="e">
        <f>AND(Sheet1!J1436,"AAAAAHp3/4s=")</f>
        <v>#VALUE!</v>
      </c>
      <c r="EK107" t="e">
        <f>AND(Sheet1!K1436,"AAAAAHp3/4w=")</f>
        <v>#VALUE!</v>
      </c>
      <c r="EL107" t="e">
        <f>AND(Sheet1!L1436,"AAAAAHp3/40=")</f>
        <v>#VALUE!</v>
      </c>
      <c r="EM107" t="e">
        <f>AND(Sheet1!M1436,"AAAAAHp3/44=")</f>
        <v>#VALUE!</v>
      </c>
      <c r="EN107" t="e">
        <f>AND(Sheet1!N1436,"AAAAAHp3/48=")</f>
        <v>#VALUE!</v>
      </c>
      <c r="EO107" t="e">
        <f>AND(Sheet1!#REF!,"AAAAAHp3/5A=")</f>
        <v>#REF!</v>
      </c>
      <c r="EP107" t="e">
        <f>AND(Sheet1!#REF!,"AAAAAHp3/5E=")</f>
        <v>#REF!</v>
      </c>
      <c r="EQ107" t="e">
        <f>AND(Sheet1!#REF!,"AAAAAHp3/5I=")</f>
        <v>#REF!</v>
      </c>
      <c r="ER107" t="e">
        <f>AND(Sheet1!#REF!,"AAAAAHp3/5M=")</f>
        <v>#REF!</v>
      </c>
      <c r="ES107">
        <f>IF(Sheet1!1437:1437,"AAAAAHp3/5Q=",0)</f>
        <v>0</v>
      </c>
      <c r="ET107" t="e">
        <f>AND(Sheet1!A1437,"AAAAAHp3/5U=")</f>
        <v>#VALUE!</v>
      </c>
      <c r="EU107" t="e">
        <f>AND(Sheet1!B1437,"AAAAAHp3/5Y=")</f>
        <v>#VALUE!</v>
      </c>
      <c r="EV107" t="e">
        <f>AND(Sheet1!C1437,"AAAAAHp3/5c=")</f>
        <v>#VALUE!</v>
      </c>
      <c r="EW107" t="e">
        <f>AND(Sheet1!D1437,"AAAAAHp3/5g=")</f>
        <v>#VALUE!</v>
      </c>
      <c r="EX107" t="e">
        <f>AND(Sheet1!E1437,"AAAAAHp3/5k=")</f>
        <v>#VALUE!</v>
      </c>
      <c r="EY107" t="e">
        <f>AND(Sheet1!F1437,"AAAAAHp3/5o=")</f>
        <v>#VALUE!</v>
      </c>
      <c r="EZ107" t="e">
        <f>AND(Sheet1!G1437,"AAAAAHp3/5s=")</f>
        <v>#VALUE!</v>
      </c>
      <c r="FA107" t="e">
        <f>AND(Sheet1!H1437,"AAAAAHp3/5w=")</f>
        <v>#VALUE!</v>
      </c>
      <c r="FB107" t="e">
        <f>AND(Sheet1!I1437,"AAAAAHp3/50=")</f>
        <v>#VALUE!</v>
      </c>
      <c r="FC107" t="e">
        <f>AND(Sheet1!J1437,"AAAAAHp3/54=")</f>
        <v>#VALUE!</v>
      </c>
      <c r="FD107" t="e">
        <f>AND(Sheet1!K1437,"AAAAAHp3/58=")</f>
        <v>#VALUE!</v>
      </c>
      <c r="FE107" t="e">
        <f>AND(Sheet1!L1437,"AAAAAHp3/6A=")</f>
        <v>#VALUE!</v>
      </c>
      <c r="FF107" t="e">
        <f>AND(Sheet1!M1437,"AAAAAHp3/6E=")</f>
        <v>#VALUE!</v>
      </c>
      <c r="FG107" t="e">
        <f>AND(Sheet1!N1437,"AAAAAHp3/6I=")</f>
        <v>#VALUE!</v>
      </c>
      <c r="FH107" t="e">
        <f>AND(Sheet1!#REF!,"AAAAAHp3/6M=")</f>
        <v>#REF!</v>
      </c>
      <c r="FI107" t="e">
        <f>AND(Sheet1!#REF!,"AAAAAHp3/6Q=")</f>
        <v>#REF!</v>
      </c>
      <c r="FJ107" t="e">
        <f>AND(Sheet1!#REF!,"AAAAAHp3/6U=")</f>
        <v>#REF!</v>
      </c>
      <c r="FK107" t="e">
        <f>AND(Sheet1!#REF!,"AAAAAHp3/6Y=")</f>
        <v>#REF!</v>
      </c>
      <c r="FL107">
        <f>IF(Sheet1!1438:1438,"AAAAAHp3/6c=",0)</f>
        <v>0</v>
      </c>
      <c r="FM107" t="e">
        <f>AND(Sheet1!A1438,"AAAAAHp3/6g=")</f>
        <v>#VALUE!</v>
      </c>
      <c r="FN107" t="e">
        <f>AND(Sheet1!B1438,"AAAAAHp3/6k=")</f>
        <v>#VALUE!</v>
      </c>
      <c r="FO107" t="e">
        <f>AND(Sheet1!C1438,"AAAAAHp3/6o=")</f>
        <v>#VALUE!</v>
      </c>
      <c r="FP107" t="e">
        <f>AND(Sheet1!D1438,"AAAAAHp3/6s=")</f>
        <v>#VALUE!</v>
      </c>
      <c r="FQ107" t="e">
        <f>AND(Sheet1!E1438,"AAAAAHp3/6w=")</f>
        <v>#VALUE!</v>
      </c>
      <c r="FR107" t="e">
        <f>AND(Sheet1!F1438,"AAAAAHp3/60=")</f>
        <v>#VALUE!</v>
      </c>
      <c r="FS107" t="e">
        <f>AND(Sheet1!G1438,"AAAAAHp3/64=")</f>
        <v>#VALUE!</v>
      </c>
      <c r="FT107" t="e">
        <f>AND(Sheet1!H1438,"AAAAAHp3/68=")</f>
        <v>#VALUE!</v>
      </c>
      <c r="FU107" t="e">
        <f>AND(Sheet1!I1438,"AAAAAHp3/7A=")</f>
        <v>#VALUE!</v>
      </c>
      <c r="FV107" t="e">
        <f>AND(Sheet1!J1438,"AAAAAHp3/7E=")</f>
        <v>#VALUE!</v>
      </c>
      <c r="FW107" t="e">
        <f>AND(Sheet1!K1438,"AAAAAHp3/7I=")</f>
        <v>#VALUE!</v>
      </c>
      <c r="FX107" t="e">
        <f>AND(Sheet1!L1438,"AAAAAHp3/7M=")</f>
        <v>#VALUE!</v>
      </c>
      <c r="FY107" t="e">
        <f>AND(Sheet1!M1438,"AAAAAHp3/7Q=")</f>
        <v>#VALUE!</v>
      </c>
      <c r="FZ107" t="e">
        <f>AND(Sheet1!N1438,"AAAAAHp3/7U=")</f>
        <v>#VALUE!</v>
      </c>
      <c r="GA107" t="e">
        <f>AND(Sheet1!#REF!,"AAAAAHp3/7Y=")</f>
        <v>#REF!</v>
      </c>
      <c r="GB107" t="e">
        <f>AND(Sheet1!#REF!,"AAAAAHp3/7c=")</f>
        <v>#REF!</v>
      </c>
      <c r="GC107" t="e">
        <f>AND(Sheet1!#REF!,"AAAAAHp3/7g=")</f>
        <v>#REF!</v>
      </c>
      <c r="GD107" t="e">
        <f>AND(Sheet1!#REF!,"AAAAAHp3/7k=")</f>
        <v>#REF!</v>
      </c>
      <c r="GE107">
        <f>IF(Sheet1!1439:1439,"AAAAAHp3/7o=",0)</f>
        <v>0</v>
      </c>
      <c r="GF107" t="e">
        <f>AND(Sheet1!A1439,"AAAAAHp3/7s=")</f>
        <v>#VALUE!</v>
      </c>
      <c r="GG107" t="e">
        <f>AND(Sheet1!B1439,"AAAAAHp3/7w=")</f>
        <v>#VALUE!</v>
      </c>
      <c r="GH107" t="e">
        <f>AND(Sheet1!C1439,"AAAAAHp3/70=")</f>
        <v>#VALUE!</v>
      </c>
      <c r="GI107" t="e">
        <f>AND(Sheet1!D1439,"AAAAAHp3/74=")</f>
        <v>#VALUE!</v>
      </c>
      <c r="GJ107" t="e">
        <f>AND(Sheet1!E1439,"AAAAAHp3/78=")</f>
        <v>#VALUE!</v>
      </c>
      <c r="GK107" t="e">
        <f>AND(Sheet1!F1439,"AAAAAHp3/8A=")</f>
        <v>#VALUE!</v>
      </c>
      <c r="GL107" t="e">
        <f>AND(Sheet1!G1439,"AAAAAHp3/8E=")</f>
        <v>#VALUE!</v>
      </c>
      <c r="GM107" t="e">
        <f>AND(Sheet1!H1439,"AAAAAHp3/8I=")</f>
        <v>#VALUE!</v>
      </c>
      <c r="GN107" t="e">
        <f>AND(Sheet1!I1439,"AAAAAHp3/8M=")</f>
        <v>#VALUE!</v>
      </c>
      <c r="GO107" t="e">
        <f>AND(Sheet1!J1439,"AAAAAHp3/8Q=")</f>
        <v>#VALUE!</v>
      </c>
      <c r="GP107" t="e">
        <f>AND(Sheet1!K1439,"AAAAAHp3/8U=")</f>
        <v>#VALUE!</v>
      </c>
      <c r="GQ107" t="e">
        <f>AND(Sheet1!L1439,"AAAAAHp3/8Y=")</f>
        <v>#VALUE!</v>
      </c>
      <c r="GR107" t="e">
        <f>AND(Sheet1!M1439,"AAAAAHp3/8c=")</f>
        <v>#VALUE!</v>
      </c>
      <c r="GS107" t="e">
        <f>AND(Sheet1!N1439,"AAAAAHp3/8g=")</f>
        <v>#VALUE!</v>
      </c>
      <c r="GT107" t="e">
        <f>AND(Sheet1!#REF!,"AAAAAHp3/8k=")</f>
        <v>#REF!</v>
      </c>
      <c r="GU107" t="e">
        <f>AND(Sheet1!#REF!,"AAAAAHp3/8o=")</f>
        <v>#REF!</v>
      </c>
      <c r="GV107" t="e">
        <f>AND(Sheet1!#REF!,"AAAAAHp3/8s=")</f>
        <v>#REF!</v>
      </c>
      <c r="GW107" t="e">
        <f>AND(Sheet1!#REF!,"AAAAAHp3/8w=")</f>
        <v>#REF!</v>
      </c>
      <c r="GX107">
        <f>IF(Sheet1!1440:1440,"AAAAAHp3/80=",0)</f>
        <v>0</v>
      </c>
      <c r="GY107" t="e">
        <f>AND(Sheet1!A1440,"AAAAAHp3/84=")</f>
        <v>#VALUE!</v>
      </c>
      <c r="GZ107" t="e">
        <f>AND(Sheet1!B1440,"AAAAAHp3/88=")</f>
        <v>#VALUE!</v>
      </c>
      <c r="HA107" t="e">
        <f>AND(Sheet1!C1440,"AAAAAHp3/9A=")</f>
        <v>#VALUE!</v>
      </c>
      <c r="HB107" t="e">
        <f>AND(Sheet1!D1440,"AAAAAHp3/9E=")</f>
        <v>#VALUE!</v>
      </c>
      <c r="HC107" t="e">
        <f>AND(Sheet1!E1440,"AAAAAHp3/9I=")</f>
        <v>#VALUE!</v>
      </c>
      <c r="HD107" t="e">
        <f>AND(Sheet1!F1440,"AAAAAHp3/9M=")</f>
        <v>#VALUE!</v>
      </c>
      <c r="HE107" t="e">
        <f>AND(Sheet1!G1440,"AAAAAHp3/9Q=")</f>
        <v>#VALUE!</v>
      </c>
      <c r="HF107" t="e">
        <f>AND(Sheet1!H1440,"AAAAAHp3/9U=")</f>
        <v>#VALUE!</v>
      </c>
      <c r="HG107" t="e">
        <f>AND(Sheet1!I1440,"AAAAAHp3/9Y=")</f>
        <v>#VALUE!</v>
      </c>
      <c r="HH107" t="e">
        <f>AND(Sheet1!J1440,"AAAAAHp3/9c=")</f>
        <v>#VALUE!</v>
      </c>
      <c r="HI107" t="e">
        <f>AND(Sheet1!K1440,"AAAAAHp3/9g=")</f>
        <v>#VALUE!</v>
      </c>
      <c r="HJ107" t="e">
        <f>AND(Sheet1!L1440,"AAAAAHp3/9k=")</f>
        <v>#VALUE!</v>
      </c>
      <c r="HK107" t="e">
        <f>AND(Sheet1!M1440,"AAAAAHp3/9o=")</f>
        <v>#VALUE!</v>
      </c>
      <c r="HL107" t="e">
        <f>AND(Sheet1!N1440,"AAAAAHp3/9s=")</f>
        <v>#VALUE!</v>
      </c>
      <c r="HM107" t="e">
        <f>AND(Sheet1!#REF!,"AAAAAHp3/9w=")</f>
        <v>#REF!</v>
      </c>
      <c r="HN107" t="e">
        <f>AND(Sheet1!#REF!,"AAAAAHp3/90=")</f>
        <v>#REF!</v>
      </c>
      <c r="HO107" t="e">
        <f>AND(Sheet1!#REF!,"AAAAAHp3/94=")</f>
        <v>#REF!</v>
      </c>
      <c r="HP107" t="e">
        <f>AND(Sheet1!#REF!,"AAAAAHp3/98=")</f>
        <v>#REF!</v>
      </c>
      <c r="HQ107">
        <f>IF(Sheet1!1441:1441,"AAAAAHp3/+A=",0)</f>
        <v>0</v>
      </c>
      <c r="HR107" t="e">
        <f>AND(Sheet1!A1441,"AAAAAHp3/+E=")</f>
        <v>#VALUE!</v>
      </c>
      <c r="HS107" t="e">
        <f>AND(Sheet1!B1441,"AAAAAHp3/+I=")</f>
        <v>#VALUE!</v>
      </c>
      <c r="HT107" t="e">
        <f>AND(Sheet1!C1441,"AAAAAHp3/+M=")</f>
        <v>#VALUE!</v>
      </c>
      <c r="HU107" t="e">
        <f>AND(Sheet1!D1441,"AAAAAHp3/+Q=")</f>
        <v>#VALUE!</v>
      </c>
      <c r="HV107" t="e">
        <f>AND(Sheet1!E1441,"AAAAAHp3/+U=")</f>
        <v>#VALUE!</v>
      </c>
      <c r="HW107" t="e">
        <f>AND(Sheet1!F1441,"AAAAAHp3/+Y=")</f>
        <v>#VALUE!</v>
      </c>
      <c r="HX107" t="e">
        <f>AND(Sheet1!G1441,"AAAAAHp3/+c=")</f>
        <v>#VALUE!</v>
      </c>
      <c r="HY107" t="e">
        <f>AND(Sheet1!H1441,"AAAAAHp3/+g=")</f>
        <v>#VALUE!</v>
      </c>
      <c r="HZ107" t="e">
        <f>AND(Sheet1!I1441,"AAAAAHp3/+k=")</f>
        <v>#VALUE!</v>
      </c>
      <c r="IA107" t="e">
        <f>AND(Sheet1!J1441,"AAAAAHp3/+o=")</f>
        <v>#VALUE!</v>
      </c>
      <c r="IB107" t="e">
        <f>AND(Sheet1!K1441,"AAAAAHp3/+s=")</f>
        <v>#VALUE!</v>
      </c>
      <c r="IC107" t="e">
        <f>AND(Sheet1!L1441,"AAAAAHp3/+w=")</f>
        <v>#VALUE!</v>
      </c>
      <c r="ID107" t="e">
        <f>AND(Sheet1!M1441,"AAAAAHp3/+0=")</f>
        <v>#VALUE!</v>
      </c>
      <c r="IE107" t="e">
        <f>AND(Sheet1!N1441,"AAAAAHp3/+4=")</f>
        <v>#VALUE!</v>
      </c>
      <c r="IF107" t="e">
        <f>AND(Sheet1!#REF!,"AAAAAHp3/+8=")</f>
        <v>#REF!</v>
      </c>
      <c r="IG107" t="e">
        <f>AND(Sheet1!#REF!,"AAAAAHp3//A=")</f>
        <v>#REF!</v>
      </c>
      <c r="IH107" t="e">
        <f>AND(Sheet1!#REF!,"AAAAAHp3//E=")</f>
        <v>#REF!</v>
      </c>
      <c r="II107" t="e">
        <f>AND(Sheet1!#REF!,"AAAAAHp3//I=")</f>
        <v>#REF!</v>
      </c>
      <c r="IJ107">
        <f>IF(Sheet1!1442:1442,"AAAAAHp3//M=",0)</f>
        <v>0</v>
      </c>
      <c r="IK107" t="e">
        <f>AND(Sheet1!A1442,"AAAAAHp3//Q=")</f>
        <v>#VALUE!</v>
      </c>
      <c r="IL107" t="e">
        <f>AND(Sheet1!B1442,"AAAAAHp3//U=")</f>
        <v>#VALUE!</v>
      </c>
      <c r="IM107" t="e">
        <f>AND(Sheet1!C1442,"AAAAAHp3//Y=")</f>
        <v>#VALUE!</v>
      </c>
      <c r="IN107" t="e">
        <f>AND(Sheet1!D1442,"AAAAAHp3//c=")</f>
        <v>#VALUE!</v>
      </c>
      <c r="IO107" t="e">
        <f>AND(Sheet1!E1442,"AAAAAHp3//g=")</f>
        <v>#VALUE!</v>
      </c>
      <c r="IP107" t="e">
        <f>AND(Sheet1!F1442,"AAAAAHp3//k=")</f>
        <v>#VALUE!</v>
      </c>
      <c r="IQ107" t="e">
        <f>AND(Sheet1!G1442,"AAAAAHp3//o=")</f>
        <v>#VALUE!</v>
      </c>
      <c r="IR107" t="e">
        <f>AND(Sheet1!H1442,"AAAAAHp3//s=")</f>
        <v>#VALUE!</v>
      </c>
      <c r="IS107" t="e">
        <f>AND(Sheet1!I1442,"AAAAAHp3//w=")</f>
        <v>#VALUE!</v>
      </c>
      <c r="IT107" t="e">
        <f>AND(Sheet1!J1442,"AAAAAHp3//0=")</f>
        <v>#VALUE!</v>
      </c>
      <c r="IU107" t="e">
        <f>AND(Sheet1!K1442,"AAAAAHp3//4=")</f>
        <v>#VALUE!</v>
      </c>
      <c r="IV107" t="e">
        <f>AND(Sheet1!L1442,"AAAAAHp3//8=")</f>
        <v>#VALUE!</v>
      </c>
    </row>
    <row r="108" spans="1:256" x14ac:dyDescent="0.2">
      <c r="A108" t="e">
        <f>AND(Sheet1!M1442,"AAAAAD/nfgA=")</f>
        <v>#VALUE!</v>
      </c>
      <c r="B108" t="e">
        <f>AND(Sheet1!N1442,"AAAAAD/nfgE=")</f>
        <v>#VALUE!</v>
      </c>
      <c r="C108" t="e">
        <f>AND(Sheet1!#REF!,"AAAAAD/nfgI=")</f>
        <v>#REF!</v>
      </c>
      <c r="D108" t="e">
        <f>AND(Sheet1!#REF!,"AAAAAD/nfgM=")</f>
        <v>#REF!</v>
      </c>
      <c r="E108" t="e">
        <f>AND(Sheet1!#REF!,"AAAAAD/nfgQ=")</f>
        <v>#REF!</v>
      </c>
      <c r="F108" t="e">
        <f>AND(Sheet1!#REF!,"AAAAAD/nfgU=")</f>
        <v>#REF!</v>
      </c>
      <c r="G108">
        <f>IF(Sheet1!1443:1443,"AAAAAD/nfgY=",0)</f>
        <v>0</v>
      </c>
      <c r="H108" t="e">
        <f>AND(Sheet1!A1443,"AAAAAD/nfgc=")</f>
        <v>#VALUE!</v>
      </c>
      <c r="I108" t="e">
        <f>AND(Sheet1!B1443,"AAAAAD/nfgg=")</f>
        <v>#VALUE!</v>
      </c>
      <c r="J108" t="e">
        <f>AND(Sheet1!C1443,"AAAAAD/nfgk=")</f>
        <v>#VALUE!</v>
      </c>
      <c r="K108" t="e">
        <f>AND(Sheet1!D1443,"AAAAAD/nfgo=")</f>
        <v>#VALUE!</v>
      </c>
      <c r="L108" t="e">
        <f>AND(Sheet1!E1443,"AAAAAD/nfgs=")</f>
        <v>#VALUE!</v>
      </c>
      <c r="M108" t="e">
        <f>AND(Sheet1!F1443,"AAAAAD/nfgw=")</f>
        <v>#VALUE!</v>
      </c>
      <c r="N108" t="e">
        <f>AND(Sheet1!G1443,"AAAAAD/nfg0=")</f>
        <v>#VALUE!</v>
      </c>
      <c r="O108" t="e">
        <f>AND(Sheet1!H1443,"AAAAAD/nfg4=")</f>
        <v>#VALUE!</v>
      </c>
      <c r="P108" t="e">
        <f>AND(Sheet1!I1443,"AAAAAD/nfg8=")</f>
        <v>#VALUE!</v>
      </c>
      <c r="Q108" t="e">
        <f>AND(Sheet1!J1443,"AAAAAD/nfhA=")</f>
        <v>#VALUE!</v>
      </c>
      <c r="R108" t="e">
        <f>AND(Sheet1!K1443,"AAAAAD/nfhE=")</f>
        <v>#VALUE!</v>
      </c>
      <c r="S108" t="e">
        <f>AND(Sheet1!L1443,"AAAAAD/nfhI=")</f>
        <v>#VALUE!</v>
      </c>
      <c r="T108" t="e">
        <f>AND(Sheet1!M1443,"AAAAAD/nfhM=")</f>
        <v>#VALUE!</v>
      </c>
      <c r="U108" t="e">
        <f>AND(Sheet1!N1443,"AAAAAD/nfhQ=")</f>
        <v>#VALUE!</v>
      </c>
      <c r="V108" t="e">
        <f>AND(Sheet1!#REF!,"AAAAAD/nfhU=")</f>
        <v>#REF!</v>
      </c>
      <c r="W108" t="e">
        <f>AND(Sheet1!#REF!,"AAAAAD/nfhY=")</f>
        <v>#REF!</v>
      </c>
      <c r="X108" t="e">
        <f>AND(Sheet1!#REF!,"AAAAAD/nfhc=")</f>
        <v>#REF!</v>
      </c>
      <c r="Y108" t="e">
        <f>AND(Sheet1!#REF!,"AAAAAD/nfhg=")</f>
        <v>#REF!</v>
      </c>
      <c r="Z108">
        <f>IF(Sheet1!1444:1444,"AAAAAD/nfhk=",0)</f>
        <v>0</v>
      </c>
      <c r="AA108" t="e">
        <f>AND(Sheet1!A1444,"AAAAAD/nfho=")</f>
        <v>#VALUE!</v>
      </c>
      <c r="AB108" t="e">
        <f>AND(Sheet1!B1444,"AAAAAD/nfhs=")</f>
        <v>#VALUE!</v>
      </c>
      <c r="AC108" t="e">
        <f>AND(Sheet1!C1444,"AAAAAD/nfhw=")</f>
        <v>#VALUE!</v>
      </c>
      <c r="AD108" t="e">
        <f>AND(Sheet1!D1444,"AAAAAD/nfh0=")</f>
        <v>#VALUE!</v>
      </c>
      <c r="AE108" t="e">
        <f>AND(Sheet1!E1444,"AAAAAD/nfh4=")</f>
        <v>#VALUE!</v>
      </c>
      <c r="AF108" t="e">
        <f>AND(Sheet1!F1444,"AAAAAD/nfh8=")</f>
        <v>#VALUE!</v>
      </c>
      <c r="AG108" t="e">
        <f>AND(Sheet1!G1444,"AAAAAD/nfiA=")</f>
        <v>#VALUE!</v>
      </c>
      <c r="AH108" t="e">
        <f>AND(Sheet1!H1444,"AAAAAD/nfiE=")</f>
        <v>#VALUE!</v>
      </c>
      <c r="AI108" t="e">
        <f>AND(Sheet1!I1444,"AAAAAD/nfiI=")</f>
        <v>#VALUE!</v>
      </c>
      <c r="AJ108" t="e">
        <f>AND(Sheet1!J1444,"AAAAAD/nfiM=")</f>
        <v>#VALUE!</v>
      </c>
      <c r="AK108" t="e">
        <f>AND(Sheet1!K1444,"AAAAAD/nfiQ=")</f>
        <v>#VALUE!</v>
      </c>
      <c r="AL108" t="e">
        <f>AND(Sheet1!L1444,"AAAAAD/nfiU=")</f>
        <v>#VALUE!</v>
      </c>
      <c r="AM108" t="e">
        <f>AND(Sheet1!M1444,"AAAAAD/nfiY=")</f>
        <v>#VALUE!</v>
      </c>
      <c r="AN108" t="e">
        <f>AND(Sheet1!N1444,"AAAAAD/nfic=")</f>
        <v>#VALUE!</v>
      </c>
      <c r="AO108" t="e">
        <f>AND(Sheet1!#REF!,"AAAAAD/nfig=")</f>
        <v>#REF!</v>
      </c>
      <c r="AP108" t="e">
        <f>AND(Sheet1!#REF!,"AAAAAD/nfik=")</f>
        <v>#REF!</v>
      </c>
      <c r="AQ108" t="e">
        <f>AND(Sheet1!#REF!,"AAAAAD/nfio=")</f>
        <v>#REF!</v>
      </c>
      <c r="AR108" t="e">
        <f>AND(Sheet1!#REF!,"AAAAAD/nfis=")</f>
        <v>#REF!</v>
      </c>
      <c r="AS108">
        <f>IF(Sheet1!1445:1445,"AAAAAD/nfiw=",0)</f>
        <v>0</v>
      </c>
      <c r="AT108" t="e">
        <f>AND(Sheet1!A1445,"AAAAAD/nfi0=")</f>
        <v>#VALUE!</v>
      </c>
      <c r="AU108" t="e">
        <f>AND(Sheet1!B1445,"AAAAAD/nfi4=")</f>
        <v>#VALUE!</v>
      </c>
      <c r="AV108" t="e">
        <f>AND(Sheet1!C1445,"AAAAAD/nfi8=")</f>
        <v>#VALUE!</v>
      </c>
      <c r="AW108" t="e">
        <f>AND(Sheet1!D1445,"AAAAAD/nfjA=")</f>
        <v>#VALUE!</v>
      </c>
      <c r="AX108" t="e">
        <f>AND(Sheet1!E1445,"AAAAAD/nfjE=")</f>
        <v>#VALUE!</v>
      </c>
      <c r="AY108" t="e">
        <f>AND(Sheet1!F1445,"AAAAAD/nfjI=")</f>
        <v>#VALUE!</v>
      </c>
      <c r="AZ108" t="e">
        <f>AND(Sheet1!G1445,"AAAAAD/nfjM=")</f>
        <v>#VALUE!</v>
      </c>
      <c r="BA108" t="e">
        <f>AND(Sheet1!H1445,"AAAAAD/nfjQ=")</f>
        <v>#VALUE!</v>
      </c>
      <c r="BB108" t="e">
        <f>AND(Sheet1!I1445,"AAAAAD/nfjU=")</f>
        <v>#VALUE!</v>
      </c>
      <c r="BC108" t="e">
        <f>AND(Sheet1!J1445,"AAAAAD/nfjY=")</f>
        <v>#VALUE!</v>
      </c>
      <c r="BD108" t="e">
        <f>AND(Sheet1!K1445,"AAAAAD/nfjc=")</f>
        <v>#VALUE!</v>
      </c>
      <c r="BE108" t="e">
        <f>AND(Sheet1!L1445,"AAAAAD/nfjg=")</f>
        <v>#VALUE!</v>
      </c>
      <c r="BF108" t="e">
        <f>AND(Sheet1!M1445,"AAAAAD/nfjk=")</f>
        <v>#VALUE!</v>
      </c>
      <c r="BG108" t="e">
        <f>AND(Sheet1!N1445,"AAAAAD/nfjo=")</f>
        <v>#VALUE!</v>
      </c>
      <c r="BH108" t="e">
        <f>AND(Sheet1!#REF!,"AAAAAD/nfjs=")</f>
        <v>#REF!</v>
      </c>
      <c r="BI108" t="e">
        <f>AND(Sheet1!#REF!,"AAAAAD/nfjw=")</f>
        <v>#REF!</v>
      </c>
      <c r="BJ108" t="e">
        <f>AND(Sheet1!#REF!,"AAAAAD/nfj0=")</f>
        <v>#REF!</v>
      </c>
      <c r="BK108" t="e">
        <f>AND(Sheet1!#REF!,"AAAAAD/nfj4=")</f>
        <v>#REF!</v>
      </c>
      <c r="BL108">
        <f>IF(Sheet1!1446:1446,"AAAAAD/nfj8=",0)</f>
        <v>0</v>
      </c>
      <c r="BM108" t="e">
        <f>AND(Sheet1!A1446,"AAAAAD/nfkA=")</f>
        <v>#VALUE!</v>
      </c>
      <c r="BN108" t="e">
        <f>AND(Sheet1!B1446,"AAAAAD/nfkE=")</f>
        <v>#VALUE!</v>
      </c>
      <c r="BO108" t="e">
        <f>AND(Sheet1!C1446,"AAAAAD/nfkI=")</f>
        <v>#VALUE!</v>
      </c>
      <c r="BP108" t="e">
        <f>AND(Sheet1!D1446,"AAAAAD/nfkM=")</f>
        <v>#VALUE!</v>
      </c>
      <c r="BQ108" t="e">
        <f>AND(Sheet1!E1446,"AAAAAD/nfkQ=")</f>
        <v>#VALUE!</v>
      </c>
      <c r="BR108" t="e">
        <f>AND(Sheet1!F1446,"AAAAAD/nfkU=")</f>
        <v>#VALUE!</v>
      </c>
      <c r="BS108" t="e">
        <f>AND(Sheet1!G1446,"AAAAAD/nfkY=")</f>
        <v>#VALUE!</v>
      </c>
      <c r="BT108" t="e">
        <f>AND(Sheet1!H1446,"AAAAAD/nfkc=")</f>
        <v>#VALUE!</v>
      </c>
      <c r="BU108" t="e">
        <f>AND(Sheet1!I1446,"AAAAAD/nfkg=")</f>
        <v>#VALUE!</v>
      </c>
      <c r="BV108" t="e">
        <f>AND(Sheet1!J1446,"AAAAAD/nfkk=")</f>
        <v>#VALUE!</v>
      </c>
      <c r="BW108" t="e">
        <f>AND(Sheet1!K1446,"AAAAAD/nfko=")</f>
        <v>#VALUE!</v>
      </c>
      <c r="BX108" t="e">
        <f>AND(Sheet1!L1446,"AAAAAD/nfks=")</f>
        <v>#VALUE!</v>
      </c>
      <c r="BY108" t="e">
        <f>AND(Sheet1!M1446,"AAAAAD/nfkw=")</f>
        <v>#VALUE!</v>
      </c>
      <c r="BZ108" t="e">
        <f>AND(Sheet1!N1446,"AAAAAD/nfk0=")</f>
        <v>#VALUE!</v>
      </c>
      <c r="CA108" t="e">
        <f>AND(Sheet1!#REF!,"AAAAAD/nfk4=")</f>
        <v>#REF!</v>
      </c>
      <c r="CB108" t="e">
        <f>AND(Sheet1!#REF!,"AAAAAD/nfk8=")</f>
        <v>#REF!</v>
      </c>
      <c r="CC108" t="e">
        <f>AND(Sheet1!#REF!,"AAAAAD/nflA=")</f>
        <v>#REF!</v>
      </c>
      <c r="CD108" t="e">
        <f>AND(Sheet1!#REF!,"AAAAAD/nflE=")</f>
        <v>#REF!</v>
      </c>
      <c r="CE108">
        <f>IF(Sheet1!1447:1447,"AAAAAD/nflI=",0)</f>
        <v>0</v>
      </c>
      <c r="CF108" t="e">
        <f>AND(Sheet1!A1447,"AAAAAD/nflM=")</f>
        <v>#VALUE!</v>
      </c>
      <c r="CG108" t="e">
        <f>AND(Sheet1!B1447,"AAAAAD/nflQ=")</f>
        <v>#VALUE!</v>
      </c>
      <c r="CH108" t="e">
        <f>AND(Sheet1!C1447,"AAAAAD/nflU=")</f>
        <v>#VALUE!</v>
      </c>
      <c r="CI108" t="e">
        <f>AND(Sheet1!D1447,"AAAAAD/nflY=")</f>
        <v>#VALUE!</v>
      </c>
      <c r="CJ108" t="e">
        <f>AND(Sheet1!E1447,"AAAAAD/nflc=")</f>
        <v>#VALUE!</v>
      </c>
      <c r="CK108" t="e">
        <f>AND(Sheet1!F1447,"AAAAAD/nflg=")</f>
        <v>#VALUE!</v>
      </c>
      <c r="CL108" t="e">
        <f>AND(Sheet1!G1447,"AAAAAD/nflk=")</f>
        <v>#VALUE!</v>
      </c>
      <c r="CM108" t="e">
        <f>AND(Sheet1!H1447,"AAAAAD/nflo=")</f>
        <v>#VALUE!</v>
      </c>
      <c r="CN108" t="e">
        <f>AND(Sheet1!I1447,"AAAAAD/nfls=")</f>
        <v>#VALUE!</v>
      </c>
      <c r="CO108" t="e">
        <f>AND(Sheet1!J1447,"AAAAAD/nflw=")</f>
        <v>#VALUE!</v>
      </c>
      <c r="CP108" t="e">
        <f>AND(Sheet1!K1447,"AAAAAD/nfl0=")</f>
        <v>#VALUE!</v>
      </c>
      <c r="CQ108" t="e">
        <f>AND(Sheet1!L1447,"AAAAAD/nfl4=")</f>
        <v>#VALUE!</v>
      </c>
      <c r="CR108" t="e">
        <f>AND(Sheet1!M1447,"AAAAAD/nfl8=")</f>
        <v>#VALUE!</v>
      </c>
      <c r="CS108" t="e">
        <f>AND(Sheet1!N1447,"AAAAAD/nfmA=")</f>
        <v>#VALUE!</v>
      </c>
      <c r="CT108" t="e">
        <f>AND(Sheet1!#REF!,"AAAAAD/nfmE=")</f>
        <v>#REF!</v>
      </c>
      <c r="CU108" t="e">
        <f>AND(Sheet1!#REF!,"AAAAAD/nfmI=")</f>
        <v>#REF!</v>
      </c>
      <c r="CV108" t="e">
        <f>AND(Sheet1!#REF!,"AAAAAD/nfmM=")</f>
        <v>#REF!</v>
      </c>
      <c r="CW108" t="e">
        <f>AND(Sheet1!#REF!,"AAAAAD/nfmQ=")</f>
        <v>#REF!</v>
      </c>
      <c r="CX108">
        <f>IF(Sheet1!1448:1448,"AAAAAD/nfmU=",0)</f>
        <v>0</v>
      </c>
      <c r="CY108" t="e">
        <f>AND(Sheet1!A1448,"AAAAAD/nfmY=")</f>
        <v>#VALUE!</v>
      </c>
      <c r="CZ108" t="e">
        <f>AND(Sheet1!B1448,"AAAAAD/nfmc=")</f>
        <v>#VALUE!</v>
      </c>
      <c r="DA108" t="e">
        <f>AND(Sheet1!C1448,"AAAAAD/nfmg=")</f>
        <v>#VALUE!</v>
      </c>
      <c r="DB108" t="e">
        <f>AND(Sheet1!D1448,"AAAAAD/nfmk=")</f>
        <v>#VALUE!</v>
      </c>
      <c r="DC108" t="e">
        <f>AND(Sheet1!E1448,"AAAAAD/nfmo=")</f>
        <v>#VALUE!</v>
      </c>
      <c r="DD108" t="e">
        <f>AND(Sheet1!F1448,"AAAAAD/nfms=")</f>
        <v>#VALUE!</v>
      </c>
      <c r="DE108" t="e">
        <f>AND(Sheet1!G1448,"AAAAAD/nfmw=")</f>
        <v>#VALUE!</v>
      </c>
      <c r="DF108" t="e">
        <f>AND(Sheet1!H1448,"AAAAAD/nfm0=")</f>
        <v>#VALUE!</v>
      </c>
      <c r="DG108" t="e">
        <f>AND(Sheet1!I1448,"AAAAAD/nfm4=")</f>
        <v>#VALUE!</v>
      </c>
      <c r="DH108" t="e">
        <f>AND(Sheet1!J1448,"AAAAAD/nfm8=")</f>
        <v>#VALUE!</v>
      </c>
      <c r="DI108" t="e">
        <f>AND(Sheet1!K1448,"AAAAAD/nfnA=")</f>
        <v>#VALUE!</v>
      </c>
      <c r="DJ108" t="e">
        <f>AND(Sheet1!L1448,"AAAAAD/nfnE=")</f>
        <v>#VALUE!</v>
      </c>
      <c r="DK108" t="e">
        <f>AND(Sheet1!M1448,"AAAAAD/nfnI=")</f>
        <v>#VALUE!</v>
      </c>
      <c r="DL108" t="e">
        <f>AND(Sheet1!N1448,"AAAAAD/nfnM=")</f>
        <v>#VALUE!</v>
      </c>
      <c r="DM108" t="e">
        <f>AND(Sheet1!#REF!,"AAAAAD/nfnQ=")</f>
        <v>#REF!</v>
      </c>
      <c r="DN108" t="e">
        <f>AND(Sheet1!#REF!,"AAAAAD/nfnU=")</f>
        <v>#REF!</v>
      </c>
      <c r="DO108" t="e">
        <f>AND(Sheet1!#REF!,"AAAAAD/nfnY=")</f>
        <v>#REF!</v>
      </c>
      <c r="DP108" t="e">
        <f>AND(Sheet1!#REF!,"AAAAAD/nfnc=")</f>
        <v>#REF!</v>
      </c>
      <c r="DQ108">
        <f>IF(Sheet1!1449:1449,"AAAAAD/nfng=",0)</f>
        <v>0</v>
      </c>
      <c r="DR108" t="e">
        <f>AND(Sheet1!A1449,"AAAAAD/nfnk=")</f>
        <v>#VALUE!</v>
      </c>
      <c r="DS108" t="e">
        <f>AND(Sheet1!B1449,"AAAAAD/nfno=")</f>
        <v>#VALUE!</v>
      </c>
      <c r="DT108" t="e">
        <f>AND(Sheet1!C1449,"AAAAAD/nfns=")</f>
        <v>#VALUE!</v>
      </c>
      <c r="DU108" t="e">
        <f>AND(Sheet1!D1449,"AAAAAD/nfnw=")</f>
        <v>#VALUE!</v>
      </c>
      <c r="DV108" t="e">
        <f>AND(Sheet1!E1449,"AAAAAD/nfn0=")</f>
        <v>#VALUE!</v>
      </c>
      <c r="DW108" t="e">
        <f>AND(Sheet1!F1449,"AAAAAD/nfn4=")</f>
        <v>#VALUE!</v>
      </c>
      <c r="DX108" t="e">
        <f>AND(Sheet1!G1449,"AAAAAD/nfn8=")</f>
        <v>#VALUE!</v>
      </c>
      <c r="DY108" t="e">
        <f>AND(Sheet1!H1449,"AAAAAD/nfoA=")</f>
        <v>#VALUE!</v>
      </c>
      <c r="DZ108" t="e">
        <f>AND(Sheet1!I1449,"AAAAAD/nfoE=")</f>
        <v>#VALUE!</v>
      </c>
      <c r="EA108" t="e">
        <f>AND(Sheet1!J1449,"AAAAAD/nfoI=")</f>
        <v>#VALUE!</v>
      </c>
      <c r="EB108" t="e">
        <f>AND(Sheet1!K1449,"AAAAAD/nfoM=")</f>
        <v>#VALUE!</v>
      </c>
      <c r="EC108" t="e">
        <f>AND(Sheet1!L1449,"AAAAAD/nfoQ=")</f>
        <v>#VALUE!</v>
      </c>
      <c r="ED108" t="e">
        <f>AND(Sheet1!M1449,"AAAAAD/nfoU=")</f>
        <v>#VALUE!</v>
      </c>
      <c r="EE108" t="e">
        <f>AND(Sheet1!N1449,"AAAAAD/nfoY=")</f>
        <v>#VALUE!</v>
      </c>
      <c r="EF108" t="e">
        <f>AND(Sheet1!#REF!,"AAAAAD/nfoc=")</f>
        <v>#REF!</v>
      </c>
      <c r="EG108" t="e">
        <f>AND(Sheet1!#REF!,"AAAAAD/nfog=")</f>
        <v>#REF!</v>
      </c>
      <c r="EH108" t="e">
        <f>AND(Sheet1!#REF!,"AAAAAD/nfok=")</f>
        <v>#REF!</v>
      </c>
      <c r="EI108" t="e">
        <f>AND(Sheet1!#REF!,"AAAAAD/nfoo=")</f>
        <v>#REF!</v>
      </c>
      <c r="EJ108">
        <f>IF(Sheet1!1450:1450,"AAAAAD/nfos=",0)</f>
        <v>0</v>
      </c>
      <c r="EK108" t="e">
        <f>AND(Sheet1!A1450,"AAAAAD/nfow=")</f>
        <v>#VALUE!</v>
      </c>
      <c r="EL108" t="e">
        <f>AND(Sheet1!B1450,"AAAAAD/nfo0=")</f>
        <v>#VALUE!</v>
      </c>
      <c r="EM108" t="e">
        <f>AND(Sheet1!C1450,"AAAAAD/nfo4=")</f>
        <v>#VALUE!</v>
      </c>
      <c r="EN108" t="e">
        <f>AND(Sheet1!D1450,"AAAAAD/nfo8=")</f>
        <v>#VALUE!</v>
      </c>
      <c r="EO108" t="e">
        <f>AND(Sheet1!E1450,"AAAAAD/nfpA=")</f>
        <v>#VALUE!</v>
      </c>
      <c r="EP108" t="e">
        <f>AND(Sheet1!F1450,"AAAAAD/nfpE=")</f>
        <v>#VALUE!</v>
      </c>
      <c r="EQ108" t="e">
        <f>AND(Sheet1!G1450,"AAAAAD/nfpI=")</f>
        <v>#VALUE!</v>
      </c>
      <c r="ER108" t="e">
        <f>AND(Sheet1!H1450,"AAAAAD/nfpM=")</f>
        <v>#VALUE!</v>
      </c>
      <c r="ES108" t="e">
        <f>AND(Sheet1!I1450,"AAAAAD/nfpQ=")</f>
        <v>#VALUE!</v>
      </c>
      <c r="ET108" t="e">
        <f>AND(Sheet1!J1450,"AAAAAD/nfpU=")</f>
        <v>#VALUE!</v>
      </c>
      <c r="EU108" t="e">
        <f>AND(Sheet1!K1450,"AAAAAD/nfpY=")</f>
        <v>#VALUE!</v>
      </c>
      <c r="EV108" t="e">
        <f>AND(Sheet1!L1450,"AAAAAD/nfpc=")</f>
        <v>#VALUE!</v>
      </c>
      <c r="EW108" t="e">
        <f>AND(Sheet1!M1450,"AAAAAD/nfpg=")</f>
        <v>#VALUE!</v>
      </c>
      <c r="EX108" t="e">
        <f>AND(Sheet1!N1450,"AAAAAD/nfpk=")</f>
        <v>#VALUE!</v>
      </c>
      <c r="EY108" t="e">
        <f>AND(Sheet1!#REF!,"AAAAAD/nfpo=")</f>
        <v>#REF!</v>
      </c>
      <c r="EZ108" t="e">
        <f>AND(Sheet1!#REF!,"AAAAAD/nfps=")</f>
        <v>#REF!</v>
      </c>
      <c r="FA108" t="e">
        <f>AND(Sheet1!#REF!,"AAAAAD/nfpw=")</f>
        <v>#REF!</v>
      </c>
      <c r="FB108" t="e">
        <f>AND(Sheet1!#REF!,"AAAAAD/nfp0=")</f>
        <v>#REF!</v>
      </c>
      <c r="FC108">
        <f>IF(Sheet1!1451:1451,"AAAAAD/nfp4=",0)</f>
        <v>0</v>
      </c>
      <c r="FD108" t="e">
        <f>AND(Sheet1!A1451,"AAAAAD/nfp8=")</f>
        <v>#VALUE!</v>
      </c>
      <c r="FE108" t="e">
        <f>AND(Sheet1!B1451,"AAAAAD/nfqA=")</f>
        <v>#VALUE!</v>
      </c>
      <c r="FF108" t="e">
        <f>AND(Sheet1!C1451,"AAAAAD/nfqE=")</f>
        <v>#VALUE!</v>
      </c>
      <c r="FG108" t="e">
        <f>AND(Sheet1!D1451,"AAAAAD/nfqI=")</f>
        <v>#VALUE!</v>
      </c>
      <c r="FH108" t="e">
        <f>AND(Sheet1!E1451,"AAAAAD/nfqM=")</f>
        <v>#VALUE!</v>
      </c>
      <c r="FI108" t="e">
        <f>AND(Sheet1!F1451,"AAAAAD/nfqQ=")</f>
        <v>#VALUE!</v>
      </c>
      <c r="FJ108" t="e">
        <f>AND(Sheet1!G1451,"AAAAAD/nfqU=")</f>
        <v>#VALUE!</v>
      </c>
      <c r="FK108" t="e">
        <f>AND(Sheet1!H1451,"AAAAAD/nfqY=")</f>
        <v>#VALUE!</v>
      </c>
      <c r="FL108" t="e">
        <f>AND(Sheet1!I1451,"AAAAAD/nfqc=")</f>
        <v>#VALUE!</v>
      </c>
      <c r="FM108" t="e">
        <f>AND(Sheet1!J1451,"AAAAAD/nfqg=")</f>
        <v>#VALUE!</v>
      </c>
      <c r="FN108" t="e">
        <f>AND(Sheet1!K1451,"AAAAAD/nfqk=")</f>
        <v>#VALUE!</v>
      </c>
      <c r="FO108" t="e">
        <f>AND(Sheet1!L1451,"AAAAAD/nfqo=")</f>
        <v>#VALUE!</v>
      </c>
      <c r="FP108" t="e">
        <f>AND(Sheet1!M1451,"AAAAAD/nfqs=")</f>
        <v>#VALUE!</v>
      </c>
      <c r="FQ108" t="e">
        <f>AND(Sheet1!N1451,"AAAAAD/nfqw=")</f>
        <v>#VALUE!</v>
      </c>
      <c r="FR108" t="e">
        <f>AND(Sheet1!#REF!,"AAAAAD/nfq0=")</f>
        <v>#REF!</v>
      </c>
      <c r="FS108" t="e">
        <f>AND(Sheet1!#REF!,"AAAAAD/nfq4=")</f>
        <v>#REF!</v>
      </c>
      <c r="FT108" t="e">
        <f>AND(Sheet1!#REF!,"AAAAAD/nfq8=")</f>
        <v>#REF!</v>
      </c>
      <c r="FU108" t="e">
        <f>AND(Sheet1!#REF!,"AAAAAD/nfrA=")</f>
        <v>#REF!</v>
      </c>
      <c r="FV108">
        <f>IF(Sheet1!1452:1452,"AAAAAD/nfrE=",0)</f>
        <v>0</v>
      </c>
      <c r="FW108" t="e">
        <f>AND(Sheet1!A1452,"AAAAAD/nfrI=")</f>
        <v>#VALUE!</v>
      </c>
      <c r="FX108" t="e">
        <f>AND(Sheet1!B1452,"AAAAAD/nfrM=")</f>
        <v>#VALUE!</v>
      </c>
      <c r="FY108" t="e">
        <f>AND(Sheet1!C1452,"AAAAAD/nfrQ=")</f>
        <v>#VALUE!</v>
      </c>
      <c r="FZ108" t="e">
        <f>AND(Sheet1!D1452,"AAAAAD/nfrU=")</f>
        <v>#VALUE!</v>
      </c>
      <c r="GA108" t="e">
        <f>AND(Sheet1!E1452,"AAAAAD/nfrY=")</f>
        <v>#VALUE!</v>
      </c>
      <c r="GB108" t="e">
        <f>AND(Sheet1!F1452,"AAAAAD/nfrc=")</f>
        <v>#VALUE!</v>
      </c>
      <c r="GC108" t="e">
        <f>AND(Sheet1!G1452,"AAAAAD/nfrg=")</f>
        <v>#VALUE!</v>
      </c>
      <c r="GD108" t="e">
        <f>AND(Sheet1!H1452,"AAAAAD/nfrk=")</f>
        <v>#VALUE!</v>
      </c>
      <c r="GE108" t="e">
        <f>AND(Sheet1!I1452,"AAAAAD/nfro=")</f>
        <v>#VALUE!</v>
      </c>
      <c r="GF108" t="e">
        <f>AND(Sheet1!J1452,"AAAAAD/nfrs=")</f>
        <v>#VALUE!</v>
      </c>
      <c r="GG108" t="e">
        <f>AND(Sheet1!K1452,"AAAAAD/nfrw=")</f>
        <v>#VALUE!</v>
      </c>
      <c r="GH108" t="e">
        <f>AND(Sheet1!L1452,"AAAAAD/nfr0=")</f>
        <v>#VALUE!</v>
      </c>
      <c r="GI108" t="e">
        <f>AND(Sheet1!M1452,"AAAAAD/nfr4=")</f>
        <v>#VALUE!</v>
      </c>
      <c r="GJ108" t="e">
        <f>AND(Sheet1!N1452,"AAAAAD/nfr8=")</f>
        <v>#VALUE!</v>
      </c>
      <c r="GK108" t="e">
        <f>AND(Sheet1!#REF!,"AAAAAD/nfsA=")</f>
        <v>#REF!</v>
      </c>
      <c r="GL108" t="e">
        <f>AND(Sheet1!#REF!,"AAAAAD/nfsE=")</f>
        <v>#REF!</v>
      </c>
      <c r="GM108" t="e">
        <f>AND(Sheet1!#REF!,"AAAAAD/nfsI=")</f>
        <v>#REF!</v>
      </c>
      <c r="GN108" t="e">
        <f>AND(Sheet1!#REF!,"AAAAAD/nfsM=")</f>
        <v>#REF!</v>
      </c>
      <c r="GO108">
        <f>IF(Sheet1!1453:1453,"AAAAAD/nfsQ=",0)</f>
        <v>0</v>
      </c>
      <c r="GP108" t="e">
        <f>AND(Sheet1!A1453,"AAAAAD/nfsU=")</f>
        <v>#VALUE!</v>
      </c>
      <c r="GQ108" t="e">
        <f>AND(Sheet1!B1453,"AAAAAD/nfsY=")</f>
        <v>#VALUE!</v>
      </c>
      <c r="GR108" t="e">
        <f>AND(Sheet1!C1453,"AAAAAD/nfsc=")</f>
        <v>#VALUE!</v>
      </c>
      <c r="GS108" t="e">
        <f>AND(Sheet1!D1453,"AAAAAD/nfsg=")</f>
        <v>#VALUE!</v>
      </c>
      <c r="GT108" t="e">
        <f>AND(Sheet1!E1453,"AAAAAD/nfsk=")</f>
        <v>#VALUE!</v>
      </c>
      <c r="GU108" t="e">
        <f>AND(Sheet1!F1453,"AAAAAD/nfso=")</f>
        <v>#VALUE!</v>
      </c>
      <c r="GV108" t="e">
        <f>AND(Sheet1!G1453,"AAAAAD/nfss=")</f>
        <v>#VALUE!</v>
      </c>
      <c r="GW108" t="e">
        <f>AND(Sheet1!H1453,"AAAAAD/nfsw=")</f>
        <v>#VALUE!</v>
      </c>
      <c r="GX108" t="e">
        <f>AND(Sheet1!I1453,"AAAAAD/nfs0=")</f>
        <v>#VALUE!</v>
      </c>
      <c r="GY108" t="e">
        <f>AND(Sheet1!J1453,"AAAAAD/nfs4=")</f>
        <v>#VALUE!</v>
      </c>
      <c r="GZ108" t="e">
        <f>AND(Sheet1!K1453,"AAAAAD/nfs8=")</f>
        <v>#VALUE!</v>
      </c>
      <c r="HA108" t="e">
        <f>AND(Sheet1!L1453,"AAAAAD/nftA=")</f>
        <v>#VALUE!</v>
      </c>
      <c r="HB108" t="e">
        <f>AND(Sheet1!M1453,"AAAAAD/nftE=")</f>
        <v>#VALUE!</v>
      </c>
      <c r="HC108" t="e">
        <f>AND(Sheet1!N1453,"AAAAAD/nftI=")</f>
        <v>#VALUE!</v>
      </c>
      <c r="HD108" t="e">
        <f>AND(Sheet1!#REF!,"AAAAAD/nftM=")</f>
        <v>#REF!</v>
      </c>
      <c r="HE108" t="e">
        <f>AND(Sheet1!#REF!,"AAAAAD/nftQ=")</f>
        <v>#REF!</v>
      </c>
      <c r="HF108" t="e">
        <f>AND(Sheet1!#REF!,"AAAAAD/nftU=")</f>
        <v>#REF!</v>
      </c>
      <c r="HG108" t="e">
        <f>AND(Sheet1!#REF!,"AAAAAD/nftY=")</f>
        <v>#REF!</v>
      </c>
      <c r="HH108">
        <f>IF(Sheet1!1454:1454,"AAAAAD/nftc=",0)</f>
        <v>0</v>
      </c>
      <c r="HI108" t="e">
        <f>AND(Sheet1!A1454,"AAAAAD/nftg=")</f>
        <v>#VALUE!</v>
      </c>
      <c r="HJ108" t="e">
        <f>AND(Sheet1!B1454,"AAAAAD/nftk=")</f>
        <v>#VALUE!</v>
      </c>
      <c r="HK108" t="e">
        <f>AND(Sheet1!C1454,"AAAAAD/nfto=")</f>
        <v>#VALUE!</v>
      </c>
      <c r="HL108" t="e">
        <f>AND(Sheet1!D1454,"AAAAAD/nfts=")</f>
        <v>#VALUE!</v>
      </c>
      <c r="HM108" t="e">
        <f>AND(Sheet1!E1454,"AAAAAD/nftw=")</f>
        <v>#VALUE!</v>
      </c>
      <c r="HN108" t="e">
        <f>AND(Sheet1!F1454,"AAAAAD/nft0=")</f>
        <v>#VALUE!</v>
      </c>
      <c r="HO108" t="e">
        <f>AND(Sheet1!G1454,"AAAAAD/nft4=")</f>
        <v>#VALUE!</v>
      </c>
      <c r="HP108" t="e">
        <f>AND(Sheet1!H1454,"AAAAAD/nft8=")</f>
        <v>#VALUE!</v>
      </c>
      <c r="HQ108" t="e">
        <f>AND(Sheet1!I1454,"AAAAAD/nfuA=")</f>
        <v>#VALUE!</v>
      </c>
      <c r="HR108" t="e">
        <f>AND(Sheet1!J1454,"AAAAAD/nfuE=")</f>
        <v>#VALUE!</v>
      </c>
      <c r="HS108" t="e">
        <f>AND(Sheet1!K1454,"AAAAAD/nfuI=")</f>
        <v>#VALUE!</v>
      </c>
      <c r="HT108" t="e">
        <f>AND(Sheet1!L1454,"AAAAAD/nfuM=")</f>
        <v>#VALUE!</v>
      </c>
      <c r="HU108" t="e">
        <f>AND(Sheet1!M1454,"AAAAAD/nfuQ=")</f>
        <v>#VALUE!</v>
      </c>
      <c r="HV108" t="e">
        <f>AND(Sheet1!N1454,"AAAAAD/nfuU=")</f>
        <v>#VALUE!</v>
      </c>
      <c r="HW108" t="e">
        <f>AND(Sheet1!#REF!,"AAAAAD/nfuY=")</f>
        <v>#REF!</v>
      </c>
      <c r="HX108" t="e">
        <f>AND(Sheet1!#REF!,"AAAAAD/nfuc=")</f>
        <v>#REF!</v>
      </c>
      <c r="HY108" t="e">
        <f>AND(Sheet1!#REF!,"AAAAAD/nfug=")</f>
        <v>#REF!</v>
      </c>
      <c r="HZ108" t="e">
        <f>AND(Sheet1!#REF!,"AAAAAD/nfuk=")</f>
        <v>#REF!</v>
      </c>
      <c r="IA108">
        <f>IF(Sheet1!1455:1455,"AAAAAD/nfuo=",0)</f>
        <v>0</v>
      </c>
      <c r="IB108" t="e">
        <f>AND(Sheet1!A1455,"AAAAAD/nfus=")</f>
        <v>#VALUE!</v>
      </c>
      <c r="IC108" t="e">
        <f>AND(Sheet1!B1455,"AAAAAD/nfuw=")</f>
        <v>#VALUE!</v>
      </c>
      <c r="ID108" t="e">
        <f>AND(Sheet1!C1455,"AAAAAD/nfu0=")</f>
        <v>#VALUE!</v>
      </c>
      <c r="IE108" t="e">
        <f>AND(Sheet1!D1455,"AAAAAD/nfu4=")</f>
        <v>#VALUE!</v>
      </c>
      <c r="IF108" t="e">
        <f>AND(Sheet1!E1455,"AAAAAD/nfu8=")</f>
        <v>#VALUE!</v>
      </c>
      <c r="IG108" t="e">
        <f>AND(Sheet1!F1455,"AAAAAD/nfvA=")</f>
        <v>#VALUE!</v>
      </c>
      <c r="IH108" t="e">
        <f>AND(Sheet1!G1455,"AAAAAD/nfvE=")</f>
        <v>#VALUE!</v>
      </c>
      <c r="II108" t="e">
        <f>AND(Sheet1!H1455,"AAAAAD/nfvI=")</f>
        <v>#VALUE!</v>
      </c>
      <c r="IJ108" t="e">
        <f>AND(Sheet1!I1455,"AAAAAD/nfvM=")</f>
        <v>#VALUE!</v>
      </c>
      <c r="IK108" t="e">
        <f>AND(Sheet1!J1455,"AAAAAD/nfvQ=")</f>
        <v>#VALUE!</v>
      </c>
      <c r="IL108" t="e">
        <f>AND(Sheet1!K1455,"AAAAAD/nfvU=")</f>
        <v>#VALUE!</v>
      </c>
      <c r="IM108" t="e">
        <f>AND(Sheet1!L1455,"AAAAAD/nfvY=")</f>
        <v>#VALUE!</v>
      </c>
      <c r="IN108" t="e">
        <f>AND(Sheet1!M1455,"AAAAAD/nfvc=")</f>
        <v>#VALUE!</v>
      </c>
      <c r="IO108" t="e">
        <f>AND(Sheet1!N1455,"AAAAAD/nfvg=")</f>
        <v>#VALUE!</v>
      </c>
      <c r="IP108" t="e">
        <f>AND(Sheet1!#REF!,"AAAAAD/nfvk=")</f>
        <v>#REF!</v>
      </c>
      <c r="IQ108" t="e">
        <f>AND(Sheet1!#REF!,"AAAAAD/nfvo=")</f>
        <v>#REF!</v>
      </c>
      <c r="IR108" t="e">
        <f>AND(Sheet1!#REF!,"AAAAAD/nfvs=")</f>
        <v>#REF!</v>
      </c>
      <c r="IS108" t="e">
        <f>AND(Sheet1!#REF!,"AAAAAD/nfvw=")</f>
        <v>#REF!</v>
      </c>
      <c r="IT108">
        <f>IF(Sheet1!1456:1456,"AAAAAD/nfv0=",0)</f>
        <v>0</v>
      </c>
      <c r="IU108" t="e">
        <f>AND(Sheet1!A1456,"AAAAAD/nfv4=")</f>
        <v>#VALUE!</v>
      </c>
      <c r="IV108" t="e">
        <f>AND(Sheet1!B1456,"AAAAAD/nfv8=")</f>
        <v>#VALUE!</v>
      </c>
    </row>
    <row r="109" spans="1:256" x14ac:dyDescent="0.2">
      <c r="A109" t="e">
        <f>AND(Sheet1!C1456,"AAAAAG1xtQA=")</f>
        <v>#VALUE!</v>
      </c>
      <c r="B109" t="e">
        <f>AND(Sheet1!D1456,"AAAAAG1xtQE=")</f>
        <v>#VALUE!</v>
      </c>
      <c r="C109" t="e">
        <f>AND(Sheet1!E1456,"AAAAAG1xtQI=")</f>
        <v>#VALUE!</v>
      </c>
      <c r="D109" t="e">
        <f>AND(Sheet1!F1456,"AAAAAG1xtQM=")</f>
        <v>#VALUE!</v>
      </c>
      <c r="E109" t="e">
        <f>AND(Sheet1!G1456,"AAAAAG1xtQQ=")</f>
        <v>#VALUE!</v>
      </c>
      <c r="F109" t="e">
        <f>AND(Sheet1!H1456,"AAAAAG1xtQU=")</f>
        <v>#VALUE!</v>
      </c>
      <c r="G109" t="e">
        <f>AND(Sheet1!I1456,"AAAAAG1xtQY=")</f>
        <v>#VALUE!</v>
      </c>
      <c r="H109" t="e">
        <f>AND(Sheet1!J1456,"AAAAAG1xtQc=")</f>
        <v>#VALUE!</v>
      </c>
      <c r="I109" t="e">
        <f>AND(Sheet1!K1456,"AAAAAG1xtQg=")</f>
        <v>#VALUE!</v>
      </c>
      <c r="J109" t="e">
        <f>AND(Sheet1!L1456,"AAAAAG1xtQk=")</f>
        <v>#VALUE!</v>
      </c>
      <c r="K109" t="e">
        <f>AND(Sheet1!M1456,"AAAAAG1xtQo=")</f>
        <v>#VALUE!</v>
      </c>
      <c r="L109" t="e">
        <f>AND(Sheet1!N1456,"AAAAAG1xtQs=")</f>
        <v>#VALUE!</v>
      </c>
      <c r="M109" t="e">
        <f>AND(Sheet1!#REF!,"AAAAAG1xtQw=")</f>
        <v>#REF!</v>
      </c>
      <c r="N109" t="e">
        <f>AND(Sheet1!#REF!,"AAAAAG1xtQ0=")</f>
        <v>#REF!</v>
      </c>
      <c r="O109" t="e">
        <f>AND(Sheet1!#REF!,"AAAAAG1xtQ4=")</f>
        <v>#REF!</v>
      </c>
      <c r="P109" t="e">
        <f>AND(Sheet1!#REF!,"AAAAAG1xtQ8=")</f>
        <v>#REF!</v>
      </c>
      <c r="Q109">
        <f>IF(Sheet1!1457:1457,"AAAAAG1xtRA=",0)</f>
        <v>0</v>
      </c>
      <c r="R109" t="e">
        <f>AND(Sheet1!A1457,"AAAAAG1xtRE=")</f>
        <v>#VALUE!</v>
      </c>
      <c r="S109" t="e">
        <f>AND(Sheet1!B1457,"AAAAAG1xtRI=")</f>
        <v>#VALUE!</v>
      </c>
      <c r="T109" t="e">
        <f>AND(Sheet1!C1457,"AAAAAG1xtRM=")</f>
        <v>#VALUE!</v>
      </c>
      <c r="U109" t="e">
        <f>AND(Sheet1!D1457,"AAAAAG1xtRQ=")</f>
        <v>#VALUE!</v>
      </c>
      <c r="V109" t="e">
        <f>AND(Sheet1!E1457,"AAAAAG1xtRU=")</f>
        <v>#VALUE!</v>
      </c>
      <c r="W109" t="e">
        <f>AND(Sheet1!F1457,"AAAAAG1xtRY=")</f>
        <v>#VALUE!</v>
      </c>
      <c r="X109" t="e">
        <f>AND(Sheet1!G1457,"AAAAAG1xtRc=")</f>
        <v>#VALUE!</v>
      </c>
      <c r="Y109" t="e">
        <f>AND(Sheet1!H1457,"AAAAAG1xtRg=")</f>
        <v>#VALUE!</v>
      </c>
      <c r="Z109" t="e">
        <f>AND(Sheet1!I1457,"AAAAAG1xtRk=")</f>
        <v>#VALUE!</v>
      </c>
      <c r="AA109" t="e">
        <f>AND(Sheet1!J1457,"AAAAAG1xtRo=")</f>
        <v>#VALUE!</v>
      </c>
      <c r="AB109" t="e">
        <f>AND(Sheet1!K1457,"AAAAAG1xtRs=")</f>
        <v>#VALUE!</v>
      </c>
      <c r="AC109" t="e">
        <f>AND(Sheet1!L1457,"AAAAAG1xtRw=")</f>
        <v>#VALUE!</v>
      </c>
      <c r="AD109" t="e">
        <f>AND(Sheet1!M1457,"AAAAAG1xtR0=")</f>
        <v>#VALUE!</v>
      </c>
      <c r="AE109" t="e">
        <f>AND(Sheet1!N1457,"AAAAAG1xtR4=")</f>
        <v>#VALUE!</v>
      </c>
      <c r="AF109" t="e">
        <f>AND(Sheet1!#REF!,"AAAAAG1xtR8=")</f>
        <v>#REF!</v>
      </c>
      <c r="AG109" t="e">
        <f>AND(Sheet1!#REF!,"AAAAAG1xtSA=")</f>
        <v>#REF!</v>
      </c>
      <c r="AH109" t="e">
        <f>AND(Sheet1!#REF!,"AAAAAG1xtSE=")</f>
        <v>#REF!</v>
      </c>
      <c r="AI109" t="e">
        <f>AND(Sheet1!#REF!,"AAAAAG1xtSI=")</f>
        <v>#REF!</v>
      </c>
      <c r="AJ109">
        <f>IF(Sheet1!1458:1458,"AAAAAG1xtSM=",0)</f>
        <v>0</v>
      </c>
      <c r="AK109" t="e">
        <f>AND(Sheet1!A1458,"AAAAAG1xtSQ=")</f>
        <v>#VALUE!</v>
      </c>
      <c r="AL109" t="e">
        <f>AND(Sheet1!B1458,"AAAAAG1xtSU=")</f>
        <v>#VALUE!</v>
      </c>
      <c r="AM109" t="e">
        <f>AND(Sheet1!C1458,"AAAAAG1xtSY=")</f>
        <v>#VALUE!</v>
      </c>
      <c r="AN109" t="e">
        <f>AND(Sheet1!D1458,"AAAAAG1xtSc=")</f>
        <v>#VALUE!</v>
      </c>
      <c r="AO109" t="e">
        <f>AND(Sheet1!E1458,"AAAAAG1xtSg=")</f>
        <v>#VALUE!</v>
      </c>
      <c r="AP109" t="e">
        <f>AND(Sheet1!F1458,"AAAAAG1xtSk=")</f>
        <v>#VALUE!</v>
      </c>
      <c r="AQ109" t="e">
        <f>AND(Sheet1!G1458,"AAAAAG1xtSo=")</f>
        <v>#VALUE!</v>
      </c>
      <c r="AR109" t="e">
        <f>AND(Sheet1!H1458,"AAAAAG1xtSs=")</f>
        <v>#VALUE!</v>
      </c>
      <c r="AS109" t="e">
        <f>AND(Sheet1!I1458,"AAAAAG1xtSw=")</f>
        <v>#VALUE!</v>
      </c>
      <c r="AT109" t="e">
        <f>AND(Sheet1!J1458,"AAAAAG1xtS0=")</f>
        <v>#VALUE!</v>
      </c>
      <c r="AU109" t="e">
        <f>AND(Sheet1!K1458,"AAAAAG1xtS4=")</f>
        <v>#VALUE!</v>
      </c>
      <c r="AV109" t="e">
        <f>AND(Sheet1!L1458,"AAAAAG1xtS8=")</f>
        <v>#VALUE!</v>
      </c>
      <c r="AW109" t="e">
        <f>AND(Sheet1!M1458,"AAAAAG1xtTA=")</f>
        <v>#VALUE!</v>
      </c>
      <c r="AX109" t="e">
        <f>AND(Sheet1!N1458,"AAAAAG1xtTE=")</f>
        <v>#VALUE!</v>
      </c>
      <c r="AY109" t="e">
        <f>AND(Sheet1!#REF!,"AAAAAG1xtTI=")</f>
        <v>#REF!</v>
      </c>
      <c r="AZ109" t="e">
        <f>AND(Sheet1!#REF!,"AAAAAG1xtTM=")</f>
        <v>#REF!</v>
      </c>
      <c r="BA109" t="e">
        <f>AND(Sheet1!#REF!,"AAAAAG1xtTQ=")</f>
        <v>#REF!</v>
      </c>
      <c r="BB109" t="e">
        <f>AND(Sheet1!#REF!,"AAAAAG1xtTU=")</f>
        <v>#REF!</v>
      </c>
      <c r="BC109">
        <f>IF(Sheet1!1459:1459,"AAAAAG1xtTY=",0)</f>
        <v>0</v>
      </c>
      <c r="BD109" t="e">
        <f>AND(Sheet1!A1459,"AAAAAG1xtTc=")</f>
        <v>#VALUE!</v>
      </c>
      <c r="BE109" t="e">
        <f>AND(Sheet1!B1459,"AAAAAG1xtTg=")</f>
        <v>#VALUE!</v>
      </c>
      <c r="BF109" t="e">
        <f>AND(Sheet1!C1459,"AAAAAG1xtTk=")</f>
        <v>#VALUE!</v>
      </c>
      <c r="BG109" t="e">
        <f>AND(Sheet1!D1459,"AAAAAG1xtTo=")</f>
        <v>#VALUE!</v>
      </c>
      <c r="BH109" t="e">
        <f>AND(Sheet1!E1459,"AAAAAG1xtTs=")</f>
        <v>#VALUE!</v>
      </c>
      <c r="BI109" t="e">
        <f>AND(Sheet1!F1459,"AAAAAG1xtTw=")</f>
        <v>#VALUE!</v>
      </c>
      <c r="BJ109" t="e">
        <f>AND(Sheet1!G1459,"AAAAAG1xtT0=")</f>
        <v>#VALUE!</v>
      </c>
      <c r="BK109" t="e">
        <f>AND(Sheet1!H1459,"AAAAAG1xtT4=")</f>
        <v>#VALUE!</v>
      </c>
      <c r="BL109" t="e">
        <f>AND(Sheet1!I1459,"AAAAAG1xtT8=")</f>
        <v>#VALUE!</v>
      </c>
      <c r="BM109" t="e">
        <f>AND(Sheet1!J1459,"AAAAAG1xtUA=")</f>
        <v>#VALUE!</v>
      </c>
      <c r="BN109" t="e">
        <f>AND(Sheet1!K1459,"AAAAAG1xtUE=")</f>
        <v>#VALUE!</v>
      </c>
      <c r="BO109" t="e">
        <f>AND(Sheet1!L1459,"AAAAAG1xtUI=")</f>
        <v>#VALUE!</v>
      </c>
      <c r="BP109" t="e">
        <f>AND(Sheet1!M1459,"AAAAAG1xtUM=")</f>
        <v>#VALUE!</v>
      </c>
      <c r="BQ109" t="e">
        <f>AND(Sheet1!N1459,"AAAAAG1xtUQ=")</f>
        <v>#VALUE!</v>
      </c>
      <c r="BR109" t="e">
        <f>AND(Sheet1!#REF!,"AAAAAG1xtUU=")</f>
        <v>#REF!</v>
      </c>
      <c r="BS109" t="e">
        <f>AND(Sheet1!#REF!,"AAAAAG1xtUY=")</f>
        <v>#REF!</v>
      </c>
      <c r="BT109" t="e">
        <f>AND(Sheet1!#REF!,"AAAAAG1xtUc=")</f>
        <v>#REF!</v>
      </c>
      <c r="BU109" t="e">
        <f>AND(Sheet1!#REF!,"AAAAAG1xtUg=")</f>
        <v>#REF!</v>
      </c>
      <c r="BV109">
        <f>IF(Sheet1!1460:1460,"AAAAAG1xtUk=",0)</f>
        <v>0</v>
      </c>
      <c r="BW109" t="e">
        <f>AND(Sheet1!A1460,"AAAAAG1xtUo=")</f>
        <v>#VALUE!</v>
      </c>
      <c r="BX109" t="e">
        <f>AND(Sheet1!B1460,"AAAAAG1xtUs=")</f>
        <v>#VALUE!</v>
      </c>
      <c r="BY109" t="e">
        <f>AND(Sheet1!C1460,"AAAAAG1xtUw=")</f>
        <v>#VALUE!</v>
      </c>
      <c r="BZ109" t="e">
        <f>AND(Sheet1!D1460,"AAAAAG1xtU0=")</f>
        <v>#VALUE!</v>
      </c>
      <c r="CA109" t="e">
        <f>AND(Sheet1!E1460,"AAAAAG1xtU4=")</f>
        <v>#VALUE!</v>
      </c>
      <c r="CB109" t="e">
        <f>AND(Sheet1!F1460,"AAAAAG1xtU8=")</f>
        <v>#VALUE!</v>
      </c>
      <c r="CC109" t="e">
        <f>AND(Sheet1!G1460,"AAAAAG1xtVA=")</f>
        <v>#VALUE!</v>
      </c>
      <c r="CD109" t="e">
        <f>AND(Sheet1!H1460,"AAAAAG1xtVE=")</f>
        <v>#VALUE!</v>
      </c>
      <c r="CE109" t="e">
        <f>AND(Sheet1!I1460,"AAAAAG1xtVI=")</f>
        <v>#VALUE!</v>
      </c>
      <c r="CF109" t="e">
        <f>AND(Sheet1!J1460,"AAAAAG1xtVM=")</f>
        <v>#VALUE!</v>
      </c>
      <c r="CG109" t="e">
        <f>AND(Sheet1!K1460,"AAAAAG1xtVQ=")</f>
        <v>#VALUE!</v>
      </c>
      <c r="CH109" t="e">
        <f>AND(Sheet1!L1460,"AAAAAG1xtVU=")</f>
        <v>#VALUE!</v>
      </c>
      <c r="CI109" t="e">
        <f>AND(Sheet1!M1460,"AAAAAG1xtVY=")</f>
        <v>#VALUE!</v>
      </c>
      <c r="CJ109" t="e">
        <f>AND(Sheet1!N1460,"AAAAAG1xtVc=")</f>
        <v>#VALUE!</v>
      </c>
      <c r="CK109" t="e">
        <f>AND(Sheet1!#REF!,"AAAAAG1xtVg=")</f>
        <v>#REF!</v>
      </c>
      <c r="CL109" t="e">
        <f>AND(Sheet1!#REF!,"AAAAAG1xtVk=")</f>
        <v>#REF!</v>
      </c>
      <c r="CM109" t="e">
        <f>AND(Sheet1!#REF!,"AAAAAG1xtVo=")</f>
        <v>#REF!</v>
      </c>
      <c r="CN109" t="e">
        <f>AND(Sheet1!#REF!,"AAAAAG1xtVs=")</f>
        <v>#REF!</v>
      </c>
      <c r="CO109">
        <f>IF(Sheet1!1461:1461,"AAAAAG1xtVw=",0)</f>
        <v>0</v>
      </c>
      <c r="CP109" t="e">
        <f>AND(Sheet1!A1461,"AAAAAG1xtV0=")</f>
        <v>#VALUE!</v>
      </c>
      <c r="CQ109" t="e">
        <f>AND(Sheet1!B1461,"AAAAAG1xtV4=")</f>
        <v>#VALUE!</v>
      </c>
      <c r="CR109" t="e">
        <f>AND(Sheet1!C1461,"AAAAAG1xtV8=")</f>
        <v>#VALUE!</v>
      </c>
      <c r="CS109" t="e">
        <f>AND(Sheet1!D1461,"AAAAAG1xtWA=")</f>
        <v>#VALUE!</v>
      </c>
      <c r="CT109" t="e">
        <f>AND(Sheet1!E1461,"AAAAAG1xtWE=")</f>
        <v>#VALUE!</v>
      </c>
      <c r="CU109" t="e">
        <f>AND(Sheet1!F1461,"AAAAAG1xtWI=")</f>
        <v>#VALUE!</v>
      </c>
      <c r="CV109" t="e">
        <f>AND(Sheet1!G1461,"AAAAAG1xtWM=")</f>
        <v>#VALUE!</v>
      </c>
      <c r="CW109" t="e">
        <f>AND(Sheet1!H1461,"AAAAAG1xtWQ=")</f>
        <v>#VALUE!</v>
      </c>
      <c r="CX109" t="e">
        <f>AND(Sheet1!I1461,"AAAAAG1xtWU=")</f>
        <v>#VALUE!</v>
      </c>
      <c r="CY109" t="e">
        <f>AND(Sheet1!J1461,"AAAAAG1xtWY=")</f>
        <v>#VALUE!</v>
      </c>
      <c r="CZ109" t="e">
        <f>AND(Sheet1!K1461,"AAAAAG1xtWc=")</f>
        <v>#VALUE!</v>
      </c>
      <c r="DA109" t="e">
        <f>AND(Sheet1!L1461,"AAAAAG1xtWg=")</f>
        <v>#VALUE!</v>
      </c>
      <c r="DB109" t="e">
        <f>AND(Sheet1!M1461,"AAAAAG1xtWk=")</f>
        <v>#VALUE!</v>
      </c>
      <c r="DC109" t="e">
        <f>AND(Sheet1!N1461,"AAAAAG1xtWo=")</f>
        <v>#VALUE!</v>
      </c>
      <c r="DD109" t="e">
        <f>AND(Sheet1!#REF!,"AAAAAG1xtWs=")</f>
        <v>#REF!</v>
      </c>
      <c r="DE109" t="e">
        <f>AND(Sheet1!#REF!,"AAAAAG1xtWw=")</f>
        <v>#REF!</v>
      </c>
      <c r="DF109" t="e">
        <f>AND(Sheet1!#REF!,"AAAAAG1xtW0=")</f>
        <v>#REF!</v>
      </c>
      <c r="DG109" t="e">
        <f>AND(Sheet1!#REF!,"AAAAAG1xtW4=")</f>
        <v>#REF!</v>
      </c>
      <c r="DH109">
        <f>IF(Sheet1!1462:1462,"AAAAAG1xtW8=",0)</f>
        <v>0</v>
      </c>
      <c r="DI109" t="e">
        <f>AND(Sheet1!A1462,"AAAAAG1xtXA=")</f>
        <v>#VALUE!</v>
      </c>
      <c r="DJ109" t="e">
        <f>AND(Sheet1!B1462,"AAAAAG1xtXE=")</f>
        <v>#VALUE!</v>
      </c>
      <c r="DK109" t="e">
        <f>AND(Sheet1!C1462,"AAAAAG1xtXI=")</f>
        <v>#VALUE!</v>
      </c>
      <c r="DL109" t="e">
        <f>AND(Sheet1!D1462,"AAAAAG1xtXM=")</f>
        <v>#VALUE!</v>
      </c>
      <c r="DM109" t="e">
        <f>AND(Sheet1!E1462,"AAAAAG1xtXQ=")</f>
        <v>#VALUE!</v>
      </c>
      <c r="DN109" t="e">
        <f>AND(Sheet1!F1462,"AAAAAG1xtXU=")</f>
        <v>#VALUE!</v>
      </c>
      <c r="DO109" t="e">
        <f>AND(Sheet1!G1462,"AAAAAG1xtXY=")</f>
        <v>#VALUE!</v>
      </c>
      <c r="DP109" t="e">
        <f>AND(Sheet1!H1462,"AAAAAG1xtXc=")</f>
        <v>#VALUE!</v>
      </c>
      <c r="DQ109" t="e">
        <f>AND(Sheet1!I1462,"AAAAAG1xtXg=")</f>
        <v>#VALUE!</v>
      </c>
      <c r="DR109" t="e">
        <f>AND(Sheet1!J1462,"AAAAAG1xtXk=")</f>
        <v>#VALUE!</v>
      </c>
      <c r="DS109" t="e">
        <f>AND(Sheet1!K1462,"AAAAAG1xtXo=")</f>
        <v>#VALUE!</v>
      </c>
      <c r="DT109" t="e">
        <f>AND(Sheet1!L1462,"AAAAAG1xtXs=")</f>
        <v>#VALUE!</v>
      </c>
      <c r="DU109" t="e">
        <f>AND(Sheet1!M1462,"AAAAAG1xtXw=")</f>
        <v>#VALUE!</v>
      </c>
      <c r="DV109" t="e">
        <f>AND(Sheet1!N1462,"AAAAAG1xtX0=")</f>
        <v>#VALUE!</v>
      </c>
      <c r="DW109" t="e">
        <f>AND(Sheet1!#REF!,"AAAAAG1xtX4=")</f>
        <v>#REF!</v>
      </c>
      <c r="DX109" t="e">
        <f>AND(Sheet1!#REF!,"AAAAAG1xtX8=")</f>
        <v>#REF!</v>
      </c>
      <c r="DY109" t="e">
        <f>AND(Sheet1!#REF!,"AAAAAG1xtYA=")</f>
        <v>#REF!</v>
      </c>
      <c r="DZ109" t="e">
        <f>AND(Sheet1!#REF!,"AAAAAG1xtYE=")</f>
        <v>#REF!</v>
      </c>
      <c r="EA109">
        <f>IF(Sheet1!1463:1463,"AAAAAG1xtYI=",0)</f>
        <v>0</v>
      </c>
      <c r="EB109" t="e">
        <f>AND(Sheet1!A1463,"AAAAAG1xtYM=")</f>
        <v>#VALUE!</v>
      </c>
      <c r="EC109" t="e">
        <f>AND(Sheet1!B1463,"AAAAAG1xtYQ=")</f>
        <v>#VALUE!</v>
      </c>
      <c r="ED109" t="e">
        <f>AND(Sheet1!C1463,"AAAAAG1xtYU=")</f>
        <v>#VALUE!</v>
      </c>
      <c r="EE109" t="e">
        <f>AND(Sheet1!D1463,"AAAAAG1xtYY=")</f>
        <v>#VALUE!</v>
      </c>
      <c r="EF109" t="e">
        <f>AND(Sheet1!E1463,"AAAAAG1xtYc=")</f>
        <v>#VALUE!</v>
      </c>
      <c r="EG109" t="e">
        <f>AND(Sheet1!F1463,"AAAAAG1xtYg=")</f>
        <v>#VALUE!</v>
      </c>
      <c r="EH109" t="e">
        <f>AND(Sheet1!G1463,"AAAAAG1xtYk=")</f>
        <v>#VALUE!</v>
      </c>
      <c r="EI109" t="e">
        <f>AND(Sheet1!H1463,"AAAAAG1xtYo=")</f>
        <v>#VALUE!</v>
      </c>
      <c r="EJ109" t="e">
        <f>AND(Sheet1!I1463,"AAAAAG1xtYs=")</f>
        <v>#VALUE!</v>
      </c>
      <c r="EK109" t="e">
        <f>AND(Sheet1!J1463,"AAAAAG1xtYw=")</f>
        <v>#VALUE!</v>
      </c>
      <c r="EL109" t="e">
        <f>AND(Sheet1!K1463,"AAAAAG1xtY0=")</f>
        <v>#VALUE!</v>
      </c>
      <c r="EM109" t="e">
        <f>AND(Sheet1!L1463,"AAAAAG1xtY4=")</f>
        <v>#VALUE!</v>
      </c>
      <c r="EN109" t="e">
        <f>AND(Sheet1!M1463,"AAAAAG1xtY8=")</f>
        <v>#VALUE!</v>
      </c>
      <c r="EO109" t="e">
        <f>AND(Sheet1!N1463,"AAAAAG1xtZA=")</f>
        <v>#VALUE!</v>
      </c>
      <c r="EP109" t="e">
        <f>AND(Sheet1!#REF!,"AAAAAG1xtZE=")</f>
        <v>#REF!</v>
      </c>
      <c r="EQ109" t="e">
        <f>AND(Sheet1!#REF!,"AAAAAG1xtZI=")</f>
        <v>#REF!</v>
      </c>
      <c r="ER109" t="e">
        <f>AND(Sheet1!#REF!,"AAAAAG1xtZM=")</f>
        <v>#REF!</v>
      </c>
      <c r="ES109" t="e">
        <f>AND(Sheet1!#REF!,"AAAAAG1xtZQ=")</f>
        <v>#REF!</v>
      </c>
      <c r="ET109">
        <f>IF(Sheet1!1464:1464,"AAAAAG1xtZU=",0)</f>
        <v>0</v>
      </c>
      <c r="EU109" t="e">
        <f>AND(Sheet1!A1464,"AAAAAG1xtZY=")</f>
        <v>#VALUE!</v>
      </c>
      <c r="EV109" t="e">
        <f>AND(Sheet1!B1464,"AAAAAG1xtZc=")</f>
        <v>#VALUE!</v>
      </c>
      <c r="EW109" t="e">
        <f>AND(Sheet1!C1464,"AAAAAG1xtZg=")</f>
        <v>#VALUE!</v>
      </c>
      <c r="EX109" t="e">
        <f>AND(Sheet1!D1464,"AAAAAG1xtZk=")</f>
        <v>#VALUE!</v>
      </c>
      <c r="EY109" t="e">
        <f>AND(Sheet1!E1464,"AAAAAG1xtZo=")</f>
        <v>#VALUE!</v>
      </c>
      <c r="EZ109" t="e">
        <f>AND(Sheet1!F1464,"AAAAAG1xtZs=")</f>
        <v>#VALUE!</v>
      </c>
      <c r="FA109" t="e">
        <f>AND(Sheet1!G1464,"AAAAAG1xtZw=")</f>
        <v>#VALUE!</v>
      </c>
      <c r="FB109" t="e">
        <f>AND(Sheet1!H1464,"AAAAAG1xtZ0=")</f>
        <v>#VALUE!</v>
      </c>
      <c r="FC109" t="e">
        <f>AND(Sheet1!I1464,"AAAAAG1xtZ4=")</f>
        <v>#VALUE!</v>
      </c>
      <c r="FD109" t="e">
        <f>AND(Sheet1!J1464,"AAAAAG1xtZ8=")</f>
        <v>#VALUE!</v>
      </c>
      <c r="FE109" t="e">
        <f>AND(Sheet1!K1464,"AAAAAG1xtaA=")</f>
        <v>#VALUE!</v>
      </c>
      <c r="FF109" t="e">
        <f>AND(Sheet1!L1464,"AAAAAG1xtaE=")</f>
        <v>#VALUE!</v>
      </c>
      <c r="FG109" t="e">
        <f>AND(Sheet1!M1464,"AAAAAG1xtaI=")</f>
        <v>#VALUE!</v>
      </c>
      <c r="FH109" t="e">
        <f>AND(Sheet1!N1464,"AAAAAG1xtaM=")</f>
        <v>#VALUE!</v>
      </c>
      <c r="FI109" t="e">
        <f>AND(Sheet1!#REF!,"AAAAAG1xtaQ=")</f>
        <v>#REF!</v>
      </c>
      <c r="FJ109" t="e">
        <f>AND(Sheet1!#REF!,"AAAAAG1xtaU=")</f>
        <v>#REF!</v>
      </c>
      <c r="FK109" t="e">
        <f>AND(Sheet1!#REF!,"AAAAAG1xtaY=")</f>
        <v>#REF!</v>
      </c>
      <c r="FL109" t="e">
        <f>AND(Sheet1!#REF!,"AAAAAG1xtac=")</f>
        <v>#REF!</v>
      </c>
      <c r="FM109">
        <f>IF(Sheet1!1465:1465,"AAAAAG1xtag=",0)</f>
        <v>0</v>
      </c>
      <c r="FN109" t="e">
        <f>AND(Sheet1!A1465,"AAAAAG1xtak=")</f>
        <v>#VALUE!</v>
      </c>
      <c r="FO109" t="e">
        <f>AND(Sheet1!B1465,"AAAAAG1xtao=")</f>
        <v>#VALUE!</v>
      </c>
      <c r="FP109" t="e">
        <f>AND(Sheet1!C1465,"AAAAAG1xtas=")</f>
        <v>#VALUE!</v>
      </c>
      <c r="FQ109" t="e">
        <f>AND(Sheet1!D1465,"AAAAAG1xtaw=")</f>
        <v>#VALUE!</v>
      </c>
      <c r="FR109" t="e">
        <f>AND(Sheet1!E1465,"AAAAAG1xta0=")</f>
        <v>#VALUE!</v>
      </c>
      <c r="FS109" t="e">
        <f>AND(Sheet1!F1465,"AAAAAG1xta4=")</f>
        <v>#VALUE!</v>
      </c>
      <c r="FT109" t="e">
        <f>AND(Sheet1!G1465,"AAAAAG1xta8=")</f>
        <v>#VALUE!</v>
      </c>
      <c r="FU109" t="e">
        <f>AND(Sheet1!H1465,"AAAAAG1xtbA=")</f>
        <v>#VALUE!</v>
      </c>
      <c r="FV109" t="e">
        <f>AND(Sheet1!I1465,"AAAAAG1xtbE=")</f>
        <v>#VALUE!</v>
      </c>
      <c r="FW109" t="e">
        <f>AND(Sheet1!J1465,"AAAAAG1xtbI=")</f>
        <v>#VALUE!</v>
      </c>
      <c r="FX109" t="e">
        <f>AND(Sheet1!K1465,"AAAAAG1xtbM=")</f>
        <v>#VALUE!</v>
      </c>
      <c r="FY109" t="e">
        <f>AND(Sheet1!L1465,"AAAAAG1xtbQ=")</f>
        <v>#VALUE!</v>
      </c>
      <c r="FZ109" t="e">
        <f>AND(Sheet1!M1465,"AAAAAG1xtbU=")</f>
        <v>#VALUE!</v>
      </c>
      <c r="GA109" t="e">
        <f>AND(Sheet1!N1465,"AAAAAG1xtbY=")</f>
        <v>#VALUE!</v>
      </c>
      <c r="GB109" t="e">
        <f>AND(Sheet1!#REF!,"AAAAAG1xtbc=")</f>
        <v>#REF!</v>
      </c>
      <c r="GC109" t="e">
        <f>AND(Sheet1!#REF!,"AAAAAG1xtbg=")</f>
        <v>#REF!</v>
      </c>
      <c r="GD109" t="e">
        <f>AND(Sheet1!#REF!,"AAAAAG1xtbk=")</f>
        <v>#REF!</v>
      </c>
      <c r="GE109" t="e">
        <f>AND(Sheet1!#REF!,"AAAAAG1xtbo=")</f>
        <v>#REF!</v>
      </c>
      <c r="GF109">
        <f>IF(Sheet1!1466:1466,"AAAAAG1xtbs=",0)</f>
        <v>0</v>
      </c>
      <c r="GG109" t="e">
        <f>AND(Sheet1!A1466,"AAAAAG1xtbw=")</f>
        <v>#VALUE!</v>
      </c>
      <c r="GH109" t="e">
        <f>AND(Sheet1!B1466,"AAAAAG1xtb0=")</f>
        <v>#VALUE!</v>
      </c>
      <c r="GI109" t="e">
        <f>AND(Sheet1!C1466,"AAAAAG1xtb4=")</f>
        <v>#VALUE!</v>
      </c>
      <c r="GJ109" t="e">
        <f>AND(Sheet1!D1466,"AAAAAG1xtb8=")</f>
        <v>#VALUE!</v>
      </c>
      <c r="GK109" t="e">
        <f>AND(Sheet1!E1466,"AAAAAG1xtcA=")</f>
        <v>#VALUE!</v>
      </c>
      <c r="GL109" t="e">
        <f>AND(Sheet1!F1466,"AAAAAG1xtcE=")</f>
        <v>#VALUE!</v>
      </c>
      <c r="GM109" t="e">
        <f>AND(Sheet1!G1466,"AAAAAG1xtcI=")</f>
        <v>#VALUE!</v>
      </c>
      <c r="GN109" t="e">
        <f>AND(Sheet1!H1466,"AAAAAG1xtcM=")</f>
        <v>#VALUE!</v>
      </c>
      <c r="GO109" t="e">
        <f>AND(Sheet1!I1466,"AAAAAG1xtcQ=")</f>
        <v>#VALUE!</v>
      </c>
      <c r="GP109" t="e">
        <f>AND(Sheet1!J1466,"AAAAAG1xtcU=")</f>
        <v>#VALUE!</v>
      </c>
      <c r="GQ109" t="e">
        <f>AND(Sheet1!K1466,"AAAAAG1xtcY=")</f>
        <v>#VALUE!</v>
      </c>
      <c r="GR109" t="e">
        <f>AND(Sheet1!L1466,"AAAAAG1xtcc=")</f>
        <v>#VALUE!</v>
      </c>
      <c r="GS109" t="e">
        <f>AND(Sheet1!M1466,"AAAAAG1xtcg=")</f>
        <v>#VALUE!</v>
      </c>
      <c r="GT109" t="e">
        <f>AND(Sheet1!N1466,"AAAAAG1xtck=")</f>
        <v>#VALUE!</v>
      </c>
      <c r="GU109" t="e">
        <f>AND(Sheet1!#REF!,"AAAAAG1xtco=")</f>
        <v>#REF!</v>
      </c>
      <c r="GV109" t="e">
        <f>AND(Sheet1!#REF!,"AAAAAG1xtcs=")</f>
        <v>#REF!</v>
      </c>
      <c r="GW109" t="e">
        <f>AND(Sheet1!#REF!,"AAAAAG1xtcw=")</f>
        <v>#REF!</v>
      </c>
      <c r="GX109" t="e">
        <f>AND(Sheet1!#REF!,"AAAAAG1xtc0=")</f>
        <v>#REF!</v>
      </c>
      <c r="GY109">
        <f>IF(Sheet1!1467:1467,"AAAAAG1xtc4=",0)</f>
        <v>0</v>
      </c>
      <c r="GZ109" t="e">
        <f>AND(Sheet1!A1467,"AAAAAG1xtc8=")</f>
        <v>#VALUE!</v>
      </c>
      <c r="HA109" t="e">
        <f>AND(Sheet1!B1467,"AAAAAG1xtdA=")</f>
        <v>#VALUE!</v>
      </c>
      <c r="HB109" t="e">
        <f>AND(Sheet1!C1467,"AAAAAG1xtdE=")</f>
        <v>#VALUE!</v>
      </c>
      <c r="HC109" t="e">
        <f>AND(Sheet1!D1467,"AAAAAG1xtdI=")</f>
        <v>#VALUE!</v>
      </c>
      <c r="HD109" t="e">
        <f>AND(Sheet1!E1467,"AAAAAG1xtdM=")</f>
        <v>#VALUE!</v>
      </c>
      <c r="HE109" t="e">
        <f>AND(Sheet1!F1467,"AAAAAG1xtdQ=")</f>
        <v>#VALUE!</v>
      </c>
      <c r="HF109" t="e">
        <f>AND(Sheet1!G1467,"AAAAAG1xtdU=")</f>
        <v>#VALUE!</v>
      </c>
      <c r="HG109" t="e">
        <f>AND(Sheet1!H1467,"AAAAAG1xtdY=")</f>
        <v>#VALUE!</v>
      </c>
      <c r="HH109" t="e">
        <f>AND(Sheet1!I1467,"AAAAAG1xtdc=")</f>
        <v>#VALUE!</v>
      </c>
      <c r="HI109" t="e">
        <f>AND(Sheet1!J1467,"AAAAAG1xtdg=")</f>
        <v>#VALUE!</v>
      </c>
      <c r="HJ109" t="e">
        <f>AND(Sheet1!K1467,"AAAAAG1xtdk=")</f>
        <v>#VALUE!</v>
      </c>
      <c r="HK109" t="e">
        <f>AND(Sheet1!L1467,"AAAAAG1xtdo=")</f>
        <v>#VALUE!</v>
      </c>
      <c r="HL109" t="e">
        <f>AND(Sheet1!M1467,"AAAAAG1xtds=")</f>
        <v>#VALUE!</v>
      </c>
      <c r="HM109" t="e">
        <f>AND(Sheet1!N1467,"AAAAAG1xtdw=")</f>
        <v>#VALUE!</v>
      </c>
      <c r="HN109" t="e">
        <f>AND(Sheet1!#REF!,"AAAAAG1xtd0=")</f>
        <v>#REF!</v>
      </c>
      <c r="HO109" t="e">
        <f>AND(Sheet1!#REF!,"AAAAAG1xtd4=")</f>
        <v>#REF!</v>
      </c>
      <c r="HP109" t="e">
        <f>AND(Sheet1!#REF!,"AAAAAG1xtd8=")</f>
        <v>#REF!</v>
      </c>
      <c r="HQ109" t="e">
        <f>AND(Sheet1!#REF!,"AAAAAG1xteA=")</f>
        <v>#REF!</v>
      </c>
      <c r="HR109">
        <f>IF(Sheet1!1468:1468,"AAAAAG1xteE=",0)</f>
        <v>0</v>
      </c>
      <c r="HS109" t="e">
        <f>AND(Sheet1!A1468,"AAAAAG1xteI=")</f>
        <v>#VALUE!</v>
      </c>
      <c r="HT109" t="e">
        <f>AND(Sheet1!B1468,"AAAAAG1xteM=")</f>
        <v>#VALUE!</v>
      </c>
      <c r="HU109" t="e">
        <f>AND(Sheet1!C1468,"AAAAAG1xteQ=")</f>
        <v>#VALUE!</v>
      </c>
      <c r="HV109" t="e">
        <f>AND(Sheet1!D1468,"AAAAAG1xteU=")</f>
        <v>#VALUE!</v>
      </c>
      <c r="HW109" t="e">
        <f>AND(Sheet1!E1468,"AAAAAG1xteY=")</f>
        <v>#VALUE!</v>
      </c>
      <c r="HX109" t="e">
        <f>AND(Sheet1!F1468,"AAAAAG1xtec=")</f>
        <v>#VALUE!</v>
      </c>
      <c r="HY109" t="e">
        <f>AND(Sheet1!G1468,"AAAAAG1xteg=")</f>
        <v>#VALUE!</v>
      </c>
      <c r="HZ109" t="e">
        <f>AND(Sheet1!H1468,"AAAAAG1xtek=")</f>
        <v>#VALUE!</v>
      </c>
      <c r="IA109" t="e">
        <f>AND(Sheet1!I1468,"AAAAAG1xteo=")</f>
        <v>#VALUE!</v>
      </c>
      <c r="IB109" t="e">
        <f>AND(Sheet1!J1468,"AAAAAG1xtes=")</f>
        <v>#VALUE!</v>
      </c>
      <c r="IC109" t="e">
        <f>AND(Sheet1!K1468,"AAAAAG1xtew=")</f>
        <v>#VALUE!</v>
      </c>
      <c r="ID109" t="e">
        <f>AND(Sheet1!L1468,"AAAAAG1xte0=")</f>
        <v>#VALUE!</v>
      </c>
      <c r="IE109" t="e">
        <f>AND(Sheet1!M1468,"AAAAAG1xte4=")</f>
        <v>#VALUE!</v>
      </c>
      <c r="IF109" t="e">
        <f>AND(Sheet1!N1468,"AAAAAG1xte8=")</f>
        <v>#VALUE!</v>
      </c>
      <c r="IG109" t="e">
        <f>AND(Sheet1!#REF!,"AAAAAG1xtfA=")</f>
        <v>#REF!</v>
      </c>
      <c r="IH109" t="e">
        <f>AND(Sheet1!#REF!,"AAAAAG1xtfE=")</f>
        <v>#REF!</v>
      </c>
      <c r="II109" t="e">
        <f>AND(Sheet1!#REF!,"AAAAAG1xtfI=")</f>
        <v>#REF!</v>
      </c>
      <c r="IJ109" t="e">
        <f>AND(Sheet1!#REF!,"AAAAAG1xtfM=")</f>
        <v>#REF!</v>
      </c>
      <c r="IK109">
        <f>IF(Sheet1!1469:1469,"AAAAAG1xtfQ=",0)</f>
        <v>0</v>
      </c>
      <c r="IL109" t="e">
        <f>AND(Sheet1!A1469,"AAAAAG1xtfU=")</f>
        <v>#VALUE!</v>
      </c>
      <c r="IM109" t="e">
        <f>AND(Sheet1!B1469,"AAAAAG1xtfY=")</f>
        <v>#VALUE!</v>
      </c>
      <c r="IN109" t="e">
        <f>AND(Sheet1!C1469,"AAAAAG1xtfc=")</f>
        <v>#VALUE!</v>
      </c>
      <c r="IO109" t="e">
        <f>AND(Sheet1!D1469,"AAAAAG1xtfg=")</f>
        <v>#VALUE!</v>
      </c>
      <c r="IP109" t="e">
        <f>AND(Sheet1!E1469,"AAAAAG1xtfk=")</f>
        <v>#VALUE!</v>
      </c>
      <c r="IQ109" t="e">
        <f>AND(Sheet1!F1469,"AAAAAG1xtfo=")</f>
        <v>#VALUE!</v>
      </c>
      <c r="IR109" t="e">
        <f>AND(Sheet1!G1469,"AAAAAG1xtfs=")</f>
        <v>#VALUE!</v>
      </c>
      <c r="IS109" t="e">
        <f>AND(Sheet1!H1469,"AAAAAG1xtfw=")</f>
        <v>#VALUE!</v>
      </c>
      <c r="IT109" t="e">
        <f>AND(Sheet1!I1469,"AAAAAG1xtf0=")</f>
        <v>#VALUE!</v>
      </c>
      <c r="IU109" t="e">
        <f>AND(Sheet1!J1469,"AAAAAG1xtf4=")</f>
        <v>#VALUE!</v>
      </c>
      <c r="IV109" t="e">
        <f>AND(Sheet1!K1469,"AAAAAG1xtf8=")</f>
        <v>#VALUE!</v>
      </c>
    </row>
    <row r="110" spans="1:256" x14ac:dyDescent="0.2">
      <c r="A110" t="e">
        <f>AND(Sheet1!L1469,"AAAAAGt/dQA=")</f>
        <v>#VALUE!</v>
      </c>
      <c r="B110" t="e">
        <f>AND(Sheet1!M1469,"AAAAAGt/dQE=")</f>
        <v>#VALUE!</v>
      </c>
      <c r="C110" t="e">
        <f>AND(Sheet1!N1469,"AAAAAGt/dQI=")</f>
        <v>#VALUE!</v>
      </c>
      <c r="D110" t="e">
        <f>AND(Sheet1!#REF!,"AAAAAGt/dQM=")</f>
        <v>#REF!</v>
      </c>
      <c r="E110" t="e">
        <f>AND(Sheet1!#REF!,"AAAAAGt/dQQ=")</f>
        <v>#REF!</v>
      </c>
      <c r="F110" t="e">
        <f>AND(Sheet1!#REF!,"AAAAAGt/dQU=")</f>
        <v>#REF!</v>
      </c>
      <c r="G110" t="e">
        <f>AND(Sheet1!#REF!,"AAAAAGt/dQY=")</f>
        <v>#REF!</v>
      </c>
      <c r="H110">
        <f>IF(Sheet1!1470:1470,"AAAAAGt/dQc=",0)</f>
        <v>0</v>
      </c>
      <c r="I110" t="e">
        <f>AND(Sheet1!A1470,"AAAAAGt/dQg=")</f>
        <v>#VALUE!</v>
      </c>
      <c r="J110" t="e">
        <f>AND(Sheet1!B1470,"AAAAAGt/dQk=")</f>
        <v>#VALUE!</v>
      </c>
      <c r="K110" t="e">
        <f>AND(Sheet1!C1470,"AAAAAGt/dQo=")</f>
        <v>#VALUE!</v>
      </c>
      <c r="L110" t="e">
        <f>AND(Sheet1!D1470,"AAAAAGt/dQs=")</f>
        <v>#VALUE!</v>
      </c>
      <c r="M110" t="e">
        <f>AND(Sheet1!E1470,"AAAAAGt/dQw=")</f>
        <v>#VALUE!</v>
      </c>
      <c r="N110" t="e">
        <f>AND(Sheet1!F1470,"AAAAAGt/dQ0=")</f>
        <v>#VALUE!</v>
      </c>
      <c r="O110" t="e">
        <f>AND(Sheet1!G1470,"AAAAAGt/dQ4=")</f>
        <v>#VALUE!</v>
      </c>
      <c r="P110" t="e">
        <f>AND(Sheet1!H1470,"AAAAAGt/dQ8=")</f>
        <v>#VALUE!</v>
      </c>
      <c r="Q110" t="e">
        <f>AND(Sheet1!I1470,"AAAAAGt/dRA=")</f>
        <v>#VALUE!</v>
      </c>
      <c r="R110" t="e">
        <f>AND(Sheet1!J1470,"AAAAAGt/dRE=")</f>
        <v>#VALUE!</v>
      </c>
      <c r="S110" t="e">
        <f>AND(Sheet1!K1470,"AAAAAGt/dRI=")</f>
        <v>#VALUE!</v>
      </c>
      <c r="T110" t="e">
        <f>AND(Sheet1!L1470,"AAAAAGt/dRM=")</f>
        <v>#VALUE!</v>
      </c>
      <c r="U110" t="e">
        <f>AND(Sheet1!M1470,"AAAAAGt/dRQ=")</f>
        <v>#VALUE!</v>
      </c>
      <c r="V110" t="e">
        <f>AND(Sheet1!N1470,"AAAAAGt/dRU=")</f>
        <v>#VALUE!</v>
      </c>
      <c r="W110" t="e">
        <f>AND(Sheet1!#REF!,"AAAAAGt/dRY=")</f>
        <v>#REF!</v>
      </c>
      <c r="X110" t="e">
        <f>AND(Sheet1!#REF!,"AAAAAGt/dRc=")</f>
        <v>#REF!</v>
      </c>
      <c r="Y110" t="e">
        <f>AND(Sheet1!#REF!,"AAAAAGt/dRg=")</f>
        <v>#REF!</v>
      </c>
      <c r="Z110" t="e">
        <f>AND(Sheet1!#REF!,"AAAAAGt/dRk=")</f>
        <v>#REF!</v>
      </c>
      <c r="AA110">
        <f>IF(Sheet1!1471:1471,"AAAAAGt/dRo=",0)</f>
        <v>0</v>
      </c>
      <c r="AB110" t="e">
        <f>AND(Sheet1!A1471,"AAAAAGt/dRs=")</f>
        <v>#VALUE!</v>
      </c>
      <c r="AC110" t="e">
        <f>AND(Sheet1!B1471,"AAAAAGt/dRw=")</f>
        <v>#VALUE!</v>
      </c>
      <c r="AD110" t="e">
        <f>AND(Sheet1!C1471,"AAAAAGt/dR0=")</f>
        <v>#VALUE!</v>
      </c>
      <c r="AE110" t="e">
        <f>AND(Sheet1!D1471,"AAAAAGt/dR4=")</f>
        <v>#VALUE!</v>
      </c>
      <c r="AF110" t="e">
        <f>AND(Sheet1!E1471,"AAAAAGt/dR8=")</f>
        <v>#VALUE!</v>
      </c>
      <c r="AG110" t="e">
        <f>AND(Sheet1!F1471,"AAAAAGt/dSA=")</f>
        <v>#VALUE!</v>
      </c>
      <c r="AH110" t="e">
        <f>AND(Sheet1!G1471,"AAAAAGt/dSE=")</f>
        <v>#VALUE!</v>
      </c>
      <c r="AI110" t="e">
        <f>AND(Sheet1!H1471,"AAAAAGt/dSI=")</f>
        <v>#VALUE!</v>
      </c>
      <c r="AJ110" t="e">
        <f>AND(Sheet1!I1471,"AAAAAGt/dSM=")</f>
        <v>#VALUE!</v>
      </c>
      <c r="AK110" t="e">
        <f>AND(Sheet1!J1471,"AAAAAGt/dSQ=")</f>
        <v>#VALUE!</v>
      </c>
      <c r="AL110" t="e">
        <f>AND(Sheet1!K1471,"AAAAAGt/dSU=")</f>
        <v>#VALUE!</v>
      </c>
      <c r="AM110" t="e">
        <f>AND(Sheet1!L1471,"AAAAAGt/dSY=")</f>
        <v>#VALUE!</v>
      </c>
      <c r="AN110" t="e">
        <f>AND(Sheet1!M1471,"AAAAAGt/dSc=")</f>
        <v>#VALUE!</v>
      </c>
      <c r="AO110" t="e">
        <f>AND(Sheet1!N1471,"AAAAAGt/dSg=")</f>
        <v>#VALUE!</v>
      </c>
      <c r="AP110" t="e">
        <f>AND(Sheet1!#REF!,"AAAAAGt/dSk=")</f>
        <v>#REF!</v>
      </c>
      <c r="AQ110" t="e">
        <f>AND(Sheet1!#REF!,"AAAAAGt/dSo=")</f>
        <v>#REF!</v>
      </c>
      <c r="AR110" t="e">
        <f>AND(Sheet1!#REF!,"AAAAAGt/dSs=")</f>
        <v>#REF!</v>
      </c>
      <c r="AS110" t="e">
        <f>AND(Sheet1!#REF!,"AAAAAGt/dSw=")</f>
        <v>#REF!</v>
      </c>
      <c r="AT110">
        <f>IF(Sheet1!1472:1472,"AAAAAGt/dS0=",0)</f>
        <v>0</v>
      </c>
      <c r="AU110" t="e">
        <f>AND(Sheet1!A1472,"AAAAAGt/dS4=")</f>
        <v>#VALUE!</v>
      </c>
      <c r="AV110" t="e">
        <f>AND(Sheet1!B1472,"AAAAAGt/dS8=")</f>
        <v>#VALUE!</v>
      </c>
      <c r="AW110" t="e">
        <f>AND(Sheet1!C1472,"AAAAAGt/dTA=")</f>
        <v>#VALUE!</v>
      </c>
      <c r="AX110" t="e">
        <f>AND(Sheet1!D1472,"AAAAAGt/dTE=")</f>
        <v>#VALUE!</v>
      </c>
      <c r="AY110" t="e">
        <f>AND(Sheet1!E1472,"AAAAAGt/dTI=")</f>
        <v>#VALUE!</v>
      </c>
      <c r="AZ110" t="e">
        <f>AND(Sheet1!F1472,"AAAAAGt/dTM=")</f>
        <v>#VALUE!</v>
      </c>
      <c r="BA110" t="e">
        <f>AND(Sheet1!G1472,"AAAAAGt/dTQ=")</f>
        <v>#VALUE!</v>
      </c>
      <c r="BB110" t="e">
        <f>AND(Sheet1!H1472,"AAAAAGt/dTU=")</f>
        <v>#VALUE!</v>
      </c>
      <c r="BC110" t="e">
        <f>AND(Sheet1!I1472,"AAAAAGt/dTY=")</f>
        <v>#VALUE!</v>
      </c>
      <c r="BD110" t="e">
        <f>AND(Sheet1!J1472,"AAAAAGt/dTc=")</f>
        <v>#VALUE!</v>
      </c>
      <c r="BE110" t="e">
        <f>AND(Sheet1!K1472,"AAAAAGt/dTg=")</f>
        <v>#VALUE!</v>
      </c>
      <c r="BF110" t="e">
        <f>AND(Sheet1!L1472,"AAAAAGt/dTk=")</f>
        <v>#VALUE!</v>
      </c>
      <c r="BG110" t="e">
        <f>AND(Sheet1!M1472,"AAAAAGt/dTo=")</f>
        <v>#VALUE!</v>
      </c>
      <c r="BH110" t="e">
        <f>AND(Sheet1!N1472,"AAAAAGt/dTs=")</f>
        <v>#VALUE!</v>
      </c>
      <c r="BI110" t="e">
        <f>AND(Sheet1!#REF!,"AAAAAGt/dTw=")</f>
        <v>#REF!</v>
      </c>
      <c r="BJ110" t="e">
        <f>AND(Sheet1!#REF!,"AAAAAGt/dT0=")</f>
        <v>#REF!</v>
      </c>
      <c r="BK110" t="e">
        <f>AND(Sheet1!#REF!,"AAAAAGt/dT4=")</f>
        <v>#REF!</v>
      </c>
      <c r="BL110" t="e">
        <f>AND(Sheet1!#REF!,"AAAAAGt/dT8=")</f>
        <v>#REF!</v>
      </c>
      <c r="BM110">
        <f>IF(Sheet1!1473:1473,"AAAAAGt/dUA=",0)</f>
        <v>0</v>
      </c>
      <c r="BN110" t="e">
        <f>AND(Sheet1!A1473,"AAAAAGt/dUE=")</f>
        <v>#VALUE!</v>
      </c>
      <c r="BO110" t="e">
        <f>AND(Sheet1!B1473,"AAAAAGt/dUI=")</f>
        <v>#VALUE!</v>
      </c>
      <c r="BP110" t="e">
        <f>AND(Sheet1!C1473,"AAAAAGt/dUM=")</f>
        <v>#VALUE!</v>
      </c>
      <c r="BQ110" t="e">
        <f>AND(Sheet1!D1473,"AAAAAGt/dUQ=")</f>
        <v>#VALUE!</v>
      </c>
      <c r="BR110" t="e">
        <f>AND(Sheet1!E1473,"AAAAAGt/dUU=")</f>
        <v>#VALUE!</v>
      </c>
      <c r="BS110" t="e">
        <f>AND(Sheet1!F1473,"AAAAAGt/dUY=")</f>
        <v>#VALUE!</v>
      </c>
      <c r="BT110" t="e">
        <f>AND(Sheet1!G1473,"AAAAAGt/dUc=")</f>
        <v>#VALUE!</v>
      </c>
      <c r="BU110" t="e">
        <f>AND(Sheet1!H1473,"AAAAAGt/dUg=")</f>
        <v>#VALUE!</v>
      </c>
      <c r="BV110" t="e">
        <f>AND(Sheet1!I1473,"AAAAAGt/dUk=")</f>
        <v>#VALUE!</v>
      </c>
      <c r="BW110" t="e">
        <f>AND(Sheet1!J1473,"AAAAAGt/dUo=")</f>
        <v>#VALUE!</v>
      </c>
      <c r="BX110" t="e">
        <f>AND(Sheet1!K1473,"AAAAAGt/dUs=")</f>
        <v>#VALUE!</v>
      </c>
      <c r="BY110" t="e">
        <f>AND(Sheet1!L1473,"AAAAAGt/dUw=")</f>
        <v>#VALUE!</v>
      </c>
      <c r="BZ110" t="e">
        <f>AND(Sheet1!M1473,"AAAAAGt/dU0=")</f>
        <v>#VALUE!</v>
      </c>
      <c r="CA110" t="e">
        <f>AND(Sheet1!N1473,"AAAAAGt/dU4=")</f>
        <v>#VALUE!</v>
      </c>
      <c r="CB110" t="e">
        <f>AND(Sheet1!#REF!,"AAAAAGt/dU8=")</f>
        <v>#REF!</v>
      </c>
      <c r="CC110" t="e">
        <f>AND(Sheet1!#REF!,"AAAAAGt/dVA=")</f>
        <v>#REF!</v>
      </c>
      <c r="CD110" t="e">
        <f>AND(Sheet1!#REF!,"AAAAAGt/dVE=")</f>
        <v>#REF!</v>
      </c>
      <c r="CE110" t="e">
        <f>AND(Sheet1!#REF!,"AAAAAGt/dVI=")</f>
        <v>#REF!</v>
      </c>
      <c r="CF110">
        <f>IF(Sheet1!1474:1474,"AAAAAGt/dVM=",0)</f>
        <v>0</v>
      </c>
      <c r="CG110" t="e">
        <f>AND(Sheet1!A1474,"AAAAAGt/dVQ=")</f>
        <v>#VALUE!</v>
      </c>
      <c r="CH110" t="e">
        <f>AND(Sheet1!B1474,"AAAAAGt/dVU=")</f>
        <v>#VALUE!</v>
      </c>
      <c r="CI110" t="e">
        <f>AND(Sheet1!C1474,"AAAAAGt/dVY=")</f>
        <v>#VALUE!</v>
      </c>
      <c r="CJ110" t="e">
        <f>AND(Sheet1!D1474,"AAAAAGt/dVc=")</f>
        <v>#VALUE!</v>
      </c>
      <c r="CK110" t="e">
        <f>AND(Sheet1!E1474,"AAAAAGt/dVg=")</f>
        <v>#VALUE!</v>
      </c>
      <c r="CL110" t="e">
        <f>AND(Sheet1!F1474,"AAAAAGt/dVk=")</f>
        <v>#VALUE!</v>
      </c>
      <c r="CM110" t="e">
        <f>AND(Sheet1!G1474,"AAAAAGt/dVo=")</f>
        <v>#VALUE!</v>
      </c>
      <c r="CN110" t="e">
        <f>AND(Sheet1!H1474,"AAAAAGt/dVs=")</f>
        <v>#VALUE!</v>
      </c>
      <c r="CO110" t="e">
        <f>AND(Sheet1!I1474,"AAAAAGt/dVw=")</f>
        <v>#VALUE!</v>
      </c>
      <c r="CP110" t="e">
        <f>AND(Sheet1!J1474,"AAAAAGt/dV0=")</f>
        <v>#VALUE!</v>
      </c>
      <c r="CQ110" t="e">
        <f>AND(Sheet1!K1474,"AAAAAGt/dV4=")</f>
        <v>#VALUE!</v>
      </c>
      <c r="CR110" t="e">
        <f>AND(Sheet1!L1474,"AAAAAGt/dV8=")</f>
        <v>#VALUE!</v>
      </c>
      <c r="CS110" t="e">
        <f>AND(Sheet1!M1474,"AAAAAGt/dWA=")</f>
        <v>#VALUE!</v>
      </c>
      <c r="CT110" t="e">
        <f>AND(Sheet1!N1474,"AAAAAGt/dWE=")</f>
        <v>#VALUE!</v>
      </c>
      <c r="CU110" t="e">
        <f>AND(Sheet1!#REF!,"AAAAAGt/dWI=")</f>
        <v>#REF!</v>
      </c>
      <c r="CV110" t="e">
        <f>AND(Sheet1!#REF!,"AAAAAGt/dWM=")</f>
        <v>#REF!</v>
      </c>
      <c r="CW110" t="e">
        <f>AND(Sheet1!#REF!,"AAAAAGt/dWQ=")</f>
        <v>#REF!</v>
      </c>
      <c r="CX110" t="e">
        <f>AND(Sheet1!#REF!,"AAAAAGt/dWU=")</f>
        <v>#REF!</v>
      </c>
      <c r="CY110">
        <f>IF(Sheet1!1475:1475,"AAAAAGt/dWY=",0)</f>
        <v>0</v>
      </c>
      <c r="CZ110" t="e">
        <f>AND(Sheet1!A1475,"AAAAAGt/dWc=")</f>
        <v>#VALUE!</v>
      </c>
      <c r="DA110" t="e">
        <f>AND(Sheet1!B1475,"AAAAAGt/dWg=")</f>
        <v>#VALUE!</v>
      </c>
      <c r="DB110" t="e">
        <f>AND(Sheet1!C1475,"AAAAAGt/dWk=")</f>
        <v>#VALUE!</v>
      </c>
      <c r="DC110" t="e">
        <f>AND(Sheet1!D1475,"AAAAAGt/dWo=")</f>
        <v>#VALUE!</v>
      </c>
      <c r="DD110" t="e">
        <f>AND(Sheet1!E1475,"AAAAAGt/dWs=")</f>
        <v>#VALUE!</v>
      </c>
      <c r="DE110" t="e">
        <f>AND(Sheet1!F1475,"AAAAAGt/dWw=")</f>
        <v>#VALUE!</v>
      </c>
      <c r="DF110" t="e">
        <f>AND(Sheet1!G1475,"AAAAAGt/dW0=")</f>
        <v>#VALUE!</v>
      </c>
      <c r="DG110" t="e">
        <f>AND(Sheet1!H1475,"AAAAAGt/dW4=")</f>
        <v>#VALUE!</v>
      </c>
      <c r="DH110" t="e">
        <f>AND(Sheet1!I1475,"AAAAAGt/dW8=")</f>
        <v>#VALUE!</v>
      </c>
      <c r="DI110" t="e">
        <f>AND(Sheet1!J1475,"AAAAAGt/dXA=")</f>
        <v>#VALUE!</v>
      </c>
      <c r="DJ110" t="e">
        <f>AND(Sheet1!K1475,"AAAAAGt/dXE=")</f>
        <v>#VALUE!</v>
      </c>
      <c r="DK110" t="e">
        <f>AND(Sheet1!L1475,"AAAAAGt/dXI=")</f>
        <v>#VALUE!</v>
      </c>
      <c r="DL110" t="e">
        <f>AND(Sheet1!M1475,"AAAAAGt/dXM=")</f>
        <v>#VALUE!</v>
      </c>
      <c r="DM110" t="e">
        <f>AND(Sheet1!N1475,"AAAAAGt/dXQ=")</f>
        <v>#VALUE!</v>
      </c>
      <c r="DN110" t="e">
        <f>AND(Sheet1!#REF!,"AAAAAGt/dXU=")</f>
        <v>#REF!</v>
      </c>
      <c r="DO110" t="e">
        <f>AND(Sheet1!#REF!,"AAAAAGt/dXY=")</f>
        <v>#REF!</v>
      </c>
      <c r="DP110" t="e">
        <f>AND(Sheet1!#REF!,"AAAAAGt/dXc=")</f>
        <v>#REF!</v>
      </c>
      <c r="DQ110" t="e">
        <f>AND(Sheet1!#REF!,"AAAAAGt/dXg=")</f>
        <v>#REF!</v>
      </c>
      <c r="DR110">
        <f>IF(Sheet1!1476:1476,"AAAAAGt/dXk=",0)</f>
        <v>0</v>
      </c>
      <c r="DS110" t="e">
        <f>AND(Sheet1!A1476,"AAAAAGt/dXo=")</f>
        <v>#VALUE!</v>
      </c>
      <c r="DT110" t="e">
        <f>AND(Sheet1!B1476,"AAAAAGt/dXs=")</f>
        <v>#VALUE!</v>
      </c>
      <c r="DU110" t="e">
        <f>AND(Sheet1!C1476,"AAAAAGt/dXw=")</f>
        <v>#VALUE!</v>
      </c>
      <c r="DV110" t="e">
        <f>AND(Sheet1!D1476,"AAAAAGt/dX0=")</f>
        <v>#VALUE!</v>
      </c>
      <c r="DW110" t="e">
        <f>AND(Sheet1!E1476,"AAAAAGt/dX4=")</f>
        <v>#VALUE!</v>
      </c>
      <c r="DX110" t="e">
        <f>AND(Sheet1!F1476,"AAAAAGt/dX8=")</f>
        <v>#VALUE!</v>
      </c>
      <c r="DY110" t="e">
        <f>AND(Sheet1!G1476,"AAAAAGt/dYA=")</f>
        <v>#VALUE!</v>
      </c>
      <c r="DZ110" t="e">
        <f>AND(Sheet1!H1476,"AAAAAGt/dYE=")</f>
        <v>#VALUE!</v>
      </c>
      <c r="EA110" t="e">
        <f>AND(Sheet1!I1476,"AAAAAGt/dYI=")</f>
        <v>#VALUE!</v>
      </c>
      <c r="EB110" t="e">
        <f>AND(Sheet1!J1476,"AAAAAGt/dYM=")</f>
        <v>#VALUE!</v>
      </c>
      <c r="EC110" t="e">
        <f>AND(Sheet1!K1476,"AAAAAGt/dYQ=")</f>
        <v>#VALUE!</v>
      </c>
      <c r="ED110" t="e">
        <f>AND(Sheet1!L1476,"AAAAAGt/dYU=")</f>
        <v>#VALUE!</v>
      </c>
      <c r="EE110" t="e">
        <f>AND(Sheet1!M1476,"AAAAAGt/dYY=")</f>
        <v>#VALUE!</v>
      </c>
      <c r="EF110" t="e">
        <f>AND(Sheet1!N1476,"AAAAAGt/dYc=")</f>
        <v>#VALUE!</v>
      </c>
      <c r="EG110" t="e">
        <f>AND(Sheet1!#REF!,"AAAAAGt/dYg=")</f>
        <v>#REF!</v>
      </c>
      <c r="EH110" t="e">
        <f>AND(Sheet1!#REF!,"AAAAAGt/dYk=")</f>
        <v>#REF!</v>
      </c>
      <c r="EI110" t="e">
        <f>AND(Sheet1!#REF!,"AAAAAGt/dYo=")</f>
        <v>#REF!</v>
      </c>
      <c r="EJ110" t="e">
        <f>AND(Sheet1!#REF!,"AAAAAGt/dYs=")</f>
        <v>#REF!</v>
      </c>
      <c r="EK110">
        <f>IF(Sheet1!1477:1477,"AAAAAGt/dYw=",0)</f>
        <v>0</v>
      </c>
      <c r="EL110" t="e">
        <f>AND(Sheet1!A1477,"AAAAAGt/dY0=")</f>
        <v>#VALUE!</v>
      </c>
      <c r="EM110" t="e">
        <f>AND(Sheet1!B1477,"AAAAAGt/dY4=")</f>
        <v>#VALUE!</v>
      </c>
      <c r="EN110" t="e">
        <f>AND(Sheet1!C1477,"AAAAAGt/dY8=")</f>
        <v>#VALUE!</v>
      </c>
      <c r="EO110" t="e">
        <f>AND(Sheet1!D1477,"AAAAAGt/dZA=")</f>
        <v>#VALUE!</v>
      </c>
      <c r="EP110" t="e">
        <f>AND(Sheet1!E1477,"AAAAAGt/dZE=")</f>
        <v>#VALUE!</v>
      </c>
      <c r="EQ110" t="e">
        <f>AND(Sheet1!F1477,"AAAAAGt/dZI=")</f>
        <v>#VALUE!</v>
      </c>
      <c r="ER110" t="e">
        <f>AND(Sheet1!G1477,"AAAAAGt/dZM=")</f>
        <v>#VALUE!</v>
      </c>
      <c r="ES110" t="e">
        <f>AND(Sheet1!H1477,"AAAAAGt/dZQ=")</f>
        <v>#VALUE!</v>
      </c>
      <c r="ET110" t="e">
        <f>AND(Sheet1!I1477,"AAAAAGt/dZU=")</f>
        <v>#VALUE!</v>
      </c>
      <c r="EU110" t="e">
        <f>AND(Sheet1!J1477,"AAAAAGt/dZY=")</f>
        <v>#VALUE!</v>
      </c>
      <c r="EV110" t="e">
        <f>AND(Sheet1!K1477,"AAAAAGt/dZc=")</f>
        <v>#VALUE!</v>
      </c>
      <c r="EW110" t="e">
        <f>AND(Sheet1!L1477,"AAAAAGt/dZg=")</f>
        <v>#VALUE!</v>
      </c>
      <c r="EX110" t="e">
        <f>AND(Sheet1!M1477,"AAAAAGt/dZk=")</f>
        <v>#VALUE!</v>
      </c>
      <c r="EY110" t="e">
        <f>AND(Sheet1!N1477,"AAAAAGt/dZo=")</f>
        <v>#VALUE!</v>
      </c>
      <c r="EZ110" t="e">
        <f>AND(Sheet1!#REF!,"AAAAAGt/dZs=")</f>
        <v>#REF!</v>
      </c>
      <c r="FA110" t="e">
        <f>AND(Sheet1!#REF!,"AAAAAGt/dZw=")</f>
        <v>#REF!</v>
      </c>
      <c r="FB110" t="e">
        <f>AND(Sheet1!#REF!,"AAAAAGt/dZ0=")</f>
        <v>#REF!</v>
      </c>
      <c r="FC110" t="e">
        <f>AND(Sheet1!#REF!,"AAAAAGt/dZ4=")</f>
        <v>#REF!</v>
      </c>
      <c r="FD110">
        <f>IF(Sheet1!1478:1478,"AAAAAGt/dZ8=",0)</f>
        <v>0</v>
      </c>
      <c r="FE110" t="e">
        <f>AND(Sheet1!A1478,"AAAAAGt/daA=")</f>
        <v>#VALUE!</v>
      </c>
      <c r="FF110" t="e">
        <f>AND(Sheet1!B1478,"AAAAAGt/daE=")</f>
        <v>#VALUE!</v>
      </c>
      <c r="FG110" t="e">
        <f>AND(Sheet1!C1478,"AAAAAGt/daI=")</f>
        <v>#VALUE!</v>
      </c>
      <c r="FH110" t="e">
        <f>AND(Sheet1!D1478,"AAAAAGt/daM=")</f>
        <v>#VALUE!</v>
      </c>
      <c r="FI110" t="e">
        <f>AND(Sheet1!E1478,"AAAAAGt/daQ=")</f>
        <v>#VALUE!</v>
      </c>
      <c r="FJ110" t="e">
        <f>AND(Sheet1!F1478,"AAAAAGt/daU=")</f>
        <v>#VALUE!</v>
      </c>
      <c r="FK110" t="e">
        <f>AND(Sheet1!G1478,"AAAAAGt/daY=")</f>
        <v>#VALUE!</v>
      </c>
      <c r="FL110" t="e">
        <f>AND(Sheet1!H1478,"AAAAAGt/dac=")</f>
        <v>#VALUE!</v>
      </c>
      <c r="FM110" t="e">
        <f>AND(Sheet1!I1478,"AAAAAGt/dag=")</f>
        <v>#VALUE!</v>
      </c>
      <c r="FN110" t="e">
        <f>AND(Sheet1!J1478,"AAAAAGt/dak=")</f>
        <v>#VALUE!</v>
      </c>
      <c r="FO110" t="e">
        <f>AND(Sheet1!K1478,"AAAAAGt/dao=")</f>
        <v>#VALUE!</v>
      </c>
      <c r="FP110" t="e">
        <f>AND(Sheet1!L1478,"AAAAAGt/das=")</f>
        <v>#VALUE!</v>
      </c>
      <c r="FQ110" t="e">
        <f>AND(Sheet1!M1478,"AAAAAGt/daw=")</f>
        <v>#VALUE!</v>
      </c>
      <c r="FR110" t="e">
        <f>AND(Sheet1!N1478,"AAAAAGt/da0=")</f>
        <v>#VALUE!</v>
      </c>
      <c r="FS110" t="e">
        <f>AND(Sheet1!#REF!,"AAAAAGt/da4=")</f>
        <v>#REF!</v>
      </c>
      <c r="FT110" t="e">
        <f>AND(Sheet1!#REF!,"AAAAAGt/da8=")</f>
        <v>#REF!</v>
      </c>
      <c r="FU110" t="e">
        <f>AND(Sheet1!#REF!,"AAAAAGt/dbA=")</f>
        <v>#REF!</v>
      </c>
      <c r="FV110" t="e">
        <f>AND(Sheet1!#REF!,"AAAAAGt/dbE=")</f>
        <v>#REF!</v>
      </c>
      <c r="FW110">
        <f>IF(Sheet1!1479:1479,"AAAAAGt/dbI=",0)</f>
        <v>0</v>
      </c>
      <c r="FX110" t="e">
        <f>AND(Sheet1!A1479,"AAAAAGt/dbM=")</f>
        <v>#VALUE!</v>
      </c>
      <c r="FY110" t="e">
        <f>AND(Sheet1!B1479,"AAAAAGt/dbQ=")</f>
        <v>#VALUE!</v>
      </c>
      <c r="FZ110" t="e">
        <f>AND(Sheet1!C1479,"AAAAAGt/dbU=")</f>
        <v>#VALUE!</v>
      </c>
      <c r="GA110" t="e">
        <f>AND(Sheet1!D1479,"AAAAAGt/dbY=")</f>
        <v>#VALUE!</v>
      </c>
      <c r="GB110" t="e">
        <f>AND(Sheet1!E1479,"AAAAAGt/dbc=")</f>
        <v>#VALUE!</v>
      </c>
      <c r="GC110" t="e">
        <f>AND(Sheet1!F1479,"AAAAAGt/dbg=")</f>
        <v>#VALUE!</v>
      </c>
      <c r="GD110" t="e">
        <f>AND(Sheet1!G1479,"AAAAAGt/dbk=")</f>
        <v>#VALUE!</v>
      </c>
      <c r="GE110" t="e">
        <f>AND(Sheet1!H1479,"AAAAAGt/dbo=")</f>
        <v>#VALUE!</v>
      </c>
      <c r="GF110" t="e">
        <f>AND(Sheet1!I1479,"AAAAAGt/dbs=")</f>
        <v>#VALUE!</v>
      </c>
      <c r="GG110" t="e">
        <f>AND(Sheet1!J1479,"AAAAAGt/dbw=")</f>
        <v>#VALUE!</v>
      </c>
      <c r="GH110" t="e">
        <f>AND(Sheet1!K1479,"AAAAAGt/db0=")</f>
        <v>#VALUE!</v>
      </c>
      <c r="GI110" t="e">
        <f>AND(Sheet1!L1479,"AAAAAGt/db4=")</f>
        <v>#VALUE!</v>
      </c>
      <c r="GJ110" t="e">
        <f>AND(Sheet1!M1479,"AAAAAGt/db8=")</f>
        <v>#VALUE!</v>
      </c>
      <c r="GK110" t="e">
        <f>AND(Sheet1!N1479,"AAAAAGt/dcA=")</f>
        <v>#VALUE!</v>
      </c>
      <c r="GL110" t="e">
        <f>AND(Sheet1!#REF!,"AAAAAGt/dcE=")</f>
        <v>#REF!</v>
      </c>
      <c r="GM110" t="e">
        <f>AND(Sheet1!#REF!,"AAAAAGt/dcI=")</f>
        <v>#REF!</v>
      </c>
      <c r="GN110" t="e">
        <f>AND(Sheet1!#REF!,"AAAAAGt/dcM=")</f>
        <v>#REF!</v>
      </c>
      <c r="GO110" t="e">
        <f>AND(Sheet1!#REF!,"AAAAAGt/dcQ=")</f>
        <v>#REF!</v>
      </c>
      <c r="GP110">
        <f>IF(Sheet1!1480:1480,"AAAAAGt/dcU=",0)</f>
        <v>0</v>
      </c>
      <c r="GQ110" t="e">
        <f>AND(Sheet1!A1480,"AAAAAGt/dcY=")</f>
        <v>#VALUE!</v>
      </c>
      <c r="GR110" t="e">
        <f>AND(Sheet1!B1480,"AAAAAGt/dcc=")</f>
        <v>#VALUE!</v>
      </c>
      <c r="GS110" t="e">
        <f>AND(Sheet1!C1480,"AAAAAGt/dcg=")</f>
        <v>#VALUE!</v>
      </c>
      <c r="GT110" t="e">
        <f>AND(Sheet1!D1480,"AAAAAGt/dck=")</f>
        <v>#VALUE!</v>
      </c>
      <c r="GU110" t="e">
        <f>AND(Sheet1!E1480,"AAAAAGt/dco=")</f>
        <v>#VALUE!</v>
      </c>
      <c r="GV110" t="e">
        <f>AND(Sheet1!F1480,"AAAAAGt/dcs=")</f>
        <v>#VALUE!</v>
      </c>
      <c r="GW110" t="e">
        <f>AND(Sheet1!G1480,"AAAAAGt/dcw=")</f>
        <v>#VALUE!</v>
      </c>
      <c r="GX110" t="e">
        <f>AND(Sheet1!H1480,"AAAAAGt/dc0=")</f>
        <v>#VALUE!</v>
      </c>
      <c r="GY110" t="e">
        <f>AND(Sheet1!I1480,"AAAAAGt/dc4=")</f>
        <v>#VALUE!</v>
      </c>
      <c r="GZ110" t="e">
        <f>AND(Sheet1!J1480,"AAAAAGt/dc8=")</f>
        <v>#VALUE!</v>
      </c>
      <c r="HA110" t="e">
        <f>AND(Sheet1!K1480,"AAAAAGt/ddA=")</f>
        <v>#VALUE!</v>
      </c>
      <c r="HB110" t="e">
        <f>AND(Sheet1!L1480,"AAAAAGt/ddE=")</f>
        <v>#VALUE!</v>
      </c>
      <c r="HC110" t="e">
        <f>AND(Sheet1!M1480,"AAAAAGt/ddI=")</f>
        <v>#VALUE!</v>
      </c>
      <c r="HD110" t="e">
        <f>AND(Sheet1!N1480,"AAAAAGt/ddM=")</f>
        <v>#VALUE!</v>
      </c>
      <c r="HE110" t="e">
        <f>AND(Sheet1!#REF!,"AAAAAGt/ddQ=")</f>
        <v>#REF!</v>
      </c>
      <c r="HF110" t="e">
        <f>AND(Sheet1!#REF!,"AAAAAGt/ddU=")</f>
        <v>#REF!</v>
      </c>
      <c r="HG110" t="e">
        <f>AND(Sheet1!#REF!,"AAAAAGt/ddY=")</f>
        <v>#REF!</v>
      </c>
      <c r="HH110" t="e">
        <f>AND(Sheet1!#REF!,"AAAAAGt/ddc=")</f>
        <v>#REF!</v>
      </c>
      <c r="HI110">
        <f>IF(Sheet1!1481:1481,"AAAAAGt/ddg=",0)</f>
        <v>0</v>
      </c>
      <c r="HJ110" t="e">
        <f>AND(Sheet1!A1481,"AAAAAGt/ddk=")</f>
        <v>#VALUE!</v>
      </c>
      <c r="HK110" t="e">
        <f>AND(Sheet1!B1481,"AAAAAGt/ddo=")</f>
        <v>#VALUE!</v>
      </c>
      <c r="HL110" t="e">
        <f>AND(Sheet1!C1481,"AAAAAGt/dds=")</f>
        <v>#VALUE!</v>
      </c>
      <c r="HM110" t="e">
        <f>AND(Sheet1!D1481,"AAAAAGt/ddw=")</f>
        <v>#VALUE!</v>
      </c>
      <c r="HN110" t="e">
        <f>AND(Sheet1!E1481,"AAAAAGt/dd0=")</f>
        <v>#VALUE!</v>
      </c>
      <c r="HO110" t="e">
        <f>AND(Sheet1!F1481,"AAAAAGt/dd4=")</f>
        <v>#VALUE!</v>
      </c>
      <c r="HP110" t="e">
        <f>AND(Sheet1!G1481,"AAAAAGt/dd8=")</f>
        <v>#VALUE!</v>
      </c>
      <c r="HQ110" t="e">
        <f>AND(Sheet1!H1481,"AAAAAGt/deA=")</f>
        <v>#VALUE!</v>
      </c>
      <c r="HR110" t="e">
        <f>AND(Sheet1!I1481,"AAAAAGt/deE=")</f>
        <v>#VALUE!</v>
      </c>
      <c r="HS110" t="e">
        <f>AND(Sheet1!J1481,"AAAAAGt/deI=")</f>
        <v>#VALUE!</v>
      </c>
      <c r="HT110" t="e">
        <f>AND(Sheet1!K1481,"AAAAAGt/deM=")</f>
        <v>#VALUE!</v>
      </c>
      <c r="HU110" t="e">
        <f>AND(Sheet1!L1481,"AAAAAGt/deQ=")</f>
        <v>#VALUE!</v>
      </c>
      <c r="HV110" t="e">
        <f>AND(Sheet1!M1481,"AAAAAGt/deU=")</f>
        <v>#VALUE!</v>
      </c>
      <c r="HW110" t="e">
        <f>AND(Sheet1!N1481,"AAAAAGt/deY=")</f>
        <v>#VALUE!</v>
      </c>
      <c r="HX110" t="e">
        <f>AND(Sheet1!#REF!,"AAAAAGt/dec=")</f>
        <v>#REF!</v>
      </c>
      <c r="HY110" t="e">
        <f>AND(Sheet1!#REF!,"AAAAAGt/deg=")</f>
        <v>#REF!</v>
      </c>
      <c r="HZ110" t="e">
        <f>AND(Sheet1!#REF!,"AAAAAGt/dek=")</f>
        <v>#REF!</v>
      </c>
      <c r="IA110" t="e">
        <f>AND(Sheet1!#REF!,"AAAAAGt/deo=")</f>
        <v>#REF!</v>
      </c>
      <c r="IB110">
        <f>IF(Sheet1!1482:1482,"AAAAAGt/des=",0)</f>
        <v>0</v>
      </c>
      <c r="IC110" t="e">
        <f>AND(Sheet1!A1482,"AAAAAGt/dew=")</f>
        <v>#VALUE!</v>
      </c>
      <c r="ID110" t="e">
        <f>AND(Sheet1!B1482,"AAAAAGt/de0=")</f>
        <v>#VALUE!</v>
      </c>
      <c r="IE110" t="e">
        <f>AND(Sheet1!C1482,"AAAAAGt/de4=")</f>
        <v>#VALUE!</v>
      </c>
      <c r="IF110" t="e">
        <f>AND(Sheet1!D1482,"AAAAAGt/de8=")</f>
        <v>#VALUE!</v>
      </c>
      <c r="IG110" t="e">
        <f>AND(Sheet1!E1482,"AAAAAGt/dfA=")</f>
        <v>#VALUE!</v>
      </c>
      <c r="IH110" t="e">
        <f>AND(Sheet1!F1482,"AAAAAGt/dfE=")</f>
        <v>#VALUE!</v>
      </c>
      <c r="II110" t="e">
        <f>AND(Sheet1!G1482,"AAAAAGt/dfI=")</f>
        <v>#VALUE!</v>
      </c>
      <c r="IJ110" t="e">
        <f>AND(Sheet1!H1482,"AAAAAGt/dfM=")</f>
        <v>#VALUE!</v>
      </c>
      <c r="IK110" t="e">
        <f>AND(Sheet1!I1482,"AAAAAGt/dfQ=")</f>
        <v>#VALUE!</v>
      </c>
      <c r="IL110" t="e">
        <f>AND(Sheet1!J1482,"AAAAAGt/dfU=")</f>
        <v>#VALUE!</v>
      </c>
      <c r="IM110" t="e">
        <f>AND(Sheet1!K1482,"AAAAAGt/dfY=")</f>
        <v>#VALUE!</v>
      </c>
      <c r="IN110" t="e">
        <f>AND(Sheet1!L1482,"AAAAAGt/dfc=")</f>
        <v>#VALUE!</v>
      </c>
      <c r="IO110" t="e">
        <f>AND(Sheet1!M1482,"AAAAAGt/dfg=")</f>
        <v>#VALUE!</v>
      </c>
      <c r="IP110" t="e">
        <f>AND(Sheet1!N1482,"AAAAAGt/dfk=")</f>
        <v>#VALUE!</v>
      </c>
      <c r="IQ110" t="e">
        <f>AND(Sheet1!#REF!,"AAAAAGt/dfo=")</f>
        <v>#REF!</v>
      </c>
      <c r="IR110" t="e">
        <f>AND(Sheet1!#REF!,"AAAAAGt/dfs=")</f>
        <v>#REF!</v>
      </c>
      <c r="IS110" t="e">
        <f>AND(Sheet1!#REF!,"AAAAAGt/dfw=")</f>
        <v>#REF!</v>
      </c>
      <c r="IT110" t="e">
        <f>AND(Sheet1!#REF!,"AAAAAGt/df0=")</f>
        <v>#REF!</v>
      </c>
      <c r="IU110">
        <f>IF(Sheet1!1483:1483,"AAAAAGt/df4=",0)</f>
        <v>0</v>
      </c>
      <c r="IV110" t="e">
        <f>AND(Sheet1!A1483,"AAAAAGt/df8=")</f>
        <v>#VALUE!</v>
      </c>
    </row>
    <row r="111" spans="1:256" x14ac:dyDescent="0.2">
      <c r="A111" t="e">
        <f>AND(Sheet1!B1483,"AAAAAFzWawA=")</f>
        <v>#VALUE!</v>
      </c>
      <c r="B111" t="e">
        <f>AND(Sheet1!C1483,"AAAAAFzWawE=")</f>
        <v>#VALUE!</v>
      </c>
      <c r="C111" t="e">
        <f>AND(Sheet1!D1483,"AAAAAFzWawI=")</f>
        <v>#VALUE!</v>
      </c>
      <c r="D111" t="e">
        <f>AND(Sheet1!E1483,"AAAAAFzWawM=")</f>
        <v>#VALUE!</v>
      </c>
      <c r="E111" t="e">
        <f>AND(Sheet1!F1483,"AAAAAFzWawQ=")</f>
        <v>#VALUE!</v>
      </c>
      <c r="F111" t="e">
        <f>AND(Sheet1!G1483,"AAAAAFzWawU=")</f>
        <v>#VALUE!</v>
      </c>
      <c r="G111" t="e">
        <f>AND(Sheet1!H1483,"AAAAAFzWawY=")</f>
        <v>#VALUE!</v>
      </c>
      <c r="H111" t="e">
        <f>AND(Sheet1!I1483,"AAAAAFzWawc=")</f>
        <v>#VALUE!</v>
      </c>
      <c r="I111" t="e">
        <f>AND(Sheet1!J1483,"AAAAAFzWawg=")</f>
        <v>#VALUE!</v>
      </c>
      <c r="J111" t="e">
        <f>AND(Sheet1!K1483,"AAAAAFzWawk=")</f>
        <v>#VALUE!</v>
      </c>
      <c r="K111" t="e">
        <f>AND(Sheet1!L1483,"AAAAAFzWawo=")</f>
        <v>#VALUE!</v>
      </c>
      <c r="L111" t="e">
        <f>AND(Sheet1!M1483,"AAAAAFzWaws=")</f>
        <v>#VALUE!</v>
      </c>
      <c r="M111" t="e">
        <f>AND(Sheet1!N1483,"AAAAAFzWaww=")</f>
        <v>#VALUE!</v>
      </c>
      <c r="N111" t="e">
        <f>AND(Sheet1!#REF!,"AAAAAFzWaw0=")</f>
        <v>#REF!</v>
      </c>
      <c r="O111" t="e">
        <f>AND(Sheet1!#REF!,"AAAAAFzWaw4=")</f>
        <v>#REF!</v>
      </c>
      <c r="P111" t="e">
        <f>AND(Sheet1!#REF!,"AAAAAFzWaw8=")</f>
        <v>#REF!</v>
      </c>
      <c r="Q111" t="e">
        <f>AND(Sheet1!#REF!,"AAAAAFzWaxA=")</f>
        <v>#REF!</v>
      </c>
      <c r="R111">
        <f>IF(Sheet1!1484:1484,"AAAAAFzWaxE=",0)</f>
        <v>0</v>
      </c>
      <c r="S111" t="e">
        <f>AND(Sheet1!A1484,"AAAAAFzWaxI=")</f>
        <v>#VALUE!</v>
      </c>
      <c r="T111" t="e">
        <f>AND(Sheet1!B1484,"AAAAAFzWaxM=")</f>
        <v>#VALUE!</v>
      </c>
      <c r="U111" t="e">
        <f>AND(Sheet1!C1484,"AAAAAFzWaxQ=")</f>
        <v>#VALUE!</v>
      </c>
      <c r="V111" t="e">
        <f>AND(Sheet1!D1484,"AAAAAFzWaxU=")</f>
        <v>#VALUE!</v>
      </c>
      <c r="W111" t="e">
        <f>AND(Sheet1!E1484,"AAAAAFzWaxY=")</f>
        <v>#VALUE!</v>
      </c>
      <c r="X111" t="e">
        <f>AND(Sheet1!F1484,"AAAAAFzWaxc=")</f>
        <v>#VALUE!</v>
      </c>
      <c r="Y111" t="e">
        <f>AND(Sheet1!G1484,"AAAAAFzWaxg=")</f>
        <v>#VALUE!</v>
      </c>
      <c r="Z111" t="e">
        <f>AND(Sheet1!H1484,"AAAAAFzWaxk=")</f>
        <v>#VALUE!</v>
      </c>
      <c r="AA111" t="e">
        <f>AND(Sheet1!I1484,"AAAAAFzWaxo=")</f>
        <v>#VALUE!</v>
      </c>
      <c r="AB111" t="e">
        <f>AND(Sheet1!J1484,"AAAAAFzWaxs=")</f>
        <v>#VALUE!</v>
      </c>
      <c r="AC111" t="e">
        <f>AND(Sheet1!K1484,"AAAAAFzWaxw=")</f>
        <v>#VALUE!</v>
      </c>
      <c r="AD111" t="e">
        <f>AND(Sheet1!L1484,"AAAAAFzWax0=")</f>
        <v>#VALUE!</v>
      </c>
      <c r="AE111" t="e">
        <f>AND(Sheet1!M1484,"AAAAAFzWax4=")</f>
        <v>#VALUE!</v>
      </c>
      <c r="AF111" t="e">
        <f>AND(Sheet1!N1484,"AAAAAFzWax8=")</f>
        <v>#VALUE!</v>
      </c>
      <c r="AG111" t="e">
        <f>AND(Sheet1!#REF!,"AAAAAFzWayA=")</f>
        <v>#REF!</v>
      </c>
      <c r="AH111" t="e">
        <f>AND(Sheet1!#REF!,"AAAAAFzWayE=")</f>
        <v>#REF!</v>
      </c>
      <c r="AI111" t="e">
        <f>AND(Sheet1!#REF!,"AAAAAFzWayI=")</f>
        <v>#REF!</v>
      </c>
      <c r="AJ111" t="e">
        <f>AND(Sheet1!#REF!,"AAAAAFzWayM=")</f>
        <v>#REF!</v>
      </c>
      <c r="AK111">
        <f>IF(Sheet1!1485:1485,"AAAAAFzWayQ=",0)</f>
        <v>0</v>
      </c>
      <c r="AL111" t="e">
        <f>AND(Sheet1!A1485,"AAAAAFzWayU=")</f>
        <v>#VALUE!</v>
      </c>
      <c r="AM111" t="e">
        <f>AND(Sheet1!B1485,"AAAAAFzWayY=")</f>
        <v>#VALUE!</v>
      </c>
      <c r="AN111" t="e">
        <f>AND(Sheet1!C1485,"AAAAAFzWayc=")</f>
        <v>#VALUE!</v>
      </c>
      <c r="AO111" t="e">
        <f>AND(Sheet1!D1485,"AAAAAFzWayg=")</f>
        <v>#VALUE!</v>
      </c>
      <c r="AP111" t="e">
        <f>AND(Sheet1!E1485,"AAAAAFzWayk=")</f>
        <v>#VALUE!</v>
      </c>
      <c r="AQ111" t="e">
        <f>AND(Sheet1!F1485,"AAAAAFzWayo=")</f>
        <v>#VALUE!</v>
      </c>
      <c r="AR111" t="e">
        <f>AND(Sheet1!G1485,"AAAAAFzWays=")</f>
        <v>#VALUE!</v>
      </c>
      <c r="AS111" t="e">
        <f>AND(Sheet1!H1485,"AAAAAFzWayw=")</f>
        <v>#VALUE!</v>
      </c>
      <c r="AT111" t="e">
        <f>AND(Sheet1!I1485,"AAAAAFzWay0=")</f>
        <v>#VALUE!</v>
      </c>
      <c r="AU111" t="e">
        <f>AND(Sheet1!J1485,"AAAAAFzWay4=")</f>
        <v>#VALUE!</v>
      </c>
      <c r="AV111" t="e">
        <f>AND(Sheet1!K1485,"AAAAAFzWay8=")</f>
        <v>#VALUE!</v>
      </c>
      <c r="AW111" t="e">
        <f>AND(Sheet1!L1485,"AAAAAFzWazA=")</f>
        <v>#VALUE!</v>
      </c>
      <c r="AX111" t="e">
        <f>AND(Sheet1!M1485,"AAAAAFzWazE=")</f>
        <v>#VALUE!</v>
      </c>
      <c r="AY111" t="e">
        <f>AND(Sheet1!N1485,"AAAAAFzWazI=")</f>
        <v>#VALUE!</v>
      </c>
      <c r="AZ111" t="e">
        <f>AND(Sheet1!#REF!,"AAAAAFzWazM=")</f>
        <v>#REF!</v>
      </c>
      <c r="BA111" t="e">
        <f>AND(Sheet1!#REF!,"AAAAAFzWazQ=")</f>
        <v>#REF!</v>
      </c>
      <c r="BB111" t="e">
        <f>AND(Sheet1!#REF!,"AAAAAFzWazU=")</f>
        <v>#REF!</v>
      </c>
      <c r="BC111" t="e">
        <f>AND(Sheet1!#REF!,"AAAAAFzWazY=")</f>
        <v>#REF!</v>
      </c>
      <c r="BD111">
        <f>IF(Sheet1!1486:1486,"AAAAAFzWazc=",0)</f>
        <v>0</v>
      </c>
      <c r="BE111" t="e">
        <f>AND(Sheet1!A1486,"AAAAAFzWazg=")</f>
        <v>#VALUE!</v>
      </c>
      <c r="BF111" t="e">
        <f>AND(Sheet1!B1486,"AAAAAFzWazk=")</f>
        <v>#VALUE!</v>
      </c>
      <c r="BG111" t="e">
        <f>AND(Sheet1!C1486,"AAAAAFzWazo=")</f>
        <v>#VALUE!</v>
      </c>
      <c r="BH111" t="e">
        <f>AND(Sheet1!D1486,"AAAAAFzWazs=")</f>
        <v>#VALUE!</v>
      </c>
      <c r="BI111" t="e">
        <f>AND(Sheet1!E1486,"AAAAAFzWazw=")</f>
        <v>#VALUE!</v>
      </c>
      <c r="BJ111" t="e">
        <f>AND(Sheet1!F1486,"AAAAAFzWaz0=")</f>
        <v>#VALUE!</v>
      </c>
      <c r="BK111" t="e">
        <f>AND(Sheet1!G1486,"AAAAAFzWaz4=")</f>
        <v>#VALUE!</v>
      </c>
      <c r="BL111" t="e">
        <f>AND(Sheet1!H1486,"AAAAAFzWaz8=")</f>
        <v>#VALUE!</v>
      </c>
      <c r="BM111" t="e">
        <f>AND(Sheet1!I1486,"AAAAAFzWa0A=")</f>
        <v>#VALUE!</v>
      </c>
      <c r="BN111" t="e">
        <f>AND(Sheet1!J1486,"AAAAAFzWa0E=")</f>
        <v>#VALUE!</v>
      </c>
      <c r="BO111" t="e">
        <f>AND(Sheet1!K1486,"AAAAAFzWa0I=")</f>
        <v>#VALUE!</v>
      </c>
      <c r="BP111" t="e">
        <f>AND(Sheet1!L1486,"AAAAAFzWa0M=")</f>
        <v>#VALUE!</v>
      </c>
      <c r="BQ111" t="e">
        <f>AND(Sheet1!M1486,"AAAAAFzWa0Q=")</f>
        <v>#VALUE!</v>
      </c>
      <c r="BR111" t="e">
        <f>AND(Sheet1!N1486,"AAAAAFzWa0U=")</f>
        <v>#VALUE!</v>
      </c>
      <c r="BS111" t="e">
        <f>AND(Sheet1!#REF!,"AAAAAFzWa0Y=")</f>
        <v>#REF!</v>
      </c>
      <c r="BT111" t="e">
        <f>AND(Sheet1!#REF!,"AAAAAFzWa0c=")</f>
        <v>#REF!</v>
      </c>
      <c r="BU111" t="e">
        <f>AND(Sheet1!#REF!,"AAAAAFzWa0g=")</f>
        <v>#REF!</v>
      </c>
      <c r="BV111" t="e">
        <f>AND(Sheet1!#REF!,"AAAAAFzWa0k=")</f>
        <v>#REF!</v>
      </c>
      <c r="BW111">
        <f>IF(Sheet1!1487:1487,"AAAAAFzWa0o=",0)</f>
        <v>0</v>
      </c>
      <c r="BX111" t="e">
        <f>AND(Sheet1!A1487,"AAAAAFzWa0s=")</f>
        <v>#VALUE!</v>
      </c>
      <c r="BY111" t="e">
        <f>AND(Sheet1!B1487,"AAAAAFzWa0w=")</f>
        <v>#VALUE!</v>
      </c>
      <c r="BZ111" t="e">
        <f>AND(Sheet1!C1487,"AAAAAFzWa00=")</f>
        <v>#VALUE!</v>
      </c>
      <c r="CA111" t="e">
        <f>AND(Sheet1!D1487,"AAAAAFzWa04=")</f>
        <v>#VALUE!</v>
      </c>
      <c r="CB111" t="e">
        <f>AND(Sheet1!E1487,"AAAAAFzWa08=")</f>
        <v>#VALUE!</v>
      </c>
      <c r="CC111" t="e">
        <f>AND(Sheet1!F1487,"AAAAAFzWa1A=")</f>
        <v>#VALUE!</v>
      </c>
      <c r="CD111" t="e">
        <f>AND(Sheet1!G1487,"AAAAAFzWa1E=")</f>
        <v>#VALUE!</v>
      </c>
      <c r="CE111" t="e">
        <f>AND(Sheet1!H1487,"AAAAAFzWa1I=")</f>
        <v>#VALUE!</v>
      </c>
      <c r="CF111" t="e">
        <f>AND(Sheet1!I1487,"AAAAAFzWa1M=")</f>
        <v>#VALUE!</v>
      </c>
      <c r="CG111" t="e">
        <f>AND(Sheet1!J1487,"AAAAAFzWa1Q=")</f>
        <v>#VALUE!</v>
      </c>
      <c r="CH111" t="e">
        <f>AND(Sheet1!K1487,"AAAAAFzWa1U=")</f>
        <v>#VALUE!</v>
      </c>
      <c r="CI111" t="e">
        <f>AND(Sheet1!L1487,"AAAAAFzWa1Y=")</f>
        <v>#VALUE!</v>
      </c>
      <c r="CJ111" t="e">
        <f>AND(Sheet1!M1487,"AAAAAFzWa1c=")</f>
        <v>#VALUE!</v>
      </c>
      <c r="CK111" t="e">
        <f>AND(Sheet1!N1487,"AAAAAFzWa1g=")</f>
        <v>#VALUE!</v>
      </c>
      <c r="CL111" t="e">
        <f>AND(Sheet1!#REF!,"AAAAAFzWa1k=")</f>
        <v>#REF!</v>
      </c>
      <c r="CM111" t="e">
        <f>AND(Sheet1!#REF!,"AAAAAFzWa1o=")</f>
        <v>#REF!</v>
      </c>
      <c r="CN111" t="e">
        <f>AND(Sheet1!#REF!,"AAAAAFzWa1s=")</f>
        <v>#REF!</v>
      </c>
      <c r="CO111" t="e">
        <f>AND(Sheet1!#REF!,"AAAAAFzWa1w=")</f>
        <v>#REF!</v>
      </c>
      <c r="CP111">
        <f>IF(Sheet1!1488:1488,"AAAAAFzWa10=",0)</f>
        <v>0</v>
      </c>
      <c r="CQ111" t="e">
        <f>AND(Sheet1!A1488,"AAAAAFzWa14=")</f>
        <v>#VALUE!</v>
      </c>
      <c r="CR111" t="e">
        <f>AND(Sheet1!B1488,"AAAAAFzWa18=")</f>
        <v>#VALUE!</v>
      </c>
      <c r="CS111" t="e">
        <f>AND(Sheet1!C1488,"AAAAAFzWa2A=")</f>
        <v>#VALUE!</v>
      </c>
      <c r="CT111" t="e">
        <f>AND(Sheet1!D1488,"AAAAAFzWa2E=")</f>
        <v>#VALUE!</v>
      </c>
      <c r="CU111" t="e">
        <f>AND(Sheet1!E1488,"AAAAAFzWa2I=")</f>
        <v>#VALUE!</v>
      </c>
      <c r="CV111" t="e">
        <f>AND(Sheet1!F1488,"AAAAAFzWa2M=")</f>
        <v>#VALUE!</v>
      </c>
      <c r="CW111" t="e">
        <f>AND(Sheet1!G1488,"AAAAAFzWa2Q=")</f>
        <v>#VALUE!</v>
      </c>
      <c r="CX111" t="e">
        <f>AND(Sheet1!H1488,"AAAAAFzWa2U=")</f>
        <v>#VALUE!</v>
      </c>
      <c r="CY111" t="e">
        <f>AND(Sheet1!I1488,"AAAAAFzWa2Y=")</f>
        <v>#VALUE!</v>
      </c>
      <c r="CZ111" t="e">
        <f>AND(Sheet1!J1488,"AAAAAFzWa2c=")</f>
        <v>#VALUE!</v>
      </c>
      <c r="DA111" t="e">
        <f>AND(Sheet1!K1488,"AAAAAFzWa2g=")</f>
        <v>#VALUE!</v>
      </c>
      <c r="DB111" t="e">
        <f>AND(Sheet1!L1488,"AAAAAFzWa2k=")</f>
        <v>#VALUE!</v>
      </c>
      <c r="DC111" t="e">
        <f>AND(Sheet1!M1488,"AAAAAFzWa2o=")</f>
        <v>#VALUE!</v>
      </c>
      <c r="DD111" t="e">
        <f>AND(Sheet1!N1488,"AAAAAFzWa2s=")</f>
        <v>#VALUE!</v>
      </c>
      <c r="DE111" t="e">
        <f>AND(Sheet1!#REF!,"AAAAAFzWa2w=")</f>
        <v>#REF!</v>
      </c>
      <c r="DF111" t="e">
        <f>AND(Sheet1!#REF!,"AAAAAFzWa20=")</f>
        <v>#REF!</v>
      </c>
      <c r="DG111" t="e">
        <f>AND(Sheet1!#REF!,"AAAAAFzWa24=")</f>
        <v>#REF!</v>
      </c>
      <c r="DH111" t="e">
        <f>AND(Sheet1!#REF!,"AAAAAFzWa28=")</f>
        <v>#REF!</v>
      </c>
      <c r="DI111">
        <f>IF(Sheet1!1489:1489,"AAAAAFzWa3A=",0)</f>
        <v>0</v>
      </c>
      <c r="DJ111" t="e">
        <f>AND(Sheet1!A1489,"AAAAAFzWa3E=")</f>
        <v>#VALUE!</v>
      </c>
      <c r="DK111" t="e">
        <f>AND(Sheet1!B1489,"AAAAAFzWa3I=")</f>
        <v>#VALUE!</v>
      </c>
      <c r="DL111" t="e">
        <f>AND(Sheet1!C1489,"AAAAAFzWa3M=")</f>
        <v>#VALUE!</v>
      </c>
      <c r="DM111" t="e">
        <f>AND(Sheet1!D1489,"AAAAAFzWa3Q=")</f>
        <v>#VALUE!</v>
      </c>
      <c r="DN111" t="e">
        <f>AND(Sheet1!E1489,"AAAAAFzWa3U=")</f>
        <v>#VALUE!</v>
      </c>
      <c r="DO111" t="e">
        <f>AND(Sheet1!F1489,"AAAAAFzWa3Y=")</f>
        <v>#VALUE!</v>
      </c>
      <c r="DP111" t="e">
        <f>AND(Sheet1!G1489,"AAAAAFzWa3c=")</f>
        <v>#VALUE!</v>
      </c>
      <c r="DQ111" t="e">
        <f>AND(Sheet1!H1489,"AAAAAFzWa3g=")</f>
        <v>#VALUE!</v>
      </c>
      <c r="DR111" t="e">
        <f>AND(Sheet1!I1489,"AAAAAFzWa3k=")</f>
        <v>#VALUE!</v>
      </c>
      <c r="DS111" t="e">
        <f>AND(Sheet1!J1489,"AAAAAFzWa3o=")</f>
        <v>#VALUE!</v>
      </c>
      <c r="DT111" t="e">
        <f>AND(Sheet1!K1489,"AAAAAFzWa3s=")</f>
        <v>#VALUE!</v>
      </c>
      <c r="DU111" t="e">
        <f>AND(Sheet1!L1489,"AAAAAFzWa3w=")</f>
        <v>#VALUE!</v>
      </c>
      <c r="DV111" t="e">
        <f>AND(Sheet1!M1489,"AAAAAFzWa30=")</f>
        <v>#VALUE!</v>
      </c>
      <c r="DW111" t="e">
        <f>AND(Sheet1!N1489,"AAAAAFzWa34=")</f>
        <v>#VALUE!</v>
      </c>
      <c r="DX111" t="e">
        <f>AND(Sheet1!#REF!,"AAAAAFzWa38=")</f>
        <v>#REF!</v>
      </c>
      <c r="DY111" t="e">
        <f>AND(Sheet1!#REF!,"AAAAAFzWa4A=")</f>
        <v>#REF!</v>
      </c>
      <c r="DZ111" t="e">
        <f>AND(Sheet1!#REF!,"AAAAAFzWa4E=")</f>
        <v>#REF!</v>
      </c>
      <c r="EA111" t="e">
        <f>AND(Sheet1!#REF!,"AAAAAFzWa4I=")</f>
        <v>#REF!</v>
      </c>
      <c r="EB111">
        <f>IF(Sheet1!1490:1490,"AAAAAFzWa4M=",0)</f>
        <v>0</v>
      </c>
      <c r="EC111" t="e">
        <f>AND(Sheet1!A1490,"AAAAAFzWa4Q=")</f>
        <v>#VALUE!</v>
      </c>
      <c r="ED111" t="e">
        <f>AND(Sheet1!B1490,"AAAAAFzWa4U=")</f>
        <v>#VALUE!</v>
      </c>
      <c r="EE111" t="e">
        <f>AND(Sheet1!C1490,"AAAAAFzWa4Y=")</f>
        <v>#VALUE!</v>
      </c>
      <c r="EF111" t="e">
        <f>AND(Sheet1!D1490,"AAAAAFzWa4c=")</f>
        <v>#VALUE!</v>
      </c>
      <c r="EG111" t="e">
        <f>AND(Sheet1!E1490,"AAAAAFzWa4g=")</f>
        <v>#VALUE!</v>
      </c>
      <c r="EH111" t="e">
        <f>AND(Sheet1!F1490,"AAAAAFzWa4k=")</f>
        <v>#VALUE!</v>
      </c>
      <c r="EI111" t="e">
        <f>AND(Sheet1!G1490,"AAAAAFzWa4o=")</f>
        <v>#VALUE!</v>
      </c>
      <c r="EJ111" t="e">
        <f>AND(Sheet1!H1490,"AAAAAFzWa4s=")</f>
        <v>#VALUE!</v>
      </c>
      <c r="EK111" t="e">
        <f>AND(Sheet1!I1490,"AAAAAFzWa4w=")</f>
        <v>#VALUE!</v>
      </c>
      <c r="EL111" t="e">
        <f>AND(Sheet1!J1490,"AAAAAFzWa40=")</f>
        <v>#VALUE!</v>
      </c>
      <c r="EM111" t="e">
        <f>AND(Sheet1!K1490,"AAAAAFzWa44=")</f>
        <v>#VALUE!</v>
      </c>
      <c r="EN111" t="e">
        <f>AND(Sheet1!L1490,"AAAAAFzWa48=")</f>
        <v>#VALUE!</v>
      </c>
      <c r="EO111" t="e">
        <f>AND(Sheet1!M1490,"AAAAAFzWa5A=")</f>
        <v>#VALUE!</v>
      </c>
      <c r="EP111" t="e">
        <f>AND(Sheet1!N1490,"AAAAAFzWa5E=")</f>
        <v>#VALUE!</v>
      </c>
      <c r="EQ111" t="e">
        <f>AND(Sheet1!#REF!,"AAAAAFzWa5I=")</f>
        <v>#REF!</v>
      </c>
      <c r="ER111" t="e">
        <f>AND(Sheet1!#REF!,"AAAAAFzWa5M=")</f>
        <v>#REF!</v>
      </c>
      <c r="ES111" t="e">
        <f>AND(Sheet1!#REF!,"AAAAAFzWa5Q=")</f>
        <v>#REF!</v>
      </c>
      <c r="ET111" t="e">
        <f>AND(Sheet1!#REF!,"AAAAAFzWa5U=")</f>
        <v>#REF!</v>
      </c>
      <c r="EU111">
        <f>IF(Sheet1!1491:1491,"AAAAAFzWa5Y=",0)</f>
        <v>0</v>
      </c>
      <c r="EV111" t="e">
        <f>AND(Sheet1!A1491,"AAAAAFzWa5c=")</f>
        <v>#VALUE!</v>
      </c>
      <c r="EW111" t="e">
        <f>AND(Sheet1!B1491,"AAAAAFzWa5g=")</f>
        <v>#VALUE!</v>
      </c>
      <c r="EX111" t="e">
        <f>AND(Sheet1!C1491,"AAAAAFzWa5k=")</f>
        <v>#VALUE!</v>
      </c>
      <c r="EY111" t="e">
        <f>AND(Sheet1!D1491,"AAAAAFzWa5o=")</f>
        <v>#VALUE!</v>
      </c>
      <c r="EZ111" t="e">
        <f>AND(Sheet1!E1491,"AAAAAFzWa5s=")</f>
        <v>#VALUE!</v>
      </c>
      <c r="FA111" t="e">
        <f>AND(Sheet1!F1491,"AAAAAFzWa5w=")</f>
        <v>#VALUE!</v>
      </c>
      <c r="FB111" t="e">
        <f>AND(Sheet1!G1491,"AAAAAFzWa50=")</f>
        <v>#VALUE!</v>
      </c>
      <c r="FC111" t="e">
        <f>AND(Sheet1!H1491,"AAAAAFzWa54=")</f>
        <v>#VALUE!</v>
      </c>
      <c r="FD111" t="e">
        <f>AND(Sheet1!I1491,"AAAAAFzWa58=")</f>
        <v>#VALUE!</v>
      </c>
      <c r="FE111" t="e">
        <f>AND(Sheet1!J1491,"AAAAAFzWa6A=")</f>
        <v>#VALUE!</v>
      </c>
      <c r="FF111" t="e">
        <f>AND(Sheet1!K1491,"AAAAAFzWa6E=")</f>
        <v>#VALUE!</v>
      </c>
      <c r="FG111" t="e">
        <f>AND(Sheet1!L1491,"AAAAAFzWa6I=")</f>
        <v>#VALUE!</v>
      </c>
      <c r="FH111" t="e">
        <f>AND(Sheet1!M1491,"AAAAAFzWa6M=")</f>
        <v>#VALUE!</v>
      </c>
      <c r="FI111" t="e">
        <f>AND(Sheet1!N1491,"AAAAAFzWa6Q=")</f>
        <v>#VALUE!</v>
      </c>
      <c r="FJ111" t="e">
        <f>AND(Sheet1!#REF!,"AAAAAFzWa6U=")</f>
        <v>#REF!</v>
      </c>
      <c r="FK111" t="e">
        <f>AND(Sheet1!#REF!,"AAAAAFzWa6Y=")</f>
        <v>#REF!</v>
      </c>
      <c r="FL111" t="e">
        <f>AND(Sheet1!#REF!,"AAAAAFzWa6c=")</f>
        <v>#REF!</v>
      </c>
      <c r="FM111" t="e">
        <f>AND(Sheet1!#REF!,"AAAAAFzWa6g=")</f>
        <v>#REF!</v>
      </c>
      <c r="FN111">
        <f>IF(Sheet1!1492:1492,"AAAAAFzWa6k=",0)</f>
        <v>0</v>
      </c>
      <c r="FO111" t="e">
        <f>AND(Sheet1!A1492,"AAAAAFzWa6o=")</f>
        <v>#VALUE!</v>
      </c>
      <c r="FP111" t="e">
        <f>AND(Sheet1!B1492,"AAAAAFzWa6s=")</f>
        <v>#VALUE!</v>
      </c>
      <c r="FQ111" t="e">
        <f>AND(Sheet1!C1492,"AAAAAFzWa6w=")</f>
        <v>#VALUE!</v>
      </c>
      <c r="FR111" t="e">
        <f>AND(Sheet1!D1492,"AAAAAFzWa60=")</f>
        <v>#VALUE!</v>
      </c>
      <c r="FS111" t="e">
        <f>AND(Sheet1!E1492,"AAAAAFzWa64=")</f>
        <v>#VALUE!</v>
      </c>
      <c r="FT111" t="e">
        <f>AND(Sheet1!F1492,"AAAAAFzWa68=")</f>
        <v>#VALUE!</v>
      </c>
      <c r="FU111" t="e">
        <f>AND(Sheet1!G1492,"AAAAAFzWa7A=")</f>
        <v>#VALUE!</v>
      </c>
      <c r="FV111" t="e">
        <f>AND(Sheet1!H1492,"AAAAAFzWa7E=")</f>
        <v>#VALUE!</v>
      </c>
      <c r="FW111" t="e">
        <f>AND(Sheet1!I1492,"AAAAAFzWa7I=")</f>
        <v>#VALUE!</v>
      </c>
      <c r="FX111" t="e">
        <f>AND(Sheet1!J1492,"AAAAAFzWa7M=")</f>
        <v>#VALUE!</v>
      </c>
      <c r="FY111" t="e">
        <f>AND(Sheet1!K1492,"AAAAAFzWa7Q=")</f>
        <v>#VALUE!</v>
      </c>
      <c r="FZ111" t="e">
        <f>AND(Sheet1!L1492,"AAAAAFzWa7U=")</f>
        <v>#VALUE!</v>
      </c>
      <c r="GA111" t="e">
        <f>AND(Sheet1!M1492,"AAAAAFzWa7Y=")</f>
        <v>#VALUE!</v>
      </c>
      <c r="GB111" t="e">
        <f>AND(Sheet1!N1492,"AAAAAFzWa7c=")</f>
        <v>#VALUE!</v>
      </c>
      <c r="GC111" t="e">
        <f>AND(Sheet1!#REF!,"AAAAAFzWa7g=")</f>
        <v>#REF!</v>
      </c>
      <c r="GD111" t="e">
        <f>AND(Sheet1!#REF!,"AAAAAFzWa7k=")</f>
        <v>#REF!</v>
      </c>
      <c r="GE111" t="e">
        <f>AND(Sheet1!#REF!,"AAAAAFzWa7o=")</f>
        <v>#REF!</v>
      </c>
      <c r="GF111" t="e">
        <f>AND(Sheet1!#REF!,"AAAAAFzWa7s=")</f>
        <v>#REF!</v>
      </c>
      <c r="GG111">
        <f>IF(Sheet1!1493:1493,"AAAAAFzWa7w=",0)</f>
        <v>0</v>
      </c>
      <c r="GH111" t="e">
        <f>AND(Sheet1!A1493,"AAAAAFzWa70=")</f>
        <v>#VALUE!</v>
      </c>
      <c r="GI111" t="e">
        <f>AND(Sheet1!B1493,"AAAAAFzWa74=")</f>
        <v>#VALUE!</v>
      </c>
      <c r="GJ111" t="e">
        <f>AND(Sheet1!C1493,"AAAAAFzWa78=")</f>
        <v>#VALUE!</v>
      </c>
      <c r="GK111" t="e">
        <f>AND(Sheet1!D1493,"AAAAAFzWa8A=")</f>
        <v>#VALUE!</v>
      </c>
      <c r="GL111" t="e">
        <f>AND(Sheet1!E1493,"AAAAAFzWa8E=")</f>
        <v>#VALUE!</v>
      </c>
      <c r="GM111" t="e">
        <f>AND(Sheet1!F1493,"AAAAAFzWa8I=")</f>
        <v>#VALUE!</v>
      </c>
      <c r="GN111" t="e">
        <f>AND(Sheet1!G1493,"AAAAAFzWa8M=")</f>
        <v>#VALUE!</v>
      </c>
      <c r="GO111" t="e">
        <f>AND(Sheet1!H1493,"AAAAAFzWa8Q=")</f>
        <v>#VALUE!</v>
      </c>
      <c r="GP111" t="e">
        <f>AND(Sheet1!I1493,"AAAAAFzWa8U=")</f>
        <v>#VALUE!</v>
      </c>
      <c r="GQ111" t="e">
        <f>AND(Sheet1!J1493,"AAAAAFzWa8Y=")</f>
        <v>#VALUE!</v>
      </c>
      <c r="GR111" t="e">
        <f>AND(Sheet1!K1493,"AAAAAFzWa8c=")</f>
        <v>#VALUE!</v>
      </c>
      <c r="GS111" t="e">
        <f>AND(Sheet1!L1493,"AAAAAFzWa8g=")</f>
        <v>#VALUE!</v>
      </c>
      <c r="GT111" t="e">
        <f>AND(Sheet1!M1493,"AAAAAFzWa8k=")</f>
        <v>#VALUE!</v>
      </c>
      <c r="GU111" t="e">
        <f>AND(Sheet1!N1493,"AAAAAFzWa8o=")</f>
        <v>#VALUE!</v>
      </c>
      <c r="GV111" t="e">
        <f>AND(Sheet1!#REF!,"AAAAAFzWa8s=")</f>
        <v>#REF!</v>
      </c>
      <c r="GW111" t="e">
        <f>AND(Sheet1!#REF!,"AAAAAFzWa8w=")</f>
        <v>#REF!</v>
      </c>
      <c r="GX111" t="e">
        <f>AND(Sheet1!#REF!,"AAAAAFzWa80=")</f>
        <v>#REF!</v>
      </c>
      <c r="GY111" t="e">
        <f>AND(Sheet1!#REF!,"AAAAAFzWa84=")</f>
        <v>#REF!</v>
      </c>
      <c r="GZ111">
        <f>IF(Sheet1!1494:1494,"AAAAAFzWa88=",0)</f>
        <v>0</v>
      </c>
      <c r="HA111" t="e">
        <f>AND(Sheet1!A1494,"AAAAAFzWa9A=")</f>
        <v>#VALUE!</v>
      </c>
      <c r="HB111" t="e">
        <f>AND(Sheet1!B1494,"AAAAAFzWa9E=")</f>
        <v>#VALUE!</v>
      </c>
      <c r="HC111" t="e">
        <f>AND(Sheet1!C1494,"AAAAAFzWa9I=")</f>
        <v>#VALUE!</v>
      </c>
      <c r="HD111" t="e">
        <f>AND(Sheet1!D1494,"AAAAAFzWa9M=")</f>
        <v>#VALUE!</v>
      </c>
      <c r="HE111" t="e">
        <f>AND(Sheet1!E1494,"AAAAAFzWa9Q=")</f>
        <v>#VALUE!</v>
      </c>
      <c r="HF111" t="e">
        <f>AND(Sheet1!F1494,"AAAAAFzWa9U=")</f>
        <v>#VALUE!</v>
      </c>
      <c r="HG111" t="e">
        <f>AND(Sheet1!G1494,"AAAAAFzWa9Y=")</f>
        <v>#VALUE!</v>
      </c>
      <c r="HH111" t="e">
        <f>AND(Sheet1!H1494,"AAAAAFzWa9c=")</f>
        <v>#VALUE!</v>
      </c>
      <c r="HI111" t="e">
        <f>AND(Sheet1!I1494,"AAAAAFzWa9g=")</f>
        <v>#VALUE!</v>
      </c>
      <c r="HJ111" t="e">
        <f>AND(Sheet1!J1494,"AAAAAFzWa9k=")</f>
        <v>#VALUE!</v>
      </c>
      <c r="HK111" t="e">
        <f>AND(Sheet1!K1494,"AAAAAFzWa9o=")</f>
        <v>#VALUE!</v>
      </c>
      <c r="HL111" t="e">
        <f>AND(Sheet1!L1494,"AAAAAFzWa9s=")</f>
        <v>#VALUE!</v>
      </c>
      <c r="HM111" t="e">
        <f>AND(Sheet1!M1494,"AAAAAFzWa9w=")</f>
        <v>#VALUE!</v>
      </c>
      <c r="HN111" t="e">
        <f>AND(Sheet1!N1494,"AAAAAFzWa90=")</f>
        <v>#VALUE!</v>
      </c>
      <c r="HO111" t="e">
        <f>AND(Sheet1!#REF!,"AAAAAFzWa94=")</f>
        <v>#REF!</v>
      </c>
      <c r="HP111" t="e">
        <f>AND(Sheet1!#REF!,"AAAAAFzWa98=")</f>
        <v>#REF!</v>
      </c>
      <c r="HQ111" t="e">
        <f>AND(Sheet1!#REF!,"AAAAAFzWa+A=")</f>
        <v>#REF!</v>
      </c>
      <c r="HR111" t="e">
        <f>AND(Sheet1!#REF!,"AAAAAFzWa+E=")</f>
        <v>#REF!</v>
      </c>
      <c r="HS111">
        <f>IF(Sheet1!1495:1495,"AAAAAFzWa+I=",0)</f>
        <v>0</v>
      </c>
      <c r="HT111" t="e">
        <f>AND(Sheet1!A1495,"AAAAAFzWa+M=")</f>
        <v>#VALUE!</v>
      </c>
      <c r="HU111" t="e">
        <f>AND(Sheet1!B1495,"AAAAAFzWa+Q=")</f>
        <v>#VALUE!</v>
      </c>
      <c r="HV111" t="e">
        <f>AND(Sheet1!C1495,"AAAAAFzWa+U=")</f>
        <v>#VALUE!</v>
      </c>
      <c r="HW111" t="e">
        <f>AND(Sheet1!D1495,"AAAAAFzWa+Y=")</f>
        <v>#VALUE!</v>
      </c>
      <c r="HX111" t="e">
        <f>AND(Sheet1!E1495,"AAAAAFzWa+c=")</f>
        <v>#VALUE!</v>
      </c>
      <c r="HY111" t="e">
        <f>AND(Sheet1!F1495,"AAAAAFzWa+g=")</f>
        <v>#VALUE!</v>
      </c>
      <c r="HZ111" t="e">
        <f>AND(Sheet1!G1495,"AAAAAFzWa+k=")</f>
        <v>#VALUE!</v>
      </c>
      <c r="IA111" t="e">
        <f>AND(Sheet1!H1495,"AAAAAFzWa+o=")</f>
        <v>#VALUE!</v>
      </c>
      <c r="IB111" t="e">
        <f>AND(Sheet1!I1495,"AAAAAFzWa+s=")</f>
        <v>#VALUE!</v>
      </c>
      <c r="IC111" t="e">
        <f>AND(Sheet1!J1495,"AAAAAFzWa+w=")</f>
        <v>#VALUE!</v>
      </c>
      <c r="ID111" t="e">
        <f>AND(Sheet1!K1495,"AAAAAFzWa+0=")</f>
        <v>#VALUE!</v>
      </c>
      <c r="IE111" t="e">
        <f>AND(Sheet1!L1495,"AAAAAFzWa+4=")</f>
        <v>#VALUE!</v>
      </c>
      <c r="IF111" t="e">
        <f>AND(Sheet1!M1495,"AAAAAFzWa+8=")</f>
        <v>#VALUE!</v>
      </c>
      <c r="IG111" t="e">
        <f>AND(Sheet1!N1495,"AAAAAFzWa/A=")</f>
        <v>#VALUE!</v>
      </c>
      <c r="IH111" t="e">
        <f>AND(Sheet1!#REF!,"AAAAAFzWa/E=")</f>
        <v>#REF!</v>
      </c>
      <c r="II111" t="e">
        <f>AND(Sheet1!#REF!,"AAAAAFzWa/I=")</f>
        <v>#REF!</v>
      </c>
      <c r="IJ111" t="e">
        <f>AND(Sheet1!#REF!,"AAAAAFzWa/M=")</f>
        <v>#REF!</v>
      </c>
      <c r="IK111" t="e">
        <f>AND(Sheet1!#REF!,"AAAAAFzWa/Q=")</f>
        <v>#REF!</v>
      </c>
      <c r="IL111">
        <f>IF(Sheet1!1496:1496,"AAAAAFzWa/U=",0)</f>
        <v>0</v>
      </c>
      <c r="IM111" t="e">
        <f>AND(Sheet1!A1496,"AAAAAFzWa/Y=")</f>
        <v>#VALUE!</v>
      </c>
      <c r="IN111" t="e">
        <f>AND(Sheet1!B1496,"AAAAAFzWa/c=")</f>
        <v>#VALUE!</v>
      </c>
      <c r="IO111" t="e">
        <f>AND(Sheet1!C1496,"AAAAAFzWa/g=")</f>
        <v>#VALUE!</v>
      </c>
      <c r="IP111" t="e">
        <f>AND(Sheet1!D1496,"AAAAAFzWa/k=")</f>
        <v>#VALUE!</v>
      </c>
      <c r="IQ111" t="e">
        <f>AND(Sheet1!E1496,"AAAAAFzWa/o=")</f>
        <v>#VALUE!</v>
      </c>
      <c r="IR111" t="e">
        <f>AND(Sheet1!F1496,"AAAAAFzWa/s=")</f>
        <v>#VALUE!</v>
      </c>
      <c r="IS111" t="e">
        <f>AND(Sheet1!G1496,"AAAAAFzWa/w=")</f>
        <v>#VALUE!</v>
      </c>
      <c r="IT111" t="e">
        <f>AND(Sheet1!H1496,"AAAAAFzWa/0=")</f>
        <v>#VALUE!</v>
      </c>
      <c r="IU111" t="e">
        <f>AND(Sheet1!I1496,"AAAAAFzWa/4=")</f>
        <v>#VALUE!</v>
      </c>
      <c r="IV111" t="e">
        <f>AND(Sheet1!J1496,"AAAAAFzWa/8=")</f>
        <v>#VALUE!</v>
      </c>
    </row>
    <row r="112" spans="1:256" x14ac:dyDescent="0.2">
      <c r="A112" t="e">
        <f>AND(Sheet1!K1496,"AAAAAHvfvQA=")</f>
        <v>#VALUE!</v>
      </c>
      <c r="B112" t="e">
        <f>AND(Sheet1!L1496,"AAAAAHvfvQE=")</f>
        <v>#VALUE!</v>
      </c>
      <c r="C112" t="e">
        <f>AND(Sheet1!M1496,"AAAAAHvfvQI=")</f>
        <v>#VALUE!</v>
      </c>
      <c r="D112" t="e">
        <f>AND(Sheet1!N1496,"AAAAAHvfvQM=")</f>
        <v>#VALUE!</v>
      </c>
      <c r="E112" t="e">
        <f>AND(Sheet1!#REF!,"AAAAAHvfvQQ=")</f>
        <v>#REF!</v>
      </c>
      <c r="F112" t="e">
        <f>AND(Sheet1!#REF!,"AAAAAHvfvQU=")</f>
        <v>#REF!</v>
      </c>
      <c r="G112" t="e">
        <f>AND(Sheet1!#REF!,"AAAAAHvfvQY=")</f>
        <v>#REF!</v>
      </c>
      <c r="H112" t="e">
        <f>AND(Sheet1!#REF!,"AAAAAHvfvQc=")</f>
        <v>#REF!</v>
      </c>
      <c r="I112">
        <f>IF(Sheet1!1497:1497,"AAAAAHvfvQg=",0)</f>
        <v>0</v>
      </c>
      <c r="J112" t="e">
        <f>AND(Sheet1!A1497,"AAAAAHvfvQk=")</f>
        <v>#VALUE!</v>
      </c>
      <c r="K112" t="e">
        <f>AND(Sheet1!B1497,"AAAAAHvfvQo=")</f>
        <v>#VALUE!</v>
      </c>
      <c r="L112" t="e">
        <f>AND(Sheet1!C1497,"AAAAAHvfvQs=")</f>
        <v>#VALUE!</v>
      </c>
      <c r="M112" t="e">
        <f>AND(Sheet1!D1497,"AAAAAHvfvQw=")</f>
        <v>#VALUE!</v>
      </c>
      <c r="N112" t="e">
        <f>AND(Sheet1!E1497,"AAAAAHvfvQ0=")</f>
        <v>#VALUE!</v>
      </c>
      <c r="O112" t="e">
        <f>AND(Sheet1!F1497,"AAAAAHvfvQ4=")</f>
        <v>#VALUE!</v>
      </c>
      <c r="P112" t="e">
        <f>AND(Sheet1!G1497,"AAAAAHvfvQ8=")</f>
        <v>#VALUE!</v>
      </c>
      <c r="Q112" t="e">
        <f>AND(Sheet1!H1497,"AAAAAHvfvRA=")</f>
        <v>#VALUE!</v>
      </c>
      <c r="R112" t="e">
        <f>AND(Sheet1!I1497,"AAAAAHvfvRE=")</f>
        <v>#VALUE!</v>
      </c>
      <c r="S112" t="e">
        <f>AND(Sheet1!J1497,"AAAAAHvfvRI=")</f>
        <v>#VALUE!</v>
      </c>
      <c r="T112" t="e">
        <f>AND(Sheet1!K1497,"AAAAAHvfvRM=")</f>
        <v>#VALUE!</v>
      </c>
      <c r="U112" t="e">
        <f>AND(Sheet1!L1497,"AAAAAHvfvRQ=")</f>
        <v>#VALUE!</v>
      </c>
      <c r="V112" t="e">
        <f>AND(Sheet1!M1497,"AAAAAHvfvRU=")</f>
        <v>#VALUE!</v>
      </c>
      <c r="W112" t="e">
        <f>AND(Sheet1!N1497,"AAAAAHvfvRY=")</f>
        <v>#VALUE!</v>
      </c>
      <c r="X112" t="e">
        <f>AND(Sheet1!#REF!,"AAAAAHvfvRc=")</f>
        <v>#REF!</v>
      </c>
      <c r="Y112" t="e">
        <f>AND(Sheet1!#REF!,"AAAAAHvfvRg=")</f>
        <v>#REF!</v>
      </c>
      <c r="Z112" t="e">
        <f>AND(Sheet1!#REF!,"AAAAAHvfvRk=")</f>
        <v>#REF!</v>
      </c>
      <c r="AA112" t="e">
        <f>AND(Sheet1!#REF!,"AAAAAHvfvRo=")</f>
        <v>#REF!</v>
      </c>
      <c r="AB112">
        <f>IF(Sheet1!1498:1498,"AAAAAHvfvRs=",0)</f>
        <v>0</v>
      </c>
      <c r="AC112" t="e">
        <f>AND(Sheet1!A1498,"AAAAAHvfvRw=")</f>
        <v>#VALUE!</v>
      </c>
      <c r="AD112" t="e">
        <f>AND(Sheet1!B1498,"AAAAAHvfvR0=")</f>
        <v>#VALUE!</v>
      </c>
      <c r="AE112" t="e">
        <f>AND(Sheet1!C1498,"AAAAAHvfvR4=")</f>
        <v>#VALUE!</v>
      </c>
      <c r="AF112" t="e">
        <f>AND(Sheet1!D1498,"AAAAAHvfvR8=")</f>
        <v>#VALUE!</v>
      </c>
      <c r="AG112" t="e">
        <f>AND(Sheet1!E1498,"AAAAAHvfvSA=")</f>
        <v>#VALUE!</v>
      </c>
      <c r="AH112" t="e">
        <f>AND(Sheet1!F1498,"AAAAAHvfvSE=")</f>
        <v>#VALUE!</v>
      </c>
      <c r="AI112" t="e">
        <f>AND(Sheet1!G1498,"AAAAAHvfvSI=")</f>
        <v>#VALUE!</v>
      </c>
      <c r="AJ112" t="e">
        <f>AND(Sheet1!H1498,"AAAAAHvfvSM=")</f>
        <v>#VALUE!</v>
      </c>
      <c r="AK112" t="e">
        <f>AND(Sheet1!I1498,"AAAAAHvfvSQ=")</f>
        <v>#VALUE!</v>
      </c>
      <c r="AL112" t="e">
        <f>AND(Sheet1!J1498,"AAAAAHvfvSU=")</f>
        <v>#VALUE!</v>
      </c>
      <c r="AM112" t="e">
        <f>AND(Sheet1!K1498,"AAAAAHvfvSY=")</f>
        <v>#VALUE!</v>
      </c>
      <c r="AN112" t="e">
        <f>AND(Sheet1!L1498,"AAAAAHvfvSc=")</f>
        <v>#VALUE!</v>
      </c>
      <c r="AO112" t="e">
        <f>AND(Sheet1!M1498,"AAAAAHvfvSg=")</f>
        <v>#VALUE!</v>
      </c>
      <c r="AP112" t="e">
        <f>AND(Sheet1!N1498,"AAAAAHvfvSk=")</f>
        <v>#VALUE!</v>
      </c>
      <c r="AQ112" t="e">
        <f>AND(Sheet1!#REF!,"AAAAAHvfvSo=")</f>
        <v>#REF!</v>
      </c>
      <c r="AR112" t="e">
        <f>AND(Sheet1!#REF!,"AAAAAHvfvSs=")</f>
        <v>#REF!</v>
      </c>
      <c r="AS112" t="e">
        <f>AND(Sheet1!#REF!,"AAAAAHvfvSw=")</f>
        <v>#REF!</v>
      </c>
      <c r="AT112" t="e">
        <f>AND(Sheet1!#REF!,"AAAAAHvfvS0=")</f>
        <v>#REF!</v>
      </c>
      <c r="AU112">
        <f>IF(Sheet1!1499:1499,"AAAAAHvfvS4=",0)</f>
        <v>0</v>
      </c>
      <c r="AV112" t="e">
        <f>AND(Sheet1!A1499,"AAAAAHvfvS8=")</f>
        <v>#VALUE!</v>
      </c>
      <c r="AW112" t="e">
        <f>AND(Sheet1!B1499,"AAAAAHvfvTA=")</f>
        <v>#VALUE!</v>
      </c>
      <c r="AX112" t="e">
        <f>AND(Sheet1!C1499,"AAAAAHvfvTE=")</f>
        <v>#VALUE!</v>
      </c>
      <c r="AY112" t="e">
        <f>AND(Sheet1!D1499,"AAAAAHvfvTI=")</f>
        <v>#VALUE!</v>
      </c>
      <c r="AZ112" t="e">
        <f>AND(Sheet1!E1499,"AAAAAHvfvTM=")</f>
        <v>#VALUE!</v>
      </c>
      <c r="BA112" t="e">
        <f>AND(Sheet1!F1499,"AAAAAHvfvTQ=")</f>
        <v>#VALUE!</v>
      </c>
      <c r="BB112" t="e">
        <f>AND(Sheet1!G1499,"AAAAAHvfvTU=")</f>
        <v>#VALUE!</v>
      </c>
      <c r="BC112" t="e">
        <f>AND(Sheet1!H1499,"AAAAAHvfvTY=")</f>
        <v>#VALUE!</v>
      </c>
      <c r="BD112" t="e">
        <f>AND(Sheet1!I1499,"AAAAAHvfvTc=")</f>
        <v>#VALUE!</v>
      </c>
      <c r="BE112" t="e">
        <f>AND(Sheet1!J1499,"AAAAAHvfvTg=")</f>
        <v>#VALUE!</v>
      </c>
      <c r="BF112" t="e">
        <f>AND(Sheet1!K1499,"AAAAAHvfvTk=")</f>
        <v>#VALUE!</v>
      </c>
      <c r="BG112" t="e">
        <f>AND(Sheet1!L1499,"AAAAAHvfvTo=")</f>
        <v>#VALUE!</v>
      </c>
      <c r="BH112" t="e">
        <f>AND(Sheet1!M1499,"AAAAAHvfvTs=")</f>
        <v>#VALUE!</v>
      </c>
      <c r="BI112" t="e">
        <f>AND(Sheet1!N1499,"AAAAAHvfvTw=")</f>
        <v>#VALUE!</v>
      </c>
      <c r="BJ112" t="e">
        <f>AND(Sheet1!#REF!,"AAAAAHvfvT0=")</f>
        <v>#REF!</v>
      </c>
      <c r="BK112" t="e">
        <f>AND(Sheet1!#REF!,"AAAAAHvfvT4=")</f>
        <v>#REF!</v>
      </c>
      <c r="BL112" t="e">
        <f>AND(Sheet1!#REF!,"AAAAAHvfvT8=")</f>
        <v>#REF!</v>
      </c>
      <c r="BM112" t="e">
        <f>AND(Sheet1!#REF!,"AAAAAHvfvUA=")</f>
        <v>#REF!</v>
      </c>
      <c r="BN112">
        <f>IF(Sheet1!1500:1500,"AAAAAHvfvUE=",0)</f>
        <v>0</v>
      </c>
      <c r="BO112" t="e">
        <f>AND(Sheet1!A1500,"AAAAAHvfvUI=")</f>
        <v>#VALUE!</v>
      </c>
      <c r="BP112" t="e">
        <f>AND(Sheet1!B1500,"AAAAAHvfvUM=")</f>
        <v>#VALUE!</v>
      </c>
      <c r="BQ112" t="e">
        <f>AND(Sheet1!C1500,"AAAAAHvfvUQ=")</f>
        <v>#VALUE!</v>
      </c>
      <c r="BR112" t="e">
        <f>AND(Sheet1!D1500,"AAAAAHvfvUU=")</f>
        <v>#VALUE!</v>
      </c>
      <c r="BS112" t="e">
        <f>AND(Sheet1!E1500,"AAAAAHvfvUY=")</f>
        <v>#VALUE!</v>
      </c>
      <c r="BT112" t="e">
        <f>AND(Sheet1!F1500,"AAAAAHvfvUc=")</f>
        <v>#VALUE!</v>
      </c>
      <c r="BU112" t="e">
        <f>AND(Sheet1!G1500,"AAAAAHvfvUg=")</f>
        <v>#VALUE!</v>
      </c>
      <c r="BV112" t="e">
        <f>AND(Sheet1!H1500,"AAAAAHvfvUk=")</f>
        <v>#VALUE!</v>
      </c>
      <c r="BW112" t="e">
        <f>AND(Sheet1!I1500,"AAAAAHvfvUo=")</f>
        <v>#VALUE!</v>
      </c>
      <c r="BX112" t="e">
        <f>AND(Sheet1!J1500,"AAAAAHvfvUs=")</f>
        <v>#VALUE!</v>
      </c>
      <c r="BY112" t="e">
        <f>AND(Sheet1!K1500,"AAAAAHvfvUw=")</f>
        <v>#VALUE!</v>
      </c>
      <c r="BZ112" t="e">
        <f>AND(Sheet1!L1500,"AAAAAHvfvU0=")</f>
        <v>#VALUE!</v>
      </c>
      <c r="CA112" t="e">
        <f>AND(Sheet1!M1500,"AAAAAHvfvU4=")</f>
        <v>#VALUE!</v>
      </c>
      <c r="CB112" t="e">
        <f>AND(Sheet1!N1500,"AAAAAHvfvU8=")</f>
        <v>#VALUE!</v>
      </c>
      <c r="CC112" t="e">
        <f>AND(Sheet1!#REF!,"AAAAAHvfvVA=")</f>
        <v>#REF!</v>
      </c>
      <c r="CD112" t="e">
        <f>AND(Sheet1!#REF!,"AAAAAHvfvVE=")</f>
        <v>#REF!</v>
      </c>
      <c r="CE112" t="e">
        <f>AND(Sheet1!#REF!,"AAAAAHvfvVI=")</f>
        <v>#REF!</v>
      </c>
      <c r="CF112" t="e">
        <f>AND(Sheet1!#REF!,"AAAAAHvfvVM=")</f>
        <v>#REF!</v>
      </c>
      <c r="CG112">
        <f>IF(Sheet1!1501:1501,"AAAAAHvfvVQ=",0)</f>
        <v>0</v>
      </c>
      <c r="CH112" t="e">
        <f>AND(Sheet1!A1501,"AAAAAHvfvVU=")</f>
        <v>#VALUE!</v>
      </c>
      <c r="CI112" t="e">
        <f>AND(Sheet1!B1501,"AAAAAHvfvVY=")</f>
        <v>#VALUE!</v>
      </c>
      <c r="CJ112" t="e">
        <f>AND(Sheet1!C1501,"AAAAAHvfvVc=")</f>
        <v>#VALUE!</v>
      </c>
      <c r="CK112" t="e">
        <f>AND(Sheet1!D1501,"AAAAAHvfvVg=")</f>
        <v>#VALUE!</v>
      </c>
      <c r="CL112" t="e">
        <f>AND(Sheet1!E1501,"AAAAAHvfvVk=")</f>
        <v>#VALUE!</v>
      </c>
      <c r="CM112" t="e">
        <f>AND(Sheet1!F1501,"AAAAAHvfvVo=")</f>
        <v>#VALUE!</v>
      </c>
      <c r="CN112" t="e">
        <f>AND(Sheet1!G1501,"AAAAAHvfvVs=")</f>
        <v>#VALUE!</v>
      </c>
      <c r="CO112" t="e">
        <f>AND(Sheet1!H1501,"AAAAAHvfvVw=")</f>
        <v>#VALUE!</v>
      </c>
      <c r="CP112" t="e">
        <f>AND(Sheet1!I1501,"AAAAAHvfvV0=")</f>
        <v>#VALUE!</v>
      </c>
      <c r="CQ112" t="e">
        <f>AND(Sheet1!J1501,"AAAAAHvfvV4=")</f>
        <v>#VALUE!</v>
      </c>
      <c r="CR112" t="e">
        <f>AND(Sheet1!K1501,"AAAAAHvfvV8=")</f>
        <v>#VALUE!</v>
      </c>
      <c r="CS112" t="e">
        <f>AND(Sheet1!L1501,"AAAAAHvfvWA=")</f>
        <v>#VALUE!</v>
      </c>
      <c r="CT112" t="e">
        <f>AND(Sheet1!M1501,"AAAAAHvfvWE=")</f>
        <v>#VALUE!</v>
      </c>
      <c r="CU112" t="e">
        <f>AND(Sheet1!N1501,"AAAAAHvfvWI=")</f>
        <v>#VALUE!</v>
      </c>
      <c r="CV112" t="e">
        <f>AND(Sheet1!#REF!,"AAAAAHvfvWM=")</f>
        <v>#REF!</v>
      </c>
      <c r="CW112" t="e">
        <f>AND(Sheet1!#REF!,"AAAAAHvfvWQ=")</f>
        <v>#REF!</v>
      </c>
      <c r="CX112" t="e">
        <f>AND(Sheet1!#REF!,"AAAAAHvfvWU=")</f>
        <v>#REF!</v>
      </c>
      <c r="CY112" t="e">
        <f>AND(Sheet1!#REF!,"AAAAAHvfvWY=")</f>
        <v>#REF!</v>
      </c>
      <c r="CZ112">
        <f>IF(Sheet1!1502:1502,"AAAAAHvfvWc=",0)</f>
        <v>0</v>
      </c>
      <c r="DA112" t="e">
        <f>AND(Sheet1!A1502,"AAAAAHvfvWg=")</f>
        <v>#VALUE!</v>
      </c>
      <c r="DB112" t="e">
        <f>AND(Sheet1!B1502,"AAAAAHvfvWk=")</f>
        <v>#VALUE!</v>
      </c>
      <c r="DC112" t="e">
        <f>AND(Sheet1!C1502,"AAAAAHvfvWo=")</f>
        <v>#VALUE!</v>
      </c>
      <c r="DD112" t="e">
        <f>AND(Sheet1!D1502,"AAAAAHvfvWs=")</f>
        <v>#VALUE!</v>
      </c>
      <c r="DE112" t="e">
        <f>AND(Sheet1!E1502,"AAAAAHvfvWw=")</f>
        <v>#VALUE!</v>
      </c>
      <c r="DF112" t="e">
        <f>AND(Sheet1!F1502,"AAAAAHvfvW0=")</f>
        <v>#VALUE!</v>
      </c>
      <c r="DG112" t="e">
        <f>AND(Sheet1!G1502,"AAAAAHvfvW4=")</f>
        <v>#VALUE!</v>
      </c>
      <c r="DH112" t="e">
        <f>AND(Sheet1!H1502,"AAAAAHvfvW8=")</f>
        <v>#VALUE!</v>
      </c>
      <c r="DI112" t="e">
        <f>AND(Sheet1!I1502,"AAAAAHvfvXA=")</f>
        <v>#VALUE!</v>
      </c>
      <c r="DJ112" t="e">
        <f>AND(Sheet1!J1502,"AAAAAHvfvXE=")</f>
        <v>#VALUE!</v>
      </c>
      <c r="DK112" t="e">
        <f>AND(Sheet1!K1502,"AAAAAHvfvXI=")</f>
        <v>#VALUE!</v>
      </c>
      <c r="DL112" t="e">
        <f>AND(Sheet1!L1502,"AAAAAHvfvXM=")</f>
        <v>#VALUE!</v>
      </c>
      <c r="DM112" t="e">
        <f>AND(Sheet1!M1502,"AAAAAHvfvXQ=")</f>
        <v>#VALUE!</v>
      </c>
      <c r="DN112" t="e">
        <f>AND(Sheet1!N1502,"AAAAAHvfvXU=")</f>
        <v>#VALUE!</v>
      </c>
      <c r="DO112" t="e">
        <f>AND(Sheet1!#REF!,"AAAAAHvfvXY=")</f>
        <v>#REF!</v>
      </c>
      <c r="DP112" t="e">
        <f>AND(Sheet1!#REF!,"AAAAAHvfvXc=")</f>
        <v>#REF!</v>
      </c>
      <c r="DQ112" t="e">
        <f>AND(Sheet1!#REF!,"AAAAAHvfvXg=")</f>
        <v>#REF!</v>
      </c>
      <c r="DR112" t="e">
        <f>AND(Sheet1!#REF!,"AAAAAHvfvXk=")</f>
        <v>#REF!</v>
      </c>
      <c r="DS112">
        <f>IF(Sheet1!1503:1503,"AAAAAHvfvXo=",0)</f>
        <v>0</v>
      </c>
      <c r="DT112" t="e">
        <f>AND(Sheet1!A1503,"AAAAAHvfvXs=")</f>
        <v>#VALUE!</v>
      </c>
      <c r="DU112" t="e">
        <f>AND(Sheet1!B1503,"AAAAAHvfvXw=")</f>
        <v>#VALUE!</v>
      </c>
      <c r="DV112" t="e">
        <f>AND(Sheet1!C1503,"AAAAAHvfvX0=")</f>
        <v>#VALUE!</v>
      </c>
      <c r="DW112" t="e">
        <f>AND(Sheet1!D1503,"AAAAAHvfvX4=")</f>
        <v>#VALUE!</v>
      </c>
      <c r="DX112" t="e">
        <f>AND(Sheet1!E1503,"AAAAAHvfvX8=")</f>
        <v>#VALUE!</v>
      </c>
      <c r="DY112" t="e">
        <f>AND(Sheet1!F1503,"AAAAAHvfvYA=")</f>
        <v>#VALUE!</v>
      </c>
      <c r="DZ112" t="e">
        <f>AND(Sheet1!G1503,"AAAAAHvfvYE=")</f>
        <v>#VALUE!</v>
      </c>
      <c r="EA112" t="e">
        <f>AND(Sheet1!H1503,"AAAAAHvfvYI=")</f>
        <v>#VALUE!</v>
      </c>
      <c r="EB112" t="e">
        <f>AND(Sheet1!I1503,"AAAAAHvfvYM=")</f>
        <v>#VALUE!</v>
      </c>
      <c r="EC112" t="e">
        <f>AND(Sheet1!J1503,"AAAAAHvfvYQ=")</f>
        <v>#VALUE!</v>
      </c>
      <c r="ED112" t="e">
        <f>AND(Sheet1!K1503,"AAAAAHvfvYU=")</f>
        <v>#VALUE!</v>
      </c>
      <c r="EE112" t="e">
        <f>AND(Sheet1!L1503,"AAAAAHvfvYY=")</f>
        <v>#VALUE!</v>
      </c>
      <c r="EF112" t="e">
        <f>AND(Sheet1!M1503,"AAAAAHvfvYc=")</f>
        <v>#VALUE!</v>
      </c>
      <c r="EG112" t="e">
        <f>AND(Sheet1!N1503,"AAAAAHvfvYg=")</f>
        <v>#VALUE!</v>
      </c>
      <c r="EH112" t="e">
        <f>AND(Sheet1!#REF!,"AAAAAHvfvYk=")</f>
        <v>#REF!</v>
      </c>
      <c r="EI112" t="e">
        <f>AND(Sheet1!#REF!,"AAAAAHvfvYo=")</f>
        <v>#REF!</v>
      </c>
      <c r="EJ112" t="e">
        <f>AND(Sheet1!#REF!,"AAAAAHvfvYs=")</f>
        <v>#REF!</v>
      </c>
      <c r="EK112" t="e">
        <f>AND(Sheet1!#REF!,"AAAAAHvfvYw=")</f>
        <v>#REF!</v>
      </c>
      <c r="EL112">
        <f>IF(Sheet1!1504:1504,"AAAAAHvfvY0=",0)</f>
        <v>0</v>
      </c>
      <c r="EM112" t="e">
        <f>AND(Sheet1!A1504,"AAAAAHvfvY4=")</f>
        <v>#VALUE!</v>
      </c>
      <c r="EN112" t="e">
        <f>AND(Sheet1!B1504,"AAAAAHvfvY8=")</f>
        <v>#VALUE!</v>
      </c>
      <c r="EO112" t="e">
        <f>AND(Sheet1!C1504,"AAAAAHvfvZA=")</f>
        <v>#VALUE!</v>
      </c>
      <c r="EP112" t="e">
        <f>AND(Sheet1!D1504,"AAAAAHvfvZE=")</f>
        <v>#VALUE!</v>
      </c>
      <c r="EQ112" t="e">
        <f>AND(Sheet1!E1504,"AAAAAHvfvZI=")</f>
        <v>#VALUE!</v>
      </c>
      <c r="ER112" t="e">
        <f>AND(Sheet1!F1504,"AAAAAHvfvZM=")</f>
        <v>#VALUE!</v>
      </c>
      <c r="ES112" t="e">
        <f>AND(Sheet1!G1504,"AAAAAHvfvZQ=")</f>
        <v>#VALUE!</v>
      </c>
      <c r="ET112" t="e">
        <f>AND(Sheet1!H1504,"AAAAAHvfvZU=")</f>
        <v>#VALUE!</v>
      </c>
      <c r="EU112" t="e">
        <f>AND(Sheet1!I1504,"AAAAAHvfvZY=")</f>
        <v>#VALUE!</v>
      </c>
      <c r="EV112" t="e">
        <f>AND(Sheet1!J1504,"AAAAAHvfvZc=")</f>
        <v>#VALUE!</v>
      </c>
      <c r="EW112" t="e">
        <f>AND(Sheet1!K1504,"AAAAAHvfvZg=")</f>
        <v>#VALUE!</v>
      </c>
      <c r="EX112" t="e">
        <f>AND(Sheet1!L1504,"AAAAAHvfvZk=")</f>
        <v>#VALUE!</v>
      </c>
      <c r="EY112" t="e">
        <f>AND(Sheet1!M1504,"AAAAAHvfvZo=")</f>
        <v>#VALUE!</v>
      </c>
      <c r="EZ112" t="e">
        <f>AND(Sheet1!N1504,"AAAAAHvfvZs=")</f>
        <v>#VALUE!</v>
      </c>
      <c r="FA112" t="e">
        <f>AND(Sheet1!#REF!,"AAAAAHvfvZw=")</f>
        <v>#REF!</v>
      </c>
      <c r="FB112" t="e">
        <f>AND(Sheet1!#REF!,"AAAAAHvfvZ0=")</f>
        <v>#REF!</v>
      </c>
      <c r="FC112" t="e">
        <f>AND(Sheet1!#REF!,"AAAAAHvfvZ4=")</f>
        <v>#REF!</v>
      </c>
      <c r="FD112" t="e">
        <f>AND(Sheet1!#REF!,"AAAAAHvfvZ8=")</f>
        <v>#REF!</v>
      </c>
      <c r="FE112">
        <f>IF(Sheet1!1505:1505,"AAAAAHvfvaA=",0)</f>
        <v>0</v>
      </c>
      <c r="FF112" t="e">
        <f>AND(Sheet1!A1505,"AAAAAHvfvaE=")</f>
        <v>#VALUE!</v>
      </c>
      <c r="FG112" t="e">
        <f>AND(Sheet1!B1505,"AAAAAHvfvaI=")</f>
        <v>#VALUE!</v>
      </c>
      <c r="FH112" t="e">
        <f>AND(Sheet1!C1505,"AAAAAHvfvaM=")</f>
        <v>#VALUE!</v>
      </c>
      <c r="FI112" t="e">
        <f>AND(Sheet1!D1505,"AAAAAHvfvaQ=")</f>
        <v>#VALUE!</v>
      </c>
      <c r="FJ112" t="e">
        <f>AND(Sheet1!E1505,"AAAAAHvfvaU=")</f>
        <v>#VALUE!</v>
      </c>
      <c r="FK112" t="e">
        <f>AND(Sheet1!F1505,"AAAAAHvfvaY=")</f>
        <v>#VALUE!</v>
      </c>
      <c r="FL112" t="e">
        <f>AND(Sheet1!G1505,"AAAAAHvfvac=")</f>
        <v>#VALUE!</v>
      </c>
      <c r="FM112" t="e">
        <f>AND(Sheet1!H1505,"AAAAAHvfvag=")</f>
        <v>#VALUE!</v>
      </c>
      <c r="FN112" t="e">
        <f>AND(Sheet1!I1505,"AAAAAHvfvak=")</f>
        <v>#VALUE!</v>
      </c>
      <c r="FO112" t="e">
        <f>AND(Sheet1!J1505,"AAAAAHvfvao=")</f>
        <v>#VALUE!</v>
      </c>
      <c r="FP112" t="e">
        <f>AND(Sheet1!K1505,"AAAAAHvfvas=")</f>
        <v>#VALUE!</v>
      </c>
      <c r="FQ112" t="e">
        <f>AND(Sheet1!L1505,"AAAAAHvfvaw=")</f>
        <v>#VALUE!</v>
      </c>
      <c r="FR112" t="e">
        <f>AND(Sheet1!M1505,"AAAAAHvfva0=")</f>
        <v>#VALUE!</v>
      </c>
      <c r="FS112" t="e">
        <f>AND(Sheet1!N1505,"AAAAAHvfva4=")</f>
        <v>#VALUE!</v>
      </c>
      <c r="FT112" t="e">
        <f>AND(Sheet1!#REF!,"AAAAAHvfva8=")</f>
        <v>#REF!</v>
      </c>
      <c r="FU112" t="e">
        <f>AND(Sheet1!#REF!,"AAAAAHvfvbA=")</f>
        <v>#REF!</v>
      </c>
      <c r="FV112" t="e">
        <f>AND(Sheet1!#REF!,"AAAAAHvfvbE=")</f>
        <v>#REF!</v>
      </c>
      <c r="FW112" t="e">
        <f>AND(Sheet1!#REF!,"AAAAAHvfvbI=")</f>
        <v>#REF!</v>
      </c>
      <c r="FX112">
        <f>IF(Sheet1!1506:1506,"AAAAAHvfvbM=",0)</f>
        <v>0</v>
      </c>
      <c r="FY112" t="e">
        <f>AND(Sheet1!A1506,"AAAAAHvfvbQ=")</f>
        <v>#VALUE!</v>
      </c>
      <c r="FZ112" t="e">
        <f>AND(Sheet1!B1506,"AAAAAHvfvbU=")</f>
        <v>#VALUE!</v>
      </c>
      <c r="GA112" t="e">
        <f>AND(Sheet1!C1506,"AAAAAHvfvbY=")</f>
        <v>#VALUE!</v>
      </c>
      <c r="GB112" t="e">
        <f>AND(Sheet1!D1506,"AAAAAHvfvbc=")</f>
        <v>#VALUE!</v>
      </c>
      <c r="GC112" t="e">
        <f>AND(Sheet1!E1506,"AAAAAHvfvbg=")</f>
        <v>#VALUE!</v>
      </c>
      <c r="GD112" t="e">
        <f>AND(Sheet1!F1506,"AAAAAHvfvbk=")</f>
        <v>#VALUE!</v>
      </c>
      <c r="GE112" t="e">
        <f>AND(Sheet1!G1506,"AAAAAHvfvbo=")</f>
        <v>#VALUE!</v>
      </c>
      <c r="GF112" t="e">
        <f>AND(Sheet1!H1506,"AAAAAHvfvbs=")</f>
        <v>#VALUE!</v>
      </c>
      <c r="GG112" t="e">
        <f>AND(Sheet1!I1506,"AAAAAHvfvbw=")</f>
        <v>#VALUE!</v>
      </c>
      <c r="GH112" t="e">
        <f>AND(Sheet1!J1506,"AAAAAHvfvb0=")</f>
        <v>#VALUE!</v>
      </c>
      <c r="GI112" t="e">
        <f>AND(Sheet1!K1506,"AAAAAHvfvb4=")</f>
        <v>#VALUE!</v>
      </c>
      <c r="GJ112" t="e">
        <f>AND(Sheet1!L1506,"AAAAAHvfvb8=")</f>
        <v>#VALUE!</v>
      </c>
      <c r="GK112" t="e">
        <f>AND(Sheet1!M1506,"AAAAAHvfvcA=")</f>
        <v>#VALUE!</v>
      </c>
      <c r="GL112" t="e">
        <f>AND(Sheet1!N1506,"AAAAAHvfvcE=")</f>
        <v>#VALUE!</v>
      </c>
      <c r="GM112" t="e">
        <f>AND(Sheet1!#REF!,"AAAAAHvfvcI=")</f>
        <v>#REF!</v>
      </c>
      <c r="GN112" t="e">
        <f>AND(Sheet1!#REF!,"AAAAAHvfvcM=")</f>
        <v>#REF!</v>
      </c>
      <c r="GO112" t="e">
        <f>AND(Sheet1!#REF!,"AAAAAHvfvcQ=")</f>
        <v>#REF!</v>
      </c>
      <c r="GP112" t="e">
        <f>AND(Sheet1!#REF!,"AAAAAHvfvcU=")</f>
        <v>#REF!</v>
      </c>
      <c r="GQ112">
        <f>IF(Sheet1!1507:1507,"AAAAAHvfvcY=",0)</f>
        <v>0</v>
      </c>
      <c r="GR112" t="e">
        <f>AND(Sheet1!A1507,"AAAAAHvfvcc=")</f>
        <v>#VALUE!</v>
      </c>
      <c r="GS112" t="e">
        <f>AND(Sheet1!B1507,"AAAAAHvfvcg=")</f>
        <v>#VALUE!</v>
      </c>
      <c r="GT112" t="e">
        <f>AND(Sheet1!C1507,"AAAAAHvfvck=")</f>
        <v>#VALUE!</v>
      </c>
      <c r="GU112" t="e">
        <f>AND(Sheet1!D1507,"AAAAAHvfvco=")</f>
        <v>#VALUE!</v>
      </c>
      <c r="GV112" t="e">
        <f>AND(Sheet1!E1507,"AAAAAHvfvcs=")</f>
        <v>#VALUE!</v>
      </c>
      <c r="GW112" t="e">
        <f>AND(Sheet1!F1507,"AAAAAHvfvcw=")</f>
        <v>#VALUE!</v>
      </c>
      <c r="GX112" t="e">
        <f>AND(Sheet1!G1507,"AAAAAHvfvc0=")</f>
        <v>#VALUE!</v>
      </c>
      <c r="GY112" t="e">
        <f>AND(Sheet1!H1507,"AAAAAHvfvc4=")</f>
        <v>#VALUE!</v>
      </c>
      <c r="GZ112" t="e">
        <f>AND(Sheet1!I1507,"AAAAAHvfvc8=")</f>
        <v>#VALUE!</v>
      </c>
      <c r="HA112" t="e">
        <f>AND(Sheet1!J1507,"AAAAAHvfvdA=")</f>
        <v>#VALUE!</v>
      </c>
      <c r="HB112" t="e">
        <f>AND(Sheet1!K1507,"AAAAAHvfvdE=")</f>
        <v>#VALUE!</v>
      </c>
      <c r="HC112" t="e">
        <f>AND(Sheet1!L1507,"AAAAAHvfvdI=")</f>
        <v>#VALUE!</v>
      </c>
      <c r="HD112" t="e">
        <f>AND(Sheet1!M1507,"AAAAAHvfvdM=")</f>
        <v>#VALUE!</v>
      </c>
      <c r="HE112" t="e">
        <f>AND(Sheet1!N1507,"AAAAAHvfvdQ=")</f>
        <v>#VALUE!</v>
      </c>
      <c r="HF112" t="e">
        <f>AND(Sheet1!#REF!,"AAAAAHvfvdU=")</f>
        <v>#REF!</v>
      </c>
      <c r="HG112" t="e">
        <f>AND(Sheet1!#REF!,"AAAAAHvfvdY=")</f>
        <v>#REF!</v>
      </c>
      <c r="HH112" t="e">
        <f>AND(Sheet1!#REF!,"AAAAAHvfvdc=")</f>
        <v>#REF!</v>
      </c>
      <c r="HI112" t="e">
        <f>AND(Sheet1!#REF!,"AAAAAHvfvdg=")</f>
        <v>#REF!</v>
      </c>
      <c r="HJ112">
        <f>IF(Sheet1!1508:1508,"AAAAAHvfvdk=",0)</f>
        <v>0</v>
      </c>
      <c r="HK112" t="e">
        <f>AND(Sheet1!A1508,"AAAAAHvfvdo=")</f>
        <v>#VALUE!</v>
      </c>
      <c r="HL112" t="e">
        <f>AND(Sheet1!B1508,"AAAAAHvfvds=")</f>
        <v>#VALUE!</v>
      </c>
      <c r="HM112" t="e">
        <f>AND(Sheet1!C1508,"AAAAAHvfvdw=")</f>
        <v>#VALUE!</v>
      </c>
      <c r="HN112" t="e">
        <f>AND(Sheet1!D1508,"AAAAAHvfvd0=")</f>
        <v>#VALUE!</v>
      </c>
      <c r="HO112" t="e">
        <f>AND(Sheet1!E1508,"AAAAAHvfvd4=")</f>
        <v>#VALUE!</v>
      </c>
      <c r="HP112" t="e">
        <f>AND(Sheet1!F1508,"AAAAAHvfvd8=")</f>
        <v>#VALUE!</v>
      </c>
      <c r="HQ112" t="e">
        <f>AND(Sheet1!G1508,"AAAAAHvfveA=")</f>
        <v>#VALUE!</v>
      </c>
      <c r="HR112" t="e">
        <f>AND(Sheet1!H1508,"AAAAAHvfveE=")</f>
        <v>#VALUE!</v>
      </c>
      <c r="HS112" t="e">
        <f>AND(Sheet1!I1508,"AAAAAHvfveI=")</f>
        <v>#VALUE!</v>
      </c>
      <c r="HT112" t="e">
        <f>AND(Sheet1!J1508,"AAAAAHvfveM=")</f>
        <v>#VALUE!</v>
      </c>
      <c r="HU112" t="e">
        <f>AND(Sheet1!K1508,"AAAAAHvfveQ=")</f>
        <v>#VALUE!</v>
      </c>
      <c r="HV112" t="e">
        <f>AND(Sheet1!L1508,"AAAAAHvfveU=")</f>
        <v>#VALUE!</v>
      </c>
      <c r="HW112" t="e">
        <f>AND(Sheet1!M1508,"AAAAAHvfveY=")</f>
        <v>#VALUE!</v>
      </c>
      <c r="HX112" t="e">
        <f>AND(Sheet1!N1508,"AAAAAHvfvec=")</f>
        <v>#VALUE!</v>
      </c>
      <c r="HY112" t="e">
        <f>AND(Sheet1!#REF!,"AAAAAHvfveg=")</f>
        <v>#REF!</v>
      </c>
      <c r="HZ112" t="e">
        <f>AND(Sheet1!#REF!,"AAAAAHvfvek=")</f>
        <v>#REF!</v>
      </c>
      <c r="IA112" t="e">
        <f>AND(Sheet1!#REF!,"AAAAAHvfveo=")</f>
        <v>#REF!</v>
      </c>
      <c r="IB112" t="e">
        <f>AND(Sheet1!#REF!,"AAAAAHvfves=")</f>
        <v>#REF!</v>
      </c>
      <c r="IC112">
        <f>IF(Sheet1!1509:1509,"AAAAAHvfvew=",0)</f>
        <v>0</v>
      </c>
      <c r="ID112" t="e">
        <f>AND(Sheet1!A1509,"AAAAAHvfve0=")</f>
        <v>#VALUE!</v>
      </c>
      <c r="IE112" t="e">
        <f>AND(Sheet1!B1509,"AAAAAHvfve4=")</f>
        <v>#VALUE!</v>
      </c>
      <c r="IF112" t="e">
        <f>AND(Sheet1!C1509,"AAAAAHvfve8=")</f>
        <v>#VALUE!</v>
      </c>
      <c r="IG112" t="e">
        <f>AND(Sheet1!D1509,"AAAAAHvfvfA=")</f>
        <v>#VALUE!</v>
      </c>
      <c r="IH112" t="e">
        <f>AND(Sheet1!E1509,"AAAAAHvfvfE=")</f>
        <v>#VALUE!</v>
      </c>
      <c r="II112" t="e">
        <f>AND(Sheet1!F1509,"AAAAAHvfvfI=")</f>
        <v>#VALUE!</v>
      </c>
      <c r="IJ112" t="e">
        <f>AND(Sheet1!G1509,"AAAAAHvfvfM=")</f>
        <v>#VALUE!</v>
      </c>
      <c r="IK112" t="e">
        <f>AND(Sheet1!H1509,"AAAAAHvfvfQ=")</f>
        <v>#VALUE!</v>
      </c>
      <c r="IL112" t="e">
        <f>AND(Sheet1!I1509,"AAAAAHvfvfU=")</f>
        <v>#VALUE!</v>
      </c>
      <c r="IM112" t="e">
        <f>AND(Sheet1!J1509,"AAAAAHvfvfY=")</f>
        <v>#VALUE!</v>
      </c>
      <c r="IN112" t="e">
        <f>AND(Sheet1!K1509,"AAAAAHvfvfc=")</f>
        <v>#VALUE!</v>
      </c>
      <c r="IO112" t="e">
        <f>AND(Sheet1!L1509,"AAAAAHvfvfg=")</f>
        <v>#VALUE!</v>
      </c>
      <c r="IP112" t="e">
        <f>AND(Sheet1!M1509,"AAAAAHvfvfk=")</f>
        <v>#VALUE!</v>
      </c>
      <c r="IQ112" t="e">
        <f>AND(Sheet1!N1509,"AAAAAHvfvfo=")</f>
        <v>#VALUE!</v>
      </c>
      <c r="IR112" t="e">
        <f>AND(Sheet1!#REF!,"AAAAAHvfvfs=")</f>
        <v>#REF!</v>
      </c>
      <c r="IS112" t="e">
        <f>AND(Sheet1!#REF!,"AAAAAHvfvfw=")</f>
        <v>#REF!</v>
      </c>
      <c r="IT112" t="e">
        <f>AND(Sheet1!#REF!,"AAAAAHvfvf0=")</f>
        <v>#REF!</v>
      </c>
      <c r="IU112" t="e">
        <f>AND(Sheet1!#REF!,"AAAAAHvfvf4=")</f>
        <v>#REF!</v>
      </c>
      <c r="IV112">
        <f>IF(Sheet1!1510:1510,"AAAAAHvfvf8=",0)</f>
        <v>0</v>
      </c>
    </row>
    <row r="113" spans="1:256" x14ac:dyDescent="0.2">
      <c r="A113" t="e">
        <f>AND(Sheet1!A1510,"AAAAAFXu+wA=")</f>
        <v>#VALUE!</v>
      </c>
      <c r="B113" t="e">
        <f>AND(Sheet1!B1510,"AAAAAFXu+wE=")</f>
        <v>#VALUE!</v>
      </c>
      <c r="C113" t="e">
        <f>AND(Sheet1!C1510,"AAAAAFXu+wI=")</f>
        <v>#VALUE!</v>
      </c>
      <c r="D113" t="e">
        <f>AND(Sheet1!D1510,"AAAAAFXu+wM=")</f>
        <v>#VALUE!</v>
      </c>
      <c r="E113" t="e">
        <f>AND(Sheet1!E1510,"AAAAAFXu+wQ=")</f>
        <v>#VALUE!</v>
      </c>
      <c r="F113" t="e">
        <f>AND(Sheet1!F1510,"AAAAAFXu+wU=")</f>
        <v>#VALUE!</v>
      </c>
      <c r="G113" t="e">
        <f>AND(Sheet1!G1510,"AAAAAFXu+wY=")</f>
        <v>#VALUE!</v>
      </c>
      <c r="H113" t="e">
        <f>AND(Sheet1!H1510,"AAAAAFXu+wc=")</f>
        <v>#VALUE!</v>
      </c>
      <c r="I113" t="e">
        <f>AND(Sheet1!I1510,"AAAAAFXu+wg=")</f>
        <v>#VALUE!</v>
      </c>
      <c r="J113" t="e">
        <f>AND(Sheet1!J1510,"AAAAAFXu+wk=")</f>
        <v>#VALUE!</v>
      </c>
      <c r="K113" t="e">
        <f>AND(Sheet1!K1510,"AAAAAFXu+wo=")</f>
        <v>#VALUE!</v>
      </c>
      <c r="L113" t="e">
        <f>AND(Sheet1!L1510,"AAAAAFXu+ws=")</f>
        <v>#VALUE!</v>
      </c>
      <c r="M113" t="e">
        <f>AND(Sheet1!M1510,"AAAAAFXu+ww=")</f>
        <v>#VALUE!</v>
      </c>
      <c r="N113" t="e">
        <f>AND(Sheet1!N1510,"AAAAAFXu+w0=")</f>
        <v>#VALUE!</v>
      </c>
      <c r="O113" t="e">
        <f>AND(Sheet1!#REF!,"AAAAAFXu+w4=")</f>
        <v>#REF!</v>
      </c>
      <c r="P113" t="e">
        <f>AND(Sheet1!#REF!,"AAAAAFXu+w8=")</f>
        <v>#REF!</v>
      </c>
      <c r="Q113" t="e">
        <f>AND(Sheet1!#REF!,"AAAAAFXu+xA=")</f>
        <v>#REF!</v>
      </c>
      <c r="R113" t="e">
        <f>AND(Sheet1!#REF!,"AAAAAFXu+xE=")</f>
        <v>#REF!</v>
      </c>
      <c r="S113">
        <f>IF(Sheet1!1511:1511,"AAAAAFXu+xI=",0)</f>
        <v>0</v>
      </c>
      <c r="T113" t="e">
        <f>AND(Sheet1!A1511,"AAAAAFXu+xM=")</f>
        <v>#VALUE!</v>
      </c>
      <c r="U113" t="e">
        <f>AND(Sheet1!B1511,"AAAAAFXu+xQ=")</f>
        <v>#VALUE!</v>
      </c>
      <c r="V113" t="e">
        <f>AND(Sheet1!C1511,"AAAAAFXu+xU=")</f>
        <v>#VALUE!</v>
      </c>
      <c r="W113" t="e">
        <f>AND(Sheet1!D1511,"AAAAAFXu+xY=")</f>
        <v>#VALUE!</v>
      </c>
      <c r="X113" t="e">
        <f>AND(Sheet1!E1511,"AAAAAFXu+xc=")</f>
        <v>#VALUE!</v>
      </c>
      <c r="Y113" t="e">
        <f>AND(Sheet1!F1511,"AAAAAFXu+xg=")</f>
        <v>#VALUE!</v>
      </c>
      <c r="Z113" t="e">
        <f>AND(Sheet1!G1511,"AAAAAFXu+xk=")</f>
        <v>#VALUE!</v>
      </c>
      <c r="AA113" t="e">
        <f>AND(Sheet1!H1511,"AAAAAFXu+xo=")</f>
        <v>#VALUE!</v>
      </c>
      <c r="AB113" t="e">
        <f>AND(Sheet1!I1511,"AAAAAFXu+xs=")</f>
        <v>#VALUE!</v>
      </c>
      <c r="AC113" t="e">
        <f>AND(Sheet1!J1511,"AAAAAFXu+xw=")</f>
        <v>#VALUE!</v>
      </c>
      <c r="AD113" t="e">
        <f>AND(Sheet1!K1511,"AAAAAFXu+x0=")</f>
        <v>#VALUE!</v>
      </c>
      <c r="AE113" t="e">
        <f>AND(Sheet1!L1511,"AAAAAFXu+x4=")</f>
        <v>#VALUE!</v>
      </c>
      <c r="AF113" t="e">
        <f>AND(Sheet1!M1511,"AAAAAFXu+x8=")</f>
        <v>#VALUE!</v>
      </c>
      <c r="AG113" t="e">
        <f>AND(Sheet1!N1511,"AAAAAFXu+yA=")</f>
        <v>#VALUE!</v>
      </c>
      <c r="AH113" t="e">
        <f>AND(Sheet1!#REF!,"AAAAAFXu+yE=")</f>
        <v>#REF!</v>
      </c>
      <c r="AI113" t="e">
        <f>AND(Sheet1!#REF!,"AAAAAFXu+yI=")</f>
        <v>#REF!</v>
      </c>
      <c r="AJ113" t="e">
        <f>AND(Sheet1!#REF!,"AAAAAFXu+yM=")</f>
        <v>#REF!</v>
      </c>
      <c r="AK113" t="e">
        <f>AND(Sheet1!#REF!,"AAAAAFXu+yQ=")</f>
        <v>#REF!</v>
      </c>
      <c r="AL113">
        <f>IF(Sheet1!1512:1512,"AAAAAFXu+yU=",0)</f>
        <v>0</v>
      </c>
      <c r="AM113" t="e">
        <f>AND(Sheet1!A1512,"AAAAAFXu+yY=")</f>
        <v>#VALUE!</v>
      </c>
      <c r="AN113" t="e">
        <f>AND(Sheet1!B1512,"AAAAAFXu+yc=")</f>
        <v>#VALUE!</v>
      </c>
      <c r="AO113" t="e">
        <f>AND(Sheet1!C1512,"AAAAAFXu+yg=")</f>
        <v>#VALUE!</v>
      </c>
      <c r="AP113" t="e">
        <f>AND(Sheet1!D1512,"AAAAAFXu+yk=")</f>
        <v>#VALUE!</v>
      </c>
      <c r="AQ113" t="e">
        <f>AND(Sheet1!E1512,"AAAAAFXu+yo=")</f>
        <v>#VALUE!</v>
      </c>
      <c r="AR113" t="e">
        <f>AND(Sheet1!F1512,"AAAAAFXu+ys=")</f>
        <v>#VALUE!</v>
      </c>
      <c r="AS113" t="e">
        <f>AND(Sheet1!G1512,"AAAAAFXu+yw=")</f>
        <v>#VALUE!</v>
      </c>
      <c r="AT113" t="e">
        <f>AND(Sheet1!H1512,"AAAAAFXu+y0=")</f>
        <v>#VALUE!</v>
      </c>
      <c r="AU113" t="e">
        <f>AND(Sheet1!I1512,"AAAAAFXu+y4=")</f>
        <v>#VALUE!</v>
      </c>
      <c r="AV113" t="e">
        <f>AND(Sheet1!J1512,"AAAAAFXu+y8=")</f>
        <v>#VALUE!</v>
      </c>
      <c r="AW113" t="e">
        <f>AND(Sheet1!K1512,"AAAAAFXu+zA=")</f>
        <v>#VALUE!</v>
      </c>
      <c r="AX113" t="e">
        <f>AND(Sheet1!L1512,"AAAAAFXu+zE=")</f>
        <v>#VALUE!</v>
      </c>
      <c r="AY113" t="e">
        <f>AND(Sheet1!M1512,"AAAAAFXu+zI=")</f>
        <v>#VALUE!</v>
      </c>
      <c r="AZ113" t="e">
        <f>AND(Sheet1!N1512,"AAAAAFXu+zM=")</f>
        <v>#VALUE!</v>
      </c>
      <c r="BA113" t="e">
        <f>AND(Sheet1!#REF!,"AAAAAFXu+zQ=")</f>
        <v>#REF!</v>
      </c>
      <c r="BB113" t="e">
        <f>AND(Sheet1!#REF!,"AAAAAFXu+zU=")</f>
        <v>#REF!</v>
      </c>
      <c r="BC113" t="e">
        <f>AND(Sheet1!#REF!,"AAAAAFXu+zY=")</f>
        <v>#REF!</v>
      </c>
      <c r="BD113" t="e">
        <f>AND(Sheet1!#REF!,"AAAAAFXu+zc=")</f>
        <v>#REF!</v>
      </c>
      <c r="BE113">
        <f>IF(Sheet1!1513:1513,"AAAAAFXu+zg=",0)</f>
        <v>0</v>
      </c>
      <c r="BF113" t="e">
        <f>AND(Sheet1!A1513,"AAAAAFXu+zk=")</f>
        <v>#VALUE!</v>
      </c>
      <c r="BG113" t="e">
        <f>AND(Sheet1!B1513,"AAAAAFXu+zo=")</f>
        <v>#VALUE!</v>
      </c>
      <c r="BH113" t="e">
        <f>AND(Sheet1!C1513,"AAAAAFXu+zs=")</f>
        <v>#VALUE!</v>
      </c>
      <c r="BI113" t="e">
        <f>AND(Sheet1!D1513,"AAAAAFXu+zw=")</f>
        <v>#VALUE!</v>
      </c>
      <c r="BJ113" t="e">
        <f>AND(Sheet1!E1513,"AAAAAFXu+z0=")</f>
        <v>#VALUE!</v>
      </c>
      <c r="BK113" t="e">
        <f>AND(Sheet1!F1513,"AAAAAFXu+z4=")</f>
        <v>#VALUE!</v>
      </c>
      <c r="BL113" t="e">
        <f>AND(Sheet1!G1513,"AAAAAFXu+z8=")</f>
        <v>#VALUE!</v>
      </c>
      <c r="BM113" t="e">
        <f>AND(Sheet1!H1513,"AAAAAFXu+0A=")</f>
        <v>#VALUE!</v>
      </c>
      <c r="BN113" t="e">
        <f>AND(Sheet1!I1513,"AAAAAFXu+0E=")</f>
        <v>#VALUE!</v>
      </c>
      <c r="BO113" t="e">
        <f>AND(Sheet1!J1513,"AAAAAFXu+0I=")</f>
        <v>#VALUE!</v>
      </c>
      <c r="BP113" t="e">
        <f>AND(Sheet1!K1513,"AAAAAFXu+0M=")</f>
        <v>#VALUE!</v>
      </c>
      <c r="BQ113" t="e">
        <f>AND(Sheet1!L1513,"AAAAAFXu+0Q=")</f>
        <v>#VALUE!</v>
      </c>
      <c r="BR113" t="e">
        <f>AND(Sheet1!M1513,"AAAAAFXu+0U=")</f>
        <v>#VALUE!</v>
      </c>
      <c r="BS113" t="e">
        <f>AND(Sheet1!N1513,"AAAAAFXu+0Y=")</f>
        <v>#VALUE!</v>
      </c>
      <c r="BT113" t="e">
        <f>AND(Sheet1!#REF!,"AAAAAFXu+0c=")</f>
        <v>#REF!</v>
      </c>
      <c r="BU113" t="e">
        <f>AND(Sheet1!#REF!,"AAAAAFXu+0g=")</f>
        <v>#REF!</v>
      </c>
      <c r="BV113" t="e">
        <f>AND(Sheet1!#REF!,"AAAAAFXu+0k=")</f>
        <v>#REF!</v>
      </c>
      <c r="BW113" t="e">
        <f>AND(Sheet1!#REF!,"AAAAAFXu+0o=")</f>
        <v>#REF!</v>
      </c>
      <c r="BX113">
        <f>IF(Sheet1!1514:1514,"AAAAAFXu+0s=",0)</f>
        <v>0</v>
      </c>
      <c r="BY113" t="e">
        <f>AND(Sheet1!A1514,"AAAAAFXu+0w=")</f>
        <v>#VALUE!</v>
      </c>
      <c r="BZ113" t="e">
        <f>AND(Sheet1!B1514,"AAAAAFXu+00=")</f>
        <v>#VALUE!</v>
      </c>
      <c r="CA113" t="e">
        <f>AND(Sheet1!C1514,"AAAAAFXu+04=")</f>
        <v>#VALUE!</v>
      </c>
      <c r="CB113" t="e">
        <f>AND(Sheet1!D1514,"AAAAAFXu+08=")</f>
        <v>#VALUE!</v>
      </c>
      <c r="CC113" t="e">
        <f>AND(Sheet1!E1514,"AAAAAFXu+1A=")</f>
        <v>#VALUE!</v>
      </c>
      <c r="CD113" t="e">
        <f>AND(Sheet1!F1514,"AAAAAFXu+1E=")</f>
        <v>#VALUE!</v>
      </c>
      <c r="CE113" t="e">
        <f>AND(Sheet1!G1514,"AAAAAFXu+1I=")</f>
        <v>#VALUE!</v>
      </c>
      <c r="CF113" t="e">
        <f>AND(Sheet1!H1514,"AAAAAFXu+1M=")</f>
        <v>#VALUE!</v>
      </c>
      <c r="CG113" t="e">
        <f>AND(Sheet1!I1514,"AAAAAFXu+1Q=")</f>
        <v>#VALUE!</v>
      </c>
      <c r="CH113" t="e">
        <f>AND(Sheet1!J1514,"AAAAAFXu+1U=")</f>
        <v>#VALUE!</v>
      </c>
      <c r="CI113" t="e">
        <f>AND(Sheet1!K1514,"AAAAAFXu+1Y=")</f>
        <v>#VALUE!</v>
      </c>
      <c r="CJ113" t="e">
        <f>AND(Sheet1!L1514,"AAAAAFXu+1c=")</f>
        <v>#VALUE!</v>
      </c>
      <c r="CK113" t="e">
        <f>AND(Sheet1!M1514,"AAAAAFXu+1g=")</f>
        <v>#VALUE!</v>
      </c>
      <c r="CL113" t="e">
        <f>AND(Sheet1!N1514,"AAAAAFXu+1k=")</f>
        <v>#VALUE!</v>
      </c>
      <c r="CM113" t="e">
        <f>AND(Sheet1!#REF!,"AAAAAFXu+1o=")</f>
        <v>#REF!</v>
      </c>
      <c r="CN113" t="e">
        <f>AND(Sheet1!#REF!,"AAAAAFXu+1s=")</f>
        <v>#REF!</v>
      </c>
      <c r="CO113" t="e">
        <f>AND(Sheet1!#REF!,"AAAAAFXu+1w=")</f>
        <v>#REF!</v>
      </c>
      <c r="CP113" t="e">
        <f>AND(Sheet1!#REF!,"AAAAAFXu+10=")</f>
        <v>#REF!</v>
      </c>
      <c r="CQ113">
        <f>IF(Sheet1!1515:1515,"AAAAAFXu+14=",0)</f>
        <v>0</v>
      </c>
      <c r="CR113" t="e">
        <f>AND(Sheet1!A1515,"AAAAAFXu+18=")</f>
        <v>#VALUE!</v>
      </c>
      <c r="CS113" t="e">
        <f>AND(Sheet1!B1515,"AAAAAFXu+2A=")</f>
        <v>#VALUE!</v>
      </c>
      <c r="CT113" t="e">
        <f>AND(Sheet1!C1515,"AAAAAFXu+2E=")</f>
        <v>#VALUE!</v>
      </c>
      <c r="CU113" t="e">
        <f>AND(Sheet1!D1515,"AAAAAFXu+2I=")</f>
        <v>#VALUE!</v>
      </c>
      <c r="CV113" t="e">
        <f>AND(Sheet1!E1515,"AAAAAFXu+2M=")</f>
        <v>#VALUE!</v>
      </c>
      <c r="CW113" t="e">
        <f>AND(Sheet1!F1515,"AAAAAFXu+2Q=")</f>
        <v>#VALUE!</v>
      </c>
      <c r="CX113" t="e">
        <f>AND(Sheet1!G1515,"AAAAAFXu+2U=")</f>
        <v>#VALUE!</v>
      </c>
      <c r="CY113" t="e">
        <f>AND(Sheet1!H1515,"AAAAAFXu+2Y=")</f>
        <v>#VALUE!</v>
      </c>
      <c r="CZ113" t="e">
        <f>AND(Sheet1!I1515,"AAAAAFXu+2c=")</f>
        <v>#VALUE!</v>
      </c>
      <c r="DA113" t="e">
        <f>AND(Sheet1!J1515,"AAAAAFXu+2g=")</f>
        <v>#VALUE!</v>
      </c>
      <c r="DB113" t="e">
        <f>AND(Sheet1!K1515,"AAAAAFXu+2k=")</f>
        <v>#VALUE!</v>
      </c>
      <c r="DC113" t="e">
        <f>AND(Sheet1!L1515,"AAAAAFXu+2o=")</f>
        <v>#VALUE!</v>
      </c>
      <c r="DD113" t="e">
        <f>AND(Sheet1!M1515,"AAAAAFXu+2s=")</f>
        <v>#VALUE!</v>
      </c>
      <c r="DE113" t="e">
        <f>AND(Sheet1!N1515,"AAAAAFXu+2w=")</f>
        <v>#VALUE!</v>
      </c>
      <c r="DF113" t="e">
        <f>AND(Sheet1!#REF!,"AAAAAFXu+20=")</f>
        <v>#REF!</v>
      </c>
      <c r="DG113" t="e">
        <f>AND(Sheet1!#REF!,"AAAAAFXu+24=")</f>
        <v>#REF!</v>
      </c>
      <c r="DH113" t="e">
        <f>AND(Sheet1!#REF!,"AAAAAFXu+28=")</f>
        <v>#REF!</v>
      </c>
      <c r="DI113" t="e">
        <f>AND(Sheet1!#REF!,"AAAAAFXu+3A=")</f>
        <v>#REF!</v>
      </c>
      <c r="DJ113">
        <f>IF(Sheet1!1516:1516,"AAAAAFXu+3E=",0)</f>
        <v>0</v>
      </c>
      <c r="DK113" t="e">
        <f>AND(Sheet1!A1516,"AAAAAFXu+3I=")</f>
        <v>#VALUE!</v>
      </c>
      <c r="DL113" t="e">
        <f>AND(Sheet1!B1516,"AAAAAFXu+3M=")</f>
        <v>#VALUE!</v>
      </c>
      <c r="DM113" t="e">
        <f>AND(Sheet1!C1516,"AAAAAFXu+3Q=")</f>
        <v>#VALUE!</v>
      </c>
      <c r="DN113" t="e">
        <f>AND(Sheet1!D1516,"AAAAAFXu+3U=")</f>
        <v>#VALUE!</v>
      </c>
      <c r="DO113" t="e">
        <f>AND(Sheet1!E1516,"AAAAAFXu+3Y=")</f>
        <v>#VALUE!</v>
      </c>
      <c r="DP113" t="e">
        <f>AND(Sheet1!F1516,"AAAAAFXu+3c=")</f>
        <v>#VALUE!</v>
      </c>
      <c r="DQ113" t="e">
        <f>AND(Sheet1!G1516,"AAAAAFXu+3g=")</f>
        <v>#VALUE!</v>
      </c>
      <c r="DR113" t="e">
        <f>AND(Sheet1!H1516,"AAAAAFXu+3k=")</f>
        <v>#VALUE!</v>
      </c>
      <c r="DS113" t="e">
        <f>AND(Sheet1!I1516,"AAAAAFXu+3o=")</f>
        <v>#VALUE!</v>
      </c>
      <c r="DT113" t="e">
        <f>AND(Sheet1!J1516,"AAAAAFXu+3s=")</f>
        <v>#VALUE!</v>
      </c>
      <c r="DU113" t="e">
        <f>AND(Sheet1!K1516,"AAAAAFXu+3w=")</f>
        <v>#VALUE!</v>
      </c>
      <c r="DV113" t="e">
        <f>AND(Sheet1!L1516,"AAAAAFXu+30=")</f>
        <v>#VALUE!</v>
      </c>
      <c r="DW113" t="e">
        <f>AND(Sheet1!M1516,"AAAAAFXu+34=")</f>
        <v>#VALUE!</v>
      </c>
      <c r="DX113" t="e">
        <f>AND(Sheet1!N1516,"AAAAAFXu+38=")</f>
        <v>#VALUE!</v>
      </c>
      <c r="DY113" t="e">
        <f>AND(Sheet1!#REF!,"AAAAAFXu+4A=")</f>
        <v>#REF!</v>
      </c>
      <c r="DZ113" t="e">
        <f>AND(Sheet1!#REF!,"AAAAAFXu+4E=")</f>
        <v>#REF!</v>
      </c>
      <c r="EA113" t="e">
        <f>AND(Sheet1!#REF!,"AAAAAFXu+4I=")</f>
        <v>#REF!</v>
      </c>
      <c r="EB113" t="e">
        <f>AND(Sheet1!#REF!,"AAAAAFXu+4M=")</f>
        <v>#REF!</v>
      </c>
      <c r="EC113">
        <f>IF(Sheet1!1517:1517,"AAAAAFXu+4Q=",0)</f>
        <v>0</v>
      </c>
      <c r="ED113" t="e">
        <f>AND(Sheet1!A1517,"AAAAAFXu+4U=")</f>
        <v>#VALUE!</v>
      </c>
      <c r="EE113" t="e">
        <f>AND(Sheet1!B1517,"AAAAAFXu+4Y=")</f>
        <v>#VALUE!</v>
      </c>
      <c r="EF113" t="e">
        <f>AND(Sheet1!C1517,"AAAAAFXu+4c=")</f>
        <v>#VALUE!</v>
      </c>
      <c r="EG113" t="e">
        <f>AND(Sheet1!D1517,"AAAAAFXu+4g=")</f>
        <v>#VALUE!</v>
      </c>
      <c r="EH113" t="e">
        <f>AND(Sheet1!E1517,"AAAAAFXu+4k=")</f>
        <v>#VALUE!</v>
      </c>
      <c r="EI113" t="e">
        <f>AND(Sheet1!F1517,"AAAAAFXu+4o=")</f>
        <v>#VALUE!</v>
      </c>
      <c r="EJ113" t="e">
        <f>AND(Sheet1!G1517,"AAAAAFXu+4s=")</f>
        <v>#VALUE!</v>
      </c>
      <c r="EK113" t="e">
        <f>AND(Sheet1!H1517,"AAAAAFXu+4w=")</f>
        <v>#VALUE!</v>
      </c>
      <c r="EL113" t="e">
        <f>AND(Sheet1!I1517,"AAAAAFXu+40=")</f>
        <v>#VALUE!</v>
      </c>
      <c r="EM113" t="e">
        <f>AND(Sheet1!J1517,"AAAAAFXu+44=")</f>
        <v>#VALUE!</v>
      </c>
      <c r="EN113" t="e">
        <f>AND(Sheet1!K1517,"AAAAAFXu+48=")</f>
        <v>#VALUE!</v>
      </c>
      <c r="EO113" t="e">
        <f>AND(Sheet1!L1517,"AAAAAFXu+5A=")</f>
        <v>#VALUE!</v>
      </c>
      <c r="EP113" t="e">
        <f>AND(Sheet1!M1517,"AAAAAFXu+5E=")</f>
        <v>#VALUE!</v>
      </c>
      <c r="EQ113" t="e">
        <f>AND(Sheet1!N1517,"AAAAAFXu+5I=")</f>
        <v>#VALUE!</v>
      </c>
      <c r="ER113" t="e">
        <f>AND(Sheet1!#REF!,"AAAAAFXu+5M=")</f>
        <v>#REF!</v>
      </c>
      <c r="ES113" t="e">
        <f>AND(Sheet1!#REF!,"AAAAAFXu+5Q=")</f>
        <v>#REF!</v>
      </c>
      <c r="ET113" t="e">
        <f>AND(Sheet1!#REF!,"AAAAAFXu+5U=")</f>
        <v>#REF!</v>
      </c>
      <c r="EU113" t="e">
        <f>AND(Sheet1!#REF!,"AAAAAFXu+5Y=")</f>
        <v>#REF!</v>
      </c>
      <c r="EV113">
        <f>IF(Sheet1!1518:1518,"AAAAAFXu+5c=",0)</f>
        <v>0</v>
      </c>
      <c r="EW113" t="e">
        <f>AND(Sheet1!A1518,"AAAAAFXu+5g=")</f>
        <v>#VALUE!</v>
      </c>
      <c r="EX113" t="e">
        <f>AND(Sheet1!B1518,"AAAAAFXu+5k=")</f>
        <v>#VALUE!</v>
      </c>
      <c r="EY113" t="e">
        <f>AND(Sheet1!C1518,"AAAAAFXu+5o=")</f>
        <v>#VALUE!</v>
      </c>
      <c r="EZ113" t="e">
        <f>AND(Sheet1!D1518,"AAAAAFXu+5s=")</f>
        <v>#VALUE!</v>
      </c>
      <c r="FA113" t="e">
        <f>AND(Sheet1!E1518,"AAAAAFXu+5w=")</f>
        <v>#VALUE!</v>
      </c>
      <c r="FB113" t="e">
        <f>AND(Sheet1!F1518,"AAAAAFXu+50=")</f>
        <v>#VALUE!</v>
      </c>
      <c r="FC113" t="e">
        <f>AND(Sheet1!G1518,"AAAAAFXu+54=")</f>
        <v>#VALUE!</v>
      </c>
      <c r="FD113" t="e">
        <f>AND(Sheet1!H1518,"AAAAAFXu+58=")</f>
        <v>#VALUE!</v>
      </c>
      <c r="FE113" t="e">
        <f>AND(Sheet1!I1518,"AAAAAFXu+6A=")</f>
        <v>#VALUE!</v>
      </c>
      <c r="FF113" t="e">
        <f>AND(Sheet1!J1518,"AAAAAFXu+6E=")</f>
        <v>#VALUE!</v>
      </c>
      <c r="FG113" t="e">
        <f>AND(Sheet1!K1518,"AAAAAFXu+6I=")</f>
        <v>#VALUE!</v>
      </c>
      <c r="FH113" t="e">
        <f>AND(Sheet1!L1518,"AAAAAFXu+6M=")</f>
        <v>#VALUE!</v>
      </c>
      <c r="FI113" t="e">
        <f>AND(Sheet1!M1518,"AAAAAFXu+6Q=")</f>
        <v>#VALUE!</v>
      </c>
      <c r="FJ113" t="e">
        <f>AND(Sheet1!N1518,"AAAAAFXu+6U=")</f>
        <v>#VALUE!</v>
      </c>
      <c r="FK113" t="e">
        <f>AND(Sheet1!#REF!,"AAAAAFXu+6Y=")</f>
        <v>#REF!</v>
      </c>
      <c r="FL113" t="e">
        <f>AND(Sheet1!#REF!,"AAAAAFXu+6c=")</f>
        <v>#REF!</v>
      </c>
      <c r="FM113" t="e">
        <f>AND(Sheet1!#REF!,"AAAAAFXu+6g=")</f>
        <v>#REF!</v>
      </c>
      <c r="FN113" t="e">
        <f>AND(Sheet1!#REF!,"AAAAAFXu+6k=")</f>
        <v>#REF!</v>
      </c>
      <c r="FO113">
        <f>IF(Sheet1!1519:1519,"AAAAAFXu+6o=",0)</f>
        <v>0</v>
      </c>
      <c r="FP113" t="e">
        <f>AND(Sheet1!A1519,"AAAAAFXu+6s=")</f>
        <v>#VALUE!</v>
      </c>
      <c r="FQ113" t="e">
        <f>AND(Sheet1!B1519,"AAAAAFXu+6w=")</f>
        <v>#VALUE!</v>
      </c>
      <c r="FR113" t="e">
        <f>AND(Sheet1!C1519,"AAAAAFXu+60=")</f>
        <v>#VALUE!</v>
      </c>
      <c r="FS113" t="e">
        <f>AND(Sheet1!D1519,"AAAAAFXu+64=")</f>
        <v>#VALUE!</v>
      </c>
      <c r="FT113" t="e">
        <f>AND(Sheet1!E1519,"AAAAAFXu+68=")</f>
        <v>#VALUE!</v>
      </c>
      <c r="FU113" t="e">
        <f>AND(Sheet1!F1519,"AAAAAFXu+7A=")</f>
        <v>#VALUE!</v>
      </c>
      <c r="FV113" t="e">
        <f>AND(Sheet1!G1519,"AAAAAFXu+7E=")</f>
        <v>#VALUE!</v>
      </c>
      <c r="FW113" t="e">
        <f>AND(Sheet1!H1519,"AAAAAFXu+7I=")</f>
        <v>#VALUE!</v>
      </c>
      <c r="FX113" t="e">
        <f>AND(Sheet1!I1519,"AAAAAFXu+7M=")</f>
        <v>#VALUE!</v>
      </c>
      <c r="FY113" t="e">
        <f>AND(Sheet1!J1519,"AAAAAFXu+7Q=")</f>
        <v>#VALUE!</v>
      </c>
      <c r="FZ113" t="e">
        <f>AND(Sheet1!K1519,"AAAAAFXu+7U=")</f>
        <v>#VALUE!</v>
      </c>
      <c r="GA113" t="e">
        <f>AND(Sheet1!L1519,"AAAAAFXu+7Y=")</f>
        <v>#VALUE!</v>
      </c>
      <c r="GB113" t="e">
        <f>AND(Sheet1!M1519,"AAAAAFXu+7c=")</f>
        <v>#VALUE!</v>
      </c>
      <c r="GC113" t="e">
        <f>AND(Sheet1!N1519,"AAAAAFXu+7g=")</f>
        <v>#VALUE!</v>
      </c>
      <c r="GD113" t="e">
        <f>AND(Sheet1!#REF!,"AAAAAFXu+7k=")</f>
        <v>#REF!</v>
      </c>
      <c r="GE113" t="e">
        <f>AND(Sheet1!#REF!,"AAAAAFXu+7o=")</f>
        <v>#REF!</v>
      </c>
      <c r="GF113" t="e">
        <f>AND(Sheet1!#REF!,"AAAAAFXu+7s=")</f>
        <v>#REF!</v>
      </c>
      <c r="GG113" t="e">
        <f>AND(Sheet1!#REF!,"AAAAAFXu+7w=")</f>
        <v>#REF!</v>
      </c>
      <c r="GH113">
        <f>IF(Sheet1!1520:1520,"AAAAAFXu+70=",0)</f>
        <v>0</v>
      </c>
      <c r="GI113" t="e">
        <f>AND(Sheet1!A1520,"AAAAAFXu+74=")</f>
        <v>#VALUE!</v>
      </c>
      <c r="GJ113" t="e">
        <f>AND(Sheet1!B1520,"AAAAAFXu+78=")</f>
        <v>#VALUE!</v>
      </c>
      <c r="GK113" t="e">
        <f>AND(Sheet1!C1520,"AAAAAFXu+8A=")</f>
        <v>#VALUE!</v>
      </c>
      <c r="GL113" t="e">
        <f>AND(Sheet1!D1520,"AAAAAFXu+8E=")</f>
        <v>#VALUE!</v>
      </c>
      <c r="GM113" t="e">
        <f>AND(Sheet1!E1520,"AAAAAFXu+8I=")</f>
        <v>#VALUE!</v>
      </c>
      <c r="GN113" t="e">
        <f>AND(Sheet1!F1520,"AAAAAFXu+8M=")</f>
        <v>#VALUE!</v>
      </c>
      <c r="GO113" t="e">
        <f>AND(Sheet1!G1520,"AAAAAFXu+8Q=")</f>
        <v>#VALUE!</v>
      </c>
      <c r="GP113" t="e">
        <f>AND(Sheet1!H1520,"AAAAAFXu+8U=")</f>
        <v>#VALUE!</v>
      </c>
      <c r="GQ113" t="e">
        <f>AND(Sheet1!I1520,"AAAAAFXu+8Y=")</f>
        <v>#VALUE!</v>
      </c>
      <c r="GR113" t="e">
        <f>AND(Sheet1!J1520,"AAAAAFXu+8c=")</f>
        <v>#VALUE!</v>
      </c>
      <c r="GS113" t="e">
        <f>AND(Sheet1!K1520,"AAAAAFXu+8g=")</f>
        <v>#VALUE!</v>
      </c>
      <c r="GT113" t="e">
        <f>AND(Sheet1!L1520,"AAAAAFXu+8k=")</f>
        <v>#VALUE!</v>
      </c>
      <c r="GU113" t="e">
        <f>AND(Sheet1!M1520,"AAAAAFXu+8o=")</f>
        <v>#VALUE!</v>
      </c>
      <c r="GV113" t="e">
        <f>AND(Sheet1!N1520,"AAAAAFXu+8s=")</f>
        <v>#VALUE!</v>
      </c>
      <c r="GW113" t="e">
        <f>AND(Sheet1!#REF!,"AAAAAFXu+8w=")</f>
        <v>#REF!</v>
      </c>
      <c r="GX113" t="e">
        <f>AND(Sheet1!#REF!,"AAAAAFXu+80=")</f>
        <v>#REF!</v>
      </c>
      <c r="GY113" t="e">
        <f>AND(Sheet1!#REF!,"AAAAAFXu+84=")</f>
        <v>#REF!</v>
      </c>
      <c r="GZ113" t="e">
        <f>AND(Sheet1!#REF!,"AAAAAFXu+88=")</f>
        <v>#REF!</v>
      </c>
      <c r="HA113">
        <f>IF(Sheet1!1521:1521,"AAAAAFXu+9A=",0)</f>
        <v>0</v>
      </c>
      <c r="HB113" t="e">
        <f>AND(Sheet1!A1521,"AAAAAFXu+9E=")</f>
        <v>#VALUE!</v>
      </c>
      <c r="HC113" t="e">
        <f>AND(Sheet1!B1521,"AAAAAFXu+9I=")</f>
        <v>#VALUE!</v>
      </c>
      <c r="HD113" t="e">
        <f>AND(Sheet1!C1521,"AAAAAFXu+9M=")</f>
        <v>#VALUE!</v>
      </c>
      <c r="HE113" t="e">
        <f>AND(Sheet1!D1521,"AAAAAFXu+9Q=")</f>
        <v>#VALUE!</v>
      </c>
      <c r="HF113" t="e">
        <f>AND(Sheet1!E1521,"AAAAAFXu+9U=")</f>
        <v>#VALUE!</v>
      </c>
      <c r="HG113" t="e">
        <f>AND(Sheet1!F1521,"AAAAAFXu+9Y=")</f>
        <v>#VALUE!</v>
      </c>
      <c r="HH113" t="e">
        <f>AND(Sheet1!G1521,"AAAAAFXu+9c=")</f>
        <v>#VALUE!</v>
      </c>
      <c r="HI113" t="e">
        <f>AND(Sheet1!H1521,"AAAAAFXu+9g=")</f>
        <v>#VALUE!</v>
      </c>
      <c r="HJ113" t="e">
        <f>AND(Sheet1!I1521,"AAAAAFXu+9k=")</f>
        <v>#VALUE!</v>
      </c>
      <c r="HK113" t="e">
        <f>AND(Sheet1!J1521,"AAAAAFXu+9o=")</f>
        <v>#VALUE!</v>
      </c>
      <c r="HL113" t="e">
        <f>AND(Sheet1!K1521,"AAAAAFXu+9s=")</f>
        <v>#VALUE!</v>
      </c>
      <c r="HM113" t="e">
        <f>AND(Sheet1!L1521,"AAAAAFXu+9w=")</f>
        <v>#VALUE!</v>
      </c>
      <c r="HN113" t="e">
        <f>AND(Sheet1!M1521,"AAAAAFXu+90=")</f>
        <v>#VALUE!</v>
      </c>
      <c r="HO113" t="e">
        <f>AND(Sheet1!N1521,"AAAAAFXu+94=")</f>
        <v>#VALUE!</v>
      </c>
      <c r="HP113" t="e">
        <f>AND(Sheet1!#REF!,"AAAAAFXu+98=")</f>
        <v>#REF!</v>
      </c>
      <c r="HQ113" t="e">
        <f>AND(Sheet1!#REF!,"AAAAAFXu++A=")</f>
        <v>#REF!</v>
      </c>
      <c r="HR113" t="e">
        <f>AND(Sheet1!#REF!,"AAAAAFXu++E=")</f>
        <v>#REF!</v>
      </c>
      <c r="HS113" t="e">
        <f>AND(Sheet1!#REF!,"AAAAAFXu++I=")</f>
        <v>#REF!</v>
      </c>
      <c r="HT113">
        <f>IF(Sheet1!1522:1522,"AAAAAFXu++M=",0)</f>
        <v>0</v>
      </c>
      <c r="HU113" t="e">
        <f>AND(Sheet1!A1522,"AAAAAFXu++Q=")</f>
        <v>#VALUE!</v>
      </c>
      <c r="HV113" t="e">
        <f>AND(Sheet1!B1522,"AAAAAFXu++U=")</f>
        <v>#VALUE!</v>
      </c>
      <c r="HW113" t="e">
        <f>AND(Sheet1!C1522,"AAAAAFXu++Y=")</f>
        <v>#VALUE!</v>
      </c>
      <c r="HX113" t="e">
        <f>AND(Sheet1!D1522,"AAAAAFXu++c=")</f>
        <v>#VALUE!</v>
      </c>
      <c r="HY113" t="e">
        <f>AND(Sheet1!E1522,"AAAAAFXu++g=")</f>
        <v>#VALUE!</v>
      </c>
      <c r="HZ113" t="e">
        <f>AND(Sheet1!F1522,"AAAAAFXu++k=")</f>
        <v>#VALUE!</v>
      </c>
      <c r="IA113" t="e">
        <f>AND(Sheet1!G1522,"AAAAAFXu++o=")</f>
        <v>#VALUE!</v>
      </c>
      <c r="IB113" t="e">
        <f>AND(Sheet1!H1522,"AAAAAFXu++s=")</f>
        <v>#VALUE!</v>
      </c>
      <c r="IC113" t="e">
        <f>AND(Sheet1!I1522,"AAAAAFXu++w=")</f>
        <v>#VALUE!</v>
      </c>
      <c r="ID113" t="e">
        <f>AND(Sheet1!J1522,"AAAAAFXu++0=")</f>
        <v>#VALUE!</v>
      </c>
      <c r="IE113" t="e">
        <f>AND(Sheet1!K1522,"AAAAAFXu++4=")</f>
        <v>#VALUE!</v>
      </c>
      <c r="IF113" t="e">
        <f>AND(Sheet1!L1522,"AAAAAFXu++8=")</f>
        <v>#VALUE!</v>
      </c>
      <c r="IG113" t="e">
        <f>AND(Sheet1!M1522,"AAAAAFXu+/A=")</f>
        <v>#VALUE!</v>
      </c>
      <c r="IH113" t="e">
        <f>AND(Sheet1!N1522,"AAAAAFXu+/E=")</f>
        <v>#VALUE!</v>
      </c>
      <c r="II113" t="e">
        <f>AND(Sheet1!#REF!,"AAAAAFXu+/I=")</f>
        <v>#REF!</v>
      </c>
      <c r="IJ113" t="e">
        <f>AND(Sheet1!#REF!,"AAAAAFXu+/M=")</f>
        <v>#REF!</v>
      </c>
      <c r="IK113" t="e">
        <f>AND(Sheet1!#REF!,"AAAAAFXu+/Q=")</f>
        <v>#REF!</v>
      </c>
      <c r="IL113" t="e">
        <f>AND(Sheet1!#REF!,"AAAAAFXu+/U=")</f>
        <v>#REF!</v>
      </c>
      <c r="IM113">
        <f>IF(Sheet1!1523:1523,"AAAAAFXu+/Y=",0)</f>
        <v>0</v>
      </c>
      <c r="IN113" t="e">
        <f>AND(Sheet1!A1523,"AAAAAFXu+/c=")</f>
        <v>#VALUE!</v>
      </c>
      <c r="IO113" t="e">
        <f>AND(Sheet1!B1523,"AAAAAFXu+/g=")</f>
        <v>#VALUE!</v>
      </c>
      <c r="IP113" t="e">
        <f>AND(Sheet1!C1523,"AAAAAFXu+/k=")</f>
        <v>#VALUE!</v>
      </c>
      <c r="IQ113" t="e">
        <f>AND(Sheet1!D1523,"AAAAAFXu+/o=")</f>
        <v>#VALUE!</v>
      </c>
      <c r="IR113" t="e">
        <f>AND(Sheet1!E1523,"AAAAAFXu+/s=")</f>
        <v>#VALUE!</v>
      </c>
      <c r="IS113" t="e">
        <f>AND(Sheet1!F1523,"AAAAAFXu+/w=")</f>
        <v>#VALUE!</v>
      </c>
      <c r="IT113" t="e">
        <f>AND(Sheet1!G1523,"AAAAAFXu+/0=")</f>
        <v>#VALUE!</v>
      </c>
      <c r="IU113" t="e">
        <f>AND(Sheet1!H1523,"AAAAAFXu+/4=")</f>
        <v>#VALUE!</v>
      </c>
      <c r="IV113" t="e">
        <f>AND(Sheet1!I1523,"AAAAAFXu+/8=")</f>
        <v>#VALUE!</v>
      </c>
    </row>
    <row r="114" spans="1:256" x14ac:dyDescent="0.2">
      <c r="A114" t="e">
        <f>AND(Sheet1!J1523,"AAAAAH974wA=")</f>
        <v>#VALUE!</v>
      </c>
      <c r="B114" t="e">
        <f>AND(Sheet1!K1523,"AAAAAH974wE=")</f>
        <v>#VALUE!</v>
      </c>
      <c r="C114" t="e">
        <f>AND(Sheet1!L1523,"AAAAAH974wI=")</f>
        <v>#VALUE!</v>
      </c>
      <c r="D114" t="e">
        <f>AND(Sheet1!M1523,"AAAAAH974wM=")</f>
        <v>#VALUE!</v>
      </c>
      <c r="E114" t="e">
        <f>AND(Sheet1!N1523,"AAAAAH974wQ=")</f>
        <v>#VALUE!</v>
      </c>
      <c r="F114" t="e">
        <f>AND(Sheet1!#REF!,"AAAAAH974wU=")</f>
        <v>#REF!</v>
      </c>
      <c r="G114" t="e">
        <f>AND(Sheet1!#REF!,"AAAAAH974wY=")</f>
        <v>#REF!</v>
      </c>
      <c r="H114" t="e">
        <f>AND(Sheet1!#REF!,"AAAAAH974wc=")</f>
        <v>#REF!</v>
      </c>
      <c r="I114" t="e">
        <f>AND(Sheet1!#REF!,"AAAAAH974wg=")</f>
        <v>#REF!</v>
      </c>
      <c r="J114" t="e">
        <f>IF(Sheet1!1524:1524,"AAAAAH974wk=",0)</f>
        <v>#VALUE!</v>
      </c>
      <c r="K114" t="e">
        <f>AND(Sheet1!A1524,"AAAAAH974wo=")</f>
        <v>#VALUE!</v>
      </c>
      <c r="L114" t="e">
        <f>AND(Sheet1!B1524,"AAAAAH974ws=")</f>
        <v>#VALUE!</v>
      </c>
      <c r="M114" t="e">
        <f>AND(Sheet1!C1524,"AAAAAH974ww=")</f>
        <v>#VALUE!</v>
      </c>
      <c r="N114" t="e">
        <f>AND(Sheet1!D1524,"AAAAAH974w0=")</f>
        <v>#VALUE!</v>
      </c>
      <c r="O114" t="e">
        <f>AND(Sheet1!E1524,"AAAAAH974w4=")</f>
        <v>#VALUE!</v>
      </c>
      <c r="P114" t="e">
        <f>AND(Sheet1!F1524,"AAAAAH974w8=")</f>
        <v>#VALUE!</v>
      </c>
      <c r="Q114" t="e">
        <f>AND(Sheet1!G1524,"AAAAAH974xA=")</f>
        <v>#VALUE!</v>
      </c>
      <c r="R114" t="e">
        <f>AND(Sheet1!H1524,"AAAAAH974xE=")</f>
        <v>#VALUE!</v>
      </c>
      <c r="S114" t="e">
        <f>AND(Sheet1!I1524,"AAAAAH974xI=")</f>
        <v>#VALUE!</v>
      </c>
      <c r="T114" t="e">
        <f>AND(Sheet1!J1524,"AAAAAH974xM=")</f>
        <v>#VALUE!</v>
      </c>
      <c r="U114" t="e">
        <f>AND(Sheet1!K1524,"AAAAAH974xQ=")</f>
        <v>#VALUE!</v>
      </c>
      <c r="V114" t="e">
        <f>AND(Sheet1!L1524,"AAAAAH974xU=")</f>
        <v>#VALUE!</v>
      </c>
      <c r="W114" t="e">
        <f>AND(Sheet1!M1524,"AAAAAH974xY=")</f>
        <v>#VALUE!</v>
      </c>
      <c r="X114" t="e">
        <f>AND(Sheet1!N1524,"AAAAAH974xc=")</f>
        <v>#VALUE!</v>
      </c>
      <c r="Y114" t="e">
        <f>AND(Sheet1!#REF!,"AAAAAH974xg=")</f>
        <v>#REF!</v>
      </c>
      <c r="Z114" t="e">
        <f>AND(Sheet1!#REF!,"AAAAAH974xk=")</f>
        <v>#REF!</v>
      </c>
      <c r="AA114" t="e">
        <f>AND(Sheet1!#REF!,"AAAAAH974xo=")</f>
        <v>#REF!</v>
      </c>
      <c r="AB114" t="e">
        <f>AND(Sheet1!#REF!,"AAAAAH974xs=")</f>
        <v>#REF!</v>
      </c>
      <c r="AC114">
        <f>IF(Sheet1!1525:1525,"AAAAAH974xw=",0)</f>
        <v>0</v>
      </c>
      <c r="AD114" t="e">
        <f>AND(Sheet1!A1525,"AAAAAH974x0=")</f>
        <v>#VALUE!</v>
      </c>
      <c r="AE114" t="e">
        <f>AND(Sheet1!B1525,"AAAAAH974x4=")</f>
        <v>#VALUE!</v>
      </c>
      <c r="AF114" t="e">
        <f>AND(Sheet1!C1525,"AAAAAH974x8=")</f>
        <v>#VALUE!</v>
      </c>
      <c r="AG114" t="e">
        <f>AND(Sheet1!D1525,"AAAAAH974yA=")</f>
        <v>#VALUE!</v>
      </c>
      <c r="AH114" t="e">
        <f>AND(Sheet1!E1525,"AAAAAH974yE=")</f>
        <v>#VALUE!</v>
      </c>
      <c r="AI114" t="e">
        <f>AND(Sheet1!F1525,"AAAAAH974yI=")</f>
        <v>#VALUE!</v>
      </c>
      <c r="AJ114" t="e">
        <f>AND(Sheet1!G1525,"AAAAAH974yM=")</f>
        <v>#VALUE!</v>
      </c>
      <c r="AK114" t="e">
        <f>AND(Sheet1!H1525,"AAAAAH974yQ=")</f>
        <v>#VALUE!</v>
      </c>
      <c r="AL114" t="e">
        <f>AND(Sheet1!I1525,"AAAAAH974yU=")</f>
        <v>#VALUE!</v>
      </c>
      <c r="AM114" t="e">
        <f>AND(Sheet1!J1525,"AAAAAH974yY=")</f>
        <v>#VALUE!</v>
      </c>
      <c r="AN114" t="e">
        <f>AND(Sheet1!K1525,"AAAAAH974yc=")</f>
        <v>#VALUE!</v>
      </c>
      <c r="AO114" t="e">
        <f>AND(Sheet1!L1525,"AAAAAH974yg=")</f>
        <v>#VALUE!</v>
      </c>
      <c r="AP114" t="e">
        <f>AND(Sheet1!M1525,"AAAAAH974yk=")</f>
        <v>#VALUE!</v>
      </c>
      <c r="AQ114" t="e">
        <f>AND(Sheet1!N1525,"AAAAAH974yo=")</f>
        <v>#VALUE!</v>
      </c>
      <c r="AR114" t="e">
        <f>AND(Sheet1!#REF!,"AAAAAH974ys=")</f>
        <v>#REF!</v>
      </c>
      <c r="AS114" t="e">
        <f>AND(Sheet1!#REF!,"AAAAAH974yw=")</f>
        <v>#REF!</v>
      </c>
      <c r="AT114" t="e">
        <f>AND(Sheet1!#REF!,"AAAAAH974y0=")</f>
        <v>#REF!</v>
      </c>
      <c r="AU114" t="e">
        <f>AND(Sheet1!#REF!,"AAAAAH974y4=")</f>
        <v>#REF!</v>
      </c>
      <c r="AV114">
        <f>IF(Sheet1!1526:1526,"AAAAAH974y8=",0)</f>
        <v>0</v>
      </c>
      <c r="AW114" t="e">
        <f>AND(Sheet1!A1526,"AAAAAH974zA=")</f>
        <v>#VALUE!</v>
      </c>
      <c r="AX114" t="e">
        <f>AND(Sheet1!B1526,"AAAAAH974zE=")</f>
        <v>#VALUE!</v>
      </c>
      <c r="AY114" t="e">
        <f>AND(Sheet1!C1526,"AAAAAH974zI=")</f>
        <v>#VALUE!</v>
      </c>
      <c r="AZ114" t="e">
        <f>AND(Sheet1!D1526,"AAAAAH974zM=")</f>
        <v>#VALUE!</v>
      </c>
      <c r="BA114" t="e">
        <f>AND(Sheet1!E1526,"AAAAAH974zQ=")</f>
        <v>#VALUE!</v>
      </c>
      <c r="BB114" t="e">
        <f>AND(Sheet1!F1526,"AAAAAH974zU=")</f>
        <v>#VALUE!</v>
      </c>
      <c r="BC114" t="e">
        <f>AND(Sheet1!G1526,"AAAAAH974zY=")</f>
        <v>#VALUE!</v>
      </c>
      <c r="BD114" t="e">
        <f>AND(Sheet1!H1526,"AAAAAH974zc=")</f>
        <v>#VALUE!</v>
      </c>
      <c r="BE114" t="e">
        <f>AND(Sheet1!I1526,"AAAAAH974zg=")</f>
        <v>#VALUE!</v>
      </c>
      <c r="BF114" t="e">
        <f>AND(Sheet1!J1526,"AAAAAH974zk=")</f>
        <v>#VALUE!</v>
      </c>
      <c r="BG114" t="e">
        <f>AND(Sheet1!K1526,"AAAAAH974zo=")</f>
        <v>#VALUE!</v>
      </c>
      <c r="BH114" t="e">
        <f>AND(Sheet1!L1526,"AAAAAH974zs=")</f>
        <v>#VALUE!</v>
      </c>
      <c r="BI114" t="e">
        <f>AND(Sheet1!M1526,"AAAAAH974zw=")</f>
        <v>#VALUE!</v>
      </c>
      <c r="BJ114" t="e">
        <f>AND(Sheet1!N1526,"AAAAAH974z0=")</f>
        <v>#VALUE!</v>
      </c>
      <c r="BK114" t="e">
        <f>AND(Sheet1!#REF!,"AAAAAH974z4=")</f>
        <v>#REF!</v>
      </c>
      <c r="BL114" t="e">
        <f>AND(Sheet1!#REF!,"AAAAAH974z8=")</f>
        <v>#REF!</v>
      </c>
      <c r="BM114" t="e">
        <f>AND(Sheet1!#REF!,"AAAAAH9740A=")</f>
        <v>#REF!</v>
      </c>
      <c r="BN114" t="e">
        <f>AND(Sheet1!#REF!,"AAAAAH9740E=")</f>
        <v>#REF!</v>
      </c>
      <c r="BO114">
        <f>IF(Sheet1!1527:1527,"AAAAAH9740I=",0)</f>
        <v>0</v>
      </c>
      <c r="BP114" t="e">
        <f>AND(Sheet1!A1527,"AAAAAH9740M=")</f>
        <v>#VALUE!</v>
      </c>
      <c r="BQ114" t="e">
        <f>AND(Sheet1!B1527,"AAAAAH9740Q=")</f>
        <v>#VALUE!</v>
      </c>
      <c r="BR114" t="e">
        <f>AND(Sheet1!C1527,"AAAAAH9740U=")</f>
        <v>#VALUE!</v>
      </c>
      <c r="BS114" t="e">
        <f>AND(Sheet1!D1527,"AAAAAH9740Y=")</f>
        <v>#VALUE!</v>
      </c>
      <c r="BT114" t="e">
        <f>AND(Sheet1!E1527,"AAAAAH9740c=")</f>
        <v>#VALUE!</v>
      </c>
      <c r="BU114" t="e">
        <f>AND(Sheet1!F1527,"AAAAAH9740g=")</f>
        <v>#VALUE!</v>
      </c>
      <c r="BV114" t="e">
        <f>AND(Sheet1!G1527,"AAAAAH9740k=")</f>
        <v>#VALUE!</v>
      </c>
      <c r="BW114" t="e">
        <f>AND(Sheet1!H1527,"AAAAAH9740o=")</f>
        <v>#VALUE!</v>
      </c>
      <c r="BX114" t="e">
        <f>AND(Sheet1!I1527,"AAAAAH9740s=")</f>
        <v>#VALUE!</v>
      </c>
      <c r="BY114" t="e">
        <f>AND(Sheet1!J1527,"AAAAAH9740w=")</f>
        <v>#VALUE!</v>
      </c>
      <c r="BZ114" t="e">
        <f>AND(Sheet1!K1527,"AAAAAH97400=")</f>
        <v>#VALUE!</v>
      </c>
      <c r="CA114" t="e">
        <f>AND(Sheet1!L1527,"AAAAAH97404=")</f>
        <v>#VALUE!</v>
      </c>
      <c r="CB114" t="e">
        <f>AND(Sheet1!M1527,"AAAAAH97408=")</f>
        <v>#VALUE!</v>
      </c>
      <c r="CC114" t="e">
        <f>AND(Sheet1!N1527,"AAAAAH9741A=")</f>
        <v>#VALUE!</v>
      </c>
      <c r="CD114" t="e">
        <f>AND(Sheet1!#REF!,"AAAAAH9741E=")</f>
        <v>#REF!</v>
      </c>
      <c r="CE114" t="e">
        <f>AND(Sheet1!#REF!,"AAAAAH9741I=")</f>
        <v>#REF!</v>
      </c>
      <c r="CF114" t="e">
        <f>AND(Sheet1!#REF!,"AAAAAH9741M=")</f>
        <v>#REF!</v>
      </c>
      <c r="CG114" t="e">
        <f>AND(Sheet1!#REF!,"AAAAAH9741Q=")</f>
        <v>#REF!</v>
      </c>
      <c r="CH114">
        <f>IF(Sheet1!1528:1528,"AAAAAH9741U=",0)</f>
        <v>0</v>
      </c>
      <c r="CI114" t="e">
        <f>AND(Sheet1!A1528,"AAAAAH9741Y=")</f>
        <v>#VALUE!</v>
      </c>
      <c r="CJ114" t="e">
        <f>AND(Sheet1!B1528,"AAAAAH9741c=")</f>
        <v>#VALUE!</v>
      </c>
      <c r="CK114" t="e">
        <f>AND(Sheet1!C1528,"AAAAAH9741g=")</f>
        <v>#VALUE!</v>
      </c>
      <c r="CL114" t="e">
        <f>AND(Sheet1!D1528,"AAAAAH9741k=")</f>
        <v>#VALUE!</v>
      </c>
      <c r="CM114" t="e">
        <f>AND(Sheet1!E1528,"AAAAAH9741o=")</f>
        <v>#VALUE!</v>
      </c>
      <c r="CN114" t="e">
        <f>AND(Sheet1!F1528,"AAAAAH9741s=")</f>
        <v>#VALUE!</v>
      </c>
      <c r="CO114" t="e">
        <f>AND(Sheet1!G1528,"AAAAAH9741w=")</f>
        <v>#VALUE!</v>
      </c>
      <c r="CP114" t="e">
        <f>AND(Sheet1!H1528,"AAAAAH97410=")</f>
        <v>#VALUE!</v>
      </c>
      <c r="CQ114" t="e">
        <f>AND(Sheet1!I1528,"AAAAAH97414=")</f>
        <v>#VALUE!</v>
      </c>
      <c r="CR114" t="e">
        <f>AND(Sheet1!J1528,"AAAAAH97418=")</f>
        <v>#VALUE!</v>
      </c>
      <c r="CS114" t="e">
        <f>AND(Sheet1!K1528,"AAAAAH9742A=")</f>
        <v>#VALUE!</v>
      </c>
      <c r="CT114" t="e">
        <f>AND(Sheet1!L1528,"AAAAAH9742E=")</f>
        <v>#VALUE!</v>
      </c>
      <c r="CU114" t="e">
        <f>AND(Sheet1!M1528,"AAAAAH9742I=")</f>
        <v>#VALUE!</v>
      </c>
      <c r="CV114" t="e">
        <f>AND(Sheet1!N1528,"AAAAAH9742M=")</f>
        <v>#VALUE!</v>
      </c>
      <c r="CW114" t="e">
        <f>AND(Sheet1!#REF!,"AAAAAH9742Q=")</f>
        <v>#REF!</v>
      </c>
      <c r="CX114" t="e">
        <f>AND(Sheet1!#REF!,"AAAAAH9742U=")</f>
        <v>#REF!</v>
      </c>
      <c r="CY114" t="e">
        <f>AND(Sheet1!#REF!,"AAAAAH9742Y=")</f>
        <v>#REF!</v>
      </c>
      <c r="CZ114" t="e">
        <f>AND(Sheet1!#REF!,"AAAAAH9742c=")</f>
        <v>#REF!</v>
      </c>
      <c r="DA114">
        <f>IF(Sheet1!1529:1529,"AAAAAH9742g=",0)</f>
        <v>0</v>
      </c>
      <c r="DB114" t="e">
        <f>AND(Sheet1!A1529,"AAAAAH9742k=")</f>
        <v>#VALUE!</v>
      </c>
      <c r="DC114" t="e">
        <f>AND(Sheet1!B1529,"AAAAAH9742o=")</f>
        <v>#VALUE!</v>
      </c>
      <c r="DD114" t="e">
        <f>AND(Sheet1!C1529,"AAAAAH9742s=")</f>
        <v>#VALUE!</v>
      </c>
      <c r="DE114" t="e">
        <f>AND(Sheet1!D1529,"AAAAAH9742w=")</f>
        <v>#VALUE!</v>
      </c>
      <c r="DF114" t="e">
        <f>AND(Sheet1!E1529,"AAAAAH97420=")</f>
        <v>#VALUE!</v>
      </c>
      <c r="DG114" t="e">
        <f>AND(Sheet1!F1529,"AAAAAH97424=")</f>
        <v>#VALUE!</v>
      </c>
      <c r="DH114" t="e">
        <f>AND(Sheet1!G1529,"AAAAAH97428=")</f>
        <v>#VALUE!</v>
      </c>
      <c r="DI114" t="e">
        <f>AND(Sheet1!H1529,"AAAAAH9743A=")</f>
        <v>#VALUE!</v>
      </c>
      <c r="DJ114" t="e">
        <f>AND(Sheet1!I1529,"AAAAAH9743E=")</f>
        <v>#VALUE!</v>
      </c>
      <c r="DK114" t="e">
        <f>AND(Sheet1!J1529,"AAAAAH9743I=")</f>
        <v>#VALUE!</v>
      </c>
      <c r="DL114" t="e">
        <f>AND(Sheet1!K1529,"AAAAAH9743M=")</f>
        <v>#VALUE!</v>
      </c>
      <c r="DM114" t="e">
        <f>AND(Sheet1!L1529,"AAAAAH9743Q=")</f>
        <v>#VALUE!</v>
      </c>
      <c r="DN114" t="e">
        <f>AND(Sheet1!M1529,"AAAAAH9743U=")</f>
        <v>#VALUE!</v>
      </c>
      <c r="DO114" t="e">
        <f>AND(Sheet1!N1529,"AAAAAH9743Y=")</f>
        <v>#VALUE!</v>
      </c>
      <c r="DP114" t="e">
        <f>AND(Sheet1!#REF!,"AAAAAH9743c=")</f>
        <v>#REF!</v>
      </c>
      <c r="DQ114" t="e">
        <f>AND(Sheet1!#REF!,"AAAAAH9743g=")</f>
        <v>#REF!</v>
      </c>
      <c r="DR114" t="e">
        <f>AND(Sheet1!#REF!,"AAAAAH9743k=")</f>
        <v>#REF!</v>
      </c>
      <c r="DS114" t="e">
        <f>AND(Sheet1!#REF!,"AAAAAH9743o=")</f>
        <v>#REF!</v>
      </c>
      <c r="DT114">
        <f>IF(Sheet1!1530:1530,"AAAAAH9743s=",0)</f>
        <v>0</v>
      </c>
      <c r="DU114" t="e">
        <f>AND(Sheet1!A1530,"AAAAAH9743w=")</f>
        <v>#VALUE!</v>
      </c>
      <c r="DV114" t="e">
        <f>AND(Sheet1!B1530,"AAAAAH97430=")</f>
        <v>#VALUE!</v>
      </c>
      <c r="DW114" t="e">
        <f>AND(Sheet1!C1530,"AAAAAH97434=")</f>
        <v>#VALUE!</v>
      </c>
      <c r="DX114" t="e">
        <f>AND(Sheet1!D1530,"AAAAAH97438=")</f>
        <v>#VALUE!</v>
      </c>
      <c r="DY114" t="e">
        <f>AND(Sheet1!E1530,"AAAAAH9744A=")</f>
        <v>#VALUE!</v>
      </c>
      <c r="DZ114" t="e">
        <f>AND(Sheet1!F1530,"AAAAAH9744E=")</f>
        <v>#VALUE!</v>
      </c>
      <c r="EA114" t="e">
        <f>AND(Sheet1!G1530,"AAAAAH9744I=")</f>
        <v>#VALUE!</v>
      </c>
      <c r="EB114" t="e">
        <f>AND(Sheet1!H1530,"AAAAAH9744M=")</f>
        <v>#VALUE!</v>
      </c>
      <c r="EC114" t="e">
        <f>AND(Sheet1!I1530,"AAAAAH9744Q=")</f>
        <v>#VALUE!</v>
      </c>
      <c r="ED114" t="e">
        <f>AND(Sheet1!J1530,"AAAAAH9744U=")</f>
        <v>#VALUE!</v>
      </c>
      <c r="EE114" t="e">
        <f>AND(Sheet1!K1530,"AAAAAH9744Y=")</f>
        <v>#VALUE!</v>
      </c>
      <c r="EF114" t="e">
        <f>AND(Sheet1!L1530,"AAAAAH9744c=")</f>
        <v>#VALUE!</v>
      </c>
      <c r="EG114" t="e">
        <f>AND(Sheet1!M1530,"AAAAAH9744g=")</f>
        <v>#VALUE!</v>
      </c>
      <c r="EH114" t="e">
        <f>AND(Sheet1!N1530,"AAAAAH9744k=")</f>
        <v>#VALUE!</v>
      </c>
      <c r="EI114" t="e">
        <f>AND(Sheet1!#REF!,"AAAAAH9744o=")</f>
        <v>#REF!</v>
      </c>
      <c r="EJ114" t="e">
        <f>AND(Sheet1!#REF!,"AAAAAH9744s=")</f>
        <v>#REF!</v>
      </c>
      <c r="EK114" t="e">
        <f>AND(Sheet1!#REF!,"AAAAAH9744w=")</f>
        <v>#REF!</v>
      </c>
      <c r="EL114" t="e">
        <f>AND(Sheet1!#REF!,"AAAAAH97440=")</f>
        <v>#REF!</v>
      </c>
      <c r="EM114">
        <f>IF(Sheet1!1531:1531,"AAAAAH97444=",0)</f>
        <v>0</v>
      </c>
      <c r="EN114" t="e">
        <f>AND(Sheet1!A1531,"AAAAAH97448=")</f>
        <v>#VALUE!</v>
      </c>
      <c r="EO114" t="e">
        <f>AND(Sheet1!B1531,"AAAAAH9745A=")</f>
        <v>#VALUE!</v>
      </c>
      <c r="EP114" t="e">
        <f>AND(Sheet1!C1531,"AAAAAH9745E=")</f>
        <v>#VALUE!</v>
      </c>
      <c r="EQ114" t="e">
        <f>AND(Sheet1!D1531,"AAAAAH9745I=")</f>
        <v>#VALUE!</v>
      </c>
      <c r="ER114" t="e">
        <f>AND(Sheet1!E1531,"AAAAAH9745M=")</f>
        <v>#VALUE!</v>
      </c>
      <c r="ES114" t="e">
        <f>AND(Sheet1!F1531,"AAAAAH9745Q=")</f>
        <v>#VALUE!</v>
      </c>
      <c r="ET114" t="e">
        <f>AND(Sheet1!G1531,"AAAAAH9745U=")</f>
        <v>#VALUE!</v>
      </c>
      <c r="EU114" t="e">
        <f>AND(Sheet1!H1531,"AAAAAH9745Y=")</f>
        <v>#VALUE!</v>
      </c>
      <c r="EV114" t="e">
        <f>AND(Sheet1!I1531,"AAAAAH9745c=")</f>
        <v>#VALUE!</v>
      </c>
      <c r="EW114" t="e">
        <f>AND(Sheet1!J1531,"AAAAAH9745g=")</f>
        <v>#VALUE!</v>
      </c>
      <c r="EX114" t="e">
        <f>AND(Sheet1!K1531,"AAAAAH9745k=")</f>
        <v>#VALUE!</v>
      </c>
      <c r="EY114" t="e">
        <f>AND(Sheet1!L1531,"AAAAAH9745o=")</f>
        <v>#VALUE!</v>
      </c>
      <c r="EZ114" t="e">
        <f>AND(Sheet1!M1531,"AAAAAH9745s=")</f>
        <v>#VALUE!</v>
      </c>
      <c r="FA114" t="e">
        <f>AND(Sheet1!N1531,"AAAAAH9745w=")</f>
        <v>#VALUE!</v>
      </c>
      <c r="FB114" t="e">
        <f>AND(Sheet1!#REF!,"AAAAAH97450=")</f>
        <v>#REF!</v>
      </c>
      <c r="FC114" t="e">
        <f>AND(Sheet1!#REF!,"AAAAAH97454=")</f>
        <v>#REF!</v>
      </c>
      <c r="FD114" t="e">
        <f>AND(Sheet1!#REF!,"AAAAAH97458=")</f>
        <v>#REF!</v>
      </c>
      <c r="FE114" t="e">
        <f>AND(Sheet1!#REF!,"AAAAAH9746A=")</f>
        <v>#REF!</v>
      </c>
      <c r="FF114">
        <f>IF(Sheet1!1532:1532,"AAAAAH9746E=",0)</f>
        <v>0</v>
      </c>
      <c r="FG114" t="e">
        <f>AND(Sheet1!A1532,"AAAAAH9746I=")</f>
        <v>#VALUE!</v>
      </c>
      <c r="FH114" t="e">
        <f>AND(Sheet1!B1532,"AAAAAH9746M=")</f>
        <v>#VALUE!</v>
      </c>
      <c r="FI114" t="e">
        <f>AND(Sheet1!C1532,"AAAAAH9746Q=")</f>
        <v>#VALUE!</v>
      </c>
      <c r="FJ114" t="e">
        <f>AND(Sheet1!D1532,"AAAAAH9746U=")</f>
        <v>#VALUE!</v>
      </c>
      <c r="FK114" t="e">
        <f>AND(Sheet1!E1532,"AAAAAH9746Y=")</f>
        <v>#VALUE!</v>
      </c>
      <c r="FL114" t="e">
        <f>AND(Sheet1!F1532,"AAAAAH9746c=")</f>
        <v>#VALUE!</v>
      </c>
      <c r="FM114" t="e">
        <f>AND(Sheet1!G1532,"AAAAAH9746g=")</f>
        <v>#VALUE!</v>
      </c>
      <c r="FN114" t="e">
        <f>AND(Sheet1!H1532,"AAAAAH9746k=")</f>
        <v>#VALUE!</v>
      </c>
      <c r="FO114" t="e">
        <f>AND(Sheet1!I1532,"AAAAAH9746o=")</f>
        <v>#VALUE!</v>
      </c>
      <c r="FP114" t="e">
        <f>AND(Sheet1!J1532,"AAAAAH9746s=")</f>
        <v>#VALUE!</v>
      </c>
      <c r="FQ114" t="e">
        <f>AND(Sheet1!K1532,"AAAAAH9746w=")</f>
        <v>#VALUE!</v>
      </c>
      <c r="FR114" t="e">
        <f>AND(Sheet1!L1532,"AAAAAH97460=")</f>
        <v>#VALUE!</v>
      </c>
      <c r="FS114" t="e">
        <f>AND(Sheet1!M1532,"AAAAAH97464=")</f>
        <v>#VALUE!</v>
      </c>
      <c r="FT114" t="e">
        <f>AND(Sheet1!N1532,"AAAAAH97468=")</f>
        <v>#VALUE!</v>
      </c>
      <c r="FU114" t="e">
        <f>AND(Sheet1!#REF!,"AAAAAH9747A=")</f>
        <v>#REF!</v>
      </c>
      <c r="FV114" t="e">
        <f>AND(Sheet1!#REF!,"AAAAAH9747E=")</f>
        <v>#REF!</v>
      </c>
      <c r="FW114" t="e">
        <f>AND(Sheet1!#REF!,"AAAAAH9747I=")</f>
        <v>#REF!</v>
      </c>
      <c r="FX114" t="e">
        <f>AND(Sheet1!#REF!,"AAAAAH9747M=")</f>
        <v>#REF!</v>
      </c>
      <c r="FY114">
        <f>IF(Sheet1!1533:1533,"AAAAAH9747Q=",0)</f>
        <v>0</v>
      </c>
      <c r="FZ114" t="e">
        <f>AND(Sheet1!A1533,"AAAAAH9747U=")</f>
        <v>#VALUE!</v>
      </c>
      <c r="GA114" t="e">
        <f>AND(Sheet1!B1533,"AAAAAH9747Y=")</f>
        <v>#VALUE!</v>
      </c>
      <c r="GB114" t="e">
        <f>AND(Sheet1!C1533,"AAAAAH9747c=")</f>
        <v>#VALUE!</v>
      </c>
      <c r="GC114" t="e">
        <f>AND(Sheet1!D1533,"AAAAAH9747g=")</f>
        <v>#VALUE!</v>
      </c>
      <c r="GD114" t="e">
        <f>AND(Sheet1!E1533,"AAAAAH9747k=")</f>
        <v>#VALUE!</v>
      </c>
      <c r="GE114" t="e">
        <f>AND(Sheet1!F1533,"AAAAAH9747o=")</f>
        <v>#VALUE!</v>
      </c>
      <c r="GF114" t="e">
        <f>AND(Sheet1!G1533,"AAAAAH9747s=")</f>
        <v>#VALUE!</v>
      </c>
      <c r="GG114" t="e">
        <f>AND(Sheet1!H1533,"AAAAAH9747w=")</f>
        <v>#VALUE!</v>
      </c>
      <c r="GH114" t="e">
        <f>AND(Sheet1!I1533,"AAAAAH97470=")</f>
        <v>#VALUE!</v>
      </c>
      <c r="GI114" t="e">
        <f>AND(Sheet1!J1533,"AAAAAH97474=")</f>
        <v>#VALUE!</v>
      </c>
      <c r="GJ114" t="e">
        <f>AND(Sheet1!K1533,"AAAAAH97478=")</f>
        <v>#VALUE!</v>
      </c>
      <c r="GK114" t="e">
        <f>AND(Sheet1!L1533,"AAAAAH9748A=")</f>
        <v>#VALUE!</v>
      </c>
      <c r="GL114" t="e">
        <f>AND(Sheet1!M1533,"AAAAAH9748E=")</f>
        <v>#VALUE!</v>
      </c>
      <c r="GM114" t="e">
        <f>AND(Sheet1!N1533,"AAAAAH9748I=")</f>
        <v>#VALUE!</v>
      </c>
      <c r="GN114" t="e">
        <f>AND(Sheet1!#REF!,"AAAAAH9748M=")</f>
        <v>#REF!</v>
      </c>
      <c r="GO114" t="e">
        <f>AND(Sheet1!#REF!,"AAAAAH9748Q=")</f>
        <v>#REF!</v>
      </c>
      <c r="GP114" t="e">
        <f>AND(Sheet1!#REF!,"AAAAAH9748U=")</f>
        <v>#REF!</v>
      </c>
      <c r="GQ114" t="e">
        <f>AND(Sheet1!#REF!,"AAAAAH9748Y=")</f>
        <v>#REF!</v>
      </c>
      <c r="GR114">
        <f>IF(Sheet1!1534:1534,"AAAAAH9748c=",0)</f>
        <v>0</v>
      </c>
      <c r="GS114" t="e">
        <f>AND(Sheet1!A1534,"AAAAAH9748g=")</f>
        <v>#VALUE!</v>
      </c>
      <c r="GT114" t="e">
        <f>AND(Sheet1!B1534,"AAAAAH9748k=")</f>
        <v>#VALUE!</v>
      </c>
      <c r="GU114" t="e">
        <f>AND(Sheet1!C1534,"AAAAAH9748o=")</f>
        <v>#VALUE!</v>
      </c>
      <c r="GV114" t="e">
        <f>AND(Sheet1!D1534,"AAAAAH9748s=")</f>
        <v>#VALUE!</v>
      </c>
      <c r="GW114" t="e">
        <f>AND(Sheet1!E1534,"AAAAAH9748w=")</f>
        <v>#VALUE!</v>
      </c>
      <c r="GX114" t="e">
        <f>AND(Sheet1!F1534,"AAAAAH97480=")</f>
        <v>#VALUE!</v>
      </c>
      <c r="GY114" t="e">
        <f>AND(Sheet1!G1534,"AAAAAH97484=")</f>
        <v>#VALUE!</v>
      </c>
      <c r="GZ114" t="e">
        <f>AND(Sheet1!H1534,"AAAAAH97488=")</f>
        <v>#VALUE!</v>
      </c>
      <c r="HA114" t="e">
        <f>AND(Sheet1!I1534,"AAAAAH9749A=")</f>
        <v>#VALUE!</v>
      </c>
      <c r="HB114" t="e">
        <f>AND(Sheet1!J1534,"AAAAAH9749E=")</f>
        <v>#VALUE!</v>
      </c>
      <c r="HC114" t="e">
        <f>AND(Sheet1!K1534,"AAAAAH9749I=")</f>
        <v>#VALUE!</v>
      </c>
      <c r="HD114" t="e">
        <f>AND(Sheet1!L1534,"AAAAAH9749M=")</f>
        <v>#VALUE!</v>
      </c>
      <c r="HE114" t="e">
        <f>AND(Sheet1!M1534,"AAAAAH9749Q=")</f>
        <v>#VALUE!</v>
      </c>
      <c r="HF114" t="e">
        <f>AND(Sheet1!N1534,"AAAAAH9749U=")</f>
        <v>#VALUE!</v>
      </c>
      <c r="HG114" t="e">
        <f>AND(Sheet1!#REF!,"AAAAAH9749Y=")</f>
        <v>#REF!</v>
      </c>
      <c r="HH114" t="e">
        <f>AND(Sheet1!#REF!,"AAAAAH9749c=")</f>
        <v>#REF!</v>
      </c>
      <c r="HI114" t="e">
        <f>AND(Sheet1!#REF!,"AAAAAH9749g=")</f>
        <v>#REF!</v>
      </c>
      <c r="HJ114" t="e">
        <f>AND(Sheet1!#REF!,"AAAAAH9749k=")</f>
        <v>#REF!</v>
      </c>
      <c r="HK114">
        <f>IF(Sheet1!1535:1535,"AAAAAH9749o=",0)</f>
        <v>0</v>
      </c>
      <c r="HL114" t="e">
        <f>AND(Sheet1!A1535,"AAAAAH9749s=")</f>
        <v>#VALUE!</v>
      </c>
      <c r="HM114" t="e">
        <f>AND(Sheet1!B1535,"AAAAAH9749w=")</f>
        <v>#VALUE!</v>
      </c>
      <c r="HN114" t="e">
        <f>AND(Sheet1!C1535,"AAAAAH97490=")</f>
        <v>#VALUE!</v>
      </c>
      <c r="HO114" t="e">
        <f>AND(Sheet1!D1535,"AAAAAH97494=")</f>
        <v>#VALUE!</v>
      </c>
      <c r="HP114" t="e">
        <f>AND(Sheet1!E1535,"AAAAAH97498=")</f>
        <v>#VALUE!</v>
      </c>
      <c r="HQ114" t="e">
        <f>AND(Sheet1!F1535,"AAAAAH974+A=")</f>
        <v>#VALUE!</v>
      </c>
      <c r="HR114" t="e">
        <f>AND(Sheet1!G1535,"AAAAAH974+E=")</f>
        <v>#VALUE!</v>
      </c>
      <c r="HS114" t="e">
        <f>AND(Sheet1!H1535,"AAAAAH974+I=")</f>
        <v>#VALUE!</v>
      </c>
      <c r="HT114" t="e">
        <f>AND(Sheet1!I1535,"AAAAAH974+M=")</f>
        <v>#VALUE!</v>
      </c>
      <c r="HU114" t="e">
        <f>AND(Sheet1!J1535,"AAAAAH974+Q=")</f>
        <v>#VALUE!</v>
      </c>
      <c r="HV114" t="e">
        <f>AND(Sheet1!K1535,"AAAAAH974+U=")</f>
        <v>#VALUE!</v>
      </c>
      <c r="HW114" t="e">
        <f>AND(Sheet1!L1535,"AAAAAH974+Y=")</f>
        <v>#VALUE!</v>
      </c>
      <c r="HX114" t="e">
        <f>AND(Sheet1!M1535,"AAAAAH974+c=")</f>
        <v>#VALUE!</v>
      </c>
      <c r="HY114" t="e">
        <f>AND(Sheet1!N1535,"AAAAAH974+g=")</f>
        <v>#VALUE!</v>
      </c>
      <c r="HZ114" t="e">
        <f>AND(Sheet1!#REF!,"AAAAAH974+k=")</f>
        <v>#REF!</v>
      </c>
      <c r="IA114" t="e">
        <f>AND(Sheet1!#REF!,"AAAAAH974+o=")</f>
        <v>#REF!</v>
      </c>
      <c r="IB114" t="e">
        <f>AND(Sheet1!#REF!,"AAAAAH974+s=")</f>
        <v>#REF!</v>
      </c>
      <c r="IC114" t="e">
        <f>AND(Sheet1!#REF!,"AAAAAH974+w=")</f>
        <v>#REF!</v>
      </c>
      <c r="ID114">
        <f>IF(Sheet1!1536:1536,"AAAAAH974+0=",0)</f>
        <v>0</v>
      </c>
      <c r="IE114" t="e">
        <f>AND(Sheet1!A1536,"AAAAAH974+4=")</f>
        <v>#VALUE!</v>
      </c>
      <c r="IF114" t="e">
        <f>AND(Sheet1!B1536,"AAAAAH974+8=")</f>
        <v>#VALUE!</v>
      </c>
      <c r="IG114" t="e">
        <f>AND(Sheet1!C1536,"AAAAAH974/A=")</f>
        <v>#VALUE!</v>
      </c>
      <c r="IH114" t="e">
        <f>AND(Sheet1!D1536,"AAAAAH974/E=")</f>
        <v>#VALUE!</v>
      </c>
      <c r="II114" t="e">
        <f>AND(Sheet1!E1536,"AAAAAH974/I=")</f>
        <v>#VALUE!</v>
      </c>
      <c r="IJ114" t="e">
        <f>AND(Sheet1!F1536,"AAAAAH974/M=")</f>
        <v>#VALUE!</v>
      </c>
      <c r="IK114" t="e">
        <f>AND(Sheet1!G1536,"AAAAAH974/Q=")</f>
        <v>#VALUE!</v>
      </c>
      <c r="IL114" t="e">
        <f>AND(Sheet1!H1536,"AAAAAH974/U=")</f>
        <v>#VALUE!</v>
      </c>
      <c r="IM114" t="e">
        <f>AND(Sheet1!I1536,"AAAAAH974/Y=")</f>
        <v>#VALUE!</v>
      </c>
      <c r="IN114" t="e">
        <f>AND(Sheet1!J1536,"AAAAAH974/c=")</f>
        <v>#VALUE!</v>
      </c>
      <c r="IO114" t="e">
        <f>AND(Sheet1!K1536,"AAAAAH974/g=")</f>
        <v>#VALUE!</v>
      </c>
      <c r="IP114" t="e">
        <f>AND(Sheet1!L1536,"AAAAAH974/k=")</f>
        <v>#VALUE!</v>
      </c>
      <c r="IQ114" t="e">
        <f>AND(Sheet1!M1536,"AAAAAH974/o=")</f>
        <v>#VALUE!</v>
      </c>
      <c r="IR114" t="e">
        <f>AND(Sheet1!N1536,"AAAAAH974/s=")</f>
        <v>#VALUE!</v>
      </c>
      <c r="IS114" t="e">
        <f>AND(Sheet1!#REF!,"AAAAAH974/w=")</f>
        <v>#REF!</v>
      </c>
      <c r="IT114" t="e">
        <f>AND(Sheet1!#REF!,"AAAAAH974/0=")</f>
        <v>#REF!</v>
      </c>
      <c r="IU114" t="e">
        <f>AND(Sheet1!#REF!,"AAAAAH974/4=")</f>
        <v>#REF!</v>
      </c>
      <c r="IV114" t="e">
        <f>AND(Sheet1!#REF!,"AAAAAH974/8=")</f>
        <v>#REF!</v>
      </c>
    </row>
    <row r="115" spans="1:256" x14ac:dyDescent="0.2">
      <c r="A115" t="e">
        <f>IF(Sheet1!1537:1537,"AAAAAH2//wA=",0)</f>
        <v>#VALUE!</v>
      </c>
      <c r="B115" t="e">
        <f>AND(Sheet1!A1537,"AAAAAH2//wE=")</f>
        <v>#VALUE!</v>
      </c>
      <c r="C115" t="e">
        <f>AND(Sheet1!B1537,"AAAAAH2//wI=")</f>
        <v>#VALUE!</v>
      </c>
      <c r="D115" t="e">
        <f>AND(Sheet1!C1537,"AAAAAH2//wM=")</f>
        <v>#VALUE!</v>
      </c>
      <c r="E115" t="e">
        <f>AND(Sheet1!D1537,"AAAAAH2//wQ=")</f>
        <v>#VALUE!</v>
      </c>
      <c r="F115" t="e">
        <f>AND(Sheet1!E1537,"AAAAAH2//wU=")</f>
        <v>#VALUE!</v>
      </c>
      <c r="G115" t="e">
        <f>AND(Sheet1!F1537,"AAAAAH2//wY=")</f>
        <v>#VALUE!</v>
      </c>
      <c r="H115" t="e">
        <f>AND(Sheet1!G1537,"AAAAAH2//wc=")</f>
        <v>#VALUE!</v>
      </c>
      <c r="I115" t="e">
        <f>AND(Sheet1!H1537,"AAAAAH2//wg=")</f>
        <v>#VALUE!</v>
      </c>
      <c r="J115" t="e">
        <f>AND(Sheet1!I1537,"AAAAAH2//wk=")</f>
        <v>#VALUE!</v>
      </c>
      <c r="K115" t="e">
        <f>AND(Sheet1!J1537,"AAAAAH2//wo=")</f>
        <v>#VALUE!</v>
      </c>
      <c r="L115" t="e">
        <f>AND(Sheet1!K1537,"AAAAAH2//ws=")</f>
        <v>#VALUE!</v>
      </c>
      <c r="M115" t="e">
        <f>AND(Sheet1!L1537,"AAAAAH2//ww=")</f>
        <v>#VALUE!</v>
      </c>
      <c r="N115" t="e">
        <f>AND(Sheet1!M1537,"AAAAAH2//w0=")</f>
        <v>#VALUE!</v>
      </c>
      <c r="O115" t="e">
        <f>AND(Sheet1!N1537,"AAAAAH2//w4=")</f>
        <v>#VALUE!</v>
      </c>
      <c r="P115" t="e">
        <f>AND(Sheet1!#REF!,"AAAAAH2//w8=")</f>
        <v>#REF!</v>
      </c>
      <c r="Q115" t="e">
        <f>AND(Sheet1!#REF!,"AAAAAH2//xA=")</f>
        <v>#REF!</v>
      </c>
      <c r="R115" t="e">
        <f>AND(Sheet1!#REF!,"AAAAAH2//xE=")</f>
        <v>#REF!</v>
      </c>
      <c r="S115" t="e">
        <f>AND(Sheet1!#REF!,"AAAAAH2//xI=")</f>
        <v>#REF!</v>
      </c>
      <c r="T115">
        <f>IF(Sheet1!1538:1538,"AAAAAH2//xM=",0)</f>
        <v>0</v>
      </c>
      <c r="U115" t="e">
        <f>AND(Sheet1!A1538,"AAAAAH2//xQ=")</f>
        <v>#VALUE!</v>
      </c>
      <c r="V115" t="e">
        <f>AND(Sheet1!B1538,"AAAAAH2//xU=")</f>
        <v>#VALUE!</v>
      </c>
      <c r="W115" t="e">
        <f>AND(Sheet1!C1538,"AAAAAH2//xY=")</f>
        <v>#VALUE!</v>
      </c>
      <c r="X115" t="e">
        <f>AND(Sheet1!D1538,"AAAAAH2//xc=")</f>
        <v>#VALUE!</v>
      </c>
      <c r="Y115" t="e">
        <f>AND(Sheet1!E1538,"AAAAAH2//xg=")</f>
        <v>#VALUE!</v>
      </c>
      <c r="Z115" t="e">
        <f>AND(Sheet1!F1538,"AAAAAH2//xk=")</f>
        <v>#VALUE!</v>
      </c>
      <c r="AA115" t="e">
        <f>AND(Sheet1!G1538,"AAAAAH2//xo=")</f>
        <v>#VALUE!</v>
      </c>
      <c r="AB115" t="e">
        <f>AND(Sheet1!H1538,"AAAAAH2//xs=")</f>
        <v>#VALUE!</v>
      </c>
      <c r="AC115" t="e">
        <f>AND(Sheet1!I1538,"AAAAAH2//xw=")</f>
        <v>#VALUE!</v>
      </c>
      <c r="AD115" t="e">
        <f>AND(Sheet1!J1538,"AAAAAH2//x0=")</f>
        <v>#VALUE!</v>
      </c>
      <c r="AE115" t="e">
        <f>AND(Sheet1!K1538,"AAAAAH2//x4=")</f>
        <v>#VALUE!</v>
      </c>
      <c r="AF115" t="e">
        <f>AND(Sheet1!L1538,"AAAAAH2//x8=")</f>
        <v>#VALUE!</v>
      </c>
      <c r="AG115" t="e">
        <f>AND(Sheet1!M1538,"AAAAAH2//yA=")</f>
        <v>#VALUE!</v>
      </c>
      <c r="AH115" t="e">
        <f>AND(Sheet1!N1538,"AAAAAH2//yE=")</f>
        <v>#VALUE!</v>
      </c>
      <c r="AI115" t="e">
        <f>AND(Sheet1!#REF!,"AAAAAH2//yI=")</f>
        <v>#REF!</v>
      </c>
      <c r="AJ115" t="e">
        <f>AND(Sheet1!#REF!,"AAAAAH2//yM=")</f>
        <v>#REF!</v>
      </c>
      <c r="AK115" t="e">
        <f>AND(Sheet1!#REF!,"AAAAAH2//yQ=")</f>
        <v>#REF!</v>
      </c>
      <c r="AL115" t="e">
        <f>AND(Sheet1!#REF!,"AAAAAH2//yU=")</f>
        <v>#REF!</v>
      </c>
      <c r="AM115">
        <f>IF(Sheet1!1539:1539,"AAAAAH2//yY=",0)</f>
        <v>0</v>
      </c>
      <c r="AN115" t="e">
        <f>AND(Sheet1!A1539,"AAAAAH2//yc=")</f>
        <v>#VALUE!</v>
      </c>
      <c r="AO115" t="e">
        <f>AND(Sheet1!B1539,"AAAAAH2//yg=")</f>
        <v>#VALUE!</v>
      </c>
      <c r="AP115" t="e">
        <f>AND(Sheet1!C1539,"AAAAAH2//yk=")</f>
        <v>#VALUE!</v>
      </c>
      <c r="AQ115" t="e">
        <f>AND(Sheet1!D1539,"AAAAAH2//yo=")</f>
        <v>#VALUE!</v>
      </c>
      <c r="AR115" t="e">
        <f>AND(Sheet1!E1539,"AAAAAH2//ys=")</f>
        <v>#VALUE!</v>
      </c>
      <c r="AS115" t="e">
        <f>AND(Sheet1!F1539,"AAAAAH2//yw=")</f>
        <v>#VALUE!</v>
      </c>
      <c r="AT115" t="e">
        <f>AND(Sheet1!G1539,"AAAAAH2//y0=")</f>
        <v>#VALUE!</v>
      </c>
      <c r="AU115" t="e">
        <f>AND(Sheet1!H1539,"AAAAAH2//y4=")</f>
        <v>#VALUE!</v>
      </c>
      <c r="AV115" t="e">
        <f>AND(Sheet1!I1539,"AAAAAH2//y8=")</f>
        <v>#VALUE!</v>
      </c>
      <c r="AW115" t="e">
        <f>AND(Sheet1!J1539,"AAAAAH2//zA=")</f>
        <v>#VALUE!</v>
      </c>
      <c r="AX115" t="e">
        <f>AND(Sheet1!K1539,"AAAAAH2//zE=")</f>
        <v>#VALUE!</v>
      </c>
      <c r="AY115" t="e">
        <f>AND(Sheet1!L1539,"AAAAAH2//zI=")</f>
        <v>#VALUE!</v>
      </c>
      <c r="AZ115" t="e">
        <f>AND(Sheet1!M1539,"AAAAAH2//zM=")</f>
        <v>#VALUE!</v>
      </c>
      <c r="BA115" t="e">
        <f>AND(Sheet1!N1539,"AAAAAH2//zQ=")</f>
        <v>#VALUE!</v>
      </c>
      <c r="BB115" t="e">
        <f>AND(Sheet1!#REF!,"AAAAAH2//zU=")</f>
        <v>#REF!</v>
      </c>
      <c r="BC115" t="e">
        <f>AND(Sheet1!#REF!,"AAAAAH2//zY=")</f>
        <v>#REF!</v>
      </c>
      <c r="BD115" t="e">
        <f>AND(Sheet1!#REF!,"AAAAAH2//zc=")</f>
        <v>#REF!</v>
      </c>
      <c r="BE115" t="e">
        <f>AND(Sheet1!#REF!,"AAAAAH2//zg=")</f>
        <v>#REF!</v>
      </c>
      <c r="BF115">
        <f>IF(Sheet1!1540:1540,"AAAAAH2//zk=",0)</f>
        <v>0</v>
      </c>
      <c r="BG115" t="e">
        <f>AND(Sheet1!A1540,"AAAAAH2//zo=")</f>
        <v>#VALUE!</v>
      </c>
      <c r="BH115" t="e">
        <f>AND(Sheet1!B1540,"AAAAAH2//zs=")</f>
        <v>#VALUE!</v>
      </c>
      <c r="BI115" t="e">
        <f>AND(Sheet1!C1540,"AAAAAH2//zw=")</f>
        <v>#VALUE!</v>
      </c>
      <c r="BJ115" t="e">
        <f>AND(Sheet1!D1540,"AAAAAH2//z0=")</f>
        <v>#VALUE!</v>
      </c>
      <c r="BK115" t="e">
        <f>AND(Sheet1!E1540,"AAAAAH2//z4=")</f>
        <v>#VALUE!</v>
      </c>
      <c r="BL115" t="e">
        <f>AND(Sheet1!F1540,"AAAAAH2//z8=")</f>
        <v>#VALUE!</v>
      </c>
      <c r="BM115" t="e">
        <f>AND(Sheet1!G1540,"AAAAAH2//0A=")</f>
        <v>#VALUE!</v>
      </c>
      <c r="BN115" t="e">
        <f>AND(Sheet1!H1540,"AAAAAH2//0E=")</f>
        <v>#VALUE!</v>
      </c>
      <c r="BO115" t="e">
        <f>AND(Sheet1!I1540,"AAAAAH2//0I=")</f>
        <v>#VALUE!</v>
      </c>
      <c r="BP115" t="e">
        <f>AND(Sheet1!J1540,"AAAAAH2//0M=")</f>
        <v>#VALUE!</v>
      </c>
      <c r="BQ115" t="e">
        <f>AND(Sheet1!K1540,"AAAAAH2//0Q=")</f>
        <v>#VALUE!</v>
      </c>
      <c r="BR115" t="e">
        <f>AND(Sheet1!L1540,"AAAAAH2//0U=")</f>
        <v>#VALUE!</v>
      </c>
      <c r="BS115" t="e">
        <f>AND(Sheet1!M1540,"AAAAAH2//0Y=")</f>
        <v>#VALUE!</v>
      </c>
      <c r="BT115" t="e">
        <f>AND(Sheet1!N1540,"AAAAAH2//0c=")</f>
        <v>#VALUE!</v>
      </c>
      <c r="BU115" t="e">
        <f>AND(Sheet1!#REF!,"AAAAAH2//0g=")</f>
        <v>#REF!</v>
      </c>
      <c r="BV115" t="e">
        <f>AND(Sheet1!#REF!,"AAAAAH2//0k=")</f>
        <v>#REF!</v>
      </c>
      <c r="BW115" t="e">
        <f>AND(Sheet1!#REF!,"AAAAAH2//0o=")</f>
        <v>#REF!</v>
      </c>
      <c r="BX115" t="e">
        <f>AND(Sheet1!#REF!,"AAAAAH2//0s=")</f>
        <v>#REF!</v>
      </c>
      <c r="BY115">
        <f>IF(Sheet1!1541:1541,"AAAAAH2//0w=",0)</f>
        <v>0</v>
      </c>
      <c r="BZ115" t="e">
        <f>AND(Sheet1!A1541,"AAAAAH2//00=")</f>
        <v>#VALUE!</v>
      </c>
      <c r="CA115" t="e">
        <f>AND(Sheet1!B1541,"AAAAAH2//04=")</f>
        <v>#VALUE!</v>
      </c>
      <c r="CB115" t="e">
        <f>AND(Sheet1!C1541,"AAAAAH2//08=")</f>
        <v>#VALUE!</v>
      </c>
      <c r="CC115" t="e">
        <f>AND(Sheet1!D1541,"AAAAAH2//1A=")</f>
        <v>#VALUE!</v>
      </c>
      <c r="CD115" t="e">
        <f>AND(Sheet1!E1541,"AAAAAH2//1E=")</f>
        <v>#VALUE!</v>
      </c>
      <c r="CE115" t="e">
        <f>AND(Sheet1!F1541,"AAAAAH2//1I=")</f>
        <v>#VALUE!</v>
      </c>
      <c r="CF115" t="e">
        <f>AND(Sheet1!G1541,"AAAAAH2//1M=")</f>
        <v>#VALUE!</v>
      </c>
      <c r="CG115" t="e">
        <f>AND(Sheet1!H1541,"AAAAAH2//1Q=")</f>
        <v>#VALUE!</v>
      </c>
      <c r="CH115" t="e">
        <f>AND(Sheet1!I1541,"AAAAAH2//1U=")</f>
        <v>#VALUE!</v>
      </c>
      <c r="CI115" t="e">
        <f>AND(Sheet1!J1541,"AAAAAH2//1Y=")</f>
        <v>#VALUE!</v>
      </c>
      <c r="CJ115" t="e">
        <f>AND(Sheet1!K1541,"AAAAAH2//1c=")</f>
        <v>#VALUE!</v>
      </c>
      <c r="CK115" t="e">
        <f>AND(Sheet1!L1541,"AAAAAH2//1g=")</f>
        <v>#VALUE!</v>
      </c>
      <c r="CL115" t="e">
        <f>AND(Sheet1!M1541,"AAAAAH2//1k=")</f>
        <v>#VALUE!</v>
      </c>
      <c r="CM115" t="e">
        <f>AND(Sheet1!N1541,"AAAAAH2//1o=")</f>
        <v>#VALUE!</v>
      </c>
      <c r="CN115" t="e">
        <f>AND(Sheet1!#REF!,"AAAAAH2//1s=")</f>
        <v>#REF!</v>
      </c>
      <c r="CO115" t="e">
        <f>AND(Sheet1!#REF!,"AAAAAH2//1w=")</f>
        <v>#REF!</v>
      </c>
      <c r="CP115" t="e">
        <f>AND(Sheet1!#REF!,"AAAAAH2//10=")</f>
        <v>#REF!</v>
      </c>
      <c r="CQ115" t="e">
        <f>AND(Sheet1!#REF!,"AAAAAH2//14=")</f>
        <v>#REF!</v>
      </c>
      <c r="CR115">
        <f>IF(Sheet1!1542:1542,"AAAAAH2//18=",0)</f>
        <v>0</v>
      </c>
      <c r="CS115" t="e">
        <f>AND(Sheet1!A1542,"AAAAAH2//2A=")</f>
        <v>#VALUE!</v>
      </c>
      <c r="CT115" t="e">
        <f>AND(Sheet1!B1542,"AAAAAH2//2E=")</f>
        <v>#VALUE!</v>
      </c>
      <c r="CU115" t="e">
        <f>AND(Sheet1!C1542,"AAAAAH2//2I=")</f>
        <v>#VALUE!</v>
      </c>
      <c r="CV115" t="e">
        <f>AND(Sheet1!D1542,"AAAAAH2//2M=")</f>
        <v>#VALUE!</v>
      </c>
      <c r="CW115" t="e">
        <f>AND(Sheet1!E1542,"AAAAAH2//2Q=")</f>
        <v>#VALUE!</v>
      </c>
      <c r="CX115" t="e">
        <f>AND(Sheet1!F1542,"AAAAAH2//2U=")</f>
        <v>#VALUE!</v>
      </c>
      <c r="CY115" t="e">
        <f>AND(Sheet1!G1542,"AAAAAH2//2Y=")</f>
        <v>#VALUE!</v>
      </c>
      <c r="CZ115" t="e">
        <f>AND(Sheet1!H1542,"AAAAAH2//2c=")</f>
        <v>#VALUE!</v>
      </c>
      <c r="DA115" t="e">
        <f>AND(Sheet1!I1542,"AAAAAH2//2g=")</f>
        <v>#VALUE!</v>
      </c>
      <c r="DB115" t="e">
        <f>AND(Sheet1!J1542,"AAAAAH2//2k=")</f>
        <v>#VALUE!</v>
      </c>
      <c r="DC115" t="e">
        <f>AND(Sheet1!K1542,"AAAAAH2//2o=")</f>
        <v>#VALUE!</v>
      </c>
      <c r="DD115" t="e">
        <f>AND(Sheet1!L1542,"AAAAAH2//2s=")</f>
        <v>#VALUE!</v>
      </c>
      <c r="DE115" t="e">
        <f>AND(Sheet1!M1542,"AAAAAH2//2w=")</f>
        <v>#VALUE!</v>
      </c>
      <c r="DF115" t="e">
        <f>AND(Sheet1!N1542,"AAAAAH2//20=")</f>
        <v>#VALUE!</v>
      </c>
      <c r="DG115" t="e">
        <f>AND(Sheet1!#REF!,"AAAAAH2//24=")</f>
        <v>#REF!</v>
      </c>
      <c r="DH115" t="e">
        <f>AND(Sheet1!#REF!,"AAAAAH2//28=")</f>
        <v>#REF!</v>
      </c>
      <c r="DI115" t="e">
        <f>AND(Sheet1!#REF!,"AAAAAH2//3A=")</f>
        <v>#REF!</v>
      </c>
      <c r="DJ115" t="e">
        <f>AND(Sheet1!#REF!,"AAAAAH2//3E=")</f>
        <v>#REF!</v>
      </c>
      <c r="DK115">
        <f>IF(Sheet1!1543:1543,"AAAAAH2//3I=",0)</f>
        <v>0</v>
      </c>
      <c r="DL115" t="e">
        <f>AND(Sheet1!A1543,"AAAAAH2//3M=")</f>
        <v>#VALUE!</v>
      </c>
      <c r="DM115" t="e">
        <f>AND(Sheet1!B1543,"AAAAAH2//3Q=")</f>
        <v>#VALUE!</v>
      </c>
      <c r="DN115" t="e">
        <f>AND(Sheet1!C1543,"AAAAAH2//3U=")</f>
        <v>#VALUE!</v>
      </c>
      <c r="DO115" t="e">
        <f>AND(Sheet1!D1543,"AAAAAH2//3Y=")</f>
        <v>#VALUE!</v>
      </c>
      <c r="DP115" t="e">
        <f>AND(Sheet1!E1543,"AAAAAH2//3c=")</f>
        <v>#VALUE!</v>
      </c>
      <c r="DQ115" t="e">
        <f>AND(Sheet1!F1543,"AAAAAH2//3g=")</f>
        <v>#VALUE!</v>
      </c>
      <c r="DR115" t="e">
        <f>AND(Sheet1!G1543,"AAAAAH2//3k=")</f>
        <v>#VALUE!</v>
      </c>
      <c r="DS115" t="e">
        <f>AND(Sheet1!H1543,"AAAAAH2//3o=")</f>
        <v>#VALUE!</v>
      </c>
      <c r="DT115" t="e">
        <f>AND(Sheet1!I1543,"AAAAAH2//3s=")</f>
        <v>#VALUE!</v>
      </c>
      <c r="DU115" t="e">
        <f>AND(Sheet1!J1543,"AAAAAH2//3w=")</f>
        <v>#VALUE!</v>
      </c>
      <c r="DV115" t="e">
        <f>AND(Sheet1!K1543,"AAAAAH2//30=")</f>
        <v>#VALUE!</v>
      </c>
      <c r="DW115" t="e">
        <f>AND(Sheet1!L1543,"AAAAAH2//34=")</f>
        <v>#VALUE!</v>
      </c>
      <c r="DX115" t="e">
        <f>AND(Sheet1!M1543,"AAAAAH2//38=")</f>
        <v>#VALUE!</v>
      </c>
      <c r="DY115" t="e">
        <f>AND(Sheet1!N1543,"AAAAAH2//4A=")</f>
        <v>#VALUE!</v>
      </c>
      <c r="DZ115" t="e">
        <f>AND(Sheet1!#REF!,"AAAAAH2//4E=")</f>
        <v>#REF!</v>
      </c>
      <c r="EA115" t="e">
        <f>AND(Sheet1!#REF!,"AAAAAH2//4I=")</f>
        <v>#REF!</v>
      </c>
      <c r="EB115" t="e">
        <f>AND(Sheet1!#REF!,"AAAAAH2//4M=")</f>
        <v>#REF!</v>
      </c>
      <c r="EC115" t="e">
        <f>AND(Sheet1!#REF!,"AAAAAH2//4Q=")</f>
        <v>#REF!</v>
      </c>
      <c r="ED115">
        <f>IF(Sheet1!1544:1544,"AAAAAH2//4U=",0)</f>
        <v>0</v>
      </c>
      <c r="EE115" t="e">
        <f>AND(Sheet1!A1544,"AAAAAH2//4Y=")</f>
        <v>#VALUE!</v>
      </c>
      <c r="EF115" t="e">
        <f>AND(Sheet1!B1544,"AAAAAH2//4c=")</f>
        <v>#VALUE!</v>
      </c>
      <c r="EG115" t="e">
        <f>AND(Sheet1!C1544,"AAAAAH2//4g=")</f>
        <v>#VALUE!</v>
      </c>
      <c r="EH115" t="e">
        <f>AND(Sheet1!D1544,"AAAAAH2//4k=")</f>
        <v>#VALUE!</v>
      </c>
      <c r="EI115" t="e">
        <f>AND(Sheet1!E1544,"AAAAAH2//4o=")</f>
        <v>#VALUE!</v>
      </c>
      <c r="EJ115" t="e">
        <f>AND(Sheet1!F1544,"AAAAAH2//4s=")</f>
        <v>#VALUE!</v>
      </c>
      <c r="EK115" t="e">
        <f>AND(Sheet1!G1544,"AAAAAH2//4w=")</f>
        <v>#VALUE!</v>
      </c>
      <c r="EL115" t="e">
        <f>AND(Sheet1!H1544,"AAAAAH2//40=")</f>
        <v>#VALUE!</v>
      </c>
      <c r="EM115" t="e">
        <f>AND(Sheet1!I1544,"AAAAAH2//44=")</f>
        <v>#VALUE!</v>
      </c>
      <c r="EN115" t="e">
        <f>AND(Sheet1!J1544,"AAAAAH2//48=")</f>
        <v>#VALUE!</v>
      </c>
      <c r="EO115" t="e">
        <f>AND(Sheet1!K1544,"AAAAAH2//5A=")</f>
        <v>#VALUE!</v>
      </c>
      <c r="EP115" t="e">
        <f>AND(Sheet1!L1544,"AAAAAH2//5E=")</f>
        <v>#VALUE!</v>
      </c>
      <c r="EQ115" t="e">
        <f>AND(Sheet1!M1544,"AAAAAH2//5I=")</f>
        <v>#VALUE!</v>
      </c>
      <c r="ER115" t="e">
        <f>AND(Sheet1!N1544,"AAAAAH2//5M=")</f>
        <v>#VALUE!</v>
      </c>
      <c r="ES115" t="e">
        <f>AND(Sheet1!#REF!,"AAAAAH2//5Q=")</f>
        <v>#REF!</v>
      </c>
      <c r="ET115" t="e">
        <f>AND(Sheet1!#REF!,"AAAAAH2//5U=")</f>
        <v>#REF!</v>
      </c>
      <c r="EU115" t="e">
        <f>AND(Sheet1!#REF!,"AAAAAH2//5Y=")</f>
        <v>#REF!</v>
      </c>
      <c r="EV115" t="e">
        <f>AND(Sheet1!#REF!,"AAAAAH2//5c=")</f>
        <v>#REF!</v>
      </c>
      <c r="EW115">
        <f>IF(Sheet1!1545:1545,"AAAAAH2//5g=",0)</f>
        <v>0</v>
      </c>
      <c r="EX115" t="e">
        <f>AND(Sheet1!A1545,"AAAAAH2//5k=")</f>
        <v>#VALUE!</v>
      </c>
      <c r="EY115" t="e">
        <f>AND(Sheet1!B1545,"AAAAAH2//5o=")</f>
        <v>#VALUE!</v>
      </c>
      <c r="EZ115" t="e">
        <f>AND(Sheet1!C1545,"AAAAAH2//5s=")</f>
        <v>#VALUE!</v>
      </c>
      <c r="FA115" t="e">
        <f>AND(Sheet1!D1545,"AAAAAH2//5w=")</f>
        <v>#VALUE!</v>
      </c>
      <c r="FB115" t="e">
        <f>AND(Sheet1!E1545,"AAAAAH2//50=")</f>
        <v>#VALUE!</v>
      </c>
      <c r="FC115" t="e">
        <f>AND(Sheet1!F1545,"AAAAAH2//54=")</f>
        <v>#VALUE!</v>
      </c>
      <c r="FD115" t="e">
        <f>AND(Sheet1!G1545,"AAAAAH2//58=")</f>
        <v>#VALUE!</v>
      </c>
      <c r="FE115" t="e">
        <f>AND(Sheet1!H1545,"AAAAAH2//6A=")</f>
        <v>#VALUE!</v>
      </c>
      <c r="FF115" t="e">
        <f>AND(Sheet1!I1545,"AAAAAH2//6E=")</f>
        <v>#VALUE!</v>
      </c>
      <c r="FG115" t="e">
        <f>AND(Sheet1!J1545,"AAAAAH2//6I=")</f>
        <v>#VALUE!</v>
      </c>
      <c r="FH115" t="e">
        <f>AND(Sheet1!K1545,"AAAAAH2//6M=")</f>
        <v>#VALUE!</v>
      </c>
      <c r="FI115" t="e">
        <f>AND(Sheet1!L1545,"AAAAAH2//6Q=")</f>
        <v>#VALUE!</v>
      </c>
      <c r="FJ115" t="e">
        <f>AND(Sheet1!M1545,"AAAAAH2//6U=")</f>
        <v>#VALUE!</v>
      </c>
      <c r="FK115" t="e">
        <f>AND(Sheet1!N1545,"AAAAAH2//6Y=")</f>
        <v>#VALUE!</v>
      </c>
      <c r="FL115" t="e">
        <f>AND(Sheet1!#REF!,"AAAAAH2//6c=")</f>
        <v>#REF!</v>
      </c>
      <c r="FM115" t="e">
        <f>AND(Sheet1!#REF!,"AAAAAH2//6g=")</f>
        <v>#REF!</v>
      </c>
      <c r="FN115" t="e">
        <f>AND(Sheet1!#REF!,"AAAAAH2//6k=")</f>
        <v>#REF!</v>
      </c>
      <c r="FO115" t="e">
        <f>AND(Sheet1!#REF!,"AAAAAH2//6o=")</f>
        <v>#REF!</v>
      </c>
      <c r="FP115">
        <f>IF(Sheet1!1546:1546,"AAAAAH2//6s=",0)</f>
        <v>0</v>
      </c>
      <c r="FQ115" t="e">
        <f>AND(Sheet1!A1546,"AAAAAH2//6w=")</f>
        <v>#VALUE!</v>
      </c>
      <c r="FR115" t="e">
        <f>AND(Sheet1!B1546,"AAAAAH2//60=")</f>
        <v>#VALUE!</v>
      </c>
      <c r="FS115" t="e">
        <f>AND(Sheet1!C1546,"AAAAAH2//64=")</f>
        <v>#VALUE!</v>
      </c>
      <c r="FT115" t="e">
        <f>AND(Sheet1!D1546,"AAAAAH2//68=")</f>
        <v>#VALUE!</v>
      </c>
      <c r="FU115" t="e">
        <f>AND(Sheet1!E1546,"AAAAAH2//7A=")</f>
        <v>#VALUE!</v>
      </c>
      <c r="FV115" t="e">
        <f>AND(Sheet1!F1546,"AAAAAH2//7E=")</f>
        <v>#VALUE!</v>
      </c>
      <c r="FW115" t="e">
        <f>AND(Sheet1!G1546,"AAAAAH2//7I=")</f>
        <v>#VALUE!</v>
      </c>
      <c r="FX115" t="e">
        <f>AND(Sheet1!H1546,"AAAAAH2//7M=")</f>
        <v>#VALUE!</v>
      </c>
      <c r="FY115" t="e">
        <f>AND(Sheet1!I1546,"AAAAAH2//7Q=")</f>
        <v>#VALUE!</v>
      </c>
      <c r="FZ115" t="e">
        <f>AND(Sheet1!J1546,"AAAAAH2//7U=")</f>
        <v>#VALUE!</v>
      </c>
      <c r="GA115" t="e">
        <f>AND(Sheet1!K1546,"AAAAAH2//7Y=")</f>
        <v>#VALUE!</v>
      </c>
      <c r="GB115" t="e">
        <f>AND(Sheet1!L1546,"AAAAAH2//7c=")</f>
        <v>#VALUE!</v>
      </c>
      <c r="GC115" t="e">
        <f>AND(Sheet1!M1546,"AAAAAH2//7g=")</f>
        <v>#VALUE!</v>
      </c>
      <c r="GD115" t="e">
        <f>AND(Sheet1!N1546,"AAAAAH2//7k=")</f>
        <v>#VALUE!</v>
      </c>
      <c r="GE115" t="e">
        <f>AND(Sheet1!#REF!,"AAAAAH2//7o=")</f>
        <v>#REF!</v>
      </c>
      <c r="GF115" t="e">
        <f>AND(Sheet1!#REF!,"AAAAAH2//7s=")</f>
        <v>#REF!</v>
      </c>
      <c r="GG115" t="e">
        <f>AND(Sheet1!#REF!,"AAAAAH2//7w=")</f>
        <v>#REF!</v>
      </c>
      <c r="GH115" t="e">
        <f>AND(Sheet1!#REF!,"AAAAAH2//70=")</f>
        <v>#REF!</v>
      </c>
      <c r="GI115">
        <f>IF(Sheet1!1547:1547,"AAAAAH2//74=",0)</f>
        <v>0</v>
      </c>
      <c r="GJ115" t="e">
        <f>AND(Sheet1!A1547,"AAAAAH2//78=")</f>
        <v>#VALUE!</v>
      </c>
      <c r="GK115" t="e">
        <f>AND(Sheet1!B1547,"AAAAAH2//8A=")</f>
        <v>#VALUE!</v>
      </c>
      <c r="GL115" t="e">
        <f>AND(Sheet1!C1547,"AAAAAH2//8E=")</f>
        <v>#VALUE!</v>
      </c>
      <c r="GM115" t="e">
        <f>AND(Sheet1!D1547,"AAAAAH2//8I=")</f>
        <v>#VALUE!</v>
      </c>
      <c r="GN115" t="e">
        <f>AND(Sheet1!E1547,"AAAAAH2//8M=")</f>
        <v>#VALUE!</v>
      </c>
      <c r="GO115" t="e">
        <f>AND(Sheet1!F1547,"AAAAAH2//8Q=")</f>
        <v>#VALUE!</v>
      </c>
      <c r="GP115" t="e">
        <f>AND(Sheet1!G1547,"AAAAAH2//8U=")</f>
        <v>#VALUE!</v>
      </c>
      <c r="GQ115" t="e">
        <f>AND(Sheet1!H1547,"AAAAAH2//8Y=")</f>
        <v>#VALUE!</v>
      </c>
      <c r="GR115" t="e">
        <f>AND(Sheet1!I1547,"AAAAAH2//8c=")</f>
        <v>#VALUE!</v>
      </c>
      <c r="GS115" t="e">
        <f>AND(Sheet1!J1547,"AAAAAH2//8g=")</f>
        <v>#VALUE!</v>
      </c>
      <c r="GT115" t="e">
        <f>AND(Sheet1!K1547,"AAAAAH2//8k=")</f>
        <v>#VALUE!</v>
      </c>
      <c r="GU115" t="e">
        <f>AND(Sheet1!L1547,"AAAAAH2//8o=")</f>
        <v>#VALUE!</v>
      </c>
      <c r="GV115" t="e">
        <f>AND(Sheet1!M1547,"AAAAAH2//8s=")</f>
        <v>#VALUE!</v>
      </c>
      <c r="GW115" t="e">
        <f>AND(Sheet1!N1547,"AAAAAH2//8w=")</f>
        <v>#VALUE!</v>
      </c>
      <c r="GX115" t="e">
        <f>AND(Sheet1!#REF!,"AAAAAH2//80=")</f>
        <v>#REF!</v>
      </c>
      <c r="GY115" t="e">
        <f>AND(Sheet1!#REF!,"AAAAAH2//84=")</f>
        <v>#REF!</v>
      </c>
      <c r="GZ115" t="e">
        <f>AND(Sheet1!#REF!,"AAAAAH2//88=")</f>
        <v>#REF!</v>
      </c>
      <c r="HA115" t="e">
        <f>AND(Sheet1!#REF!,"AAAAAH2//9A=")</f>
        <v>#REF!</v>
      </c>
      <c r="HB115">
        <f>IF(Sheet1!1548:1548,"AAAAAH2//9E=",0)</f>
        <v>0</v>
      </c>
      <c r="HC115" t="e">
        <f>AND(Sheet1!A1548,"AAAAAH2//9I=")</f>
        <v>#VALUE!</v>
      </c>
      <c r="HD115" t="e">
        <f>AND(Sheet1!B1548,"AAAAAH2//9M=")</f>
        <v>#VALUE!</v>
      </c>
      <c r="HE115" t="e">
        <f>AND(Sheet1!C1548,"AAAAAH2//9Q=")</f>
        <v>#VALUE!</v>
      </c>
      <c r="HF115" t="e">
        <f>AND(Sheet1!D1548,"AAAAAH2//9U=")</f>
        <v>#VALUE!</v>
      </c>
      <c r="HG115" t="e">
        <f>AND(Sheet1!E1548,"AAAAAH2//9Y=")</f>
        <v>#VALUE!</v>
      </c>
      <c r="HH115" t="e">
        <f>AND(Sheet1!F1548,"AAAAAH2//9c=")</f>
        <v>#VALUE!</v>
      </c>
      <c r="HI115" t="e">
        <f>AND(Sheet1!G1548,"AAAAAH2//9g=")</f>
        <v>#VALUE!</v>
      </c>
      <c r="HJ115" t="e">
        <f>AND(Sheet1!H1548,"AAAAAH2//9k=")</f>
        <v>#VALUE!</v>
      </c>
      <c r="HK115" t="e">
        <f>AND(Sheet1!I1548,"AAAAAH2//9o=")</f>
        <v>#VALUE!</v>
      </c>
      <c r="HL115" t="e">
        <f>AND(Sheet1!J1548,"AAAAAH2//9s=")</f>
        <v>#VALUE!</v>
      </c>
      <c r="HM115" t="e">
        <f>AND(Sheet1!K1548,"AAAAAH2//9w=")</f>
        <v>#VALUE!</v>
      </c>
      <c r="HN115" t="e">
        <f>AND(Sheet1!L1548,"AAAAAH2//90=")</f>
        <v>#VALUE!</v>
      </c>
      <c r="HO115" t="e">
        <f>AND(Sheet1!M1548,"AAAAAH2//94=")</f>
        <v>#VALUE!</v>
      </c>
      <c r="HP115" t="e">
        <f>AND(Sheet1!N1548,"AAAAAH2//98=")</f>
        <v>#VALUE!</v>
      </c>
      <c r="HQ115" t="e">
        <f>AND(Sheet1!#REF!,"AAAAAH2//+A=")</f>
        <v>#REF!</v>
      </c>
      <c r="HR115" t="e">
        <f>AND(Sheet1!#REF!,"AAAAAH2//+E=")</f>
        <v>#REF!</v>
      </c>
      <c r="HS115" t="e">
        <f>AND(Sheet1!#REF!,"AAAAAH2//+I=")</f>
        <v>#REF!</v>
      </c>
      <c r="HT115" t="e">
        <f>AND(Sheet1!#REF!,"AAAAAH2//+M=")</f>
        <v>#REF!</v>
      </c>
      <c r="HU115">
        <f>IF(Sheet1!1549:1549,"AAAAAH2//+Q=",0)</f>
        <v>0</v>
      </c>
      <c r="HV115" t="e">
        <f>AND(Sheet1!A1549,"AAAAAH2//+U=")</f>
        <v>#VALUE!</v>
      </c>
      <c r="HW115" t="e">
        <f>AND(Sheet1!B1549,"AAAAAH2//+Y=")</f>
        <v>#VALUE!</v>
      </c>
      <c r="HX115" t="e">
        <f>AND(Sheet1!C1549,"AAAAAH2//+c=")</f>
        <v>#VALUE!</v>
      </c>
      <c r="HY115" t="e">
        <f>AND(Sheet1!D1549,"AAAAAH2//+g=")</f>
        <v>#VALUE!</v>
      </c>
      <c r="HZ115" t="e">
        <f>AND(Sheet1!E1549,"AAAAAH2//+k=")</f>
        <v>#VALUE!</v>
      </c>
      <c r="IA115" t="e">
        <f>AND(Sheet1!F1549,"AAAAAH2//+o=")</f>
        <v>#VALUE!</v>
      </c>
      <c r="IB115" t="e">
        <f>AND(Sheet1!G1549,"AAAAAH2//+s=")</f>
        <v>#VALUE!</v>
      </c>
      <c r="IC115" t="e">
        <f>AND(Sheet1!H1549,"AAAAAH2//+w=")</f>
        <v>#VALUE!</v>
      </c>
      <c r="ID115" t="e">
        <f>AND(Sheet1!I1549,"AAAAAH2//+0=")</f>
        <v>#VALUE!</v>
      </c>
      <c r="IE115" t="e">
        <f>AND(Sheet1!J1549,"AAAAAH2//+4=")</f>
        <v>#VALUE!</v>
      </c>
      <c r="IF115" t="e">
        <f>AND(Sheet1!K1549,"AAAAAH2//+8=")</f>
        <v>#VALUE!</v>
      </c>
      <c r="IG115" t="e">
        <f>AND(Sheet1!L1549,"AAAAAH2///A=")</f>
        <v>#VALUE!</v>
      </c>
      <c r="IH115" t="e">
        <f>AND(Sheet1!M1549,"AAAAAH2///E=")</f>
        <v>#VALUE!</v>
      </c>
      <c r="II115" t="e">
        <f>AND(Sheet1!N1549,"AAAAAH2///I=")</f>
        <v>#VALUE!</v>
      </c>
      <c r="IJ115" t="e">
        <f>AND(Sheet1!#REF!,"AAAAAH2///M=")</f>
        <v>#REF!</v>
      </c>
      <c r="IK115" t="e">
        <f>AND(Sheet1!#REF!,"AAAAAH2///Q=")</f>
        <v>#REF!</v>
      </c>
      <c r="IL115" t="e">
        <f>AND(Sheet1!#REF!,"AAAAAH2///U=")</f>
        <v>#REF!</v>
      </c>
      <c r="IM115" t="e">
        <f>AND(Sheet1!#REF!,"AAAAAH2///Y=")</f>
        <v>#REF!</v>
      </c>
      <c r="IN115">
        <f>IF(Sheet1!1550:1550,"AAAAAH2///c=",0)</f>
        <v>0</v>
      </c>
      <c r="IO115" t="e">
        <f>AND(Sheet1!A1550,"AAAAAH2///g=")</f>
        <v>#VALUE!</v>
      </c>
      <c r="IP115" t="e">
        <f>AND(Sheet1!B1550,"AAAAAH2///k=")</f>
        <v>#VALUE!</v>
      </c>
      <c r="IQ115" t="e">
        <f>AND(Sheet1!C1550,"AAAAAH2///o=")</f>
        <v>#VALUE!</v>
      </c>
      <c r="IR115" t="e">
        <f>AND(Sheet1!D1550,"AAAAAH2///s=")</f>
        <v>#VALUE!</v>
      </c>
      <c r="IS115" t="e">
        <f>AND(Sheet1!E1550,"AAAAAH2///w=")</f>
        <v>#VALUE!</v>
      </c>
      <c r="IT115" t="e">
        <f>AND(Sheet1!F1550,"AAAAAH2///0=")</f>
        <v>#VALUE!</v>
      </c>
      <c r="IU115" t="e">
        <f>AND(Sheet1!G1550,"AAAAAH2///4=")</f>
        <v>#VALUE!</v>
      </c>
      <c r="IV115" t="e">
        <f>AND(Sheet1!H1550,"AAAAAH2///8=")</f>
        <v>#VALUE!</v>
      </c>
    </row>
    <row r="116" spans="1:256" x14ac:dyDescent="0.2">
      <c r="A116" t="e">
        <f>AND(Sheet1!I1550,"AAAAABP/tQA=")</f>
        <v>#VALUE!</v>
      </c>
      <c r="B116" t="e">
        <f>AND(Sheet1!J1550,"AAAAABP/tQE=")</f>
        <v>#VALUE!</v>
      </c>
      <c r="C116" t="e">
        <f>AND(Sheet1!K1550,"AAAAABP/tQI=")</f>
        <v>#VALUE!</v>
      </c>
      <c r="D116" t="e">
        <f>AND(Sheet1!L1550,"AAAAABP/tQM=")</f>
        <v>#VALUE!</v>
      </c>
      <c r="E116" t="e">
        <f>AND(Sheet1!M1550,"AAAAABP/tQQ=")</f>
        <v>#VALUE!</v>
      </c>
      <c r="F116" t="e">
        <f>AND(Sheet1!N1550,"AAAAABP/tQU=")</f>
        <v>#VALUE!</v>
      </c>
      <c r="G116" t="e">
        <f>AND(Sheet1!#REF!,"AAAAABP/tQY=")</f>
        <v>#REF!</v>
      </c>
      <c r="H116" t="e">
        <f>AND(Sheet1!#REF!,"AAAAABP/tQc=")</f>
        <v>#REF!</v>
      </c>
      <c r="I116" t="e">
        <f>AND(Sheet1!#REF!,"AAAAABP/tQg=")</f>
        <v>#REF!</v>
      </c>
      <c r="J116" t="e">
        <f>AND(Sheet1!#REF!,"AAAAABP/tQk=")</f>
        <v>#REF!</v>
      </c>
      <c r="K116" t="e">
        <f>IF(Sheet1!1551:1551,"AAAAABP/tQo=",0)</f>
        <v>#VALUE!</v>
      </c>
      <c r="L116" t="e">
        <f>AND(Sheet1!A1551,"AAAAABP/tQs=")</f>
        <v>#VALUE!</v>
      </c>
      <c r="M116" t="e">
        <f>AND(Sheet1!B1551,"AAAAABP/tQw=")</f>
        <v>#VALUE!</v>
      </c>
      <c r="N116" t="e">
        <f>AND(Sheet1!C1551,"AAAAABP/tQ0=")</f>
        <v>#VALUE!</v>
      </c>
      <c r="O116" t="e">
        <f>AND(Sheet1!D1551,"AAAAABP/tQ4=")</f>
        <v>#VALUE!</v>
      </c>
      <c r="P116" t="e">
        <f>AND(Sheet1!E1551,"AAAAABP/tQ8=")</f>
        <v>#VALUE!</v>
      </c>
      <c r="Q116" t="e">
        <f>AND(Sheet1!F1551,"AAAAABP/tRA=")</f>
        <v>#VALUE!</v>
      </c>
      <c r="R116" t="e">
        <f>AND(Sheet1!G1551,"AAAAABP/tRE=")</f>
        <v>#VALUE!</v>
      </c>
      <c r="S116" t="e">
        <f>AND(Sheet1!H1551,"AAAAABP/tRI=")</f>
        <v>#VALUE!</v>
      </c>
      <c r="T116" t="e">
        <f>AND(Sheet1!I1551,"AAAAABP/tRM=")</f>
        <v>#VALUE!</v>
      </c>
      <c r="U116" t="e">
        <f>AND(Sheet1!J1551,"AAAAABP/tRQ=")</f>
        <v>#VALUE!</v>
      </c>
      <c r="V116" t="e">
        <f>AND(Sheet1!K1551,"AAAAABP/tRU=")</f>
        <v>#VALUE!</v>
      </c>
      <c r="W116" t="e">
        <f>AND(Sheet1!L1551,"AAAAABP/tRY=")</f>
        <v>#VALUE!</v>
      </c>
      <c r="X116" t="e">
        <f>AND(Sheet1!M1551,"AAAAABP/tRc=")</f>
        <v>#VALUE!</v>
      </c>
      <c r="Y116" t="e">
        <f>AND(Sheet1!N1551,"AAAAABP/tRg=")</f>
        <v>#VALUE!</v>
      </c>
      <c r="Z116" t="e">
        <f>AND(Sheet1!#REF!,"AAAAABP/tRk=")</f>
        <v>#REF!</v>
      </c>
      <c r="AA116" t="e">
        <f>AND(Sheet1!#REF!,"AAAAABP/tRo=")</f>
        <v>#REF!</v>
      </c>
      <c r="AB116" t="e">
        <f>AND(Sheet1!#REF!,"AAAAABP/tRs=")</f>
        <v>#REF!</v>
      </c>
      <c r="AC116" t="e">
        <f>AND(Sheet1!#REF!,"AAAAABP/tRw=")</f>
        <v>#REF!</v>
      </c>
      <c r="AD116">
        <f>IF(Sheet1!1552:1552,"AAAAABP/tR0=",0)</f>
        <v>0</v>
      </c>
      <c r="AE116" t="e">
        <f>AND(Sheet1!A1552,"AAAAABP/tR4=")</f>
        <v>#VALUE!</v>
      </c>
      <c r="AF116" t="e">
        <f>AND(Sheet1!B1552,"AAAAABP/tR8=")</f>
        <v>#VALUE!</v>
      </c>
      <c r="AG116" t="e">
        <f>AND(Sheet1!C1552,"AAAAABP/tSA=")</f>
        <v>#VALUE!</v>
      </c>
      <c r="AH116" t="e">
        <f>AND(Sheet1!D1552,"AAAAABP/tSE=")</f>
        <v>#VALUE!</v>
      </c>
      <c r="AI116" t="e">
        <f>AND(Sheet1!E1552,"AAAAABP/tSI=")</f>
        <v>#VALUE!</v>
      </c>
      <c r="AJ116" t="e">
        <f>AND(Sheet1!F1552,"AAAAABP/tSM=")</f>
        <v>#VALUE!</v>
      </c>
      <c r="AK116" t="e">
        <f>AND(Sheet1!G1552,"AAAAABP/tSQ=")</f>
        <v>#VALUE!</v>
      </c>
      <c r="AL116" t="e">
        <f>AND(Sheet1!H1552,"AAAAABP/tSU=")</f>
        <v>#VALUE!</v>
      </c>
      <c r="AM116" t="e">
        <f>AND(Sheet1!I1552,"AAAAABP/tSY=")</f>
        <v>#VALUE!</v>
      </c>
      <c r="AN116" t="e">
        <f>AND(Sheet1!J1552,"AAAAABP/tSc=")</f>
        <v>#VALUE!</v>
      </c>
      <c r="AO116" t="e">
        <f>AND(Sheet1!K1552,"AAAAABP/tSg=")</f>
        <v>#VALUE!</v>
      </c>
      <c r="AP116" t="e">
        <f>AND(Sheet1!L1552,"AAAAABP/tSk=")</f>
        <v>#VALUE!</v>
      </c>
      <c r="AQ116" t="e">
        <f>AND(Sheet1!M1552,"AAAAABP/tSo=")</f>
        <v>#VALUE!</v>
      </c>
      <c r="AR116" t="e">
        <f>AND(Sheet1!N1552,"AAAAABP/tSs=")</f>
        <v>#VALUE!</v>
      </c>
      <c r="AS116" t="e">
        <f>AND(Sheet1!#REF!,"AAAAABP/tSw=")</f>
        <v>#REF!</v>
      </c>
      <c r="AT116" t="e">
        <f>AND(Sheet1!#REF!,"AAAAABP/tS0=")</f>
        <v>#REF!</v>
      </c>
      <c r="AU116" t="e">
        <f>AND(Sheet1!#REF!,"AAAAABP/tS4=")</f>
        <v>#REF!</v>
      </c>
      <c r="AV116" t="e">
        <f>AND(Sheet1!#REF!,"AAAAABP/tS8=")</f>
        <v>#REF!</v>
      </c>
      <c r="AW116">
        <f>IF(Sheet1!1553:1553,"AAAAABP/tTA=",0)</f>
        <v>0</v>
      </c>
      <c r="AX116" t="e">
        <f>AND(Sheet1!A1553,"AAAAABP/tTE=")</f>
        <v>#VALUE!</v>
      </c>
      <c r="AY116" t="e">
        <f>AND(Sheet1!B1553,"AAAAABP/tTI=")</f>
        <v>#VALUE!</v>
      </c>
      <c r="AZ116" t="e">
        <f>AND(Sheet1!C1553,"AAAAABP/tTM=")</f>
        <v>#VALUE!</v>
      </c>
      <c r="BA116" t="e">
        <f>AND(Sheet1!D1553,"AAAAABP/tTQ=")</f>
        <v>#VALUE!</v>
      </c>
      <c r="BB116" t="e">
        <f>AND(Sheet1!E1553,"AAAAABP/tTU=")</f>
        <v>#VALUE!</v>
      </c>
      <c r="BC116" t="e">
        <f>AND(Sheet1!F1553,"AAAAABP/tTY=")</f>
        <v>#VALUE!</v>
      </c>
      <c r="BD116" t="e">
        <f>AND(Sheet1!G1553,"AAAAABP/tTc=")</f>
        <v>#VALUE!</v>
      </c>
      <c r="BE116" t="e">
        <f>AND(Sheet1!H1553,"AAAAABP/tTg=")</f>
        <v>#VALUE!</v>
      </c>
      <c r="BF116" t="e">
        <f>AND(Sheet1!I1553,"AAAAABP/tTk=")</f>
        <v>#VALUE!</v>
      </c>
      <c r="BG116" t="e">
        <f>AND(Sheet1!J1553,"AAAAABP/tTo=")</f>
        <v>#VALUE!</v>
      </c>
      <c r="BH116" t="e">
        <f>AND(Sheet1!K1553,"AAAAABP/tTs=")</f>
        <v>#VALUE!</v>
      </c>
      <c r="BI116" t="e">
        <f>AND(Sheet1!L1553,"AAAAABP/tTw=")</f>
        <v>#VALUE!</v>
      </c>
      <c r="BJ116" t="e">
        <f>AND(Sheet1!M1553,"AAAAABP/tT0=")</f>
        <v>#VALUE!</v>
      </c>
      <c r="BK116" t="e">
        <f>AND(Sheet1!N1553,"AAAAABP/tT4=")</f>
        <v>#VALUE!</v>
      </c>
      <c r="BL116" t="e">
        <f>AND(Sheet1!#REF!,"AAAAABP/tT8=")</f>
        <v>#REF!</v>
      </c>
      <c r="BM116" t="e">
        <f>AND(Sheet1!#REF!,"AAAAABP/tUA=")</f>
        <v>#REF!</v>
      </c>
      <c r="BN116" t="e">
        <f>AND(Sheet1!#REF!,"AAAAABP/tUE=")</f>
        <v>#REF!</v>
      </c>
      <c r="BO116" t="e">
        <f>AND(Sheet1!#REF!,"AAAAABP/tUI=")</f>
        <v>#REF!</v>
      </c>
      <c r="BP116">
        <f>IF(Sheet1!1554:1554,"AAAAABP/tUM=",0)</f>
        <v>0</v>
      </c>
      <c r="BQ116" t="e">
        <f>AND(Sheet1!A1554,"AAAAABP/tUQ=")</f>
        <v>#VALUE!</v>
      </c>
      <c r="BR116" t="e">
        <f>AND(Sheet1!B1554,"AAAAABP/tUU=")</f>
        <v>#VALUE!</v>
      </c>
      <c r="BS116" t="e">
        <f>AND(Sheet1!C1554,"AAAAABP/tUY=")</f>
        <v>#VALUE!</v>
      </c>
      <c r="BT116" t="e">
        <f>AND(Sheet1!D1554,"AAAAABP/tUc=")</f>
        <v>#VALUE!</v>
      </c>
      <c r="BU116" t="e">
        <f>AND(Sheet1!E1554,"AAAAABP/tUg=")</f>
        <v>#VALUE!</v>
      </c>
      <c r="BV116" t="e">
        <f>AND(Sheet1!F1554,"AAAAABP/tUk=")</f>
        <v>#VALUE!</v>
      </c>
      <c r="BW116" t="e">
        <f>AND(Sheet1!G1554,"AAAAABP/tUo=")</f>
        <v>#VALUE!</v>
      </c>
      <c r="BX116" t="e">
        <f>AND(Sheet1!H1554,"AAAAABP/tUs=")</f>
        <v>#VALUE!</v>
      </c>
      <c r="BY116" t="e">
        <f>AND(Sheet1!I1554,"AAAAABP/tUw=")</f>
        <v>#VALUE!</v>
      </c>
      <c r="BZ116" t="e">
        <f>AND(Sheet1!J1554,"AAAAABP/tU0=")</f>
        <v>#VALUE!</v>
      </c>
      <c r="CA116" t="e">
        <f>AND(Sheet1!K1554,"AAAAABP/tU4=")</f>
        <v>#VALUE!</v>
      </c>
      <c r="CB116" t="e">
        <f>AND(Sheet1!L1554,"AAAAABP/tU8=")</f>
        <v>#VALUE!</v>
      </c>
      <c r="CC116" t="e">
        <f>AND(Sheet1!M1554,"AAAAABP/tVA=")</f>
        <v>#VALUE!</v>
      </c>
      <c r="CD116" t="e">
        <f>AND(Sheet1!N1554,"AAAAABP/tVE=")</f>
        <v>#VALUE!</v>
      </c>
      <c r="CE116" t="e">
        <f>AND(Sheet1!#REF!,"AAAAABP/tVI=")</f>
        <v>#REF!</v>
      </c>
      <c r="CF116" t="e">
        <f>AND(Sheet1!#REF!,"AAAAABP/tVM=")</f>
        <v>#REF!</v>
      </c>
      <c r="CG116" t="e">
        <f>AND(Sheet1!#REF!,"AAAAABP/tVQ=")</f>
        <v>#REF!</v>
      </c>
      <c r="CH116" t="e">
        <f>AND(Sheet1!#REF!,"AAAAABP/tVU=")</f>
        <v>#REF!</v>
      </c>
      <c r="CI116">
        <f>IF(Sheet1!1555:1555,"AAAAABP/tVY=",0)</f>
        <v>0</v>
      </c>
      <c r="CJ116" t="e">
        <f>AND(Sheet1!A1555,"AAAAABP/tVc=")</f>
        <v>#VALUE!</v>
      </c>
      <c r="CK116" t="e">
        <f>AND(Sheet1!B1555,"AAAAABP/tVg=")</f>
        <v>#VALUE!</v>
      </c>
      <c r="CL116" t="e">
        <f>AND(Sheet1!C1555,"AAAAABP/tVk=")</f>
        <v>#VALUE!</v>
      </c>
      <c r="CM116" t="e">
        <f>AND(Sheet1!D1555,"AAAAABP/tVo=")</f>
        <v>#VALUE!</v>
      </c>
      <c r="CN116" t="e">
        <f>AND(Sheet1!E1555,"AAAAABP/tVs=")</f>
        <v>#VALUE!</v>
      </c>
      <c r="CO116" t="e">
        <f>AND(Sheet1!F1555,"AAAAABP/tVw=")</f>
        <v>#VALUE!</v>
      </c>
      <c r="CP116" t="e">
        <f>AND(Sheet1!G1555,"AAAAABP/tV0=")</f>
        <v>#VALUE!</v>
      </c>
      <c r="CQ116" t="e">
        <f>AND(Sheet1!H1555,"AAAAABP/tV4=")</f>
        <v>#VALUE!</v>
      </c>
      <c r="CR116" t="e">
        <f>AND(Sheet1!I1555,"AAAAABP/tV8=")</f>
        <v>#VALUE!</v>
      </c>
      <c r="CS116" t="e">
        <f>AND(Sheet1!J1555,"AAAAABP/tWA=")</f>
        <v>#VALUE!</v>
      </c>
      <c r="CT116" t="e">
        <f>AND(Sheet1!K1555,"AAAAABP/tWE=")</f>
        <v>#VALUE!</v>
      </c>
      <c r="CU116" t="e">
        <f>AND(Sheet1!L1555,"AAAAABP/tWI=")</f>
        <v>#VALUE!</v>
      </c>
      <c r="CV116" t="e">
        <f>AND(Sheet1!M1555,"AAAAABP/tWM=")</f>
        <v>#VALUE!</v>
      </c>
      <c r="CW116" t="e">
        <f>AND(Sheet1!N1555,"AAAAABP/tWQ=")</f>
        <v>#VALUE!</v>
      </c>
      <c r="CX116" t="e">
        <f>AND(Sheet1!#REF!,"AAAAABP/tWU=")</f>
        <v>#REF!</v>
      </c>
      <c r="CY116" t="e">
        <f>AND(Sheet1!#REF!,"AAAAABP/tWY=")</f>
        <v>#REF!</v>
      </c>
      <c r="CZ116" t="e">
        <f>AND(Sheet1!#REF!,"AAAAABP/tWc=")</f>
        <v>#REF!</v>
      </c>
      <c r="DA116" t="e">
        <f>AND(Sheet1!#REF!,"AAAAABP/tWg=")</f>
        <v>#REF!</v>
      </c>
      <c r="DB116">
        <f>IF(Sheet1!1556:1556,"AAAAABP/tWk=",0)</f>
        <v>0</v>
      </c>
      <c r="DC116" t="e">
        <f>AND(Sheet1!A1556,"AAAAABP/tWo=")</f>
        <v>#VALUE!</v>
      </c>
      <c r="DD116" t="e">
        <f>AND(Sheet1!B1556,"AAAAABP/tWs=")</f>
        <v>#VALUE!</v>
      </c>
      <c r="DE116" t="e">
        <f>AND(Sheet1!C1556,"AAAAABP/tWw=")</f>
        <v>#VALUE!</v>
      </c>
      <c r="DF116" t="e">
        <f>AND(Sheet1!D1556,"AAAAABP/tW0=")</f>
        <v>#VALUE!</v>
      </c>
      <c r="DG116" t="e">
        <f>AND(Sheet1!E1556,"AAAAABP/tW4=")</f>
        <v>#VALUE!</v>
      </c>
      <c r="DH116" t="e">
        <f>AND(Sheet1!F1556,"AAAAABP/tW8=")</f>
        <v>#VALUE!</v>
      </c>
      <c r="DI116" t="e">
        <f>AND(Sheet1!G1556,"AAAAABP/tXA=")</f>
        <v>#VALUE!</v>
      </c>
      <c r="DJ116" t="e">
        <f>AND(Sheet1!H1556,"AAAAABP/tXE=")</f>
        <v>#VALUE!</v>
      </c>
      <c r="DK116" t="e">
        <f>AND(Sheet1!I1556,"AAAAABP/tXI=")</f>
        <v>#VALUE!</v>
      </c>
      <c r="DL116" t="e">
        <f>AND(Sheet1!J1556,"AAAAABP/tXM=")</f>
        <v>#VALUE!</v>
      </c>
      <c r="DM116" t="e">
        <f>AND(Sheet1!K1556,"AAAAABP/tXQ=")</f>
        <v>#VALUE!</v>
      </c>
      <c r="DN116" t="e">
        <f>AND(Sheet1!L1556,"AAAAABP/tXU=")</f>
        <v>#VALUE!</v>
      </c>
      <c r="DO116" t="e">
        <f>AND(Sheet1!M1556,"AAAAABP/tXY=")</f>
        <v>#VALUE!</v>
      </c>
      <c r="DP116" t="e">
        <f>AND(Sheet1!N1556,"AAAAABP/tXc=")</f>
        <v>#VALUE!</v>
      </c>
      <c r="DQ116" t="e">
        <f>AND(Sheet1!#REF!,"AAAAABP/tXg=")</f>
        <v>#REF!</v>
      </c>
      <c r="DR116" t="e">
        <f>AND(Sheet1!#REF!,"AAAAABP/tXk=")</f>
        <v>#REF!</v>
      </c>
      <c r="DS116" t="e">
        <f>AND(Sheet1!#REF!,"AAAAABP/tXo=")</f>
        <v>#REF!</v>
      </c>
      <c r="DT116" t="e">
        <f>AND(Sheet1!#REF!,"AAAAABP/tXs=")</f>
        <v>#REF!</v>
      </c>
      <c r="DU116">
        <f>IF(Sheet1!1557:1557,"AAAAABP/tXw=",0)</f>
        <v>0</v>
      </c>
      <c r="DV116" t="e">
        <f>AND(Sheet1!A1557,"AAAAABP/tX0=")</f>
        <v>#VALUE!</v>
      </c>
      <c r="DW116" t="e">
        <f>AND(Sheet1!B1557,"AAAAABP/tX4=")</f>
        <v>#VALUE!</v>
      </c>
      <c r="DX116" t="e">
        <f>AND(Sheet1!C1557,"AAAAABP/tX8=")</f>
        <v>#VALUE!</v>
      </c>
      <c r="DY116" t="e">
        <f>AND(Sheet1!D1557,"AAAAABP/tYA=")</f>
        <v>#VALUE!</v>
      </c>
      <c r="DZ116" t="e">
        <f>AND(Sheet1!E1557,"AAAAABP/tYE=")</f>
        <v>#VALUE!</v>
      </c>
      <c r="EA116" t="e">
        <f>AND(Sheet1!F1557,"AAAAABP/tYI=")</f>
        <v>#VALUE!</v>
      </c>
      <c r="EB116" t="e">
        <f>AND(Sheet1!G1557,"AAAAABP/tYM=")</f>
        <v>#VALUE!</v>
      </c>
      <c r="EC116" t="e">
        <f>AND(Sheet1!H1557,"AAAAABP/tYQ=")</f>
        <v>#VALUE!</v>
      </c>
      <c r="ED116" t="e">
        <f>AND(Sheet1!I1557,"AAAAABP/tYU=")</f>
        <v>#VALUE!</v>
      </c>
      <c r="EE116" t="e">
        <f>AND(Sheet1!J1557,"AAAAABP/tYY=")</f>
        <v>#VALUE!</v>
      </c>
      <c r="EF116" t="e">
        <f>AND(Sheet1!K1557,"AAAAABP/tYc=")</f>
        <v>#VALUE!</v>
      </c>
      <c r="EG116" t="e">
        <f>AND(Sheet1!L1557,"AAAAABP/tYg=")</f>
        <v>#VALUE!</v>
      </c>
      <c r="EH116" t="e">
        <f>AND(Sheet1!M1557,"AAAAABP/tYk=")</f>
        <v>#VALUE!</v>
      </c>
      <c r="EI116" t="e">
        <f>AND(Sheet1!N1557,"AAAAABP/tYo=")</f>
        <v>#VALUE!</v>
      </c>
      <c r="EJ116" t="e">
        <f>AND(Sheet1!#REF!,"AAAAABP/tYs=")</f>
        <v>#REF!</v>
      </c>
      <c r="EK116" t="e">
        <f>AND(Sheet1!#REF!,"AAAAABP/tYw=")</f>
        <v>#REF!</v>
      </c>
      <c r="EL116" t="e">
        <f>AND(Sheet1!#REF!,"AAAAABP/tY0=")</f>
        <v>#REF!</v>
      </c>
      <c r="EM116" t="e">
        <f>AND(Sheet1!#REF!,"AAAAABP/tY4=")</f>
        <v>#REF!</v>
      </c>
      <c r="EN116">
        <f>IF(Sheet1!1558:1558,"AAAAABP/tY8=",0)</f>
        <v>0</v>
      </c>
      <c r="EO116" t="e">
        <f>AND(Sheet1!A1558,"AAAAABP/tZA=")</f>
        <v>#VALUE!</v>
      </c>
      <c r="EP116" t="e">
        <f>AND(Sheet1!B1558,"AAAAABP/tZE=")</f>
        <v>#VALUE!</v>
      </c>
      <c r="EQ116" t="e">
        <f>AND(Sheet1!C1558,"AAAAABP/tZI=")</f>
        <v>#VALUE!</v>
      </c>
      <c r="ER116" t="e">
        <f>AND(Sheet1!D1558,"AAAAABP/tZM=")</f>
        <v>#VALUE!</v>
      </c>
      <c r="ES116" t="e">
        <f>AND(Sheet1!E1558,"AAAAABP/tZQ=")</f>
        <v>#VALUE!</v>
      </c>
      <c r="ET116" t="e">
        <f>AND(Sheet1!F1558,"AAAAABP/tZU=")</f>
        <v>#VALUE!</v>
      </c>
      <c r="EU116" t="e">
        <f>AND(Sheet1!G1558,"AAAAABP/tZY=")</f>
        <v>#VALUE!</v>
      </c>
      <c r="EV116" t="e">
        <f>AND(Sheet1!H1558,"AAAAABP/tZc=")</f>
        <v>#VALUE!</v>
      </c>
      <c r="EW116" t="e">
        <f>AND(Sheet1!I1558,"AAAAABP/tZg=")</f>
        <v>#VALUE!</v>
      </c>
      <c r="EX116" t="e">
        <f>AND(Sheet1!J1558,"AAAAABP/tZk=")</f>
        <v>#VALUE!</v>
      </c>
      <c r="EY116" t="e">
        <f>AND(Sheet1!K1558,"AAAAABP/tZo=")</f>
        <v>#VALUE!</v>
      </c>
      <c r="EZ116" t="e">
        <f>AND(Sheet1!L1558,"AAAAABP/tZs=")</f>
        <v>#VALUE!</v>
      </c>
      <c r="FA116" t="e">
        <f>AND(Sheet1!M1558,"AAAAABP/tZw=")</f>
        <v>#VALUE!</v>
      </c>
      <c r="FB116" t="e">
        <f>AND(Sheet1!N1558,"AAAAABP/tZ0=")</f>
        <v>#VALUE!</v>
      </c>
      <c r="FC116" t="e">
        <f>AND(Sheet1!#REF!,"AAAAABP/tZ4=")</f>
        <v>#REF!</v>
      </c>
      <c r="FD116" t="e">
        <f>AND(Sheet1!#REF!,"AAAAABP/tZ8=")</f>
        <v>#REF!</v>
      </c>
      <c r="FE116" t="e">
        <f>AND(Sheet1!#REF!,"AAAAABP/taA=")</f>
        <v>#REF!</v>
      </c>
      <c r="FF116" t="e">
        <f>AND(Sheet1!#REF!,"AAAAABP/taE=")</f>
        <v>#REF!</v>
      </c>
      <c r="FG116">
        <f>IF(Sheet1!1559:1559,"AAAAABP/taI=",0)</f>
        <v>0</v>
      </c>
      <c r="FH116" t="e">
        <f>AND(Sheet1!A1559,"AAAAABP/taM=")</f>
        <v>#VALUE!</v>
      </c>
      <c r="FI116" t="e">
        <f>AND(Sheet1!B1559,"AAAAABP/taQ=")</f>
        <v>#VALUE!</v>
      </c>
      <c r="FJ116" t="e">
        <f>AND(Sheet1!C1559,"AAAAABP/taU=")</f>
        <v>#VALUE!</v>
      </c>
      <c r="FK116" t="e">
        <f>AND(Sheet1!D1559,"AAAAABP/taY=")</f>
        <v>#VALUE!</v>
      </c>
      <c r="FL116" t="e">
        <f>AND(Sheet1!E1559,"AAAAABP/tac=")</f>
        <v>#VALUE!</v>
      </c>
      <c r="FM116" t="e">
        <f>AND(Sheet1!F1559,"AAAAABP/tag=")</f>
        <v>#VALUE!</v>
      </c>
      <c r="FN116" t="e">
        <f>AND(Sheet1!G1559,"AAAAABP/tak=")</f>
        <v>#VALUE!</v>
      </c>
      <c r="FO116" t="e">
        <f>AND(Sheet1!H1559,"AAAAABP/tao=")</f>
        <v>#VALUE!</v>
      </c>
      <c r="FP116" t="e">
        <f>AND(Sheet1!I1559,"AAAAABP/tas=")</f>
        <v>#VALUE!</v>
      </c>
      <c r="FQ116" t="e">
        <f>AND(Sheet1!J1559,"AAAAABP/taw=")</f>
        <v>#VALUE!</v>
      </c>
      <c r="FR116" t="e">
        <f>AND(Sheet1!K1559,"AAAAABP/ta0=")</f>
        <v>#VALUE!</v>
      </c>
      <c r="FS116" t="e">
        <f>AND(Sheet1!L1559,"AAAAABP/ta4=")</f>
        <v>#VALUE!</v>
      </c>
      <c r="FT116" t="e">
        <f>AND(Sheet1!M1559,"AAAAABP/ta8=")</f>
        <v>#VALUE!</v>
      </c>
      <c r="FU116" t="e">
        <f>AND(Sheet1!N1559,"AAAAABP/tbA=")</f>
        <v>#VALUE!</v>
      </c>
      <c r="FV116" t="e">
        <f>AND(Sheet1!#REF!,"AAAAABP/tbE=")</f>
        <v>#REF!</v>
      </c>
      <c r="FW116" t="e">
        <f>AND(Sheet1!#REF!,"AAAAABP/tbI=")</f>
        <v>#REF!</v>
      </c>
      <c r="FX116" t="e">
        <f>AND(Sheet1!#REF!,"AAAAABP/tbM=")</f>
        <v>#REF!</v>
      </c>
      <c r="FY116" t="e">
        <f>AND(Sheet1!#REF!,"AAAAABP/tbQ=")</f>
        <v>#REF!</v>
      </c>
      <c r="FZ116">
        <f>IF(Sheet1!1560:1560,"AAAAABP/tbU=",0)</f>
        <v>0</v>
      </c>
      <c r="GA116" t="e">
        <f>AND(Sheet1!A1560,"AAAAABP/tbY=")</f>
        <v>#VALUE!</v>
      </c>
      <c r="GB116" t="e">
        <f>AND(Sheet1!B1560,"AAAAABP/tbc=")</f>
        <v>#VALUE!</v>
      </c>
      <c r="GC116" t="e">
        <f>AND(Sheet1!C1560,"AAAAABP/tbg=")</f>
        <v>#VALUE!</v>
      </c>
      <c r="GD116" t="e">
        <f>AND(Sheet1!D1560,"AAAAABP/tbk=")</f>
        <v>#VALUE!</v>
      </c>
      <c r="GE116" t="e">
        <f>AND(Sheet1!E1560,"AAAAABP/tbo=")</f>
        <v>#VALUE!</v>
      </c>
      <c r="GF116" t="e">
        <f>AND(Sheet1!F1560,"AAAAABP/tbs=")</f>
        <v>#VALUE!</v>
      </c>
      <c r="GG116" t="e">
        <f>AND(Sheet1!G1560,"AAAAABP/tbw=")</f>
        <v>#VALUE!</v>
      </c>
      <c r="GH116" t="e">
        <f>AND(Sheet1!H1560,"AAAAABP/tb0=")</f>
        <v>#VALUE!</v>
      </c>
      <c r="GI116" t="e">
        <f>AND(Sheet1!I1560,"AAAAABP/tb4=")</f>
        <v>#VALUE!</v>
      </c>
      <c r="GJ116" t="e">
        <f>AND(Sheet1!J1560,"AAAAABP/tb8=")</f>
        <v>#VALUE!</v>
      </c>
      <c r="GK116" t="e">
        <f>AND(Sheet1!K1560,"AAAAABP/tcA=")</f>
        <v>#VALUE!</v>
      </c>
      <c r="GL116" t="e">
        <f>AND(Sheet1!L1560,"AAAAABP/tcE=")</f>
        <v>#VALUE!</v>
      </c>
      <c r="GM116" t="e">
        <f>AND(Sheet1!M1560,"AAAAABP/tcI=")</f>
        <v>#VALUE!</v>
      </c>
      <c r="GN116" t="e">
        <f>AND(Sheet1!N1560,"AAAAABP/tcM=")</f>
        <v>#VALUE!</v>
      </c>
      <c r="GO116" t="e">
        <f>AND(Sheet1!#REF!,"AAAAABP/tcQ=")</f>
        <v>#REF!</v>
      </c>
      <c r="GP116" t="e">
        <f>AND(Sheet1!#REF!,"AAAAABP/tcU=")</f>
        <v>#REF!</v>
      </c>
      <c r="GQ116" t="e">
        <f>AND(Sheet1!#REF!,"AAAAABP/tcY=")</f>
        <v>#REF!</v>
      </c>
      <c r="GR116" t="e">
        <f>AND(Sheet1!#REF!,"AAAAABP/tcc=")</f>
        <v>#REF!</v>
      </c>
      <c r="GS116">
        <f>IF(Sheet1!1561:1561,"AAAAABP/tcg=",0)</f>
        <v>0</v>
      </c>
      <c r="GT116" t="e">
        <f>AND(Sheet1!A1561,"AAAAABP/tck=")</f>
        <v>#VALUE!</v>
      </c>
      <c r="GU116" t="e">
        <f>AND(Sheet1!B1561,"AAAAABP/tco=")</f>
        <v>#VALUE!</v>
      </c>
      <c r="GV116" t="e">
        <f>AND(Sheet1!C1561,"AAAAABP/tcs=")</f>
        <v>#VALUE!</v>
      </c>
      <c r="GW116" t="e">
        <f>AND(Sheet1!D1561,"AAAAABP/tcw=")</f>
        <v>#VALUE!</v>
      </c>
      <c r="GX116" t="e">
        <f>AND(Sheet1!E1561,"AAAAABP/tc0=")</f>
        <v>#VALUE!</v>
      </c>
      <c r="GY116" t="e">
        <f>AND(Sheet1!F1561,"AAAAABP/tc4=")</f>
        <v>#VALUE!</v>
      </c>
      <c r="GZ116" t="e">
        <f>AND(Sheet1!G1561,"AAAAABP/tc8=")</f>
        <v>#VALUE!</v>
      </c>
      <c r="HA116" t="e">
        <f>AND(Sheet1!H1561,"AAAAABP/tdA=")</f>
        <v>#VALUE!</v>
      </c>
      <c r="HB116" t="e">
        <f>AND(Sheet1!I1561,"AAAAABP/tdE=")</f>
        <v>#VALUE!</v>
      </c>
      <c r="HC116" t="e">
        <f>AND(Sheet1!J1561,"AAAAABP/tdI=")</f>
        <v>#VALUE!</v>
      </c>
      <c r="HD116" t="e">
        <f>AND(Sheet1!K1561,"AAAAABP/tdM=")</f>
        <v>#VALUE!</v>
      </c>
      <c r="HE116" t="e">
        <f>AND(Sheet1!L1561,"AAAAABP/tdQ=")</f>
        <v>#VALUE!</v>
      </c>
      <c r="HF116" t="e">
        <f>AND(Sheet1!M1561,"AAAAABP/tdU=")</f>
        <v>#VALUE!</v>
      </c>
      <c r="HG116" t="e">
        <f>AND(Sheet1!N1561,"AAAAABP/tdY=")</f>
        <v>#VALUE!</v>
      </c>
      <c r="HH116" t="e">
        <f>AND(Sheet1!#REF!,"AAAAABP/tdc=")</f>
        <v>#REF!</v>
      </c>
      <c r="HI116" t="e">
        <f>AND(Sheet1!#REF!,"AAAAABP/tdg=")</f>
        <v>#REF!</v>
      </c>
      <c r="HJ116" t="e">
        <f>AND(Sheet1!#REF!,"AAAAABP/tdk=")</f>
        <v>#REF!</v>
      </c>
      <c r="HK116" t="e">
        <f>AND(Sheet1!#REF!,"AAAAABP/tdo=")</f>
        <v>#REF!</v>
      </c>
      <c r="HL116">
        <f>IF(Sheet1!1562:1562,"AAAAABP/tds=",0)</f>
        <v>0</v>
      </c>
      <c r="HM116" t="e">
        <f>AND(Sheet1!A1562,"AAAAABP/tdw=")</f>
        <v>#VALUE!</v>
      </c>
      <c r="HN116" t="e">
        <f>AND(Sheet1!B1562,"AAAAABP/td0=")</f>
        <v>#VALUE!</v>
      </c>
      <c r="HO116" t="e">
        <f>AND(Sheet1!C1562,"AAAAABP/td4=")</f>
        <v>#VALUE!</v>
      </c>
      <c r="HP116" t="e">
        <f>AND(Sheet1!D1562,"AAAAABP/td8=")</f>
        <v>#VALUE!</v>
      </c>
      <c r="HQ116" t="e">
        <f>AND(Sheet1!E1562,"AAAAABP/teA=")</f>
        <v>#VALUE!</v>
      </c>
      <c r="HR116" t="e">
        <f>AND(Sheet1!F1562,"AAAAABP/teE=")</f>
        <v>#VALUE!</v>
      </c>
      <c r="HS116" t="e">
        <f>AND(Sheet1!G1562,"AAAAABP/teI=")</f>
        <v>#VALUE!</v>
      </c>
      <c r="HT116" t="e">
        <f>AND(Sheet1!H1562,"AAAAABP/teM=")</f>
        <v>#VALUE!</v>
      </c>
      <c r="HU116" t="e">
        <f>AND(Sheet1!I1562,"AAAAABP/teQ=")</f>
        <v>#VALUE!</v>
      </c>
      <c r="HV116" t="e">
        <f>AND(Sheet1!J1562,"AAAAABP/teU=")</f>
        <v>#VALUE!</v>
      </c>
      <c r="HW116" t="e">
        <f>AND(Sheet1!K1562,"AAAAABP/teY=")</f>
        <v>#VALUE!</v>
      </c>
      <c r="HX116" t="e">
        <f>AND(Sheet1!L1562,"AAAAABP/tec=")</f>
        <v>#VALUE!</v>
      </c>
      <c r="HY116" t="e">
        <f>AND(Sheet1!M1562,"AAAAABP/teg=")</f>
        <v>#VALUE!</v>
      </c>
      <c r="HZ116" t="e">
        <f>AND(Sheet1!N1562,"AAAAABP/tek=")</f>
        <v>#VALUE!</v>
      </c>
      <c r="IA116" t="e">
        <f>AND(Sheet1!#REF!,"AAAAABP/teo=")</f>
        <v>#REF!</v>
      </c>
      <c r="IB116" t="e">
        <f>AND(Sheet1!#REF!,"AAAAABP/tes=")</f>
        <v>#REF!</v>
      </c>
      <c r="IC116" t="e">
        <f>AND(Sheet1!#REF!,"AAAAABP/tew=")</f>
        <v>#REF!</v>
      </c>
      <c r="ID116" t="e">
        <f>AND(Sheet1!#REF!,"AAAAABP/te0=")</f>
        <v>#REF!</v>
      </c>
      <c r="IE116">
        <f>IF(Sheet1!1563:1563,"AAAAABP/te4=",0)</f>
        <v>0</v>
      </c>
      <c r="IF116" t="e">
        <f>AND(Sheet1!A1563,"AAAAABP/te8=")</f>
        <v>#VALUE!</v>
      </c>
      <c r="IG116" t="e">
        <f>AND(Sheet1!B1563,"AAAAABP/tfA=")</f>
        <v>#VALUE!</v>
      </c>
      <c r="IH116" t="e">
        <f>AND(Sheet1!C1563,"AAAAABP/tfE=")</f>
        <v>#VALUE!</v>
      </c>
      <c r="II116" t="e">
        <f>AND(Sheet1!D1563,"AAAAABP/tfI=")</f>
        <v>#VALUE!</v>
      </c>
      <c r="IJ116" t="e">
        <f>AND(Sheet1!E1563,"AAAAABP/tfM=")</f>
        <v>#VALUE!</v>
      </c>
      <c r="IK116" t="e">
        <f>AND(Sheet1!F1563,"AAAAABP/tfQ=")</f>
        <v>#VALUE!</v>
      </c>
      <c r="IL116" t="e">
        <f>AND(Sheet1!G1563,"AAAAABP/tfU=")</f>
        <v>#VALUE!</v>
      </c>
      <c r="IM116" t="e">
        <f>AND(Sheet1!H1563,"AAAAABP/tfY=")</f>
        <v>#VALUE!</v>
      </c>
      <c r="IN116" t="e">
        <f>AND(Sheet1!I1563,"AAAAABP/tfc=")</f>
        <v>#VALUE!</v>
      </c>
      <c r="IO116" t="e">
        <f>AND(Sheet1!J1563,"AAAAABP/tfg=")</f>
        <v>#VALUE!</v>
      </c>
      <c r="IP116" t="e">
        <f>AND(Sheet1!K1563,"AAAAABP/tfk=")</f>
        <v>#VALUE!</v>
      </c>
      <c r="IQ116" t="e">
        <f>AND(Sheet1!L1563,"AAAAABP/tfo=")</f>
        <v>#VALUE!</v>
      </c>
      <c r="IR116" t="e">
        <f>AND(Sheet1!M1563,"AAAAABP/tfs=")</f>
        <v>#VALUE!</v>
      </c>
      <c r="IS116" t="e">
        <f>AND(Sheet1!N1563,"AAAAABP/tfw=")</f>
        <v>#VALUE!</v>
      </c>
      <c r="IT116" t="e">
        <f>AND(Sheet1!#REF!,"AAAAABP/tf0=")</f>
        <v>#REF!</v>
      </c>
      <c r="IU116" t="e">
        <f>AND(Sheet1!#REF!,"AAAAABP/tf4=")</f>
        <v>#REF!</v>
      </c>
      <c r="IV116" t="e">
        <f>AND(Sheet1!#REF!,"AAAAABP/tf8=")</f>
        <v>#REF!</v>
      </c>
    </row>
    <row r="117" spans="1:256" x14ac:dyDescent="0.2">
      <c r="A117" t="e">
        <f>AND(Sheet1!#REF!,"AAAAAH//2wA=")</f>
        <v>#REF!</v>
      </c>
      <c r="B117" t="e">
        <f>IF(Sheet1!1564:1564,"AAAAAH//2wE=",0)</f>
        <v>#VALUE!</v>
      </c>
      <c r="C117" t="e">
        <f>AND(Sheet1!A1564,"AAAAAH//2wI=")</f>
        <v>#VALUE!</v>
      </c>
      <c r="D117" t="e">
        <f>AND(Sheet1!B1564,"AAAAAH//2wM=")</f>
        <v>#VALUE!</v>
      </c>
      <c r="E117" t="e">
        <f>AND(Sheet1!C1564,"AAAAAH//2wQ=")</f>
        <v>#VALUE!</v>
      </c>
      <c r="F117" t="e">
        <f>AND(Sheet1!D1564,"AAAAAH//2wU=")</f>
        <v>#VALUE!</v>
      </c>
      <c r="G117" t="e">
        <f>AND(Sheet1!E1564,"AAAAAH//2wY=")</f>
        <v>#VALUE!</v>
      </c>
      <c r="H117" t="e">
        <f>AND(Sheet1!F1564,"AAAAAH//2wc=")</f>
        <v>#VALUE!</v>
      </c>
      <c r="I117" t="e">
        <f>AND(Sheet1!G1564,"AAAAAH//2wg=")</f>
        <v>#VALUE!</v>
      </c>
      <c r="J117" t="e">
        <f>AND(Sheet1!H1564,"AAAAAH//2wk=")</f>
        <v>#VALUE!</v>
      </c>
      <c r="K117" t="e">
        <f>AND(Sheet1!I1564,"AAAAAH//2wo=")</f>
        <v>#VALUE!</v>
      </c>
      <c r="L117" t="e">
        <f>AND(Sheet1!J1564,"AAAAAH//2ws=")</f>
        <v>#VALUE!</v>
      </c>
      <c r="M117" t="e">
        <f>AND(Sheet1!K1564,"AAAAAH//2ww=")</f>
        <v>#VALUE!</v>
      </c>
      <c r="N117" t="e">
        <f>AND(Sheet1!L1564,"AAAAAH//2w0=")</f>
        <v>#VALUE!</v>
      </c>
      <c r="O117" t="e">
        <f>AND(Sheet1!M1564,"AAAAAH//2w4=")</f>
        <v>#VALUE!</v>
      </c>
      <c r="P117" t="e">
        <f>AND(Sheet1!N1564,"AAAAAH//2w8=")</f>
        <v>#VALUE!</v>
      </c>
      <c r="Q117" t="e">
        <f>AND(Sheet1!#REF!,"AAAAAH//2xA=")</f>
        <v>#REF!</v>
      </c>
      <c r="R117" t="e">
        <f>AND(Sheet1!#REF!,"AAAAAH//2xE=")</f>
        <v>#REF!</v>
      </c>
      <c r="S117" t="e">
        <f>AND(Sheet1!#REF!,"AAAAAH//2xI=")</f>
        <v>#REF!</v>
      </c>
      <c r="T117" t="e">
        <f>AND(Sheet1!#REF!,"AAAAAH//2xM=")</f>
        <v>#REF!</v>
      </c>
      <c r="U117">
        <f>IF(Sheet1!1565:1565,"AAAAAH//2xQ=",0)</f>
        <v>0</v>
      </c>
      <c r="V117" t="e">
        <f>AND(Sheet1!A1565,"AAAAAH//2xU=")</f>
        <v>#VALUE!</v>
      </c>
      <c r="W117" t="e">
        <f>AND(Sheet1!B1565,"AAAAAH//2xY=")</f>
        <v>#VALUE!</v>
      </c>
      <c r="X117" t="e">
        <f>AND(Sheet1!C1565,"AAAAAH//2xc=")</f>
        <v>#VALUE!</v>
      </c>
      <c r="Y117" t="e">
        <f>AND(Sheet1!D1565,"AAAAAH//2xg=")</f>
        <v>#VALUE!</v>
      </c>
      <c r="Z117" t="e">
        <f>AND(Sheet1!E1565,"AAAAAH//2xk=")</f>
        <v>#VALUE!</v>
      </c>
      <c r="AA117" t="e">
        <f>AND(Sheet1!F1565,"AAAAAH//2xo=")</f>
        <v>#VALUE!</v>
      </c>
      <c r="AB117" t="e">
        <f>AND(Sheet1!G1565,"AAAAAH//2xs=")</f>
        <v>#VALUE!</v>
      </c>
      <c r="AC117" t="e">
        <f>AND(Sheet1!H1565,"AAAAAH//2xw=")</f>
        <v>#VALUE!</v>
      </c>
      <c r="AD117" t="e">
        <f>AND(Sheet1!I1565,"AAAAAH//2x0=")</f>
        <v>#VALUE!</v>
      </c>
      <c r="AE117" t="e">
        <f>AND(Sheet1!J1565,"AAAAAH//2x4=")</f>
        <v>#VALUE!</v>
      </c>
      <c r="AF117" t="e">
        <f>AND(Sheet1!K1565,"AAAAAH//2x8=")</f>
        <v>#VALUE!</v>
      </c>
      <c r="AG117" t="e">
        <f>AND(Sheet1!L1565,"AAAAAH//2yA=")</f>
        <v>#VALUE!</v>
      </c>
      <c r="AH117" t="e">
        <f>AND(Sheet1!M1565,"AAAAAH//2yE=")</f>
        <v>#VALUE!</v>
      </c>
      <c r="AI117" t="e">
        <f>AND(Sheet1!N1565,"AAAAAH//2yI=")</f>
        <v>#VALUE!</v>
      </c>
      <c r="AJ117" t="e">
        <f>AND(Sheet1!#REF!,"AAAAAH//2yM=")</f>
        <v>#REF!</v>
      </c>
      <c r="AK117" t="e">
        <f>AND(Sheet1!#REF!,"AAAAAH//2yQ=")</f>
        <v>#REF!</v>
      </c>
      <c r="AL117" t="e">
        <f>AND(Sheet1!#REF!,"AAAAAH//2yU=")</f>
        <v>#REF!</v>
      </c>
      <c r="AM117" t="e">
        <f>AND(Sheet1!#REF!,"AAAAAH//2yY=")</f>
        <v>#REF!</v>
      </c>
      <c r="AN117">
        <f>IF(Sheet1!1566:1566,"AAAAAH//2yc=",0)</f>
        <v>0</v>
      </c>
      <c r="AO117" t="e">
        <f>AND(Sheet1!A1566,"AAAAAH//2yg=")</f>
        <v>#VALUE!</v>
      </c>
      <c r="AP117" t="e">
        <f>AND(Sheet1!B1566,"AAAAAH//2yk=")</f>
        <v>#VALUE!</v>
      </c>
      <c r="AQ117" t="e">
        <f>AND(Sheet1!C1566,"AAAAAH//2yo=")</f>
        <v>#VALUE!</v>
      </c>
      <c r="AR117" t="e">
        <f>AND(Sheet1!D1566,"AAAAAH//2ys=")</f>
        <v>#VALUE!</v>
      </c>
      <c r="AS117" t="e">
        <f>AND(Sheet1!E1566,"AAAAAH//2yw=")</f>
        <v>#VALUE!</v>
      </c>
      <c r="AT117" t="e">
        <f>AND(Sheet1!F1566,"AAAAAH//2y0=")</f>
        <v>#VALUE!</v>
      </c>
      <c r="AU117" t="e">
        <f>AND(Sheet1!G1566,"AAAAAH//2y4=")</f>
        <v>#VALUE!</v>
      </c>
      <c r="AV117" t="e">
        <f>AND(Sheet1!H1566,"AAAAAH//2y8=")</f>
        <v>#VALUE!</v>
      </c>
      <c r="AW117" t="e">
        <f>AND(Sheet1!I1566,"AAAAAH//2zA=")</f>
        <v>#VALUE!</v>
      </c>
      <c r="AX117" t="e">
        <f>AND(Sheet1!J1566,"AAAAAH//2zE=")</f>
        <v>#VALUE!</v>
      </c>
      <c r="AY117" t="e">
        <f>AND(Sheet1!K1566,"AAAAAH//2zI=")</f>
        <v>#VALUE!</v>
      </c>
      <c r="AZ117" t="e">
        <f>AND(Sheet1!L1566,"AAAAAH//2zM=")</f>
        <v>#VALUE!</v>
      </c>
      <c r="BA117" t="e">
        <f>AND(Sheet1!M1566,"AAAAAH//2zQ=")</f>
        <v>#VALUE!</v>
      </c>
      <c r="BB117" t="e">
        <f>AND(Sheet1!N1566,"AAAAAH//2zU=")</f>
        <v>#VALUE!</v>
      </c>
      <c r="BC117" t="e">
        <f>AND(Sheet1!#REF!,"AAAAAH//2zY=")</f>
        <v>#REF!</v>
      </c>
      <c r="BD117" t="e">
        <f>AND(Sheet1!#REF!,"AAAAAH//2zc=")</f>
        <v>#REF!</v>
      </c>
      <c r="BE117" t="e">
        <f>AND(Sheet1!#REF!,"AAAAAH//2zg=")</f>
        <v>#REF!</v>
      </c>
      <c r="BF117" t="e">
        <f>AND(Sheet1!#REF!,"AAAAAH//2zk=")</f>
        <v>#REF!</v>
      </c>
      <c r="BG117">
        <f>IF(Sheet1!1567:1567,"AAAAAH//2zo=",0)</f>
        <v>0</v>
      </c>
      <c r="BH117" t="e">
        <f>AND(Sheet1!A1567,"AAAAAH//2zs=")</f>
        <v>#VALUE!</v>
      </c>
      <c r="BI117" t="e">
        <f>AND(Sheet1!B1567,"AAAAAH//2zw=")</f>
        <v>#VALUE!</v>
      </c>
      <c r="BJ117" t="e">
        <f>AND(Sheet1!C1567,"AAAAAH//2z0=")</f>
        <v>#VALUE!</v>
      </c>
      <c r="BK117" t="e">
        <f>AND(Sheet1!D1567,"AAAAAH//2z4=")</f>
        <v>#VALUE!</v>
      </c>
      <c r="BL117" t="e">
        <f>AND(Sheet1!E1567,"AAAAAH//2z8=")</f>
        <v>#VALUE!</v>
      </c>
      <c r="BM117" t="e">
        <f>AND(Sheet1!F1567,"AAAAAH//20A=")</f>
        <v>#VALUE!</v>
      </c>
      <c r="BN117" t="e">
        <f>AND(Sheet1!G1567,"AAAAAH//20E=")</f>
        <v>#VALUE!</v>
      </c>
      <c r="BO117" t="e">
        <f>AND(Sheet1!H1567,"AAAAAH//20I=")</f>
        <v>#VALUE!</v>
      </c>
      <c r="BP117" t="e">
        <f>AND(Sheet1!I1567,"AAAAAH//20M=")</f>
        <v>#VALUE!</v>
      </c>
      <c r="BQ117" t="e">
        <f>AND(Sheet1!J1567,"AAAAAH//20Q=")</f>
        <v>#VALUE!</v>
      </c>
      <c r="BR117" t="e">
        <f>AND(Sheet1!K1567,"AAAAAH//20U=")</f>
        <v>#VALUE!</v>
      </c>
      <c r="BS117" t="e">
        <f>AND(Sheet1!L1567,"AAAAAH//20Y=")</f>
        <v>#VALUE!</v>
      </c>
      <c r="BT117" t="e">
        <f>AND(Sheet1!M1567,"AAAAAH//20c=")</f>
        <v>#VALUE!</v>
      </c>
      <c r="BU117" t="e">
        <f>AND(Sheet1!N1567,"AAAAAH//20g=")</f>
        <v>#VALUE!</v>
      </c>
      <c r="BV117" t="e">
        <f>AND(Sheet1!#REF!,"AAAAAH//20k=")</f>
        <v>#REF!</v>
      </c>
      <c r="BW117" t="e">
        <f>AND(Sheet1!#REF!,"AAAAAH//20o=")</f>
        <v>#REF!</v>
      </c>
      <c r="BX117" t="e">
        <f>AND(Sheet1!#REF!,"AAAAAH//20s=")</f>
        <v>#REF!</v>
      </c>
      <c r="BY117" t="e">
        <f>AND(Sheet1!#REF!,"AAAAAH//20w=")</f>
        <v>#REF!</v>
      </c>
      <c r="BZ117">
        <f>IF(Sheet1!1568:1568,"AAAAAH//200=",0)</f>
        <v>0</v>
      </c>
      <c r="CA117" t="e">
        <f>AND(Sheet1!A1568,"AAAAAH//204=")</f>
        <v>#VALUE!</v>
      </c>
      <c r="CB117" t="e">
        <f>AND(Sheet1!B1568,"AAAAAH//208=")</f>
        <v>#VALUE!</v>
      </c>
      <c r="CC117" t="e">
        <f>AND(Sheet1!C1568,"AAAAAH//21A=")</f>
        <v>#VALUE!</v>
      </c>
      <c r="CD117" t="e">
        <f>AND(Sheet1!D1568,"AAAAAH//21E=")</f>
        <v>#VALUE!</v>
      </c>
      <c r="CE117" t="e">
        <f>AND(Sheet1!E1568,"AAAAAH//21I=")</f>
        <v>#VALUE!</v>
      </c>
      <c r="CF117" t="e">
        <f>AND(Sheet1!F1568,"AAAAAH//21M=")</f>
        <v>#VALUE!</v>
      </c>
      <c r="CG117" t="e">
        <f>AND(Sheet1!G1568,"AAAAAH//21Q=")</f>
        <v>#VALUE!</v>
      </c>
      <c r="CH117" t="e">
        <f>AND(Sheet1!H1568,"AAAAAH//21U=")</f>
        <v>#VALUE!</v>
      </c>
      <c r="CI117" t="e">
        <f>AND(Sheet1!I1568,"AAAAAH//21Y=")</f>
        <v>#VALUE!</v>
      </c>
      <c r="CJ117" t="e">
        <f>AND(Sheet1!J1568,"AAAAAH//21c=")</f>
        <v>#VALUE!</v>
      </c>
      <c r="CK117" t="e">
        <f>AND(Sheet1!K1568,"AAAAAH//21g=")</f>
        <v>#VALUE!</v>
      </c>
      <c r="CL117" t="e">
        <f>AND(Sheet1!L1568,"AAAAAH//21k=")</f>
        <v>#VALUE!</v>
      </c>
      <c r="CM117" t="e">
        <f>AND(Sheet1!M1568,"AAAAAH//21o=")</f>
        <v>#VALUE!</v>
      </c>
      <c r="CN117" t="e">
        <f>AND(Sheet1!N1568,"AAAAAH//21s=")</f>
        <v>#VALUE!</v>
      </c>
      <c r="CO117" t="e">
        <f>AND(Sheet1!#REF!,"AAAAAH//21w=")</f>
        <v>#REF!</v>
      </c>
      <c r="CP117" t="e">
        <f>AND(Sheet1!#REF!,"AAAAAH//210=")</f>
        <v>#REF!</v>
      </c>
      <c r="CQ117" t="e">
        <f>AND(Sheet1!#REF!,"AAAAAH//214=")</f>
        <v>#REF!</v>
      </c>
      <c r="CR117" t="e">
        <f>AND(Sheet1!#REF!,"AAAAAH//218=")</f>
        <v>#REF!</v>
      </c>
      <c r="CS117">
        <f>IF(Sheet1!1569:1569,"AAAAAH//22A=",0)</f>
        <v>0</v>
      </c>
      <c r="CT117" t="e">
        <f>AND(Sheet1!A1569,"AAAAAH//22E=")</f>
        <v>#VALUE!</v>
      </c>
      <c r="CU117" t="e">
        <f>AND(Sheet1!B1569,"AAAAAH//22I=")</f>
        <v>#VALUE!</v>
      </c>
      <c r="CV117" t="e">
        <f>AND(Sheet1!C1569,"AAAAAH//22M=")</f>
        <v>#VALUE!</v>
      </c>
      <c r="CW117" t="e">
        <f>AND(Sheet1!D1569,"AAAAAH//22Q=")</f>
        <v>#VALUE!</v>
      </c>
      <c r="CX117" t="e">
        <f>AND(Sheet1!E1569,"AAAAAH//22U=")</f>
        <v>#VALUE!</v>
      </c>
      <c r="CY117" t="e">
        <f>AND(Sheet1!F1569,"AAAAAH//22Y=")</f>
        <v>#VALUE!</v>
      </c>
      <c r="CZ117" t="e">
        <f>AND(Sheet1!G1569,"AAAAAH//22c=")</f>
        <v>#VALUE!</v>
      </c>
      <c r="DA117" t="e">
        <f>AND(Sheet1!H1569,"AAAAAH//22g=")</f>
        <v>#VALUE!</v>
      </c>
      <c r="DB117" t="e">
        <f>AND(Sheet1!I1569,"AAAAAH//22k=")</f>
        <v>#VALUE!</v>
      </c>
      <c r="DC117" t="e">
        <f>AND(Sheet1!J1569,"AAAAAH//22o=")</f>
        <v>#VALUE!</v>
      </c>
      <c r="DD117" t="e">
        <f>AND(Sheet1!K1569,"AAAAAH//22s=")</f>
        <v>#VALUE!</v>
      </c>
      <c r="DE117" t="e">
        <f>AND(Sheet1!L1569,"AAAAAH//22w=")</f>
        <v>#VALUE!</v>
      </c>
      <c r="DF117" t="e">
        <f>AND(Sheet1!M1569,"AAAAAH//220=")</f>
        <v>#VALUE!</v>
      </c>
      <c r="DG117" t="e">
        <f>AND(Sheet1!N1569,"AAAAAH//224=")</f>
        <v>#VALUE!</v>
      </c>
      <c r="DH117" t="e">
        <f>AND(Sheet1!#REF!,"AAAAAH//228=")</f>
        <v>#REF!</v>
      </c>
      <c r="DI117" t="e">
        <f>AND(Sheet1!#REF!,"AAAAAH//23A=")</f>
        <v>#REF!</v>
      </c>
      <c r="DJ117" t="e">
        <f>AND(Sheet1!#REF!,"AAAAAH//23E=")</f>
        <v>#REF!</v>
      </c>
      <c r="DK117" t="e">
        <f>AND(Sheet1!#REF!,"AAAAAH//23I=")</f>
        <v>#REF!</v>
      </c>
      <c r="DL117">
        <f>IF(Sheet1!1570:1570,"AAAAAH//23M=",0)</f>
        <v>0</v>
      </c>
      <c r="DM117" t="e">
        <f>AND(Sheet1!A1570,"AAAAAH//23Q=")</f>
        <v>#VALUE!</v>
      </c>
      <c r="DN117" t="e">
        <f>AND(Sheet1!B1570,"AAAAAH//23U=")</f>
        <v>#VALUE!</v>
      </c>
      <c r="DO117" t="e">
        <f>AND(Sheet1!C1570,"AAAAAH//23Y=")</f>
        <v>#VALUE!</v>
      </c>
      <c r="DP117" t="e">
        <f>AND(Sheet1!D1570,"AAAAAH//23c=")</f>
        <v>#VALUE!</v>
      </c>
      <c r="DQ117" t="e">
        <f>AND(Sheet1!E1570,"AAAAAH//23g=")</f>
        <v>#VALUE!</v>
      </c>
      <c r="DR117" t="e">
        <f>AND(Sheet1!F1570,"AAAAAH//23k=")</f>
        <v>#VALUE!</v>
      </c>
      <c r="DS117" t="e">
        <f>AND(Sheet1!G1570,"AAAAAH//23o=")</f>
        <v>#VALUE!</v>
      </c>
      <c r="DT117" t="e">
        <f>AND(Sheet1!H1570,"AAAAAH//23s=")</f>
        <v>#VALUE!</v>
      </c>
      <c r="DU117" t="e">
        <f>AND(Sheet1!I1570,"AAAAAH//23w=")</f>
        <v>#VALUE!</v>
      </c>
      <c r="DV117" t="e">
        <f>AND(Sheet1!J1570,"AAAAAH//230=")</f>
        <v>#VALUE!</v>
      </c>
      <c r="DW117" t="e">
        <f>AND(Sheet1!K1570,"AAAAAH//234=")</f>
        <v>#VALUE!</v>
      </c>
      <c r="DX117" t="e">
        <f>AND(Sheet1!L1570,"AAAAAH//238=")</f>
        <v>#VALUE!</v>
      </c>
      <c r="DY117" t="e">
        <f>AND(Sheet1!M1570,"AAAAAH//24A=")</f>
        <v>#VALUE!</v>
      </c>
      <c r="DZ117" t="e">
        <f>AND(Sheet1!N1570,"AAAAAH//24E=")</f>
        <v>#VALUE!</v>
      </c>
      <c r="EA117" t="e">
        <f>AND(Sheet1!#REF!,"AAAAAH//24I=")</f>
        <v>#REF!</v>
      </c>
      <c r="EB117" t="e">
        <f>AND(Sheet1!#REF!,"AAAAAH//24M=")</f>
        <v>#REF!</v>
      </c>
      <c r="EC117" t="e">
        <f>AND(Sheet1!#REF!,"AAAAAH//24Q=")</f>
        <v>#REF!</v>
      </c>
      <c r="ED117" t="e">
        <f>AND(Sheet1!#REF!,"AAAAAH//24U=")</f>
        <v>#REF!</v>
      </c>
      <c r="EE117">
        <f>IF(Sheet1!1571:1571,"AAAAAH//24Y=",0)</f>
        <v>0</v>
      </c>
      <c r="EF117" t="e">
        <f>AND(Sheet1!A1571,"AAAAAH//24c=")</f>
        <v>#VALUE!</v>
      </c>
      <c r="EG117" t="e">
        <f>AND(Sheet1!B1571,"AAAAAH//24g=")</f>
        <v>#VALUE!</v>
      </c>
      <c r="EH117" t="e">
        <f>AND(Sheet1!C1571,"AAAAAH//24k=")</f>
        <v>#VALUE!</v>
      </c>
      <c r="EI117" t="e">
        <f>AND(Sheet1!D1571,"AAAAAH//24o=")</f>
        <v>#VALUE!</v>
      </c>
      <c r="EJ117" t="e">
        <f>AND(Sheet1!E1571,"AAAAAH//24s=")</f>
        <v>#VALUE!</v>
      </c>
      <c r="EK117" t="e">
        <f>AND(Sheet1!F1571,"AAAAAH//24w=")</f>
        <v>#VALUE!</v>
      </c>
      <c r="EL117" t="e">
        <f>AND(Sheet1!G1571,"AAAAAH//240=")</f>
        <v>#VALUE!</v>
      </c>
      <c r="EM117" t="e">
        <f>AND(Sheet1!H1571,"AAAAAH//244=")</f>
        <v>#VALUE!</v>
      </c>
      <c r="EN117" t="e">
        <f>AND(Sheet1!I1571,"AAAAAH//248=")</f>
        <v>#VALUE!</v>
      </c>
      <c r="EO117" t="e">
        <f>AND(Sheet1!J1571,"AAAAAH//25A=")</f>
        <v>#VALUE!</v>
      </c>
      <c r="EP117" t="e">
        <f>AND(Sheet1!K1571,"AAAAAH//25E=")</f>
        <v>#VALUE!</v>
      </c>
      <c r="EQ117" t="e">
        <f>AND(Sheet1!L1571,"AAAAAH//25I=")</f>
        <v>#VALUE!</v>
      </c>
      <c r="ER117" t="e">
        <f>AND(Sheet1!M1571,"AAAAAH//25M=")</f>
        <v>#VALUE!</v>
      </c>
      <c r="ES117" t="e">
        <f>AND(Sheet1!N1571,"AAAAAH//25Q=")</f>
        <v>#VALUE!</v>
      </c>
      <c r="ET117" t="e">
        <f>AND(Sheet1!#REF!,"AAAAAH//25U=")</f>
        <v>#REF!</v>
      </c>
      <c r="EU117" t="e">
        <f>AND(Sheet1!#REF!,"AAAAAH//25Y=")</f>
        <v>#REF!</v>
      </c>
      <c r="EV117" t="e">
        <f>AND(Sheet1!#REF!,"AAAAAH//25c=")</f>
        <v>#REF!</v>
      </c>
      <c r="EW117" t="e">
        <f>AND(Sheet1!#REF!,"AAAAAH//25g=")</f>
        <v>#REF!</v>
      </c>
      <c r="EX117">
        <f>IF(Sheet1!1572:1572,"AAAAAH//25k=",0)</f>
        <v>0</v>
      </c>
      <c r="EY117" t="e">
        <f>AND(Sheet1!A1572,"AAAAAH//25o=")</f>
        <v>#VALUE!</v>
      </c>
      <c r="EZ117" t="e">
        <f>AND(Sheet1!B1572,"AAAAAH//25s=")</f>
        <v>#VALUE!</v>
      </c>
      <c r="FA117" t="e">
        <f>AND(Sheet1!C1572,"AAAAAH//25w=")</f>
        <v>#VALUE!</v>
      </c>
      <c r="FB117" t="e">
        <f>AND(Sheet1!D1572,"AAAAAH//250=")</f>
        <v>#VALUE!</v>
      </c>
      <c r="FC117" t="e">
        <f>AND(Sheet1!E1572,"AAAAAH//254=")</f>
        <v>#VALUE!</v>
      </c>
      <c r="FD117" t="e">
        <f>AND(Sheet1!F1572,"AAAAAH//258=")</f>
        <v>#VALUE!</v>
      </c>
      <c r="FE117" t="e">
        <f>AND(Sheet1!G1572,"AAAAAH//26A=")</f>
        <v>#VALUE!</v>
      </c>
      <c r="FF117" t="e">
        <f>AND(Sheet1!H1572,"AAAAAH//26E=")</f>
        <v>#VALUE!</v>
      </c>
      <c r="FG117" t="e">
        <f>AND(Sheet1!I1572,"AAAAAH//26I=")</f>
        <v>#VALUE!</v>
      </c>
      <c r="FH117" t="e">
        <f>AND(Sheet1!J1572,"AAAAAH//26M=")</f>
        <v>#VALUE!</v>
      </c>
      <c r="FI117" t="e">
        <f>AND(Sheet1!K1572,"AAAAAH//26Q=")</f>
        <v>#VALUE!</v>
      </c>
      <c r="FJ117" t="e">
        <f>AND(Sheet1!L1572,"AAAAAH//26U=")</f>
        <v>#VALUE!</v>
      </c>
      <c r="FK117" t="e">
        <f>AND(Sheet1!M1572,"AAAAAH//26Y=")</f>
        <v>#VALUE!</v>
      </c>
      <c r="FL117" t="e">
        <f>AND(Sheet1!N1572,"AAAAAH//26c=")</f>
        <v>#VALUE!</v>
      </c>
      <c r="FM117" t="e">
        <f>AND(Sheet1!#REF!,"AAAAAH//26g=")</f>
        <v>#REF!</v>
      </c>
      <c r="FN117" t="e">
        <f>AND(Sheet1!#REF!,"AAAAAH//26k=")</f>
        <v>#REF!</v>
      </c>
      <c r="FO117" t="e">
        <f>AND(Sheet1!#REF!,"AAAAAH//26o=")</f>
        <v>#REF!</v>
      </c>
      <c r="FP117" t="e">
        <f>AND(Sheet1!#REF!,"AAAAAH//26s=")</f>
        <v>#REF!</v>
      </c>
      <c r="FQ117">
        <f>IF(Sheet1!1573:1573,"AAAAAH//26w=",0)</f>
        <v>0</v>
      </c>
      <c r="FR117" t="e">
        <f>AND(Sheet1!A1573,"AAAAAH//260=")</f>
        <v>#VALUE!</v>
      </c>
      <c r="FS117" t="e">
        <f>AND(Sheet1!B1573,"AAAAAH//264=")</f>
        <v>#VALUE!</v>
      </c>
      <c r="FT117" t="e">
        <f>AND(Sheet1!C1573,"AAAAAH//268=")</f>
        <v>#VALUE!</v>
      </c>
      <c r="FU117" t="e">
        <f>AND(Sheet1!D1573,"AAAAAH//27A=")</f>
        <v>#VALUE!</v>
      </c>
      <c r="FV117" t="e">
        <f>AND(Sheet1!E1573,"AAAAAH//27E=")</f>
        <v>#VALUE!</v>
      </c>
      <c r="FW117" t="e">
        <f>AND(Sheet1!F1573,"AAAAAH//27I=")</f>
        <v>#VALUE!</v>
      </c>
      <c r="FX117" t="e">
        <f>AND(Sheet1!G1573,"AAAAAH//27M=")</f>
        <v>#VALUE!</v>
      </c>
      <c r="FY117" t="e">
        <f>AND(Sheet1!H1573,"AAAAAH//27Q=")</f>
        <v>#VALUE!</v>
      </c>
      <c r="FZ117" t="e">
        <f>AND(Sheet1!I1573,"AAAAAH//27U=")</f>
        <v>#VALUE!</v>
      </c>
      <c r="GA117" t="e">
        <f>AND(Sheet1!J1573,"AAAAAH//27Y=")</f>
        <v>#VALUE!</v>
      </c>
      <c r="GB117" t="e">
        <f>AND(Sheet1!K1573,"AAAAAH//27c=")</f>
        <v>#VALUE!</v>
      </c>
      <c r="GC117" t="e">
        <f>AND(Sheet1!L1573,"AAAAAH//27g=")</f>
        <v>#VALUE!</v>
      </c>
      <c r="GD117" t="e">
        <f>AND(Sheet1!M1573,"AAAAAH//27k=")</f>
        <v>#VALUE!</v>
      </c>
      <c r="GE117" t="e">
        <f>AND(Sheet1!N1573,"AAAAAH//27o=")</f>
        <v>#VALUE!</v>
      </c>
      <c r="GF117" t="e">
        <f>AND(Sheet1!#REF!,"AAAAAH//27s=")</f>
        <v>#REF!</v>
      </c>
      <c r="GG117" t="e">
        <f>AND(Sheet1!#REF!,"AAAAAH//27w=")</f>
        <v>#REF!</v>
      </c>
      <c r="GH117" t="e">
        <f>AND(Sheet1!#REF!,"AAAAAH//270=")</f>
        <v>#REF!</v>
      </c>
      <c r="GI117" t="e">
        <f>AND(Sheet1!#REF!,"AAAAAH//274=")</f>
        <v>#REF!</v>
      </c>
      <c r="GJ117">
        <f>IF(Sheet1!1574:1574,"AAAAAH//278=",0)</f>
        <v>0</v>
      </c>
      <c r="GK117" t="e">
        <f>AND(Sheet1!A1574,"AAAAAH//28A=")</f>
        <v>#VALUE!</v>
      </c>
      <c r="GL117" t="e">
        <f>AND(Sheet1!B1574,"AAAAAH//28E=")</f>
        <v>#VALUE!</v>
      </c>
      <c r="GM117" t="e">
        <f>AND(Sheet1!C1574,"AAAAAH//28I=")</f>
        <v>#VALUE!</v>
      </c>
      <c r="GN117" t="e">
        <f>AND(Sheet1!D1574,"AAAAAH//28M=")</f>
        <v>#VALUE!</v>
      </c>
      <c r="GO117" t="e">
        <f>AND(Sheet1!E1574,"AAAAAH//28Q=")</f>
        <v>#VALUE!</v>
      </c>
      <c r="GP117" t="e">
        <f>AND(Sheet1!F1574,"AAAAAH//28U=")</f>
        <v>#VALUE!</v>
      </c>
      <c r="GQ117" t="e">
        <f>AND(Sheet1!G1574,"AAAAAH//28Y=")</f>
        <v>#VALUE!</v>
      </c>
      <c r="GR117" t="e">
        <f>AND(Sheet1!H1574,"AAAAAH//28c=")</f>
        <v>#VALUE!</v>
      </c>
      <c r="GS117" t="e">
        <f>AND(Sheet1!I1574,"AAAAAH//28g=")</f>
        <v>#VALUE!</v>
      </c>
      <c r="GT117" t="e">
        <f>AND(Sheet1!J1574,"AAAAAH//28k=")</f>
        <v>#VALUE!</v>
      </c>
      <c r="GU117" t="e">
        <f>AND(Sheet1!K1574,"AAAAAH//28o=")</f>
        <v>#VALUE!</v>
      </c>
      <c r="GV117" t="e">
        <f>AND(Sheet1!L1574,"AAAAAH//28s=")</f>
        <v>#VALUE!</v>
      </c>
      <c r="GW117" t="e">
        <f>AND(Sheet1!M1574,"AAAAAH//28w=")</f>
        <v>#VALUE!</v>
      </c>
      <c r="GX117" t="e">
        <f>AND(Sheet1!N1574,"AAAAAH//280=")</f>
        <v>#VALUE!</v>
      </c>
      <c r="GY117" t="e">
        <f>AND(Sheet1!#REF!,"AAAAAH//284=")</f>
        <v>#REF!</v>
      </c>
      <c r="GZ117" t="e">
        <f>AND(Sheet1!#REF!,"AAAAAH//288=")</f>
        <v>#REF!</v>
      </c>
      <c r="HA117" t="e">
        <f>AND(Sheet1!#REF!,"AAAAAH//29A=")</f>
        <v>#REF!</v>
      </c>
      <c r="HB117" t="e">
        <f>AND(Sheet1!#REF!,"AAAAAH//29E=")</f>
        <v>#REF!</v>
      </c>
      <c r="HC117">
        <f>IF(Sheet1!1575:1575,"AAAAAH//29I=",0)</f>
        <v>0</v>
      </c>
      <c r="HD117" t="e">
        <f>AND(Sheet1!A1575,"AAAAAH//29M=")</f>
        <v>#VALUE!</v>
      </c>
      <c r="HE117" t="e">
        <f>AND(Sheet1!B1575,"AAAAAH//29Q=")</f>
        <v>#VALUE!</v>
      </c>
      <c r="HF117" t="e">
        <f>AND(Sheet1!C1575,"AAAAAH//29U=")</f>
        <v>#VALUE!</v>
      </c>
      <c r="HG117" t="e">
        <f>AND(Sheet1!D1575,"AAAAAH//29Y=")</f>
        <v>#VALUE!</v>
      </c>
      <c r="HH117" t="e">
        <f>AND(Sheet1!E1575,"AAAAAH//29c=")</f>
        <v>#VALUE!</v>
      </c>
      <c r="HI117" t="e">
        <f>AND(Sheet1!F1575,"AAAAAH//29g=")</f>
        <v>#VALUE!</v>
      </c>
      <c r="HJ117" t="e">
        <f>AND(Sheet1!G1575,"AAAAAH//29k=")</f>
        <v>#VALUE!</v>
      </c>
      <c r="HK117" t="e">
        <f>AND(Sheet1!H1575,"AAAAAH//29o=")</f>
        <v>#VALUE!</v>
      </c>
      <c r="HL117" t="e">
        <f>AND(Sheet1!I1575,"AAAAAH//29s=")</f>
        <v>#VALUE!</v>
      </c>
      <c r="HM117" t="e">
        <f>AND(Sheet1!J1575,"AAAAAH//29w=")</f>
        <v>#VALUE!</v>
      </c>
      <c r="HN117" t="e">
        <f>AND(Sheet1!K1575,"AAAAAH//290=")</f>
        <v>#VALUE!</v>
      </c>
      <c r="HO117" t="e">
        <f>AND(Sheet1!L1575,"AAAAAH//294=")</f>
        <v>#VALUE!</v>
      </c>
      <c r="HP117" t="e">
        <f>AND(Sheet1!M1575,"AAAAAH//298=")</f>
        <v>#VALUE!</v>
      </c>
      <c r="HQ117" t="e">
        <f>AND(Sheet1!N1575,"AAAAAH//2+A=")</f>
        <v>#VALUE!</v>
      </c>
      <c r="HR117" t="e">
        <f>AND(Sheet1!#REF!,"AAAAAH//2+E=")</f>
        <v>#REF!</v>
      </c>
      <c r="HS117" t="e">
        <f>AND(Sheet1!#REF!,"AAAAAH//2+I=")</f>
        <v>#REF!</v>
      </c>
      <c r="HT117" t="e">
        <f>AND(Sheet1!#REF!,"AAAAAH//2+M=")</f>
        <v>#REF!</v>
      </c>
      <c r="HU117" t="e">
        <f>AND(Sheet1!#REF!,"AAAAAH//2+Q=")</f>
        <v>#REF!</v>
      </c>
      <c r="HV117">
        <f>IF(Sheet1!1576:1576,"AAAAAH//2+U=",0)</f>
        <v>0</v>
      </c>
      <c r="HW117" t="e">
        <f>AND(Sheet1!A1576,"AAAAAH//2+Y=")</f>
        <v>#VALUE!</v>
      </c>
      <c r="HX117" t="e">
        <f>AND(Sheet1!B1576,"AAAAAH//2+c=")</f>
        <v>#VALUE!</v>
      </c>
      <c r="HY117" t="e">
        <f>AND(Sheet1!C1576,"AAAAAH//2+g=")</f>
        <v>#VALUE!</v>
      </c>
      <c r="HZ117" t="e">
        <f>AND(Sheet1!D1576,"AAAAAH//2+k=")</f>
        <v>#VALUE!</v>
      </c>
      <c r="IA117" t="e">
        <f>AND(Sheet1!E1576,"AAAAAH//2+o=")</f>
        <v>#VALUE!</v>
      </c>
      <c r="IB117" t="e">
        <f>AND(Sheet1!F1576,"AAAAAH//2+s=")</f>
        <v>#VALUE!</v>
      </c>
      <c r="IC117" t="e">
        <f>AND(Sheet1!G1576,"AAAAAH//2+w=")</f>
        <v>#VALUE!</v>
      </c>
      <c r="ID117" t="e">
        <f>AND(Sheet1!H1576,"AAAAAH//2+0=")</f>
        <v>#VALUE!</v>
      </c>
      <c r="IE117" t="e">
        <f>AND(Sheet1!I1576,"AAAAAH//2+4=")</f>
        <v>#VALUE!</v>
      </c>
      <c r="IF117" t="e">
        <f>AND(Sheet1!J1576,"AAAAAH//2+8=")</f>
        <v>#VALUE!</v>
      </c>
      <c r="IG117" t="e">
        <f>AND(Sheet1!K1576,"AAAAAH//2/A=")</f>
        <v>#VALUE!</v>
      </c>
      <c r="IH117" t="e">
        <f>AND(Sheet1!L1576,"AAAAAH//2/E=")</f>
        <v>#VALUE!</v>
      </c>
      <c r="II117" t="e">
        <f>AND(Sheet1!M1576,"AAAAAH//2/I=")</f>
        <v>#VALUE!</v>
      </c>
      <c r="IJ117" t="e">
        <f>AND(Sheet1!N1576,"AAAAAH//2/M=")</f>
        <v>#VALUE!</v>
      </c>
      <c r="IK117" t="e">
        <f>AND(Sheet1!#REF!,"AAAAAH//2/Q=")</f>
        <v>#REF!</v>
      </c>
      <c r="IL117" t="e">
        <f>AND(Sheet1!#REF!,"AAAAAH//2/U=")</f>
        <v>#REF!</v>
      </c>
      <c r="IM117" t="e">
        <f>AND(Sheet1!#REF!,"AAAAAH//2/Y=")</f>
        <v>#REF!</v>
      </c>
      <c r="IN117" t="e">
        <f>AND(Sheet1!#REF!,"AAAAAH//2/c=")</f>
        <v>#REF!</v>
      </c>
      <c r="IO117">
        <f>IF(Sheet1!1577:1577,"AAAAAH//2/g=",0)</f>
        <v>0</v>
      </c>
      <c r="IP117" t="e">
        <f>AND(Sheet1!A1577,"AAAAAH//2/k=")</f>
        <v>#VALUE!</v>
      </c>
      <c r="IQ117" t="e">
        <f>AND(Sheet1!B1577,"AAAAAH//2/o=")</f>
        <v>#VALUE!</v>
      </c>
      <c r="IR117" t="e">
        <f>AND(Sheet1!C1577,"AAAAAH//2/s=")</f>
        <v>#VALUE!</v>
      </c>
      <c r="IS117" t="e">
        <f>AND(Sheet1!D1577,"AAAAAH//2/w=")</f>
        <v>#VALUE!</v>
      </c>
      <c r="IT117" t="e">
        <f>AND(Sheet1!E1577,"AAAAAH//2/0=")</f>
        <v>#VALUE!</v>
      </c>
      <c r="IU117" t="e">
        <f>AND(Sheet1!F1577,"AAAAAH//2/4=")</f>
        <v>#VALUE!</v>
      </c>
      <c r="IV117" t="e">
        <f>AND(Sheet1!G1577,"AAAAAH//2/8=")</f>
        <v>#VALUE!</v>
      </c>
    </row>
    <row r="118" spans="1:256" x14ac:dyDescent="0.2">
      <c r="A118" t="e">
        <f>AND(Sheet1!H1577,"AAAAAHnu7QA=")</f>
        <v>#VALUE!</v>
      </c>
      <c r="B118" t="e">
        <f>AND(Sheet1!I1577,"AAAAAHnu7QE=")</f>
        <v>#VALUE!</v>
      </c>
      <c r="C118" t="e">
        <f>AND(Sheet1!J1577,"AAAAAHnu7QI=")</f>
        <v>#VALUE!</v>
      </c>
      <c r="D118" t="e">
        <f>AND(Sheet1!K1577,"AAAAAHnu7QM=")</f>
        <v>#VALUE!</v>
      </c>
      <c r="E118" t="e">
        <f>AND(Sheet1!L1577,"AAAAAHnu7QQ=")</f>
        <v>#VALUE!</v>
      </c>
      <c r="F118" t="e">
        <f>AND(Sheet1!M1577,"AAAAAHnu7QU=")</f>
        <v>#VALUE!</v>
      </c>
      <c r="G118" t="e">
        <f>AND(Sheet1!N1577,"AAAAAHnu7QY=")</f>
        <v>#VALUE!</v>
      </c>
      <c r="H118" t="e">
        <f>AND(Sheet1!#REF!,"AAAAAHnu7Qc=")</f>
        <v>#REF!</v>
      </c>
      <c r="I118" t="e">
        <f>AND(Sheet1!#REF!,"AAAAAHnu7Qg=")</f>
        <v>#REF!</v>
      </c>
      <c r="J118" t="e">
        <f>AND(Sheet1!#REF!,"AAAAAHnu7Qk=")</f>
        <v>#REF!</v>
      </c>
      <c r="K118" t="e">
        <f>AND(Sheet1!#REF!,"AAAAAHnu7Qo=")</f>
        <v>#REF!</v>
      </c>
      <c r="L118">
        <f>IF(Sheet1!1578:1578,"AAAAAHnu7Qs=",0)</f>
        <v>0</v>
      </c>
      <c r="M118" t="e">
        <f>AND(Sheet1!A1578,"AAAAAHnu7Qw=")</f>
        <v>#VALUE!</v>
      </c>
      <c r="N118" t="e">
        <f>AND(Sheet1!B1578,"AAAAAHnu7Q0=")</f>
        <v>#VALUE!</v>
      </c>
      <c r="O118" t="e">
        <f>AND(Sheet1!C1578,"AAAAAHnu7Q4=")</f>
        <v>#VALUE!</v>
      </c>
      <c r="P118" t="e">
        <f>AND(Sheet1!D1578,"AAAAAHnu7Q8=")</f>
        <v>#VALUE!</v>
      </c>
      <c r="Q118" t="e">
        <f>AND(Sheet1!E1578,"AAAAAHnu7RA=")</f>
        <v>#VALUE!</v>
      </c>
      <c r="R118" t="e">
        <f>AND(Sheet1!F1578,"AAAAAHnu7RE=")</f>
        <v>#VALUE!</v>
      </c>
      <c r="S118" t="e">
        <f>AND(Sheet1!G1578,"AAAAAHnu7RI=")</f>
        <v>#VALUE!</v>
      </c>
      <c r="T118" t="e">
        <f>AND(Sheet1!H1578,"AAAAAHnu7RM=")</f>
        <v>#VALUE!</v>
      </c>
      <c r="U118" t="e">
        <f>AND(Sheet1!I1578,"AAAAAHnu7RQ=")</f>
        <v>#VALUE!</v>
      </c>
      <c r="V118" t="e">
        <f>AND(Sheet1!J1578,"AAAAAHnu7RU=")</f>
        <v>#VALUE!</v>
      </c>
      <c r="W118" t="e">
        <f>AND(Sheet1!K1578,"AAAAAHnu7RY=")</f>
        <v>#VALUE!</v>
      </c>
      <c r="X118" t="e">
        <f>AND(Sheet1!L1578,"AAAAAHnu7Rc=")</f>
        <v>#VALUE!</v>
      </c>
      <c r="Y118" t="e">
        <f>AND(Sheet1!M1578,"AAAAAHnu7Rg=")</f>
        <v>#VALUE!</v>
      </c>
      <c r="Z118" t="e">
        <f>AND(Sheet1!N1578,"AAAAAHnu7Rk=")</f>
        <v>#VALUE!</v>
      </c>
      <c r="AA118" t="e">
        <f>AND(Sheet1!#REF!,"AAAAAHnu7Ro=")</f>
        <v>#REF!</v>
      </c>
      <c r="AB118" t="e">
        <f>AND(Sheet1!#REF!,"AAAAAHnu7Rs=")</f>
        <v>#REF!</v>
      </c>
      <c r="AC118" t="e">
        <f>AND(Sheet1!#REF!,"AAAAAHnu7Rw=")</f>
        <v>#REF!</v>
      </c>
      <c r="AD118" t="e">
        <f>AND(Sheet1!#REF!,"AAAAAHnu7R0=")</f>
        <v>#REF!</v>
      </c>
      <c r="AE118">
        <f>IF(Sheet1!1579:1579,"AAAAAHnu7R4=",0)</f>
        <v>0</v>
      </c>
      <c r="AF118" t="e">
        <f>AND(Sheet1!A1579,"AAAAAHnu7R8=")</f>
        <v>#VALUE!</v>
      </c>
      <c r="AG118" t="e">
        <f>AND(Sheet1!B1579,"AAAAAHnu7SA=")</f>
        <v>#VALUE!</v>
      </c>
      <c r="AH118" t="e">
        <f>AND(Sheet1!C1579,"AAAAAHnu7SE=")</f>
        <v>#VALUE!</v>
      </c>
      <c r="AI118" t="e">
        <f>AND(Sheet1!D1579,"AAAAAHnu7SI=")</f>
        <v>#VALUE!</v>
      </c>
      <c r="AJ118" t="e">
        <f>AND(Sheet1!E1579,"AAAAAHnu7SM=")</f>
        <v>#VALUE!</v>
      </c>
      <c r="AK118" t="e">
        <f>AND(Sheet1!F1579,"AAAAAHnu7SQ=")</f>
        <v>#VALUE!</v>
      </c>
      <c r="AL118" t="e">
        <f>AND(Sheet1!G1579,"AAAAAHnu7SU=")</f>
        <v>#VALUE!</v>
      </c>
      <c r="AM118" t="e">
        <f>AND(Sheet1!H1579,"AAAAAHnu7SY=")</f>
        <v>#VALUE!</v>
      </c>
      <c r="AN118" t="e">
        <f>AND(Sheet1!I1579,"AAAAAHnu7Sc=")</f>
        <v>#VALUE!</v>
      </c>
      <c r="AO118" t="e">
        <f>AND(Sheet1!J1579,"AAAAAHnu7Sg=")</f>
        <v>#VALUE!</v>
      </c>
      <c r="AP118" t="e">
        <f>AND(Sheet1!K1579,"AAAAAHnu7Sk=")</f>
        <v>#VALUE!</v>
      </c>
      <c r="AQ118" t="e">
        <f>AND(Sheet1!L1579,"AAAAAHnu7So=")</f>
        <v>#VALUE!</v>
      </c>
      <c r="AR118" t="e">
        <f>AND(Sheet1!M1579,"AAAAAHnu7Ss=")</f>
        <v>#VALUE!</v>
      </c>
      <c r="AS118" t="e">
        <f>AND(Sheet1!N1579,"AAAAAHnu7Sw=")</f>
        <v>#VALUE!</v>
      </c>
      <c r="AT118" t="e">
        <f>AND(Sheet1!#REF!,"AAAAAHnu7S0=")</f>
        <v>#REF!</v>
      </c>
      <c r="AU118" t="e">
        <f>AND(Sheet1!#REF!,"AAAAAHnu7S4=")</f>
        <v>#REF!</v>
      </c>
      <c r="AV118" t="e">
        <f>AND(Sheet1!#REF!,"AAAAAHnu7S8=")</f>
        <v>#REF!</v>
      </c>
      <c r="AW118" t="e">
        <f>AND(Sheet1!#REF!,"AAAAAHnu7TA=")</f>
        <v>#REF!</v>
      </c>
      <c r="AX118">
        <f>IF(Sheet1!1580:1580,"AAAAAHnu7TE=",0)</f>
        <v>0</v>
      </c>
      <c r="AY118" t="e">
        <f>AND(Sheet1!A1580,"AAAAAHnu7TI=")</f>
        <v>#VALUE!</v>
      </c>
      <c r="AZ118" t="e">
        <f>AND(Sheet1!B1580,"AAAAAHnu7TM=")</f>
        <v>#VALUE!</v>
      </c>
      <c r="BA118" t="e">
        <f>AND(Sheet1!C1580,"AAAAAHnu7TQ=")</f>
        <v>#VALUE!</v>
      </c>
      <c r="BB118" t="e">
        <f>AND(Sheet1!D1580,"AAAAAHnu7TU=")</f>
        <v>#VALUE!</v>
      </c>
      <c r="BC118" t="e">
        <f>AND(Sheet1!E1580,"AAAAAHnu7TY=")</f>
        <v>#VALUE!</v>
      </c>
      <c r="BD118" t="e">
        <f>AND(Sheet1!F1580,"AAAAAHnu7Tc=")</f>
        <v>#VALUE!</v>
      </c>
      <c r="BE118" t="e">
        <f>AND(Sheet1!G1580,"AAAAAHnu7Tg=")</f>
        <v>#VALUE!</v>
      </c>
      <c r="BF118" t="e">
        <f>AND(Sheet1!H1580,"AAAAAHnu7Tk=")</f>
        <v>#VALUE!</v>
      </c>
      <c r="BG118" t="e">
        <f>AND(Sheet1!I1580,"AAAAAHnu7To=")</f>
        <v>#VALUE!</v>
      </c>
      <c r="BH118" t="e">
        <f>AND(Sheet1!J1580,"AAAAAHnu7Ts=")</f>
        <v>#VALUE!</v>
      </c>
      <c r="BI118" t="e">
        <f>AND(Sheet1!K1580,"AAAAAHnu7Tw=")</f>
        <v>#VALUE!</v>
      </c>
      <c r="BJ118" t="e">
        <f>AND(Sheet1!L1580,"AAAAAHnu7T0=")</f>
        <v>#VALUE!</v>
      </c>
      <c r="BK118" t="e">
        <f>AND(Sheet1!M1580,"AAAAAHnu7T4=")</f>
        <v>#VALUE!</v>
      </c>
      <c r="BL118" t="e">
        <f>AND(Sheet1!N1580,"AAAAAHnu7T8=")</f>
        <v>#VALUE!</v>
      </c>
      <c r="BM118" t="e">
        <f>AND(Sheet1!#REF!,"AAAAAHnu7UA=")</f>
        <v>#REF!</v>
      </c>
      <c r="BN118" t="e">
        <f>AND(Sheet1!#REF!,"AAAAAHnu7UE=")</f>
        <v>#REF!</v>
      </c>
      <c r="BO118" t="e">
        <f>AND(Sheet1!#REF!,"AAAAAHnu7UI=")</f>
        <v>#REF!</v>
      </c>
      <c r="BP118" t="e">
        <f>AND(Sheet1!#REF!,"AAAAAHnu7UM=")</f>
        <v>#REF!</v>
      </c>
      <c r="BQ118">
        <f>IF(Sheet1!1581:1581,"AAAAAHnu7UQ=",0)</f>
        <v>0</v>
      </c>
      <c r="BR118" t="e">
        <f>AND(Sheet1!A1581,"AAAAAHnu7UU=")</f>
        <v>#VALUE!</v>
      </c>
      <c r="BS118" t="e">
        <f>AND(Sheet1!B1581,"AAAAAHnu7UY=")</f>
        <v>#VALUE!</v>
      </c>
      <c r="BT118" t="e">
        <f>AND(Sheet1!C1581,"AAAAAHnu7Uc=")</f>
        <v>#VALUE!</v>
      </c>
      <c r="BU118" t="e">
        <f>AND(Sheet1!D1581,"AAAAAHnu7Ug=")</f>
        <v>#VALUE!</v>
      </c>
      <c r="BV118" t="e">
        <f>AND(Sheet1!E1581,"AAAAAHnu7Uk=")</f>
        <v>#VALUE!</v>
      </c>
      <c r="BW118" t="e">
        <f>AND(Sheet1!F1581,"AAAAAHnu7Uo=")</f>
        <v>#VALUE!</v>
      </c>
      <c r="BX118" t="e">
        <f>AND(Sheet1!G1581,"AAAAAHnu7Us=")</f>
        <v>#VALUE!</v>
      </c>
      <c r="BY118" t="e">
        <f>AND(Sheet1!H1581,"AAAAAHnu7Uw=")</f>
        <v>#VALUE!</v>
      </c>
      <c r="BZ118" t="e">
        <f>AND(Sheet1!I1581,"AAAAAHnu7U0=")</f>
        <v>#VALUE!</v>
      </c>
      <c r="CA118" t="e">
        <f>AND(Sheet1!J1581,"AAAAAHnu7U4=")</f>
        <v>#VALUE!</v>
      </c>
      <c r="CB118" t="e">
        <f>AND(Sheet1!K1581,"AAAAAHnu7U8=")</f>
        <v>#VALUE!</v>
      </c>
      <c r="CC118" t="e">
        <f>AND(Sheet1!L1581,"AAAAAHnu7VA=")</f>
        <v>#VALUE!</v>
      </c>
      <c r="CD118" t="e">
        <f>AND(Sheet1!M1581,"AAAAAHnu7VE=")</f>
        <v>#VALUE!</v>
      </c>
      <c r="CE118" t="e">
        <f>AND(Sheet1!N1581,"AAAAAHnu7VI=")</f>
        <v>#VALUE!</v>
      </c>
      <c r="CF118" t="e">
        <f>AND(Sheet1!#REF!,"AAAAAHnu7VM=")</f>
        <v>#REF!</v>
      </c>
      <c r="CG118" t="e">
        <f>AND(Sheet1!#REF!,"AAAAAHnu7VQ=")</f>
        <v>#REF!</v>
      </c>
      <c r="CH118" t="e">
        <f>AND(Sheet1!#REF!,"AAAAAHnu7VU=")</f>
        <v>#REF!</v>
      </c>
      <c r="CI118" t="e">
        <f>AND(Sheet1!#REF!,"AAAAAHnu7VY=")</f>
        <v>#REF!</v>
      </c>
      <c r="CJ118">
        <f>IF(Sheet1!1582:1582,"AAAAAHnu7Vc=",0)</f>
        <v>0</v>
      </c>
      <c r="CK118" t="e">
        <f>AND(Sheet1!A1582,"AAAAAHnu7Vg=")</f>
        <v>#VALUE!</v>
      </c>
      <c r="CL118" t="e">
        <f>AND(Sheet1!B1582,"AAAAAHnu7Vk=")</f>
        <v>#VALUE!</v>
      </c>
      <c r="CM118" t="e">
        <f>AND(Sheet1!C1582,"AAAAAHnu7Vo=")</f>
        <v>#VALUE!</v>
      </c>
      <c r="CN118" t="e">
        <f>AND(Sheet1!D1582,"AAAAAHnu7Vs=")</f>
        <v>#VALUE!</v>
      </c>
      <c r="CO118" t="e">
        <f>AND(Sheet1!E1582,"AAAAAHnu7Vw=")</f>
        <v>#VALUE!</v>
      </c>
      <c r="CP118" t="e">
        <f>AND(Sheet1!F1582,"AAAAAHnu7V0=")</f>
        <v>#VALUE!</v>
      </c>
      <c r="CQ118" t="e">
        <f>AND(Sheet1!G1582,"AAAAAHnu7V4=")</f>
        <v>#VALUE!</v>
      </c>
      <c r="CR118" t="e">
        <f>AND(Sheet1!H1582,"AAAAAHnu7V8=")</f>
        <v>#VALUE!</v>
      </c>
      <c r="CS118" t="e">
        <f>AND(Sheet1!I1582,"AAAAAHnu7WA=")</f>
        <v>#VALUE!</v>
      </c>
      <c r="CT118" t="e">
        <f>AND(Sheet1!J1582,"AAAAAHnu7WE=")</f>
        <v>#VALUE!</v>
      </c>
      <c r="CU118" t="e">
        <f>AND(Sheet1!K1582,"AAAAAHnu7WI=")</f>
        <v>#VALUE!</v>
      </c>
      <c r="CV118" t="e">
        <f>AND(Sheet1!L1582,"AAAAAHnu7WM=")</f>
        <v>#VALUE!</v>
      </c>
      <c r="CW118" t="e">
        <f>AND(Sheet1!M1582,"AAAAAHnu7WQ=")</f>
        <v>#VALUE!</v>
      </c>
      <c r="CX118" t="e">
        <f>AND(Sheet1!N1582,"AAAAAHnu7WU=")</f>
        <v>#VALUE!</v>
      </c>
      <c r="CY118" t="e">
        <f>AND(Sheet1!#REF!,"AAAAAHnu7WY=")</f>
        <v>#REF!</v>
      </c>
      <c r="CZ118" t="e">
        <f>AND(Sheet1!#REF!,"AAAAAHnu7Wc=")</f>
        <v>#REF!</v>
      </c>
      <c r="DA118" t="e">
        <f>AND(Sheet1!#REF!,"AAAAAHnu7Wg=")</f>
        <v>#REF!</v>
      </c>
      <c r="DB118" t="e">
        <f>AND(Sheet1!#REF!,"AAAAAHnu7Wk=")</f>
        <v>#REF!</v>
      </c>
      <c r="DC118">
        <f>IF(Sheet1!1583:1583,"AAAAAHnu7Wo=",0)</f>
        <v>0</v>
      </c>
      <c r="DD118" t="e">
        <f>AND(Sheet1!A1583,"AAAAAHnu7Ws=")</f>
        <v>#VALUE!</v>
      </c>
      <c r="DE118" t="e">
        <f>AND(Sheet1!B1583,"AAAAAHnu7Ww=")</f>
        <v>#VALUE!</v>
      </c>
      <c r="DF118" t="e">
        <f>AND(Sheet1!C1583,"AAAAAHnu7W0=")</f>
        <v>#VALUE!</v>
      </c>
      <c r="DG118" t="e">
        <f>AND(Sheet1!D1583,"AAAAAHnu7W4=")</f>
        <v>#VALUE!</v>
      </c>
      <c r="DH118" t="e">
        <f>AND(Sheet1!E1583,"AAAAAHnu7W8=")</f>
        <v>#VALUE!</v>
      </c>
      <c r="DI118" t="e">
        <f>AND(Sheet1!F1583,"AAAAAHnu7XA=")</f>
        <v>#VALUE!</v>
      </c>
      <c r="DJ118" t="e">
        <f>AND(Sheet1!G1583,"AAAAAHnu7XE=")</f>
        <v>#VALUE!</v>
      </c>
      <c r="DK118" t="e">
        <f>AND(Sheet1!H1583,"AAAAAHnu7XI=")</f>
        <v>#VALUE!</v>
      </c>
      <c r="DL118" t="e">
        <f>AND(Sheet1!I1583,"AAAAAHnu7XM=")</f>
        <v>#VALUE!</v>
      </c>
      <c r="DM118" t="e">
        <f>AND(Sheet1!J1583,"AAAAAHnu7XQ=")</f>
        <v>#VALUE!</v>
      </c>
      <c r="DN118" t="e">
        <f>AND(Sheet1!K1583,"AAAAAHnu7XU=")</f>
        <v>#VALUE!</v>
      </c>
      <c r="DO118" t="e">
        <f>AND(Sheet1!L1583,"AAAAAHnu7XY=")</f>
        <v>#VALUE!</v>
      </c>
      <c r="DP118" t="e">
        <f>AND(Sheet1!M1583,"AAAAAHnu7Xc=")</f>
        <v>#VALUE!</v>
      </c>
      <c r="DQ118" t="e">
        <f>AND(Sheet1!N1583,"AAAAAHnu7Xg=")</f>
        <v>#VALUE!</v>
      </c>
      <c r="DR118" t="e">
        <f>AND(Sheet1!#REF!,"AAAAAHnu7Xk=")</f>
        <v>#REF!</v>
      </c>
      <c r="DS118" t="e">
        <f>AND(Sheet1!#REF!,"AAAAAHnu7Xo=")</f>
        <v>#REF!</v>
      </c>
      <c r="DT118" t="e">
        <f>AND(Sheet1!#REF!,"AAAAAHnu7Xs=")</f>
        <v>#REF!</v>
      </c>
      <c r="DU118" t="e">
        <f>AND(Sheet1!#REF!,"AAAAAHnu7Xw=")</f>
        <v>#REF!</v>
      </c>
      <c r="DV118">
        <f>IF(Sheet1!1584:1584,"AAAAAHnu7X0=",0)</f>
        <v>0</v>
      </c>
      <c r="DW118" t="e">
        <f>AND(Sheet1!A1584,"AAAAAHnu7X4=")</f>
        <v>#VALUE!</v>
      </c>
      <c r="DX118" t="e">
        <f>AND(Sheet1!B1584,"AAAAAHnu7X8=")</f>
        <v>#VALUE!</v>
      </c>
      <c r="DY118" t="e">
        <f>AND(Sheet1!C1584,"AAAAAHnu7YA=")</f>
        <v>#VALUE!</v>
      </c>
      <c r="DZ118" t="e">
        <f>AND(Sheet1!D1584,"AAAAAHnu7YE=")</f>
        <v>#VALUE!</v>
      </c>
      <c r="EA118" t="e">
        <f>AND(Sheet1!E1584,"AAAAAHnu7YI=")</f>
        <v>#VALUE!</v>
      </c>
      <c r="EB118" t="e">
        <f>AND(Sheet1!F1584,"AAAAAHnu7YM=")</f>
        <v>#VALUE!</v>
      </c>
      <c r="EC118" t="e">
        <f>AND(Sheet1!G1584,"AAAAAHnu7YQ=")</f>
        <v>#VALUE!</v>
      </c>
      <c r="ED118" t="e">
        <f>AND(Sheet1!H1584,"AAAAAHnu7YU=")</f>
        <v>#VALUE!</v>
      </c>
      <c r="EE118" t="e">
        <f>AND(Sheet1!I1584,"AAAAAHnu7YY=")</f>
        <v>#VALUE!</v>
      </c>
      <c r="EF118" t="e">
        <f>AND(Sheet1!J1584,"AAAAAHnu7Yc=")</f>
        <v>#VALUE!</v>
      </c>
      <c r="EG118" t="e">
        <f>AND(Sheet1!K1584,"AAAAAHnu7Yg=")</f>
        <v>#VALUE!</v>
      </c>
      <c r="EH118" t="e">
        <f>AND(Sheet1!L1584,"AAAAAHnu7Yk=")</f>
        <v>#VALUE!</v>
      </c>
      <c r="EI118" t="e">
        <f>AND(Sheet1!M1584,"AAAAAHnu7Yo=")</f>
        <v>#VALUE!</v>
      </c>
      <c r="EJ118" t="e">
        <f>AND(Sheet1!N1584,"AAAAAHnu7Ys=")</f>
        <v>#VALUE!</v>
      </c>
      <c r="EK118" t="e">
        <f>AND(Sheet1!#REF!,"AAAAAHnu7Yw=")</f>
        <v>#REF!</v>
      </c>
      <c r="EL118" t="e">
        <f>AND(Sheet1!#REF!,"AAAAAHnu7Y0=")</f>
        <v>#REF!</v>
      </c>
      <c r="EM118" t="e">
        <f>AND(Sheet1!#REF!,"AAAAAHnu7Y4=")</f>
        <v>#REF!</v>
      </c>
      <c r="EN118" t="e">
        <f>AND(Sheet1!#REF!,"AAAAAHnu7Y8=")</f>
        <v>#REF!</v>
      </c>
      <c r="EO118">
        <f>IF(Sheet1!1585:1585,"AAAAAHnu7ZA=",0)</f>
        <v>0</v>
      </c>
      <c r="EP118" t="e">
        <f>AND(Sheet1!A1585,"AAAAAHnu7ZE=")</f>
        <v>#VALUE!</v>
      </c>
      <c r="EQ118" t="e">
        <f>AND(Sheet1!B1585,"AAAAAHnu7ZI=")</f>
        <v>#VALUE!</v>
      </c>
      <c r="ER118" t="e">
        <f>AND(Sheet1!C1585,"AAAAAHnu7ZM=")</f>
        <v>#VALUE!</v>
      </c>
      <c r="ES118" t="e">
        <f>AND(Sheet1!D1585,"AAAAAHnu7ZQ=")</f>
        <v>#VALUE!</v>
      </c>
      <c r="ET118" t="e">
        <f>AND(Sheet1!E1585,"AAAAAHnu7ZU=")</f>
        <v>#VALUE!</v>
      </c>
      <c r="EU118" t="e">
        <f>AND(Sheet1!F1585,"AAAAAHnu7ZY=")</f>
        <v>#VALUE!</v>
      </c>
      <c r="EV118" t="e">
        <f>AND(Sheet1!G1585,"AAAAAHnu7Zc=")</f>
        <v>#VALUE!</v>
      </c>
      <c r="EW118" t="e">
        <f>AND(Sheet1!H1585,"AAAAAHnu7Zg=")</f>
        <v>#VALUE!</v>
      </c>
      <c r="EX118" t="e">
        <f>AND(Sheet1!I1585,"AAAAAHnu7Zk=")</f>
        <v>#VALUE!</v>
      </c>
      <c r="EY118" t="e">
        <f>AND(Sheet1!J1585,"AAAAAHnu7Zo=")</f>
        <v>#VALUE!</v>
      </c>
      <c r="EZ118" t="e">
        <f>AND(Sheet1!K1585,"AAAAAHnu7Zs=")</f>
        <v>#VALUE!</v>
      </c>
      <c r="FA118" t="e">
        <f>AND(Sheet1!L1585,"AAAAAHnu7Zw=")</f>
        <v>#VALUE!</v>
      </c>
      <c r="FB118" t="e">
        <f>AND(Sheet1!M1585,"AAAAAHnu7Z0=")</f>
        <v>#VALUE!</v>
      </c>
      <c r="FC118" t="e">
        <f>AND(Sheet1!N1585,"AAAAAHnu7Z4=")</f>
        <v>#VALUE!</v>
      </c>
      <c r="FD118" t="e">
        <f>AND(Sheet1!#REF!,"AAAAAHnu7Z8=")</f>
        <v>#REF!</v>
      </c>
      <c r="FE118" t="e">
        <f>AND(Sheet1!#REF!,"AAAAAHnu7aA=")</f>
        <v>#REF!</v>
      </c>
      <c r="FF118" t="e">
        <f>AND(Sheet1!#REF!,"AAAAAHnu7aE=")</f>
        <v>#REF!</v>
      </c>
      <c r="FG118" t="e">
        <f>AND(Sheet1!#REF!,"AAAAAHnu7aI=")</f>
        <v>#REF!</v>
      </c>
      <c r="FH118">
        <f>IF(Sheet1!1586:1586,"AAAAAHnu7aM=",0)</f>
        <v>0</v>
      </c>
      <c r="FI118" t="e">
        <f>AND(Sheet1!A1586,"AAAAAHnu7aQ=")</f>
        <v>#VALUE!</v>
      </c>
      <c r="FJ118" t="e">
        <f>AND(Sheet1!B1586,"AAAAAHnu7aU=")</f>
        <v>#VALUE!</v>
      </c>
      <c r="FK118" t="e">
        <f>AND(Sheet1!C1586,"AAAAAHnu7aY=")</f>
        <v>#VALUE!</v>
      </c>
      <c r="FL118" t="e">
        <f>AND(Sheet1!D1586,"AAAAAHnu7ac=")</f>
        <v>#VALUE!</v>
      </c>
      <c r="FM118" t="e">
        <f>AND(Sheet1!E1586,"AAAAAHnu7ag=")</f>
        <v>#VALUE!</v>
      </c>
      <c r="FN118" t="e">
        <f>AND(Sheet1!F1586,"AAAAAHnu7ak=")</f>
        <v>#VALUE!</v>
      </c>
      <c r="FO118" t="e">
        <f>AND(Sheet1!G1586,"AAAAAHnu7ao=")</f>
        <v>#VALUE!</v>
      </c>
      <c r="FP118" t="e">
        <f>AND(Sheet1!H1586,"AAAAAHnu7as=")</f>
        <v>#VALUE!</v>
      </c>
      <c r="FQ118" t="e">
        <f>AND(Sheet1!I1586,"AAAAAHnu7aw=")</f>
        <v>#VALUE!</v>
      </c>
      <c r="FR118" t="e">
        <f>AND(Sheet1!J1586,"AAAAAHnu7a0=")</f>
        <v>#VALUE!</v>
      </c>
      <c r="FS118" t="e">
        <f>AND(Sheet1!K1586,"AAAAAHnu7a4=")</f>
        <v>#VALUE!</v>
      </c>
      <c r="FT118" t="e">
        <f>AND(Sheet1!L1586,"AAAAAHnu7a8=")</f>
        <v>#VALUE!</v>
      </c>
      <c r="FU118" t="e">
        <f>AND(Sheet1!M1586,"AAAAAHnu7bA=")</f>
        <v>#VALUE!</v>
      </c>
      <c r="FV118" t="e">
        <f>AND(Sheet1!N1586,"AAAAAHnu7bE=")</f>
        <v>#VALUE!</v>
      </c>
      <c r="FW118" t="e">
        <f>AND(Sheet1!#REF!,"AAAAAHnu7bI=")</f>
        <v>#REF!</v>
      </c>
      <c r="FX118" t="e">
        <f>AND(Sheet1!#REF!,"AAAAAHnu7bM=")</f>
        <v>#REF!</v>
      </c>
      <c r="FY118" t="e">
        <f>AND(Sheet1!#REF!,"AAAAAHnu7bQ=")</f>
        <v>#REF!</v>
      </c>
      <c r="FZ118" t="e">
        <f>AND(Sheet1!#REF!,"AAAAAHnu7bU=")</f>
        <v>#REF!</v>
      </c>
      <c r="GA118">
        <f>IF(Sheet1!1587:1587,"AAAAAHnu7bY=",0)</f>
        <v>0</v>
      </c>
      <c r="GB118" t="e">
        <f>AND(Sheet1!A1587,"AAAAAHnu7bc=")</f>
        <v>#VALUE!</v>
      </c>
      <c r="GC118" t="e">
        <f>AND(Sheet1!B1587,"AAAAAHnu7bg=")</f>
        <v>#VALUE!</v>
      </c>
      <c r="GD118" t="e">
        <f>AND(Sheet1!C1587,"AAAAAHnu7bk=")</f>
        <v>#VALUE!</v>
      </c>
      <c r="GE118" t="e">
        <f>AND(Sheet1!D1587,"AAAAAHnu7bo=")</f>
        <v>#VALUE!</v>
      </c>
      <c r="GF118" t="e">
        <f>AND(Sheet1!E1587,"AAAAAHnu7bs=")</f>
        <v>#VALUE!</v>
      </c>
      <c r="GG118" t="e">
        <f>AND(Sheet1!F1587,"AAAAAHnu7bw=")</f>
        <v>#VALUE!</v>
      </c>
      <c r="GH118" t="e">
        <f>AND(Sheet1!G1587,"AAAAAHnu7b0=")</f>
        <v>#VALUE!</v>
      </c>
      <c r="GI118" t="e">
        <f>AND(Sheet1!H1587,"AAAAAHnu7b4=")</f>
        <v>#VALUE!</v>
      </c>
      <c r="GJ118" t="e">
        <f>AND(Sheet1!I1587,"AAAAAHnu7b8=")</f>
        <v>#VALUE!</v>
      </c>
      <c r="GK118" t="e">
        <f>AND(Sheet1!J1587,"AAAAAHnu7cA=")</f>
        <v>#VALUE!</v>
      </c>
      <c r="GL118" t="e">
        <f>AND(Sheet1!K1587,"AAAAAHnu7cE=")</f>
        <v>#VALUE!</v>
      </c>
      <c r="GM118" t="e">
        <f>AND(Sheet1!L1587,"AAAAAHnu7cI=")</f>
        <v>#VALUE!</v>
      </c>
      <c r="GN118" t="e">
        <f>AND(Sheet1!M1587,"AAAAAHnu7cM=")</f>
        <v>#VALUE!</v>
      </c>
      <c r="GO118" t="e">
        <f>AND(Sheet1!N1587,"AAAAAHnu7cQ=")</f>
        <v>#VALUE!</v>
      </c>
      <c r="GP118" t="e">
        <f>AND(Sheet1!#REF!,"AAAAAHnu7cU=")</f>
        <v>#REF!</v>
      </c>
      <c r="GQ118" t="e">
        <f>AND(Sheet1!#REF!,"AAAAAHnu7cY=")</f>
        <v>#REF!</v>
      </c>
      <c r="GR118" t="e">
        <f>AND(Sheet1!#REF!,"AAAAAHnu7cc=")</f>
        <v>#REF!</v>
      </c>
      <c r="GS118" t="e">
        <f>AND(Sheet1!#REF!,"AAAAAHnu7cg=")</f>
        <v>#REF!</v>
      </c>
      <c r="GT118">
        <f>IF(Sheet1!1588:1588,"AAAAAHnu7ck=",0)</f>
        <v>0</v>
      </c>
      <c r="GU118" t="e">
        <f>AND(Sheet1!A1588,"AAAAAHnu7co=")</f>
        <v>#VALUE!</v>
      </c>
      <c r="GV118" t="e">
        <f>AND(Sheet1!B1588,"AAAAAHnu7cs=")</f>
        <v>#VALUE!</v>
      </c>
      <c r="GW118" t="e">
        <f>AND(Sheet1!C1588,"AAAAAHnu7cw=")</f>
        <v>#VALUE!</v>
      </c>
      <c r="GX118" t="e">
        <f>AND(Sheet1!D1588,"AAAAAHnu7c0=")</f>
        <v>#VALUE!</v>
      </c>
      <c r="GY118" t="e">
        <f>AND(Sheet1!E1588,"AAAAAHnu7c4=")</f>
        <v>#VALUE!</v>
      </c>
      <c r="GZ118" t="e">
        <f>AND(Sheet1!F1588,"AAAAAHnu7c8=")</f>
        <v>#VALUE!</v>
      </c>
      <c r="HA118" t="e">
        <f>AND(Sheet1!G1588,"AAAAAHnu7dA=")</f>
        <v>#VALUE!</v>
      </c>
      <c r="HB118" t="e">
        <f>AND(Sheet1!H1588,"AAAAAHnu7dE=")</f>
        <v>#VALUE!</v>
      </c>
      <c r="HC118" t="e">
        <f>AND(Sheet1!I1588,"AAAAAHnu7dI=")</f>
        <v>#VALUE!</v>
      </c>
      <c r="HD118" t="e">
        <f>AND(Sheet1!J1588,"AAAAAHnu7dM=")</f>
        <v>#VALUE!</v>
      </c>
      <c r="HE118" t="e">
        <f>AND(Sheet1!K1588,"AAAAAHnu7dQ=")</f>
        <v>#VALUE!</v>
      </c>
      <c r="HF118" t="e">
        <f>AND(Sheet1!L1588,"AAAAAHnu7dU=")</f>
        <v>#VALUE!</v>
      </c>
      <c r="HG118" t="e">
        <f>AND(Sheet1!M1588,"AAAAAHnu7dY=")</f>
        <v>#VALUE!</v>
      </c>
      <c r="HH118" t="e">
        <f>AND(Sheet1!N1588,"AAAAAHnu7dc=")</f>
        <v>#VALUE!</v>
      </c>
      <c r="HI118" t="e">
        <f>AND(Sheet1!#REF!,"AAAAAHnu7dg=")</f>
        <v>#REF!</v>
      </c>
      <c r="HJ118" t="e">
        <f>AND(Sheet1!#REF!,"AAAAAHnu7dk=")</f>
        <v>#REF!</v>
      </c>
      <c r="HK118" t="e">
        <f>AND(Sheet1!#REF!,"AAAAAHnu7do=")</f>
        <v>#REF!</v>
      </c>
      <c r="HL118" t="e">
        <f>AND(Sheet1!#REF!,"AAAAAHnu7ds=")</f>
        <v>#REF!</v>
      </c>
      <c r="HM118">
        <f>IF(Sheet1!1589:1589,"AAAAAHnu7dw=",0)</f>
        <v>0</v>
      </c>
      <c r="HN118" t="e">
        <f>AND(Sheet1!A1589,"AAAAAHnu7d0=")</f>
        <v>#VALUE!</v>
      </c>
      <c r="HO118" t="e">
        <f>AND(Sheet1!B1589,"AAAAAHnu7d4=")</f>
        <v>#VALUE!</v>
      </c>
      <c r="HP118" t="e">
        <f>AND(Sheet1!C1589,"AAAAAHnu7d8=")</f>
        <v>#VALUE!</v>
      </c>
      <c r="HQ118" t="e">
        <f>AND(Sheet1!D1589,"AAAAAHnu7eA=")</f>
        <v>#VALUE!</v>
      </c>
      <c r="HR118" t="e">
        <f>AND(Sheet1!E1589,"AAAAAHnu7eE=")</f>
        <v>#VALUE!</v>
      </c>
      <c r="HS118" t="e">
        <f>AND(Sheet1!F1589,"AAAAAHnu7eI=")</f>
        <v>#VALUE!</v>
      </c>
      <c r="HT118" t="e">
        <f>AND(Sheet1!G1589,"AAAAAHnu7eM=")</f>
        <v>#VALUE!</v>
      </c>
      <c r="HU118" t="e">
        <f>AND(Sheet1!H1589,"AAAAAHnu7eQ=")</f>
        <v>#VALUE!</v>
      </c>
      <c r="HV118" t="e">
        <f>AND(Sheet1!I1589,"AAAAAHnu7eU=")</f>
        <v>#VALUE!</v>
      </c>
      <c r="HW118" t="e">
        <f>AND(Sheet1!J1589,"AAAAAHnu7eY=")</f>
        <v>#VALUE!</v>
      </c>
      <c r="HX118" t="e">
        <f>AND(Sheet1!K1589,"AAAAAHnu7ec=")</f>
        <v>#VALUE!</v>
      </c>
      <c r="HY118" t="e">
        <f>AND(Sheet1!L1589,"AAAAAHnu7eg=")</f>
        <v>#VALUE!</v>
      </c>
      <c r="HZ118" t="e">
        <f>AND(Sheet1!M1589,"AAAAAHnu7ek=")</f>
        <v>#VALUE!</v>
      </c>
      <c r="IA118" t="e">
        <f>AND(Sheet1!N1589,"AAAAAHnu7eo=")</f>
        <v>#VALUE!</v>
      </c>
      <c r="IB118" t="e">
        <f>AND(Sheet1!#REF!,"AAAAAHnu7es=")</f>
        <v>#REF!</v>
      </c>
      <c r="IC118" t="e">
        <f>AND(Sheet1!#REF!,"AAAAAHnu7ew=")</f>
        <v>#REF!</v>
      </c>
      <c r="ID118" t="e">
        <f>AND(Sheet1!#REF!,"AAAAAHnu7e0=")</f>
        <v>#REF!</v>
      </c>
      <c r="IE118" t="e">
        <f>AND(Sheet1!#REF!,"AAAAAHnu7e4=")</f>
        <v>#REF!</v>
      </c>
      <c r="IF118">
        <f>IF(Sheet1!1590:1590,"AAAAAHnu7e8=",0)</f>
        <v>0</v>
      </c>
      <c r="IG118" t="e">
        <f>AND(Sheet1!A1590,"AAAAAHnu7fA=")</f>
        <v>#VALUE!</v>
      </c>
      <c r="IH118" t="e">
        <f>AND(Sheet1!B1590,"AAAAAHnu7fE=")</f>
        <v>#VALUE!</v>
      </c>
      <c r="II118" t="e">
        <f>AND(Sheet1!C1590,"AAAAAHnu7fI=")</f>
        <v>#VALUE!</v>
      </c>
      <c r="IJ118" t="e">
        <f>AND(Sheet1!D1590,"AAAAAHnu7fM=")</f>
        <v>#VALUE!</v>
      </c>
      <c r="IK118" t="e">
        <f>AND(Sheet1!E1590,"AAAAAHnu7fQ=")</f>
        <v>#VALUE!</v>
      </c>
      <c r="IL118" t="e">
        <f>AND(Sheet1!F1590,"AAAAAHnu7fU=")</f>
        <v>#VALUE!</v>
      </c>
      <c r="IM118" t="e">
        <f>AND(Sheet1!G1590,"AAAAAHnu7fY=")</f>
        <v>#VALUE!</v>
      </c>
      <c r="IN118" t="e">
        <f>AND(Sheet1!H1590,"AAAAAHnu7fc=")</f>
        <v>#VALUE!</v>
      </c>
      <c r="IO118" t="e">
        <f>AND(Sheet1!I1590,"AAAAAHnu7fg=")</f>
        <v>#VALUE!</v>
      </c>
      <c r="IP118" t="e">
        <f>AND(Sheet1!J1590,"AAAAAHnu7fk=")</f>
        <v>#VALUE!</v>
      </c>
      <c r="IQ118" t="e">
        <f>AND(Sheet1!K1590,"AAAAAHnu7fo=")</f>
        <v>#VALUE!</v>
      </c>
      <c r="IR118" t="e">
        <f>AND(Sheet1!L1590,"AAAAAHnu7fs=")</f>
        <v>#VALUE!</v>
      </c>
      <c r="IS118" t="e">
        <f>AND(Sheet1!M1590,"AAAAAHnu7fw=")</f>
        <v>#VALUE!</v>
      </c>
      <c r="IT118" t="e">
        <f>AND(Sheet1!N1590,"AAAAAHnu7f0=")</f>
        <v>#VALUE!</v>
      </c>
      <c r="IU118" t="e">
        <f>AND(Sheet1!#REF!,"AAAAAHnu7f4=")</f>
        <v>#REF!</v>
      </c>
      <c r="IV118" t="e">
        <f>AND(Sheet1!#REF!,"AAAAAHnu7f8=")</f>
        <v>#REF!</v>
      </c>
    </row>
    <row r="119" spans="1:256" x14ac:dyDescent="0.2">
      <c r="A119" t="e">
        <f>AND(Sheet1!#REF!,"AAAAAF1+cwA=")</f>
        <v>#REF!</v>
      </c>
      <c r="B119" t="e">
        <f>AND(Sheet1!#REF!,"AAAAAF1+cwE=")</f>
        <v>#REF!</v>
      </c>
      <c r="C119" t="e">
        <f>IF(Sheet1!1591:1591,"AAAAAF1+cwI=",0)</f>
        <v>#VALUE!</v>
      </c>
      <c r="D119" t="e">
        <f>AND(Sheet1!A1591,"AAAAAF1+cwM=")</f>
        <v>#VALUE!</v>
      </c>
      <c r="E119" t="e">
        <f>AND(Sheet1!B1591,"AAAAAF1+cwQ=")</f>
        <v>#VALUE!</v>
      </c>
      <c r="F119" t="e">
        <f>AND(Sheet1!C1591,"AAAAAF1+cwU=")</f>
        <v>#VALUE!</v>
      </c>
      <c r="G119" t="e">
        <f>AND(Sheet1!D1591,"AAAAAF1+cwY=")</f>
        <v>#VALUE!</v>
      </c>
      <c r="H119" t="e">
        <f>AND(Sheet1!E1591,"AAAAAF1+cwc=")</f>
        <v>#VALUE!</v>
      </c>
      <c r="I119" t="e">
        <f>AND(Sheet1!F1591,"AAAAAF1+cwg=")</f>
        <v>#VALUE!</v>
      </c>
      <c r="J119" t="e">
        <f>AND(Sheet1!G1591,"AAAAAF1+cwk=")</f>
        <v>#VALUE!</v>
      </c>
      <c r="K119" t="e">
        <f>AND(Sheet1!H1591,"AAAAAF1+cwo=")</f>
        <v>#VALUE!</v>
      </c>
      <c r="L119" t="e">
        <f>AND(Sheet1!I1591,"AAAAAF1+cws=")</f>
        <v>#VALUE!</v>
      </c>
      <c r="M119" t="e">
        <f>AND(Sheet1!J1591,"AAAAAF1+cww=")</f>
        <v>#VALUE!</v>
      </c>
      <c r="N119" t="e">
        <f>AND(Sheet1!K1591,"AAAAAF1+cw0=")</f>
        <v>#VALUE!</v>
      </c>
      <c r="O119" t="e">
        <f>AND(Sheet1!L1591,"AAAAAF1+cw4=")</f>
        <v>#VALUE!</v>
      </c>
      <c r="P119" t="e">
        <f>AND(Sheet1!M1591,"AAAAAF1+cw8=")</f>
        <v>#VALUE!</v>
      </c>
      <c r="Q119" t="e">
        <f>AND(Sheet1!N1591,"AAAAAF1+cxA=")</f>
        <v>#VALUE!</v>
      </c>
      <c r="R119" t="e">
        <f>AND(Sheet1!#REF!,"AAAAAF1+cxE=")</f>
        <v>#REF!</v>
      </c>
      <c r="S119" t="e">
        <f>AND(Sheet1!#REF!,"AAAAAF1+cxI=")</f>
        <v>#REF!</v>
      </c>
      <c r="T119" t="e">
        <f>AND(Sheet1!#REF!,"AAAAAF1+cxM=")</f>
        <v>#REF!</v>
      </c>
      <c r="U119" t="e">
        <f>AND(Sheet1!#REF!,"AAAAAF1+cxQ=")</f>
        <v>#REF!</v>
      </c>
      <c r="V119">
        <f>IF(Sheet1!1592:1592,"AAAAAF1+cxU=",0)</f>
        <v>0</v>
      </c>
      <c r="W119" t="e">
        <f>AND(Sheet1!A1592,"AAAAAF1+cxY=")</f>
        <v>#VALUE!</v>
      </c>
      <c r="X119" t="e">
        <f>AND(Sheet1!B1592,"AAAAAF1+cxc=")</f>
        <v>#VALUE!</v>
      </c>
      <c r="Y119" t="e">
        <f>AND(Sheet1!C1592,"AAAAAF1+cxg=")</f>
        <v>#VALUE!</v>
      </c>
      <c r="Z119" t="e">
        <f>AND(Sheet1!D1592,"AAAAAF1+cxk=")</f>
        <v>#VALUE!</v>
      </c>
      <c r="AA119" t="e">
        <f>AND(Sheet1!E1592,"AAAAAF1+cxo=")</f>
        <v>#VALUE!</v>
      </c>
      <c r="AB119" t="e">
        <f>AND(Sheet1!F1592,"AAAAAF1+cxs=")</f>
        <v>#VALUE!</v>
      </c>
      <c r="AC119" t="e">
        <f>AND(Sheet1!G1592,"AAAAAF1+cxw=")</f>
        <v>#VALUE!</v>
      </c>
      <c r="AD119" t="e">
        <f>AND(Sheet1!H1592,"AAAAAF1+cx0=")</f>
        <v>#VALUE!</v>
      </c>
      <c r="AE119" t="e">
        <f>AND(Sheet1!I1592,"AAAAAF1+cx4=")</f>
        <v>#VALUE!</v>
      </c>
      <c r="AF119" t="e">
        <f>AND(Sheet1!J1592,"AAAAAF1+cx8=")</f>
        <v>#VALUE!</v>
      </c>
      <c r="AG119" t="e">
        <f>AND(Sheet1!K1592,"AAAAAF1+cyA=")</f>
        <v>#VALUE!</v>
      </c>
      <c r="AH119" t="e">
        <f>AND(Sheet1!L1592,"AAAAAF1+cyE=")</f>
        <v>#VALUE!</v>
      </c>
      <c r="AI119" t="e">
        <f>AND(Sheet1!M1592,"AAAAAF1+cyI=")</f>
        <v>#VALUE!</v>
      </c>
      <c r="AJ119" t="e">
        <f>AND(Sheet1!N1592,"AAAAAF1+cyM=")</f>
        <v>#VALUE!</v>
      </c>
      <c r="AK119" t="e">
        <f>AND(Sheet1!#REF!,"AAAAAF1+cyQ=")</f>
        <v>#REF!</v>
      </c>
      <c r="AL119" t="e">
        <f>AND(Sheet1!#REF!,"AAAAAF1+cyU=")</f>
        <v>#REF!</v>
      </c>
      <c r="AM119" t="e">
        <f>AND(Sheet1!#REF!,"AAAAAF1+cyY=")</f>
        <v>#REF!</v>
      </c>
      <c r="AN119" t="e">
        <f>AND(Sheet1!#REF!,"AAAAAF1+cyc=")</f>
        <v>#REF!</v>
      </c>
      <c r="AO119">
        <f>IF(Sheet1!1593:1593,"AAAAAF1+cyg=",0)</f>
        <v>0</v>
      </c>
      <c r="AP119" t="e">
        <f>AND(Sheet1!A1593,"AAAAAF1+cyk=")</f>
        <v>#VALUE!</v>
      </c>
      <c r="AQ119" t="e">
        <f>AND(Sheet1!B1593,"AAAAAF1+cyo=")</f>
        <v>#VALUE!</v>
      </c>
      <c r="AR119" t="e">
        <f>AND(Sheet1!C1593,"AAAAAF1+cys=")</f>
        <v>#VALUE!</v>
      </c>
      <c r="AS119" t="e">
        <f>AND(Sheet1!D1593,"AAAAAF1+cyw=")</f>
        <v>#VALUE!</v>
      </c>
      <c r="AT119" t="e">
        <f>AND(Sheet1!E1593,"AAAAAF1+cy0=")</f>
        <v>#VALUE!</v>
      </c>
      <c r="AU119" t="e">
        <f>AND(Sheet1!F1593,"AAAAAF1+cy4=")</f>
        <v>#VALUE!</v>
      </c>
      <c r="AV119" t="e">
        <f>AND(Sheet1!G1593,"AAAAAF1+cy8=")</f>
        <v>#VALUE!</v>
      </c>
      <c r="AW119" t="e">
        <f>AND(Sheet1!H1593,"AAAAAF1+czA=")</f>
        <v>#VALUE!</v>
      </c>
      <c r="AX119" t="e">
        <f>AND(Sheet1!I1593,"AAAAAF1+czE=")</f>
        <v>#VALUE!</v>
      </c>
      <c r="AY119" t="e">
        <f>AND(Sheet1!J1593,"AAAAAF1+czI=")</f>
        <v>#VALUE!</v>
      </c>
      <c r="AZ119" t="e">
        <f>AND(Sheet1!K1593,"AAAAAF1+czM=")</f>
        <v>#VALUE!</v>
      </c>
      <c r="BA119" t="e">
        <f>AND(Sheet1!L1593,"AAAAAF1+czQ=")</f>
        <v>#VALUE!</v>
      </c>
      <c r="BB119" t="e">
        <f>AND(Sheet1!M1593,"AAAAAF1+czU=")</f>
        <v>#VALUE!</v>
      </c>
      <c r="BC119" t="e">
        <f>AND(Sheet1!N1593,"AAAAAF1+czY=")</f>
        <v>#VALUE!</v>
      </c>
      <c r="BD119" t="e">
        <f>AND(Sheet1!#REF!,"AAAAAF1+czc=")</f>
        <v>#REF!</v>
      </c>
      <c r="BE119" t="e">
        <f>AND(Sheet1!#REF!,"AAAAAF1+czg=")</f>
        <v>#REF!</v>
      </c>
      <c r="BF119" t="e">
        <f>AND(Sheet1!#REF!,"AAAAAF1+czk=")</f>
        <v>#REF!</v>
      </c>
      <c r="BG119" t="e">
        <f>AND(Sheet1!#REF!,"AAAAAF1+czo=")</f>
        <v>#REF!</v>
      </c>
      <c r="BH119">
        <f>IF(Sheet1!1594:1594,"AAAAAF1+czs=",0)</f>
        <v>0</v>
      </c>
      <c r="BI119" t="e">
        <f>AND(Sheet1!A1594,"AAAAAF1+czw=")</f>
        <v>#VALUE!</v>
      </c>
      <c r="BJ119" t="e">
        <f>AND(Sheet1!B1594,"AAAAAF1+cz0=")</f>
        <v>#VALUE!</v>
      </c>
      <c r="BK119" t="e">
        <f>AND(Sheet1!C1594,"AAAAAF1+cz4=")</f>
        <v>#VALUE!</v>
      </c>
      <c r="BL119" t="e">
        <f>AND(Sheet1!D1594,"AAAAAF1+cz8=")</f>
        <v>#VALUE!</v>
      </c>
      <c r="BM119" t="e">
        <f>AND(Sheet1!E1594,"AAAAAF1+c0A=")</f>
        <v>#VALUE!</v>
      </c>
      <c r="BN119" t="e">
        <f>AND(Sheet1!F1594,"AAAAAF1+c0E=")</f>
        <v>#VALUE!</v>
      </c>
      <c r="BO119" t="e">
        <f>AND(Sheet1!G1594,"AAAAAF1+c0I=")</f>
        <v>#VALUE!</v>
      </c>
      <c r="BP119" t="e">
        <f>AND(Sheet1!H1594,"AAAAAF1+c0M=")</f>
        <v>#VALUE!</v>
      </c>
      <c r="BQ119" t="e">
        <f>AND(Sheet1!I1594,"AAAAAF1+c0Q=")</f>
        <v>#VALUE!</v>
      </c>
      <c r="BR119" t="e">
        <f>AND(Sheet1!J1594,"AAAAAF1+c0U=")</f>
        <v>#VALUE!</v>
      </c>
      <c r="BS119" t="e">
        <f>AND(Sheet1!K1594,"AAAAAF1+c0Y=")</f>
        <v>#VALUE!</v>
      </c>
      <c r="BT119" t="e">
        <f>AND(Sheet1!L1594,"AAAAAF1+c0c=")</f>
        <v>#VALUE!</v>
      </c>
      <c r="BU119" t="e">
        <f>AND(Sheet1!M1594,"AAAAAF1+c0g=")</f>
        <v>#VALUE!</v>
      </c>
      <c r="BV119" t="e">
        <f>AND(Sheet1!N1594,"AAAAAF1+c0k=")</f>
        <v>#VALUE!</v>
      </c>
      <c r="BW119" t="e">
        <f>AND(Sheet1!#REF!,"AAAAAF1+c0o=")</f>
        <v>#REF!</v>
      </c>
      <c r="BX119" t="e">
        <f>AND(Sheet1!#REF!,"AAAAAF1+c0s=")</f>
        <v>#REF!</v>
      </c>
      <c r="BY119" t="e">
        <f>AND(Sheet1!#REF!,"AAAAAF1+c0w=")</f>
        <v>#REF!</v>
      </c>
      <c r="BZ119" t="e">
        <f>AND(Sheet1!#REF!,"AAAAAF1+c00=")</f>
        <v>#REF!</v>
      </c>
      <c r="CA119">
        <f>IF(Sheet1!1595:1595,"AAAAAF1+c04=",0)</f>
        <v>0</v>
      </c>
      <c r="CB119" t="e">
        <f>AND(Sheet1!A1595,"AAAAAF1+c08=")</f>
        <v>#VALUE!</v>
      </c>
      <c r="CC119" t="e">
        <f>AND(Sheet1!B1595,"AAAAAF1+c1A=")</f>
        <v>#VALUE!</v>
      </c>
      <c r="CD119" t="e">
        <f>AND(Sheet1!C1595,"AAAAAF1+c1E=")</f>
        <v>#VALUE!</v>
      </c>
      <c r="CE119" t="e">
        <f>AND(Sheet1!D1595,"AAAAAF1+c1I=")</f>
        <v>#VALUE!</v>
      </c>
      <c r="CF119" t="e">
        <f>AND(Sheet1!E1595,"AAAAAF1+c1M=")</f>
        <v>#VALUE!</v>
      </c>
      <c r="CG119" t="e">
        <f>AND(Sheet1!F1595,"AAAAAF1+c1Q=")</f>
        <v>#VALUE!</v>
      </c>
      <c r="CH119" t="e">
        <f>AND(Sheet1!G1595,"AAAAAF1+c1U=")</f>
        <v>#VALUE!</v>
      </c>
      <c r="CI119" t="e">
        <f>AND(Sheet1!H1595,"AAAAAF1+c1Y=")</f>
        <v>#VALUE!</v>
      </c>
      <c r="CJ119" t="e">
        <f>AND(Sheet1!I1595,"AAAAAF1+c1c=")</f>
        <v>#VALUE!</v>
      </c>
      <c r="CK119" t="e">
        <f>AND(Sheet1!J1595,"AAAAAF1+c1g=")</f>
        <v>#VALUE!</v>
      </c>
      <c r="CL119" t="e">
        <f>AND(Sheet1!K1595,"AAAAAF1+c1k=")</f>
        <v>#VALUE!</v>
      </c>
      <c r="CM119" t="e">
        <f>AND(Sheet1!L1595,"AAAAAF1+c1o=")</f>
        <v>#VALUE!</v>
      </c>
      <c r="CN119" t="e">
        <f>AND(Sheet1!M1595,"AAAAAF1+c1s=")</f>
        <v>#VALUE!</v>
      </c>
      <c r="CO119" t="e">
        <f>AND(Sheet1!N1595,"AAAAAF1+c1w=")</f>
        <v>#VALUE!</v>
      </c>
      <c r="CP119" t="e">
        <f>AND(Sheet1!#REF!,"AAAAAF1+c10=")</f>
        <v>#REF!</v>
      </c>
      <c r="CQ119" t="e">
        <f>AND(Sheet1!#REF!,"AAAAAF1+c14=")</f>
        <v>#REF!</v>
      </c>
      <c r="CR119" t="e">
        <f>AND(Sheet1!#REF!,"AAAAAF1+c18=")</f>
        <v>#REF!</v>
      </c>
      <c r="CS119" t="e">
        <f>AND(Sheet1!#REF!,"AAAAAF1+c2A=")</f>
        <v>#REF!</v>
      </c>
      <c r="CT119">
        <f>IF(Sheet1!1596:1596,"AAAAAF1+c2E=",0)</f>
        <v>0</v>
      </c>
      <c r="CU119" t="e">
        <f>AND(Sheet1!A1596,"AAAAAF1+c2I=")</f>
        <v>#VALUE!</v>
      </c>
      <c r="CV119" t="e">
        <f>AND(Sheet1!B1596,"AAAAAF1+c2M=")</f>
        <v>#VALUE!</v>
      </c>
      <c r="CW119" t="e">
        <f>AND(Sheet1!C1596,"AAAAAF1+c2Q=")</f>
        <v>#VALUE!</v>
      </c>
      <c r="CX119" t="e">
        <f>AND(Sheet1!D1596,"AAAAAF1+c2U=")</f>
        <v>#VALUE!</v>
      </c>
      <c r="CY119" t="e">
        <f>AND(Sheet1!E1596,"AAAAAF1+c2Y=")</f>
        <v>#VALUE!</v>
      </c>
      <c r="CZ119" t="e">
        <f>AND(Sheet1!F1596,"AAAAAF1+c2c=")</f>
        <v>#VALUE!</v>
      </c>
      <c r="DA119" t="e">
        <f>AND(Sheet1!G1596,"AAAAAF1+c2g=")</f>
        <v>#VALUE!</v>
      </c>
      <c r="DB119" t="e">
        <f>AND(Sheet1!H1596,"AAAAAF1+c2k=")</f>
        <v>#VALUE!</v>
      </c>
      <c r="DC119" t="e">
        <f>AND(Sheet1!I1596,"AAAAAF1+c2o=")</f>
        <v>#VALUE!</v>
      </c>
      <c r="DD119" t="e">
        <f>AND(Sheet1!J1596,"AAAAAF1+c2s=")</f>
        <v>#VALUE!</v>
      </c>
      <c r="DE119" t="e">
        <f>AND(Sheet1!K1596,"AAAAAF1+c2w=")</f>
        <v>#VALUE!</v>
      </c>
      <c r="DF119" t="e">
        <f>AND(Sheet1!L1596,"AAAAAF1+c20=")</f>
        <v>#VALUE!</v>
      </c>
      <c r="DG119" t="e">
        <f>AND(Sheet1!M1596,"AAAAAF1+c24=")</f>
        <v>#VALUE!</v>
      </c>
      <c r="DH119" t="e">
        <f>AND(Sheet1!N1596,"AAAAAF1+c28=")</f>
        <v>#VALUE!</v>
      </c>
      <c r="DI119" t="e">
        <f>AND(Sheet1!#REF!,"AAAAAF1+c3A=")</f>
        <v>#REF!</v>
      </c>
      <c r="DJ119" t="e">
        <f>AND(Sheet1!#REF!,"AAAAAF1+c3E=")</f>
        <v>#REF!</v>
      </c>
      <c r="DK119" t="e">
        <f>AND(Sheet1!#REF!,"AAAAAF1+c3I=")</f>
        <v>#REF!</v>
      </c>
      <c r="DL119" t="e">
        <f>AND(Sheet1!#REF!,"AAAAAF1+c3M=")</f>
        <v>#REF!</v>
      </c>
      <c r="DM119">
        <f>IF(Sheet1!1597:1597,"AAAAAF1+c3Q=",0)</f>
        <v>0</v>
      </c>
      <c r="DN119" t="e">
        <f>AND(Sheet1!A1597,"AAAAAF1+c3U=")</f>
        <v>#VALUE!</v>
      </c>
      <c r="DO119" t="e">
        <f>AND(Sheet1!B1597,"AAAAAF1+c3Y=")</f>
        <v>#VALUE!</v>
      </c>
      <c r="DP119" t="e">
        <f>AND(Sheet1!C1597,"AAAAAF1+c3c=")</f>
        <v>#VALUE!</v>
      </c>
      <c r="DQ119" t="e">
        <f>AND(Sheet1!D1597,"AAAAAF1+c3g=")</f>
        <v>#VALUE!</v>
      </c>
      <c r="DR119" t="e">
        <f>AND(Sheet1!E1597,"AAAAAF1+c3k=")</f>
        <v>#VALUE!</v>
      </c>
      <c r="DS119" t="e">
        <f>AND(Sheet1!F1597,"AAAAAF1+c3o=")</f>
        <v>#VALUE!</v>
      </c>
      <c r="DT119" t="e">
        <f>AND(Sheet1!G1597,"AAAAAF1+c3s=")</f>
        <v>#VALUE!</v>
      </c>
      <c r="DU119" t="e">
        <f>AND(Sheet1!H1597,"AAAAAF1+c3w=")</f>
        <v>#VALUE!</v>
      </c>
      <c r="DV119" t="e">
        <f>AND(Sheet1!I1597,"AAAAAF1+c30=")</f>
        <v>#VALUE!</v>
      </c>
      <c r="DW119" t="e">
        <f>AND(Sheet1!J1597,"AAAAAF1+c34=")</f>
        <v>#VALUE!</v>
      </c>
      <c r="DX119" t="e">
        <f>AND(Sheet1!K1597,"AAAAAF1+c38=")</f>
        <v>#VALUE!</v>
      </c>
      <c r="DY119" t="e">
        <f>AND(Sheet1!L1597,"AAAAAF1+c4A=")</f>
        <v>#VALUE!</v>
      </c>
      <c r="DZ119" t="e">
        <f>AND(Sheet1!M1597,"AAAAAF1+c4E=")</f>
        <v>#VALUE!</v>
      </c>
      <c r="EA119" t="e">
        <f>AND(Sheet1!N1597,"AAAAAF1+c4I=")</f>
        <v>#VALUE!</v>
      </c>
      <c r="EB119" t="e">
        <f>AND(Sheet1!#REF!,"AAAAAF1+c4M=")</f>
        <v>#REF!</v>
      </c>
      <c r="EC119" t="e">
        <f>AND(Sheet1!#REF!,"AAAAAF1+c4Q=")</f>
        <v>#REF!</v>
      </c>
      <c r="ED119" t="e">
        <f>AND(Sheet1!#REF!,"AAAAAF1+c4U=")</f>
        <v>#REF!</v>
      </c>
      <c r="EE119" t="e">
        <f>AND(Sheet1!#REF!,"AAAAAF1+c4Y=")</f>
        <v>#REF!</v>
      </c>
      <c r="EF119">
        <f>IF(Sheet1!1598:1598,"AAAAAF1+c4c=",0)</f>
        <v>0</v>
      </c>
      <c r="EG119" t="e">
        <f>AND(Sheet1!A1598,"AAAAAF1+c4g=")</f>
        <v>#VALUE!</v>
      </c>
      <c r="EH119" t="e">
        <f>AND(Sheet1!B1598,"AAAAAF1+c4k=")</f>
        <v>#VALUE!</v>
      </c>
      <c r="EI119" t="e">
        <f>AND(Sheet1!C1598,"AAAAAF1+c4o=")</f>
        <v>#VALUE!</v>
      </c>
      <c r="EJ119" t="e">
        <f>AND(Sheet1!D1598,"AAAAAF1+c4s=")</f>
        <v>#VALUE!</v>
      </c>
      <c r="EK119" t="e">
        <f>AND(Sheet1!E1598,"AAAAAF1+c4w=")</f>
        <v>#VALUE!</v>
      </c>
      <c r="EL119" t="e">
        <f>AND(Sheet1!F1598,"AAAAAF1+c40=")</f>
        <v>#VALUE!</v>
      </c>
      <c r="EM119" t="e">
        <f>AND(Sheet1!G1598,"AAAAAF1+c44=")</f>
        <v>#VALUE!</v>
      </c>
      <c r="EN119" t="e">
        <f>AND(Sheet1!H1598,"AAAAAF1+c48=")</f>
        <v>#VALUE!</v>
      </c>
      <c r="EO119" t="e">
        <f>AND(Sheet1!I1598,"AAAAAF1+c5A=")</f>
        <v>#VALUE!</v>
      </c>
      <c r="EP119" t="e">
        <f>AND(Sheet1!J1598,"AAAAAF1+c5E=")</f>
        <v>#VALUE!</v>
      </c>
      <c r="EQ119" t="e">
        <f>AND(Sheet1!K1598,"AAAAAF1+c5I=")</f>
        <v>#VALUE!</v>
      </c>
      <c r="ER119" t="e">
        <f>AND(Sheet1!L1598,"AAAAAF1+c5M=")</f>
        <v>#VALUE!</v>
      </c>
      <c r="ES119" t="e">
        <f>AND(Sheet1!M1598,"AAAAAF1+c5Q=")</f>
        <v>#VALUE!</v>
      </c>
      <c r="ET119" t="e">
        <f>AND(Sheet1!N1598,"AAAAAF1+c5U=")</f>
        <v>#VALUE!</v>
      </c>
      <c r="EU119" t="e">
        <f>AND(Sheet1!#REF!,"AAAAAF1+c5Y=")</f>
        <v>#REF!</v>
      </c>
      <c r="EV119" t="e">
        <f>AND(Sheet1!#REF!,"AAAAAF1+c5c=")</f>
        <v>#REF!</v>
      </c>
      <c r="EW119" t="e">
        <f>AND(Sheet1!#REF!,"AAAAAF1+c5g=")</f>
        <v>#REF!</v>
      </c>
      <c r="EX119" t="e">
        <f>AND(Sheet1!#REF!,"AAAAAF1+c5k=")</f>
        <v>#REF!</v>
      </c>
      <c r="EY119">
        <f>IF(Sheet1!1599:1599,"AAAAAF1+c5o=",0)</f>
        <v>0</v>
      </c>
      <c r="EZ119" t="e">
        <f>AND(Sheet1!A1599,"AAAAAF1+c5s=")</f>
        <v>#VALUE!</v>
      </c>
      <c r="FA119" t="e">
        <f>AND(Sheet1!B1599,"AAAAAF1+c5w=")</f>
        <v>#VALUE!</v>
      </c>
      <c r="FB119" t="e">
        <f>AND(Sheet1!C1599,"AAAAAF1+c50=")</f>
        <v>#VALUE!</v>
      </c>
      <c r="FC119" t="e">
        <f>AND(Sheet1!D1599,"AAAAAF1+c54=")</f>
        <v>#VALUE!</v>
      </c>
      <c r="FD119" t="e">
        <f>AND(Sheet1!E1599,"AAAAAF1+c58=")</f>
        <v>#VALUE!</v>
      </c>
      <c r="FE119" t="e">
        <f>AND(Sheet1!F1599,"AAAAAF1+c6A=")</f>
        <v>#VALUE!</v>
      </c>
      <c r="FF119" t="e">
        <f>AND(Sheet1!G1599,"AAAAAF1+c6E=")</f>
        <v>#VALUE!</v>
      </c>
      <c r="FG119" t="e">
        <f>AND(Sheet1!H1599,"AAAAAF1+c6I=")</f>
        <v>#VALUE!</v>
      </c>
      <c r="FH119" t="e">
        <f>AND(Sheet1!I1599,"AAAAAF1+c6M=")</f>
        <v>#VALUE!</v>
      </c>
      <c r="FI119" t="e">
        <f>AND(Sheet1!J1599,"AAAAAF1+c6Q=")</f>
        <v>#VALUE!</v>
      </c>
      <c r="FJ119" t="e">
        <f>AND(Sheet1!K1599,"AAAAAF1+c6U=")</f>
        <v>#VALUE!</v>
      </c>
      <c r="FK119" t="e">
        <f>AND(Sheet1!L1599,"AAAAAF1+c6Y=")</f>
        <v>#VALUE!</v>
      </c>
      <c r="FL119" t="e">
        <f>AND(Sheet1!M1599,"AAAAAF1+c6c=")</f>
        <v>#VALUE!</v>
      </c>
      <c r="FM119" t="e">
        <f>AND(Sheet1!N1599,"AAAAAF1+c6g=")</f>
        <v>#VALUE!</v>
      </c>
      <c r="FN119" t="e">
        <f>AND(Sheet1!#REF!,"AAAAAF1+c6k=")</f>
        <v>#REF!</v>
      </c>
      <c r="FO119" t="e">
        <f>AND(Sheet1!#REF!,"AAAAAF1+c6o=")</f>
        <v>#REF!</v>
      </c>
      <c r="FP119" t="e">
        <f>AND(Sheet1!#REF!,"AAAAAF1+c6s=")</f>
        <v>#REF!</v>
      </c>
      <c r="FQ119" t="e">
        <f>AND(Sheet1!#REF!,"AAAAAF1+c6w=")</f>
        <v>#REF!</v>
      </c>
      <c r="FR119">
        <f>IF(Sheet1!1600:1600,"AAAAAF1+c60=",0)</f>
        <v>0</v>
      </c>
      <c r="FS119" t="e">
        <f>AND(Sheet1!A1600,"AAAAAF1+c64=")</f>
        <v>#VALUE!</v>
      </c>
      <c r="FT119" t="e">
        <f>AND(Sheet1!B1600,"AAAAAF1+c68=")</f>
        <v>#VALUE!</v>
      </c>
      <c r="FU119" t="e">
        <f>AND(Sheet1!C1600,"AAAAAF1+c7A=")</f>
        <v>#VALUE!</v>
      </c>
      <c r="FV119" t="e">
        <f>AND(Sheet1!D1600,"AAAAAF1+c7E=")</f>
        <v>#VALUE!</v>
      </c>
      <c r="FW119" t="e">
        <f>AND(Sheet1!E1600,"AAAAAF1+c7I=")</f>
        <v>#VALUE!</v>
      </c>
      <c r="FX119" t="e">
        <f>AND(Sheet1!F1600,"AAAAAF1+c7M=")</f>
        <v>#VALUE!</v>
      </c>
      <c r="FY119" t="e">
        <f>AND(Sheet1!G1600,"AAAAAF1+c7Q=")</f>
        <v>#VALUE!</v>
      </c>
      <c r="FZ119" t="e">
        <f>AND(Sheet1!H1600,"AAAAAF1+c7U=")</f>
        <v>#VALUE!</v>
      </c>
      <c r="GA119" t="e">
        <f>AND(Sheet1!I1600,"AAAAAF1+c7Y=")</f>
        <v>#VALUE!</v>
      </c>
      <c r="GB119" t="e">
        <f>AND(Sheet1!J1600,"AAAAAF1+c7c=")</f>
        <v>#VALUE!</v>
      </c>
      <c r="GC119" t="e">
        <f>AND(Sheet1!K1600,"AAAAAF1+c7g=")</f>
        <v>#VALUE!</v>
      </c>
      <c r="GD119" t="e">
        <f>AND(Sheet1!L1600,"AAAAAF1+c7k=")</f>
        <v>#VALUE!</v>
      </c>
      <c r="GE119" t="e">
        <f>AND(Sheet1!M1600,"AAAAAF1+c7o=")</f>
        <v>#VALUE!</v>
      </c>
      <c r="GF119" t="e">
        <f>AND(Sheet1!N1600,"AAAAAF1+c7s=")</f>
        <v>#VALUE!</v>
      </c>
      <c r="GG119" t="e">
        <f>AND(Sheet1!#REF!,"AAAAAF1+c7w=")</f>
        <v>#REF!</v>
      </c>
      <c r="GH119" t="e">
        <f>AND(Sheet1!#REF!,"AAAAAF1+c70=")</f>
        <v>#REF!</v>
      </c>
      <c r="GI119" t="e">
        <f>AND(Sheet1!#REF!,"AAAAAF1+c74=")</f>
        <v>#REF!</v>
      </c>
      <c r="GJ119" t="e">
        <f>AND(Sheet1!#REF!,"AAAAAF1+c78=")</f>
        <v>#REF!</v>
      </c>
      <c r="GK119">
        <f>IF(Sheet1!1601:1601,"AAAAAF1+c8A=",0)</f>
        <v>0</v>
      </c>
      <c r="GL119" t="e">
        <f>AND(Sheet1!A1601,"AAAAAF1+c8E=")</f>
        <v>#VALUE!</v>
      </c>
      <c r="GM119" t="e">
        <f>AND(Sheet1!B1601,"AAAAAF1+c8I=")</f>
        <v>#VALUE!</v>
      </c>
      <c r="GN119" t="e">
        <f>AND(Sheet1!C1601,"AAAAAF1+c8M=")</f>
        <v>#VALUE!</v>
      </c>
      <c r="GO119" t="e">
        <f>AND(Sheet1!D1601,"AAAAAF1+c8Q=")</f>
        <v>#VALUE!</v>
      </c>
      <c r="GP119" t="e">
        <f>AND(Sheet1!E1601,"AAAAAF1+c8U=")</f>
        <v>#VALUE!</v>
      </c>
      <c r="GQ119" t="e">
        <f>AND(Sheet1!F1601,"AAAAAF1+c8Y=")</f>
        <v>#VALUE!</v>
      </c>
      <c r="GR119" t="e">
        <f>AND(Sheet1!G1601,"AAAAAF1+c8c=")</f>
        <v>#VALUE!</v>
      </c>
      <c r="GS119" t="e">
        <f>AND(Sheet1!H1601,"AAAAAF1+c8g=")</f>
        <v>#VALUE!</v>
      </c>
      <c r="GT119" t="e">
        <f>AND(Sheet1!I1601,"AAAAAF1+c8k=")</f>
        <v>#VALUE!</v>
      </c>
      <c r="GU119" t="e">
        <f>AND(Sheet1!J1601,"AAAAAF1+c8o=")</f>
        <v>#VALUE!</v>
      </c>
      <c r="GV119" t="e">
        <f>AND(Sheet1!K1601,"AAAAAF1+c8s=")</f>
        <v>#VALUE!</v>
      </c>
      <c r="GW119" t="e">
        <f>AND(Sheet1!L1601,"AAAAAF1+c8w=")</f>
        <v>#VALUE!</v>
      </c>
      <c r="GX119" t="e">
        <f>AND(Sheet1!M1601,"AAAAAF1+c80=")</f>
        <v>#VALUE!</v>
      </c>
      <c r="GY119" t="e">
        <f>AND(Sheet1!N1601,"AAAAAF1+c84=")</f>
        <v>#VALUE!</v>
      </c>
      <c r="GZ119" t="e">
        <f>AND(Sheet1!#REF!,"AAAAAF1+c88=")</f>
        <v>#REF!</v>
      </c>
      <c r="HA119" t="e">
        <f>AND(Sheet1!#REF!,"AAAAAF1+c9A=")</f>
        <v>#REF!</v>
      </c>
      <c r="HB119" t="e">
        <f>AND(Sheet1!#REF!,"AAAAAF1+c9E=")</f>
        <v>#REF!</v>
      </c>
      <c r="HC119" t="e">
        <f>AND(Sheet1!#REF!,"AAAAAF1+c9I=")</f>
        <v>#REF!</v>
      </c>
      <c r="HD119">
        <f>IF(Sheet1!1602:1602,"AAAAAF1+c9M=",0)</f>
        <v>0</v>
      </c>
      <c r="HE119" t="e">
        <f>AND(Sheet1!A1602,"AAAAAF1+c9Q=")</f>
        <v>#VALUE!</v>
      </c>
      <c r="HF119" t="e">
        <f>AND(Sheet1!B1602,"AAAAAF1+c9U=")</f>
        <v>#VALUE!</v>
      </c>
      <c r="HG119" t="e">
        <f>AND(Sheet1!C1602,"AAAAAF1+c9Y=")</f>
        <v>#VALUE!</v>
      </c>
      <c r="HH119" t="e">
        <f>AND(Sheet1!D1602,"AAAAAF1+c9c=")</f>
        <v>#VALUE!</v>
      </c>
      <c r="HI119" t="e">
        <f>AND(Sheet1!E1602,"AAAAAF1+c9g=")</f>
        <v>#VALUE!</v>
      </c>
      <c r="HJ119" t="e">
        <f>AND(Sheet1!F1602,"AAAAAF1+c9k=")</f>
        <v>#VALUE!</v>
      </c>
      <c r="HK119" t="e">
        <f>AND(Sheet1!G1602,"AAAAAF1+c9o=")</f>
        <v>#VALUE!</v>
      </c>
      <c r="HL119" t="e">
        <f>AND(Sheet1!H1602,"AAAAAF1+c9s=")</f>
        <v>#VALUE!</v>
      </c>
      <c r="HM119" t="e">
        <f>AND(Sheet1!I1602,"AAAAAF1+c9w=")</f>
        <v>#VALUE!</v>
      </c>
      <c r="HN119" t="e">
        <f>AND(Sheet1!J1602,"AAAAAF1+c90=")</f>
        <v>#VALUE!</v>
      </c>
      <c r="HO119" t="e">
        <f>AND(Sheet1!K1602,"AAAAAF1+c94=")</f>
        <v>#VALUE!</v>
      </c>
      <c r="HP119" t="e">
        <f>AND(Sheet1!L1602,"AAAAAF1+c98=")</f>
        <v>#VALUE!</v>
      </c>
      <c r="HQ119" t="e">
        <f>AND(Sheet1!M1602,"AAAAAF1+c+A=")</f>
        <v>#VALUE!</v>
      </c>
      <c r="HR119" t="e">
        <f>AND(Sheet1!N1602,"AAAAAF1+c+E=")</f>
        <v>#VALUE!</v>
      </c>
      <c r="HS119" t="e">
        <f>AND(Sheet1!#REF!,"AAAAAF1+c+I=")</f>
        <v>#REF!</v>
      </c>
      <c r="HT119" t="e">
        <f>AND(Sheet1!#REF!,"AAAAAF1+c+M=")</f>
        <v>#REF!</v>
      </c>
      <c r="HU119" t="e">
        <f>AND(Sheet1!#REF!,"AAAAAF1+c+Q=")</f>
        <v>#REF!</v>
      </c>
      <c r="HV119" t="e">
        <f>AND(Sheet1!#REF!,"AAAAAF1+c+U=")</f>
        <v>#REF!</v>
      </c>
      <c r="HW119">
        <f>IF(Sheet1!1603:1603,"AAAAAF1+c+Y=",0)</f>
        <v>0</v>
      </c>
      <c r="HX119" t="e">
        <f>AND(Sheet1!A1603,"AAAAAF1+c+c=")</f>
        <v>#VALUE!</v>
      </c>
      <c r="HY119" t="e">
        <f>AND(Sheet1!B1603,"AAAAAF1+c+g=")</f>
        <v>#VALUE!</v>
      </c>
      <c r="HZ119" t="e">
        <f>AND(Sheet1!C1603,"AAAAAF1+c+k=")</f>
        <v>#VALUE!</v>
      </c>
      <c r="IA119" t="e">
        <f>AND(Sheet1!D1603,"AAAAAF1+c+o=")</f>
        <v>#VALUE!</v>
      </c>
      <c r="IB119" t="e">
        <f>AND(Sheet1!E1603,"AAAAAF1+c+s=")</f>
        <v>#VALUE!</v>
      </c>
      <c r="IC119" t="e">
        <f>AND(Sheet1!F1603,"AAAAAF1+c+w=")</f>
        <v>#VALUE!</v>
      </c>
      <c r="ID119" t="e">
        <f>AND(Sheet1!G1603,"AAAAAF1+c+0=")</f>
        <v>#VALUE!</v>
      </c>
      <c r="IE119" t="e">
        <f>AND(Sheet1!H1603,"AAAAAF1+c+4=")</f>
        <v>#VALUE!</v>
      </c>
      <c r="IF119" t="e">
        <f>AND(Sheet1!I1603,"AAAAAF1+c+8=")</f>
        <v>#VALUE!</v>
      </c>
      <c r="IG119" t="e">
        <f>AND(Sheet1!J1603,"AAAAAF1+c/A=")</f>
        <v>#VALUE!</v>
      </c>
      <c r="IH119" t="e">
        <f>AND(Sheet1!K1603,"AAAAAF1+c/E=")</f>
        <v>#VALUE!</v>
      </c>
      <c r="II119" t="e">
        <f>AND(Sheet1!L1603,"AAAAAF1+c/I=")</f>
        <v>#VALUE!</v>
      </c>
      <c r="IJ119" t="e">
        <f>AND(Sheet1!M1603,"AAAAAF1+c/M=")</f>
        <v>#VALUE!</v>
      </c>
      <c r="IK119" t="e">
        <f>AND(Sheet1!N1603,"AAAAAF1+c/Q=")</f>
        <v>#VALUE!</v>
      </c>
      <c r="IL119" t="e">
        <f>AND(Sheet1!#REF!,"AAAAAF1+c/U=")</f>
        <v>#REF!</v>
      </c>
      <c r="IM119" t="e">
        <f>AND(Sheet1!#REF!,"AAAAAF1+c/Y=")</f>
        <v>#REF!</v>
      </c>
      <c r="IN119" t="e">
        <f>AND(Sheet1!#REF!,"AAAAAF1+c/c=")</f>
        <v>#REF!</v>
      </c>
      <c r="IO119" t="e">
        <f>AND(Sheet1!#REF!,"AAAAAF1+c/g=")</f>
        <v>#REF!</v>
      </c>
      <c r="IP119">
        <f>IF(Sheet1!1604:1604,"AAAAAF1+c/k=",0)</f>
        <v>0</v>
      </c>
      <c r="IQ119" t="e">
        <f>AND(Sheet1!A1604,"AAAAAF1+c/o=")</f>
        <v>#VALUE!</v>
      </c>
      <c r="IR119" t="e">
        <f>AND(Sheet1!B1604,"AAAAAF1+c/s=")</f>
        <v>#VALUE!</v>
      </c>
      <c r="IS119" t="e">
        <f>AND(Sheet1!C1604,"AAAAAF1+c/w=")</f>
        <v>#VALUE!</v>
      </c>
      <c r="IT119" t="e">
        <f>AND(Sheet1!D1604,"AAAAAF1+c/0=")</f>
        <v>#VALUE!</v>
      </c>
      <c r="IU119" t="e">
        <f>AND(Sheet1!E1604,"AAAAAF1+c/4=")</f>
        <v>#VALUE!</v>
      </c>
      <c r="IV119" t="e">
        <f>AND(Sheet1!F1604,"AAAAAF1+c/8=")</f>
        <v>#VALUE!</v>
      </c>
    </row>
    <row r="120" spans="1:256" x14ac:dyDescent="0.2">
      <c r="A120" t="e">
        <f>AND(Sheet1!G1604,"AAAAAB/S3wA=")</f>
        <v>#VALUE!</v>
      </c>
      <c r="B120" t="e">
        <f>AND(Sheet1!H1604,"AAAAAB/S3wE=")</f>
        <v>#VALUE!</v>
      </c>
      <c r="C120" t="e">
        <f>AND(Sheet1!I1604,"AAAAAB/S3wI=")</f>
        <v>#VALUE!</v>
      </c>
      <c r="D120" t="e">
        <f>AND(Sheet1!J1604,"AAAAAB/S3wM=")</f>
        <v>#VALUE!</v>
      </c>
      <c r="E120" t="e">
        <f>AND(Sheet1!K1604,"AAAAAB/S3wQ=")</f>
        <v>#VALUE!</v>
      </c>
      <c r="F120" t="e">
        <f>AND(Sheet1!L1604,"AAAAAB/S3wU=")</f>
        <v>#VALUE!</v>
      </c>
      <c r="G120" t="e">
        <f>AND(Sheet1!M1604,"AAAAAB/S3wY=")</f>
        <v>#VALUE!</v>
      </c>
      <c r="H120" t="e">
        <f>AND(Sheet1!N1604,"AAAAAB/S3wc=")</f>
        <v>#VALUE!</v>
      </c>
      <c r="I120" t="e">
        <f>AND(Sheet1!#REF!,"AAAAAB/S3wg=")</f>
        <v>#REF!</v>
      </c>
      <c r="J120" t="e">
        <f>AND(Sheet1!#REF!,"AAAAAB/S3wk=")</f>
        <v>#REF!</v>
      </c>
      <c r="K120" t="e">
        <f>AND(Sheet1!#REF!,"AAAAAB/S3wo=")</f>
        <v>#REF!</v>
      </c>
      <c r="L120" t="e">
        <f>AND(Sheet1!#REF!,"AAAAAB/S3ws=")</f>
        <v>#REF!</v>
      </c>
      <c r="M120" t="str">
        <f>IF(Sheet1!1605:1605,"AAAAAB/S3ww=",0)</f>
        <v>AAAAAB/S3ww=</v>
      </c>
      <c r="N120" t="e">
        <f>AND(Sheet1!A1605,"AAAAAB/S3w0=")</f>
        <v>#VALUE!</v>
      </c>
      <c r="O120" t="e">
        <f>AND(Sheet1!B1605,"AAAAAB/S3w4=")</f>
        <v>#VALUE!</v>
      </c>
      <c r="P120" t="e">
        <f>AND(Sheet1!C1605,"AAAAAB/S3w8=")</f>
        <v>#VALUE!</v>
      </c>
      <c r="Q120" t="e">
        <f>AND(Sheet1!D1605,"AAAAAB/S3xA=")</f>
        <v>#VALUE!</v>
      </c>
      <c r="R120" t="e">
        <f>AND(Sheet1!E1605,"AAAAAB/S3xE=")</f>
        <v>#VALUE!</v>
      </c>
      <c r="S120" t="e">
        <f>AND(Sheet1!F1605,"AAAAAB/S3xI=")</f>
        <v>#VALUE!</v>
      </c>
      <c r="T120" t="e">
        <f>AND(Sheet1!G1605,"AAAAAB/S3xM=")</f>
        <v>#VALUE!</v>
      </c>
      <c r="U120" t="e">
        <f>AND(Sheet1!H1605,"AAAAAB/S3xQ=")</f>
        <v>#VALUE!</v>
      </c>
      <c r="V120" t="e">
        <f>AND(Sheet1!I1605,"AAAAAB/S3xU=")</f>
        <v>#VALUE!</v>
      </c>
      <c r="W120" t="e">
        <f>AND(Sheet1!J1605,"AAAAAB/S3xY=")</f>
        <v>#VALUE!</v>
      </c>
      <c r="X120" t="e">
        <f>AND(Sheet1!K1605,"AAAAAB/S3xc=")</f>
        <v>#VALUE!</v>
      </c>
      <c r="Y120" t="e">
        <f>AND(Sheet1!L1605,"AAAAAB/S3xg=")</f>
        <v>#VALUE!</v>
      </c>
      <c r="Z120" t="e">
        <f>AND(Sheet1!M1605,"AAAAAB/S3xk=")</f>
        <v>#VALUE!</v>
      </c>
      <c r="AA120" t="e">
        <f>AND(Sheet1!N1605,"AAAAAB/S3xo=")</f>
        <v>#VALUE!</v>
      </c>
      <c r="AB120" t="e">
        <f>AND(Sheet1!#REF!,"AAAAAB/S3xs=")</f>
        <v>#REF!</v>
      </c>
      <c r="AC120" t="e">
        <f>AND(Sheet1!#REF!,"AAAAAB/S3xw=")</f>
        <v>#REF!</v>
      </c>
      <c r="AD120" t="e">
        <f>AND(Sheet1!#REF!,"AAAAAB/S3x0=")</f>
        <v>#REF!</v>
      </c>
      <c r="AE120" t="e">
        <f>AND(Sheet1!#REF!,"AAAAAB/S3x4=")</f>
        <v>#REF!</v>
      </c>
      <c r="AF120">
        <f>IF(Sheet1!1606:1606,"AAAAAB/S3x8=",0)</f>
        <v>0</v>
      </c>
      <c r="AG120" t="e">
        <f>AND(Sheet1!A1606,"AAAAAB/S3yA=")</f>
        <v>#VALUE!</v>
      </c>
      <c r="AH120" t="e">
        <f>AND(Sheet1!B1606,"AAAAAB/S3yE=")</f>
        <v>#VALUE!</v>
      </c>
      <c r="AI120" t="e">
        <f>AND(Sheet1!C1606,"AAAAAB/S3yI=")</f>
        <v>#VALUE!</v>
      </c>
      <c r="AJ120" t="e">
        <f>AND(Sheet1!D1606,"AAAAAB/S3yM=")</f>
        <v>#VALUE!</v>
      </c>
      <c r="AK120" t="e">
        <f>AND(Sheet1!E1606,"AAAAAB/S3yQ=")</f>
        <v>#VALUE!</v>
      </c>
      <c r="AL120" t="e">
        <f>AND(Sheet1!F1606,"AAAAAB/S3yU=")</f>
        <v>#VALUE!</v>
      </c>
      <c r="AM120" t="e">
        <f>AND(Sheet1!G1606,"AAAAAB/S3yY=")</f>
        <v>#VALUE!</v>
      </c>
      <c r="AN120" t="e">
        <f>AND(Sheet1!H1606,"AAAAAB/S3yc=")</f>
        <v>#VALUE!</v>
      </c>
      <c r="AO120" t="e">
        <f>AND(Sheet1!I1606,"AAAAAB/S3yg=")</f>
        <v>#VALUE!</v>
      </c>
      <c r="AP120" t="e">
        <f>AND(Sheet1!J1606,"AAAAAB/S3yk=")</f>
        <v>#VALUE!</v>
      </c>
      <c r="AQ120" t="e">
        <f>AND(Sheet1!K1606,"AAAAAB/S3yo=")</f>
        <v>#VALUE!</v>
      </c>
      <c r="AR120" t="e">
        <f>AND(Sheet1!L1606,"AAAAAB/S3ys=")</f>
        <v>#VALUE!</v>
      </c>
      <c r="AS120" t="e">
        <f>AND(Sheet1!M1606,"AAAAAB/S3yw=")</f>
        <v>#VALUE!</v>
      </c>
      <c r="AT120" t="e">
        <f>AND(Sheet1!N1606,"AAAAAB/S3y0=")</f>
        <v>#VALUE!</v>
      </c>
      <c r="AU120" t="e">
        <f>AND(Sheet1!#REF!,"AAAAAB/S3y4=")</f>
        <v>#REF!</v>
      </c>
      <c r="AV120" t="e">
        <f>AND(Sheet1!#REF!,"AAAAAB/S3y8=")</f>
        <v>#REF!</v>
      </c>
      <c r="AW120" t="e">
        <f>AND(Sheet1!#REF!,"AAAAAB/S3zA=")</f>
        <v>#REF!</v>
      </c>
      <c r="AX120" t="e">
        <f>AND(Sheet1!#REF!,"AAAAAB/S3zE=")</f>
        <v>#REF!</v>
      </c>
      <c r="AY120">
        <f>IF(Sheet1!1607:1607,"AAAAAB/S3zI=",0)</f>
        <v>0</v>
      </c>
      <c r="AZ120" t="e">
        <f>AND(Sheet1!A1607,"AAAAAB/S3zM=")</f>
        <v>#VALUE!</v>
      </c>
      <c r="BA120" t="e">
        <f>AND(Sheet1!B1607,"AAAAAB/S3zQ=")</f>
        <v>#VALUE!</v>
      </c>
      <c r="BB120" t="e">
        <f>AND(Sheet1!C1607,"AAAAAB/S3zU=")</f>
        <v>#VALUE!</v>
      </c>
      <c r="BC120" t="e">
        <f>AND(Sheet1!D1607,"AAAAAB/S3zY=")</f>
        <v>#VALUE!</v>
      </c>
      <c r="BD120" t="e">
        <f>AND(Sheet1!E1607,"AAAAAB/S3zc=")</f>
        <v>#VALUE!</v>
      </c>
      <c r="BE120" t="e">
        <f>AND(Sheet1!F1607,"AAAAAB/S3zg=")</f>
        <v>#VALUE!</v>
      </c>
      <c r="BF120" t="e">
        <f>AND(Sheet1!G1607,"AAAAAB/S3zk=")</f>
        <v>#VALUE!</v>
      </c>
      <c r="BG120" t="e">
        <f>AND(Sheet1!H1607,"AAAAAB/S3zo=")</f>
        <v>#VALUE!</v>
      </c>
      <c r="BH120" t="e">
        <f>AND(Sheet1!I1607,"AAAAAB/S3zs=")</f>
        <v>#VALUE!</v>
      </c>
      <c r="BI120" t="e">
        <f>AND(Sheet1!J1607,"AAAAAB/S3zw=")</f>
        <v>#VALUE!</v>
      </c>
      <c r="BJ120" t="e">
        <f>AND(Sheet1!K1607,"AAAAAB/S3z0=")</f>
        <v>#VALUE!</v>
      </c>
      <c r="BK120" t="e">
        <f>AND(Sheet1!L1607,"AAAAAB/S3z4=")</f>
        <v>#VALUE!</v>
      </c>
      <c r="BL120" t="e">
        <f>AND(Sheet1!M1607,"AAAAAB/S3z8=")</f>
        <v>#VALUE!</v>
      </c>
      <c r="BM120" t="e">
        <f>AND(Sheet1!N1607,"AAAAAB/S30A=")</f>
        <v>#VALUE!</v>
      </c>
      <c r="BN120" t="e">
        <f>AND(Sheet1!#REF!,"AAAAAB/S30E=")</f>
        <v>#REF!</v>
      </c>
      <c r="BO120" t="e">
        <f>AND(Sheet1!#REF!,"AAAAAB/S30I=")</f>
        <v>#REF!</v>
      </c>
      <c r="BP120" t="e">
        <f>AND(Sheet1!#REF!,"AAAAAB/S30M=")</f>
        <v>#REF!</v>
      </c>
      <c r="BQ120" t="e">
        <f>AND(Sheet1!#REF!,"AAAAAB/S30Q=")</f>
        <v>#REF!</v>
      </c>
      <c r="BR120">
        <f>IF(Sheet1!1608:1608,"AAAAAB/S30U=",0)</f>
        <v>0</v>
      </c>
      <c r="BS120" t="e">
        <f>AND(Sheet1!A1608,"AAAAAB/S30Y=")</f>
        <v>#VALUE!</v>
      </c>
      <c r="BT120" t="e">
        <f>AND(Sheet1!B1608,"AAAAAB/S30c=")</f>
        <v>#VALUE!</v>
      </c>
      <c r="BU120" t="e">
        <f>AND(Sheet1!C1608,"AAAAAB/S30g=")</f>
        <v>#VALUE!</v>
      </c>
      <c r="BV120" t="e">
        <f>AND(Sheet1!D1608,"AAAAAB/S30k=")</f>
        <v>#VALUE!</v>
      </c>
      <c r="BW120" t="e">
        <f>AND(Sheet1!E1608,"AAAAAB/S30o=")</f>
        <v>#VALUE!</v>
      </c>
      <c r="BX120" t="e">
        <f>AND(Sheet1!F1608,"AAAAAB/S30s=")</f>
        <v>#VALUE!</v>
      </c>
      <c r="BY120" t="e">
        <f>AND(Sheet1!G1608,"AAAAAB/S30w=")</f>
        <v>#VALUE!</v>
      </c>
      <c r="BZ120" t="e">
        <f>AND(Sheet1!H1608,"AAAAAB/S300=")</f>
        <v>#VALUE!</v>
      </c>
      <c r="CA120" t="e">
        <f>AND(Sheet1!I1608,"AAAAAB/S304=")</f>
        <v>#VALUE!</v>
      </c>
      <c r="CB120" t="e">
        <f>AND(Sheet1!J1608,"AAAAAB/S308=")</f>
        <v>#VALUE!</v>
      </c>
      <c r="CC120" t="e">
        <f>AND(Sheet1!K1608,"AAAAAB/S31A=")</f>
        <v>#VALUE!</v>
      </c>
      <c r="CD120" t="e">
        <f>AND(Sheet1!L1608,"AAAAAB/S31E=")</f>
        <v>#VALUE!</v>
      </c>
      <c r="CE120" t="e">
        <f>AND(Sheet1!M1608,"AAAAAB/S31I=")</f>
        <v>#VALUE!</v>
      </c>
      <c r="CF120" t="e">
        <f>AND(Sheet1!N1608,"AAAAAB/S31M=")</f>
        <v>#VALUE!</v>
      </c>
      <c r="CG120" t="e">
        <f>AND(Sheet1!#REF!,"AAAAAB/S31Q=")</f>
        <v>#REF!</v>
      </c>
      <c r="CH120" t="e">
        <f>AND(Sheet1!#REF!,"AAAAAB/S31U=")</f>
        <v>#REF!</v>
      </c>
      <c r="CI120" t="e">
        <f>AND(Sheet1!#REF!,"AAAAAB/S31Y=")</f>
        <v>#REF!</v>
      </c>
      <c r="CJ120" t="e">
        <f>AND(Sheet1!#REF!,"AAAAAB/S31c=")</f>
        <v>#REF!</v>
      </c>
      <c r="CK120">
        <f>IF(Sheet1!1609:1609,"AAAAAB/S31g=",0)</f>
        <v>0</v>
      </c>
      <c r="CL120" t="e">
        <f>AND(Sheet1!A1609,"AAAAAB/S31k=")</f>
        <v>#VALUE!</v>
      </c>
      <c r="CM120" t="e">
        <f>AND(Sheet1!B1609,"AAAAAB/S31o=")</f>
        <v>#VALUE!</v>
      </c>
      <c r="CN120" t="e">
        <f>AND(Sheet1!C1609,"AAAAAB/S31s=")</f>
        <v>#VALUE!</v>
      </c>
      <c r="CO120" t="e">
        <f>AND(Sheet1!D1609,"AAAAAB/S31w=")</f>
        <v>#VALUE!</v>
      </c>
      <c r="CP120" t="e">
        <f>AND(Sheet1!E1609,"AAAAAB/S310=")</f>
        <v>#VALUE!</v>
      </c>
      <c r="CQ120" t="e">
        <f>AND(Sheet1!F1609,"AAAAAB/S314=")</f>
        <v>#VALUE!</v>
      </c>
      <c r="CR120" t="e">
        <f>AND(Sheet1!G1609,"AAAAAB/S318=")</f>
        <v>#VALUE!</v>
      </c>
      <c r="CS120" t="e">
        <f>AND(Sheet1!H1609,"AAAAAB/S32A=")</f>
        <v>#VALUE!</v>
      </c>
      <c r="CT120" t="e">
        <f>AND(Sheet1!I1609,"AAAAAB/S32E=")</f>
        <v>#VALUE!</v>
      </c>
      <c r="CU120" t="e">
        <f>AND(Sheet1!J1609,"AAAAAB/S32I=")</f>
        <v>#VALUE!</v>
      </c>
      <c r="CV120" t="e">
        <f>AND(Sheet1!K1609,"AAAAAB/S32M=")</f>
        <v>#VALUE!</v>
      </c>
      <c r="CW120" t="e">
        <f>AND(Sheet1!L1609,"AAAAAB/S32Q=")</f>
        <v>#VALUE!</v>
      </c>
      <c r="CX120" t="e">
        <f>AND(Sheet1!M1609,"AAAAAB/S32U=")</f>
        <v>#VALUE!</v>
      </c>
      <c r="CY120" t="e">
        <f>AND(Sheet1!N1609,"AAAAAB/S32Y=")</f>
        <v>#VALUE!</v>
      </c>
      <c r="CZ120" t="e">
        <f>AND(Sheet1!#REF!,"AAAAAB/S32c=")</f>
        <v>#REF!</v>
      </c>
      <c r="DA120" t="e">
        <f>AND(Sheet1!#REF!,"AAAAAB/S32g=")</f>
        <v>#REF!</v>
      </c>
      <c r="DB120" t="e">
        <f>AND(Sheet1!#REF!,"AAAAAB/S32k=")</f>
        <v>#REF!</v>
      </c>
      <c r="DC120" t="e">
        <f>AND(Sheet1!#REF!,"AAAAAB/S32o=")</f>
        <v>#REF!</v>
      </c>
      <c r="DD120">
        <f>IF(Sheet1!1610:1610,"AAAAAB/S32s=",0)</f>
        <v>0</v>
      </c>
      <c r="DE120" t="e">
        <f>AND(Sheet1!A1610,"AAAAAB/S32w=")</f>
        <v>#VALUE!</v>
      </c>
      <c r="DF120" t="e">
        <f>AND(Sheet1!B1610,"AAAAAB/S320=")</f>
        <v>#VALUE!</v>
      </c>
      <c r="DG120" t="e">
        <f>AND(Sheet1!C1610,"AAAAAB/S324=")</f>
        <v>#VALUE!</v>
      </c>
      <c r="DH120" t="e">
        <f>AND(Sheet1!D1610,"AAAAAB/S328=")</f>
        <v>#VALUE!</v>
      </c>
      <c r="DI120" t="e">
        <f>AND(Sheet1!E1610,"AAAAAB/S33A=")</f>
        <v>#VALUE!</v>
      </c>
      <c r="DJ120" t="e">
        <f>AND(Sheet1!F1610,"AAAAAB/S33E=")</f>
        <v>#VALUE!</v>
      </c>
      <c r="DK120" t="e">
        <f>AND(Sheet1!G1610,"AAAAAB/S33I=")</f>
        <v>#VALUE!</v>
      </c>
      <c r="DL120" t="e">
        <f>AND(Sheet1!H1610,"AAAAAB/S33M=")</f>
        <v>#VALUE!</v>
      </c>
      <c r="DM120" t="e">
        <f>AND(Sheet1!I1610,"AAAAAB/S33Q=")</f>
        <v>#VALUE!</v>
      </c>
      <c r="DN120" t="e">
        <f>AND(Sheet1!J1610,"AAAAAB/S33U=")</f>
        <v>#VALUE!</v>
      </c>
      <c r="DO120" t="e">
        <f>AND(Sheet1!K1610,"AAAAAB/S33Y=")</f>
        <v>#VALUE!</v>
      </c>
      <c r="DP120" t="e">
        <f>AND(Sheet1!L1610,"AAAAAB/S33c=")</f>
        <v>#VALUE!</v>
      </c>
      <c r="DQ120" t="e">
        <f>AND(Sheet1!M1610,"AAAAAB/S33g=")</f>
        <v>#VALUE!</v>
      </c>
      <c r="DR120" t="e">
        <f>AND(Sheet1!N1610,"AAAAAB/S33k=")</f>
        <v>#VALUE!</v>
      </c>
      <c r="DS120" t="e">
        <f>AND(Sheet1!#REF!,"AAAAAB/S33o=")</f>
        <v>#REF!</v>
      </c>
      <c r="DT120" t="e">
        <f>AND(Sheet1!#REF!,"AAAAAB/S33s=")</f>
        <v>#REF!</v>
      </c>
      <c r="DU120" t="e">
        <f>AND(Sheet1!#REF!,"AAAAAB/S33w=")</f>
        <v>#REF!</v>
      </c>
      <c r="DV120" t="e">
        <f>AND(Sheet1!#REF!,"AAAAAB/S330=")</f>
        <v>#REF!</v>
      </c>
      <c r="DW120">
        <f>IF(Sheet1!1611:1611,"AAAAAB/S334=",0)</f>
        <v>0</v>
      </c>
      <c r="DX120" t="e">
        <f>AND(Sheet1!A1611,"AAAAAB/S338=")</f>
        <v>#VALUE!</v>
      </c>
      <c r="DY120" t="e">
        <f>AND(Sheet1!B1611,"AAAAAB/S34A=")</f>
        <v>#VALUE!</v>
      </c>
      <c r="DZ120" t="e">
        <f>AND(Sheet1!C1611,"AAAAAB/S34E=")</f>
        <v>#VALUE!</v>
      </c>
      <c r="EA120" t="e">
        <f>AND(Sheet1!D1611,"AAAAAB/S34I=")</f>
        <v>#VALUE!</v>
      </c>
      <c r="EB120" t="e">
        <f>AND(Sheet1!E1611,"AAAAAB/S34M=")</f>
        <v>#VALUE!</v>
      </c>
      <c r="EC120" t="e">
        <f>AND(Sheet1!F1611,"AAAAAB/S34Q=")</f>
        <v>#VALUE!</v>
      </c>
      <c r="ED120" t="e">
        <f>AND(Sheet1!G1611,"AAAAAB/S34U=")</f>
        <v>#VALUE!</v>
      </c>
      <c r="EE120" t="e">
        <f>AND(Sheet1!H1611,"AAAAAB/S34Y=")</f>
        <v>#VALUE!</v>
      </c>
      <c r="EF120" t="e">
        <f>AND(Sheet1!I1611,"AAAAAB/S34c=")</f>
        <v>#VALUE!</v>
      </c>
      <c r="EG120" t="e">
        <f>AND(Sheet1!J1611,"AAAAAB/S34g=")</f>
        <v>#VALUE!</v>
      </c>
      <c r="EH120" t="e">
        <f>AND(Sheet1!K1611,"AAAAAB/S34k=")</f>
        <v>#VALUE!</v>
      </c>
      <c r="EI120" t="e">
        <f>AND(Sheet1!L1611,"AAAAAB/S34o=")</f>
        <v>#VALUE!</v>
      </c>
      <c r="EJ120" t="e">
        <f>AND(Sheet1!M1611,"AAAAAB/S34s=")</f>
        <v>#VALUE!</v>
      </c>
      <c r="EK120" t="e">
        <f>AND(Sheet1!N1611,"AAAAAB/S34w=")</f>
        <v>#VALUE!</v>
      </c>
      <c r="EL120" t="e">
        <f>AND(Sheet1!#REF!,"AAAAAB/S340=")</f>
        <v>#REF!</v>
      </c>
      <c r="EM120" t="e">
        <f>AND(Sheet1!#REF!,"AAAAAB/S344=")</f>
        <v>#REF!</v>
      </c>
      <c r="EN120" t="e">
        <f>AND(Sheet1!#REF!,"AAAAAB/S348=")</f>
        <v>#REF!</v>
      </c>
      <c r="EO120" t="e">
        <f>AND(Sheet1!#REF!,"AAAAAB/S35A=")</f>
        <v>#REF!</v>
      </c>
      <c r="EP120">
        <f>IF(Sheet1!1612:1612,"AAAAAB/S35E=",0)</f>
        <v>0</v>
      </c>
      <c r="EQ120" t="e">
        <f>AND(Sheet1!A1612,"AAAAAB/S35I=")</f>
        <v>#VALUE!</v>
      </c>
      <c r="ER120" t="e">
        <f>AND(Sheet1!B1612,"AAAAAB/S35M=")</f>
        <v>#VALUE!</v>
      </c>
      <c r="ES120" t="e">
        <f>AND(Sheet1!C1612,"AAAAAB/S35Q=")</f>
        <v>#VALUE!</v>
      </c>
      <c r="ET120" t="e">
        <f>AND(Sheet1!D1612,"AAAAAB/S35U=")</f>
        <v>#VALUE!</v>
      </c>
      <c r="EU120" t="e">
        <f>AND(Sheet1!E1612,"AAAAAB/S35Y=")</f>
        <v>#VALUE!</v>
      </c>
      <c r="EV120" t="e">
        <f>AND(Sheet1!F1612,"AAAAAB/S35c=")</f>
        <v>#VALUE!</v>
      </c>
      <c r="EW120" t="e">
        <f>AND(Sheet1!G1612,"AAAAAB/S35g=")</f>
        <v>#VALUE!</v>
      </c>
      <c r="EX120" t="e">
        <f>AND(Sheet1!H1612,"AAAAAB/S35k=")</f>
        <v>#VALUE!</v>
      </c>
      <c r="EY120" t="e">
        <f>AND(Sheet1!I1612,"AAAAAB/S35o=")</f>
        <v>#VALUE!</v>
      </c>
      <c r="EZ120" t="e">
        <f>AND(Sheet1!J1612,"AAAAAB/S35s=")</f>
        <v>#VALUE!</v>
      </c>
      <c r="FA120" t="e">
        <f>AND(Sheet1!K1612,"AAAAAB/S35w=")</f>
        <v>#VALUE!</v>
      </c>
      <c r="FB120" t="e">
        <f>AND(Sheet1!L1612,"AAAAAB/S350=")</f>
        <v>#VALUE!</v>
      </c>
      <c r="FC120" t="e">
        <f>AND(Sheet1!M1612,"AAAAAB/S354=")</f>
        <v>#VALUE!</v>
      </c>
      <c r="FD120" t="e">
        <f>AND(Sheet1!N1612,"AAAAAB/S358=")</f>
        <v>#VALUE!</v>
      </c>
      <c r="FE120" t="e">
        <f>AND(Sheet1!#REF!,"AAAAAB/S36A=")</f>
        <v>#REF!</v>
      </c>
      <c r="FF120" t="e">
        <f>AND(Sheet1!#REF!,"AAAAAB/S36E=")</f>
        <v>#REF!</v>
      </c>
      <c r="FG120" t="e">
        <f>AND(Sheet1!#REF!,"AAAAAB/S36I=")</f>
        <v>#REF!</v>
      </c>
      <c r="FH120" t="e">
        <f>AND(Sheet1!#REF!,"AAAAAB/S36M=")</f>
        <v>#REF!</v>
      </c>
      <c r="FI120">
        <f>IF(Sheet1!1613:1613,"AAAAAB/S36Q=",0)</f>
        <v>0</v>
      </c>
      <c r="FJ120" t="e">
        <f>AND(Sheet1!A1613,"AAAAAB/S36U=")</f>
        <v>#VALUE!</v>
      </c>
      <c r="FK120" t="e">
        <f>AND(Sheet1!B1613,"AAAAAB/S36Y=")</f>
        <v>#VALUE!</v>
      </c>
      <c r="FL120" t="e">
        <f>AND(Sheet1!C1613,"AAAAAB/S36c=")</f>
        <v>#VALUE!</v>
      </c>
      <c r="FM120" t="e">
        <f>AND(Sheet1!D1613,"AAAAAB/S36g=")</f>
        <v>#VALUE!</v>
      </c>
      <c r="FN120" t="e">
        <f>AND(Sheet1!E1613,"AAAAAB/S36k=")</f>
        <v>#VALUE!</v>
      </c>
      <c r="FO120" t="e">
        <f>AND(Sheet1!F1613,"AAAAAB/S36o=")</f>
        <v>#VALUE!</v>
      </c>
      <c r="FP120" t="e">
        <f>AND(Sheet1!G1613,"AAAAAB/S36s=")</f>
        <v>#VALUE!</v>
      </c>
      <c r="FQ120" t="e">
        <f>AND(Sheet1!H1613,"AAAAAB/S36w=")</f>
        <v>#VALUE!</v>
      </c>
      <c r="FR120" t="e">
        <f>AND(Sheet1!I1613,"AAAAAB/S360=")</f>
        <v>#VALUE!</v>
      </c>
      <c r="FS120" t="e">
        <f>AND(Sheet1!J1613,"AAAAAB/S364=")</f>
        <v>#VALUE!</v>
      </c>
      <c r="FT120" t="e">
        <f>AND(Sheet1!K1613,"AAAAAB/S368=")</f>
        <v>#VALUE!</v>
      </c>
      <c r="FU120" t="e">
        <f>AND(Sheet1!L1613,"AAAAAB/S37A=")</f>
        <v>#VALUE!</v>
      </c>
      <c r="FV120" t="e">
        <f>AND(Sheet1!M1613,"AAAAAB/S37E=")</f>
        <v>#VALUE!</v>
      </c>
      <c r="FW120" t="e">
        <f>AND(Sheet1!N1613,"AAAAAB/S37I=")</f>
        <v>#VALUE!</v>
      </c>
      <c r="FX120" t="e">
        <f>AND(Sheet1!#REF!,"AAAAAB/S37M=")</f>
        <v>#REF!</v>
      </c>
      <c r="FY120" t="e">
        <f>AND(Sheet1!#REF!,"AAAAAB/S37Q=")</f>
        <v>#REF!</v>
      </c>
      <c r="FZ120" t="e">
        <f>AND(Sheet1!#REF!,"AAAAAB/S37U=")</f>
        <v>#REF!</v>
      </c>
      <c r="GA120" t="e">
        <f>AND(Sheet1!#REF!,"AAAAAB/S37Y=")</f>
        <v>#REF!</v>
      </c>
      <c r="GB120">
        <f>IF(Sheet1!1614:1614,"AAAAAB/S37c=",0)</f>
        <v>0</v>
      </c>
      <c r="GC120" t="e">
        <f>AND(Sheet1!A1614,"AAAAAB/S37g=")</f>
        <v>#VALUE!</v>
      </c>
      <c r="GD120" t="e">
        <f>AND(Sheet1!B1614,"AAAAAB/S37k=")</f>
        <v>#VALUE!</v>
      </c>
      <c r="GE120" t="e">
        <f>AND(Sheet1!C1614,"AAAAAB/S37o=")</f>
        <v>#VALUE!</v>
      </c>
      <c r="GF120" t="e">
        <f>AND(Sheet1!D1614,"AAAAAB/S37s=")</f>
        <v>#VALUE!</v>
      </c>
      <c r="GG120" t="e">
        <f>AND(Sheet1!E1614,"AAAAAB/S37w=")</f>
        <v>#VALUE!</v>
      </c>
      <c r="GH120" t="e">
        <f>AND(Sheet1!F1614,"AAAAAB/S370=")</f>
        <v>#VALUE!</v>
      </c>
      <c r="GI120" t="e">
        <f>AND(Sheet1!G1614,"AAAAAB/S374=")</f>
        <v>#VALUE!</v>
      </c>
      <c r="GJ120" t="e">
        <f>AND(Sheet1!H1614,"AAAAAB/S378=")</f>
        <v>#VALUE!</v>
      </c>
      <c r="GK120" t="e">
        <f>AND(Sheet1!I1614,"AAAAAB/S38A=")</f>
        <v>#VALUE!</v>
      </c>
      <c r="GL120" t="e">
        <f>AND(Sheet1!J1614,"AAAAAB/S38E=")</f>
        <v>#VALUE!</v>
      </c>
      <c r="GM120" t="e">
        <f>AND(Sheet1!K1614,"AAAAAB/S38I=")</f>
        <v>#VALUE!</v>
      </c>
      <c r="GN120" t="e">
        <f>AND(Sheet1!L1614,"AAAAAB/S38M=")</f>
        <v>#VALUE!</v>
      </c>
      <c r="GO120" t="e">
        <f>AND(Sheet1!M1614,"AAAAAB/S38Q=")</f>
        <v>#VALUE!</v>
      </c>
      <c r="GP120" t="e">
        <f>AND(Sheet1!N1614,"AAAAAB/S38U=")</f>
        <v>#VALUE!</v>
      </c>
      <c r="GQ120" t="e">
        <f>AND(Sheet1!#REF!,"AAAAAB/S38Y=")</f>
        <v>#REF!</v>
      </c>
      <c r="GR120" t="e">
        <f>AND(Sheet1!#REF!,"AAAAAB/S38c=")</f>
        <v>#REF!</v>
      </c>
      <c r="GS120" t="e">
        <f>AND(Sheet1!#REF!,"AAAAAB/S38g=")</f>
        <v>#REF!</v>
      </c>
      <c r="GT120" t="e">
        <f>AND(Sheet1!#REF!,"AAAAAB/S38k=")</f>
        <v>#REF!</v>
      </c>
      <c r="GU120">
        <f>IF(Sheet1!1615:1615,"AAAAAB/S38o=",0)</f>
        <v>0</v>
      </c>
      <c r="GV120" t="e">
        <f>AND(Sheet1!A1615,"AAAAAB/S38s=")</f>
        <v>#VALUE!</v>
      </c>
      <c r="GW120" t="e">
        <f>AND(Sheet1!B1615,"AAAAAB/S38w=")</f>
        <v>#VALUE!</v>
      </c>
      <c r="GX120" t="e">
        <f>AND(Sheet1!C1615,"AAAAAB/S380=")</f>
        <v>#VALUE!</v>
      </c>
      <c r="GY120" t="e">
        <f>AND(Sheet1!D1615,"AAAAAB/S384=")</f>
        <v>#VALUE!</v>
      </c>
      <c r="GZ120" t="e">
        <f>AND(Sheet1!E1615,"AAAAAB/S388=")</f>
        <v>#VALUE!</v>
      </c>
      <c r="HA120" t="e">
        <f>AND(Sheet1!F1615,"AAAAAB/S39A=")</f>
        <v>#VALUE!</v>
      </c>
      <c r="HB120" t="e">
        <f>AND(Sheet1!G1615,"AAAAAB/S39E=")</f>
        <v>#VALUE!</v>
      </c>
      <c r="HC120" t="e">
        <f>AND(Sheet1!H1615,"AAAAAB/S39I=")</f>
        <v>#VALUE!</v>
      </c>
      <c r="HD120" t="e">
        <f>AND(Sheet1!I1615,"AAAAAB/S39M=")</f>
        <v>#VALUE!</v>
      </c>
      <c r="HE120" t="e">
        <f>AND(Sheet1!J1615,"AAAAAB/S39Q=")</f>
        <v>#VALUE!</v>
      </c>
      <c r="HF120" t="e">
        <f>AND(Sheet1!K1615,"AAAAAB/S39U=")</f>
        <v>#VALUE!</v>
      </c>
      <c r="HG120" t="e">
        <f>AND(Sheet1!L1615,"AAAAAB/S39Y=")</f>
        <v>#VALUE!</v>
      </c>
      <c r="HH120" t="e">
        <f>AND(Sheet1!M1615,"AAAAAB/S39c=")</f>
        <v>#VALUE!</v>
      </c>
      <c r="HI120" t="e">
        <f>AND(Sheet1!N1615,"AAAAAB/S39g=")</f>
        <v>#VALUE!</v>
      </c>
      <c r="HJ120" t="e">
        <f>AND(Sheet1!#REF!,"AAAAAB/S39k=")</f>
        <v>#REF!</v>
      </c>
      <c r="HK120" t="e">
        <f>AND(Sheet1!#REF!,"AAAAAB/S39o=")</f>
        <v>#REF!</v>
      </c>
      <c r="HL120" t="e">
        <f>AND(Sheet1!#REF!,"AAAAAB/S39s=")</f>
        <v>#REF!</v>
      </c>
      <c r="HM120" t="e">
        <f>AND(Sheet1!#REF!,"AAAAAB/S39w=")</f>
        <v>#REF!</v>
      </c>
      <c r="HN120">
        <f>IF(Sheet1!1616:1616,"AAAAAB/S390=",0)</f>
        <v>0</v>
      </c>
      <c r="HO120" t="e">
        <f>AND(Sheet1!A1616,"AAAAAB/S394=")</f>
        <v>#VALUE!</v>
      </c>
      <c r="HP120" t="e">
        <f>AND(Sheet1!B1616,"AAAAAB/S398=")</f>
        <v>#VALUE!</v>
      </c>
      <c r="HQ120" t="e">
        <f>AND(Sheet1!C1616,"AAAAAB/S3+A=")</f>
        <v>#VALUE!</v>
      </c>
      <c r="HR120" t="e">
        <f>AND(Sheet1!D1616,"AAAAAB/S3+E=")</f>
        <v>#VALUE!</v>
      </c>
      <c r="HS120" t="e">
        <f>AND(Sheet1!E1616,"AAAAAB/S3+I=")</f>
        <v>#VALUE!</v>
      </c>
      <c r="HT120" t="e">
        <f>AND(Sheet1!F1616,"AAAAAB/S3+M=")</f>
        <v>#VALUE!</v>
      </c>
      <c r="HU120" t="e">
        <f>AND(Sheet1!G1616,"AAAAAB/S3+Q=")</f>
        <v>#VALUE!</v>
      </c>
      <c r="HV120" t="e">
        <f>AND(Sheet1!H1616,"AAAAAB/S3+U=")</f>
        <v>#VALUE!</v>
      </c>
      <c r="HW120" t="e">
        <f>AND(Sheet1!I1616,"AAAAAB/S3+Y=")</f>
        <v>#VALUE!</v>
      </c>
      <c r="HX120" t="e">
        <f>AND(Sheet1!J1616,"AAAAAB/S3+c=")</f>
        <v>#VALUE!</v>
      </c>
      <c r="HY120" t="e">
        <f>AND(Sheet1!K1616,"AAAAAB/S3+g=")</f>
        <v>#VALUE!</v>
      </c>
      <c r="HZ120" t="e">
        <f>AND(Sheet1!L1616,"AAAAAB/S3+k=")</f>
        <v>#VALUE!</v>
      </c>
      <c r="IA120" t="e">
        <f>AND(Sheet1!M1616,"AAAAAB/S3+o=")</f>
        <v>#VALUE!</v>
      </c>
      <c r="IB120" t="e">
        <f>AND(Sheet1!N1616,"AAAAAB/S3+s=")</f>
        <v>#VALUE!</v>
      </c>
      <c r="IC120" t="e">
        <f>AND(Sheet1!#REF!,"AAAAAB/S3+w=")</f>
        <v>#REF!</v>
      </c>
      <c r="ID120" t="e">
        <f>AND(Sheet1!#REF!,"AAAAAB/S3+0=")</f>
        <v>#REF!</v>
      </c>
      <c r="IE120" t="e">
        <f>AND(Sheet1!#REF!,"AAAAAB/S3+4=")</f>
        <v>#REF!</v>
      </c>
      <c r="IF120" t="e">
        <f>AND(Sheet1!#REF!,"AAAAAB/S3+8=")</f>
        <v>#REF!</v>
      </c>
      <c r="IG120">
        <f>IF(Sheet1!1617:1617,"AAAAAB/S3/A=",0)</f>
        <v>0</v>
      </c>
      <c r="IH120" t="e">
        <f>AND(Sheet1!A1617,"AAAAAB/S3/E=")</f>
        <v>#VALUE!</v>
      </c>
      <c r="II120" t="e">
        <f>AND(Sheet1!B1617,"AAAAAB/S3/I=")</f>
        <v>#VALUE!</v>
      </c>
      <c r="IJ120" t="e">
        <f>AND(Sheet1!C1617,"AAAAAB/S3/M=")</f>
        <v>#VALUE!</v>
      </c>
      <c r="IK120" t="e">
        <f>AND(Sheet1!D1617,"AAAAAB/S3/Q=")</f>
        <v>#VALUE!</v>
      </c>
      <c r="IL120" t="e">
        <f>AND(Sheet1!E1617,"AAAAAB/S3/U=")</f>
        <v>#VALUE!</v>
      </c>
      <c r="IM120" t="e">
        <f>AND(Sheet1!F1617,"AAAAAB/S3/Y=")</f>
        <v>#VALUE!</v>
      </c>
      <c r="IN120" t="e">
        <f>AND(Sheet1!G1617,"AAAAAB/S3/c=")</f>
        <v>#VALUE!</v>
      </c>
      <c r="IO120" t="e">
        <f>AND(Sheet1!H1617,"AAAAAB/S3/g=")</f>
        <v>#VALUE!</v>
      </c>
      <c r="IP120" t="e">
        <f>AND(Sheet1!I1617,"AAAAAB/S3/k=")</f>
        <v>#VALUE!</v>
      </c>
      <c r="IQ120" t="e">
        <f>AND(Sheet1!J1617,"AAAAAB/S3/o=")</f>
        <v>#VALUE!</v>
      </c>
      <c r="IR120" t="e">
        <f>AND(Sheet1!K1617,"AAAAAB/S3/s=")</f>
        <v>#VALUE!</v>
      </c>
      <c r="IS120" t="e">
        <f>AND(Sheet1!L1617,"AAAAAB/S3/w=")</f>
        <v>#VALUE!</v>
      </c>
      <c r="IT120" t="e">
        <f>AND(Sheet1!M1617,"AAAAAB/S3/0=")</f>
        <v>#VALUE!</v>
      </c>
      <c r="IU120" t="e">
        <f>AND(Sheet1!N1617,"AAAAAB/S3/4=")</f>
        <v>#VALUE!</v>
      </c>
      <c r="IV120" t="e">
        <f>AND(Sheet1!#REF!,"AAAAAB/S3/8=")</f>
        <v>#REF!</v>
      </c>
    </row>
    <row r="121" spans="1:256" x14ac:dyDescent="0.2">
      <c r="A121" t="e">
        <f>AND(Sheet1!#REF!,"AAAAAF+3rQA=")</f>
        <v>#REF!</v>
      </c>
      <c r="B121" t="e">
        <f>AND(Sheet1!#REF!,"AAAAAF+3rQE=")</f>
        <v>#REF!</v>
      </c>
      <c r="C121" t="e">
        <f>AND(Sheet1!#REF!,"AAAAAF+3rQI=")</f>
        <v>#REF!</v>
      </c>
      <c r="D121" t="e">
        <f>IF(Sheet1!1618:1618,"AAAAAF+3rQM=",0)</f>
        <v>#VALUE!</v>
      </c>
      <c r="E121" t="e">
        <f>AND(Sheet1!A1618,"AAAAAF+3rQQ=")</f>
        <v>#VALUE!</v>
      </c>
      <c r="F121" t="e">
        <f>AND(Sheet1!B1618,"AAAAAF+3rQU=")</f>
        <v>#VALUE!</v>
      </c>
      <c r="G121" t="e">
        <f>AND(Sheet1!C1618,"AAAAAF+3rQY=")</f>
        <v>#VALUE!</v>
      </c>
      <c r="H121" t="e">
        <f>AND(Sheet1!D1618,"AAAAAF+3rQc=")</f>
        <v>#VALUE!</v>
      </c>
      <c r="I121" t="e">
        <f>AND(Sheet1!E1618,"AAAAAF+3rQg=")</f>
        <v>#VALUE!</v>
      </c>
      <c r="J121" t="e">
        <f>AND(Sheet1!F1618,"AAAAAF+3rQk=")</f>
        <v>#VALUE!</v>
      </c>
      <c r="K121" t="e">
        <f>AND(Sheet1!G1618,"AAAAAF+3rQo=")</f>
        <v>#VALUE!</v>
      </c>
      <c r="L121" t="e">
        <f>AND(Sheet1!H1618,"AAAAAF+3rQs=")</f>
        <v>#VALUE!</v>
      </c>
      <c r="M121" t="e">
        <f>AND(Sheet1!I1618,"AAAAAF+3rQw=")</f>
        <v>#VALUE!</v>
      </c>
      <c r="N121" t="e">
        <f>AND(Sheet1!J1618,"AAAAAF+3rQ0=")</f>
        <v>#VALUE!</v>
      </c>
      <c r="O121" t="e">
        <f>AND(Sheet1!K1618,"AAAAAF+3rQ4=")</f>
        <v>#VALUE!</v>
      </c>
      <c r="P121" t="e">
        <f>AND(Sheet1!L1618,"AAAAAF+3rQ8=")</f>
        <v>#VALUE!</v>
      </c>
      <c r="Q121" t="e">
        <f>AND(Sheet1!M1618,"AAAAAF+3rRA=")</f>
        <v>#VALUE!</v>
      </c>
      <c r="R121" t="e">
        <f>AND(Sheet1!N1618,"AAAAAF+3rRE=")</f>
        <v>#VALUE!</v>
      </c>
      <c r="S121" t="e">
        <f>AND(Sheet1!#REF!,"AAAAAF+3rRI=")</f>
        <v>#REF!</v>
      </c>
      <c r="T121" t="e">
        <f>AND(Sheet1!#REF!,"AAAAAF+3rRM=")</f>
        <v>#REF!</v>
      </c>
      <c r="U121" t="e">
        <f>AND(Sheet1!#REF!,"AAAAAF+3rRQ=")</f>
        <v>#REF!</v>
      </c>
      <c r="V121" t="e">
        <f>AND(Sheet1!#REF!,"AAAAAF+3rRU=")</f>
        <v>#REF!</v>
      </c>
      <c r="W121">
        <f>IF(Sheet1!1619:1619,"AAAAAF+3rRY=",0)</f>
        <v>0</v>
      </c>
      <c r="X121" t="e">
        <f>AND(Sheet1!A1619,"AAAAAF+3rRc=")</f>
        <v>#VALUE!</v>
      </c>
      <c r="Y121" t="e">
        <f>AND(Sheet1!B1619,"AAAAAF+3rRg=")</f>
        <v>#VALUE!</v>
      </c>
      <c r="Z121" t="e">
        <f>AND(Sheet1!C1619,"AAAAAF+3rRk=")</f>
        <v>#VALUE!</v>
      </c>
      <c r="AA121" t="e">
        <f>AND(Sheet1!D1619,"AAAAAF+3rRo=")</f>
        <v>#VALUE!</v>
      </c>
      <c r="AB121" t="e">
        <f>AND(Sheet1!E1619,"AAAAAF+3rRs=")</f>
        <v>#VALUE!</v>
      </c>
      <c r="AC121" t="e">
        <f>AND(Sheet1!F1619,"AAAAAF+3rRw=")</f>
        <v>#VALUE!</v>
      </c>
      <c r="AD121" t="e">
        <f>AND(Sheet1!G1619,"AAAAAF+3rR0=")</f>
        <v>#VALUE!</v>
      </c>
      <c r="AE121" t="e">
        <f>AND(Sheet1!H1619,"AAAAAF+3rR4=")</f>
        <v>#VALUE!</v>
      </c>
      <c r="AF121" t="e">
        <f>AND(Sheet1!I1619,"AAAAAF+3rR8=")</f>
        <v>#VALUE!</v>
      </c>
      <c r="AG121" t="e">
        <f>AND(Sheet1!J1619,"AAAAAF+3rSA=")</f>
        <v>#VALUE!</v>
      </c>
      <c r="AH121" t="e">
        <f>AND(Sheet1!K1619,"AAAAAF+3rSE=")</f>
        <v>#VALUE!</v>
      </c>
      <c r="AI121" t="e">
        <f>AND(Sheet1!L1619,"AAAAAF+3rSI=")</f>
        <v>#VALUE!</v>
      </c>
      <c r="AJ121" t="e">
        <f>AND(Sheet1!M1619,"AAAAAF+3rSM=")</f>
        <v>#VALUE!</v>
      </c>
      <c r="AK121" t="e">
        <f>AND(Sheet1!N1619,"AAAAAF+3rSQ=")</f>
        <v>#VALUE!</v>
      </c>
      <c r="AL121" t="e">
        <f>AND(Sheet1!#REF!,"AAAAAF+3rSU=")</f>
        <v>#REF!</v>
      </c>
      <c r="AM121" t="e">
        <f>AND(Sheet1!#REF!,"AAAAAF+3rSY=")</f>
        <v>#REF!</v>
      </c>
      <c r="AN121" t="e">
        <f>AND(Sheet1!#REF!,"AAAAAF+3rSc=")</f>
        <v>#REF!</v>
      </c>
      <c r="AO121" t="e">
        <f>AND(Sheet1!#REF!,"AAAAAF+3rSg=")</f>
        <v>#REF!</v>
      </c>
      <c r="AP121">
        <f>IF(Sheet1!1620:1620,"AAAAAF+3rSk=",0)</f>
        <v>0</v>
      </c>
      <c r="AQ121" t="e">
        <f>AND(Sheet1!A1620,"AAAAAF+3rSo=")</f>
        <v>#VALUE!</v>
      </c>
      <c r="AR121" t="e">
        <f>AND(Sheet1!B1620,"AAAAAF+3rSs=")</f>
        <v>#VALUE!</v>
      </c>
      <c r="AS121" t="e">
        <f>AND(Sheet1!C1620,"AAAAAF+3rSw=")</f>
        <v>#VALUE!</v>
      </c>
      <c r="AT121" t="e">
        <f>AND(Sheet1!D1620,"AAAAAF+3rS0=")</f>
        <v>#VALUE!</v>
      </c>
      <c r="AU121" t="e">
        <f>AND(Sheet1!E1620,"AAAAAF+3rS4=")</f>
        <v>#VALUE!</v>
      </c>
      <c r="AV121" t="e">
        <f>AND(Sheet1!F1620,"AAAAAF+3rS8=")</f>
        <v>#VALUE!</v>
      </c>
      <c r="AW121" t="e">
        <f>AND(Sheet1!G1620,"AAAAAF+3rTA=")</f>
        <v>#VALUE!</v>
      </c>
      <c r="AX121" t="e">
        <f>AND(Sheet1!H1620,"AAAAAF+3rTE=")</f>
        <v>#VALUE!</v>
      </c>
      <c r="AY121" t="e">
        <f>AND(Sheet1!I1620,"AAAAAF+3rTI=")</f>
        <v>#VALUE!</v>
      </c>
      <c r="AZ121" t="e">
        <f>AND(Sheet1!J1620,"AAAAAF+3rTM=")</f>
        <v>#VALUE!</v>
      </c>
      <c r="BA121" t="e">
        <f>AND(Sheet1!K1620,"AAAAAF+3rTQ=")</f>
        <v>#VALUE!</v>
      </c>
      <c r="BB121" t="e">
        <f>AND(Sheet1!L1620,"AAAAAF+3rTU=")</f>
        <v>#VALUE!</v>
      </c>
      <c r="BC121" t="e">
        <f>AND(Sheet1!M1620,"AAAAAF+3rTY=")</f>
        <v>#VALUE!</v>
      </c>
      <c r="BD121" t="e">
        <f>AND(Sheet1!N1620,"AAAAAF+3rTc=")</f>
        <v>#VALUE!</v>
      </c>
      <c r="BE121" t="e">
        <f>AND(Sheet1!#REF!,"AAAAAF+3rTg=")</f>
        <v>#REF!</v>
      </c>
      <c r="BF121" t="e">
        <f>AND(Sheet1!#REF!,"AAAAAF+3rTk=")</f>
        <v>#REF!</v>
      </c>
      <c r="BG121" t="e">
        <f>AND(Sheet1!#REF!,"AAAAAF+3rTo=")</f>
        <v>#REF!</v>
      </c>
      <c r="BH121" t="e">
        <f>AND(Sheet1!#REF!,"AAAAAF+3rTs=")</f>
        <v>#REF!</v>
      </c>
      <c r="BI121">
        <f>IF(Sheet1!1621:1621,"AAAAAF+3rTw=",0)</f>
        <v>0</v>
      </c>
      <c r="BJ121" t="e">
        <f>AND(Sheet1!A1621,"AAAAAF+3rT0=")</f>
        <v>#VALUE!</v>
      </c>
      <c r="BK121" t="e">
        <f>AND(Sheet1!B1621,"AAAAAF+3rT4=")</f>
        <v>#VALUE!</v>
      </c>
      <c r="BL121" t="e">
        <f>AND(Sheet1!C1621,"AAAAAF+3rT8=")</f>
        <v>#VALUE!</v>
      </c>
      <c r="BM121" t="e">
        <f>AND(Sheet1!D1621,"AAAAAF+3rUA=")</f>
        <v>#VALUE!</v>
      </c>
      <c r="BN121" t="e">
        <f>AND(Sheet1!E1621,"AAAAAF+3rUE=")</f>
        <v>#VALUE!</v>
      </c>
      <c r="BO121" t="e">
        <f>AND(Sheet1!F1621,"AAAAAF+3rUI=")</f>
        <v>#VALUE!</v>
      </c>
      <c r="BP121" t="e">
        <f>AND(Sheet1!G1621,"AAAAAF+3rUM=")</f>
        <v>#VALUE!</v>
      </c>
      <c r="BQ121" t="e">
        <f>AND(Sheet1!H1621,"AAAAAF+3rUQ=")</f>
        <v>#VALUE!</v>
      </c>
      <c r="BR121" t="e">
        <f>AND(Sheet1!I1621,"AAAAAF+3rUU=")</f>
        <v>#VALUE!</v>
      </c>
      <c r="BS121" t="e">
        <f>AND(Sheet1!J1621,"AAAAAF+3rUY=")</f>
        <v>#VALUE!</v>
      </c>
      <c r="BT121" t="e">
        <f>AND(Sheet1!K1621,"AAAAAF+3rUc=")</f>
        <v>#VALUE!</v>
      </c>
      <c r="BU121" t="e">
        <f>AND(Sheet1!L1621,"AAAAAF+3rUg=")</f>
        <v>#VALUE!</v>
      </c>
      <c r="BV121" t="e">
        <f>AND(Sheet1!M1621,"AAAAAF+3rUk=")</f>
        <v>#VALUE!</v>
      </c>
      <c r="BW121" t="e">
        <f>AND(Sheet1!N1621,"AAAAAF+3rUo=")</f>
        <v>#VALUE!</v>
      </c>
      <c r="BX121" t="e">
        <f>AND(Sheet1!#REF!,"AAAAAF+3rUs=")</f>
        <v>#REF!</v>
      </c>
      <c r="BY121" t="e">
        <f>AND(Sheet1!#REF!,"AAAAAF+3rUw=")</f>
        <v>#REF!</v>
      </c>
      <c r="BZ121" t="e">
        <f>AND(Sheet1!#REF!,"AAAAAF+3rU0=")</f>
        <v>#REF!</v>
      </c>
      <c r="CA121" t="e">
        <f>AND(Sheet1!#REF!,"AAAAAF+3rU4=")</f>
        <v>#REF!</v>
      </c>
      <c r="CB121">
        <f>IF(Sheet1!1622:1622,"AAAAAF+3rU8=",0)</f>
        <v>0</v>
      </c>
      <c r="CC121" t="e">
        <f>AND(Sheet1!A1622,"AAAAAF+3rVA=")</f>
        <v>#VALUE!</v>
      </c>
      <c r="CD121" t="e">
        <f>AND(Sheet1!B1622,"AAAAAF+3rVE=")</f>
        <v>#VALUE!</v>
      </c>
      <c r="CE121" t="e">
        <f>AND(Sheet1!C1622,"AAAAAF+3rVI=")</f>
        <v>#VALUE!</v>
      </c>
      <c r="CF121" t="e">
        <f>AND(Sheet1!D1622,"AAAAAF+3rVM=")</f>
        <v>#VALUE!</v>
      </c>
      <c r="CG121" t="e">
        <f>AND(Sheet1!E1622,"AAAAAF+3rVQ=")</f>
        <v>#VALUE!</v>
      </c>
      <c r="CH121" t="e">
        <f>AND(Sheet1!F1622,"AAAAAF+3rVU=")</f>
        <v>#VALUE!</v>
      </c>
      <c r="CI121" t="e">
        <f>AND(Sheet1!G1622,"AAAAAF+3rVY=")</f>
        <v>#VALUE!</v>
      </c>
      <c r="CJ121" t="e">
        <f>AND(Sheet1!H1622,"AAAAAF+3rVc=")</f>
        <v>#VALUE!</v>
      </c>
      <c r="CK121" t="e">
        <f>AND(Sheet1!I1622,"AAAAAF+3rVg=")</f>
        <v>#VALUE!</v>
      </c>
      <c r="CL121" t="e">
        <f>AND(Sheet1!J1622,"AAAAAF+3rVk=")</f>
        <v>#VALUE!</v>
      </c>
      <c r="CM121" t="e">
        <f>AND(Sheet1!K1622,"AAAAAF+3rVo=")</f>
        <v>#VALUE!</v>
      </c>
      <c r="CN121" t="e">
        <f>AND(Sheet1!L1622,"AAAAAF+3rVs=")</f>
        <v>#VALUE!</v>
      </c>
      <c r="CO121" t="e">
        <f>AND(Sheet1!M1622,"AAAAAF+3rVw=")</f>
        <v>#VALUE!</v>
      </c>
      <c r="CP121" t="e">
        <f>AND(Sheet1!N1622,"AAAAAF+3rV0=")</f>
        <v>#VALUE!</v>
      </c>
      <c r="CQ121" t="e">
        <f>AND(Sheet1!#REF!,"AAAAAF+3rV4=")</f>
        <v>#REF!</v>
      </c>
      <c r="CR121" t="e">
        <f>AND(Sheet1!#REF!,"AAAAAF+3rV8=")</f>
        <v>#REF!</v>
      </c>
      <c r="CS121" t="e">
        <f>AND(Sheet1!#REF!,"AAAAAF+3rWA=")</f>
        <v>#REF!</v>
      </c>
      <c r="CT121" t="e">
        <f>AND(Sheet1!#REF!,"AAAAAF+3rWE=")</f>
        <v>#REF!</v>
      </c>
      <c r="CU121">
        <f>IF(Sheet1!1623:1623,"AAAAAF+3rWI=",0)</f>
        <v>0</v>
      </c>
      <c r="CV121" t="e">
        <f>AND(Sheet1!A1623,"AAAAAF+3rWM=")</f>
        <v>#VALUE!</v>
      </c>
      <c r="CW121" t="e">
        <f>AND(Sheet1!B1623,"AAAAAF+3rWQ=")</f>
        <v>#VALUE!</v>
      </c>
      <c r="CX121" t="e">
        <f>AND(Sheet1!C1623,"AAAAAF+3rWU=")</f>
        <v>#VALUE!</v>
      </c>
      <c r="CY121" t="e">
        <f>AND(Sheet1!D1623,"AAAAAF+3rWY=")</f>
        <v>#VALUE!</v>
      </c>
      <c r="CZ121" t="e">
        <f>AND(Sheet1!E1623,"AAAAAF+3rWc=")</f>
        <v>#VALUE!</v>
      </c>
      <c r="DA121" t="e">
        <f>AND(Sheet1!F1623,"AAAAAF+3rWg=")</f>
        <v>#VALUE!</v>
      </c>
      <c r="DB121" t="e">
        <f>AND(Sheet1!G1623,"AAAAAF+3rWk=")</f>
        <v>#VALUE!</v>
      </c>
      <c r="DC121" t="e">
        <f>AND(Sheet1!H1623,"AAAAAF+3rWo=")</f>
        <v>#VALUE!</v>
      </c>
      <c r="DD121" t="e">
        <f>AND(Sheet1!I1623,"AAAAAF+3rWs=")</f>
        <v>#VALUE!</v>
      </c>
      <c r="DE121" t="e">
        <f>AND(Sheet1!J1623,"AAAAAF+3rWw=")</f>
        <v>#VALUE!</v>
      </c>
      <c r="DF121" t="e">
        <f>AND(Sheet1!K1623,"AAAAAF+3rW0=")</f>
        <v>#VALUE!</v>
      </c>
      <c r="DG121" t="e">
        <f>AND(Sheet1!L1623,"AAAAAF+3rW4=")</f>
        <v>#VALUE!</v>
      </c>
      <c r="DH121" t="e">
        <f>AND(Sheet1!M1623,"AAAAAF+3rW8=")</f>
        <v>#VALUE!</v>
      </c>
      <c r="DI121" t="e">
        <f>AND(Sheet1!N1623,"AAAAAF+3rXA=")</f>
        <v>#VALUE!</v>
      </c>
      <c r="DJ121" t="e">
        <f>AND(Sheet1!#REF!,"AAAAAF+3rXE=")</f>
        <v>#REF!</v>
      </c>
      <c r="DK121" t="e">
        <f>AND(Sheet1!#REF!,"AAAAAF+3rXI=")</f>
        <v>#REF!</v>
      </c>
      <c r="DL121" t="e">
        <f>AND(Sheet1!#REF!,"AAAAAF+3rXM=")</f>
        <v>#REF!</v>
      </c>
      <c r="DM121" t="e">
        <f>AND(Sheet1!#REF!,"AAAAAF+3rXQ=")</f>
        <v>#REF!</v>
      </c>
      <c r="DN121">
        <f>IF(Sheet1!1624:1624,"AAAAAF+3rXU=",0)</f>
        <v>0</v>
      </c>
      <c r="DO121" t="e">
        <f>AND(Sheet1!A1624,"AAAAAF+3rXY=")</f>
        <v>#VALUE!</v>
      </c>
      <c r="DP121" t="e">
        <f>AND(Sheet1!B1624,"AAAAAF+3rXc=")</f>
        <v>#VALUE!</v>
      </c>
      <c r="DQ121" t="e">
        <f>AND(Sheet1!C1624,"AAAAAF+3rXg=")</f>
        <v>#VALUE!</v>
      </c>
      <c r="DR121" t="e">
        <f>AND(Sheet1!D1624,"AAAAAF+3rXk=")</f>
        <v>#VALUE!</v>
      </c>
      <c r="DS121" t="e">
        <f>AND(Sheet1!E1624,"AAAAAF+3rXo=")</f>
        <v>#VALUE!</v>
      </c>
      <c r="DT121" t="e">
        <f>AND(Sheet1!F1624,"AAAAAF+3rXs=")</f>
        <v>#VALUE!</v>
      </c>
      <c r="DU121" t="e">
        <f>AND(Sheet1!G1624,"AAAAAF+3rXw=")</f>
        <v>#VALUE!</v>
      </c>
      <c r="DV121" t="e">
        <f>AND(Sheet1!H1624,"AAAAAF+3rX0=")</f>
        <v>#VALUE!</v>
      </c>
      <c r="DW121" t="e">
        <f>AND(Sheet1!I1624,"AAAAAF+3rX4=")</f>
        <v>#VALUE!</v>
      </c>
      <c r="DX121" t="e">
        <f>AND(Sheet1!J1624,"AAAAAF+3rX8=")</f>
        <v>#VALUE!</v>
      </c>
      <c r="DY121" t="e">
        <f>AND(Sheet1!K1624,"AAAAAF+3rYA=")</f>
        <v>#VALUE!</v>
      </c>
      <c r="DZ121" t="e">
        <f>AND(Sheet1!L1624,"AAAAAF+3rYE=")</f>
        <v>#VALUE!</v>
      </c>
      <c r="EA121" t="e">
        <f>AND(Sheet1!M1624,"AAAAAF+3rYI=")</f>
        <v>#VALUE!</v>
      </c>
      <c r="EB121" t="e">
        <f>AND(Sheet1!N1624,"AAAAAF+3rYM=")</f>
        <v>#VALUE!</v>
      </c>
      <c r="EC121" t="e">
        <f>AND(Sheet1!#REF!,"AAAAAF+3rYQ=")</f>
        <v>#REF!</v>
      </c>
      <c r="ED121" t="e">
        <f>AND(Sheet1!#REF!,"AAAAAF+3rYU=")</f>
        <v>#REF!</v>
      </c>
      <c r="EE121" t="e">
        <f>AND(Sheet1!#REF!,"AAAAAF+3rYY=")</f>
        <v>#REF!</v>
      </c>
      <c r="EF121" t="e">
        <f>AND(Sheet1!#REF!,"AAAAAF+3rYc=")</f>
        <v>#REF!</v>
      </c>
      <c r="EG121">
        <f>IF(Sheet1!1625:1625,"AAAAAF+3rYg=",0)</f>
        <v>0</v>
      </c>
      <c r="EH121" t="e">
        <f>AND(Sheet1!A1625,"AAAAAF+3rYk=")</f>
        <v>#VALUE!</v>
      </c>
      <c r="EI121" t="e">
        <f>AND(Sheet1!B1625,"AAAAAF+3rYo=")</f>
        <v>#VALUE!</v>
      </c>
      <c r="EJ121" t="e">
        <f>AND(Sheet1!C1625,"AAAAAF+3rYs=")</f>
        <v>#VALUE!</v>
      </c>
      <c r="EK121" t="e">
        <f>AND(Sheet1!D1625,"AAAAAF+3rYw=")</f>
        <v>#VALUE!</v>
      </c>
      <c r="EL121" t="e">
        <f>AND(Sheet1!E1625,"AAAAAF+3rY0=")</f>
        <v>#VALUE!</v>
      </c>
      <c r="EM121" t="e">
        <f>AND(Sheet1!F1625,"AAAAAF+3rY4=")</f>
        <v>#VALUE!</v>
      </c>
      <c r="EN121" t="e">
        <f>AND(Sheet1!G1625,"AAAAAF+3rY8=")</f>
        <v>#VALUE!</v>
      </c>
      <c r="EO121" t="e">
        <f>AND(Sheet1!H1625,"AAAAAF+3rZA=")</f>
        <v>#VALUE!</v>
      </c>
      <c r="EP121" t="e">
        <f>AND(Sheet1!I1625,"AAAAAF+3rZE=")</f>
        <v>#VALUE!</v>
      </c>
      <c r="EQ121" t="e">
        <f>AND(Sheet1!J1625,"AAAAAF+3rZI=")</f>
        <v>#VALUE!</v>
      </c>
      <c r="ER121" t="e">
        <f>AND(Sheet1!K1625,"AAAAAF+3rZM=")</f>
        <v>#VALUE!</v>
      </c>
      <c r="ES121" t="e">
        <f>AND(Sheet1!L1625,"AAAAAF+3rZQ=")</f>
        <v>#VALUE!</v>
      </c>
      <c r="ET121" t="e">
        <f>AND(Sheet1!M1625,"AAAAAF+3rZU=")</f>
        <v>#VALUE!</v>
      </c>
      <c r="EU121" t="e">
        <f>AND(Sheet1!N1625,"AAAAAF+3rZY=")</f>
        <v>#VALUE!</v>
      </c>
      <c r="EV121" t="e">
        <f>AND(Sheet1!#REF!,"AAAAAF+3rZc=")</f>
        <v>#REF!</v>
      </c>
      <c r="EW121" t="e">
        <f>AND(Sheet1!#REF!,"AAAAAF+3rZg=")</f>
        <v>#REF!</v>
      </c>
      <c r="EX121" t="e">
        <f>AND(Sheet1!#REF!,"AAAAAF+3rZk=")</f>
        <v>#REF!</v>
      </c>
      <c r="EY121" t="e">
        <f>AND(Sheet1!#REF!,"AAAAAF+3rZo=")</f>
        <v>#REF!</v>
      </c>
      <c r="EZ121">
        <f>IF(Sheet1!1626:1626,"AAAAAF+3rZs=",0)</f>
        <v>0</v>
      </c>
      <c r="FA121" t="e">
        <f>AND(Sheet1!A1626,"AAAAAF+3rZw=")</f>
        <v>#VALUE!</v>
      </c>
      <c r="FB121" t="e">
        <f>AND(Sheet1!B1626,"AAAAAF+3rZ0=")</f>
        <v>#VALUE!</v>
      </c>
      <c r="FC121" t="e">
        <f>AND(Sheet1!C1626,"AAAAAF+3rZ4=")</f>
        <v>#VALUE!</v>
      </c>
      <c r="FD121" t="e">
        <f>AND(Sheet1!D1626,"AAAAAF+3rZ8=")</f>
        <v>#VALUE!</v>
      </c>
      <c r="FE121" t="e">
        <f>AND(Sheet1!E1626,"AAAAAF+3raA=")</f>
        <v>#VALUE!</v>
      </c>
      <c r="FF121" t="e">
        <f>AND(Sheet1!F1626,"AAAAAF+3raE=")</f>
        <v>#VALUE!</v>
      </c>
      <c r="FG121" t="e">
        <f>AND(Sheet1!G1626,"AAAAAF+3raI=")</f>
        <v>#VALUE!</v>
      </c>
      <c r="FH121" t="e">
        <f>AND(Sheet1!H1626,"AAAAAF+3raM=")</f>
        <v>#VALUE!</v>
      </c>
      <c r="FI121" t="e">
        <f>AND(Sheet1!I1626,"AAAAAF+3raQ=")</f>
        <v>#VALUE!</v>
      </c>
      <c r="FJ121" t="e">
        <f>AND(Sheet1!J1626,"AAAAAF+3raU=")</f>
        <v>#VALUE!</v>
      </c>
      <c r="FK121" t="e">
        <f>AND(Sheet1!K1626,"AAAAAF+3raY=")</f>
        <v>#VALUE!</v>
      </c>
      <c r="FL121" t="e">
        <f>AND(Sheet1!L1626,"AAAAAF+3rac=")</f>
        <v>#VALUE!</v>
      </c>
      <c r="FM121" t="e">
        <f>AND(Sheet1!M1626,"AAAAAF+3rag=")</f>
        <v>#VALUE!</v>
      </c>
      <c r="FN121" t="e">
        <f>AND(Sheet1!N1626,"AAAAAF+3rak=")</f>
        <v>#VALUE!</v>
      </c>
      <c r="FO121" t="e">
        <f>AND(Sheet1!#REF!,"AAAAAF+3rao=")</f>
        <v>#REF!</v>
      </c>
      <c r="FP121" t="e">
        <f>AND(Sheet1!#REF!,"AAAAAF+3ras=")</f>
        <v>#REF!</v>
      </c>
      <c r="FQ121" t="e">
        <f>AND(Sheet1!#REF!,"AAAAAF+3raw=")</f>
        <v>#REF!</v>
      </c>
      <c r="FR121" t="e">
        <f>AND(Sheet1!#REF!,"AAAAAF+3ra0=")</f>
        <v>#REF!</v>
      </c>
      <c r="FS121">
        <f>IF(Sheet1!1627:1627,"AAAAAF+3ra4=",0)</f>
        <v>0</v>
      </c>
      <c r="FT121" t="e">
        <f>AND(Sheet1!A1627,"AAAAAF+3ra8=")</f>
        <v>#VALUE!</v>
      </c>
      <c r="FU121" t="e">
        <f>AND(Sheet1!B1627,"AAAAAF+3rbA=")</f>
        <v>#VALUE!</v>
      </c>
      <c r="FV121" t="e">
        <f>AND(Sheet1!C1627,"AAAAAF+3rbE=")</f>
        <v>#VALUE!</v>
      </c>
      <c r="FW121" t="e">
        <f>AND(Sheet1!D1627,"AAAAAF+3rbI=")</f>
        <v>#VALUE!</v>
      </c>
      <c r="FX121" t="e">
        <f>AND(Sheet1!E1627,"AAAAAF+3rbM=")</f>
        <v>#VALUE!</v>
      </c>
      <c r="FY121" t="e">
        <f>AND(Sheet1!F1627,"AAAAAF+3rbQ=")</f>
        <v>#VALUE!</v>
      </c>
      <c r="FZ121" t="e">
        <f>AND(Sheet1!G1627,"AAAAAF+3rbU=")</f>
        <v>#VALUE!</v>
      </c>
      <c r="GA121" t="e">
        <f>AND(Sheet1!H1627,"AAAAAF+3rbY=")</f>
        <v>#VALUE!</v>
      </c>
      <c r="GB121" t="e">
        <f>AND(Sheet1!I1627,"AAAAAF+3rbc=")</f>
        <v>#VALUE!</v>
      </c>
      <c r="GC121" t="e">
        <f>AND(Sheet1!J1627,"AAAAAF+3rbg=")</f>
        <v>#VALUE!</v>
      </c>
      <c r="GD121" t="e">
        <f>AND(Sheet1!K1627,"AAAAAF+3rbk=")</f>
        <v>#VALUE!</v>
      </c>
      <c r="GE121" t="e">
        <f>AND(Sheet1!L1627,"AAAAAF+3rbo=")</f>
        <v>#VALUE!</v>
      </c>
      <c r="GF121" t="e">
        <f>AND(Sheet1!M1627,"AAAAAF+3rbs=")</f>
        <v>#VALUE!</v>
      </c>
      <c r="GG121" t="e">
        <f>AND(Sheet1!N1627,"AAAAAF+3rbw=")</f>
        <v>#VALUE!</v>
      </c>
      <c r="GH121" t="e">
        <f>AND(Sheet1!#REF!,"AAAAAF+3rb0=")</f>
        <v>#REF!</v>
      </c>
      <c r="GI121" t="e">
        <f>AND(Sheet1!#REF!,"AAAAAF+3rb4=")</f>
        <v>#REF!</v>
      </c>
      <c r="GJ121" t="e">
        <f>AND(Sheet1!#REF!,"AAAAAF+3rb8=")</f>
        <v>#REF!</v>
      </c>
      <c r="GK121" t="e">
        <f>AND(Sheet1!#REF!,"AAAAAF+3rcA=")</f>
        <v>#REF!</v>
      </c>
      <c r="GL121">
        <f>IF(Sheet1!1628:1628,"AAAAAF+3rcE=",0)</f>
        <v>0</v>
      </c>
      <c r="GM121" t="e">
        <f>AND(Sheet1!A1628,"AAAAAF+3rcI=")</f>
        <v>#VALUE!</v>
      </c>
      <c r="GN121" t="e">
        <f>AND(Sheet1!B1628,"AAAAAF+3rcM=")</f>
        <v>#VALUE!</v>
      </c>
      <c r="GO121" t="e">
        <f>AND(Sheet1!C1628,"AAAAAF+3rcQ=")</f>
        <v>#VALUE!</v>
      </c>
      <c r="GP121" t="e">
        <f>AND(Sheet1!D1628,"AAAAAF+3rcU=")</f>
        <v>#VALUE!</v>
      </c>
      <c r="GQ121" t="e">
        <f>AND(Sheet1!E1628,"AAAAAF+3rcY=")</f>
        <v>#VALUE!</v>
      </c>
      <c r="GR121" t="e">
        <f>AND(Sheet1!F1628,"AAAAAF+3rcc=")</f>
        <v>#VALUE!</v>
      </c>
      <c r="GS121" t="e">
        <f>AND(Sheet1!G1628,"AAAAAF+3rcg=")</f>
        <v>#VALUE!</v>
      </c>
      <c r="GT121" t="e">
        <f>AND(Sheet1!H1628,"AAAAAF+3rck=")</f>
        <v>#VALUE!</v>
      </c>
      <c r="GU121" t="e">
        <f>AND(Sheet1!I1628,"AAAAAF+3rco=")</f>
        <v>#VALUE!</v>
      </c>
      <c r="GV121" t="e">
        <f>AND(Sheet1!J1628,"AAAAAF+3rcs=")</f>
        <v>#VALUE!</v>
      </c>
      <c r="GW121" t="e">
        <f>AND(Sheet1!K1628,"AAAAAF+3rcw=")</f>
        <v>#VALUE!</v>
      </c>
      <c r="GX121" t="e">
        <f>AND(Sheet1!L1628,"AAAAAF+3rc0=")</f>
        <v>#VALUE!</v>
      </c>
      <c r="GY121" t="e">
        <f>AND(Sheet1!M1628,"AAAAAF+3rc4=")</f>
        <v>#VALUE!</v>
      </c>
      <c r="GZ121" t="e">
        <f>AND(Sheet1!N1628,"AAAAAF+3rc8=")</f>
        <v>#VALUE!</v>
      </c>
      <c r="HA121" t="e">
        <f>AND(Sheet1!#REF!,"AAAAAF+3rdA=")</f>
        <v>#REF!</v>
      </c>
      <c r="HB121" t="e">
        <f>AND(Sheet1!#REF!,"AAAAAF+3rdE=")</f>
        <v>#REF!</v>
      </c>
      <c r="HC121" t="e">
        <f>AND(Sheet1!#REF!,"AAAAAF+3rdI=")</f>
        <v>#REF!</v>
      </c>
      <c r="HD121" t="e">
        <f>AND(Sheet1!#REF!,"AAAAAF+3rdM=")</f>
        <v>#REF!</v>
      </c>
      <c r="HE121">
        <f>IF(Sheet1!1629:1629,"AAAAAF+3rdQ=",0)</f>
        <v>0</v>
      </c>
      <c r="HF121" t="e">
        <f>AND(Sheet1!A1629,"AAAAAF+3rdU=")</f>
        <v>#VALUE!</v>
      </c>
      <c r="HG121" t="e">
        <f>AND(Sheet1!B1629,"AAAAAF+3rdY=")</f>
        <v>#VALUE!</v>
      </c>
      <c r="HH121" t="e">
        <f>AND(Sheet1!C1629,"AAAAAF+3rdc=")</f>
        <v>#VALUE!</v>
      </c>
      <c r="HI121" t="e">
        <f>AND(Sheet1!D1629,"AAAAAF+3rdg=")</f>
        <v>#VALUE!</v>
      </c>
      <c r="HJ121" t="e">
        <f>AND(Sheet1!E1629,"AAAAAF+3rdk=")</f>
        <v>#VALUE!</v>
      </c>
      <c r="HK121" t="e">
        <f>AND(Sheet1!F1629,"AAAAAF+3rdo=")</f>
        <v>#VALUE!</v>
      </c>
      <c r="HL121" t="e">
        <f>AND(Sheet1!G1629,"AAAAAF+3rds=")</f>
        <v>#VALUE!</v>
      </c>
      <c r="HM121" t="e">
        <f>AND(Sheet1!H1629,"AAAAAF+3rdw=")</f>
        <v>#VALUE!</v>
      </c>
      <c r="HN121" t="e">
        <f>AND(Sheet1!I1629,"AAAAAF+3rd0=")</f>
        <v>#VALUE!</v>
      </c>
      <c r="HO121" t="e">
        <f>AND(Sheet1!J1629,"AAAAAF+3rd4=")</f>
        <v>#VALUE!</v>
      </c>
      <c r="HP121" t="e">
        <f>AND(Sheet1!K1629,"AAAAAF+3rd8=")</f>
        <v>#VALUE!</v>
      </c>
      <c r="HQ121" t="e">
        <f>AND(Sheet1!L1629,"AAAAAF+3reA=")</f>
        <v>#VALUE!</v>
      </c>
      <c r="HR121" t="e">
        <f>AND(Sheet1!M1629,"AAAAAF+3reE=")</f>
        <v>#VALUE!</v>
      </c>
      <c r="HS121" t="e">
        <f>AND(Sheet1!N1629,"AAAAAF+3reI=")</f>
        <v>#VALUE!</v>
      </c>
      <c r="HT121" t="e">
        <f>AND(Sheet1!#REF!,"AAAAAF+3reM=")</f>
        <v>#REF!</v>
      </c>
      <c r="HU121" t="e">
        <f>AND(Sheet1!#REF!,"AAAAAF+3reQ=")</f>
        <v>#REF!</v>
      </c>
      <c r="HV121" t="e">
        <f>AND(Sheet1!#REF!,"AAAAAF+3reU=")</f>
        <v>#REF!</v>
      </c>
      <c r="HW121" t="e">
        <f>AND(Sheet1!#REF!,"AAAAAF+3reY=")</f>
        <v>#REF!</v>
      </c>
      <c r="HX121">
        <f>IF(Sheet1!1630:1630,"AAAAAF+3rec=",0)</f>
        <v>0</v>
      </c>
      <c r="HY121" t="e">
        <f>AND(Sheet1!A1630,"AAAAAF+3reg=")</f>
        <v>#VALUE!</v>
      </c>
      <c r="HZ121" t="e">
        <f>AND(Sheet1!B1630,"AAAAAF+3rek=")</f>
        <v>#VALUE!</v>
      </c>
      <c r="IA121" t="e">
        <f>AND(Sheet1!C1630,"AAAAAF+3reo=")</f>
        <v>#VALUE!</v>
      </c>
      <c r="IB121" t="e">
        <f>AND(Sheet1!D1630,"AAAAAF+3res=")</f>
        <v>#VALUE!</v>
      </c>
      <c r="IC121" t="e">
        <f>AND(Sheet1!E1630,"AAAAAF+3rew=")</f>
        <v>#VALUE!</v>
      </c>
      <c r="ID121" t="e">
        <f>AND(Sheet1!F1630,"AAAAAF+3re0=")</f>
        <v>#VALUE!</v>
      </c>
      <c r="IE121" t="e">
        <f>AND(Sheet1!G1630,"AAAAAF+3re4=")</f>
        <v>#VALUE!</v>
      </c>
      <c r="IF121" t="e">
        <f>AND(Sheet1!H1630,"AAAAAF+3re8=")</f>
        <v>#VALUE!</v>
      </c>
      <c r="IG121" t="e">
        <f>AND(Sheet1!I1630,"AAAAAF+3rfA=")</f>
        <v>#VALUE!</v>
      </c>
      <c r="IH121" t="e">
        <f>AND(Sheet1!J1630,"AAAAAF+3rfE=")</f>
        <v>#VALUE!</v>
      </c>
      <c r="II121" t="e">
        <f>AND(Sheet1!K1630,"AAAAAF+3rfI=")</f>
        <v>#VALUE!</v>
      </c>
      <c r="IJ121" t="e">
        <f>AND(Sheet1!L1630,"AAAAAF+3rfM=")</f>
        <v>#VALUE!</v>
      </c>
      <c r="IK121" t="e">
        <f>AND(Sheet1!M1630,"AAAAAF+3rfQ=")</f>
        <v>#VALUE!</v>
      </c>
      <c r="IL121" t="e">
        <f>AND(Sheet1!N1630,"AAAAAF+3rfU=")</f>
        <v>#VALUE!</v>
      </c>
      <c r="IM121" t="e">
        <f>AND(Sheet1!#REF!,"AAAAAF+3rfY=")</f>
        <v>#REF!</v>
      </c>
      <c r="IN121" t="e">
        <f>AND(Sheet1!#REF!,"AAAAAF+3rfc=")</f>
        <v>#REF!</v>
      </c>
      <c r="IO121" t="e">
        <f>AND(Sheet1!#REF!,"AAAAAF+3rfg=")</f>
        <v>#REF!</v>
      </c>
      <c r="IP121" t="e">
        <f>AND(Sheet1!#REF!,"AAAAAF+3rfk=")</f>
        <v>#REF!</v>
      </c>
      <c r="IQ121">
        <f>IF(Sheet1!1631:1631,"AAAAAF+3rfo=",0)</f>
        <v>0</v>
      </c>
      <c r="IR121" t="e">
        <f>AND(Sheet1!A1631,"AAAAAF+3rfs=")</f>
        <v>#VALUE!</v>
      </c>
      <c r="IS121" t="e">
        <f>AND(Sheet1!B1631,"AAAAAF+3rfw=")</f>
        <v>#VALUE!</v>
      </c>
      <c r="IT121" t="e">
        <f>AND(Sheet1!C1631,"AAAAAF+3rf0=")</f>
        <v>#VALUE!</v>
      </c>
      <c r="IU121" t="e">
        <f>AND(Sheet1!D1631,"AAAAAF+3rf4=")</f>
        <v>#VALUE!</v>
      </c>
      <c r="IV121" t="e">
        <f>AND(Sheet1!E1631,"AAAAAF+3rf8=")</f>
        <v>#VALUE!</v>
      </c>
    </row>
    <row r="122" spans="1:256" x14ac:dyDescent="0.2">
      <c r="A122" t="e">
        <f>AND(Sheet1!F1631,"AAAAACd+9wA=")</f>
        <v>#VALUE!</v>
      </c>
      <c r="B122" t="e">
        <f>AND(Sheet1!G1631,"AAAAACd+9wE=")</f>
        <v>#VALUE!</v>
      </c>
      <c r="C122" t="e">
        <f>AND(Sheet1!H1631,"AAAAACd+9wI=")</f>
        <v>#VALUE!</v>
      </c>
      <c r="D122" t="e">
        <f>AND(Sheet1!I1631,"AAAAACd+9wM=")</f>
        <v>#VALUE!</v>
      </c>
      <c r="E122" t="e">
        <f>AND(Sheet1!J1631,"AAAAACd+9wQ=")</f>
        <v>#VALUE!</v>
      </c>
      <c r="F122" t="e">
        <f>AND(Sheet1!K1631,"AAAAACd+9wU=")</f>
        <v>#VALUE!</v>
      </c>
      <c r="G122" t="e">
        <f>AND(Sheet1!L1631,"AAAAACd+9wY=")</f>
        <v>#VALUE!</v>
      </c>
      <c r="H122" t="e">
        <f>AND(Sheet1!M1631,"AAAAACd+9wc=")</f>
        <v>#VALUE!</v>
      </c>
      <c r="I122" t="e">
        <f>AND(Sheet1!N1631,"AAAAACd+9wg=")</f>
        <v>#VALUE!</v>
      </c>
      <c r="J122" t="e">
        <f>AND(Sheet1!#REF!,"AAAAACd+9wk=")</f>
        <v>#REF!</v>
      </c>
      <c r="K122" t="e">
        <f>AND(Sheet1!#REF!,"AAAAACd+9wo=")</f>
        <v>#REF!</v>
      </c>
      <c r="L122" t="e">
        <f>AND(Sheet1!#REF!,"AAAAACd+9ws=")</f>
        <v>#REF!</v>
      </c>
      <c r="M122" t="e">
        <f>AND(Sheet1!#REF!,"AAAAACd+9ww=")</f>
        <v>#REF!</v>
      </c>
      <c r="N122" t="e">
        <f>IF(Sheet1!1632:1632,"AAAAACd+9w0=",0)</f>
        <v>#VALUE!</v>
      </c>
      <c r="O122" t="e">
        <f>AND(Sheet1!A1632,"AAAAACd+9w4=")</f>
        <v>#VALUE!</v>
      </c>
      <c r="P122" t="e">
        <f>AND(Sheet1!B1632,"AAAAACd+9w8=")</f>
        <v>#VALUE!</v>
      </c>
      <c r="Q122" t="e">
        <f>AND(Sheet1!C1632,"AAAAACd+9xA=")</f>
        <v>#VALUE!</v>
      </c>
      <c r="R122" t="e">
        <f>AND(Sheet1!D1632,"AAAAACd+9xE=")</f>
        <v>#VALUE!</v>
      </c>
      <c r="S122" t="e">
        <f>AND(Sheet1!E1632,"AAAAACd+9xI=")</f>
        <v>#VALUE!</v>
      </c>
      <c r="T122" t="e">
        <f>AND(Sheet1!F1632,"AAAAACd+9xM=")</f>
        <v>#VALUE!</v>
      </c>
      <c r="U122" t="e">
        <f>AND(Sheet1!G1632,"AAAAACd+9xQ=")</f>
        <v>#VALUE!</v>
      </c>
      <c r="V122" t="e">
        <f>AND(Sheet1!H1632,"AAAAACd+9xU=")</f>
        <v>#VALUE!</v>
      </c>
      <c r="W122" t="e">
        <f>AND(Sheet1!I1632,"AAAAACd+9xY=")</f>
        <v>#VALUE!</v>
      </c>
      <c r="X122" t="e">
        <f>AND(Sheet1!J1632,"AAAAACd+9xc=")</f>
        <v>#VALUE!</v>
      </c>
      <c r="Y122" t="e">
        <f>AND(Sheet1!K1632,"AAAAACd+9xg=")</f>
        <v>#VALUE!</v>
      </c>
      <c r="Z122" t="e">
        <f>AND(Sheet1!L1632,"AAAAACd+9xk=")</f>
        <v>#VALUE!</v>
      </c>
      <c r="AA122" t="e">
        <f>AND(Sheet1!M1632,"AAAAACd+9xo=")</f>
        <v>#VALUE!</v>
      </c>
      <c r="AB122" t="e">
        <f>AND(Sheet1!N1632,"AAAAACd+9xs=")</f>
        <v>#VALUE!</v>
      </c>
      <c r="AC122" t="e">
        <f>AND(Sheet1!#REF!,"AAAAACd+9xw=")</f>
        <v>#REF!</v>
      </c>
      <c r="AD122" t="e">
        <f>AND(Sheet1!#REF!,"AAAAACd+9x0=")</f>
        <v>#REF!</v>
      </c>
      <c r="AE122" t="e">
        <f>AND(Sheet1!#REF!,"AAAAACd+9x4=")</f>
        <v>#REF!</v>
      </c>
      <c r="AF122" t="e">
        <f>AND(Sheet1!#REF!,"AAAAACd+9x8=")</f>
        <v>#REF!</v>
      </c>
      <c r="AG122">
        <f>IF(Sheet1!1633:1633,"AAAAACd+9yA=",0)</f>
        <v>0</v>
      </c>
      <c r="AH122" t="e">
        <f>AND(Sheet1!A1633,"AAAAACd+9yE=")</f>
        <v>#VALUE!</v>
      </c>
      <c r="AI122" t="e">
        <f>AND(Sheet1!B1633,"AAAAACd+9yI=")</f>
        <v>#VALUE!</v>
      </c>
      <c r="AJ122" t="e">
        <f>AND(Sheet1!C1633,"AAAAACd+9yM=")</f>
        <v>#VALUE!</v>
      </c>
      <c r="AK122" t="e">
        <f>AND(Sheet1!D1633,"AAAAACd+9yQ=")</f>
        <v>#VALUE!</v>
      </c>
      <c r="AL122" t="e">
        <f>AND(Sheet1!E1633,"AAAAACd+9yU=")</f>
        <v>#VALUE!</v>
      </c>
      <c r="AM122" t="e">
        <f>AND(Sheet1!F1633,"AAAAACd+9yY=")</f>
        <v>#VALUE!</v>
      </c>
      <c r="AN122" t="e">
        <f>AND(Sheet1!G1633,"AAAAACd+9yc=")</f>
        <v>#VALUE!</v>
      </c>
      <c r="AO122" t="e">
        <f>AND(Sheet1!H1633,"AAAAACd+9yg=")</f>
        <v>#VALUE!</v>
      </c>
      <c r="AP122" t="e">
        <f>AND(Sheet1!I1633,"AAAAACd+9yk=")</f>
        <v>#VALUE!</v>
      </c>
      <c r="AQ122" t="e">
        <f>AND(Sheet1!J1633,"AAAAACd+9yo=")</f>
        <v>#VALUE!</v>
      </c>
      <c r="AR122" t="e">
        <f>AND(Sheet1!K1633,"AAAAACd+9ys=")</f>
        <v>#VALUE!</v>
      </c>
      <c r="AS122" t="e">
        <f>AND(Sheet1!L1633,"AAAAACd+9yw=")</f>
        <v>#VALUE!</v>
      </c>
      <c r="AT122" t="e">
        <f>AND(Sheet1!M1633,"AAAAACd+9y0=")</f>
        <v>#VALUE!</v>
      </c>
      <c r="AU122" t="e">
        <f>AND(Sheet1!N1633,"AAAAACd+9y4=")</f>
        <v>#VALUE!</v>
      </c>
      <c r="AV122" t="e">
        <f>AND(Sheet1!#REF!,"AAAAACd+9y8=")</f>
        <v>#REF!</v>
      </c>
      <c r="AW122" t="e">
        <f>AND(Sheet1!#REF!,"AAAAACd+9zA=")</f>
        <v>#REF!</v>
      </c>
      <c r="AX122" t="e">
        <f>AND(Sheet1!#REF!,"AAAAACd+9zE=")</f>
        <v>#REF!</v>
      </c>
      <c r="AY122" t="e">
        <f>AND(Sheet1!#REF!,"AAAAACd+9zI=")</f>
        <v>#REF!</v>
      </c>
      <c r="AZ122">
        <f>IF(Sheet1!1634:1634,"AAAAACd+9zM=",0)</f>
        <v>0</v>
      </c>
      <c r="BA122" t="e">
        <f>AND(Sheet1!A1634,"AAAAACd+9zQ=")</f>
        <v>#VALUE!</v>
      </c>
      <c r="BB122" t="e">
        <f>AND(Sheet1!B1634,"AAAAACd+9zU=")</f>
        <v>#VALUE!</v>
      </c>
      <c r="BC122" t="e">
        <f>AND(Sheet1!C1634,"AAAAACd+9zY=")</f>
        <v>#VALUE!</v>
      </c>
      <c r="BD122" t="e">
        <f>AND(Sheet1!D1634,"AAAAACd+9zc=")</f>
        <v>#VALUE!</v>
      </c>
      <c r="BE122" t="e">
        <f>AND(Sheet1!E1634,"AAAAACd+9zg=")</f>
        <v>#VALUE!</v>
      </c>
      <c r="BF122" t="e">
        <f>AND(Sheet1!F1634,"AAAAACd+9zk=")</f>
        <v>#VALUE!</v>
      </c>
      <c r="BG122" t="e">
        <f>AND(Sheet1!G1634,"AAAAACd+9zo=")</f>
        <v>#VALUE!</v>
      </c>
      <c r="BH122" t="e">
        <f>AND(Sheet1!H1634,"AAAAACd+9zs=")</f>
        <v>#VALUE!</v>
      </c>
      <c r="BI122" t="e">
        <f>AND(Sheet1!I1634,"AAAAACd+9zw=")</f>
        <v>#VALUE!</v>
      </c>
      <c r="BJ122" t="e">
        <f>AND(Sheet1!J1634,"AAAAACd+9z0=")</f>
        <v>#VALUE!</v>
      </c>
      <c r="BK122" t="e">
        <f>AND(Sheet1!K1634,"AAAAACd+9z4=")</f>
        <v>#VALUE!</v>
      </c>
      <c r="BL122" t="e">
        <f>AND(Sheet1!L1634,"AAAAACd+9z8=")</f>
        <v>#VALUE!</v>
      </c>
      <c r="BM122" t="e">
        <f>AND(Sheet1!M1634,"AAAAACd+90A=")</f>
        <v>#VALUE!</v>
      </c>
      <c r="BN122" t="e">
        <f>AND(Sheet1!N1634,"AAAAACd+90E=")</f>
        <v>#VALUE!</v>
      </c>
      <c r="BO122" t="e">
        <f>AND(Sheet1!#REF!,"AAAAACd+90I=")</f>
        <v>#REF!</v>
      </c>
      <c r="BP122" t="e">
        <f>AND(Sheet1!#REF!,"AAAAACd+90M=")</f>
        <v>#REF!</v>
      </c>
      <c r="BQ122" t="e">
        <f>AND(Sheet1!#REF!,"AAAAACd+90Q=")</f>
        <v>#REF!</v>
      </c>
      <c r="BR122" t="e">
        <f>AND(Sheet1!#REF!,"AAAAACd+90U=")</f>
        <v>#REF!</v>
      </c>
      <c r="BS122">
        <f>IF(Sheet1!1635:1635,"AAAAACd+90Y=",0)</f>
        <v>0</v>
      </c>
      <c r="BT122" t="e">
        <f>AND(Sheet1!A1635,"AAAAACd+90c=")</f>
        <v>#VALUE!</v>
      </c>
      <c r="BU122" t="e">
        <f>AND(Sheet1!B1635,"AAAAACd+90g=")</f>
        <v>#VALUE!</v>
      </c>
      <c r="BV122" t="e">
        <f>AND(Sheet1!C1635,"AAAAACd+90k=")</f>
        <v>#VALUE!</v>
      </c>
      <c r="BW122" t="e">
        <f>AND(Sheet1!D1635,"AAAAACd+90o=")</f>
        <v>#VALUE!</v>
      </c>
      <c r="BX122" t="e">
        <f>AND(Sheet1!E1635,"AAAAACd+90s=")</f>
        <v>#VALUE!</v>
      </c>
      <c r="BY122" t="e">
        <f>AND(Sheet1!F1635,"AAAAACd+90w=")</f>
        <v>#VALUE!</v>
      </c>
      <c r="BZ122" t="e">
        <f>AND(Sheet1!G1635,"AAAAACd+900=")</f>
        <v>#VALUE!</v>
      </c>
      <c r="CA122" t="e">
        <f>AND(Sheet1!H1635,"AAAAACd+904=")</f>
        <v>#VALUE!</v>
      </c>
      <c r="CB122" t="e">
        <f>AND(Sheet1!I1635,"AAAAACd+908=")</f>
        <v>#VALUE!</v>
      </c>
      <c r="CC122" t="e">
        <f>AND(Sheet1!J1635,"AAAAACd+91A=")</f>
        <v>#VALUE!</v>
      </c>
      <c r="CD122" t="e">
        <f>AND(Sheet1!K1635,"AAAAACd+91E=")</f>
        <v>#VALUE!</v>
      </c>
      <c r="CE122" t="e">
        <f>AND(Sheet1!L1635,"AAAAACd+91I=")</f>
        <v>#VALUE!</v>
      </c>
      <c r="CF122" t="e">
        <f>AND(Sheet1!M1635,"AAAAACd+91M=")</f>
        <v>#VALUE!</v>
      </c>
      <c r="CG122" t="e">
        <f>AND(Sheet1!N1635,"AAAAACd+91Q=")</f>
        <v>#VALUE!</v>
      </c>
      <c r="CH122" t="e">
        <f>AND(Sheet1!#REF!,"AAAAACd+91U=")</f>
        <v>#REF!</v>
      </c>
      <c r="CI122" t="e">
        <f>AND(Sheet1!#REF!,"AAAAACd+91Y=")</f>
        <v>#REF!</v>
      </c>
      <c r="CJ122" t="e">
        <f>AND(Sheet1!#REF!,"AAAAACd+91c=")</f>
        <v>#REF!</v>
      </c>
      <c r="CK122" t="e">
        <f>AND(Sheet1!#REF!,"AAAAACd+91g=")</f>
        <v>#REF!</v>
      </c>
      <c r="CL122">
        <f>IF(Sheet1!1636:1636,"AAAAACd+91k=",0)</f>
        <v>0</v>
      </c>
      <c r="CM122" t="e">
        <f>AND(Sheet1!A1636,"AAAAACd+91o=")</f>
        <v>#VALUE!</v>
      </c>
      <c r="CN122" t="e">
        <f>AND(Sheet1!B1636,"AAAAACd+91s=")</f>
        <v>#VALUE!</v>
      </c>
      <c r="CO122" t="e">
        <f>AND(Sheet1!C1636,"AAAAACd+91w=")</f>
        <v>#VALUE!</v>
      </c>
      <c r="CP122" t="e">
        <f>AND(Sheet1!D1636,"AAAAACd+910=")</f>
        <v>#VALUE!</v>
      </c>
      <c r="CQ122" t="e">
        <f>AND(Sheet1!E1636,"AAAAACd+914=")</f>
        <v>#VALUE!</v>
      </c>
      <c r="CR122" t="e">
        <f>AND(Sheet1!F1636,"AAAAACd+918=")</f>
        <v>#VALUE!</v>
      </c>
      <c r="CS122" t="e">
        <f>AND(Sheet1!G1636,"AAAAACd+92A=")</f>
        <v>#VALUE!</v>
      </c>
      <c r="CT122" t="e">
        <f>AND(Sheet1!H1636,"AAAAACd+92E=")</f>
        <v>#VALUE!</v>
      </c>
      <c r="CU122" t="e">
        <f>AND(Sheet1!I1636,"AAAAACd+92I=")</f>
        <v>#VALUE!</v>
      </c>
      <c r="CV122" t="e">
        <f>AND(Sheet1!J1636,"AAAAACd+92M=")</f>
        <v>#VALUE!</v>
      </c>
      <c r="CW122" t="e">
        <f>AND(Sheet1!K1636,"AAAAACd+92Q=")</f>
        <v>#VALUE!</v>
      </c>
      <c r="CX122" t="e">
        <f>AND(Sheet1!L1636,"AAAAACd+92U=")</f>
        <v>#VALUE!</v>
      </c>
      <c r="CY122" t="e">
        <f>AND(Sheet1!M1636,"AAAAACd+92Y=")</f>
        <v>#VALUE!</v>
      </c>
      <c r="CZ122" t="e">
        <f>AND(Sheet1!N1636,"AAAAACd+92c=")</f>
        <v>#VALUE!</v>
      </c>
      <c r="DA122" t="e">
        <f>AND(Sheet1!#REF!,"AAAAACd+92g=")</f>
        <v>#REF!</v>
      </c>
      <c r="DB122" t="e">
        <f>AND(Sheet1!#REF!,"AAAAACd+92k=")</f>
        <v>#REF!</v>
      </c>
      <c r="DC122" t="e">
        <f>AND(Sheet1!#REF!,"AAAAACd+92o=")</f>
        <v>#REF!</v>
      </c>
      <c r="DD122" t="e">
        <f>AND(Sheet1!#REF!,"AAAAACd+92s=")</f>
        <v>#REF!</v>
      </c>
      <c r="DE122">
        <f>IF(Sheet1!1637:1637,"AAAAACd+92w=",0)</f>
        <v>0</v>
      </c>
      <c r="DF122" t="e">
        <f>AND(Sheet1!A1637,"AAAAACd+920=")</f>
        <v>#VALUE!</v>
      </c>
      <c r="DG122" t="e">
        <f>AND(Sheet1!B1637,"AAAAACd+924=")</f>
        <v>#VALUE!</v>
      </c>
      <c r="DH122" t="e">
        <f>AND(Sheet1!C1637,"AAAAACd+928=")</f>
        <v>#VALUE!</v>
      </c>
      <c r="DI122" t="e">
        <f>AND(Sheet1!D1637,"AAAAACd+93A=")</f>
        <v>#VALUE!</v>
      </c>
      <c r="DJ122" t="e">
        <f>AND(Sheet1!E1637,"AAAAACd+93E=")</f>
        <v>#VALUE!</v>
      </c>
      <c r="DK122" t="e">
        <f>AND(Sheet1!F1637,"AAAAACd+93I=")</f>
        <v>#VALUE!</v>
      </c>
      <c r="DL122" t="e">
        <f>AND(Sheet1!G1637,"AAAAACd+93M=")</f>
        <v>#VALUE!</v>
      </c>
      <c r="DM122" t="e">
        <f>AND(Sheet1!H1637,"AAAAACd+93Q=")</f>
        <v>#VALUE!</v>
      </c>
      <c r="DN122" t="e">
        <f>AND(Sheet1!I1637,"AAAAACd+93U=")</f>
        <v>#VALUE!</v>
      </c>
      <c r="DO122" t="e">
        <f>AND(Sheet1!J1637,"AAAAACd+93Y=")</f>
        <v>#VALUE!</v>
      </c>
      <c r="DP122" t="e">
        <f>AND(Sheet1!K1637,"AAAAACd+93c=")</f>
        <v>#VALUE!</v>
      </c>
      <c r="DQ122" t="e">
        <f>AND(Sheet1!L1637,"AAAAACd+93g=")</f>
        <v>#VALUE!</v>
      </c>
      <c r="DR122" t="e">
        <f>AND(Sheet1!M1637,"AAAAACd+93k=")</f>
        <v>#VALUE!</v>
      </c>
      <c r="DS122" t="e">
        <f>AND(Sheet1!N1637,"AAAAACd+93o=")</f>
        <v>#VALUE!</v>
      </c>
      <c r="DT122" t="e">
        <f>AND(Sheet1!#REF!,"AAAAACd+93s=")</f>
        <v>#REF!</v>
      </c>
      <c r="DU122" t="e">
        <f>AND(Sheet1!#REF!,"AAAAACd+93w=")</f>
        <v>#REF!</v>
      </c>
      <c r="DV122" t="e">
        <f>AND(Sheet1!#REF!,"AAAAACd+930=")</f>
        <v>#REF!</v>
      </c>
      <c r="DW122" t="e">
        <f>AND(Sheet1!#REF!,"AAAAACd+934=")</f>
        <v>#REF!</v>
      </c>
      <c r="DX122">
        <f>IF(Sheet1!1638:1638,"AAAAACd+938=",0)</f>
        <v>0</v>
      </c>
      <c r="DY122" t="e">
        <f>AND(Sheet1!A1638,"AAAAACd+94A=")</f>
        <v>#VALUE!</v>
      </c>
      <c r="DZ122" t="e">
        <f>AND(Sheet1!B1638,"AAAAACd+94E=")</f>
        <v>#VALUE!</v>
      </c>
      <c r="EA122" t="e">
        <f>AND(Sheet1!C1638,"AAAAACd+94I=")</f>
        <v>#VALUE!</v>
      </c>
      <c r="EB122" t="e">
        <f>AND(Sheet1!D1638,"AAAAACd+94M=")</f>
        <v>#VALUE!</v>
      </c>
      <c r="EC122" t="e">
        <f>AND(Sheet1!E1638,"AAAAACd+94Q=")</f>
        <v>#VALUE!</v>
      </c>
      <c r="ED122" t="e">
        <f>AND(Sheet1!F1638,"AAAAACd+94U=")</f>
        <v>#VALUE!</v>
      </c>
      <c r="EE122" t="e">
        <f>AND(Sheet1!G1638,"AAAAACd+94Y=")</f>
        <v>#VALUE!</v>
      </c>
      <c r="EF122" t="e">
        <f>AND(Sheet1!H1638,"AAAAACd+94c=")</f>
        <v>#VALUE!</v>
      </c>
      <c r="EG122" t="e">
        <f>AND(Sheet1!I1638,"AAAAACd+94g=")</f>
        <v>#VALUE!</v>
      </c>
      <c r="EH122" t="e">
        <f>AND(Sheet1!J1638,"AAAAACd+94k=")</f>
        <v>#VALUE!</v>
      </c>
      <c r="EI122" t="e">
        <f>AND(Sheet1!K1638,"AAAAACd+94o=")</f>
        <v>#VALUE!</v>
      </c>
      <c r="EJ122" t="e">
        <f>AND(Sheet1!L1638,"AAAAACd+94s=")</f>
        <v>#VALUE!</v>
      </c>
      <c r="EK122" t="e">
        <f>AND(Sheet1!M1638,"AAAAACd+94w=")</f>
        <v>#VALUE!</v>
      </c>
      <c r="EL122" t="e">
        <f>AND(Sheet1!N1638,"AAAAACd+940=")</f>
        <v>#VALUE!</v>
      </c>
      <c r="EM122" t="e">
        <f>AND(Sheet1!#REF!,"AAAAACd+944=")</f>
        <v>#REF!</v>
      </c>
      <c r="EN122" t="e">
        <f>AND(Sheet1!#REF!,"AAAAACd+948=")</f>
        <v>#REF!</v>
      </c>
      <c r="EO122" t="e">
        <f>AND(Sheet1!#REF!,"AAAAACd+95A=")</f>
        <v>#REF!</v>
      </c>
      <c r="EP122" t="e">
        <f>AND(Sheet1!#REF!,"AAAAACd+95E=")</f>
        <v>#REF!</v>
      </c>
      <c r="EQ122">
        <f>IF(Sheet1!1639:1639,"AAAAACd+95I=",0)</f>
        <v>0</v>
      </c>
      <c r="ER122" t="e">
        <f>AND(Sheet1!A1639,"AAAAACd+95M=")</f>
        <v>#VALUE!</v>
      </c>
      <c r="ES122" t="e">
        <f>AND(Sheet1!B1639,"AAAAACd+95Q=")</f>
        <v>#VALUE!</v>
      </c>
      <c r="ET122" t="e">
        <f>AND(Sheet1!C1639,"AAAAACd+95U=")</f>
        <v>#VALUE!</v>
      </c>
      <c r="EU122" t="e">
        <f>AND(Sheet1!D1639,"AAAAACd+95Y=")</f>
        <v>#VALUE!</v>
      </c>
      <c r="EV122" t="e">
        <f>AND(Sheet1!E1639,"AAAAACd+95c=")</f>
        <v>#VALUE!</v>
      </c>
      <c r="EW122" t="e">
        <f>AND(Sheet1!F1639,"AAAAACd+95g=")</f>
        <v>#VALUE!</v>
      </c>
      <c r="EX122" t="e">
        <f>AND(Sheet1!G1639,"AAAAACd+95k=")</f>
        <v>#VALUE!</v>
      </c>
      <c r="EY122" t="e">
        <f>AND(Sheet1!H1639,"AAAAACd+95o=")</f>
        <v>#VALUE!</v>
      </c>
      <c r="EZ122" t="e">
        <f>AND(Sheet1!I1639,"AAAAACd+95s=")</f>
        <v>#VALUE!</v>
      </c>
      <c r="FA122" t="e">
        <f>AND(Sheet1!J1639,"AAAAACd+95w=")</f>
        <v>#VALUE!</v>
      </c>
      <c r="FB122" t="e">
        <f>AND(Sheet1!K1639,"AAAAACd+950=")</f>
        <v>#VALUE!</v>
      </c>
      <c r="FC122" t="e">
        <f>AND(Sheet1!L1639,"AAAAACd+954=")</f>
        <v>#VALUE!</v>
      </c>
      <c r="FD122" t="e">
        <f>AND(Sheet1!M1639,"AAAAACd+958=")</f>
        <v>#VALUE!</v>
      </c>
      <c r="FE122" t="e">
        <f>AND(Sheet1!N1639,"AAAAACd+96A=")</f>
        <v>#VALUE!</v>
      </c>
      <c r="FF122" t="e">
        <f>AND(Sheet1!#REF!,"AAAAACd+96E=")</f>
        <v>#REF!</v>
      </c>
      <c r="FG122" t="e">
        <f>AND(Sheet1!#REF!,"AAAAACd+96I=")</f>
        <v>#REF!</v>
      </c>
      <c r="FH122" t="e">
        <f>AND(Sheet1!#REF!,"AAAAACd+96M=")</f>
        <v>#REF!</v>
      </c>
      <c r="FI122" t="e">
        <f>AND(Sheet1!#REF!,"AAAAACd+96Q=")</f>
        <v>#REF!</v>
      </c>
      <c r="FJ122">
        <f>IF(Sheet1!1640:1640,"AAAAACd+96U=",0)</f>
        <v>0</v>
      </c>
      <c r="FK122" t="e">
        <f>AND(Sheet1!A1640,"AAAAACd+96Y=")</f>
        <v>#VALUE!</v>
      </c>
      <c r="FL122" t="e">
        <f>AND(Sheet1!B1640,"AAAAACd+96c=")</f>
        <v>#VALUE!</v>
      </c>
      <c r="FM122" t="e">
        <f>AND(Sheet1!C1640,"AAAAACd+96g=")</f>
        <v>#VALUE!</v>
      </c>
      <c r="FN122" t="e">
        <f>AND(Sheet1!D1640,"AAAAACd+96k=")</f>
        <v>#VALUE!</v>
      </c>
      <c r="FO122" t="e">
        <f>AND(Sheet1!E1640,"AAAAACd+96o=")</f>
        <v>#VALUE!</v>
      </c>
      <c r="FP122" t="e">
        <f>AND(Sheet1!F1640,"AAAAACd+96s=")</f>
        <v>#VALUE!</v>
      </c>
      <c r="FQ122" t="e">
        <f>AND(Sheet1!G1640,"AAAAACd+96w=")</f>
        <v>#VALUE!</v>
      </c>
      <c r="FR122" t="e">
        <f>AND(Sheet1!H1640,"AAAAACd+960=")</f>
        <v>#VALUE!</v>
      </c>
      <c r="FS122" t="e">
        <f>AND(Sheet1!I1640,"AAAAACd+964=")</f>
        <v>#VALUE!</v>
      </c>
      <c r="FT122" t="e">
        <f>AND(Sheet1!J1640,"AAAAACd+968=")</f>
        <v>#VALUE!</v>
      </c>
      <c r="FU122" t="e">
        <f>AND(Sheet1!K1640,"AAAAACd+97A=")</f>
        <v>#VALUE!</v>
      </c>
      <c r="FV122" t="e">
        <f>AND(Sheet1!L1640,"AAAAACd+97E=")</f>
        <v>#VALUE!</v>
      </c>
      <c r="FW122" t="e">
        <f>AND(Sheet1!M1640,"AAAAACd+97I=")</f>
        <v>#VALUE!</v>
      </c>
      <c r="FX122" t="e">
        <f>AND(Sheet1!N1640,"AAAAACd+97M=")</f>
        <v>#VALUE!</v>
      </c>
      <c r="FY122" t="e">
        <f>AND(Sheet1!#REF!,"AAAAACd+97Q=")</f>
        <v>#REF!</v>
      </c>
      <c r="FZ122" t="e">
        <f>AND(Sheet1!#REF!,"AAAAACd+97U=")</f>
        <v>#REF!</v>
      </c>
      <c r="GA122" t="e">
        <f>AND(Sheet1!#REF!,"AAAAACd+97Y=")</f>
        <v>#REF!</v>
      </c>
      <c r="GB122" t="e">
        <f>AND(Sheet1!#REF!,"AAAAACd+97c=")</f>
        <v>#REF!</v>
      </c>
      <c r="GC122">
        <f>IF(Sheet1!1641:1641,"AAAAACd+97g=",0)</f>
        <v>0</v>
      </c>
      <c r="GD122" t="e">
        <f>AND(Sheet1!A1641,"AAAAACd+97k=")</f>
        <v>#VALUE!</v>
      </c>
      <c r="GE122" t="e">
        <f>AND(Sheet1!B1641,"AAAAACd+97o=")</f>
        <v>#VALUE!</v>
      </c>
      <c r="GF122" t="e">
        <f>AND(Sheet1!C1641,"AAAAACd+97s=")</f>
        <v>#VALUE!</v>
      </c>
      <c r="GG122" t="e">
        <f>AND(Sheet1!D1641,"AAAAACd+97w=")</f>
        <v>#VALUE!</v>
      </c>
      <c r="GH122" t="e">
        <f>AND(Sheet1!E1641,"AAAAACd+970=")</f>
        <v>#VALUE!</v>
      </c>
      <c r="GI122" t="e">
        <f>AND(Sheet1!F1641,"AAAAACd+974=")</f>
        <v>#VALUE!</v>
      </c>
      <c r="GJ122" t="e">
        <f>AND(Sheet1!G1641,"AAAAACd+978=")</f>
        <v>#VALUE!</v>
      </c>
      <c r="GK122" t="e">
        <f>AND(Sheet1!H1641,"AAAAACd+98A=")</f>
        <v>#VALUE!</v>
      </c>
      <c r="GL122" t="e">
        <f>AND(Sheet1!I1641,"AAAAACd+98E=")</f>
        <v>#VALUE!</v>
      </c>
      <c r="GM122" t="e">
        <f>AND(Sheet1!J1641,"AAAAACd+98I=")</f>
        <v>#VALUE!</v>
      </c>
      <c r="GN122" t="e">
        <f>AND(Sheet1!K1641,"AAAAACd+98M=")</f>
        <v>#VALUE!</v>
      </c>
      <c r="GO122" t="e">
        <f>AND(Sheet1!L1641,"AAAAACd+98Q=")</f>
        <v>#VALUE!</v>
      </c>
      <c r="GP122" t="e">
        <f>AND(Sheet1!M1641,"AAAAACd+98U=")</f>
        <v>#VALUE!</v>
      </c>
      <c r="GQ122" t="e">
        <f>AND(Sheet1!N1641,"AAAAACd+98Y=")</f>
        <v>#VALUE!</v>
      </c>
      <c r="GR122" t="e">
        <f>AND(Sheet1!#REF!,"AAAAACd+98c=")</f>
        <v>#REF!</v>
      </c>
      <c r="GS122" t="e">
        <f>AND(Sheet1!#REF!,"AAAAACd+98g=")</f>
        <v>#REF!</v>
      </c>
      <c r="GT122" t="e">
        <f>AND(Sheet1!#REF!,"AAAAACd+98k=")</f>
        <v>#REF!</v>
      </c>
      <c r="GU122" t="e">
        <f>AND(Sheet1!#REF!,"AAAAACd+98o=")</f>
        <v>#REF!</v>
      </c>
      <c r="GV122">
        <f>IF(Sheet1!1642:1642,"AAAAACd+98s=",0)</f>
        <v>0</v>
      </c>
      <c r="GW122" t="e">
        <f>AND(Sheet1!A1642,"AAAAACd+98w=")</f>
        <v>#VALUE!</v>
      </c>
      <c r="GX122" t="e">
        <f>AND(Sheet1!B1642,"AAAAACd+980=")</f>
        <v>#VALUE!</v>
      </c>
      <c r="GY122" t="e">
        <f>AND(Sheet1!C1642,"AAAAACd+984=")</f>
        <v>#VALUE!</v>
      </c>
      <c r="GZ122" t="e">
        <f>AND(Sheet1!D1642,"AAAAACd+988=")</f>
        <v>#VALUE!</v>
      </c>
      <c r="HA122" t="e">
        <f>AND(Sheet1!E1642,"AAAAACd+99A=")</f>
        <v>#VALUE!</v>
      </c>
      <c r="HB122" t="e">
        <f>AND(Sheet1!F1642,"AAAAACd+99E=")</f>
        <v>#VALUE!</v>
      </c>
      <c r="HC122" t="e">
        <f>AND(Sheet1!G1642,"AAAAACd+99I=")</f>
        <v>#VALUE!</v>
      </c>
      <c r="HD122" t="e">
        <f>AND(Sheet1!H1642,"AAAAACd+99M=")</f>
        <v>#VALUE!</v>
      </c>
      <c r="HE122" t="e">
        <f>AND(Sheet1!I1642,"AAAAACd+99Q=")</f>
        <v>#VALUE!</v>
      </c>
      <c r="HF122" t="e">
        <f>AND(Sheet1!J1642,"AAAAACd+99U=")</f>
        <v>#VALUE!</v>
      </c>
      <c r="HG122" t="e">
        <f>AND(Sheet1!K1642,"AAAAACd+99Y=")</f>
        <v>#VALUE!</v>
      </c>
      <c r="HH122" t="e">
        <f>AND(Sheet1!L1642,"AAAAACd+99c=")</f>
        <v>#VALUE!</v>
      </c>
      <c r="HI122" t="e">
        <f>AND(Sheet1!M1642,"AAAAACd+99g=")</f>
        <v>#VALUE!</v>
      </c>
      <c r="HJ122" t="e">
        <f>AND(Sheet1!N1642,"AAAAACd+99k=")</f>
        <v>#VALUE!</v>
      </c>
      <c r="HK122" t="e">
        <f>AND(Sheet1!#REF!,"AAAAACd+99o=")</f>
        <v>#REF!</v>
      </c>
      <c r="HL122" t="e">
        <f>AND(Sheet1!#REF!,"AAAAACd+99s=")</f>
        <v>#REF!</v>
      </c>
      <c r="HM122" t="e">
        <f>AND(Sheet1!#REF!,"AAAAACd+99w=")</f>
        <v>#REF!</v>
      </c>
      <c r="HN122" t="e">
        <f>AND(Sheet1!#REF!,"AAAAACd+990=")</f>
        <v>#REF!</v>
      </c>
      <c r="HO122">
        <f>IF(Sheet1!1643:1643,"AAAAACd+994=",0)</f>
        <v>0</v>
      </c>
      <c r="HP122" t="e">
        <f>AND(Sheet1!A1643,"AAAAACd+998=")</f>
        <v>#VALUE!</v>
      </c>
      <c r="HQ122" t="e">
        <f>AND(Sheet1!B1643,"AAAAACd+9+A=")</f>
        <v>#VALUE!</v>
      </c>
      <c r="HR122" t="e">
        <f>AND(Sheet1!C1643,"AAAAACd+9+E=")</f>
        <v>#VALUE!</v>
      </c>
      <c r="HS122" t="e">
        <f>AND(Sheet1!D1643,"AAAAACd+9+I=")</f>
        <v>#VALUE!</v>
      </c>
      <c r="HT122" t="e">
        <f>AND(Sheet1!E1643,"AAAAACd+9+M=")</f>
        <v>#VALUE!</v>
      </c>
      <c r="HU122" t="e">
        <f>AND(Sheet1!F1643,"AAAAACd+9+Q=")</f>
        <v>#VALUE!</v>
      </c>
      <c r="HV122" t="e">
        <f>AND(Sheet1!G1643,"AAAAACd+9+U=")</f>
        <v>#VALUE!</v>
      </c>
      <c r="HW122" t="e">
        <f>AND(Sheet1!H1643,"AAAAACd+9+Y=")</f>
        <v>#VALUE!</v>
      </c>
      <c r="HX122" t="e">
        <f>AND(Sheet1!I1643,"AAAAACd+9+c=")</f>
        <v>#VALUE!</v>
      </c>
      <c r="HY122" t="e">
        <f>AND(Sheet1!J1643,"AAAAACd+9+g=")</f>
        <v>#VALUE!</v>
      </c>
      <c r="HZ122" t="e">
        <f>AND(Sheet1!K1643,"AAAAACd+9+k=")</f>
        <v>#VALUE!</v>
      </c>
      <c r="IA122" t="e">
        <f>AND(Sheet1!L1643,"AAAAACd+9+o=")</f>
        <v>#VALUE!</v>
      </c>
      <c r="IB122" t="e">
        <f>AND(Sheet1!M1643,"AAAAACd+9+s=")</f>
        <v>#VALUE!</v>
      </c>
      <c r="IC122" t="e">
        <f>AND(Sheet1!N1643,"AAAAACd+9+w=")</f>
        <v>#VALUE!</v>
      </c>
      <c r="ID122" t="e">
        <f>AND(Sheet1!#REF!,"AAAAACd+9+0=")</f>
        <v>#REF!</v>
      </c>
      <c r="IE122" t="e">
        <f>AND(Sheet1!#REF!,"AAAAACd+9+4=")</f>
        <v>#REF!</v>
      </c>
      <c r="IF122" t="e">
        <f>AND(Sheet1!#REF!,"AAAAACd+9+8=")</f>
        <v>#REF!</v>
      </c>
      <c r="IG122" t="e">
        <f>AND(Sheet1!#REF!,"AAAAACd+9/A=")</f>
        <v>#REF!</v>
      </c>
      <c r="IH122">
        <f>IF(Sheet1!1644:1644,"AAAAACd+9/E=",0)</f>
        <v>0</v>
      </c>
      <c r="II122" t="e">
        <f>AND(Sheet1!A1644,"AAAAACd+9/I=")</f>
        <v>#VALUE!</v>
      </c>
      <c r="IJ122" t="e">
        <f>AND(Sheet1!B1644,"AAAAACd+9/M=")</f>
        <v>#VALUE!</v>
      </c>
      <c r="IK122" t="e">
        <f>AND(Sheet1!C1644,"AAAAACd+9/Q=")</f>
        <v>#VALUE!</v>
      </c>
      <c r="IL122" t="e">
        <f>AND(Sheet1!D1644,"AAAAACd+9/U=")</f>
        <v>#VALUE!</v>
      </c>
      <c r="IM122" t="e">
        <f>AND(Sheet1!E1644,"AAAAACd+9/Y=")</f>
        <v>#VALUE!</v>
      </c>
      <c r="IN122" t="e">
        <f>AND(Sheet1!F1644,"AAAAACd+9/c=")</f>
        <v>#VALUE!</v>
      </c>
      <c r="IO122" t="e">
        <f>AND(Sheet1!G1644,"AAAAACd+9/g=")</f>
        <v>#VALUE!</v>
      </c>
      <c r="IP122" t="e">
        <f>AND(Sheet1!H1644,"AAAAACd+9/k=")</f>
        <v>#VALUE!</v>
      </c>
      <c r="IQ122" t="e">
        <f>AND(Sheet1!I1644,"AAAAACd+9/o=")</f>
        <v>#VALUE!</v>
      </c>
      <c r="IR122" t="e">
        <f>AND(Sheet1!J1644,"AAAAACd+9/s=")</f>
        <v>#VALUE!</v>
      </c>
      <c r="IS122" t="e">
        <f>AND(Sheet1!K1644,"AAAAACd+9/w=")</f>
        <v>#VALUE!</v>
      </c>
      <c r="IT122" t="e">
        <f>AND(Sheet1!L1644,"AAAAACd+9/0=")</f>
        <v>#VALUE!</v>
      </c>
      <c r="IU122" t="e">
        <f>AND(Sheet1!M1644,"AAAAACd+9/4=")</f>
        <v>#VALUE!</v>
      </c>
      <c r="IV122" t="e">
        <f>AND(Sheet1!N1644,"AAAAACd+9/8=")</f>
        <v>#VALUE!</v>
      </c>
    </row>
    <row r="123" spans="1:256" x14ac:dyDescent="0.2">
      <c r="A123" t="e">
        <f>AND(Sheet1!#REF!,"AAAAAGk+3QA=")</f>
        <v>#REF!</v>
      </c>
      <c r="B123" t="e">
        <f>AND(Sheet1!#REF!,"AAAAAGk+3QE=")</f>
        <v>#REF!</v>
      </c>
      <c r="C123" t="e">
        <f>AND(Sheet1!#REF!,"AAAAAGk+3QI=")</f>
        <v>#REF!</v>
      </c>
      <c r="D123" t="e">
        <f>AND(Sheet1!#REF!,"AAAAAGk+3QM=")</f>
        <v>#REF!</v>
      </c>
      <c r="E123" t="e">
        <f>IF(Sheet1!1645:1645,"AAAAAGk+3QQ=",0)</f>
        <v>#VALUE!</v>
      </c>
      <c r="F123" t="e">
        <f>AND(Sheet1!A1645,"AAAAAGk+3QU=")</f>
        <v>#VALUE!</v>
      </c>
      <c r="G123" t="e">
        <f>AND(Sheet1!B1645,"AAAAAGk+3QY=")</f>
        <v>#VALUE!</v>
      </c>
      <c r="H123" t="e">
        <f>AND(Sheet1!C1645,"AAAAAGk+3Qc=")</f>
        <v>#VALUE!</v>
      </c>
      <c r="I123" t="e">
        <f>AND(Sheet1!D1645,"AAAAAGk+3Qg=")</f>
        <v>#VALUE!</v>
      </c>
      <c r="J123" t="e">
        <f>AND(Sheet1!E1645,"AAAAAGk+3Qk=")</f>
        <v>#VALUE!</v>
      </c>
      <c r="K123" t="e">
        <f>AND(Sheet1!F1645,"AAAAAGk+3Qo=")</f>
        <v>#VALUE!</v>
      </c>
      <c r="L123" t="e">
        <f>AND(Sheet1!G1645,"AAAAAGk+3Qs=")</f>
        <v>#VALUE!</v>
      </c>
      <c r="M123" t="e">
        <f>AND(Sheet1!H1645,"AAAAAGk+3Qw=")</f>
        <v>#VALUE!</v>
      </c>
      <c r="N123" t="e">
        <f>AND(Sheet1!I1645,"AAAAAGk+3Q0=")</f>
        <v>#VALUE!</v>
      </c>
      <c r="O123" t="e">
        <f>AND(Sheet1!J1645,"AAAAAGk+3Q4=")</f>
        <v>#VALUE!</v>
      </c>
      <c r="P123" t="e">
        <f>AND(Sheet1!K1645,"AAAAAGk+3Q8=")</f>
        <v>#VALUE!</v>
      </c>
      <c r="Q123" t="e">
        <f>AND(Sheet1!L1645,"AAAAAGk+3RA=")</f>
        <v>#VALUE!</v>
      </c>
      <c r="R123" t="e">
        <f>AND(Sheet1!M1645,"AAAAAGk+3RE=")</f>
        <v>#VALUE!</v>
      </c>
      <c r="S123" t="e">
        <f>AND(Sheet1!N1645,"AAAAAGk+3RI=")</f>
        <v>#VALUE!</v>
      </c>
      <c r="T123" t="e">
        <f>AND(Sheet1!#REF!,"AAAAAGk+3RM=")</f>
        <v>#REF!</v>
      </c>
      <c r="U123" t="e">
        <f>AND(Sheet1!#REF!,"AAAAAGk+3RQ=")</f>
        <v>#REF!</v>
      </c>
      <c r="V123" t="e">
        <f>AND(Sheet1!#REF!,"AAAAAGk+3RU=")</f>
        <v>#REF!</v>
      </c>
      <c r="W123" t="e">
        <f>AND(Sheet1!#REF!,"AAAAAGk+3RY=")</f>
        <v>#REF!</v>
      </c>
      <c r="X123">
        <f>IF(Sheet1!1646:1646,"AAAAAGk+3Rc=",0)</f>
        <v>0</v>
      </c>
      <c r="Y123" t="e">
        <f>AND(Sheet1!A1646,"AAAAAGk+3Rg=")</f>
        <v>#VALUE!</v>
      </c>
      <c r="Z123" t="e">
        <f>AND(Sheet1!B1646,"AAAAAGk+3Rk=")</f>
        <v>#VALUE!</v>
      </c>
      <c r="AA123" t="e">
        <f>AND(Sheet1!C1646,"AAAAAGk+3Ro=")</f>
        <v>#VALUE!</v>
      </c>
      <c r="AB123" t="e">
        <f>AND(Sheet1!D1646,"AAAAAGk+3Rs=")</f>
        <v>#VALUE!</v>
      </c>
      <c r="AC123" t="e">
        <f>AND(Sheet1!E1646,"AAAAAGk+3Rw=")</f>
        <v>#VALUE!</v>
      </c>
      <c r="AD123" t="e">
        <f>AND(Sheet1!F1646,"AAAAAGk+3R0=")</f>
        <v>#VALUE!</v>
      </c>
      <c r="AE123" t="e">
        <f>AND(Sheet1!G1646,"AAAAAGk+3R4=")</f>
        <v>#VALUE!</v>
      </c>
      <c r="AF123" t="e">
        <f>AND(Sheet1!H1646,"AAAAAGk+3R8=")</f>
        <v>#VALUE!</v>
      </c>
      <c r="AG123" t="e">
        <f>AND(Sheet1!I1646,"AAAAAGk+3SA=")</f>
        <v>#VALUE!</v>
      </c>
      <c r="AH123" t="e">
        <f>AND(Sheet1!J1646,"AAAAAGk+3SE=")</f>
        <v>#VALUE!</v>
      </c>
      <c r="AI123" t="e">
        <f>AND(Sheet1!K1646,"AAAAAGk+3SI=")</f>
        <v>#VALUE!</v>
      </c>
      <c r="AJ123" t="e">
        <f>AND(Sheet1!L1646,"AAAAAGk+3SM=")</f>
        <v>#VALUE!</v>
      </c>
      <c r="AK123" t="e">
        <f>AND(Sheet1!M1646,"AAAAAGk+3SQ=")</f>
        <v>#VALUE!</v>
      </c>
      <c r="AL123" t="e">
        <f>AND(Sheet1!N1646,"AAAAAGk+3SU=")</f>
        <v>#VALUE!</v>
      </c>
      <c r="AM123" t="e">
        <f>AND(Sheet1!#REF!,"AAAAAGk+3SY=")</f>
        <v>#REF!</v>
      </c>
      <c r="AN123" t="e">
        <f>AND(Sheet1!#REF!,"AAAAAGk+3Sc=")</f>
        <v>#REF!</v>
      </c>
      <c r="AO123" t="e">
        <f>AND(Sheet1!#REF!,"AAAAAGk+3Sg=")</f>
        <v>#REF!</v>
      </c>
      <c r="AP123" t="e">
        <f>AND(Sheet1!#REF!,"AAAAAGk+3Sk=")</f>
        <v>#REF!</v>
      </c>
      <c r="AQ123">
        <f>IF(Sheet1!1647:1647,"AAAAAGk+3So=",0)</f>
        <v>0</v>
      </c>
      <c r="AR123" t="e">
        <f>AND(Sheet1!A1647,"AAAAAGk+3Ss=")</f>
        <v>#VALUE!</v>
      </c>
      <c r="AS123" t="e">
        <f>AND(Sheet1!B1647,"AAAAAGk+3Sw=")</f>
        <v>#VALUE!</v>
      </c>
      <c r="AT123" t="e">
        <f>AND(Sheet1!C1647,"AAAAAGk+3S0=")</f>
        <v>#VALUE!</v>
      </c>
      <c r="AU123" t="e">
        <f>AND(Sheet1!D1647,"AAAAAGk+3S4=")</f>
        <v>#VALUE!</v>
      </c>
      <c r="AV123" t="e">
        <f>AND(Sheet1!E1647,"AAAAAGk+3S8=")</f>
        <v>#VALUE!</v>
      </c>
      <c r="AW123" t="e">
        <f>AND(Sheet1!F1647,"AAAAAGk+3TA=")</f>
        <v>#VALUE!</v>
      </c>
      <c r="AX123" t="e">
        <f>AND(Sheet1!G1647,"AAAAAGk+3TE=")</f>
        <v>#VALUE!</v>
      </c>
      <c r="AY123" t="e">
        <f>AND(Sheet1!H1647,"AAAAAGk+3TI=")</f>
        <v>#VALUE!</v>
      </c>
      <c r="AZ123" t="e">
        <f>AND(Sheet1!I1647,"AAAAAGk+3TM=")</f>
        <v>#VALUE!</v>
      </c>
      <c r="BA123" t="e">
        <f>AND(Sheet1!J1647,"AAAAAGk+3TQ=")</f>
        <v>#VALUE!</v>
      </c>
      <c r="BB123" t="e">
        <f>AND(Sheet1!K1647,"AAAAAGk+3TU=")</f>
        <v>#VALUE!</v>
      </c>
      <c r="BC123" t="e">
        <f>AND(Sheet1!L1647,"AAAAAGk+3TY=")</f>
        <v>#VALUE!</v>
      </c>
      <c r="BD123" t="e">
        <f>AND(Sheet1!M1647,"AAAAAGk+3Tc=")</f>
        <v>#VALUE!</v>
      </c>
      <c r="BE123" t="e">
        <f>AND(Sheet1!N1647,"AAAAAGk+3Tg=")</f>
        <v>#VALUE!</v>
      </c>
      <c r="BF123" t="e">
        <f>AND(Sheet1!#REF!,"AAAAAGk+3Tk=")</f>
        <v>#REF!</v>
      </c>
      <c r="BG123" t="e">
        <f>AND(Sheet1!#REF!,"AAAAAGk+3To=")</f>
        <v>#REF!</v>
      </c>
      <c r="BH123" t="e">
        <f>AND(Sheet1!#REF!,"AAAAAGk+3Ts=")</f>
        <v>#REF!</v>
      </c>
      <c r="BI123" t="e">
        <f>AND(Sheet1!#REF!,"AAAAAGk+3Tw=")</f>
        <v>#REF!</v>
      </c>
      <c r="BJ123">
        <f>IF(Sheet1!1648:1648,"AAAAAGk+3T0=",0)</f>
        <v>0</v>
      </c>
      <c r="BK123" t="e">
        <f>AND(Sheet1!A1648,"AAAAAGk+3T4=")</f>
        <v>#VALUE!</v>
      </c>
      <c r="BL123" t="e">
        <f>AND(Sheet1!B1648,"AAAAAGk+3T8=")</f>
        <v>#VALUE!</v>
      </c>
      <c r="BM123" t="e">
        <f>AND(Sheet1!C1648,"AAAAAGk+3UA=")</f>
        <v>#VALUE!</v>
      </c>
      <c r="BN123" t="e">
        <f>AND(Sheet1!D1648,"AAAAAGk+3UE=")</f>
        <v>#VALUE!</v>
      </c>
      <c r="BO123" t="e">
        <f>AND(Sheet1!E1648,"AAAAAGk+3UI=")</f>
        <v>#VALUE!</v>
      </c>
      <c r="BP123" t="e">
        <f>AND(Sheet1!F1648,"AAAAAGk+3UM=")</f>
        <v>#VALUE!</v>
      </c>
      <c r="BQ123" t="e">
        <f>AND(Sheet1!G1648,"AAAAAGk+3UQ=")</f>
        <v>#VALUE!</v>
      </c>
      <c r="BR123" t="e">
        <f>AND(Sheet1!H1648,"AAAAAGk+3UU=")</f>
        <v>#VALUE!</v>
      </c>
      <c r="BS123" t="e">
        <f>AND(Sheet1!I1648,"AAAAAGk+3UY=")</f>
        <v>#VALUE!</v>
      </c>
      <c r="BT123" t="e">
        <f>AND(Sheet1!J1648,"AAAAAGk+3Uc=")</f>
        <v>#VALUE!</v>
      </c>
      <c r="BU123" t="e">
        <f>AND(Sheet1!K1648,"AAAAAGk+3Ug=")</f>
        <v>#VALUE!</v>
      </c>
      <c r="BV123" t="e">
        <f>AND(Sheet1!L1648,"AAAAAGk+3Uk=")</f>
        <v>#VALUE!</v>
      </c>
      <c r="BW123" t="e">
        <f>AND(Sheet1!M1648,"AAAAAGk+3Uo=")</f>
        <v>#VALUE!</v>
      </c>
      <c r="BX123" t="e">
        <f>AND(Sheet1!N1648,"AAAAAGk+3Us=")</f>
        <v>#VALUE!</v>
      </c>
      <c r="BY123" t="e">
        <f>AND(Sheet1!#REF!,"AAAAAGk+3Uw=")</f>
        <v>#REF!</v>
      </c>
      <c r="BZ123" t="e">
        <f>AND(Sheet1!#REF!,"AAAAAGk+3U0=")</f>
        <v>#REF!</v>
      </c>
      <c r="CA123" t="e">
        <f>AND(Sheet1!#REF!,"AAAAAGk+3U4=")</f>
        <v>#REF!</v>
      </c>
      <c r="CB123" t="e">
        <f>AND(Sheet1!#REF!,"AAAAAGk+3U8=")</f>
        <v>#REF!</v>
      </c>
      <c r="CC123">
        <f>IF(Sheet1!1649:1649,"AAAAAGk+3VA=",0)</f>
        <v>0</v>
      </c>
      <c r="CD123" t="e">
        <f>AND(Sheet1!A1649,"AAAAAGk+3VE=")</f>
        <v>#VALUE!</v>
      </c>
      <c r="CE123" t="e">
        <f>AND(Sheet1!B1649,"AAAAAGk+3VI=")</f>
        <v>#VALUE!</v>
      </c>
      <c r="CF123" t="e">
        <f>AND(Sheet1!C1649,"AAAAAGk+3VM=")</f>
        <v>#VALUE!</v>
      </c>
      <c r="CG123" t="e">
        <f>AND(Sheet1!D1649,"AAAAAGk+3VQ=")</f>
        <v>#VALUE!</v>
      </c>
      <c r="CH123" t="e">
        <f>AND(Sheet1!E1649,"AAAAAGk+3VU=")</f>
        <v>#VALUE!</v>
      </c>
      <c r="CI123" t="e">
        <f>AND(Sheet1!F1649,"AAAAAGk+3VY=")</f>
        <v>#VALUE!</v>
      </c>
      <c r="CJ123" t="e">
        <f>AND(Sheet1!G1649,"AAAAAGk+3Vc=")</f>
        <v>#VALUE!</v>
      </c>
      <c r="CK123" t="e">
        <f>AND(Sheet1!H1649,"AAAAAGk+3Vg=")</f>
        <v>#VALUE!</v>
      </c>
      <c r="CL123" t="e">
        <f>AND(Sheet1!I1649,"AAAAAGk+3Vk=")</f>
        <v>#VALUE!</v>
      </c>
      <c r="CM123" t="e">
        <f>AND(Sheet1!J1649,"AAAAAGk+3Vo=")</f>
        <v>#VALUE!</v>
      </c>
      <c r="CN123" t="e">
        <f>AND(Sheet1!K1649,"AAAAAGk+3Vs=")</f>
        <v>#VALUE!</v>
      </c>
      <c r="CO123" t="e">
        <f>AND(Sheet1!L1649,"AAAAAGk+3Vw=")</f>
        <v>#VALUE!</v>
      </c>
      <c r="CP123" t="e">
        <f>AND(Sheet1!M1649,"AAAAAGk+3V0=")</f>
        <v>#VALUE!</v>
      </c>
      <c r="CQ123" t="e">
        <f>AND(Sheet1!N1649,"AAAAAGk+3V4=")</f>
        <v>#VALUE!</v>
      </c>
      <c r="CR123" t="e">
        <f>AND(Sheet1!#REF!,"AAAAAGk+3V8=")</f>
        <v>#REF!</v>
      </c>
      <c r="CS123" t="e">
        <f>AND(Sheet1!#REF!,"AAAAAGk+3WA=")</f>
        <v>#REF!</v>
      </c>
      <c r="CT123" t="e">
        <f>AND(Sheet1!#REF!,"AAAAAGk+3WE=")</f>
        <v>#REF!</v>
      </c>
      <c r="CU123" t="e">
        <f>AND(Sheet1!#REF!,"AAAAAGk+3WI=")</f>
        <v>#REF!</v>
      </c>
      <c r="CV123">
        <f>IF(Sheet1!1650:1650,"AAAAAGk+3WM=",0)</f>
        <v>0</v>
      </c>
      <c r="CW123" t="e">
        <f>AND(Sheet1!A1650,"AAAAAGk+3WQ=")</f>
        <v>#VALUE!</v>
      </c>
      <c r="CX123" t="e">
        <f>AND(Sheet1!B1650,"AAAAAGk+3WU=")</f>
        <v>#VALUE!</v>
      </c>
      <c r="CY123" t="e">
        <f>AND(Sheet1!C1650,"AAAAAGk+3WY=")</f>
        <v>#VALUE!</v>
      </c>
      <c r="CZ123" t="e">
        <f>AND(Sheet1!D1650,"AAAAAGk+3Wc=")</f>
        <v>#VALUE!</v>
      </c>
      <c r="DA123" t="e">
        <f>AND(Sheet1!E1650,"AAAAAGk+3Wg=")</f>
        <v>#VALUE!</v>
      </c>
      <c r="DB123" t="e">
        <f>AND(Sheet1!F1650,"AAAAAGk+3Wk=")</f>
        <v>#VALUE!</v>
      </c>
      <c r="DC123" t="e">
        <f>AND(Sheet1!G1650,"AAAAAGk+3Wo=")</f>
        <v>#VALUE!</v>
      </c>
      <c r="DD123" t="e">
        <f>AND(Sheet1!H1650,"AAAAAGk+3Ws=")</f>
        <v>#VALUE!</v>
      </c>
      <c r="DE123" t="e">
        <f>AND(Sheet1!I1650,"AAAAAGk+3Ww=")</f>
        <v>#VALUE!</v>
      </c>
      <c r="DF123" t="e">
        <f>AND(Sheet1!J1650,"AAAAAGk+3W0=")</f>
        <v>#VALUE!</v>
      </c>
      <c r="DG123" t="e">
        <f>AND(Sheet1!K1650,"AAAAAGk+3W4=")</f>
        <v>#VALUE!</v>
      </c>
      <c r="DH123" t="e">
        <f>AND(Sheet1!L1650,"AAAAAGk+3W8=")</f>
        <v>#VALUE!</v>
      </c>
      <c r="DI123" t="e">
        <f>AND(Sheet1!M1650,"AAAAAGk+3XA=")</f>
        <v>#VALUE!</v>
      </c>
      <c r="DJ123" t="e">
        <f>AND(Sheet1!N1650,"AAAAAGk+3XE=")</f>
        <v>#VALUE!</v>
      </c>
      <c r="DK123" t="e">
        <f>AND(Sheet1!#REF!,"AAAAAGk+3XI=")</f>
        <v>#REF!</v>
      </c>
      <c r="DL123" t="e">
        <f>AND(Sheet1!#REF!,"AAAAAGk+3XM=")</f>
        <v>#REF!</v>
      </c>
      <c r="DM123" t="e">
        <f>AND(Sheet1!#REF!,"AAAAAGk+3XQ=")</f>
        <v>#REF!</v>
      </c>
      <c r="DN123" t="e">
        <f>AND(Sheet1!#REF!,"AAAAAGk+3XU=")</f>
        <v>#REF!</v>
      </c>
      <c r="DO123">
        <f>IF(Sheet1!1651:1651,"AAAAAGk+3XY=",0)</f>
        <v>0</v>
      </c>
      <c r="DP123" t="e">
        <f>AND(Sheet1!A1651,"AAAAAGk+3Xc=")</f>
        <v>#VALUE!</v>
      </c>
      <c r="DQ123" t="e">
        <f>AND(Sheet1!B1651,"AAAAAGk+3Xg=")</f>
        <v>#VALUE!</v>
      </c>
      <c r="DR123" t="e">
        <f>AND(Sheet1!C1651,"AAAAAGk+3Xk=")</f>
        <v>#VALUE!</v>
      </c>
      <c r="DS123" t="e">
        <f>AND(Sheet1!D1651,"AAAAAGk+3Xo=")</f>
        <v>#VALUE!</v>
      </c>
      <c r="DT123" t="e">
        <f>AND(Sheet1!E1651,"AAAAAGk+3Xs=")</f>
        <v>#VALUE!</v>
      </c>
      <c r="DU123" t="e">
        <f>AND(Sheet1!F1651,"AAAAAGk+3Xw=")</f>
        <v>#VALUE!</v>
      </c>
      <c r="DV123" t="e">
        <f>AND(Sheet1!G1651,"AAAAAGk+3X0=")</f>
        <v>#VALUE!</v>
      </c>
      <c r="DW123" t="e">
        <f>AND(Sheet1!H1651,"AAAAAGk+3X4=")</f>
        <v>#VALUE!</v>
      </c>
      <c r="DX123" t="e">
        <f>AND(Sheet1!I1651,"AAAAAGk+3X8=")</f>
        <v>#VALUE!</v>
      </c>
      <c r="DY123" t="e">
        <f>AND(Sheet1!J1651,"AAAAAGk+3YA=")</f>
        <v>#VALUE!</v>
      </c>
      <c r="DZ123" t="e">
        <f>AND(Sheet1!K1651,"AAAAAGk+3YE=")</f>
        <v>#VALUE!</v>
      </c>
      <c r="EA123" t="e">
        <f>AND(Sheet1!L1651,"AAAAAGk+3YI=")</f>
        <v>#VALUE!</v>
      </c>
      <c r="EB123" t="e">
        <f>AND(Sheet1!M1651,"AAAAAGk+3YM=")</f>
        <v>#VALUE!</v>
      </c>
      <c r="EC123" t="e">
        <f>AND(Sheet1!N1651,"AAAAAGk+3YQ=")</f>
        <v>#VALUE!</v>
      </c>
      <c r="ED123" t="e">
        <f>AND(Sheet1!#REF!,"AAAAAGk+3YU=")</f>
        <v>#REF!</v>
      </c>
      <c r="EE123" t="e">
        <f>AND(Sheet1!#REF!,"AAAAAGk+3YY=")</f>
        <v>#REF!</v>
      </c>
      <c r="EF123" t="e">
        <f>AND(Sheet1!#REF!,"AAAAAGk+3Yc=")</f>
        <v>#REF!</v>
      </c>
      <c r="EG123" t="e">
        <f>AND(Sheet1!#REF!,"AAAAAGk+3Yg=")</f>
        <v>#REF!</v>
      </c>
      <c r="EH123">
        <f>IF(Sheet1!1652:1652,"AAAAAGk+3Yk=",0)</f>
        <v>0</v>
      </c>
      <c r="EI123" t="e">
        <f>AND(Sheet1!A1652,"AAAAAGk+3Yo=")</f>
        <v>#VALUE!</v>
      </c>
      <c r="EJ123" t="e">
        <f>AND(Sheet1!B1652,"AAAAAGk+3Ys=")</f>
        <v>#VALUE!</v>
      </c>
      <c r="EK123" t="e">
        <f>AND(Sheet1!C1652,"AAAAAGk+3Yw=")</f>
        <v>#VALUE!</v>
      </c>
      <c r="EL123" t="e">
        <f>AND(Sheet1!D1652,"AAAAAGk+3Y0=")</f>
        <v>#VALUE!</v>
      </c>
      <c r="EM123" t="e">
        <f>AND(Sheet1!E1652,"AAAAAGk+3Y4=")</f>
        <v>#VALUE!</v>
      </c>
      <c r="EN123" t="e">
        <f>AND(Sheet1!F1652,"AAAAAGk+3Y8=")</f>
        <v>#VALUE!</v>
      </c>
      <c r="EO123" t="e">
        <f>AND(Sheet1!G1652,"AAAAAGk+3ZA=")</f>
        <v>#VALUE!</v>
      </c>
      <c r="EP123" t="e">
        <f>AND(Sheet1!H1652,"AAAAAGk+3ZE=")</f>
        <v>#VALUE!</v>
      </c>
      <c r="EQ123" t="e">
        <f>AND(Sheet1!I1652,"AAAAAGk+3ZI=")</f>
        <v>#VALUE!</v>
      </c>
      <c r="ER123" t="e">
        <f>AND(Sheet1!J1652,"AAAAAGk+3ZM=")</f>
        <v>#VALUE!</v>
      </c>
      <c r="ES123" t="e">
        <f>AND(Sheet1!K1652,"AAAAAGk+3ZQ=")</f>
        <v>#VALUE!</v>
      </c>
      <c r="ET123" t="e">
        <f>AND(Sheet1!L1652,"AAAAAGk+3ZU=")</f>
        <v>#VALUE!</v>
      </c>
      <c r="EU123" t="e">
        <f>AND(Sheet1!M1652,"AAAAAGk+3ZY=")</f>
        <v>#VALUE!</v>
      </c>
      <c r="EV123" t="e">
        <f>AND(Sheet1!N1652,"AAAAAGk+3Zc=")</f>
        <v>#VALUE!</v>
      </c>
      <c r="EW123" t="e">
        <f>AND(Sheet1!#REF!,"AAAAAGk+3Zg=")</f>
        <v>#REF!</v>
      </c>
      <c r="EX123" t="e">
        <f>AND(Sheet1!#REF!,"AAAAAGk+3Zk=")</f>
        <v>#REF!</v>
      </c>
      <c r="EY123" t="e">
        <f>AND(Sheet1!#REF!,"AAAAAGk+3Zo=")</f>
        <v>#REF!</v>
      </c>
      <c r="EZ123" t="e">
        <f>AND(Sheet1!#REF!,"AAAAAGk+3Zs=")</f>
        <v>#REF!</v>
      </c>
      <c r="FA123">
        <f>IF(Sheet1!1653:1653,"AAAAAGk+3Zw=",0)</f>
        <v>0</v>
      </c>
      <c r="FB123" t="e">
        <f>AND(Sheet1!A1653,"AAAAAGk+3Z0=")</f>
        <v>#VALUE!</v>
      </c>
      <c r="FC123" t="e">
        <f>AND(Sheet1!B1653,"AAAAAGk+3Z4=")</f>
        <v>#VALUE!</v>
      </c>
      <c r="FD123" t="e">
        <f>AND(Sheet1!C1653,"AAAAAGk+3Z8=")</f>
        <v>#VALUE!</v>
      </c>
      <c r="FE123" t="e">
        <f>AND(Sheet1!D1653,"AAAAAGk+3aA=")</f>
        <v>#VALUE!</v>
      </c>
      <c r="FF123" t="e">
        <f>AND(Sheet1!E1653,"AAAAAGk+3aE=")</f>
        <v>#VALUE!</v>
      </c>
      <c r="FG123" t="e">
        <f>AND(Sheet1!F1653,"AAAAAGk+3aI=")</f>
        <v>#VALUE!</v>
      </c>
      <c r="FH123" t="e">
        <f>AND(Sheet1!G1653,"AAAAAGk+3aM=")</f>
        <v>#VALUE!</v>
      </c>
      <c r="FI123" t="e">
        <f>AND(Sheet1!H1653,"AAAAAGk+3aQ=")</f>
        <v>#VALUE!</v>
      </c>
      <c r="FJ123" t="e">
        <f>AND(Sheet1!I1653,"AAAAAGk+3aU=")</f>
        <v>#VALUE!</v>
      </c>
      <c r="FK123" t="e">
        <f>AND(Sheet1!J1653,"AAAAAGk+3aY=")</f>
        <v>#VALUE!</v>
      </c>
      <c r="FL123" t="e">
        <f>AND(Sheet1!K1653,"AAAAAGk+3ac=")</f>
        <v>#VALUE!</v>
      </c>
      <c r="FM123" t="e">
        <f>AND(Sheet1!L1653,"AAAAAGk+3ag=")</f>
        <v>#VALUE!</v>
      </c>
      <c r="FN123" t="e">
        <f>AND(Sheet1!M1653,"AAAAAGk+3ak=")</f>
        <v>#VALUE!</v>
      </c>
      <c r="FO123" t="e">
        <f>AND(Sheet1!N1653,"AAAAAGk+3ao=")</f>
        <v>#VALUE!</v>
      </c>
      <c r="FP123" t="e">
        <f>AND(Sheet1!#REF!,"AAAAAGk+3as=")</f>
        <v>#REF!</v>
      </c>
      <c r="FQ123" t="e">
        <f>AND(Sheet1!#REF!,"AAAAAGk+3aw=")</f>
        <v>#REF!</v>
      </c>
      <c r="FR123" t="e">
        <f>AND(Sheet1!#REF!,"AAAAAGk+3a0=")</f>
        <v>#REF!</v>
      </c>
      <c r="FS123" t="e">
        <f>AND(Sheet1!#REF!,"AAAAAGk+3a4=")</f>
        <v>#REF!</v>
      </c>
      <c r="FT123">
        <f>IF(Sheet1!1654:1654,"AAAAAGk+3a8=",0)</f>
        <v>0</v>
      </c>
      <c r="FU123" t="e">
        <f>AND(Sheet1!A1654,"AAAAAGk+3bA=")</f>
        <v>#VALUE!</v>
      </c>
      <c r="FV123" t="e">
        <f>AND(Sheet1!B1654,"AAAAAGk+3bE=")</f>
        <v>#VALUE!</v>
      </c>
      <c r="FW123" t="e">
        <f>AND(Sheet1!C1654,"AAAAAGk+3bI=")</f>
        <v>#VALUE!</v>
      </c>
      <c r="FX123" t="e">
        <f>AND(Sheet1!D1654,"AAAAAGk+3bM=")</f>
        <v>#VALUE!</v>
      </c>
      <c r="FY123" t="e">
        <f>AND(Sheet1!E1654,"AAAAAGk+3bQ=")</f>
        <v>#VALUE!</v>
      </c>
      <c r="FZ123" t="e">
        <f>AND(Sheet1!F1654,"AAAAAGk+3bU=")</f>
        <v>#VALUE!</v>
      </c>
      <c r="GA123" t="e">
        <f>AND(Sheet1!G1654,"AAAAAGk+3bY=")</f>
        <v>#VALUE!</v>
      </c>
      <c r="GB123" t="e">
        <f>AND(Sheet1!H1654,"AAAAAGk+3bc=")</f>
        <v>#VALUE!</v>
      </c>
      <c r="GC123" t="e">
        <f>AND(Sheet1!I1654,"AAAAAGk+3bg=")</f>
        <v>#VALUE!</v>
      </c>
      <c r="GD123" t="e">
        <f>AND(Sheet1!J1654,"AAAAAGk+3bk=")</f>
        <v>#VALUE!</v>
      </c>
      <c r="GE123" t="e">
        <f>AND(Sheet1!K1654,"AAAAAGk+3bo=")</f>
        <v>#VALUE!</v>
      </c>
      <c r="GF123" t="e">
        <f>AND(Sheet1!L1654,"AAAAAGk+3bs=")</f>
        <v>#VALUE!</v>
      </c>
      <c r="GG123" t="e">
        <f>AND(Sheet1!M1654,"AAAAAGk+3bw=")</f>
        <v>#VALUE!</v>
      </c>
      <c r="GH123" t="e">
        <f>AND(Sheet1!N1654,"AAAAAGk+3b0=")</f>
        <v>#VALUE!</v>
      </c>
      <c r="GI123" t="e">
        <f>AND(Sheet1!#REF!,"AAAAAGk+3b4=")</f>
        <v>#REF!</v>
      </c>
      <c r="GJ123" t="e">
        <f>AND(Sheet1!#REF!,"AAAAAGk+3b8=")</f>
        <v>#REF!</v>
      </c>
      <c r="GK123" t="e">
        <f>AND(Sheet1!#REF!,"AAAAAGk+3cA=")</f>
        <v>#REF!</v>
      </c>
      <c r="GL123" t="e">
        <f>AND(Sheet1!#REF!,"AAAAAGk+3cE=")</f>
        <v>#REF!</v>
      </c>
      <c r="GM123">
        <f>IF(Sheet1!1655:1655,"AAAAAGk+3cI=",0)</f>
        <v>0</v>
      </c>
      <c r="GN123" t="e">
        <f>AND(Sheet1!A1655,"AAAAAGk+3cM=")</f>
        <v>#VALUE!</v>
      </c>
      <c r="GO123" t="e">
        <f>AND(Sheet1!B1655,"AAAAAGk+3cQ=")</f>
        <v>#VALUE!</v>
      </c>
      <c r="GP123" t="e">
        <f>AND(Sheet1!C1655,"AAAAAGk+3cU=")</f>
        <v>#VALUE!</v>
      </c>
      <c r="GQ123" t="e">
        <f>AND(Sheet1!D1655,"AAAAAGk+3cY=")</f>
        <v>#VALUE!</v>
      </c>
      <c r="GR123" t="e">
        <f>AND(Sheet1!E1655,"AAAAAGk+3cc=")</f>
        <v>#VALUE!</v>
      </c>
      <c r="GS123" t="e">
        <f>AND(Sheet1!F1655,"AAAAAGk+3cg=")</f>
        <v>#VALUE!</v>
      </c>
      <c r="GT123" t="e">
        <f>AND(Sheet1!G1655,"AAAAAGk+3ck=")</f>
        <v>#VALUE!</v>
      </c>
      <c r="GU123" t="e">
        <f>AND(Sheet1!H1655,"AAAAAGk+3co=")</f>
        <v>#VALUE!</v>
      </c>
      <c r="GV123" t="e">
        <f>AND(Sheet1!I1655,"AAAAAGk+3cs=")</f>
        <v>#VALUE!</v>
      </c>
      <c r="GW123" t="e">
        <f>AND(Sheet1!J1655,"AAAAAGk+3cw=")</f>
        <v>#VALUE!</v>
      </c>
      <c r="GX123" t="e">
        <f>AND(Sheet1!K1655,"AAAAAGk+3c0=")</f>
        <v>#VALUE!</v>
      </c>
      <c r="GY123" t="e">
        <f>AND(Sheet1!L1655,"AAAAAGk+3c4=")</f>
        <v>#VALUE!</v>
      </c>
      <c r="GZ123" t="e">
        <f>AND(Sheet1!M1655,"AAAAAGk+3c8=")</f>
        <v>#VALUE!</v>
      </c>
      <c r="HA123" t="e">
        <f>AND(Sheet1!N1655,"AAAAAGk+3dA=")</f>
        <v>#VALUE!</v>
      </c>
      <c r="HB123" t="e">
        <f>AND(Sheet1!#REF!,"AAAAAGk+3dE=")</f>
        <v>#REF!</v>
      </c>
      <c r="HC123" t="e">
        <f>AND(Sheet1!#REF!,"AAAAAGk+3dI=")</f>
        <v>#REF!</v>
      </c>
      <c r="HD123" t="e">
        <f>AND(Sheet1!#REF!,"AAAAAGk+3dM=")</f>
        <v>#REF!</v>
      </c>
      <c r="HE123" t="e">
        <f>AND(Sheet1!#REF!,"AAAAAGk+3dQ=")</f>
        <v>#REF!</v>
      </c>
      <c r="HF123">
        <f>IF(Sheet1!1656:1656,"AAAAAGk+3dU=",0)</f>
        <v>0</v>
      </c>
      <c r="HG123" t="e">
        <f>AND(Sheet1!A1656,"AAAAAGk+3dY=")</f>
        <v>#VALUE!</v>
      </c>
      <c r="HH123" t="e">
        <f>AND(Sheet1!B1656,"AAAAAGk+3dc=")</f>
        <v>#VALUE!</v>
      </c>
      <c r="HI123" t="e">
        <f>AND(Sheet1!C1656,"AAAAAGk+3dg=")</f>
        <v>#VALUE!</v>
      </c>
      <c r="HJ123" t="e">
        <f>AND(Sheet1!D1656,"AAAAAGk+3dk=")</f>
        <v>#VALUE!</v>
      </c>
      <c r="HK123" t="e">
        <f>AND(Sheet1!E1656,"AAAAAGk+3do=")</f>
        <v>#VALUE!</v>
      </c>
      <c r="HL123" t="e">
        <f>AND(Sheet1!F1656,"AAAAAGk+3ds=")</f>
        <v>#VALUE!</v>
      </c>
      <c r="HM123" t="e">
        <f>AND(Sheet1!G1656,"AAAAAGk+3dw=")</f>
        <v>#VALUE!</v>
      </c>
      <c r="HN123" t="e">
        <f>AND(Sheet1!H1656,"AAAAAGk+3d0=")</f>
        <v>#VALUE!</v>
      </c>
      <c r="HO123" t="e">
        <f>AND(Sheet1!I1656,"AAAAAGk+3d4=")</f>
        <v>#VALUE!</v>
      </c>
      <c r="HP123" t="e">
        <f>AND(Sheet1!J1656,"AAAAAGk+3d8=")</f>
        <v>#VALUE!</v>
      </c>
      <c r="HQ123" t="e">
        <f>AND(Sheet1!K1656,"AAAAAGk+3eA=")</f>
        <v>#VALUE!</v>
      </c>
      <c r="HR123" t="e">
        <f>AND(Sheet1!L1656,"AAAAAGk+3eE=")</f>
        <v>#VALUE!</v>
      </c>
      <c r="HS123" t="e">
        <f>AND(Sheet1!M1656,"AAAAAGk+3eI=")</f>
        <v>#VALUE!</v>
      </c>
      <c r="HT123" t="e">
        <f>AND(Sheet1!N1656,"AAAAAGk+3eM=")</f>
        <v>#VALUE!</v>
      </c>
      <c r="HU123" t="e">
        <f>AND(Sheet1!#REF!,"AAAAAGk+3eQ=")</f>
        <v>#REF!</v>
      </c>
      <c r="HV123" t="e">
        <f>AND(Sheet1!#REF!,"AAAAAGk+3eU=")</f>
        <v>#REF!</v>
      </c>
      <c r="HW123" t="e">
        <f>AND(Sheet1!#REF!,"AAAAAGk+3eY=")</f>
        <v>#REF!</v>
      </c>
      <c r="HX123" t="e">
        <f>AND(Sheet1!#REF!,"AAAAAGk+3ec=")</f>
        <v>#REF!</v>
      </c>
      <c r="HY123">
        <f>IF(Sheet1!1657:1657,"AAAAAGk+3eg=",0)</f>
        <v>0</v>
      </c>
      <c r="HZ123" t="e">
        <f>AND(Sheet1!A1657,"AAAAAGk+3ek=")</f>
        <v>#VALUE!</v>
      </c>
      <c r="IA123" t="e">
        <f>AND(Sheet1!B1657,"AAAAAGk+3eo=")</f>
        <v>#VALUE!</v>
      </c>
      <c r="IB123" t="e">
        <f>AND(Sheet1!C1657,"AAAAAGk+3es=")</f>
        <v>#VALUE!</v>
      </c>
      <c r="IC123" t="e">
        <f>AND(Sheet1!D1657,"AAAAAGk+3ew=")</f>
        <v>#VALUE!</v>
      </c>
      <c r="ID123" t="e">
        <f>AND(Sheet1!E1657,"AAAAAGk+3e0=")</f>
        <v>#VALUE!</v>
      </c>
      <c r="IE123" t="e">
        <f>AND(Sheet1!F1657,"AAAAAGk+3e4=")</f>
        <v>#VALUE!</v>
      </c>
      <c r="IF123" t="e">
        <f>AND(Sheet1!G1657,"AAAAAGk+3e8=")</f>
        <v>#VALUE!</v>
      </c>
      <c r="IG123" t="e">
        <f>AND(Sheet1!H1657,"AAAAAGk+3fA=")</f>
        <v>#VALUE!</v>
      </c>
      <c r="IH123" t="e">
        <f>AND(Sheet1!I1657,"AAAAAGk+3fE=")</f>
        <v>#VALUE!</v>
      </c>
      <c r="II123" t="e">
        <f>AND(Sheet1!J1657,"AAAAAGk+3fI=")</f>
        <v>#VALUE!</v>
      </c>
      <c r="IJ123" t="e">
        <f>AND(Sheet1!K1657,"AAAAAGk+3fM=")</f>
        <v>#VALUE!</v>
      </c>
      <c r="IK123" t="e">
        <f>AND(Sheet1!L1657,"AAAAAGk+3fQ=")</f>
        <v>#VALUE!</v>
      </c>
      <c r="IL123" t="e">
        <f>AND(Sheet1!M1657,"AAAAAGk+3fU=")</f>
        <v>#VALUE!</v>
      </c>
      <c r="IM123" t="e">
        <f>AND(Sheet1!N1657,"AAAAAGk+3fY=")</f>
        <v>#VALUE!</v>
      </c>
      <c r="IN123" t="e">
        <f>AND(Sheet1!#REF!,"AAAAAGk+3fc=")</f>
        <v>#REF!</v>
      </c>
      <c r="IO123" t="e">
        <f>AND(Sheet1!#REF!,"AAAAAGk+3fg=")</f>
        <v>#REF!</v>
      </c>
      <c r="IP123" t="e">
        <f>AND(Sheet1!#REF!,"AAAAAGk+3fk=")</f>
        <v>#REF!</v>
      </c>
      <c r="IQ123" t="e">
        <f>AND(Sheet1!#REF!,"AAAAAGk+3fo=")</f>
        <v>#REF!</v>
      </c>
      <c r="IR123">
        <f>IF(Sheet1!1658:1658,"AAAAAGk+3fs=",0)</f>
        <v>0</v>
      </c>
      <c r="IS123" t="e">
        <f>AND(Sheet1!A1658,"AAAAAGk+3fw=")</f>
        <v>#VALUE!</v>
      </c>
      <c r="IT123" t="e">
        <f>AND(Sheet1!B1658,"AAAAAGk+3f0=")</f>
        <v>#VALUE!</v>
      </c>
      <c r="IU123" t="e">
        <f>AND(Sheet1!C1658,"AAAAAGk+3f4=")</f>
        <v>#VALUE!</v>
      </c>
      <c r="IV123" t="e">
        <f>AND(Sheet1!D1658,"AAAAAGk+3f8=")</f>
        <v>#VALUE!</v>
      </c>
    </row>
    <row r="124" spans="1:256" x14ac:dyDescent="0.2">
      <c r="A124" t="e">
        <f>AND(Sheet1!E1658,"AAAAAFjDvQA=")</f>
        <v>#VALUE!</v>
      </c>
      <c r="B124" t="e">
        <f>AND(Sheet1!F1658,"AAAAAFjDvQE=")</f>
        <v>#VALUE!</v>
      </c>
      <c r="C124" t="e">
        <f>AND(Sheet1!G1658,"AAAAAFjDvQI=")</f>
        <v>#VALUE!</v>
      </c>
      <c r="D124" t="e">
        <f>AND(Sheet1!H1658,"AAAAAFjDvQM=")</f>
        <v>#VALUE!</v>
      </c>
      <c r="E124" t="e">
        <f>AND(Sheet1!I1658,"AAAAAFjDvQQ=")</f>
        <v>#VALUE!</v>
      </c>
      <c r="F124" t="e">
        <f>AND(Sheet1!J1658,"AAAAAFjDvQU=")</f>
        <v>#VALUE!</v>
      </c>
      <c r="G124" t="e">
        <f>AND(Sheet1!K1658,"AAAAAFjDvQY=")</f>
        <v>#VALUE!</v>
      </c>
      <c r="H124" t="e">
        <f>AND(Sheet1!L1658,"AAAAAFjDvQc=")</f>
        <v>#VALUE!</v>
      </c>
      <c r="I124" t="e">
        <f>AND(Sheet1!M1658,"AAAAAFjDvQg=")</f>
        <v>#VALUE!</v>
      </c>
      <c r="J124" t="e">
        <f>AND(Sheet1!N1658,"AAAAAFjDvQk=")</f>
        <v>#VALUE!</v>
      </c>
      <c r="K124" t="e">
        <f>AND(Sheet1!#REF!,"AAAAAFjDvQo=")</f>
        <v>#REF!</v>
      </c>
      <c r="L124" t="e">
        <f>AND(Sheet1!#REF!,"AAAAAFjDvQs=")</f>
        <v>#REF!</v>
      </c>
      <c r="M124" t="e">
        <f>AND(Sheet1!#REF!,"AAAAAFjDvQw=")</f>
        <v>#REF!</v>
      </c>
      <c r="N124" t="e">
        <f>AND(Sheet1!#REF!,"AAAAAFjDvQ0=")</f>
        <v>#REF!</v>
      </c>
      <c r="O124">
        <f>IF(Sheet1!1659:1659,"AAAAAFjDvQ4=",0)</f>
        <v>0</v>
      </c>
      <c r="P124" t="e">
        <f>AND(Sheet1!A1659,"AAAAAFjDvQ8=")</f>
        <v>#VALUE!</v>
      </c>
      <c r="Q124" t="e">
        <f>AND(Sheet1!B1659,"AAAAAFjDvRA=")</f>
        <v>#VALUE!</v>
      </c>
      <c r="R124" t="e">
        <f>AND(Sheet1!C1659,"AAAAAFjDvRE=")</f>
        <v>#VALUE!</v>
      </c>
      <c r="S124" t="e">
        <f>AND(Sheet1!D1659,"AAAAAFjDvRI=")</f>
        <v>#VALUE!</v>
      </c>
      <c r="T124" t="e">
        <f>AND(Sheet1!E1659,"AAAAAFjDvRM=")</f>
        <v>#VALUE!</v>
      </c>
      <c r="U124" t="e">
        <f>AND(Sheet1!F1659,"AAAAAFjDvRQ=")</f>
        <v>#VALUE!</v>
      </c>
      <c r="V124" t="e">
        <f>AND(Sheet1!G1659,"AAAAAFjDvRU=")</f>
        <v>#VALUE!</v>
      </c>
      <c r="W124" t="e">
        <f>AND(Sheet1!H1659,"AAAAAFjDvRY=")</f>
        <v>#VALUE!</v>
      </c>
      <c r="X124" t="e">
        <f>AND(Sheet1!I1659,"AAAAAFjDvRc=")</f>
        <v>#VALUE!</v>
      </c>
      <c r="Y124" t="e">
        <f>AND(Sheet1!J1659,"AAAAAFjDvRg=")</f>
        <v>#VALUE!</v>
      </c>
      <c r="Z124" t="e">
        <f>AND(Sheet1!K1659,"AAAAAFjDvRk=")</f>
        <v>#VALUE!</v>
      </c>
      <c r="AA124" t="e">
        <f>AND(Sheet1!L1659,"AAAAAFjDvRo=")</f>
        <v>#VALUE!</v>
      </c>
      <c r="AB124" t="e">
        <f>AND(Sheet1!M1659,"AAAAAFjDvRs=")</f>
        <v>#VALUE!</v>
      </c>
      <c r="AC124" t="e">
        <f>AND(Sheet1!N1659,"AAAAAFjDvRw=")</f>
        <v>#VALUE!</v>
      </c>
      <c r="AD124" t="e">
        <f>AND(Sheet1!#REF!,"AAAAAFjDvR0=")</f>
        <v>#REF!</v>
      </c>
      <c r="AE124" t="e">
        <f>AND(Sheet1!#REF!,"AAAAAFjDvR4=")</f>
        <v>#REF!</v>
      </c>
      <c r="AF124" t="e">
        <f>AND(Sheet1!#REF!,"AAAAAFjDvR8=")</f>
        <v>#REF!</v>
      </c>
      <c r="AG124" t="e">
        <f>AND(Sheet1!#REF!,"AAAAAFjDvSA=")</f>
        <v>#REF!</v>
      </c>
      <c r="AH124">
        <f>IF(Sheet1!1660:1660,"AAAAAFjDvSE=",0)</f>
        <v>0</v>
      </c>
      <c r="AI124" t="e">
        <f>AND(Sheet1!A1660,"AAAAAFjDvSI=")</f>
        <v>#VALUE!</v>
      </c>
      <c r="AJ124" t="e">
        <f>AND(Sheet1!B1660,"AAAAAFjDvSM=")</f>
        <v>#VALUE!</v>
      </c>
      <c r="AK124" t="e">
        <f>AND(Sheet1!C1660,"AAAAAFjDvSQ=")</f>
        <v>#VALUE!</v>
      </c>
      <c r="AL124" t="e">
        <f>AND(Sheet1!D1660,"AAAAAFjDvSU=")</f>
        <v>#VALUE!</v>
      </c>
      <c r="AM124" t="e">
        <f>AND(Sheet1!E1660,"AAAAAFjDvSY=")</f>
        <v>#VALUE!</v>
      </c>
      <c r="AN124" t="e">
        <f>AND(Sheet1!F1660,"AAAAAFjDvSc=")</f>
        <v>#VALUE!</v>
      </c>
      <c r="AO124" t="e">
        <f>AND(Sheet1!G1660,"AAAAAFjDvSg=")</f>
        <v>#VALUE!</v>
      </c>
      <c r="AP124" t="e">
        <f>AND(Sheet1!H1660,"AAAAAFjDvSk=")</f>
        <v>#VALUE!</v>
      </c>
      <c r="AQ124" t="e">
        <f>AND(Sheet1!I1660,"AAAAAFjDvSo=")</f>
        <v>#VALUE!</v>
      </c>
      <c r="AR124" t="e">
        <f>AND(Sheet1!J1660,"AAAAAFjDvSs=")</f>
        <v>#VALUE!</v>
      </c>
      <c r="AS124" t="e">
        <f>AND(Sheet1!K1660,"AAAAAFjDvSw=")</f>
        <v>#VALUE!</v>
      </c>
      <c r="AT124" t="e">
        <f>AND(Sheet1!L1660,"AAAAAFjDvS0=")</f>
        <v>#VALUE!</v>
      </c>
      <c r="AU124" t="e">
        <f>AND(Sheet1!M1660,"AAAAAFjDvS4=")</f>
        <v>#VALUE!</v>
      </c>
      <c r="AV124" t="e">
        <f>AND(Sheet1!N1660,"AAAAAFjDvS8=")</f>
        <v>#VALUE!</v>
      </c>
      <c r="AW124" t="e">
        <f>AND(Sheet1!#REF!,"AAAAAFjDvTA=")</f>
        <v>#REF!</v>
      </c>
      <c r="AX124" t="e">
        <f>AND(Sheet1!#REF!,"AAAAAFjDvTE=")</f>
        <v>#REF!</v>
      </c>
      <c r="AY124" t="e">
        <f>AND(Sheet1!#REF!,"AAAAAFjDvTI=")</f>
        <v>#REF!</v>
      </c>
      <c r="AZ124" t="e">
        <f>AND(Sheet1!#REF!,"AAAAAFjDvTM=")</f>
        <v>#REF!</v>
      </c>
      <c r="BA124">
        <f>IF(Sheet1!1661:1661,"AAAAAFjDvTQ=",0)</f>
        <v>0</v>
      </c>
      <c r="BB124" t="e">
        <f>AND(Sheet1!A1661,"AAAAAFjDvTU=")</f>
        <v>#VALUE!</v>
      </c>
      <c r="BC124" t="e">
        <f>AND(Sheet1!B1661,"AAAAAFjDvTY=")</f>
        <v>#VALUE!</v>
      </c>
      <c r="BD124" t="e">
        <f>AND(Sheet1!C1661,"AAAAAFjDvTc=")</f>
        <v>#VALUE!</v>
      </c>
      <c r="BE124" t="e">
        <f>AND(Sheet1!D1661,"AAAAAFjDvTg=")</f>
        <v>#VALUE!</v>
      </c>
      <c r="BF124" t="e">
        <f>AND(Sheet1!E1661,"AAAAAFjDvTk=")</f>
        <v>#VALUE!</v>
      </c>
      <c r="BG124" t="e">
        <f>AND(Sheet1!F1661,"AAAAAFjDvTo=")</f>
        <v>#VALUE!</v>
      </c>
      <c r="BH124" t="e">
        <f>AND(Sheet1!G1661,"AAAAAFjDvTs=")</f>
        <v>#VALUE!</v>
      </c>
      <c r="BI124" t="e">
        <f>AND(Sheet1!H1661,"AAAAAFjDvTw=")</f>
        <v>#VALUE!</v>
      </c>
      <c r="BJ124" t="e">
        <f>AND(Sheet1!I1661,"AAAAAFjDvT0=")</f>
        <v>#VALUE!</v>
      </c>
      <c r="BK124" t="e">
        <f>AND(Sheet1!J1661,"AAAAAFjDvT4=")</f>
        <v>#VALUE!</v>
      </c>
      <c r="BL124" t="e">
        <f>AND(Sheet1!K1661,"AAAAAFjDvT8=")</f>
        <v>#VALUE!</v>
      </c>
      <c r="BM124" t="e">
        <f>AND(Sheet1!L1661,"AAAAAFjDvUA=")</f>
        <v>#VALUE!</v>
      </c>
      <c r="BN124" t="e">
        <f>AND(Sheet1!M1661,"AAAAAFjDvUE=")</f>
        <v>#VALUE!</v>
      </c>
      <c r="BO124" t="e">
        <f>AND(Sheet1!N1661,"AAAAAFjDvUI=")</f>
        <v>#VALUE!</v>
      </c>
      <c r="BP124" t="e">
        <f>AND(Sheet1!#REF!,"AAAAAFjDvUM=")</f>
        <v>#REF!</v>
      </c>
      <c r="BQ124" t="e">
        <f>AND(Sheet1!#REF!,"AAAAAFjDvUQ=")</f>
        <v>#REF!</v>
      </c>
      <c r="BR124" t="e">
        <f>AND(Sheet1!#REF!,"AAAAAFjDvUU=")</f>
        <v>#REF!</v>
      </c>
      <c r="BS124" t="e">
        <f>AND(Sheet1!#REF!,"AAAAAFjDvUY=")</f>
        <v>#REF!</v>
      </c>
      <c r="BT124">
        <f>IF(Sheet1!1662:1662,"AAAAAFjDvUc=",0)</f>
        <v>0</v>
      </c>
      <c r="BU124" t="e">
        <f>AND(Sheet1!A1662,"AAAAAFjDvUg=")</f>
        <v>#VALUE!</v>
      </c>
      <c r="BV124" t="e">
        <f>AND(Sheet1!B1662,"AAAAAFjDvUk=")</f>
        <v>#VALUE!</v>
      </c>
      <c r="BW124" t="e">
        <f>AND(Sheet1!C1662,"AAAAAFjDvUo=")</f>
        <v>#VALUE!</v>
      </c>
      <c r="BX124" t="e">
        <f>AND(Sheet1!D1662,"AAAAAFjDvUs=")</f>
        <v>#VALUE!</v>
      </c>
      <c r="BY124" t="e">
        <f>AND(Sheet1!E1662,"AAAAAFjDvUw=")</f>
        <v>#VALUE!</v>
      </c>
      <c r="BZ124" t="e">
        <f>AND(Sheet1!F1662,"AAAAAFjDvU0=")</f>
        <v>#VALUE!</v>
      </c>
      <c r="CA124" t="e">
        <f>AND(Sheet1!G1662,"AAAAAFjDvU4=")</f>
        <v>#VALUE!</v>
      </c>
      <c r="CB124" t="e">
        <f>AND(Sheet1!H1662,"AAAAAFjDvU8=")</f>
        <v>#VALUE!</v>
      </c>
      <c r="CC124" t="e">
        <f>AND(Sheet1!I1662,"AAAAAFjDvVA=")</f>
        <v>#VALUE!</v>
      </c>
      <c r="CD124" t="e">
        <f>AND(Sheet1!J1662,"AAAAAFjDvVE=")</f>
        <v>#VALUE!</v>
      </c>
      <c r="CE124" t="e">
        <f>AND(Sheet1!K1662,"AAAAAFjDvVI=")</f>
        <v>#VALUE!</v>
      </c>
      <c r="CF124" t="e">
        <f>AND(Sheet1!L1662,"AAAAAFjDvVM=")</f>
        <v>#VALUE!</v>
      </c>
      <c r="CG124" t="e">
        <f>AND(Sheet1!M1662,"AAAAAFjDvVQ=")</f>
        <v>#VALUE!</v>
      </c>
      <c r="CH124" t="e">
        <f>AND(Sheet1!N1662,"AAAAAFjDvVU=")</f>
        <v>#VALUE!</v>
      </c>
      <c r="CI124" t="e">
        <f>AND(Sheet1!#REF!,"AAAAAFjDvVY=")</f>
        <v>#REF!</v>
      </c>
      <c r="CJ124" t="e">
        <f>AND(Sheet1!#REF!,"AAAAAFjDvVc=")</f>
        <v>#REF!</v>
      </c>
      <c r="CK124" t="e">
        <f>AND(Sheet1!#REF!,"AAAAAFjDvVg=")</f>
        <v>#REF!</v>
      </c>
      <c r="CL124" t="e">
        <f>AND(Sheet1!#REF!,"AAAAAFjDvVk=")</f>
        <v>#REF!</v>
      </c>
      <c r="CM124">
        <f>IF(Sheet1!1663:1663,"AAAAAFjDvVo=",0)</f>
        <v>0</v>
      </c>
      <c r="CN124" t="e">
        <f>AND(Sheet1!A1663,"AAAAAFjDvVs=")</f>
        <v>#VALUE!</v>
      </c>
      <c r="CO124" t="e">
        <f>AND(Sheet1!B1663,"AAAAAFjDvVw=")</f>
        <v>#VALUE!</v>
      </c>
      <c r="CP124" t="e">
        <f>AND(Sheet1!C1663,"AAAAAFjDvV0=")</f>
        <v>#VALUE!</v>
      </c>
      <c r="CQ124" t="e">
        <f>AND(Sheet1!D1663,"AAAAAFjDvV4=")</f>
        <v>#VALUE!</v>
      </c>
      <c r="CR124" t="e">
        <f>AND(Sheet1!E1663,"AAAAAFjDvV8=")</f>
        <v>#VALUE!</v>
      </c>
      <c r="CS124" t="e">
        <f>AND(Sheet1!F1663,"AAAAAFjDvWA=")</f>
        <v>#VALUE!</v>
      </c>
      <c r="CT124" t="e">
        <f>AND(Sheet1!G1663,"AAAAAFjDvWE=")</f>
        <v>#VALUE!</v>
      </c>
      <c r="CU124" t="e">
        <f>AND(Sheet1!H1663,"AAAAAFjDvWI=")</f>
        <v>#VALUE!</v>
      </c>
      <c r="CV124" t="e">
        <f>AND(Sheet1!I1663,"AAAAAFjDvWM=")</f>
        <v>#VALUE!</v>
      </c>
      <c r="CW124" t="e">
        <f>AND(Sheet1!J1663,"AAAAAFjDvWQ=")</f>
        <v>#VALUE!</v>
      </c>
      <c r="CX124" t="e">
        <f>AND(Sheet1!K1663,"AAAAAFjDvWU=")</f>
        <v>#VALUE!</v>
      </c>
      <c r="CY124" t="e">
        <f>AND(Sheet1!L1663,"AAAAAFjDvWY=")</f>
        <v>#VALUE!</v>
      </c>
      <c r="CZ124" t="e">
        <f>AND(Sheet1!M1663,"AAAAAFjDvWc=")</f>
        <v>#VALUE!</v>
      </c>
      <c r="DA124" t="e">
        <f>AND(Sheet1!N1663,"AAAAAFjDvWg=")</f>
        <v>#VALUE!</v>
      </c>
      <c r="DB124" t="e">
        <f>AND(Sheet1!#REF!,"AAAAAFjDvWk=")</f>
        <v>#REF!</v>
      </c>
      <c r="DC124" t="e">
        <f>AND(Sheet1!#REF!,"AAAAAFjDvWo=")</f>
        <v>#REF!</v>
      </c>
      <c r="DD124" t="e">
        <f>AND(Sheet1!#REF!,"AAAAAFjDvWs=")</f>
        <v>#REF!</v>
      </c>
      <c r="DE124" t="e">
        <f>AND(Sheet1!#REF!,"AAAAAFjDvWw=")</f>
        <v>#REF!</v>
      </c>
      <c r="DF124">
        <f>IF(Sheet1!1664:1664,"AAAAAFjDvW0=",0)</f>
        <v>0</v>
      </c>
      <c r="DG124" t="e">
        <f>AND(Sheet1!A1664,"AAAAAFjDvW4=")</f>
        <v>#VALUE!</v>
      </c>
      <c r="DH124" t="e">
        <f>AND(Sheet1!B1664,"AAAAAFjDvW8=")</f>
        <v>#VALUE!</v>
      </c>
      <c r="DI124" t="e">
        <f>AND(Sheet1!C1664,"AAAAAFjDvXA=")</f>
        <v>#VALUE!</v>
      </c>
      <c r="DJ124" t="e">
        <f>AND(Sheet1!D1664,"AAAAAFjDvXE=")</f>
        <v>#VALUE!</v>
      </c>
      <c r="DK124" t="e">
        <f>AND(Sheet1!E1664,"AAAAAFjDvXI=")</f>
        <v>#VALUE!</v>
      </c>
      <c r="DL124" t="e">
        <f>AND(Sheet1!F1664,"AAAAAFjDvXM=")</f>
        <v>#VALUE!</v>
      </c>
      <c r="DM124" t="e">
        <f>AND(Sheet1!G1664,"AAAAAFjDvXQ=")</f>
        <v>#VALUE!</v>
      </c>
      <c r="DN124" t="e">
        <f>AND(Sheet1!H1664,"AAAAAFjDvXU=")</f>
        <v>#VALUE!</v>
      </c>
      <c r="DO124" t="e">
        <f>AND(Sheet1!I1664,"AAAAAFjDvXY=")</f>
        <v>#VALUE!</v>
      </c>
      <c r="DP124" t="e">
        <f>AND(Sheet1!J1664,"AAAAAFjDvXc=")</f>
        <v>#VALUE!</v>
      </c>
      <c r="DQ124" t="e">
        <f>AND(Sheet1!K1664,"AAAAAFjDvXg=")</f>
        <v>#VALUE!</v>
      </c>
      <c r="DR124" t="e">
        <f>AND(Sheet1!L1664,"AAAAAFjDvXk=")</f>
        <v>#VALUE!</v>
      </c>
      <c r="DS124" t="e">
        <f>AND(Sheet1!M1664,"AAAAAFjDvXo=")</f>
        <v>#VALUE!</v>
      </c>
      <c r="DT124" t="e">
        <f>AND(Sheet1!N1664,"AAAAAFjDvXs=")</f>
        <v>#VALUE!</v>
      </c>
      <c r="DU124" t="e">
        <f>AND(Sheet1!#REF!,"AAAAAFjDvXw=")</f>
        <v>#REF!</v>
      </c>
      <c r="DV124" t="e">
        <f>AND(Sheet1!#REF!,"AAAAAFjDvX0=")</f>
        <v>#REF!</v>
      </c>
      <c r="DW124" t="e">
        <f>AND(Sheet1!#REF!,"AAAAAFjDvX4=")</f>
        <v>#REF!</v>
      </c>
      <c r="DX124" t="e">
        <f>AND(Sheet1!#REF!,"AAAAAFjDvX8=")</f>
        <v>#REF!</v>
      </c>
      <c r="DY124">
        <f>IF(Sheet1!1665:1665,"AAAAAFjDvYA=",0)</f>
        <v>0</v>
      </c>
      <c r="DZ124" t="e">
        <f>AND(Sheet1!A1665,"AAAAAFjDvYE=")</f>
        <v>#VALUE!</v>
      </c>
      <c r="EA124" t="e">
        <f>AND(Sheet1!B1665,"AAAAAFjDvYI=")</f>
        <v>#VALUE!</v>
      </c>
      <c r="EB124" t="e">
        <f>AND(Sheet1!C1665,"AAAAAFjDvYM=")</f>
        <v>#VALUE!</v>
      </c>
      <c r="EC124" t="e">
        <f>AND(Sheet1!D1665,"AAAAAFjDvYQ=")</f>
        <v>#VALUE!</v>
      </c>
      <c r="ED124" t="e">
        <f>AND(Sheet1!E1665,"AAAAAFjDvYU=")</f>
        <v>#VALUE!</v>
      </c>
      <c r="EE124" t="e">
        <f>AND(Sheet1!F1665,"AAAAAFjDvYY=")</f>
        <v>#VALUE!</v>
      </c>
      <c r="EF124" t="e">
        <f>AND(Sheet1!G1665,"AAAAAFjDvYc=")</f>
        <v>#VALUE!</v>
      </c>
      <c r="EG124" t="e">
        <f>AND(Sheet1!H1665,"AAAAAFjDvYg=")</f>
        <v>#VALUE!</v>
      </c>
      <c r="EH124" t="e">
        <f>AND(Sheet1!I1665,"AAAAAFjDvYk=")</f>
        <v>#VALUE!</v>
      </c>
      <c r="EI124" t="e">
        <f>AND(Sheet1!J1665,"AAAAAFjDvYo=")</f>
        <v>#VALUE!</v>
      </c>
      <c r="EJ124" t="e">
        <f>AND(Sheet1!K1665,"AAAAAFjDvYs=")</f>
        <v>#VALUE!</v>
      </c>
      <c r="EK124" t="e">
        <f>AND(Sheet1!L1665,"AAAAAFjDvYw=")</f>
        <v>#VALUE!</v>
      </c>
      <c r="EL124" t="e">
        <f>AND(Sheet1!M1665,"AAAAAFjDvY0=")</f>
        <v>#VALUE!</v>
      </c>
      <c r="EM124" t="e">
        <f>AND(Sheet1!N1665,"AAAAAFjDvY4=")</f>
        <v>#VALUE!</v>
      </c>
      <c r="EN124" t="e">
        <f>AND(Sheet1!#REF!,"AAAAAFjDvY8=")</f>
        <v>#REF!</v>
      </c>
      <c r="EO124" t="e">
        <f>AND(Sheet1!#REF!,"AAAAAFjDvZA=")</f>
        <v>#REF!</v>
      </c>
      <c r="EP124" t="e">
        <f>AND(Sheet1!#REF!,"AAAAAFjDvZE=")</f>
        <v>#REF!</v>
      </c>
      <c r="EQ124" t="e">
        <f>AND(Sheet1!#REF!,"AAAAAFjDvZI=")</f>
        <v>#REF!</v>
      </c>
      <c r="ER124">
        <f>IF(Sheet1!1666:1666,"AAAAAFjDvZM=",0)</f>
        <v>0</v>
      </c>
      <c r="ES124" t="e">
        <f>AND(Sheet1!A1666,"AAAAAFjDvZQ=")</f>
        <v>#VALUE!</v>
      </c>
      <c r="ET124" t="e">
        <f>AND(Sheet1!B1666,"AAAAAFjDvZU=")</f>
        <v>#VALUE!</v>
      </c>
      <c r="EU124" t="e">
        <f>AND(Sheet1!C1666,"AAAAAFjDvZY=")</f>
        <v>#VALUE!</v>
      </c>
      <c r="EV124" t="e">
        <f>AND(Sheet1!D1666,"AAAAAFjDvZc=")</f>
        <v>#VALUE!</v>
      </c>
      <c r="EW124" t="e">
        <f>AND(Sheet1!E1666,"AAAAAFjDvZg=")</f>
        <v>#VALUE!</v>
      </c>
      <c r="EX124" t="e">
        <f>AND(Sheet1!F1666,"AAAAAFjDvZk=")</f>
        <v>#VALUE!</v>
      </c>
      <c r="EY124" t="e">
        <f>AND(Sheet1!G1666,"AAAAAFjDvZo=")</f>
        <v>#VALUE!</v>
      </c>
      <c r="EZ124" t="e">
        <f>AND(Sheet1!H1666,"AAAAAFjDvZs=")</f>
        <v>#VALUE!</v>
      </c>
      <c r="FA124" t="e">
        <f>AND(Sheet1!I1666,"AAAAAFjDvZw=")</f>
        <v>#VALUE!</v>
      </c>
      <c r="FB124" t="e">
        <f>AND(Sheet1!J1666,"AAAAAFjDvZ0=")</f>
        <v>#VALUE!</v>
      </c>
      <c r="FC124" t="e">
        <f>AND(Sheet1!K1666,"AAAAAFjDvZ4=")</f>
        <v>#VALUE!</v>
      </c>
      <c r="FD124" t="e">
        <f>AND(Sheet1!L1666,"AAAAAFjDvZ8=")</f>
        <v>#VALUE!</v>
      </c>
      <c r="FE124" t="e">
        <f>AND(Sheet1!M1666,"AAAAAFjDvaA=")</f>
        <v>#VALUE!</v>
      </c>
      <c r="FF124" t="e">
        <f>AND(Sheet1!N1666,"AAAAAFjDvaE=")</f>
        <v>#VALUE!</v>
      </c>
      <c r="FG124" t="e">
        <f>AND(Sheet1!#REF!,"AAAAAFjDvaI=")</f>
        <v>#REF!</v>
      </c>
      <c r="FH124" t="e">
        <f>AND(Sheet1!#REF!,"AAAAAFjDvaM=")</f>
        <v>#REF!</v>
      </c>
      <c r="FI124" t="e">
        <f>AND(Sheet1!#REF!,"AAAAAFjDvaQ=")</f>
        <v>#REF!</v>
      </c>
      <c r="FJ124" t="e">
        <f>AND(Sheet1!#REF!,"AAAAAFjDvaU=")</f>
        <v>#REF!</v>
      </c>
      <c r="FK124">
        <f>IF(Sheet1!1667:1667,"AAAAAFjDvaY=",0)</f>
        <v>0</v>
      </c>
      <c r="FL124" t="e">
        <f>AND(Sheet1!A1667,"AAAAAFjDvac=")</f>
        <v>#VALUE!</v>
      </c>
      <c r="FM124" t="e">
        <f>AND(Sheet1!B1667,"AAAAAFjDvag=")</f>
        <v>#VALUE!</v>
      </c>
      <c r="FN124" t="e">
        <f>AND(Sheet1!C1667,"AAAAAFjDvak=")</f>
        <v>#VALUE!</v>
      </c>
      <c r="FO124" t="e">
        <f>AND(Sheet1!D1667,"AAAAAFjDvao=")</f>
        <v>#VALUE!</v>
      </c>
      <c r="FP124" t="e">
        <f>AND(Sheet1!E1667,"AAAAAFjDvas=")</f>
        <v>#VALUE!</v>
      </c>
      <c r="FQ124" t="e">
        <f>AND(Sheet1!F1667,"AAAAAFjDvaw=")</f>
        <v>#VALUE!</v>
      </c>
      <c r="FR124" t="e">
        <f>AND(Sheet1!G1667,"AAAAAFjDva0=")</f>
        <v>#VALUE!</v>
      </c>
      <c r="FS124" t="e">
        <f>AND(Sheet1!H1667,"AAAAAFjDva4=")</f>
        <v>#VALUE!</v>
      </c>
      <c r="FT124" t="e">
        <f>AND(Sheet1!I1667,"AAAAAFjDva8=")</f>
        <v>#VALUE!</v>
      </c>
      <c r="FU124" t="e">
        <f>AND(Sheet1!J1667,"AAAAAFjDvbA=")</f>
        <v>#VALUE!</v>
      </c>
      <c r="FV124" t="e">
        <f>AND(Sheet1!K1667,"AAAAAFjDvbE=")</f>
        <v>#VALUE!</v>
      </c>
      <c r="FW124" t="e">
        <f>AND(Sheet1!L1667,"AAAAAFjDvbI=")</f>
        <v>#VALUE!</v>
      </c>
      <c r="FX124" t="e">
        <f>AND(Sheet1!M1667,"AAAAAFjDvbM=")</f>
        <v>#VALUE!</v>
      </c>
      <c r="FY124" t="e">
        <f>AND(Sheet1!N1667,"AAAAAFjDvbQ=")</f>
        <v>#VALUE!</v>
      </c>
      <c r="FZ124" t="e">
        <f>AND(Sheet1!#REF!,"AAAAAFjDvbU=")</f>
        <v>#REF!</v>
      </c>
      <c r="GA124" t="e">
        <f>AND(Sheet1!#REF!,"AAAAAFjDvbY=")</f>
        <v>#REF!</v>
      </c>
      <c r="GB124" t="e">
        <f>AND(Sheet1!#REF!,"AAAAAFjDvbc=")</f>
        <v>#REF!</v>
      </c>
      <c r="GC124" t="e">
        <f>AND(Sheet1!#REF!,"AAAAAFjDvbg=")</f>
        <v>#REF!</v>
      </c>
      <c r="GD124">
        <f>IF(Sheet1!1668:1668,"AAAAAFjDvbk=",0)</f>
        <v>0</v>
      </c>
      <c r="GE124" t="e">
        <f>AND(Sheet1!A1668,"AAAAAFjDvbo=")</f>
        <v>#VALUE!</v>
      </c>
      <c r="GF124" t="e">
        <f>AND(Sheet1!B1668,"AAAAAFjDvbs=")</f>
        <v>#VALUE!</v>
      </c>
      <c r="GG124" t="e">
        <f>AND(Sheet1!C1668,"AAAAAFjDvbw=")</f>
        <v>#VALUE!</v>
      </c>
      <c r="GH124" t="e">
        <f>AND(Sheet1!D1668,"AAAAAFjDvb0=")</f>
        <v>#VALUE!</v>
      </c>
      <c r="GI124" t="e">
        <f>AND(Sheet1!E1668,"AAAAAFjDvb4=")</f>
        <v>#VALUE!</v>
      </c>
      <c r="GJ124" t="e">
        <f>AND(Sheet1!F1668,"AAAAAFjDvb8=")</f>
        <v>#VALUE!</v>
      </c>
      <c r="GK124" t="e">
        <f>AND(Sheet1!G1668,"AAAAAFjDvcA=")</f>
        <v>#VALUE!</v>
      </c>
      <c r="GL124" t="e">
        <f>AND(Sheet1!H1668,"AAAAAFjDvcE=")</f>
        <v>#VALUE!</v>
      </c>
      <c r="GM124" t="e">
        <f>AND(Sheet1!I1668,"AAAAAFjDvcI=")</f>
        <v>#VALUE!</v>
      </c>
      <c r="GN124" t="e">
        <f>AND(Sheet1!J1668,"AAAAAFjDvcM=")</f>
        <v>#VALUE!</v>
      </c>
      <c r="GO124" t="e">
        <f>AND(Sheet1!K1668,"AAAAAFjDvcQ=")</f>
        <v>#VALUE!</v>
      </c>
      <c r="GP124" t="e">
        <f>AND(Sheet1!L1668,"AAAAAFjDvcU=")</f>
        <v>#VALUE!</v>
      </c>
      <c r="GQ124" t="e">
        <f>AND(Sheet1!M1668,"AAAAAFjDvcY=")</f>
        <v>#VALUE!</v>
      </c>
      <c r="GR124" t="e">
        <f>AND(Sheet1!N1668,"AAAAAFjDvcc=")</f>
        <v>#VALUE!</v>
      </c>
      <c r="GS124" t="e">
        <f>AND(Sheet1!#REF!,"AAAAAFjDvcg=")</f>
        <v>#REF!</v>
      </c>
      <c r="GT124" t="e">
        <f>AND(Sheet1!#REF!,"AAAAAFjDvck=")</f>
        <v>#REF!</v>
      </c>
      <c r="GU124" t="e">
        <f>AND(Sheet1!#REF!,"AAAAAFjDvco=")</f>
        <v>#REF!</v>
      </c>
      <c r="GV124" t="e">
        <f>AND(Sheet1!#REF!,"AAAAAFjDvcs=")</f>
        <v>#REF!</v>
      </c>
      <c r="GW124">
        <f>IF(Sheet1!1669:1669,"AAAAAFjDvcw=",0)</f>
        <v>0</v>
      </c>
      <c r="GX124" t="e">
        <f>AND(Sheet1!A1669,"AAAAAFjDvc0=")</f>
        <v>#VALUE!</v>
      </c>
      <c r="GY124" t="e">
        <f>AND(Sheet1!B1669,"AAAAAFjDvc4=")</f>
        <v>#VALUE!</v>
      </c>
      <c r="GZ124" t="e">
        <f>AND(Sheet1!C1669,"AAAAAFjDvc8=")</f>
        <v>#VALUE!</v>
      </c>
      <c r="HA124" t="e">
        <f>AND(Sheet1!D1669,"AAAAAFjDvdA=")</f>
        <v>#VALUE!</v>
      </c>
      <c r="HB124" t="e">
        <f>AND(Sheet1!E1669,"AAAAAFjDvdE=")</f>
        <v>#VALUE!</v>
      </c>
      <c r="HC124" t="e">
        <f>AND(Sheet1!F1669,"AAAAAFjDvdI=")</f>
        <v>#VALUE!</v>
      </c>
      <c r="HD124" t="e">
        <f>AND(Sheet1!G1669,"AAAAAFjDvdM=")</f>
        <v>#VALUE!</v>
      </c>
      <c r="HE124" t="e">
        <f>AND(Sheet1!H1669,"AAAAAFjDvdQ=")</f>
        <v>#VALUE!</v>
      </c>
      <c r="HF124" t="e">
        <f>AND(Sheet1!I1669,"AAAAAFjDvdU=")</f>
        <v>#VALUE!</v>
      </c>
      <c r="HG124" t="e">
        <f>AND(Sheet1!J1669,"AAAAAFjDvdY=")</f>
        <v>#VALUE!</v>
      </c>
      <c r="HH124" t="e">
        <f>AND(Sheet1!K1669,"AAAAAFjDvdc=")</f>
        <v>#VALUE!</v>
      </c>
      <c r="HI124" t="e">
        <f>AND(Sheet1!L1669,"AAAAAFjDvdg=")</f>
        <v>#VALUE!</v>
      </c>
      <c r="HJ124" t="e">
        <f>AND(Sheet1!M1669,"AAAAAFjDvdk=")</f>
        <v>#VALUE!</v>
      </c>
      <c r="HK124" t="e">
        <f>AND(Sheet1!N1669,"AAAAAFjDvdo=")</f>
        <v>#VALUE!</v>
      </c>
      <c r="HL124" t="e">
        <f>AND(Sheet1!#REF!,"AAAAAFjDvds=")</f>
        <v>#REF!</v>
      </c>
      <c r="HM124" t="e">
        <f>AND(Sheet1!#REF!,"AAAAAFjDvdw=")</f>
        <v>#REF!</v>
      </c>
      <c r="HN124" t="e">
        <f>AND(Sheet1!#REF!,"AAAAAFjDvd0=")</f>
        <v>#REF!</v>
      </c>
      <c r="HO124" t="e">
        <f>AND(Sheet1!#REF!,"AAAAAFjDvd4=")</f>
        <v>#REF!</v>
      </c>
      <c r="HP124">
        <f>IF(Sheet1!1670:1670,"AAAAAFjDvd8=",0)</f>
        <v>0</v>
      </c>
      <c r="HQ124" t="e">
        <f>AND(Sheet1!A1670,"AAAAAFjDveA=")</f>
        <v>#VALUE!</v>
      </c>
      <c r="HR124" t="e">
        <f>AND(Sheet1!B1670,"AAAAAFjDveE=")</f>
        <v>#VALUE!</v>
      </c>
      <c r="HS124" t="e">
        <f>AND(Sheet1!C1670,"AAAAAFjDveI=")</f>
        <v>#VALUE!</v>
      </c>
      <c r="HT124" t="e">
        <f>AND(Sheet1!D1670,"AAAAAFjDveM=")</f>
        <v>#VALUE!</v>
      </c>
      <c r="HU124" t="e">
        <f>AND(Sheet1!E1670,"AAAAAFjDveQ=")</f>
        <v>#VALUE!</v>
      </c>
      <c r="HV124" t="e">
        <f>AND(Sheet1!F1670,"AAAAAFjDveU=")</f>
        <v>#VALUE!</v>
      </c>
      <c r="HW124" t="e">
        <f>AND(Sheet1!G1670,"AAAAAFjDveY=")</f>
        <v>#VALUE!</v>
      </c>
      <c r="HX124" t="e">
        <f>AND(Sheet1!H1670,"AAAAAFjDvec=")</f>
        <v>#VALUE!</v>
      </c>
      <c r="HY124" t="e">
        <f>AND(Sheet1!I1670,"AAAAAFjDveg=")</f>
        <v>#VALUE!</v>
      </c>
      <c r="HZ124" t="e">
        <f>AND(Sheet1!J1670,"AAAAAFjDvek=")</f>
        <v>#VALUE!</v>
      </c>
      <c r="IA124" t="e">
        <f>AND(Sheet1!K1670,"AAAAAFjDveo=")</f>
        <v>#VALUE!</v>
      </c>
      <c r="IB124" t="e">
        <f>AND(Sheet1!L1670,"AAAAAFjDves=")</f>
        <v>#VALUE!</v>
      </c>
      <c r="IC124" t="e">
        <f>AND(Sheet1!M1670,"AAAAAFjDvew=")</f>
        <v>#VALUE!</v>
      </c>
      <c r="ID124" t="e">
        <f>AND(Sheet1!N1670,"AAAAAFjDve0=")</f>
        <v>#VALUE!</v>
      </c>
      <c r="IE124" t="e">
        <f>AND(Sheet1!#REF!,"AAAAAFjDve4=")</f>
        <v>#REF!</v>
      </c>
      <c r="IF124" t="e">
        <f>AND(Sheet1!#REF!,"AAAAAFjDve8=")</f>
        <v>#REF!</v>
      </c>
      <c r="IG124" t="e">
        <f>AND(Sheet1!#REF!,"AAAAAFjDvfA=")</f>
        <v>#REF!</v>
      </c>
      <c r="IH124" t="e">
        <f>AND(Sheet1!#REF!,"AAAAAFjDvfE=")</f>
        <v>#REF!</v>
      </c>
      <c r="II124">
        <f>IF(Sheet1!1671:1671,"AAAAAFjDvfI=",0)</f>
        <v>0</v>
      </c>
      <c r="IJ124" t="e">
        <f>AND(Sheet1!A1671,"AAAAAFjDvfM=")</f>
        <v>#VALUE!</v>
      </c>
      <c r="IK124" t="e">
        <f>AND(Sheet1!B1671,"AAAAAFjDvfQ=")</f>
        <v>#VALUE!</v>
      </c>
      <c r="IL124" t="e">
        <f>AND(Sheet1!C1671,"AAAAAFjDvfU=")</f>
        <v>#VALUE!</v>
      </c>
      <c r="IM124" t="e">
        <f>AND(Sheet1!D1671,"AAAAAFjDvfY=")</f>
        <v>#VALUE!</v>
      </c>
      <c r="IN124" t="e">
        <f>AND(Sheet1!E1671,"AAAAAFjDvfc=")</f>
        <v>#VALUE!</v>
      </c>
      <c r="IO124" t="e">
        <f>AND(Sheet1!F1671,"AAAAAFjDvfg=")</f>
        <v>#VALUE!</v>
      </c>
      <c r="IP124" t="e">
        <f>AND(Sheet1!G1671,"AAAAAFjDvfk=")</f>
        <v>#VALUE!</v>
      </c>
      <c r="IQ124" t="e">
        <f>AND(Sheet1!H1671,"AAAAAFjDvfo=")</f>
        <v>#VALUE!</v>
      </c>
      <c r="IR124" t="e">
        <f>AND(Sheet1!I1671,"AAAAAFjDvfs=")</f>
        <v>#VALUE!</v>
      </c>
      <c r="IS124" t="e">
        <f>AND(Sheet1!J1671,"AAAAAFjDvfw=")</f>
        <v>#VALUE!</v>
      </c>
      <c r="IT124" t="e">
        <f>AND(Sheet1!K1671,"AAAAAFjDvf0=")</f>
        <v>#VALUE!</v>
      </c>
      <c r="IU124" t="e">
        <f>AND(Sheet1!L1671,"AAAAAFjDvf4=")</f>
        <v>#VALUE!</v>
      </c>
      <c r="IV124" t="e">
        <f>AND(Sheet1!M1671,"AAAAAFjDvf8=")</f>
        <v>#VALUE!</v>
      </c>
    </row>
    <row r="125" spans="1:256" x14ac:dyDescent="0.2">
      <c r="A125" t="e">
        <f>AND(Sheet1!N1671,"AAAAAC06/QA=")</f>
        <v>#VALUE!</v>
      </c>
      <c r="B125" t="e">
        <f>AND(Sheet1!#REF!,"AAAAAC06/QE=")</f>
        <v>#REF!</v>
      </c>
      <c r="C125" t="e">
        <f>AND(Sheet1!#REF!,"AAAAAC06/QI=")</f>
        <v>#REF!</v>
      </c>
      <c r="D125" t="e">
        <f>AND(Sheet1!#REF!,"AAAAAC06/QM=")</f>
        <v>#REF!</v>
      </c>
      <c r="E125" t="e">
        <f>AND(Sheet1!#REF!,"AAAAAC06/QQ=")</f>
        <v>#REF!</v>
      </c>
      <c r="F125" t="e">
        <f>IF(Sheet1!1672:1672,"AAAAAC06/QU=",0)</f>
        <v>#VALUE!</v>
      </c>
      <c r="G125" t="e">
        <f>AND(Sheet1!A1672,"AAAAAC06/QY=")</f>
        <v>#VALUE!</v>
      </c>
      <c r="H125" t="e">
        <f>AND(Sheet1!B1672,"AAAAAC06/Qc=")</f>
        <v>#VALUE!</v>
      </c>
      <c r="I125" t="e">
        <f>AND(Sheet1!C1672,"AAAAAC06/Qg=")</f>
        <v>#VALUE!</v>
      </c>
      <c r="J125" t="e">
        <f>AND(Sheet1!D1672,"AAAAAC06/Qk=")</f>
        <v>#VALUE!</v>
      </c>
      <c r="K125" t="e">
        <f>AND(Sheet1!E1672,"AAAAAC06/Qo=")</f>
        <v>#VALUE!</v>
      </c>
      <c r="L125" t="e">
        <f>AND(Sheet1!F1672,"AAAAAC06/Qs=")</f>
        <v>#VALUE!</v>
      </c>
      <c r="M125" t="e">
        <f>AND(Sheet1!G1672,"AAAAAC06/Qw=")</f>
        <v>#VALUE!</v>
      </c>
      <c r="N125" t="e">
        <f>AND(Sheet1!H1672,"AAAAAC06/Q0=")</f>
        <v>#VALUE!</v>
      </c>
      <c r="O125" t="e">
        <f>AND(Sheet1!I1672,"AAAAAC06/Q4=")</f>
        <v>#VALUE!</v>
      </c>
      <c r="P125" t="e">
        <f>AND(Sheet1!J1672,"AAAAAC06/Q8=")</f>
        <v>#VALUE!</v>
      </c>
      <c r="Q125" t="e">
        <f>AND(Sheet1!K1672,"AAAAAC06/RA=")</f>
        <v>#VALUE!</v>
      </c>
      <c r="R125" t="e">
        <f>AND(Sheet1!L1672,"AAAAAC06/RE=")</f>
        <v>#VALUE!</v>
      </c>
      <c r="S125" t="e">
        <f>AND(Sheet1!M1672,"AAAAAC06/RI=")</f>
        <v>#VALUE!</v>
      </c>
      <c r="T125" t="e">
        <f>AND(Sheet1!N1672,"AAAAAC06/RM=")</f>
        <v>#VALUE!</v>
      </c>
      <c r="U125" t="e">
        <f>AND(Sheet1!#REF!,"AAAAAC06/RQ=")</f>
        <v>#REF!</v>
      </c>
      <c r="V125" t="e">
        <f>AND(Sheet1!#REF!,"AAAAAC06/RU=")</f>
        <v>#REF!</v>
      </c>
      <c r="W125" t="e">
        <f>AND(Sheet1!#REF!,"AAAAAC06/RY=")</f>
        <v>#REF!</v>
      </c>
      <c r="X125" t="e">
        <f>AND(Sheet1!#REF!,"AAAAAC06/Rc=")</f>
        <v>#REF!</v>
      </c>
      <c r="Y125">
        <f>IF(Sheet1!1673:1673,"AAAAAC06/Rg=",0)</f>
        <v>0</v>
      </c>
      <c r="Z125" t="e">
        <f>AND(Sheet1!A1673,"AAAAAC06/Rk=")</f>
        <v>#VALUE!</v>
      </c>
      <c r="AA125" t="e">
        <f>AND(Sheet1!B1673,"AAAAAC06/Ro=")</f>
        <v>#VALUE!</v>
      </c>
      <c r="AB125" t="e">
        <f>AND(Sheet1!C1673,"AAAAAC06/Rs=")</f>
        <v>#VALUE!</v>
      </c>
      <c r="AC125" t="e">
        <f>AND(Sheet1!D1673,"AAAAAC06/Rw=")</f>
        <v>#VALUE!</v>
      </c>
      <c r="AD125" t="e">
        <f>AND(Sheet1!E1673,"AAAAAC06/R0=")</f>
        <v>#VALUE!</v>
      </c>
      <c r="AE125" t="e">
        <f>AND(Sheet1!F1673,"AAAAAC06/R4=")</f>
        <v>#VALUE!</v>
      </c>
      <c r="AF125" t="e">
        <f>AND(Sheet1!G1673,"AAAAAC06/R8=")</f>
        <v>#VALUE!</v>
      </c>
      <c r="AG125" t="e">
        <f>AND(Sheet1!H1673,"AAAAAC06/SA=")</f>
        <v>#VALUE!</v>
      </c>
      <c r="AH125" t="e">
        <f>AND(Sheet1!I1673,"AAAAAC06/SE=")</f>
        <v>#VALUE!</v>
      </c>
      <c r="AI125" t="e">
        <f>AND(Sheet1!J1673,"AAAAAC06/SI=")</f>
        <v>#VALUE!</v>
      </c>
      <c r="AJ125" t="e">
        <f>AND(Sheet1!K1673,"AAAAAC06/SM=")</f>
        <v>#VALUE!</v>
      </c>
      <c r="AK125" t="e">
        <f>AND(Sheet1!L1673,"AAAAAC06/SQ=")</f>
        <v>#VALUE!</v>
      </c>
      <c r="AL125" t="e">
        <f>AND(Sheet1!M1673,"AAAAAC06/SU=")</f>
        <v>#VALUE!</v>
      </c>
      <c r="AM125" t="e">
        <f>AND(Sheet1!N1673,"AAAAAC06/SY=")</f>
        <v>#VALUE!</v>
      </c>
      <c r="AN125" t="e">
        <f>AND(Sheet1!#REF!,"AAAAAC06/Sc=")</f>
        <v>#REF!</v>
      </c>
      <c r="AO125" t="e">
        <f>AND(Sheet1!#REF!,"AAAAAC06/Sg=")</f>
        <v>#REF!</v>
      </c>
      <c r="AP125" t="e">
        <f>AND(Sheet1!#REF!,"AAAAAC06/Sk=")</f>
        <v>#REF!</v>
      </c>
      <c r="AQ125" t="e">
        <f>AND(Sheet1!#REF!,"AAAAAC06/So=")</f>
        <v>#REF!</v>
      </c>
      <c r="AR125">
        <f>IF(Sheet1!1674:1674,"AAAAAC06/Ss=",0)</f>
        <v>0</v>
      </c>
      <c r="AS125" t="e">
        <f>AND(Sheet1!A1674,"AAAAAC06/Sw=")</f>
        <v>#VALUE!</v>
      </c>
      <c r="AT125" t="e">
        <f>AND(Sheet1!B1674,"AAAAAC06/S0=")</f>
        <v>#VALUE!</v>
      </c>
      <c r="AU125" t="e">
        <f>AND(Sheet1!C1674,"AAAAAC06/S4=")</f>
        <v>#VALUE!</v>
      </c>
      <c r="AV125" t="e">
        <f>AND(Sheet1!D1674,"AAAAAC06/S8=")</f>
        <v>#VALUE!</v>
      </c>
      <c r="AW125" t="e">
        <f>AND(Sheet1!E1674,"AAAAAC06/TA=")</f>
        <v>#VALUE!</v>
      </c>
      <c r="AX125" t="e">
        <f>AND(Sheet1!F1674,"AAAAAC06/TE=")</f>
        <v>#VALUE!</v>
      </c>
      <c r="AY125" t="e">
        <f>AND(Sheet1!G1674,"AAAAAC06/TI=")</f>
        <v>#VALUE!</v>
      </c>
      <c r="AZ125" t="e">
        <f>AND(Sheet1!H1674,"AAAAAC06/TM=")</f>
        <v>#VALUE!</v>
      </c>
      <c r="BA125" t="e">
        <f>AND(Sheet1!I1674,"AAAAAC06/TQ=")</f>
        <v>#VALUE!</v>
      </c>
      <c r="BB125" t="e">
        <f>AND(Sheet1!J1674,"AAAAAC06/TU=")</f>
        <v>#VALUE!</v>
      </c>
      <c r="BC125" t="e">
        <f>AND(Sheet1!K1674,"AAAAAC06/TY=")</f>
        <v>#VALUE!</v>
      </c>
      <c r="BD125" t="e">
        <f>AND(Sheet1!L1674,"AAAAAC06/Tc=")</f>
        <v>#VALUE!</v>
      </c>
      <c r="BE125" t="e">
        <f>AND(Sheet1!M1674,"AAAAAC06/Tg=")</f>
        <v>#VALUE!</v>
      </c>
      <c r="BF125" t="e">
        <f>AND(Sheet1!N1674,"AAAAAC06/Tk=")</f>
        <v>#VALUE!</v>
      </c>
      <c r="BG125" t="e">
        <f>AND(Sheet1!#REF!,"AAAAAC06/To=")</f>
        <v>#REF!</v>
      </c>
      <c r="BH125" t="e">
        <f>AND(Sheet1!#REF!,"AAAAAC06/Ts=")</f>
        <v>#REF!</v>
      </c>
      <c r="BI125" t="e">
        <f>AND(Sheet1!#REF!,"AAAAAC06/Tw=")</f>
        <v>#REF!</v>
      </c>
      <c r="BJ125" t="e">
        <f>AND(Sheet1!#REF!,"AAAAAC06/T0=")</f>
        <v>#REF!</v>
      </c>
      <c r="BK125">
        <f>IF(Sheet1!1675:1675,"AAAAAC06/T4=",0)</f>
        <v>0</v>
      </c>
      <c r="BL125" t="e">
        <f>AND(Sheet1!A1675,"AAAAAC06/T8=")</f>
        <v>#VALUE!</v>
      </c>
      <c r="BM125" t="e">
        <f>AND(Sheet1!B1675,"AAAAAC06/UA=")</f>
        <v>#VALUE!</v>
      </c>
      <c r="BN125" t="e">
        <f>AND(Sheet1!C1675,"AAAAAC06/UE=")</f>
        <v>#VALUE!</v>
      </c>
      <c r="BO125" t="e">
        <f>AND(Sheet1!D1675,"AAAAAC06/UI=")</f>
        <v>#VALUE!</v>
      </c>
      <c r="BP125" t="e">
        <f>AND(Sheet1!E1675,"AAAAAC06/UM=")</f>
        <v>#VALUE!</v>
      </c>
      <c r="BQ125" t="e">
        <f>AND(Sheet1!F1675,"AAAAAC06/UQ=")</f>
        <v>#VALUE!</v>
      </c>
      <c r="BR125" t="e">
        <f>AND(Sheet1!G1675,"AAAAAC06/UU=")</f>
        <v>#VALUE!</v>
      </c>
      <c r="BS125" t="e">
        <f>AND(Sheet1!H1675,"AAAAAC06/UY=")</f>
        <v>#VALUE!</v>
      </c>
      <c r="BT125" t="e">
        <f>AND(Sheet1!I1675,"AAAAAC06/Uc=")</f>
        <v>#VALUE!</v>
      </c>
      <c r="BU125" t="e">
        <f>AND(Sheet1!J1675,"AAAAAC06/Ug=")</f>
        <v>#VALUE!</v>
      </c>
      <c r="BV125" t="e">
        <f>AND(Sheet1!K1675,"AAAAAC06/Uk=")</f>
        <v>#VALUE!</v>
      </c>
      <c r="BW125" t="e">
        <f>AND(Sheet1!L1675,"AAAAAC06/Uo=")</f>
        <v>#VALUE!</v>
      </c>
      <c r="BX125" t="e">
        <f>AND(Sheet1!M1675,"AAAAAC06/Us=")</f>
        <v>#VALUE!</v>
      </c>
      <c r="BY125" t="e">
        <f>AND(Sheet1!N1675,"AAAAAC06/Uw=")</f>
        <v>#VALUE!</v>
      </c>
      <c r="BZ125" t="e">
        <f>AND(Sheet1!#REF!,"AAAAAC06/U0=")</f>
        <v>#REF!</v>
      </c>
      <c r="CA125" t="e">
        <f>AND(Sheet1!#REF!,"AAAAAC06/U4=")</f>
        <v>#REF!</v>
      </c>
      <c r="CB125" t="e">
        <f>AND(Sheet1!#REF!,"AAAAAC06/U8=")</f>
        <v>#REF!</v>
      </c>
      <c r="CC125" t="e">
        <f>AND(Sheet1!#REF!,"AAAAAC06/VA=")</f>
        <v>#REF!</v>
      </c>
      <c r="CD125">
        <f>IF(Sheet1!1676:1676,"AAAAAC06/VE=",0)</f>
        <v>0</v>
      </c>
      <c r="CE125" t="e">
        <f>AND(Sheet1!A1676,"AAAAAC06/VI=")</f>
        <v>#VALUE!</v>
      </c>
      <c r="CF125" t="e">
        <f>AND(Sheet1!B1676,"AAAAAC06/VM=")</f>
        <v>#VALUE!</v>
      </c>
      <c r="CG125" t="e">
        <f>AND(Sheet1!C1676,"AAAAAC06/VQ=")</f>
        <v>#VALUE!</v>
      </c>
      <c r="CH125" t="e">
        <f>AND(Sheet1!D1676,"AAAAAC06/VU=")</f>
        <v>#VALUE!</v>
      </c>
      <c r="CI125" t="e">
        <f>AND(Sheet1!E1676,"AAAAAC06/VY=")</f>
        <v>#VALUE!</v>
      </c>
      <c r="CJ125" t="e">
        <f>AND(Sheet1!F1676,"AAAAAC06/Vc=")</f>
        <v>#VALUE!</v>
      </c>
      <c r="CK125" t="e">
        <f>AND(Sheet1!G1676,"AAAAAC06/Vg=")</f>
        <v>#VALUE!</v>
      </c>
      <c r="CL125" t="e">
        <f>AND(Sheet1!H1676,"AAAAAC06/Vk=")</f>
        <v>#VALUE!</v>
      </c>
      <c r="CM125" t="e">
        <f>AND(Sheet1!I1676,"AAAAAC06/Vo=")</f>
        <v>#VALUE!</v>
      </c>
      <c r="CN125" t="e">
        <f>AND(Sheet1!J1676,"AAAAAC06/Vs=")</f>
        <v>#VALUE!</v>
      </c>
      <c r="CO125" t="e">
        <f>AND(Sheet1!K1676,"AAAAAC06/Vw=")</f>
        <v>#VALUE!</v>
      </c>
      <c r="CP125" t="e">
        <f>AND(Sheet1!L1676,"AAAAAC06/V0=")</f>
        <v>#VALUE!</v>
      </c>
      <c r="CQ125" t="e">
        <f>AND(Sheet1!M1676,"AAAAAC06/V4=")</f>
        <v>#VALUE!</v>
      </c>
      <c r="CR125" t="e">
        <f>AND(Sheet1!N1676,"AAAAAC06/V8=")</f>
        <v>#VALUE!</v>
      </c>
      <c r="CS125" t="e">
        <f>AND(Sheet1!#REF!,"AAAAAC06/WA=")</f>
        <v>#REF!</v>
      </c>
      <c r="CT125" t="e">
        <f>AND(Sheet1!#REF!,"AAAAAC06/WE=")</f>
        <v>#REF!</v>
      </c>
      <c r="CU125" t="e">
        <f>AND(Sheet1!#REF!,"AAAAAC06/WI=")</f>
        <v>#REF!</v>
      </c>
      <c r="CV125" t="e">
        <f>AND(Sheet1!#REF!,"AAAAAC06/WM=")</f>
        <v>#REF!</v>
      </c>
      <c r="CW125">
        <f>IF(Sheet1!1677:1677,"AAAAAC06/WQ=",0)</f>
        <v>0</v>
      </c>
      <c r="CX125" t="e">
        <f>AND(Sheet1!A1677,"AAAAAC06/WU=")</f>
        <v>#VALUE!</v>
      </c>
      <c r="CY125" t="e">
        <f>AND(Sheet1!B1677,"AAAAAC06/WY=")</f>
        <v>#VALUE!</v>
      </c>
      <c r="CZ125" t="e">
        <f>AND(Sheet1!C1677,"AAAAAC06/Wc=")</f>
        <v>#VALUE!</v>
      </c>
      <c r="DA125" t="e">
        <f>AND(Sheet1!D1677,"AAAAAC06/Wg=")</f>
        <v>#VALUE!</v>
      </c>
      <c r="DB125" t="e">
        <f>AND(Sheet1!E1677,"AAAAAC06/Wk=")</f>
        <v>#VALUE!</v>
      </c>
      <c r="DC125" t="e">
        <f>AND(Sheet1!F1677,"AAAAAC06/Wo=")</f>
        <v>#VALUE!</v>
      </c>
      <c r="DD125" t="e">
        <f>AND(Sheet1!G1677,"AAAAAC06/Ws=")</f>
        <v>#VALUE!</v>
      </c>
      <c r="DE125" t="e">
        <f>AND(Sheet1!H1677,"AAAAAC06/Ww=")</f>
        <v>#VALUE!</v>
      </c>
      <c r="DF125" t="e">
        <f>AND(Sheet1!I1677,"AAAAAC06/W0=")</f>
        <v>#VALUE!</v>
      </c>
      <c r="DG125" t="e">
        <f>AND(Sheet1!J1677,"AAAAAC06/W4=")</f>
        <v>#VALUE!</v>
      </c>
      <c r="DH125" t="e">
        <f>AND(Sheet1!K1677,"AAAAAC06/W8=")</f>
        <v>#VALUE!</v>
      </c>
      <c r="DI125" t="e">
        <f>AND(Sheet1!L1677,"AAAAAC06/XA=")</f>
        <v>#VALUE!</v>
      </c>
      <c r="DJ125" t="e">
        <f>AND(Sheet1!M1677,"AAAAAC06/XE=")</f>
        <v>#VALUE!</v>
      </c>
      <c r="DK125" t="e">
        <f>AND(Sheet1!N1677,"AAAAAC06/XI=")</f>
        <v>#VALUE!</v>
      </c>
      <c r="DL125" t="e">
        <f>AND(Sheet1!#REF!,"AAAAAC06/XM=")</f>
        <v>#REF!</v>
      </c>
      <c r="DM125" t="e">
        <f>AND(Sheet1!#REF!,"AAAAAC06/XQ=")</f>
        <v>#REF!</v>
      </c>
      <c r="DN125" t="e">
        <f>AND(Sheet1!#REF!,"AAAAAC06/XU=")</f>
        <v>#REF!</v>
      </c>
      <c r="DO125" t="e">
        <f>AND(Sheet1!#REF!,"AAAAAC06/XY=")</f>
        <v>#REF!</v>
      </c>
      <c r="DP125">
        <f>IF(Sheet1!1678:1678,"AAAAAC06/Xc=",0)</f>
        <v>0</v>
      </c>
      <c r="DQ125" t="e">
        <f>AND(Sheet1!A1678,"AAAAAC06/Xg=")</f>
        <v>#VALUE!</v>
      </c>
      <c r="DR125" t="e">
        <f>AND(Sheet1!B1678,"AAAAAC06/Xk=")</f>
        <v>#VALUE!</v>
      </c>
      <c r="DS125" t="e">
        <f>AND(Sheet1!C1678,"AAAAAC06/Xo=")</f>
        <v>#VALUE!</v>
      </c>
      <c r="DT125" t="e">
        <f>AND(Sheet1!D1678,"AAAAAC06/Xs=")</f>
        <v>#VALUE!</v>
      </c>
      <c r="DU125" t="e">
        <f>AND(Sheet1!E1678,"AAAAAC06/Xw=")</f>
        <v>#VALUE!</v>
      </c>
      <c r="DV125" t="e">
        <f>AND(Sheet1!F1678,"AAAAAC06/X0=")</f>
        <v>#VALUE!</v>
      </c>
      <c r="DW125" t="e">
        <f>AND(Sheet1!G1678,"AAAAAC06/X4=")</f>
        <v>#VALUE!</v>
      </c>
      <c r="DX125" t="e">
        <f>AND(Sheet1!H1678,"AAAAAC06/X8=")</f>
        <v>#VALUE!</v>
      </c>
      <c r="DY125" t="e">
        <f>AND(Sheet1!I1678,"AAAAAC06/YA=")</f>
        <v>#VALUE!</v>
      </c>
      <c r="DZ125" t="e">
        <f>AND(Sheet1!J1678,"AAAAAC06/YE=")</f>
        <v>#VALUE!</v>
      </c>
      <c r="EA125" t="e">
        <f>AND(Sheet1!K1678,"AAAAAC06/YI=")</f>
        <v>#VALUE!</v>
      </c>
      <c r="EB125" t="e">
        <f>AND(Sheet1!L1678,"AAAAAC06/YM=")</f>
        <v>#VALUE!</v>
      </c>
      <c r="EC125" t="e">
        <f>AND(Sheet1!M1678,"AAAAAC06/YQ=")</f>
        <v>#VALUE!</v>
      </c>
      <c r="ED125" t="e">
        <f>AND(Sheet1!N1678,"AAAAAC06/YU=")</f>
        <v>#VALUE!</v>
      </c>
      <c r="EE125" t="e">
        <f>AND(Sheet1!#REF!,"AAAAAC06/YY=")</f>
        <v>#REF!</v>
      </c>
      <c r="EF125" t="e">
        <f>AND(Sheet1!#REF!,"AAAAAC06/Yc=")</f>
        <v>#REF!</v>
      </c>
      <c r="EG125" t="e">
        <f>AND(Sheet1!#REF!,"AAAAAC06/Yg=")</f>
        <v>#REF!</v>
      </c>
      <c r="EH125" t="e">
        <f>AND(Sheet1!#REF!,"AAAAAC06/Yk=")</f>
        <v>#REF!</v>
      </c>
      <c r="EI125">
        <f>IF(Sheet1!1679:1679,"AAAAAC06/Yo=",0)</f>
        <v>0</v>
      </c>
      <c r="EJ125" t="e">
        <f>AND(Sheet1!A1679,"AAAAAC06/Ys=")</f>
        <v>#VALUE!</v>
      </c>
      <c r="EK125" t="e">
        <f>AND(Sheet1!B1679,"AAAAAC06/Yw=")</f>
        <v>#VALUE!</v>
      </c>
      <c r="EL125" t="e">
        <f>AND(Sheet1!C1679,"AAAAAC06/Y0=")</f>
        <v>#VALUE!</v>
      </c>
      <c r="EM125" t="e">
        <f>AND(Sheet1!D1679,"AAAAAC06/Y4=")</f>
        <v>#VALUE!</v>
      </c>
      <c r="EN125" t="e">
        <f>AND(Sheet1!E1679,"AAAAAC06/Y8=")</f>
        <v>#VALUE!</v>
      </c>
      <c r="EO125" t="e">
        <f>AND(Sheet1!F1679,"AAAAAC06/ZA=")</f>
        <v>#VALUE!</v>
      </c>
      <c r="EP125" t="e">
        <f>AND(Sheet1!G1679,"AAAAAC06/ZE=")</f>
        <v>#VALUE!</v>
      </c>
      <c r="EQ125" t="e">
        <f>AND(Sheet1!H1679,"AAAAAC06/ZI=")</f>
        <v>#VALUE!</v>
      </c>
      <c r="ER125" t="e">
        <f>AND(Sheet1!I1679,"AAAAAC06/ZM=")</f>
        <v>#VALUE!</v>
      </c>
      <c r="ES125" t="e">
        <f>AND(Sheet1!J1679,"AAAAAC06/ZQ=")</f>
        <v>#VALUE!</v>
      </c>
      <c r="ET125" t="e">
        <f>AND(Sheet1!K1679,"AAAAAC06/ZU=")</f>
        <v>#VALUE!</v>
      </c>
      <c r="EU125" t="e">
        <f>AND(Sheet1!L1679,"AAAAAC06/ZY=")</f>
        <v>#VALUE!</v>
      </c>
      <c r="EV125" t="e">
        <f>AND(Sheet1!M1679,"AAAAAC06/Zc=")</f>
        <v>#VALUE!</v>
      </c>
      <c r="EW125" t="e">
        <f>AND(Sheet1!N1679,"AAAAAC06/Zg=")</f>
        <v>#VALUE!</v>
      </c>
      <c r="EX125" t="e">
        <f>AND(Sheet1!#REF!,"AAAAAC06/Zk=")</f>
        <v>#REF!</v>
      </c>
      <c r="EY125" t="e">
        <f>AND(Sheet1!#REF!,"AAAAAC06/Zo=")</f>
        <v>#REF!</v>
      </c>
      <c r="EZ125" t="e">
        <f>AND(Sheet1!#REF!,"AAAAAC06/Zs=")</f>
        <v>#REF!</v>
      </c>
      <c r="FA125" t="e">
        <f>AND(Sheet1!#REF!,"AAAAAC06/Zw=")</f>
        <v>#REF!</v>
      </c>
      <c r="FB125">
        <f>IF(Sheet1!1680:1680,"AAAAAC06/Z0=",0)</f>
        <v>0</v>
      </c>
      <c r="FC125" t="e">
        <f>AND(Sheet1!A1680,"AAAAAC06/Z4=")</f>
        <v>#VALUE!</v>
      </c>
      <c r="FD125" t="e">
        <f>AND(Sheet1!B1680,"AAAAAC06/Z8=")</f>
        <v>#VALUE!</v>
      </c>
      <c r="FE125" t="e">
        <f>AND(Sheet1!C1680,"AAAAAC06/aA=")</f>
        <v>#VALUE!</v>
      </c>
      <c r="FF125" t="e">
        <f>AND(Sheet1!D1680,"AAAAAC06/aE=")</f>
        <v>#VALUE!</v>
      </c>
      <c r="FG125" t="e">
        <f>AND(Sheet1!E1680,"AAAAAC06/aI=")</f>
        <v>#VALUE!</v>
      </c>
      <c r="FH125" t="e">
        <f>AND(Sheet1!F1680,"AAAAAC06/aM=")</f>
        <v>#VALUE!</v>
      </c>
      <c r="FI125" t="e">
        <f>AND(Sheet1!G1680,"AAAAAC06/aQ=")</f>
        <v>#VALUE!</v>
      </c>
      <c r="FJ125" t="e">
        <f>AND(Sheet1!H1680,"AAAAAC06/aU=")</f>
        <v>#VALUE!</v>
      </c>
      <c r="FK125" t="e">
        <f>AND(Sheet1!I1680,"AAAAAC06/aY=")</f>
        <v>#VALUE!</v>
      </c>
      <c r="FL125" t="e">
        <f>AND(Sheet1!J1680,"AAAAAC06/ac=")</f>
        <v>#VALUE!</v>
      </c>
      <c r="FM125" t="e">
        <f>AND(Sheet1!K1680,"AAAAAC06/ag=")</f>
        <v>#VALUE!</v>
      </c>
      <c r="FN125" t="e">
        <f>AND(Sheet1!L1680,"AAAAAC06/ak=")</f>
        <v>#VALUE!</v>
      </c>
      <c r="FO125" t="e">
        <f>AND(Sheet1!M1680,"AAAAAC06/ao=")</f>
        <v>#VALUE!</v>
      </c>
      <c r="FP125" t="e">
        <f>AND(Sheet1!N1680,"AAAAAC06/as=")</f>
        <v>#VALUE!</v>
      </c>
      <c r="FQ125" t="e">
        <f>AND(Sheet1!#REF!,"AAAAAC06/aw=")</f>
        <v>#REF!</v>
      </c>
      <c r="FR125" t="e">
        <f>AND(Sheet1!#REF!,"AAAAAC06/a0=")</f>
        <v>#REF!</v>
      </c>
      <c r="FS125" t="e">
        <f>AND(Sheet1!#REF!,"AAAAAC06/a4=")</f>
        <v>#REF!</v>
      </c>
      <c r="FT125" t="e">
        <f>AND(Sheet1!#REF!,"AAAAAC06/a8=")</f>
        <v>#REF!</v>
      </c>
      <c r="FU125">
        <f>IF(Sheet1!1681:1681,"AAAAAC06/bA=",0)</f>
        <v>0</v>
      </c>
      <c r="FV125" t="e">
        <f>AND(Sheet1!A1681,"AAAAAC06/bE=")</f>
        <v>#VALUE!</v>
      </c>
      <c r="FW125" t="e">
        <f>AND(Sheet1!B1681,"AAAAAC06/bI=")</f>
        <v>#VALUE!</v>
      </c>
      <c r="FX125" t="e">
        <f>AND(Sheet1!C1681,"AAAAAC06/bM=")</f>
        <v>#VALUE!</v>
      </c>
      <c r="FY125" t="e">
        <f>AND(Sheet1!D1681,"AAAAAC06/bQ=")</f>
        <v>#VALUE!</v>
      </c>
      <c r="FZ125" t="e">
        <f>AND(Sheet1!E1681,"AAAAAC06/bU=")</f>
        <v>#VALUE!</v>
      </c>
      <c r="GA125" t="e">
        <f>AND(Sheet1!F1681,"AAAAAC06/bY=")</f>
        <v>#VALUE!</v>
      </c>
      <c r="GB125" t="e">
        <f>AND(Sheet1!G1681,"AAAAAC06/bc=")</f>
        <v>#VALUE!</v>
      </c>
      <c r="GC125" t="e">
        <f>AND(Sheet1!H1681,"AAAAAC06/bg=")</f>
        <v>#VALUE!</v>
      </c>
      <c r="GD125" t="e">
        <f>AND(Sheet1!I1681,"AAAAAC06/bk=")</f>
        <v>#VALUE!</v>
      </c>
      <c r="GE125" t="e">
        <f>AND(Sheet1!J1681,"AAAAAC06/bo=")</f>
        <v>#VALUE!</v>
      </c>
      <c r="GF125" t="e">
        <f>AND(Sheet1!K1681,"AAAAAC06/bs=")</f>
        <v>#VALUE!</v>
      </c>
      <c r="GG125" t="e">
        <f>AND(Sheet1!L1681,"AAAAAC06/bw=")</f>
        <v>#VALUE!</v>
      </c>
      <c r="GH125" t="e">
        <f>AND(Sheet1!M1681,"AAAAAC06/b0=")</f>
        <v>#VALUE!</v>
      </c>
      <c r="GI125" t="e">
        <f>AND(Sheet1!N1681,"AAAAAC06/b4=")</f>
        <v>#VALUE!</v>
      </c>
      <c r="GJ125" t="e">
        <f>AND(Sheet1!#REF!,"AAAAAC06/b8=")</f>
        <v>#REF!</v>
      </c>
      <c r="GK125" t="e">
        <f>AND(Sheet1!#REF!,"AAAAAC06/cA=")</f>
        <v>#REF!</v>
      </c>
      <c r="GL125" t="e">
        <f>AND(Sheet1!#REF!,"AAAAAC06/cE=")</f>
        <v>#REF!</v>
      </c>
      <c r="GM125" t="e">
        <f>AND(Sheet1!#REF!,"AAAAAC06/cI=")</f>
        <v>#REF!</v>
      </c>
      <c r="GN125">
        <f>IF(Sheet1!1682:1682,"AAAAAC06/cM=",0)</f>
        <v>0</v>
      </c>
      <c r="GO125" t="e">
        <f>AND(Sheet1!A1682,"AAAAAC06/cQ=")</f>
        <v>#VALUE!</v>
      </c>
      <c r="GP125" t="e">
        <f>AND(Sheet1!B1682,"AAAAAC06/cU=")</f>
        <v>#VALUE!</v>
      </c>
      <c r="GQ125" t="e">
        <f>AND(Sheet1!C1682,"AAAAAC06/cY=")</f>
        <v>#VALUE!</v>
      </c>
      <c r="GR125" t="e">
        <f>AND(Sheet1!D1682,"AAAAAC06/cc=")</f>
        <v>#VALUE!</v>
      </c>
      <c r="GS125" t="e">
        <f>AND(Sheet1!E1682,"AAAAAC06/cg=")</f>
        <v>#VALUE!</v>
      </c>
      <c r="GT125" t="e">
        <f>AND(Sheet1!F1682,"AAAAAC06/ck=")</f>
        <v>#VALUE!</v>
      </c>
      <c r="GU125" t="e">
        <f>AND(Sheet1!G1682,"AAAAAC06/co=")</f>
        <v>#VALUE!</v>
      </c>
      <c r="GV125" t="e">
        <f>AND(Sheet1!H1682,"AAAAAC06/cs=")</f>
        <v>#VALUE!</v>
      </c>
      <c r="GW125" t="e">
        <f>AND(Sheet1!I1682,"AAAAAC06/cw=")</f>
        <v>#VALUE!</v>
      </c>
      <c r="GX125" t="e">
        <f>AND(Sheet1!J1682,"AAAAAC06/c0=")</f>
        <v>#VALUE!</v>
      </c>
      <c r="GY125" t="e">
        <f>AND(Sheet1!K1682,"AAAAAC06/c4=")</f>
        <v>#VALUE!</v>
      </c>
      <c r="GZ125" t="e">
        <f>AND(Sheet1!L1682,"AAAAAC06/c8=")</f>
        <v>#VALUE!</v>
      </c>
      <c r="HA125" t="e">
        <f>AND(Sheet1!M1682,"AAAAAC06/dA=")</f>
        <v>#VALUE!</v>
      </c>
      <c r="HB125" t="e">
        <f>AND(Sheet1!N1682,"AAAAAC06/dE=")</f>
        <v>#VALUE!</v>
      </c>
      <c r="HC125" t="e">
        <f>AND(Sheet1!#REF!,"AAAAAC06/dI=")</f>
        <v>#REF!</v>
      </c>
      <c r="HD125" t="e">
        <f>AND(Sheet1!#REF!,"AAAAAC06/dM=")</f>
        <v>#REF!</v>
      </c>
      <c r="HE125" t="e">
        <f>AND(Sheet1!#REF!,"AAAAAC06/dQ=")</f>
        <v>#REF!</v>
      </c>
      <c r="HF125" t="e">
        <f>AND(Sheet1!#REF!,"AAAAAC06/dU=")</f>
        <v>#REF!</v>
      </c>
      <c r="HG125">
        <f>IF(Sheet1!1683:1683,"AAAAAC06/dY=",0)</f>
        <v>0</v>
      </c>
      <c r="HH125" t="e">
        <f>AND(Sheet1!A1683,"AAAAAC06/dc=")</f>
        <v>#VALUE!</v>
      </c>
      <c r="HI125" t="e">
        <f>AND(Sheet1!B1683,"AAAAAC06/dg=")</f>
        <v>#VALUE!</v>
      </c>
      <c r="HJ125" t="e">
        <f>AND(Sheet1!C1683,"AAAAAC06/dk=")</f>
        <v>#VALUE!</v>
      </c>
      <c r="HK125" t="e">
        <f>AND(Sheet1!D1683,"AAAAAC06/do=")</f>
        <v>#VALUE!</v>
      </c>
      <c r="HL125" t="e">
        <f>AND(Sheet1!E1683,"AAAAAC06/ds=")</f>
        <v>#VALUE!</v>
      </c>
      <c r="HM125" t="e">
        <f>AND(Sheet1!F1683,"AAAAAC06/dw=")</f>
        <v>#VALUE!</v>
      </c>
      <c r="HN125" t="e">
        <f>AND(Sheet1!G1683,"AAAAAC06/d0=")</f>
        <v>#VALUE!</v>
      </c>
      <c r="HO125" t="e">
        <f>AND(Sheet1!H1683,"AAAAAC06/d4=")</f>
        <v>#VALUE!</v>
      </c>
      <c r="HP125" t="e">
        <f>AND(Sheet1!I1683,"AAAAAC06/d8=")</f>
        <v>#VALUE!</v>
      </c>
      <c r="HQ125" t="e">
        <f>AND(Sheet1!J1683,"AAAAAC06/eA=")</f>
        <v>#VALUE!</v>
      </c>
      <c r="HR125" t="e">
        <f>AND(Sheet1!K1683,"AAAAAC06/eE=")</f>
        <v>#VALUE!</v>
      </c>
      <c r="HS125" t="e">
        <f>AND(Sheet1!L1683,"AAAAAC06/eI=")</f>
        <v>#VALUE!</v>
      </c>
      <c r="HT125" t="e">
        <f>AND(Sheet1!M1683,"AAAAAC06/eM=")</f>
        <v>#VALUE!</v>
      </c>
      <c r="HU125" t="e">
        <f>AND(Sheet1!N1683,"AAAAAC06/eQ=")</f>
        <v>#VALUE!</v>
      </c>
      <c r="HV125" t="e">
        <f>AND(Sheet1!#REF!,"AAAAAC06/eU=")</f>
        <v>#REF!</v>
      </c>
      <c r="HW125" t="e">
        <f>AND(Sheet1!#REF!,"AAAAAC06/eY=")</f>
        <v>#REF!</v>
      </c>
      <c r="HX125" t="e">
        <f>AND(Sheet1!#REF!,"AAAAAC06/ec=")</f>
        <v>#REF!</v>
      </c>
      <c r="HY125" t="e">
        <f>AND(Sheet1!#REF!,"AAAAAC06/eg=")</f>
        <v>#REF!</v>
      </c>
      <c r="HZ125">
        <f>IF(Sheet1!1684:1684,"AAAAAC06/ek=",0)</f>
        <v>0</v>
      </c>
      <c r="IA125" t="e">
        <f>AND(Sheet1!A1684,"AAAAAC06/eo=")</f>
        <v>#VALUE!</v>
      </c>
      <c r="IB125" t="e">
        <f>AND(Sheet1!B1684,"AAAAAC06/es=")</f>
        <v>#VALUE!</v>
      </c>
      <c r="IC125" t="e">
        <f>AND(Sheet1!C1684,"AAAAAC06/ew=")</f>
        <v>#VALUE!</v>
      </c>
      <c r="ID125" t="e">
        <f>AND(Sheet1!D1684,"AAAAAC06/e0=")</f>
        <v>#VALUE!</v>
      </c>
      <c r="IE125" t="e">
        <f>AND(Sheet1!E1684,"AAAAAC06/e4=")</f>
        <v>#VALUE!</v>
      </c>
      <c r="IF125" t="e">
        <f>AND(Sheet1!F1684,"AAAAAC06/e8=")</f>
        <v>#VALUE!</v>
      </c>
      <c r="IG125" t="e">
        <f>AND(Sheet1!G1684,"AAAAAC06/fA=")</f>
        <v>#VALUE!</v>
      </c>
      <c r="IH125" t="e">
        <f>AND(Sheet1!H1684,"AAAAAC06/fE=")</f>
        <v>#VALUE!</v>
      </c>
      <c r="II125" t="e">
        <f>AND(Sheet1!I1684,"AAAAAC06/fI=")</f>
        <v>#VALUE!</v>
      </c>
      <c r="IJ125" t="e">
        <f>AND(Sheet1!J1684,"AAAAAC06/fM=")</f>
        <v>#VALUE!</v>
      </c>
      <c r="IK125" t="e">
        <f>AND(Sheet1!K1684,"AAAAAC06/fQ=")</f>
        <v>#VALUE!</v>
      </c>
      <c r="IL125" t="e">
        <f>AND(Sheet1!L1684,"AAAAAC06/fU=")</f>
        <v>#VALUE!</v>
      </c>
      <c r="IM125" t="e">
        <f>AND(Sheet1!M1684,"AAAAAC06/fY=")</f>
        <v>#VALUE!</v>
      </c>
      <c r="IN125" t="e">
        <f>AND(Sheet1!N1684,"AAAAAC06/fc=")</f>
        <v>#VALUE!</v>
      </c>
      <c r="IO125" t="e">
        <f>AND(Sheet1!#REF!,"AAAAAC06/fg=")</f>
        <v>#REF!</v>
      </c>
      <c r="IP125" t="e">
        <f>AND(Sheet1!#REF!,"AAAAAC06/fk=")</f>
        <v>#REF!</v>
      </c>
      <c r="IQ125" t="e">
        <f>AND(Sheet1!#REF!,"AAAAAC06/fo=")</f>
        <v>#REF!</v>
      </c>
      <c r="IR125" t="e">
        <f>AND(Sheet1!#REF!,"AAAAAC06/fs=")</f>
        <v>#REF!</v>
      </c>
      <c r="IS125">
        <f>IF(Sheet1!1685:1685,"AAAAAC06/fw=",0)</f>
        <v>0</v>
      </c>
      <c r="IT125" t="e">
        <f>AND(Sheet1!A1685,"AAAAAC06/f0=")</f>
        <v>#VALUE!</v>
      </c>
      <c r="IU125" t="e">
        <f>AND(Sheet1!B1685,"AAAAAC06/f4=")</f>
        <v>#VALUE!</v>
      </c>
      <c r="IV125" t="e">
        <f>AND(Sheet1!C1685,"AAAAAC06/f8=")</f>
        <v>#VALUE!</v>
      </c>
    </row>
    <row r="126" spans="1:256" x14ac:dyDescent="0.2">
      <c r="A126" t="e">
        <f>AND(Sheet1!D1685,"AAAAAH/vtAA=")</f>
        <v>#VALUE!</v>
      </c>
      <c r="B126" t="e">
        <f>AND(Sheet1!E1685,"AAAAAH/vtAE=")</f>
        <v>#VALUE!</v>
      </c>
      <c r="C126" t="e">
        <f>AND(Sheet1!F1685,"AAAAAH/vtAI=")</f>
        <v>#VALUE!</v>
      </c>
      <c r="D126" t="e">
        <f>AND(Sheet1!G1685,"AAAAAH/vtAM=")</f>
        <v>#VALUE!</v>
      </c>
      <c r="E126" t="e">
        <f>AND(Sheet1!H1685,"AAAAAH/vtAQ=")</f>
        <v>#VALUE!</v>
      </c>
      <c r="F126" t="e">
        <f>AND(Sheet1!I1685,"AAAAAH/vtAU=")</f>
        <v>#VALUE!</v>
      </c>
      <c r="G126" t="e">
        <f>AND(Sheet1!J1685,"AAAAAH/vtAY=")</f>
        <v>#VALUE!</v>
      </c>
      <c r="H126" t="e">
        <f>AND(Sheet1!K1685,"AAAAAH/vtAc=")</f>
        <v>#VALUE!</v>
      </c>
      <c r="I126" t="e">
        <f>AND(Sheet1!L1685,"AAAAAH/vtAg=")</f>
        <v>#VALUE!</v>
      </c>
      <c r="J126" t="e">
        <f>AND(Sheet1!M1685,"AAAAAH/vtAk=")</f>
        <v>#VALUE!</v>
      </c>
      <c r="K126" t="e">
        <f>AND(Sheet1!N1685,"AAAAAH/vtAo=")</f>
        <v>#VALUE!</v>
      </c>
      <c r="L126" t="e">
        <f>AND(Sheet1!#REF!,"AAAAAH/vtAs=")</f>
        <v>#REF!</v>
      </c>
      <c r="M126" t="e">
        <f>AND(Sheet1!#REF!,"AAAAAH/vtAw=")</f>
        <v>#REF!</v>
      </c>
      <c r="N126" t="e">
        <f>AND(Sheet1!#REF!,"AAAAAH/vtA0=")</f>
        <v>#REF!</v>
      </c>
      <c r="O126" t="e">
        <f>AND(Sheet1!#REF!,"AAAAAH/vtA4=")</f>
        <v>#REF!</v>
      </c>
      <c r="P126">
        <f>IF(Sheet1!1686:1686,"AAAAAH/vtA8=",0)</f>
        <v>0</v>
      </c>
      <c r="Q126" t="e">
        <f>AND(Sheet1!A1686,"AAAAAH/vtBA=")</f>
        <v>#VALUE!</v>
      </c>
      <c r="R126" t="e">
        <f>AND(Sheet1!B1686,"AAAAAH/vtBE=")</f>
        <v>#VALUE!</v>
      </c>
      <c r="S126" t="e">
        <f>AND(Sheet1!C1686,"AAAAAH/vtBI=")</f>
        <v>#VALUE!</v>
      </c>
      <c r="T126" t="e">
        <f>AND(Sheet1!D1686,"AAAAAH/vtBM=")</f>
        <v>#VALUE!</v>
      </c>
      <c r="U126" t="e">
        <f>AND(Sheet1!E1686,"AAAAAH/vtBQ=")</f>
        <v>#VALUE!</v>
      </c>
      <c r="V126" t="e">
        <f>AND(Sheet1!F1686,"AAAAAH/vtBU=")</f>
        <v>#VALUE!</v>
      </c>
      <c r="W126" t="e">
        <f>AND(Sheet1!G1686,"AAAAAH/vtBY=")</f>
        <v>#VALUE!</v>
      </c>
      <c r="X126" t="e">
        <f>AND(Sheet1!H1686,"AAAAAH/vtBc=")</f>
        <v>#VALUE!</v>
      </c>
      <c r="Y126" t="e">
        <f>AND(Sheet1!I1686,"AAAAAH/vtBg=")</f>
        <v>#VALUE!</v>
      </c>
      <c r="Z126" t="e">
        <f>AND(Sheet1!J1686,"AAAAAH/vtBk=")</f>
        <v>#VALUE!</v>
      </c>
      <c r="AA126" t="e">
        <f>AND(Sheet1!K1686,"AAAAAH/vtBo=")</f>
        <v>#VALUE!</v>
      </c>
      <c r="AB126" t="e">
        <f>AND(Sheet1!L1686,"AAAAAH/vtBs=")</f>
        <v>#VALUE!</v>
      </c>
      <c r="AC126" t="e">
        <f>AND(Sheet1!M1686,"AAAAAH/vtBw=")</f>
        <v>#VALUE!</v>
      </c>
      <c r="AD126" t="e">
        <f>AND(Sheet1!N1686,"AAAAAH/vtB0=")</f>
        <v>#VALUE!</v>
      </c>
      <c r="AE126" t="e">
        <f>AND(Sheet1!#REF!,"AAAAAH/vtB4=")</f>
        <v>#REF!</v>
      </c>
      <c r="AF126" t="e">
        <f>AND(Sheet1!#REF!,"AAAAAH/vtB8=")</f>
        <v>#REF!</v>
      </c>
      <c r="AG126" t="e">
        <f>AND(Sheet1!#REF!,"AAAAAH/vtCA=")</f>
        <v>#REF!</v>
      </c>
      <c r="AH126" t="e">
        <f>AND(Sheet1!#REF!,"AAAAAH/vtCE=")</f>
        <v>#REF!</v>
      </c>
      <c r="AI126">
        <f>IF(Sheet1!1687:1687,"AAAAAH/vtCI=",0)</f>
        <v>0</v>
      </c>
      <c r="AJ126" t="e">
        <f>AND(Sheet1!A1687,"AAAAAH/vtCM=")</f>
        <v>#VALUE!</v>
      </c>
      <c r="AK126" t="e">
        <f>AND(Sheet1!B1687,"AAAAAH/vtCQ=")</f>
        <v>#VALUE!</v>
      </c>
      <c r="AL126" t="e">
        <f>AND(Sheet1!C1687,"AAAAAH/vtCU=")</f>
        <v>#VALUE!</v>
      </c>
      <c r="AM126" t="e">
        <f>AND(Sheet1!D1687,"AAAAAH/vtCY=")</f>
        <v>#VALUE!</v>
      </c>
      <c r="AN126" t="e">
        <f>AND(Sheet1!E1687,"AAAAAH/vtCc=")</f>
        <v>#VALUE!</v>
      </c>
      <c r="AO126" t="e">
        <f>AND(Sheet1!F1687,"AAAAAH/vtCg=")</f>
        <v>#VALUE!</v>
      </c>
      <c r="AP126" t="e">
        <f>AND(Sheet1!G1687,"AAAAAH/vtCk=")</f>
        <v>#VALUE!</v>
      </c>
      <c r="AQ126" t="e">
        <f>AND(Sheet1!H1687,"AAAAAH/vtCo=")</f>
        <v>#VALUE!</v>
      </c>
      <c r="AR126" t="e">
        <f>AND(Sheet1!I1687,"AAAAAH/vtCs=")</f>
        <v>#VALUE!</v>
      </c>
      <c r="AS126" t="e">
        <f>AND(Sheet1!J1687,"AAAAAH/vtCw=")</f>
        <v>#VALUE!</v>
      </c>
      <c r="AT126" t="e">
        <f>AND(Sheet1!K1687,"AAAAAH/vtC0=")</f>
        <v>#VALUE!</v>
      </c>
      <c r="AU126" t="e">
        <f>AND(Sheet1!L1687,"AAAAAH/vtC4=")</f>
        <v>#VALUE!</v>
      </c>
      <c r="AV126" t="e">
        <f>AND(Sheet1!M1687,"AAAAAH/vtC8=")</f>
        <v>#VALUE!</v>
      </c>
      <c r="AW126" t="e">
        <f>AND(Sheet1!N1687,"AAAAAH/vtDA=")</f>
        <v>#VALUE!</v>
      </c>
      <c r="AX126" t="e">
        <f>AND(Sheet1!#REF!,"AAAAAH/vtDE=")</f>
        <v>#REF!</v>
      </c>
      <c r="AY126" t="e">
        <f>AND(Sheet1!#REF!,"AAAAAH/vtDI=")</f>
        <v>#REF!</v>
      </c>
      <c r="AZ126" t="e">
        <f>AND(Sheet1!#REF!,"AAAAAH/vtDM=")</f>
        <v>#REF!</v>
      </c>
      <c r="BA126" t="e">
        <f>AND(Sheet1!#REF!,"AAAAAH/vtDQ=")</f>
        <v>#REF!</v>
      </c>
      <c r="BB126">
        <f>IF(Sheet1!1688:1688,"AAAAAH/vtDU=",0)</f>
        <v>0</v>
      </c>
      <c r="BC126" t="e">
        <f>AND(Sheet1!A1688,"AAAAAH/vtDY=")</f>
        <v>#VALUE!</v>
      </c>
      <c r="BD126" t="e">
        <f>AND(Sheet1!B1688,"AAAAAH/vtDc=")</f>
        <v>#VALUE!</v>
      </c>
      <c r="BE126" t="e">
        <f>AND(Sheet1!C1688,"AAAAAH/vtDg=")</f>
        <v>#VALUE!</v>
      </c>
      <c r="BF126" t="e">
        <f>AND(Sheet1!D1688,"AAAAAH/vtDk=")</f>
        <v>#VALUE!</v>
      </c>
      <c r="BG126" t="e">
        <f>AND(Sheet1!E1688,"AAAAAH/vtDo=")</f>
        <v>#VALUE!</v>
      </c>
      <c r="BH126" t="e">
        <f>AND(Sheet1!F1688,"AAAAAH/vtDs=")</f>
        <v>#VALUE!</v>
      </c>
      <c r="BI126" t="e">
        <f>AND(Sheet1!G1688,"AAAAAH/vtDw=")</f>
        <v>#VALUE!</v>
      </c>
      <c r="BJ126" t="e">
        <f>AND(Sheet1!H1688,"AAAAAH/vtD0=")</f>
        <v>#VALUE!</v>
      </c>
      <c r="BK126" t="e">
        <f>AND(Sheet1!I1688,"AAAAAH/vtD4=")</f>
        <v>#VALUE!</v>
      </c>
      <c r="BL126" t="e">
        <f>AND(Sheet1!J1688,"AAAAAH/vtD8=")</f>
        <v>#VALUE!</v>
      </c>
      <c r="BM126" t="e">
        <f>AND(Sheet1!K1688,"AAAAAH/vtEA=")</f>
        <v>#VALUE!</v>
      </c>
      <c r="BN126" t="e">
        <f>AND(Sheet1!L1688,"AAAAAH/vtEE=")</f>
        <v>#VALUE!</v>
      </c>
      <c r="BO126" t="e">
        <f>AND(Sheet1!M1688,"AAAAAH/vtEI=")</f>
        <v>#VALUE!</v>
      </c>
      <c r="BP126" t="e">
        <f>AND(Sheet1!N1688,"AAAAAH/vtEM=")</f>
        <v>#VALUE!</v>
      </c>
      <c r="BQ126" t="e">
        <f>AND(Sheet1!#REF!,"AAAAAH/vtEQ=")</f>
        <v>#REF!</v>
      </c>
      <c r="BR126" t="e">
        <f>AND(Sheet1!#REF!,"AAAAAH/vtEU=")</f>
        <v>#REF!</v>
      </c>
      <c r="BS126" t="e">
        <f>AND(Sheet1!#REF!,"AAAAAH/vtEY=")</f>
        <v>#REF!</v>
      </c>
      <c r="BT126" t="e">
        <f>AND(Sheet1!#REF!,"AAAAAH/vtEc=")</f>
        <v>#REF!</v>
      </c>
      <c r="BU126">
        <f>IF(Sheet1!1689:1689,"AAAAAH/vtEg=",0)</f>
        <v>0</v>
      </c>
      <c r="BV126" t="e">
        <f>AND(Sheet1!A1689,"AAAAAH/vtEk=")</f>
        <v>#VALUE!</v>
      </c>
      <c r="BW126" t="e">
        <f>AND(Sheet1!B1689,"AAAAAH/vtEo=")</f>
        <v>#VALUE!</v>
      </c>
      <c r="BX126" t="e">
        <f>AND(Sheet1!C1689,"AAAAAH/vtEs=")</f>
        <v>#VALUE!</v>
      </c>
      <c r="BY126" t="e">
        <f>AND(Sheet1!D1689,"AAAAAH/vtEw=")</f>
        <v>#VALUE!</v>
      </c>
      <c r="BZ126" t="e">
        <f>AND(Sheet1!E1689,"AAAAAH/vtE0=")</f>
        <v>#VALUE!</v>
      </c>
      <c r="CA126" t="e">
        <f>AND(Sheet1!F1689,"AAAAAH/vtE4=")</f>
        <v>#VALUE!</v>
      </c>
      <c r="CB126" t="e">
        <f>AND(Sheet1!G1689,"AAAAAH/vtE8=")</f>
        <v>#VALUE!</v>
      </c>
      <c r="CC126" t="e">
        <f>AND(Sheet1!H1689,"AAAAAH/vtFA=")</f>
        <v>#VALUE!</v>
      </c>
      <c r="CD126" t="e">
        <f>AND(Sheet1!I1689,"AAAAAH/vtFE=")</f>
        <v>#VALUE!</v>
      </c>
      <c r="CE126" t="e">
        <f>AND(Sheet1!J1689,"AAAAAH/vtFI=")</f>
        <v>#VALUE!</v>
      </c>
      <c r="CF126" t="e">
        <f>AND(Sheet1!K1689,"AAAAAH/vtFM=")</f>
        <v>#VALUE!</v>
      </c>
      <c r="CG126" t="e">
        <f>AND(Sheet1!L1689,"AAAAAH/vtFQ=")</f>
        <v>#VALUE!</v>
      </c>
      <c r="CH126" t="e">
        <f>AND(Sheet1!M1689,"AAAAAH/vtFU=")</f>
        <v>#VALUE!</v>
      </c>
      <c r="CI126" t="e">
        <f>AND(Sheet1!N1689,"AAAAAH/vtFY=")</f>
        <v>#VALUE!</v>
      </c>
      <c r="CJ126" t="e">
        <f>AND(Sheet1!#REF!,"AAAAAH/vtFc=")</f>
        <v>#REF!</v>
      </c>
      <c r="CK126" t="e">
        <f>AND(Sheet1!#REF!,"AAAAAH/vtFg=")</f>
        <v>#REF!</v>
      </c>
      <c r="CL126" t="e">
        <f>AND(Sheet1!#REF!,"AAAAAH/vtFk=")</f>
        <v>#REF!</v>
      </c>
      <c r="CM126" t="e">
        <f>AND(Sheet1!#REF!,"AAAAAH/vtFo=")</f>
        <v>#REF!</v>
      </c>
      <c r="CN126">
        <f>IF(Sheet1!1690:1690,"AAAAAH/vtFs=",0)</f>
        <v>0</v>
      </c>
      <c r="CO126" t="e">
        <f>AND(Sheet1!A1690,"AAAAAH/vtFw=")</f>
        <v>#VALUE!</v>
      </c>
      <c r="CP126" t="e">
        <f>AND(Sheet1!B1690,"AAAAAH/vtF0=")</f>
        <v>#VALUE!</v>
      </c>
      <c r="CQ126" t="e">
        <f>AND(Sheet1!C1690,"AAAAAH/vtF4=")</f>
        <v>#VALUE!</v>
      </c>
      <c r="CR126" t="e">
        <f>AND(Sheet1!D1690,"AAAAAH/vtF8=")</f>
        <v>#VALUE!</v>
      </c>
      <c r="CS126" t="e">
        <f>AND(Sheet1!E1690,"AAAAAH/vtGA=")</f>
        <v>#VALUE!</v>
      </c>
      <c r="CT126" t="e">
        <f>AND(Sheet1!F1690,"AAAAAH/vtGE=")</f>
        <v>#VALUE!</v>
      </c>
      <c r="CU126" t="e">
        <f>AND(Sheet1!G1690,"AAAAAH/vtGI=")</f>
        <v>#VALUE!</v>
      </c>
      <c r="CV126" t="e">
        <f>AND(Sheet1!H1690,"AAAAAH/vtGM=")</f>
        <v>#VALUE!</v>
      </c>
      <c r="CW126" t="e">
        <f>AND(Sheet1!I1690,"AAAAAH/vtGQ=")</f>
        <v>#VALUE!</v>
      </c>
      <c r="CX126" t="e">
        <f>AND(Sheet1!J1690,"AAAAAH/vtGU=")</f>
        <v>#VALUE!</v>
      </c>
      <c r="CY126" t="e">
        <f>AND(Sheet1!K1690,"AAAAAH/vtGY=")</f>
        <v>#VALUE!</v>
      </c>
      <c r="CZ126" t="e">
        <f>AND(Sheet1!L1690,"AAAAAH/vtGc=")</f>
        <v>#VALUE!</v>
      </c>
      <c r="DA126" t="e">
        <f>AND(Sheet1!M1690,"AAAAAH/vtGg=")</f>
        <v>#VALUE!</v>
      </c>
      <c r="DB126" t="e">
        <f>AND(Sheet1!N1690,"AAAAAH/vtGk=")</f>
        <v>#VALUE!</v>
      </c>
      <c r="DC126" t="e">
        <f>AND(Sheet1!#REF!,"AAAAAH/vtGo=")</f>
        <v>#REF!</v>
      </c>
      <c r="DD126" t="e">
        <f>AND(Sheet1!#REF!,"AAAAAH/vtGs=")</f>
        <v>#REF!</v>
      </c>
      <c r="DE126" t="e">
        <f>AND(Sheet1!#REF!,"AAAAAH/vtGw=")</f>
        <v>#REF!</v>
      </c>
      <c r="DF126" t="e">
        <f>AND(Sheet1!#REF!,"AAAAAH/vtG0=")</f>
        <v>#REF!</v>
      </c>
      <c r="DG126">
        <f>IF(Sheet1!1691:1691,"AAAAAH/vtG4=",0)</f>
        <v>0</v>
      </c>
      <c r="DH126" t="e">
        <f>AND(Sheet1!A1691,"AAAAAH/vtG8=")</f>
        <v>#VALUE!</v>
      </c>
      <c r="DI126" t="e">
        <f>AND(Sheet1!B1691,"AAAAAH/vtHA=")</f>
        <v>#VALUE!</v>
      </c>
      <c r="DJ126" t="e">
        <f>AND(Sheet1!C1691,"AAAAAH/vtHE=")</f>
        <v>#VALUE!</v>
      </c>
      <c r="DK126" t="e">
        <f>AND(Sheet1!D1691,"AAAAAH/vtHI=")</f>
        <v>#VALUE!</v>
      </c>
      <c r="DL126" t="e">
        <f>AND(Sheet1!E1691,"AAAAAH/vtHM=")</f>
        <v>#VALUE!</v>
      </c>
      <c r="DM126" t="e">
        <f>AND(Sheet1!F1691,"AAAAAH/vtHQ=")</f>
        <v>#VALUE!</v>
      </c>
      <c r="DN126" t="e">
        <f>AND(Sheet1!G1691,"AAAAAH/vtHU=")</f>
        <v>#VALUE!</v>
      </c>
      <c r="DO126" t="e">
        <f>AND(Sheet1!H1691,"AAAAAH/vtHY=")</f>
        <v>#VALUE!</v>
      </c>
      <c r="DP126" t="e">
        <f>AND(Sheet1!I1691,"AAAAAH/vtHc=")</f>
        <v>#VALUE!</v>
      </c>
      <c r="DQ126" t="e">
        <f>AND(Sheet1!J1691,"AAAAAH/vtHg=")</f>
        <v>#VALUE!</v>
      </c>
      <c r="DR126" t="e">
        <f>AND(Sheet1!K1691,"AAAAAH/vtHk=")</f>
        <v>#VALUE!</v>
      </c>
      <c r="DS126" t="e">
        <f>AND(Sheet1!L1691,"AAAAAH/vtHo=")</f>
        <v>#VALUE!</v>
      </c>
      <c r="DT126" t="e">
        <f>AND(Sheet1!M1691,"AAAAAH/vtHs=")</f>
        <v>#VALUE!</v>
      </c>
      <c r="DU126" t="e">
        <f>AND(Sheet1!N1691,"AAAAAH/vtHw=")</f>
        <v>#VALUE!</v>
      </c>
      <c r="DV126" t="e">
        <f>AND(Sheet1!#REF!,"AAAAAH/vtH0=")</f>
        <v>#REF!</v>
      </c>
      <c r="DW126" t="e">
        <f>AND(Sheet1!#REF!,"AAAAAH/vtH4=")</f>
        <v>#REF!</v>
      </c>
      <c r="DX126" t="e">
        <f>AND(Sheet1!#REF!,"AAAAAH/vtH8=")</f>
        <v>#REF!</v>
      </c>
      <c r="DY126" t="e">
        <f>AND(Sheet1!#REF!,"AAAAAH/vtIA=")</f>
        <v>#REF!</v>
      </c>
      <c r="DZ126">
        <f>IF(Sheet1!1692:1692,"AAAAAH/vtIE=",0)</f>
        <v>0</v>
      </c>
      <c r="EA126" t="e">
        <f>AND(Sheet1!A1692,"AAAAAH/vtII=")</f>
        <v>#VALUE!</v>
      </c>
      <c r="EB126" t="e">
        <f>AND(Sheet1!B1692,"AAAAAH/vtIM=")</f>
        <v>#VALUE!</v>
      </c>
      <c r="EC126" t="e">
        <f>AND(Sheet1!C1692,"AAAAAH/vtIQ=")</f>
        <v>#VALUE!</v>
      </c>
      <c r="ED126" t="e">
        <f>AND(Sheet1!D1692,"AAAAAH/vtIU=")</f>
        <v>#VALUE!</v>
      </c>
      <c r="EE126" t="e">
        <f>AND(Sheet1!E1692,"AAAAAH/vtIY=")</f>
        <v>#VALUE!</v>
      </c>
      <c r="EF126" t="e">
        <f>AND(Sheet1!F1692,"AAAAAH/vtIc=")</f>
        <v>#VALUE!</v>
      </c>
      <c r="EG126" t="e">
        <f>AND(Sheet1!G1692,"AAAAAH/vtIg=")</f>
        <v>#VALUE!</v>
      </c>
      <c r="EH126" t="e">
        <f>AND(Sheet1!H1692,"AAAAAH/vtIk=")</f>
        <v>#VALUE!</v>
      </c>
      <c r="EI126" t="e">
        <f>AND(Sheet1!I1692,"AAAAAH/vtIo=")</f>
        <v>#VALUE!</v>
      </c>
      <c r="EJ126" t="e">
        <f>AND(Sheet1!J1692,"AAAAAH/vtIs=")</f>
        <v>#VALUE!</v>
      </c>
      <c r="EK126" t="e">
        <f>AND(Sheet1!K1692,"AAAAAH/vtIw=")</f>
        <v>#VALUE!</v>
      </c>
      <c r="EL126" t="e">
        <f>AND(Sheet1!L1692,"AAAAAH/vtI0=")</f>
        <v>#VALUE!</v>
      </c>
      <c r="EM126" t="e">
        <f>AND(Sheet1!M1692,"AAAAAH/vtI4=")</f>
        <v>#VALUE!</v>
      </c>
      <c r="EN126" t="e">
        <f>AND(Sheet1!N1692,"AAAAAH/vtI8=")</f>
        <v>#VALUE!</v>
      </c>
      <c r="EO126" t="e">
        <f>AND(Sheet1!#REF!,"AAAAAH/vtJA=")</f>
        <v>#REF!</v>
      </c>
      <c r="EP126" t="e">
        <f>AND(Sheet1!#REF!,"AAAAAH/vtJE=")</f>
        <v>#REF!</v>
      </c>
      <c r="EQ126" t="e">
        <f>AND(Sheet1!#REF!,"AAAAAH/vtJI=")</f>
        <v>#REF!</v>
      </c>
      <c r="ER126" t="e">
        <f>AND(Sheet1!#REF!,"AAAAAH/vtJM=")</f>
        <v>#REF!</v>
      </c>
      <c r="ES126">
        <f>IF(Sheet1!1693:1693,"AAAAAH/vtJQ=",0)</f>
        <v>0</v>
      </c>
      <c r="ET126" t="e">
        <f>AND(Sheet1!A1693,"AAAAAH/vtJU=")</f>
        <v>#VALUE!</v>
      </c>
      <c r="EU126" t="e">
        <f>AND(Sheet1!B1693,"AAAAAH/vtJY=")</f>
        <v>#VALUE!</v>
      </c>
      <c r="EV126" t="e">
        <f>AND(Sheet1!C1693,"AAAAAH/vtJc=")</f>
        <v>#VALUE!</v>
      </c>
      <c r="EW126" t="e">
        <f>AND(Sheet1!D1693,"AAAAAH/vtJg=")</f>
        <v>#VALUE!</v>
      </c>
      <c r="EX126" t="e">
        <f>AND(Sheet1!E1693,"AAAAAH/vtJk=")</f>
        <v>#VALUE!</v>
      </c>
      <c r="EY126" t="e">
        <f>AND(Sheet1!F1693,"AAAAAH/vtJo=")</f>
        <v>#VALUE!</v>
      </c>
      <c r="EZ126" t="e">
        <f>AND(Sheet1!G1693,"AAAAAH/vtJs=")</f>
        <v>#VALUE!</v>
      </c>
      <c r="FA126" t="e">
        <f>AND(Sheet1!H1693,"AAAAAH/vtJw=")</f>
        <v>#VALUE!</v>
      </c>
      <c r="FB126" t="e">
        <f>AND(Sheet1!I1693,"AAAAAH/vtJ0=")</f>
        <v>#VALUE!</v>
      </c>
      <c r="FC126" t="e">
        <f>AND(Sheet1!J1693,"AAAAAH/vtJ4=")</f>
        <v>#VALUE!</v>
      </c>
      <c r="FD126" t="e">
        <f>AND(Sheet1!K1693,"AAAAAH/vtJ8=")</f>
        <v>#VALUE!</v>
      </c>
      <c r="FE126" t="e">
        <f>AND(Sheet1!L1693,"AAAAAH/vtKA=")</f>
        <v>#VALUE!</v>
      </c>
      <c r="FF126" t="e">
        <f>AND(Sheet1!M1693,"AAAAAH/vtKE=")</f>
        <v>#VALUE!</v>
      </c>
      <c r="FG126" t="e">
        <f>AND(Sheet1!N1693,"AAAAAH/vtKI=")</f>
        <v>#VALUE!</v>
      </c>
      <c r="FH126" t="e">
        <f>AND(Sheet1!#REF!,"AAAAAH/vtKM=")</f>
        <v>#REF!</v>
      </c>
      <c r="FI126" t="e">
        <f>AND(Sheet1!#REF!,"AAAAAH/vtKQ=")</f>
        <v>#REF!</v>
      </c>
      <c r="FJ126" t="e">
        <f>AND(Sheet1!#REF!,"AAAAAH/vtKU=")</f>
        <v>#REF!</v>
      </c>
      <c r="FK126" t="e">
        <f>AND(Sheet1!#REF!,"AAAAAH/vtKY=")</f>
        <v>#REF!</v>
      </c>
      <c r="FL126">
        <f>IF(Sheet1!1694:1694,"AAAAAH/vtKc=",0)</f>
        <v>0</v>
      </c>
      <c r="FM126" t="e">
        <f>AND(Sheet1!A1694,"AAAAAH/vtKg=")</f>
        <v>#VALUE!</v>
      </c>
      <c r="FN126" t="e">
        <f>AND(Sheet1!B1694,"AAAAAH/vtKk=")</f>
        <v>#VALUE!</v>
      </c>
      <c r="FO126" t="e">
        <f>AND(Sheet1!C1694,"AAAAAH/vtKo=")</f>
        <v>#VALUE!</v>
      </c>
      <c r="FP126" t="e">
        <f>AND(Sheet1!D1694,"AAAAAH/vtKs=")</f>
        <v>#VALUE!</v>
      </c>
      <c r="FQ126" t="e">
        <f>AND(Sheet1!E1694,"AAAAAH/vtKw=")</f>
        <v>#VALUE!</v>
      </c>
      <c r="FR126" t="e">
        <f>AND(Sheet1!F1694,"AAAAAH/vtK0=")</f>
        <v>#VALUE!</v>
      </c>
      <c r="FS126" t="e">
        <f>AND(Sheet1!G1694,"AAAAAH/vtK4=")</f>
        <v>#VALUE!</v>
      </c>
      <c r="FT126" t="e">
        <f>AND(Sheet1!H1694,"AAAAAH/vtK8=")</f>
        <v>#VALUE!</v>
      </c>
      <c r="FU126" t="e">
        <f>AND(Sheet1!I1694,"AAAAAH/vtLA=")</f>
        <v>#VALUE!</v>
      </c>
      <c r="FV126" t="e">
        <f>AND(Sheet1!J1694,"AAAAAH/vtLE=")</f>
        <v>#VALUE!</v>
      </c>
      <c r="FW126" t="e">
        <f>AND(Sheet1!K1694,"AAAAAH/vtLI=")</f>
        <v>#VALUE!</v>
      </c>
      <c r="FX126" t="e">
        <f>AND(Sheet1!L1694,"AAAAAH/vtLM=")</f>
        <v>#VALUE!</v>
      </c>
      <c r="FY126" t="e">
        <f>AND(Sheet1!M1694,"AAAAAH/vtLQ=")</f>
        <v>#VALUE!</v>
      </c>
      <c r="FZ126" t="e">
        <f>AND(Sheet1!N1694,"AAAAAH/vtLU=")</f>
        <v>#VALUE!</v>
      </c>
      <c r="GA126" t="e">
        <f>AND(Sheet1!#REF!,"AAAAAH/vtLY=")</f>
        <v>#REF!</v>
      </c>
      <c r="GB126" t="e">
        <f>AND(Sheet1!#REF!,"AAAAAH/vtLc=")</f>
        <v>#REF!</v>
      </c>
      <c r="GC126" t="e">
        <f>AND(Sheet1!#REF!,"AAAAAH/vtLg=")</f>
        <v>#REF!</v>
      </c>
      <c r="GD126" t="e">
        <f>AND(Sheet1!#REF!,"AAAAAH/vtLk=")</f>
        <v>#REF!</v>
      </c>
      <c r="GE126">
        <f>IF(Sheet1!1695:1695,"AAAAAH/vtLo=",0)</f>
        <v>0</v>
      </c>
      <c r="GF126" t="e">
        <f>AND(Sheet1!A1695,"AAAAAH/vtLs=")</f>
        <v>#VALUE!</v>
      </c>
      <c r="GG126" t="e">
        <f>AND(Sheet1!B1695,"AAAAAH/vtLw=")</f>
        <v>#VALUE!</v>
      </c>
      <c r="GH126" t="e">
        <f>AND(Sheet1!C1695,"AAAAAH/vtL0=")</f>
        <v>#VALUE!</v>
      </c>
      <c r="GI126" t="e">
        <f>AND(Sheet1!D1695,"AAAAAH/vtL4=")</f>
        <v>#VALUE!</v>
      </c>
      <c r="GJ126" t="e">
        <f>AND(Sheet1!E1695,"AAAAAH/vtL8=")</f>
        <v>#VALUE!</v>
      </c>
      <c r="GK126" t="e">
        <f>AND(Sheet1!F1695,"AAAAAH/vtMA=")</f>
        <v>#VALUE!</v>
      </c>
      <c r="GL126" t="e">
        <f>AND(Sheet1!G1695,"AAAAAH/vtME=")</f>
        <v>#VALUE!</v>
      </c>
      <c r="GM126" t="e">
        <f>AND(Sheet1!H1695,"AAAAAH/vtMI=")</f>
        <v>#VALUE!</v>
      </c>
      <c r="GN126" t="e">
        <f>AND(Sheet1!I1695,"AAAAAH/vtMM=")</f>
        <v>#VALUE!</v>
      </c>
      <c r="GO126" t="e">
        <f>AND(Sheet1!J1695,"AAAAAH/vtMQ=")</f>
        <v>#VALUE!</v>
      </c>
      <c r="GP126" t="e">
        <f>AND(Sheet1!K1695,"AAAAAH/vtMU=")</f>
        <v>#VALUE!</v>
      </c>
      <c r="GQ126" t="e">
        <f>AND(Sheet1!L1695,"AAAAAH/vtMY=")</f>
        <v>#VALUE!</v>
      </c>
      <c r="GR126" t="e">
        <f>AND(Sheet1!M1695,"AAAAAH/vtMc=")</f>
        <v>#VALUE!</v>
      </c>
      <c r="GS126" t="e">
        <f>AND(Sheet1!N1695,"AAAAAH/vtMg=")</f>
        <v>#VALUE!</v>
      </c>
      <c r="GT126" t="e">
        <f>AND(Sheet1!#REF!,"AAAAAH/vtMk=")</f>
        <v>#REF!</v>
      </c>
      <c r="GU126" t="e">
        <f>AND(Sheet1!#REF!,"AAAAAH/vtMo=")</f>
        <v>#REF!</v>
      </c>
      <c r="GV126" t="e">
        <f>AND(Sheet1!#REF!,"AAAAAH/vtMs=")</f>
        <v>#REF!</v>
      </c>
      <c r="GW126" t="e">
        <f>AND(Sheet1!#REF!,"AAAAAH/vtMw=")</f>
        <v>#REF!</v>
      </c>
      <c r="GX126">
        <f>IF(Sheet1!1696:1696,"AAAAAH/vtM0=",0)</f>
        <v>0</v>
      </c>
      <c r="GY126" t="e">
        <f>AND(Sheet1!A1696,"AAAAAH/vtM4=")</f>
        <v>#VALUE!</v>
      </c>
      <c r="GZ126" t="e">
        <f>AND(Sheet1!B1696,"AAAAAH/vtM8=")</f>
        <v>#VALUE!</v>
      </c>
      <c r="HA126" t="e">
        <f>AND(Sheet1!C1696,"AAAAAH/vtNA=")</f>
        <v>#VALUE!</v>
      </c>
      <c r="HB126" t="e">
        <f>AND(Sheet1!D1696,"AAAAAH/vtNE=")</f>
        <v>#VALUE!</v>
      </c>
      <c r="HC126" t="e">
        <f>AND(Sheet1!E1696,"AAAAAH/vtNI=")</f>
        <v>#VALUE!</v>
      </c>
      <c r="HD126" t="e">
        <f>AND(Sheet1!F1696,"AAAAAH/vtNM=")</f>
        <v>#VALUE!</v>
      </c>
      <c r="HE126" t="e">
        <f>AND(Sheet1!G1696,"AAAAAH/vtNQ=")</f>
        <v>#VALUE!</v>
      </c>
      <c r="HF126" t="e">
        <f>AND(Sheet1!H1696,"AAAAAH/vtNU=")</f>
        <v>#VALUE!</v>
      </c>
      <c r="HG126" t="e">
        <f>AND(Sheet1!I1696,"AAAAAH/vtNY=")</f>
        <v>#VALUE!</v>
      </c>
      <c r="HH126" t="e">
        <f>AND(Sheet1!J1696,"AAAAAH/vtNc=")</f>
        <v>#VALUE!</v>
      </c>
      <c r="HI126" t="e">
        <f>AND(Sheet1!K1696,"AAAAAH/vtNg=")</f>
        <v>#VALUE!</v>
      </c>
      <c r="HJ126" t="e">
        <f>AND(Sheet1!L1696,"AAAAAH/vtNk=")</f>
        <v>#VALUE!</v>
      </c>
      <c r="HK126" t="e">
        <f>AND(Sheet1!M1696,"AAAAAH/vtNo=")</f>
        <v>#VALUE!</v>
      </c>
      <c r="HL126" t="e">
        <f>AND(Sheet1!N1696,"AAAAAH/vtNs=")</f>
        <v>#VALUE!</v>
      </c>
      <c r="HM126" t="e">
        <f>AND(Sheet1!#REF!,"AAAAAH/vtNw=")</f>
        <v>#REF!</v>
      </c>
      <c r="HN126" t="e">
        <f>AND(Sheet1!#REF!,"AAAAAH/vtN0=")</f>
        <v>#REF!</v>
      </c>
      <c r="HO126" t="e">
        <f>AND(Sheet1!#REF!,"AAAAAH/vtN4=")</f>
        <v>#REF!</v>
      </c>
      <c r="HP126" t="e">
        <f>AND(Sheet1!#REF!,"AAAAAH/vtN8=")</f>
        <v>#REF!</v>
      </c>
      <c r="HQ126">
        <f>IF(Sheet1!1697:1697,"AAAAAH/vtOA=",0)</f>
        <v>0</v>
      </c>
      <c r="HR126" t="e">
        <f>AND(Sheet1!A1697,"AAAAAH/vtOE=")</f>
        <v>#VALUE!</v>
      </c>
      <c r="HS126" t="e">
        <f>AND(Sheet1!B1697,"AAAAAH/vtOI=")</f>
        <v>#VALUE!</v>
      </c>
      <c r="HT126" t="e">
        <f>AND(Sheet1!C1697,"AAAAAH/vtOM=")</f>
        <v>#VALUE!</v>
      </c>
      <c r="HU126" t="e">
        <f>AND(Sheet1!D1697,"AAAAAH/vtOQ=")</f>
        <v>#VALUE!</v>
      </c>
      <c r="HV126" t="e">
        <f>AND(Sheet1!E1697,"AAAAAH/vtOU=")</f>
        <v>#VALUE!</v>
      </c>
      <c r="HW126" t="e">
        <f>AND(Sheet1!F1697,"AAAAAH/vtOY=")</f>
        <v>#VALUE!</v>
      </c>
      <c r="HX126" t="e">
        <f>AND(Sheet1!G1697,"AAAAAH/vtOc=")</f>
        <v>#VALUE!</v>
      </c>
      <c r="HY126" t="e">
        <f>AND(Sheet1!H1697,"AAAAAH/vtOg=")</f>
        <v>#VALUE!</v>
      </c>
      <c r="HZ126" t="e">
        <f>AND(Sheet1!I1697,"AAAAAH/vtOk=")</f>
        <v>#VALUE!</v>
      </c>
      <c r="IA126" t="e">
        <f>AND(Sheet1!J1697,"AAAAAH/vtOo=")</f>
        <v>#VALUE!</v>
      </c>
      <c r="IB126" t="e">
        <f>AND(Sheet1!K1697,"AAAAAH/vtOs=")</f>
        <v>#VALUE!</v>
      </c>
      <c r="IC126" t="e">
        <f>AND(Sheet1!L1697,"AAAAAH/vtOw=")</f>
        <v>#VALUE!</v>
      </c>
      <c r="ID126" t="e">
        <f>AND(Sheet1!M1697,"AAAAAH/vtO0=")</f>
        <v>#VALUE!</v>
      </c>
      <c r="IE126" t="e">
        <f>AND(Sheet1!N1697,"AAAAAH/vtO4=")</f>
        <v>#VALUE!</v>
      </c>
      <c r="IF126" t="e">
        <f>AND(Sheet1!#REF!,"AAAAAH/vtO8=")</f>
        <v>#REF!</v>
      </c>
      <c r="IG126" t="e">
        <f>AND(Sheet1!#REF!,"AAAAAH/vtPA=")</f>
        <v>#REF!</v>
      </c>
      <c r="IH126" t="e">
        <f>AND(Sheet1!#REF!,"AAAAAH/vtPE=")</f>
        <v>#REF!</v>
      </c>
      <c r="II126" t="e">
        <f>AND(Sheet1!#REF!,"AAAAAH/vtPI=")</f>
        <v>#REF!</v>
      </c>
      <c r="IJ126">
        <f>IF(Sheet1!1698:1698,"AAAAAH/vtPM=",0)</f>
        <v>0</v>
      </c>
      <c r="IK126" t="e">
        <f>AND(Sheet1!A1698,"AAAAAH/vtPQ=")</f>
        <v>#VALUE!</v>
      </c>
      <c r="IL126" t="e">
        <f>AND(Sheet1!B1698,"AAAAAH/vtPU=")</f>
        <v>#VALUE!</v>
      </c>
      <c r="IM126" t="e">
        <f>AND(Sheet1!C1698,"AAAAAH/vtPY=")</f>
        <v>#VALUE!</v>
      </c>
      <c r="IN126" t="e">
        <f>AND(Sheet1!D1698,"AAAAAH/vtPc=")</f>
        <v>#VALUE!</v>
      </c>
      <c r="IO126" t="e">
        <f>AND(Sheet1!E1698,"AAAAAH/vtPg=")</f>
        <v>#VALUE!</v>
      </c>
      <c r="IP126" t="e">
        <f>AND(Sheet1!F1698,"AAAAAH/vtPk=")</f>
        <v>#VALUE!</v>
      </c>
      <c r="IQ126" t="e">
        <f>AND(Sheet1!G1698,"AAAAAH/vtPo=")</f>
        <v>#VALUE!</v>
      </c>
      <c r="IR126" t="e">
        <f>AND(Sheet1!H1698,"AAAAAH/vtPs=")</f>
        <v>#VALUE!</v>
      </c>
      <c r="IS126" t="e">
        <f>AND(Sheet1!I1698,"AAAAAH/vtPw=")</f>
        <v>#VALUE!</v>
      </c>
      <c r="IT126" t="e">
        <f>AND(Sheet1!J1698,"AAAAAH/vtP0=")</f>
        <v>#VALUE!</v>
      </c>
      <c r="IU126" t="e">
        <f>AND(Sheet1!K1698,"AAAAAH/vtP4=")</f>
        <v>#VALUE!</v>
      </c>
      <c r="IV126" t="e">
        <f>AND(Sheet1!L1698,"AAAAAH/vtP8=")</f>
        <v>#VALUE!</v>
      </c>
    </row>
    <row r="127" spans="1:256" x14ac:dyDescent="0.2">
      <c r="A127" t="e">
        <f>AND(Sheet1!M1698,"AAAAAG/unwA=")</f>
        <v>#VALUE!</v>
      </c>
      <c r="B127" t="e">
        <f>AND(Sheet1!N1698,"AAAAAG/unwE=")</f>
        <v>#VALUE!</v>
      </c>
      <c r="C127" t="e">
        <f>AND(Sheet1!#REF!,"AAAAAG/unwI=")</f>
        <v>#REF!</v>
      </c>
      <c r="D127" t="e">
        <f>AND(Sheet1!#REF!,"AAAAAG/unwM=")</f>
        <v>#REF!</v>
      </c>
      <c r="E127" t="e">
        <f>AND(Sheet1!#REF!,"AAAAAG/unwQ=")</f>
        <v>#REF!</v>
      </c>
      <c r="F127" t="e">
        <f>AND(Sheet1!#REF!,"AAAAAG/unwU=")</f>
        <v>#REF!</v>
      </c>
      <c r="G127" t="str">
        <f>IF(Sheet1!1699:1699,"AAAAAG/unwY=",0)</f>
        <v>AAAAAG/unwY=</v>
      </c>
      <c r="H127" t="e">
        <f>AND(Sheet1!A1699,"AAAAAG/unwc=")</f>
        <v>#VALUE!</v>
      </c>
      <c r="I127" t="e">
        <f>AND(Sheet1!B1699,"AAAAAG/unwg=")</f>
        <v>#VALUE!</v>
      </c>
      <c r="J127" t="e">
        <f>AND(Sheet1!C1699,"AAAAAG/unwk=")</f>
        <v>#VALUE!</v>
      </c>
      <c r="K127" t="e">
        <f>AND(Sheet1!D1699,"AAAAAG/unwo=")</f>
        <v>#VALUE!</v>
      </c>
      <c r="L127" t="e">
        <f>AND(Sheet1!E1699,"AAAAAG/unws=")</f>
        <v>#VALUE!</v>
      </c>
      <c r="M127" t="e">
        <f>AND(Sheet1!F1699,"AAAAAG/unww=")</f>
        <v>#VALUE!</v>
      </c>
      <c r="N127" t="e">
        <f>AND(Sheet1!G1699,"AAAAAG/unw0=")</f>
        <v>#VALUE!</v>
      </c>
      <c r="O127" t="e">
        <f>AND(Sheet1!H1699,"AAAAAG/unw4=")</f>
        <v>#VALUE!</v>
      </c>
      <c r="P127" t="e">
        <f>AND(Sheet1!I1699,"AAAAAG/unw8=")</f>
        <v>#VALUE!</v>
      </c>
      <c r="Q127" t="e">
        <f>AND(Sheet1!J1699,"AAAAAG/unxA=")</f>
        <v>#VALUE!</v>
      </c>
      <c r="R127" t="e">
        <f>AND(Sheet1!K1699,"AAAAAG/unxE=")</f>
        <v>#VALUE!</v>
      </c>
      <c r="S127" t="e">
        <f>AND(Sheet1!L1699,"AAAAAG/unxI=")</f>
        <v>#VALUE!</v>
      </c>
      <c r="T127" t="e">
        <f>AND(Sheet1!M1699,"AAAAAG/unxM=")</f>
        <v>#VALUE!</v>
      </c>
      <c r="U127" t="e">
        <f>AND(Sheet1!N1699,"AAAAAG/unxQ=")</f>
        <v>#VALUE!</v>
      </c>
      <c r="V127" t="e">
        <f>AND(Sheet1!#REF!,"AAAAAG/unxU=")</f>
        <v>#REF!</v>
      </c>
      <c r="W127" t="e">
        <f>AND(Sheet1!#REF!,"AAAAAG/unxY=")</f>
        <v>#REF!</v>
      </c>
      <c r="X127" t="e">
        <f>AND(Sheet1!#REF!,"AAAAAG/unxc=")</f>
        <v>#REF!</v>
      </c>
      <c r="Y127" t="e">
        <f>AND(Sheet1!#REF!,"AAAAAG/unxg=")</f>
        <v>#REF!</v>
      </c>
      <c r="Z127">
        <f>IF(Sheet1!1700:1700,"AAAAAG/unxk=",0)</f>
        <v>0</v>
      </c>
      <c r="AA127" t="e">
        <f>AND(Sheet1!A1700,"AAAAAG/unxo=")</f>
        <v>#VALUE!</v>
      </c>
      <c r="AB127" t="e">
        <f>AND(Sheet1!B1700,"AAAAAG/unxs=")</f>
        <v>#VALUE!</v>
      </c>
      <c r="AC127" t="e">
        <f>AND(Sheet1!C1700,"AAAAAG/unxw=")</f>
        <v>#VALUE!</v>
      </c>
      <c r="AD127" t="e">
        <f>AND(Sheet1!D1700,"AAAAAG/unx0=")</f>
        <v>#VALUE!</v>
      </c>
      <c r="AE127" t="e">
        <f>AND(Sheet1!E1700,"AAAAAG/unx4=")</f>
        <v>#VALUE!</v>
      </c>
      <c r="AF127" t="e">
        <f>AND(Sheet1!F1700,"AAAAAG/unx8=")</f>
        <v>#VALUE!</v>
      </c>
      <c r="AG127" t="e">
        <f>AND(Sheet1!G1700,"AAAAAG/unyA=")</f>
        <v>#VALUE!</v>
      </c>
      <c r="AH127" t="e">
        <f>AND(Sheet1!H1700,"AAAAAG/unyE=")</f>
        <v>#VALUE!</v>
      </c>
      <c r="AI127" t="e">
        <f>AND(Sheet1!I1700,"AAAAAG/unyI=")</f>
        <v>#VALUE!</v>
      </c>
      <c r="AJ127" t="e">
        <f>AND(Sheet1!J1700,"AAAAAG/unyM=")</f>
        <v>#VALUE!</v>
      </c>
      <c r="AK127" t="e">
        <f>AND(Sheet1!K1700,"AAAAAG/unyQ=")</f>
        <v>#VALUE!</v>
      </c>
      <c r="AL127" t="e">
        <f>AND(Sheet1!L1700,"AAAAAG/unyU=")</f>
        <v>#VALUE!</v>
      </c>
      <c r="AM127" t="e">
        <f>AND(Sheet1!M1700,"AAAAAG/unyY=")</f>
        <v>#VALUE!</v>
      </c>
      <c r="AN127" t="e">
        <f>AND(Sheet1!N1700,"AAAAAG/unyc=")</f>
        <v>#VALUE!</v>
      </c>
      <c r="AO127" t="e">
        <f>AND(Sheet1!#REF!,"AAAAAG/unyg=")</f>
        <v>#REF!</v>
      </c>
      <c r="AP127" t="e">
        <f>AND(Sheet1!#REF!,"AAAAAG/unyk=")</f>
        <v>#REF!</v>
      </c>
      <c r="AQ127" t="e">
        <f>AND(Sheet1!#REF!,"AAAAAG/unyo=")</f>
        <v>#REF!</v>
      </c>
      <c r="AR127" t="e">
        <f>AND(Sheet1!#REF!,"AAAAAG/unys=")</f>
        <v>#REF!</v>
      </c>
      <c r="AS127">
        <f>IF(Sheet1!1701:1701,"AAAAAG/unyw=",0)</f>
        <v>0</v>
      </c>
      <c r="AT127" t="e">
        <f>AND(Sheet1!A1701,"AAAAAG/uny0=")</f>
        <v>#VALUE!</v>
      </c>
      <c r="AU127" t="e">
        <f>AND(Sheet1!B1701,"AAAAAG/uny4=")</f>
        <v>#VALUE!</v>
      </c>
      <c r="AV127" t="e">
        <f>AND(Sheet1!C1701,"AAAAAG/uny8=")</f>
        <v>#VALUE!</v>
      </c>
      <c r="AW127" t="e">
        <f>AND(Sheet1!D1701,"AAAAAG/unzA=")</f>
        <v>#VALUE!</v>
      </c>
      <c r="AX127" t="e">
        <f>AND(Sheet1!E1701,"AAAAAG/unzE=")</f>
        <v>#VALUE!</v>
      </c>
      <c r="AY127" t="e">
        <f>AND(Sheet1!F1701,"AAAAAG/unzI=")</f>
        <v>#VALUE!</v>
      </c>
      <c r="AZ127" t="e">
        <f>AND(Sheet1!G1701,"AAAAAG/unzM=")</f>
        <v>#VALUE!</v>
      </c>
      <c r="BA127" t="e">
        <f>AND(Sheet1!H1701,"AAAAAG/unzQ=")</f>
        <v>#VALUE!</v>
      </c>
      <c r="BB127" t="e">
        <f>AND(Sheet1!I1701,"AAAAAG/unzU=")</f>
        <v>#VALUE!</v>
      </c>
      <c r="BC127" t="e">
        <f>AND(Sheet1!J1701,"AAAAAG/unzY=")</f>
        <v>#VALUE!</v>
      </c>
      <c r="BD127" t="e">
        <f>AND(Sheet1!K1701,"AAAAAG/unzc=")</f>
        <v>#VALUE!</v>
      </c>
      <c r="BE127" t="e">
        <f>AND(Sheet1!L1701,"AAAAAG/unzg=")</f>
        <v>#VALUE!</v>
      </c>
      <c r="BF127" t="e">
        <f>AND(Sheet1!M1701,"AAAAAG/unzk=")</f>
        <v>#VALUE!</v>
      </c>
      <c r="BG127" t="e">
        <f>AND(Sheet1!N1701,"AAAAAG/unzo=")</f>
        <v>#VALUE!</v>
      </c>
      <c r="BH127" t="e">
        <f>AND(Sheet1!#REF!,"AAAAAG/unzs=")</f>
        <v>#REF!</v>
      </c>
      <c r="BI127" t="e">
        <f>AND(Sheet1!#REF!,"AAAAAG/unzw=")</f>
        <v>#REF!</v>
      </c>
      <c r="BJ127" t="e">
        <f>AND(Sheet1!#REF!,"AAAAAG/unz0=")</f>
        <v>#REF!</v>
      </c>
      <c r="BK127" t="e">
        <f>AND(Sheet1!#REF!,"AAAAAG/unz4=")</f>
        <v>#REF!</v>
      </c>
      <c r="BL127">
        <f>IF(Sheet1!1702:1702,"AAAAAG/unz8=",0)</f>
        <v>0</v>
      </c>
      <c r="BM127" t="e">
        <f>AND(Sheet1!A1702,"AAAAAG/un0A=")</f>
        <v>#VALUE!</v>
      </c>
      <c r="BN127" t="e">
        <f>AND(Sheet1!B1702,"AAAAAG/un0E=")</f>
        <v>#VALUE!</v>
      </c>
      <c r="BO127" t="e">
        <f>AND(Sheet1!C1702,"AAAAAG/un0I=")</f>
        <v>#VALUE!</v>
      </c>
      <c r="BP127" t="e">
        <f>AND(Sheet1!D1702,"AAAAAG/un0M=")</f>
        <v>#VALUE!</v>
      </c>
      <c r="BQ127" t="e">
        <f>AND(Sheet1!E1702,"AAAAAG/un0Q=")</f>
        <v>#VALUE!</v>
      </c>
      <c r="BR127" t="e">
        <f>AND(Sheet1!F1702,"AAAAAG/un0U=")</f>
        <v>#VALUE!</v>
      </c>
      <c r="BS127" t="e">
        <f>AND(Sheet1!G1702,"AAAAAG/un0Y=")</f>
        <v>#VALUE!</v>
      </c>
      <c r="BT127" t="e">
        <f>AND(Sheet1!H1702,"AAAAAG/un0c=")</f>
        <v>#VALUE!</v>
      </c>
      <c r="BU127" t="e">
        <f>AND(Sheet1!I1702,"AAAAAG/un0g=")</f>
        <v>#VALUE!</v>
      </c>
      <c r="BV127" t="e">
        <f>AND(Sheet1!J1702,"AAAAAG/un0k=")</f>
        <v>#VALUE!</v>
      </c>
      <c r="BW127" t="e">
        <f>AND(Sheet1!K1702,"AAAAAG/un0o=")</f>
        <v>#VALUE!</v>
      </c>
      <c r="BX127" t="e">
        <f>AND(Sheet1!L1702,"AAAAAG/un0s=")</f>
        <v>#VALUE!</v>
      </c>
      <c r="BY127" t="e">
        <f>AND(Sheet1!M1702,"AAAAAG/un0w=")</f>
        <v>#VALUE!</v>
      </c>
      <c r="BZ127" t="e">
        <f>AND(Sheet1!N1702,"AAAAAG/un00=")</f>
        <v>#VALUE!</v>
      </c>
      <c r="CA127" t="e">
        <f>AND(Sheet1!#REF!,"AAAAAG/un04=")</f>
        <v>#REF!</v>
      </c>
      <c r="CB127" t="e">
        <f>AND(Sheet1!#REF!,"AAAAAG/un08=")</f>
        <v>#REF!</v>
      </c>
      <c r="CC127" t="e">
        <f>AND(Sheet1!#REF!,"AAAAAG/un1A=")</f>
        <v>#REF!</v>
      </c>
      <c r="CD127" t="e">
        <f>AND(Sheet1!#REF!,"AAAAAG/un1E=")</f>
        <v>#REF!</v>
      </c>
      <c r="CE127">
        <f>IF(Sheet1!1703:1703,"AAAAAG/un1I=",0)</f>
        <v>0</v>
      </c>
      <c r="CF127" t="e">
        <f>AND(Sheet1!A1703,"AAAAAG/un1M=")</f>
        <v>#VALUE!</v>
      </c>
      <c r="CG127" t="e">
        <f>AND(Sheet1!B1703,"AAAAAG/un1Q=")</f>
        <v>#VALUE!</v>
      </c>
      <c r="CH127" t="e">
        <f>AND(Sheet1!C1703,"AAAAAG/un1U=")</f>
        <v>#VALUE!</v>
      </c>
      <c r="CI127" t="e">
        <f>AND(Sheet1!D1703,"AAAAAG/un1Y=")</f>
        <v>#VALUE!</v>
      </c>
      <c r="CJ127" t="e">
        <f>AND(Sheet1!E1703,"AAAAAG/un1c=")</f>
        <v>#VALUE!</v>
      </c>
      <c r="CK127" t="e">
        <f>AND(Sheet1!F1703,"AAAAAG/un1g=")</f>
        <v>#VALUE!</v>
      </c>
      <c r="CL127" t="e">
        <f>AND(Sheet1!G1703,"AAAAAG/un1k=")</f>
        <v>#VALUE!</v>
      </c>
      <c r="CM127" t="e">
        <f>AND(Sheet1!H1703,"AAAAAG/un1o=")</f>
        <v>#VALUE!</v>
      </c>
      <c r="CN127" t="e">
        <f>AND(Sheet1!I1703,"AAAAAG/un1s=")</f>
        <v>#VALUE!</v>
      </c>
      <c r="CO127" t="e">
        <f>AND(Sheet1!J1703,"AAAAAG/un1w=")</f>
        <v>#VALUE!</v>
      </c>
      <c r="CP127" t="e">
        <f>AND(Sheet1!K1703,"AAAAAG/un10=")</f>
        <v>#VALUE!</v>
      </c>
      <c r="CQ127" t="e">
        <f>AND(Sheet1!L1703,"AAAAAG/un14=")</f>
        <v>#VALUE!</v>
      </c>
      <c r="CR127" t="e">
        <f>AND(Sheet1!M1703,"AAAAAG/un18=")</f>
        <v>#VALUE!</v>
      </c>
      <c r="CS127" t="e">
        <f>AND(Sheet1!N1703,"AAAAAG/un2A=")</f>
        <v>#VALUE!</v>
      </c>
      <c r="CT127" t="e">
        <f>AND(Sheet1!#REF!,"AAAAAG/un2E=")</f>
        <v>#REF!</v>
      </c>
      <c r="CU127" t="e">
        <f>AND(Sheet1!#REF!,"AAAAAG/un2I=")</f>
        <v>#REF!</v>
      </c>
      <c r="CV127" t="e">
        <f>AND(Sheet1!#REF!,"AAAAAG/un2M=")</f>
        <v>#REF!</v>
      </c>
      <c r="CW127" t="e">
        <f>AND(Sheet1!#REF!,"AAAAAG/un2Q=")</f>
        <v>#REF!</v>
      </c>
      <c r="CX127">
        <f>IF(Sheet1!1704:1704,"AAAAAG/un2U=",0)</f>
        <v>0</v>
      </c>
      <c r="CY127" t="e">
        <f>AND(Sheet1!A1704,"AAAAAG/un2Y=")</f>
        <v>#VALUE!</v>
      </c>
      <c r="CZ127" t="e">
        <f>AND(Sheet1!B1704,"AAAAAG/un2c=")</f>
        <v>#VALUE!</v>
      </c>
      <c r="DA127" t="e">
        <f>AND(Sheet1!C1704,"AAAAAG/un2g=")</f>
        <v>#VALUE!</v>
      </c>
      <c r="DB127" t="e">
        <f>AND(Sheet1!D1704,"AAAAAG/un2k=")</f>
        <v>#VALUE!</v>
      </c>
      <c r="DC127" t="e">
        <f>AND(Sheet1!E1704,"AAAAAG/un2o=")</f>
        <v>#VALUE!</v>
      </c>
      <c r="DD127" t="e">
        <f>AND(Sheet1!F1704,"AAAAAG/un2s=")</f>
        <v>#VALUE!</v>
      </c>
      <c r="DE127" t="e">
        <f>AND(Sheet1!G1704,"AAAAAG/un2w=")</f>
        <v>#VALUE!</v>
      </c>
      <c r="DF127" t="e">
        <f>AND(Sheet1!H1704,"AAAAAG/un20=")</f>
        <v>#VALUE!</v>
      </c>
      <c r="DG127" t="e">
        <f>AND(Sheet1!I1704,"AAAAAG/un24=")</f>
        <v>#VALUE!</v>
      </c>
      <c r="DH127" t="e">
        <f>AND(Sheet1!J1704,"AAAAAG/un28=")</f>
        <v>#VALUE!</v>
      </c>
      <c r="DI127" t="e">
        <f>AND(Sheet1!K1704,"AAAAAG/un3A=")</f>
        <v>#VALUE!</v>
      </c>
      <c r="DJ127" t="e">
        <f>AND(Sheet1!L1704,"AAAAAG/un3E=")</f>
        <v>#VALUE!</v>
      </c>
      <c r="DK127" t="e">
        <f>AND(Sheet1!M1704,"AAAAAG/un3I=")</f>
        <v>#VALUE!</v>
      </c>
      <c r="DL127" t="e">
        <f>AND(Sheet1!N1704,"AAAAAG/un3M=")</f>
        <v>#VALUE!</v>
      </c>
      <c r="DM127" t="e">
        <f>AND(Sheet1!#REF!,"AAAAAG/un3Q=")</f>
        <v>#REF!</v>
      </c>
      <c r="DN127" t="e">
        <f>AND(Sheet1!#REF!,"AAAAAG/un3U=")</f>
        <v>#REF!</v>
      </c>
      <c r="DO127" t="e">
        <f>AND(Sheet1!#REF!,"AAAAAG/un3Y=")</f>
        <v>#REF!</v>
      </c>
      <c r="DP127" t="e">
        <f>AND(Sheet1!#REF!,"AAAAAG/un3c=")</f>
        <v>#REF!</v>
      </c>
      <c r="DQ127">
        <f>IF(Sheet1!1705:1705,"AAAAAG/un3g=",0)</f>
        <v>0</v>
      </c>
      <c r="DR127" t="e">
        <f>AND(Sheet1!A1705,"AAAAAG/un3k=")</f>
        <v>#VALUE!</v>
      </c>
      <c r="DS127" t="e">
        <f>AND(Sheet1!B1705,"AAAAAG/un3o=")</f>
        <v>#VALUE!</v>
      </c>
      <c r="DT127" t="e">
        <f>AND(Sheet1!C1705,"AAAAAG/un3s=")</f>
        <v>#VALUE!</v>
      </c>
      <c r="DU127" t="e">
        <f>AND(Sheet1!D1705,"AAAAAG/un3w=")</f>
        <v>#VALUE!</v>
      </c>
      <c r="DV127" t="e">
        <f>AND(Sheet1!E1705,"AAAAAG/un30=")</f>
        <v>#VALUE!</v>
      </c>
      <c r="DW127" t="e">
        <f>AND(Sheet1!F1705,"AAAAAG/un34=")</f>
        <v>#VALUE!</v>
      </c>
      <c r="DX127" t="e">
        <f>AND(Sheet1!G1705,"AAAAAG/un38=")</f>
        <v>#VALUE!</v>
      </c>
      <c r="DY127" t="e">
        <f>AND(Sheet1!H1705,"AAAAAG/un4A=")</f>
        <v>#VALUE!</v>
      </c>
      <c r="DZ127" t="e">
        <f>AND(Sheet1!I1705,"AAAAAG/un4E=")</f>
        <v>#VALUE!</v>
      </c>
      <c r="EA127" t="e">
        <f>AND(Sheet1!J1705,"AAAAAG/un4I=")</f>
        <v>#VALUE!</v>
      </c>
      <c r="EB127" t="e">
        <f>AND(Sheet1!K1705,"AAAAAG/un4M=")</f>
        <v>#VALUE!</v>
      </c>
      <c r="EC127" t="e">
        <f>AND(Sheet1!L1705,"AAAAAG/un4Q=")</f>
        <v>#VALUE!</v>
      </c>
      <c r="ED127" t="e">
        <f>AND(Sheet1!M1705,"AAAAAG/un4U=")</f>
        <v>#VALUE!</v>
      </c>
      <c r="EE127" t="e">
        <f>AND(Sheet1!N1705,"AAAAAG/un4Y=")</f>
        <v>#VALUE!</v>
      </c>
      <c r="EF127" t="e">
        <f>AND(Sheet1!#REF!,"AAAAAG/un4c=")</f>
        <v>#REF!</v>
      </c>
      <c r="EG127" t="e">
        <f>AND(Sheet1!#REF!,"AAAAAG/un4g=")</f>
        <v>#REF!</v>
      </c>
      <c r="EH127" t="e">
        <f>AND(Sheet1!#REF!,"AAAAAG/un4k=")</f>
        <v>#REF!</v>
      </c>
      <c r="EI127" t="e">
        <f>AND(Sheet1!#REF!,"AAAAAG/un4o=")</f>
        <v>#REF!</v>
      </c>
      <c r="EJ127">
        <f>IF(Sheet1!1706:1706,"AAAAAG/un4s=",0)</f>
        <v>0</v>
      </c>
      <c r="EK127" t="e">
        <f>AND(Sheet1!A1706,"AAAAAG/un4w=")</f>
        <v>#VALUE!</v>
      </c>
      <c r="EL127" t="e">
        <f>AND(Sheet1!B1706,"AAAAAG/un40=")</f>
        <v>#VALUE!</v>
      </c>
      <c r="EM127" t="e">
        <f>AND(Sheet1!C1706,"AAAAAG/un44=")</f>
        <v>#VALUE!</v>
      </c>
      <c r="EN127" t="e">
        <f>AND(Sheet1!D1706,"AAAAAG/un48=")</f>
        <v>#VALUE!</v>
      </c>
      <c r="EO127" t="e">
        <f>AND(Sheet1!E1706,"AAAAAG/un5A=")</f>
        <v>#VALUE!</v>
      </c>
      <c r="EP127" t="e">
        <f>AND(Sheet1!F1706,"AAAAAG/un5E=")</f>
        <v>#VALUE!</v>
      </c>
      <c r="EQ127" t="e">
        <f>AND(Sheet1!G1706,"AAAAAG/un5I=")</f>
        <v>#VALUE!</v>
      </c>
      <c r="ER127" t="e">
        <f>AND(Sheet1!H1706,"AAAAAG/un5M=")</f>
        <v>#VALUE!</v>
      </c>
      <c r="ES127" t="e">
        <f>AND(Sheet1!I1706,"AAAAAG/un5Q=")</f>
        <v>#VALUE!</v>
      </c>
      <c r="ET127" t="e">
        <f>AND(Sheet1!J1706,"AAAAAG/un5U=")</f>
        <v>#VALUE!</v>
      </c>
      <c r="EU127" t="e">
        <f>AND(Sheet1!K1706,"AAAAAG/un5Y=")</f>
        <v>#VALUE!</v>
      </c>
      <c r="EV127" t="e">
        <f>AND(Sheet1!L1706,"AAAAAG/un5c=")</f>
        <v>#VALUE!</v>
      </c>
      <c r="EW127" t="e">
        <f>AND(Sheet1!M1706,"AAAAAG/un5g=")</f>
        <v>#VALUE!</v>
      </c>
      <c r="EX127" t="e">
        <f>AND(Sheet1!N1706,"AAAAAG/un5k=")</f>
        <v>#VALUE!</v>
      </c>
      <c r="EY127" t="e">
        <f>AND(Sheet1!#REF!,"AAAAAG/un5o=")</f>
        <v>#REF!</v>
      </c>
      <c r="EZ127" t="e">
        <f>AND(Sheet1!#REF!,"AAAAAG/un5s=")</f>
        <v>#REF!</v>
      </c>
      <c r="FA127" t="e">
        <f>AND(Sheet1!#REF!,"AAAAAG/un5w=")</f>
        <v>#REF!</v>
      </c>
      <c r="FB127" t="e">
        <f>AND(Sheet1!#REF!,"AAAAAG/un50=")</f>
        <v>#REF!</v>
      </c>
      <c r="FC127">
        <f>IF(Sheet1!1707:1707,"AAAAAG/un54=",0)</f>
        <v>0</v>
      </c>
      <c r="FD127" t="e">
        <f>AND(Sheet1!A1707,"AAAAAG/un58=")</f>
        <v>#VALUE!</v>
      </c>
      <c r="FE127" t="e">
        <f>AND(Sheet1!B1707,"AAAAAG/un6A=")</f>
        <v>#VALUE!</v>
      </c>
      <c r="FF127" t="e">
        <f>AND(Sheet1!C1707,"AAAAAG/un6E=")</f>
        <v>#VALUE!</v>
      </c>
      <c r="FG127" t="e">
        <f>AND(Sheet1!D1707,"AAAAAG/un6I=")</f>
        <v>#VALUE!</v>
      </c>
      <c r="FH127" t="e">
        <f>AND(Sheet1!E1707,"AAAAAG/un6M=")</f>
        <v>#VALUE!</v>
      </c>
      <c r="FI127" t="e">
        <f>AND(Sheet1!F1707,"AAAAAG/un6Q=")</f>
        <v>#VALUE!</v>
      </c>
      <c r="FJ127" t="e">
        <f>AND(Sheet1!G1707,"AAAAAG/un6U=")</f>
        <v>#VALUE!</v>
      </c>
      <c r="FK127" t="e">
        <f>AND(Sheet1!H1707,"AAAAAG/un6Y=")</f>
        <v>#VALUE!</v>
      </c>
      <c r="FL127" t="e">
        <f>AND(Sheet1!I1707,"AAAAAG/un6c=")</f>
        <v>#VALUE!</v>
      </c>
      <c r="FM127" t="e">
        <f>AND(Sheet1!J1707,"AAAAAG/un6g=")</f>
        <v>#VALUE!</v>
      </c>
      <c r="FN127" t="e">
        <f>AND(Sheet1!K1707,"AAAAAG/un6k=")</f>
        <v>#VALUE!</v>
      </c>
      <c r="FO127" t="e">
        <f>AND(Sheet1!L1707,"AAAAAG/un6o=")</f>
        <v>#VALUE!</v>
      </c>
      <c r="FP127" t="e">
        <f>AND(Sheet1!M1707,"AAAAAG/un6s=")</f>
        <v>#VALUE!</v>
      </c>
      <c r="FQ127" t="e">
        <f>AND(Sheet1!N1707,"AAAAAG/un6w=")</f>
        <v>#VALUE!</v>
      </c>
      <c r="FR127" t="e">
        <f>AND(Sheet1!#REF!,"AAAAAG/un60=")</f>
        <v>#REF!</v>
      </c>
      <c r="FS127" t="e">
        <f>AND(Sheet1!#REF!,"AAAAAG/un64=")</f>
        <v>#REF!</v>
      </c>
      <c r="FT127" t="e">
        <f>AND(Sheet1!#REF!,"AAAAAG/un68=")</f>
        <v>#REF!</v>
      </c>
      <c r="FU127" t="e">
        <f>AND(Sheet1!#REF!,"AAAAAG/un7A=")</f>
        <v>#REF!</v>
      </c>
      <c r="FV127">
        <f>IF(Sheet1!1708:1708,"AAAAAG/un7E=",0)</f>
        <v>0</v>
      </c>
      <c r="FW127" t="e">
        <f>AND(Sheet1!A1708,"AAAAAG/un7I=")</f>
        <v>#VALUE!</v>
      </c>
      <c r="FX127" t="e">
        <f>AND(Sheet1!B1708,"AAAAAG/un7M=")</f>
        <v>#VALUE!</v>
      </c>
      <c r="FY127" t="e">
        <f>AND(Sheet1!C1708,"AAAAAG/un7Q=")</f>
        <v>#VALUE!</v>
      </c>
      <c r="FZ127" t="e">
        <f>AND(Sheet1!D1708,"AAAAAG/un7U=")</f>
        <v>#VALUE!</v>
      </c>
      <c r="GA127" t="e">
        <f>AND(Sheet1!E1708,"AAAAAG/un7Y=")</f>
        <v>#VALUE!</v>
      </c>
      <c r="GB127" t="e">
        <f>AND(Sheet1!F1708,"AAAAAG/un7c=")</f>
        <v>#VALUE!</v>
      </c>
      <c r="GC127" t="e">
        <f>AND(Sheet1!G1708,"AAAAAG/un7g=")</f>
        <v>#VALUE!</v>
      </c>
      <c r="GD127" t="e">
        <f>AND(Sheet1!H1708,"AAAAAG/un7k=")</f>
        <v>#VALUE!</v>
      </c>
      <c r="GE127" t="e">
        <f>AND(Sheet1!I1708,"AAAAAG/un7o=")</f>
        <v>#VALUE!</v>
      </c>
      <c r="GF127" t="e">
        <f>AND(Sheet1!J1708,"AAAAAG/un7s=")</f>
        <v>#VALUE!</v>
      </c>
      <c r="GG127" t="e">
        <f>AND(Sheet1!K1708,"AAAAAG/un7w=")</f>
        <v>#VALUE!</v>
      </c>
      <c r="GH127" t="e">
        <f>AND(Sheet1!L1708,"AAAAAG/un70=")</f>
        <v>#VALUE!</v>
      </c>
      <c r="GI127" t="e">
        <f>AND(Sheet1!M1708,"AAAAAG/un74=")</f>
        <v>#VALUE!</v>
      </c>
      <c r="GJ127" t="e">
        <f>AND(Sheet1!N1708,"AAAAAG/un78=")</f>
        <v>#VALUE!</v>
      </c>
      <c r="GK127" t="e">
        <f>AND(Sheet1!#REF!,"AAAAAG/un8A=")</f>
        <v>#REF!</v>
      </c>
      <c r="GL127" t="e">
        <f>AND(Sheet1!#REF!,"AAAAAG/un8E=")</f>
        <v>#REF!</v>
      </c>
      <c r="GM127" t="e">
        <f>AND(Sheet1!#REF!,"AAAAAG/un8I=")</f>
        <v>#REF!</v>
      </c>
      <c r="GN127" t="e">
        <f>AND(Sheet1!#REF!,"AAAAAG/un8M=")</f>
        <v>#REF!</v>
      </c>
      <c r="GO127">
        <f>IF(Sheet1!1709:1709,"AAAAAG/un8Q=",0)</f>
        <v>0</v>
      </c>
      <c r="GP127" t="e">
        <f>AND(Sheet1!A1709,"AAAAAG/un8U=")</f>
        <v>#VALUE!</v>
      </c>
      <c r="GQ127" t="e">
        <f>AND(Sheet1!B1709,"AAAAAG/un8Y=")</f>
        <v>#VALUE!</v>
      </c>
      <c r="GR127" t="e">
        <f>AND(Sheet1!C1709,"AAAAAG/un8c=")</f>
        <v>#VALUE!</v>
      </c>
      <c r="GS127" t="e">
        <f>AND(Sheet1!D1709,"AAAAAG/un8g=")</f>
        <v>#VALUE!</v>
      </c>
      <c r="GT127" t="e">
        <f>AND(Sheet1!E1709,"AAAAAG/un8k=")</f>
        <v>#VALUE!</v>
      </c>
      <c r="GU127" t="e">
        <f>AND(Sheet1!F1709,"AAAAAG/un8o=")</f>
        <v>#VALUE!</v>
      </c>
      <c r="GV127" t="e">
        <f>AND(Sheet1!G1709,"AAAAAG/un8s=")</f>
        <v>#VALUE!</v>
      </c>
      <c r="GW127" t="e">
        <f>AND(Sheet1!H1709,"AAAAAG/un8w=")</f>
        <v>#VALUE!</v>
      </c>
      <c r="GX127" t="e">
        <f>AND(Sheet1!I1709,"AAAAAG/un80=")</f>
        <v>#VALUE!</v>
      </c>
      <c r="GY127" t="e">
        <f>AND(Sheet1!J1709,"AAAAAG/un84=")</f>
        <v>#VALUE!</v>
      </c>
      <c r="GZ127" t="e">
        <f>AND(Sheet1!K1709,"AAAAAG/un88=")</f>
        <v>#VALUE!</v>
      </c>
      <c r="HA127" t="e">
        <f>AND(Sheet1!L1709,"AAAAAG/un9A=")</f>
        <v>#VALUE!</v>
      </c>
      <c r="HB127" t="e">
        <f>AND(Sheet1!M1709,"AAAAAG/un9E=")</f>
        <v>#VALUE!</v>
      </c>
      <c r="HC127" t="e">
        <f>AND(Sheet1!N1709,"AAAAAG/un9I=")</f>
        <v>#VALUE!</v>
      </c>
      <c r="HD127" t="e">
        <f>AND(Sheet1!#REF!,"AAAAAG/un9M=")</f>
        <v>#REF!</v>
      </c>
      <c r="HE127" t="e">
        <f>AND(Sheet1!#REF!,"AAAAAG/un9Q=")</f>
        <v>#REF!</v>
      </c>
      <c r="HF127" t="e">
        <f>AND(Sheet1!#REF!,"AAAAAG/un9U=")</f>
        <v>#REF!</v>
      </c>
      <c r="HG127" t="e">
        <f>AND(Sheet1!#REF!,"AAAAAG/un9Y=")</f>
        <v>#REF!</v>
      </c>
      <c r="HH127">
        <f>IF(Sheet1!1710:1710,"AAAAAG/un9c=",0)</f>
        <v>0</v>
      </c>
      <c r="HI127" t="e">
        <f>AND(Sheet1!A1710,"AAAAAG/un9g=")</f>
        <v>#VALUE!</v>
      </c>
      <c r="HJ127" t="e">
        <f>AND(Sheet1!B1710,"AAAAAG/un9k=")</f>
        <v>#VALUE!</v>
      </c>
      <c r="HK127" t="e">
        <f>AND(Sheet1!C1710,"AAAAAG/un9o=")</f>
        <v>#VALUE!</v>
      </c>
      <c r="HL127" t="e">
        <f>AND(Sheet1!D1710,"AAAAAG/un9s=")</f>
        <v>#VALUE!</v>
      </c>
      <c r="HM127" t="e">
        <f>AND(Sheet1!E1710,"AAAAAG/un9w=")</f>
        <v>#VALUE!</v>
      </c>
      <c r="HN127" t="e">
        <f>AND(Sheet1!F1710,"AAAAAG/un90=")</f>
        <v>#VALUE!</v>
      </c>
      <c r="HO127" t="e">
        <f>AND(Sheet1!G1710,"AAAAAG/un94=")</f>
        <v>#VALUE!</v>
      </c>
      <c r="HP127" t="e">
        <f>AND(Sheet1!H1710,"AAAAAG/un98=")</f>
        <v>#VALUE!</v>
      </c>
      <c r="HQ127" t="e">
        <f>AND(Sheet1!I1710,"AAAAAG/un+A=")</f>
        <v>#VALUE!</v>
      </c>
      <c r="HR127" t="e">
        <f>AND(Sheet1!J1710,"AAAAAG/un+E=")</f>
        <v>#VALUE!</v>
      </c>
      <c r="HS127" t="e">
        <f>AND(Sheet1!K1710,"AAAAAG/un+I=")</f>
        <v>#VALUE!</v>
      </c>
      <c r="HT127" t="e">
        <f>AND(Sheet1!L1710,"AAAAAG/un+M=")</f>
        <v>#VALUE!</v>
      </c>
      <c r="HU127" t="e">
        <f>AND(Sheet1!M1710,"AAAAAG/un+Q=")</f>
        <v>#VALUE!</v>
      </c>
      <c r="HV127" t="e">
        <f>AND(Sheet1!N1710,"AAAAAG/un+U=")</f>
        <v>#VALUE!</v>
      </c>
      <c r="HW127" t="e">
        <f>AND(Sheet1!#REF!,"AAAAAG/un+Y=")</f>
        <v>#REF!</v>
      </c>
      <c r="HX127" t="e">
        <f>AND(Sheet1!#REF!,"AAAAAG/un+c=")</f>
        <v>#REF!</v>
      </c>
      <c r="HY127" t="e">
        <f>AND(Sheet1!#REF!,"AAAAAG/un+g=")</f>
        <v>#REF!</v>
      </c>
      <c r="HZ127" t="e">
        <f>AND(Sheet1!#REF!,"AAAAAG/un+k=")</f>
        <v>#REF!</v>
      </c>
      <c r="IA127">
        <f>IF(Sheet1!1711:1711,"AAAAAG/un+o=",0)</f>
        <v>0</v>
      </c>
      <c r="IB127" t="e">
        <f>AND(Sheet1!A1711,"AAAAAG/un+s=")</f>
        <v>#VALUE!</v>
      </c>
      <c r="IC127" t="e">
        <f>AND(Sheet1!B1711,"AAAAAG/un+w=")</f>
        <v>#VALUE!</v>
      </c>
      <c r="ID127" t="e">
        <f>AND(Sheet1!C1711,"AAAAAG/un+0=")</f>
        <v>#VALUE!</v>
      </c>
      <c r="IE127" t="e">
        <f>AND(Sheet1!D1711,"AAAAAG/un+4=")</f>
        <v>#VALUE!</v>
      </c>
      <c r="IF127" t="e">
        <f>AND(Sheet1!E1711,"AAAAAG/un+8=")</f>
        <v>#VALUE!</v>
      </c>
      <c r="IG127" t="e">
        <f>AND(Sheet1!F1711,"AAAAAG/un/A=")</f>
        <v>#VALUE!</v>
      </c>
      <c r="IH127" t="e">
        <f>AND(Sheet1!G1711,"AAAAAG/un/E=")</f>
        <v>#VALUE!</v>
      </c>
      <c r="II127" t="e">
        <f>AND(Sheet1!H1711,"AAAAAG/un/I=")</f>
        <v>#VALUE!</v>
      </c>
      <c r="IJ127" t="e">
        <f>AND(Sheet1!I1711,"AAAAAG/un/M=")</f>
        <v>#VALUE!</v>
      </c>
      <c r="IK127" t="e">
        <f>AND(Sheet1!J1711,"AAAAAG/un/Q=")</f>
        <v>#VALUE!</v>
      </c>
      <c r="IL127" t="e">
        <f>AND(Sheet1!K1711,"AAAAAG/un/U=")</f>
        <v>#VALUE!</v>
      </c>
      <c r="IM127" t="e">
        <f>AND(Sheet1!L1711,"AAAAAG/un/Y=")</f>
        <v>#VALUE!</v>
      </c>
      <c r="IN127" t="e">
        <f>AND(Sheet1!M1711,"AAAAAG/un/c=")</f>
        <v>#VALUE!</v>
      </c>
      <c r="IO127" t="e">
        <f>AND(Sheet1!N1711,"AAAAAG/un/g=")</f>
        <v>#VALUE!</v>
      </c>
      <c r="IP127" t="e">
        <f>AND(Sheet1!#REF!,"AAAAAG/un/k=")</f>
        <v>#REF!</v>
      </c>
      <c r="IQ127" t="e">
        <f>AND(Sheet1!#REF!,"AAAAAG/un/o=")</f>
        <v>#REF!</v>
      </c>
      <c r="IR127" t="e">
        <f>AND(Sheet1!#REF!,"AAAAAG/un/s=")</f>
        <v>#REF!</v>
      </c>
      <c r="IS127" t="e">
        <f>AND(Sheet1!#REF!,"AAAAAG/un/w=")</f>
        <v>#REF!</v>
      </c>
      <c r="IT127">
        <f>IF(Sheet1!1712:1712,"AAAAAG/un/0=",0)</f>
        <v>0</v>
      </c>
      <c r="IU127" t="e">
        <f>AND(Sheet1!A1712,"AAAAAG/un/4=")</f>
        <v>#VALUE!</v>
      </c>
      <c r="IV127" t="e">
        <f>AND(Sheet1!B1712,"AAAAAG/un/8=")</f>
        <v>#VALUE!</v>
      </c>
    </row>
    <row r="128" spans="1:256" x14ac:dyDescent="0.2">
      <c r="A128" t="e">
        <f>AND(Sheet1!C1712,"AAAAAB9efwA=")</f>
        <v>#VALUE!</v>
      </c>
      <c r="B128" t="e">
        <f>AND(Sheet1!D1712,"AAAAAB9efwE=")</f>
        <v>#VALUE!</v>
      </c>
      <c r="C128" t="e">
        <f>AND(Sheet1!E1712,"AAAAAB9efwI=")</f>
        <v>#VALUE!</v>
      </c>
      <c r="D128" t="e">
        <f>AND(Sheet1!F1712,"AAAAAB9efwM=")</f>
        <v>#VALUE!</v>
      </c>
      <c r="E128" t="e">
        <f>AND(Sheet1!G1712,"AAAAAB9efwQ=")</f>
        <v>#VALUE!</v>
      </c>
      <c r="F128" t="e">
        <f>AND(Sheet1!H1712,"AAAAAB9efwU=")</f>
        <v>#VALUE!</v>
      </c>
      <c r="G128" t="e">
        <f>AND(Sheet1!I1712,"AAAAAB9efwY=")</f>
        <v>#VALUE!</v>
      </c>
      <c r="H128" t="e">
        <f>AND(Sheet1!J1712,"AAAAAB9efwc=")</f>
        <v>#VALUE!</v>
      </c>
      <c r="I128" t="e">
        <f>AND(Sheet1!K1712,"AAAAAB9efwg=")</f>
        <v>#VALUE!</v>
      </c>
      <c r="J128" t="e">
        <f>AND(Sheet1!L1712,"AAAAAB9efwk=")</f>
        <v>#VALUE!</v>
      </c>
      <c r="K128" t="e">
        <f>AND(Sheet1!M1712,"AAAAAB9efwo=")</f>
        <v>#VALUE!</v>
      </c>
      <c r="L128" t="e">
        <f>AND(Sheet1!N1712,"AAAAAB9efws=")</f>
        <v>#VALUE!</v>
      </c>
      <c r="M128" t="e">
        <f>AND(Sheet1!#REF!,"AAAAAB9efww=")</f>
        <v>#REF!</v>
      </c>
      <c r="N128" t="e">
        <f>AND(Sheet1!#REF!,"AAAAAB9efw0=")</f>
        <v>#REF!</v>
      </c>
      <c r="O128" t="e">
        <f>AND(Sheet1!#REF!,"AAAAAB9efw4=")</f>
        <v>#REF!</v>
      </c>
      <c r="P128" t="e">
        <f>AND(Sheet1!#REF!,"AAAAAB9efw8=")</f>
        <v>#REF!</v>
      </c>
      <c r="Q128">
        <f>IF(Sheet1!1713:1713,"AAAAAB9efxA=",0)</f>
        <v>0</v>
      </c>
      <c r="R128" t="e">
        <f>AND(Sheet1!A1713,"AAAAAB9efxE=")</f>
        <v>#VALUE!</v>
      </c>
      <c r="S128" t="e">
        <f>AND(Sheet1!B1713,"AAAAAB9efxI=")</f>
        <v>#VALUE!</v>
      </c>
      <c r="T128" t="e">
        <f>AND(Sheet1!C1713,"AAAAAB9efxM=")</f>
        <v>#VALUE!</v>
      </c>
      <c r="U128" t="e">
        <f>AND(Sheet1!D1713,"AAAAAB9efxQ=")</f>
        <v>#VALUE!</v>
      </c>
      <c r="V128" t="e">
        <f>AND(Sheet1!E1713,"AAAAAB9efxU=")</f>
        <v>#VALUE!</v>
      </c>
      <c r="W128" t="e">
        <f>AND(Sheet1!F1713,"AAAAAB9efxY=")</f>
        <v>#VALUE!</v>
      </c>
      <c r="X128" t="e">
        <f>AND(Sheet1!G1713,"AAAAAB9efxc=")</f>
        <v>#VALUE!</v>
      </c>
      <c r="Y128" t="e">
        <f>AND(Sheet1!H1713,"AAAAAB9efxg=")</f>
        <v>#VALUE!</v>
      </c>
      <c r="Z128" t="e">
        <f>AND(Sheet1!I1713,"AAAAAB9efxk=")</f>
        <v>#VALUE!</v>
      </c>
      <c r="AA128" t="e">
        <f>AND(Sheet1!J1713,"AAAAAB9efxo=")</f>
        <v>#VALUE!</v>
      </c>
      <c r="AB128" t="e">
        <f>AND(Sheet1!K1713,"AAAAAB9efxs=")</f>
        <v>#VALUE!</v>
      </c>
      <c r="AC128" t="e">
        <f>AND(Sheet1!L1713,"AAAAAB9efxw=")</f>
        <v>#VALUE!</v>
      </c>
      <c r="AD128" t="e">
        <f>AND(Sheet1!M1713,"AAAAAB9efx0=")</f>
        <v>#VALUE!</v>
      </c>
      <c r="AE128" t="e">
        <f>AND(Sheet1!N1713,"AAAAAB9efx4=")</f>
        <v>#VALUE!</v>
      </c>
      <c r="AF128" t="e">
        <f>AND(Sheet1!#REF!,"AAAAAB9efx8=")</f>
        <v>#REF!</v>
      </c>
      <c r="AG128" t="e">
        <f>AND(Sheet1!#REF!,"AAAAAB9efyA=")</f>
        <v>#REF!</v>
      </c>
      <c r="AH128" t="e">
        <f>AND(Sheet1!#REF!,"AAAAAB9efyE=")</f>
        <v>#REF!</v>
      </c>
      <c r="AI128" t="e">
        <f>AND(Sheet1!#REF!,"AAAAAB9efyI=")</f>
        <v>#REF!</v>
      </c>
      <c r="AJ128">
        <f>IF(Sheet1!1714:1714,"AAAAAB9efyM=",0)</f>
        <v>0</v>
      </c>
      <c r="AK128" t="e">
        <f>AND(Sheet1!A1714,"AAAAAB9efyQ=")</f>
        <v>#VALUE!</v>
      </c>
      <c r="AL128" t="e">
        <f>AND(Sheet1!B1714,"AAAAAB9efyU=")</f>
        <v>#VALUE!</v>
      </c>
      <c r="AM128" t="e">
        <f>AND(Sheet1!C1714,"AAAAAB9efyY=")</f>
        <v>#VALUE!</v>
      </c>
      <c r="AN128" t="e">
        <f>AND(Sheet1!D1714,"AAAAAB9efyc=")</f>
        <v>#VALUE!</v>
      </c>
      <c r="AO128" t="e">
        <f>AND(Sheet1!E1714,"AAAAAB9efyg=")</f>
        <v>#VALUE!</v>
      </c>
      <c r="AP128" t="e">
        <f>AND(Sheet1!F1714,"AAAAAB9efyk=")</f>
        <v>#VALUE!</v>
      </c>
      <c r="AQ128" t="e">
        <f>AND(Sheet1!G1714,"AAAAAB9efyo=")</f>
        <v>#VALUE!</v>
      </c>
      <c r="AR128" t="e">
        <f>AND(Sheet1!H1714,"AAAAAB9efys=")</f>
        <v>#VALUE!</v>
      </c>
      <c r="AS128" t="e">
        <f>AND(Sheet1!I1714,"AAAAAB9efyw=")</f>
        <v>#VALUE!</v>
      </c>
      <c r="AT128" t="e">
        <f>AND(Sheet1!J1714,"AAAAAB9efy0=")</f>
        <v>#VALUE!</v>
      </c>
      <c r="AU128" t="e">
        <f>AND(Sheet1!K1714,"AAAAAB9efy4=")</f>
        <v>#VALUE!</v>
      </c>
      <c r="AV128" t="e">
        <f>AND(Sheet1!L1714,"AAAAAB9efy8=")</f>
        <v>#VALUE!</v>
      </c>
      <c r="AW128" t="e">
        <f>AND(Sheet1!M1714,"AAAAAB9efzA=")</f>
        <v>#VALUE!</v>
      </c>
      <c r="AX128" t="e">
        <f>AND(Sheet1!N1714,"AAAAAB9efzE=")</f>
        <v>#VALUE!</v>
      </c>
      <c r="AY128" t="e">
        <f>AND(Sheet1!#REF!,"AAAAAB9efzI=")</f>
        <v>#REF!</v>
      </c>
      <c r="AZ128" t="e">
        <f>AND(Sheet1!#REF!,"AAAAAB9efzM=")</f>
        <v>#REF!</v>
      </c>
      <c r="BA128" t="e">
        <f>AND(Sheet1!#REF!,"AAAAAB9efzQ=")</f>
        <v>#REF!</v>
      </c>
      <c r="BB128" t="e">
        <f>AND(Sheet1!#REF!,"AAAAAB9efzU=")</f>
        <v>#REF!</v>
      </c>
      <c r="BC128">
        <f>IF(Sheet1!1715:1715,"AAAAAB9efzY=",0)</f>
        <v>0</v>
      </c>
      <c r="BD128" t="e">
        <f>AND(Sheet1!A1715,"AAAAAB9efzc=")</f>
        <v>#VALUE!</v>
      </c>
      <c r="BE128" t="e">
        <f>AND(Sheet1!B1715,"AAAAAB9efzg=")</f>
        <v>#VALUE!</v>
      </c>
      <c r="BF128" t="e">
        <f>AND(Sheet1!C1715,"AAAAAB9efzk=")</f>
        <v>#VALUE!</v>
      </c>
      <c r="BG128" t="e">
        <f>AND(Sheet1!D1715,"AAAAAB9efzo=")</f>
        <v>#VALUE!</v>
      </c>
      <c r="BH128" t="e">
        <f>AND(Sheet1!E1715,"AAAAAB9efzs=")</f>
        <v>#VALUE!</v>
      </c>
      <c r="BI128" t="e">
        <f>AND(Sheet1!F1715,"AAAAAB9efzw=")</f>
        <v>#VALUE!</v>
      </c>
      <c r="BJ128" t="e">
        <f>AND(Sheet1!G1715,"AAAAAB9efz0=")</f>
        <v>#VALUE!</v>
      </c>
      <c r="BK128" t="e">
        <f>AND(Sheet1!H1715,"AAAAAB9efz4=")</f>
        <v>#VALUE!</v>
      </c>
      <c r="BL128" t="e">
        <f>AND(Sheet1!I1715,"AAAAAB9efz8=")</f>
        <v>#VALUE!</v>
      </c>
      <c r="BM128" t="e">
        <f>AND(Sheet1!J1715,"AAAAAB9ef0A=")</f>
        <v>#VALUE!</v>
      </c>
      <c r="BN128" t="e">
        <f>AND(Sheet1!K1715,"AAAAAB9ef0E=")</f>
        <v>#VALUE!</v>
      </c>
      <c r="BO128" t="e">
        <f>AND(Sheet1!L1715,"AAAAAB9ef0I=")</f>
        <v>#VALUE!</v>
      </c>
      <c r="BP128" t="e">
        <f>AND(Sheet1!M1715,"AAAAAB9ef0M=")</f>
        <v>#VALUE!</v>
      </c>
      <c r="BQ128" t="e">
        <f>AND(Sheet1!N1715,"AAAAAB9ef0Q=")</f>
        <v>#VALUE!</v>
      </c>
      <c r="BR128" t="e">
        <f>AND(Sheet1!#REF!,"AAAAAB9ef0U=")</f>
        <v>#REF!</v>
      </c>
      <c r="BS128" t="e">
        <f>AND(Sheet1!#REF!,"AAAAAB9ef0Y=")</f>
        <v>#REF!</v>
      </c>
      <c r="BT128" t="e">
        <f>AND(Sheet1!#REF!,"AAAAAB9ef0c=")</f>
        <v>#REF!</v>
      </c>
      <c r="BU128" t="e">
        <f>AND(Sheet1!#REF!,"AAAAAB9ef0g=")</f>
        <v>#REF!</v>
      </c>
      <c r="BV128">
        <f>IF(Sheet1!1716:1716,"AAAAAB9ef0k=",0)</f>
        <v>0</v>
      </c>
      <c r="BW128" t="e">
        <f>AND(Sheet1!A1716,"AAAAAB9ef0o=")</f>
        <v>#VALUE!</v>
      </c>
      <c r="BX128" t="e">
        <f>AND(Sheet1!B1716,"AAAAAB9ef0s=")</f>
        <v>#VALUE!</v>
      </c>
      <c r="BY128" t="e">
        <f>AND(Sheet1!C1716,"AAAAAB9ef0w=")</f>
        <v>#VALUE!</v>
      </c>
      <c r="BZ128" t="e">
        <f>AND(Sheet1!D1716,"AAAAAB9ef00=")</f>
        <v>#VALUE!</v>
      </c>
      <c r="CA128" t="e">
        <f>AND(Sheet1!E1716,"AAAAAB9ef04=")</f>
        <v>#VALUE!</v>
      </c>
      <c r="CB128" t="e">
        <f>AND(Sheet1!F1716,"AAAAAB9ef08=")</f>
        <v>#VALUE!</v>
      </c>
      <c r="CC128" t="e">
        <f>AND(Sheet1!G1716,"AAAAAB9ef1A=")</f>
        <v>#VALUE!</v>
      </c>
      <c r="CD128" t="e">
        <f>AND(Sheet1!H1716,"AAAAAB9ef1E=")</f>
        <v>#VALUE!</v>
      </c>
      <c r="CE128" t="e">
        <f>AND(Sheet1!I1716,"AAAAAB9ef1I=")</f>
        <v>#VALUE!</v>
      </c>
      <c r="CF128" t="e">
        <f>AND(Sheet1!J1716,"AAAAAB9ef1M=")</f>
        <v>#VALUE!</v>
      </c>
      <c r="CG128" t="e">
        <f>AND(Sheet1!K1716,"AAAAAB9ef1Q=")</f>
        <v>#VALUE!</v>
      </c>
      <c r="CH128" t="e">
        <f>AND(Sheet1!L1716,"AAAAAB9ef1U=")</f>
        <v>#VALUE!</v>
      </c>
      <c r="CI128" t="e">
        <f>AND(Sheet1!M1716,"AAAAAB9ef1Y=")</f>
        <v>#VALUE!</v>
      </c>
      <c r="CJ128" t="e">
        <f>AND(Sheet1!N1716,"AAAAAB9ef1c=")</f>
        <v>#VALUE!</v>
      </c>
      <c r="CK128" t="e">
        <f>AND(Sheet1!#REF!,"AAAAAB9ef1g=")</f>
        <v>#REF!</v>
      </c>
      <c r="CL128" t="e">
        <f>AND(Sheet1!#REF!,"AAAAAB9ef1k=")</f>
        <v>#REF!</v>
      </c>
      <c r="CM128" t="e">
        <f>AND(Sheet1!#REF!,"AAAAAB9ef1o=")</f>
        <v>#REF!</v>
      </c>
      <c r="CN128" t="e">
        <f>AND(Sheet1!#REF!,"AAAAAB9ef1s=")</f>
        <v>#REF!</v>
      </c>
      <c r="CO128">
        <f>IF(Sheet1!1717:1717,"AAAAAB9ef1w=",0)</f>
        <v>0</v>
      </c>
      <c r="CP128" t="e">
        <f>AND(Sheet1!A1717,"AAAAAB9ef10=")</f>
        <v>#VALUE!</v>
      </c>
      <c r="CQ128" t="e">
        <f>AND(Sheet1!B1717,"AAAAAB9ef14=")</f>
        <v>#VALUE!</v>
      </c>
      <c r="CR128" t="e">
        <f>AND(Sheet1!C1717,"AAAAAB9ef18=")</f>
        <v>#VALUE!</v>
      </c>
      <c r="CS128" t="e">
        <f>AND(Sheet1!D1717,"AAAAAB9ef2A=")</f>
        <v>#VALUE!</v>
      </c>
      <c r="CT128" t="e">
        <f>AND(Sheet1!E1717,"AAAAAB9ef2E=")</f>
        <v>#VALUE!</v>
      </c>
      <c r="CU128" t="e">
        <f>AND(Sheet1!F1717,"AAAAAB9ef2I=")</f>
        <v>#VALUE!</v>
      </c>
      <c r="CV128" t="e">
        <f>AND(Sheet1!G1717,"AAAAAB9ef2M=")</f>
        <v>#VALUE!</v>
      </c>
      <c r="CW128" t="e">
        <f>AND(Sheet1!H1717,"AAAAAB9ef2Q=")</f>
        <v>#VALUE!</v>
      </c>
      <c r="CX128" t="e">
        <f>AND(Sheet1!I1717,"AAAAAB9ef2U=")</f>
        <v>#VALUE!</v>
      </c>
      <c r="CY128" t="e">
        <f>AND(Sheet1!J1717,"AAAAAB9ef2Y=")</f>
        <v>#VALUE!</v>
      </c>
      <c r="CZ128" t="e">
        <f>AND(Sheet1!K1717,"AAAAAB9ef2c=")</f>
        <v>#VALUE!</v>
      </c>
      <c r="DA128" t="e">
        <f>AND(Sheet1!L1717,"AAAAAB9ef2g=")</f>
        <v>#VALUE!</v>
      </c>
      <c r="DB128" t="e">
        <f>AND(Sheet1!M1717,"AAAAAB9ef2k=")</f>
        <v>#VALUE!</v>
      </c>
      <c r="DC128" t="e">
        <f>AND(Sheet1!N1717,"AAAAAB9ef2o=")</f>
        <v>#VALUE!</v>
      </c>
      <c r="DD128" t="e">
        <f>AND(Sheet1!#REF!,"AAAAAB9ef2s=")</f>
        <v>#REF!</v>
      </c>
      <c r="DE128" t="e">
        <f>AND(Sheet1!#REF!,"AAAAAB9ef2w=")</f>
        <v>#REF!</v>
      </c>
      <c r="DF128" t="e">
        <f>AND(Sheet1!#REF!,"AAAAAB9ef20=")</f>
        <v>#REF!</v>
      </c>
      <c r="DG128" t="e">
        <f>AND(Sheet1!#REF!,"AAAAAB9ef24=")</f>
        <v>#REF!</v>
      </c>
      <c r="DH128">
        <f>IF(Sheet1!1718:1718,"AAAAAB9ef28=",0)</f>
        <v>0</v>
      </c>
      <c r="DI128" t="e">
        <f>AND(Sheet1!A1718,"AAAAAB9ef3A=")</f>
        <v>#VALUE!</v>
      </c>
      <c r="DJ128" t="e">
        <f>AND(Sheet1!B1718,"AAAAAB9ef3E=")</f>
        <v>#VALUE!</v>
      </c>
      <c r="DK128" t="e">
        <f>AND(Sheet1!C1718,"AAAAAB9ef3I=")</f>
        <v>#VALUE!</v>
      </c>
      <c r="DL128" t="e">
        <f>AND(Sheet1!D1718,"AAAAAB9ef3M=")</f>
        <v>#VALUE!</v>
      </c>
      <c r="DM128" t="e">
        <f>AND(Sheet1!E1718,"AAAAAB9ef3Q=")</f>
        <v>#VALUE!</v>
      </c>
      <c r="DN128" t="e">
        <f>AND(Sheet1!F1718,"AAAAAB9ef3U=")</f>
        <v>#VALUE!</v>
      </c>
      <c r="DO128" t="e">
        <f>AND(Sheet1!G1718,"AAAAAB9ef3Y=")</f>
        <v>#VALUE!</v>
      </c>
      <c r="DP128" t="e">
        <f>AND(Sheet1!H1718,"AAAAAB9ef3c=")</f>
        <v>#VALUE!</v>
      </c>
      <c r="DQ128" t="e">
        <f>AND(Sheet1!I1718,"AAAAAB9ef3g=")</f>
        <v>#VALUE!</v>
      </c>
      <c r="DR128" t="e">
        <f>AND(Sheet1!J1718,"AAAAAB9ef3k=")</f>
        <v>#VALUE!</v>
      </c>
      <c r="DS128" t="e">
        <f>AND(Sheet1!K1718,"AAAAAB9ef3o=")</f>
        <v>#VALUE!</v>
      </c>
      <c r="DT128" t="e">
        <f>AND(Sheet1!L1718,"AAAAAB9ef3s=")</f>
        <v>#VALUE!</v>
      </c>
      <c r="DU128" t="e">
        <f>AND(Sheet1!M1718,"AAAAAB9ef3w=")</f>
        <v>#VALUE!</v>
      </c>
      <c r="DV128" t="e">
        <f>AND(Sheet1!N1718,"AAAAAB9ef30=")</f>
        <v>#VALUE!</v>
      </c>
      <c r="DW128" t="e">
        <f>AND(Sheet1!#REF!,"AAAAAB9ef34=")</f>
        <v>#REF!</v>
      </c>
      <c r="DX128" t="e">
        <f>AND(Sheet1!#REF!,"AAAAAB9ef38=")</f>
        <v>#REF!</v>
      </c>
      <c r="DY128" t="e">
        <f>AND(Sheet1!#REF!,"AAAAAB9ef4A=")</f>
        <v>#REF!</v>
      </c>
      <c r="DZ128" t="e">
        <f>AND(Sheet1!#REF!,"AAAAAB9ef4E=")</f>
        <v>#REF!</v>
      </c>
      <c r="EA128">
        <f>IF(Sheet1!1719:1719,"AAAAAB9ef4I=",0)</f>
        <v>0</v>
      </c>
      <c r="EB128" t="e">
        <f>AND(Sheet1!A1719,"AAAAAB9ef4M=")</f>
        <v>#VALUE!</v>
      </c>
      <c r="EC128" t="e">
        <f>AND(Sheet1!B1719,"AAAAAB9ef4Q=")</f>
        <v>#VALUE!</v>
      </c>
      <c r="ED128" t="e">
        <f>AND(Sheet1!C1719,"AAAAAB9ef4U=")</f>
        <v>#VALUE!</v>
      </c>
      <c r="EE128" t="e">
        <f>AND(Sheet1!D1719,"AAAAAB9ef4Y=")</f>
        <v>#VALUE!</v>
      </c>
      <c r="EF128" t="e">
        <f>AND(Sheet1!E1719,"AAAAAB9ef4c=")</f>
        <v>#VALUE!</v>
      </c>
      <c r="EG128" t="e">
        <f>AND(Sheet1!F1719,"AAAAAB9ef4g=")</f>
        <v>#VALUE!</v>
      </c>
      <c r="EH128" t="e">
        <f>AND(Sheet1!G1719,"AAAAAB9ef4k=")</f>
        <v>#VALUE!</v>
      </c>
      <c r="EI128" t="e">
        <f>AND(Sheet1!H1719,"AAAAAB9ef4o=")</f>
        <v>#VALUE!</v>
      </c>
      <c r="EJ128" t="e">
        <f>AND(Sheet1!I1719,"AAAAAB9ef4s=")</f>
        <v>#VALUE!</v>
      </c>
      <c r="EK128" t="e">
        <f>AND(Sheet1!J1719,"AAAAAB9ef4w=")</f>
        <v>#VALUE!</v>
      </c>
      <c r="EL128" t="e">
        <f>AND(Sheet1!K1719,"AAAAAB9ef40=")</f>
        <v>#VALUE!</v>
      </c>
      <c r="EM128" t="e">
        <f>AND(Sheet1!L1719,"AAAAAB9ef44=")</f>
        <v>#VALUE!</v>
      </c>
      <c r="EN128" t="e">
        <f>AND(Sheet1!M1719,"AAAAAB9ef48=")</f>
        <v>#VALUE!</v>
      </c>
      <c r="EO128" t="e">
        <f>AND(Sheet1!N1719,"AAAAAB9ef5A=")</f>
        <v>#VALUE!</v>
      </c>
      <c r="EP128" t="e">
        <f>AND(Sheet1!#REF!,"AAAAAB9ef5E=")</f>
        <v>#REF!</v>
      </c>
      <c r="EQ128" t="e">
        <f>AND(Sheet1!#REF!,"AAAAAB9ef5I=")</f>
        <v>#REF!</v>
      </c>
      <c r="ER128" t="e">
        <f>AND(Sheet1!#REF!,"AAAAAB9ef5M=")</f>
        <v>#REF!</v>
      </c>
      <c r="ES128" t="e">
        <f>AND(Sheet1!#REF!,"AAAAAB9ef5Q=")</f>
        <v>#REF!</v>
      </c>
      <c r="ET128">
        <f>IF(Sheet1!1720:1720,"AAAAAB9ef5U=",0)</f>
        <v>0</v>
      </c>
      <c r="EU128" t="e">
        <f>AND(Sheet1!A1720,"AAAAAB9ef5Y=")</f>
        <v>#VALUE!</v>
      </c>
      <c r="EV128" t="e">
        <f>AND(Sheet1!B1720,"AAAAAB9ef5c=")</f>
        <v>#VALUE!</v>
      </c>
      <c r="EW128" t="e">
        <f>AND(Sheet1!C1720,"AAAAAB9ef5g=")</f>
        <v>#VALUE!</v>
      </c>
      <c r="EX128" t="e">
        <f>AND(Sheet1!D1720,"AAAAAB9ef5k=")</f>
        <v>#VALUE!</v>
      </c>
      <c r="EY128" t="e">
        <f>AND(Sheet1!E1720,"AAAAAB9ef5o=")</f>
        <v>#VALUE!</v>
      </c>
      <c r="EZ128" t="e">
        <f>AND(Sheet1!F1720,"AAAAAB9ef5s=")</f>
        <v>#VALUE!</v>
      </c>
      <c r="FA128" t="e">
        <f>AND(Sheet1!G1720,"AAAAAB9ef5w=")</f>
        <v>#VALUE!</v>
      </c>
      <c r="FB128" t="e">
        <f>AND(Sheet1!H1720,"AAAAAB9ef50=")</f>
        <v>#VALUE!</v>
      </c>
      <c r="FC128" t="e">
        <f>AND(Sheet1!I1720,"AAAAAB9ef54=")</f>
        <v>#VALUE!</v>
      </c>
      <c r="FD128" t="e">
        <f>AND(Sheet1!J1720,"AAAAAB9ef58=")</f>
        <v>#VALUE!</v>
      </c>
      <c r="FE128" t="e">
        <f>AND(Sheet1!K1720,"AAAAAB9ef6A=")</f>
        <v>#VALUE!</v>
      </c>
      <c r="FF128" t="e">
        <f>AND(Sheet1!L1720,"AAAAAB9ef6E=")</f>
        <v>#VALUE!</v>
      </c>
      <c r="FG128" t="e">
        <f>AND(Sheet1!M1720,"AAAAAB9ef6I=")</f>
        <v>#VALUE!</v>
      </c>
      <c r="FH128" t="e">
        <f>AND(Sheet1!N1720,"AAAAAB9ef6M=")</f>
        <v>#VALUE!</v>
      </c>
      <c r="FI128" t="e">
        <f>AND(Sheet1!#REF!,"AAAAAB9ef6Q=")</f>
        <v>#REF!</v>
      </c>
      <c r="FJ128" t="e">
        <f>AND(Sheet1!#REF!,"AAAAAB9ef6U=")</f>
        <v>#REF!</v>
      </c>
      <c r="FK128" t="e">
        <f>AND(Sheet1!#REF!,"AAAAAB9ef6Y=")</f>
        <v>#REF!</v>
      </c>
      <c r="FL128" t="e">
        <f>AND(Sheet1!#REF!,"AAAAAB9ef6c=")</f>
        <v>#REF!</v>
      </c>
      <c r="FM128">
        <f>IF(Sheet1!1721:1721,"AAAAAB9ef6g=",0)</f>
        <v>0</v>
      </c>
      <c r="FN128" t="e">
        <f>AND(Sheet1!A1721,"AAAAAB9ef6k=")</f>
        <v>#VALUE!</v>
      </c>
      <c r="FO128" t="e">
        <f>AND(Sheet1!B1721,"AAAAAB9ef6o=")</f>
        <v>#VALUE!</v>
      </c>
      <c r="FP128" t="e">
        <f>AND(Sheet1!C1721,"AAAAAB9ef6s=")</f>
        <v>#VALUE!</v>
      </c>
      <c r="FQ128" t="e">
        <f>AND(Sheet1!D1721,"AAAAAB9ef6w=")</f>
        <v>#VALUE!</v>
      </c>
      <c r="FR128" t="e">
        <f>AND(Sheet1!E1721,"AAAAAB9ef60=")</f>
        <v>#VALUE!</v>
      </c>
      <c r="FS128" t="e">
        <f>AND(Sheet1!F1721,"AAAAAB9ef64=")</f>
        <v>#VALUE!</v>
      </c>
      <c r="FT128" t="e">
        <f>AND(Sheet1!G1721,"AAAAAB9ef68=")</f>
        <v>#VALUE!</v>
      </c>
      <c r="FU128" t="e">
        <f>AND(Sheet1!H1721,"AAAAAB9ef7A=")</f>
        <v>#VALUE!</v>
      </c>
      <c r="FV128" t="e">
        <f>AND(Sheet1!I1721,"AAAAAB9ef7E=")</f>
        <v>#VALUE!</v>
      </c>
      <c r="FW128" t="e">
        <f>AND(Sheet1!J1721,"AAAAAB9ef7I=")</f>
        <v>#VALUE!</v>
      </c>
      <c r="FX128" t="e">
        <f>AND(Sheet1!K1721,"AAAAAB9ef7M=")</f>
        <v>#VALUE!</v>
      </c>
      <c r="FY128" t="e">
        <f>AND(Sheet1!L1721,"AAAAAB9ef7Q=")</f>
        <v>#VALUE!</v>
      </c>
      <c r="FZ128" t="e">
        <f>AND(Sheet1!M1721,"AAAAAB9ef7U=")</f>
        <v>#VALUE!</v>
      </c>
      <c r="GA128" t="e">
        <f>AND(Sheet1!N1721,"AAAAAB9ef7Y=")</f>
        <v>#VALUE!</v>
      </c>
      <c r="GB128" t="e">
        <f>AND(Sheet1!#REF!,"AAAAAB9ef7c=")</f>
        <v>#REF!</v>
      </c>
      <c r="GC128" t="e">
        <f>AND(Sheet1!#REF!,"AAAAAB9ef7g=")</f>
        <v>#REF!</v>
      </c>
      <c r="GD128" t="e">
        <f>AND(Sheet1!#REF!,"AAAAAB9ef7k=")</f>
        <v>#REF!</v>
      </c>
      <c r="GE128" t="e">
        <f>AND(Sheet1!#REF!,"AAAAAB9ef7o=")</f>
        <v>#REF!</v>
      </c>
      <c r="GF128">
        <f>IF(Sheet1!1722:1722,"AAAAAB9ef7s=",0)</f>
        <v>0</v>
      </c>
      <c r="GG128" t="e">
        <f>AND(Sheet1!A1722,"AAAAAB9ef7w=")</f>
        <v>#VALUE!</v>
      </c>
      <c r="GH128" t="e">
        <f>AND(Sheet1!B1722,"AAAAAB9ef70=")</f>
        <v>#VALUE!</v>
      </c>
      <c r="GI128" t="e">
        <f>AND(Sheet1!C1722,"AAAAAB9ef74=")</f>
        <v>#VALUE!</v>
      </c>
      <c r="GJ128" t="e">
        <f>AND(Sheet1!D1722,"AAAAAB9ef78=")</f>
        <v>#VALUE!</v>
      </c>
      <c r="GK128" t="e">
        <f>AND(Sheet1!E1722,"AAAAAB9ef8A=")</f>
        <v>#VALUE!</v>
      </c>
      <c r="GL128" t="e">
        <f>AND(Sheet1!F1722,"AAAAAB9ef8E=")</f>
        <v>#VALUE!</v>
      </c>
      <c r="GM128" t="e">
        <f>AND(Sheet1!G1722,"AAAAAB9ef8I=")</f>
        <v>#VALUE!</v>
      </c>
      <c r="GN128" t="e">
        <f>AND(Sheet1!H1722,"AAAAAB9ef8M=")</f>
        <v>#VALUE!</v>
      </c>
      <c r="GO128" t="e">
        <f>AND(Sheet1!I1722,"AAAAAB9ef8Q=")</f>
        <v>#VALUE!</v>
      </c>
      <c r="GP128" t="e">
        <f>AND(Sheet1!J1722,"AAAAAB9ef8U=")</f>
        <v>#VALUE!</v>
      </c>
      <c r="GQ128" t="e">
        <f>AND(Sheet1!K1722,"AAAAAB9ef8Y=")</f>
        <v>#VALUE!</v>
      </c>
      <c r="GR128" t="e">
        <f>AND(Sheet1!L1722,"AAAAAB9ef8c=")</f>
        <v>#VALUE!</v>
      </c>
      <c r="GS128" t="e">
        <f>AND(Sheet1!M1722,"AAAAAB9ef8g=")</f>
        <v>#VALUE!</v>
      </c>
      <c r="GT128" t="e">
        <f>AND(Sheet1!N1722,"AAAAAB9ef8k=")</f>
        <v>#VALUE!</v>
      </c>
      <c r="GU128" t="e">
        <f>AND(Sheet1!#REF!,"AAAAAB9ef8o=")</f>
        <v>#REF!</v>
      </c>
      <c r="GV128" t="e">
        <f>AND(Sheet1!#REF!,"AAAAAB9ef8s=")</f>
        <v>#REF!</v>
      </c>
      <c r="GW128" t="e">
        <f>AND(Sheet1!#REF!,"AAAAAB9ef8w=")</f>
        <v>#REF!</v>
      </c>
      <c r="GX128" t="e">
        <f>AND(Sheet1!#REF!,"AAAAAB9ef80=")</f>
        <v>#REF!</v>
      </c>
      <c r="GY128">
        <f>IF(Sheet1!1723:1723,"AAAAAB9ef84=",0)</f>
        <v>0</v>
      </c>
      <c r="GZ128" t="e">
        <f>AND(Sheet1!A1723,"AAAAAB9ef88=")</f>
        <v>#VALUE!</v>
      </c>
      <c r="HA128" t="e">
        <f>AND(Sheet1!B1723,"AAAAAB9ef9A=")</f>
        <v>#VALUE!</v>
      </c>
      <c r="HB128" t="e">
        <f>AND(Sheet1!C1723,"AAAAAB9ef9E=")</f>
        <v>#VALUE!</v>
      </c>
      <c r="HC128" t="e">
        <f>AND(Sheet1!D1723,"AAAAAB9ef9I=")</f>
        <v>#VALUE!</v>
      </c>
      <c r="HD128" t="e">
        <f>AND(Sheet1!E1723,"AAAAAB9ef9M=")</f>
        <v>#VALUE!</v>
      </c>
      <c r="HE128" t="e">
        <f>AND(Sheet1!F1723,"AAAAAB9ef9Q=")</f>
        <v>#VALUE!</v>
      </c>
      <c r="HF128" t="e">
        <f>AND(Sheet1!G1723,"AAAAAB9ef9U=")</f>
        <v>#VALUE!</v>
      </c>
      <c r="HG128" t="e">
        <f>AND(Sheet1!H1723,"AAAAAB9ef9Y=")</f>
        <v>#VALUE!</v>
      </c>
      <c r="HH128" t="e">
        <f>AND(Sheet1!I1723,"AAAAAB9ef9c=")</f>
        <v>#VALUE!</v>
      </c>
      <c r="HI128" t="e">
        <f>AND(Sheet1!J1723,"AAAAAB9ef9g=")</f>
        <v>#VALUE!</v>
      </c>
      <c r="HJ128" t="e">
        <f>AND(Sheet1!K1723,"AAAAAB9ef9k=")</f>
        <v>#VALUE!</v>
      </c>
      <c r="HK128" t="e">
        <f>AND(Sheet1!L1723,"AAAAAB9ef9o=")</f>
        <v>#VALUE!</v>
      </c>
      <c r="HL128" t="e">
        <f>AND(Sheet1!M1723,"AAAAAB9ef9s=")</f>
        <v>#VALUE!</v>
      </c>
      <c r="HM128" t="e">
        <f>AND(Sheet1!N1723,"AAAAAB9ef9w=")</f>
        <v>#VALUE!</v>
      </c>
      <c r="HN128" t="e">
        <f>AND(Sheet1!#REF!,"AAAAAB9ef90=")</f>
        <v>#REF!</v>
      </c>
      <c r="HO128" t="e">
        <f>AND(Sheet1!#REF!,"AAAAAB9ef94=")</f>
        <v>#REF!</v>
      </c>
      <c r="HP128" t="e">
        <f>AND(Sheet1!#REF!,"AAAAAB9ef98=")</f>
        <v>#REF!</v>
      </c>
      <c r="HQ128" t="e">
        <f>AND(Sheet1!#REF!,"AAAAAB9ef+A=")</f>
        <v>#REF!</v>
      </c>
      <c r="HR128">
        <f>IF(Sheet1!1724:1724,"AAAAAB9ef+E=",0)</f>
        <v>0</v>
      </c>
      <c r="HS128" t="e">
        <f>AND(Sheet1!A1724,"AAAAAB9ef+I=")</f>
        <v>#VALUE!</v>
      </c>
      <c r="HT128" t="e">
        <f>AND(Sheet1!B1724,"AAAAAB9ef+M=")</f>
        <v>#VALUE!</v>
      </c>
      <c r="HU128" t="e">
        <f>AND(Sheet1!C1724,"AAAAAB9ef+Q=")</f>
        <v>#VALUE!</v>
      </c>
      <c r="HV128" t="e">
        <f>AND(Sheet1!D1724,"AAAAAB9ef+U=")</f>
        <v>#VALUE!</v>
      </c>
      <c r="HW128" t="e">
        <f>AND(Sheet1!E1724,"AAAAAB9ef+Y=")</f>
        <v>#VALUE!</v>
      </c>
      <c r="HX128" t="e">
        <f>AND(Sheet1!F1724,"AAAAAB9ef+c=")</f>
        <v>#VALUE!</v>
      </c>
      <c r="HY128" t="e">
        <f>AND(Sheet1!G1724,"AAAAAB9ef+g=")</f>
        <v>#VALUE!</v>
      </c>
      <c r="HZ128" t="e">
        <f>AND(Sheet1!H1724,"AAAAAB9ef+k=")</f>
        <v>#VALUE!</v>
      </c>
      <c r="IA128" t="e">
        <f>AND(Sheet1!I1724,"AAAAAB9ef+o=")</f>
        <v>#VALUE!</v>
      </c>
      <c r="IB128" t="e">
        <f>AND(Sheet1!J1724,"AAAAAB9ef+s=")</f>
        <v>#VALUE!</v>
      </c>
      <c r="IC128" t="e">
        <f>AND(Sheet1!K1724,"AAAAAB9ef+w=")</f>
        <v>#VALUE!</v>
      </c>
      <c r="ID128" t="e">
        <f>AND(Sheet1!L1724,"AAAAAB9ef+0=")</f>
        <v>#VALUE!</v>
      </c>
      <c r="IE128" t="e">
        <f>AND(Sheet1!M1724,"AAAAAB9ef+4=")</f>
        <v>#VALUE!</v>
      </c>
      <c r="IF128" t="e">
        <f>AND(Sheet1!N1724,"AAAAAB9ef+8=")</f>
        <v>#VALUE!</v>
      </c>
      <c r="IG128" t="e">
        <f>AND(Sheet1!#REF!,"AAAAAB9ef/A=")</f>
        <v>#REF!</v>
      </c>
      <c r="IH128" t="e">
        <f>AND(Sheet1!#REF!,"AAAAAB9ef/E=")</f>
        <v>#REF!</v>
      </c>
      <c r="II128" t="e">
        <f>AND(Sheet1!#REF!,"AAAAAB9ef/I=")</f>
        <v>#REF!</v>
      </c>
      <c r="IJ128" t="e">
        <f>AND(Sheet1!#REF!,"AAAAAB9ef/M=")</f>
        <v>#REF!</v>
      </c>
      <c r="IK128">
        <f>IF(Sheet1!1725:1725,"AAAAAB9ef/Q=",0)</f>
        <v>0</v>
      </c>
      <c r="IL128" t="e">
        <f>AND(Sheet1!A1725,"AAAAAB9ef/U=")</f>
        <v>#VALUE!</v>
      </c>
      <c r="IM128" t="e">
        <f>AND(Sheet1!B1725,"AAAAAB9ef/Y=")</f>
        <v>#VALUE!</v>
      </c>
      <c r="IN128" t="e">
        <f>AND(Sheet1!C1725,"AAAAAB9ef/c=")</f>
        <v>#VALUE!</v>
      </c>
      <c r="IO128" t="e">
        <f>AND(Sheet1!D1725,"AAAAAB9ef/g=")</f>
        <v>#VALUE!</v>
      </c>
      <c r="IP128" t="e">
        <f>AND(Sheet1!E1725,"AAAAAB9ef/k=")</f>
        <v>#VALUE!</v>
      </c>
      <c r="IQ128" t="e">
        <f>AND(Sheet1!F1725,"AAAAAB9ef/o=")</f>
        <v>#VALUE!</v>
      </c>
      <c r="IR128" t="e">
        <f>AND(Sheet1!G1725,"AAAAAB9ef/s=")</f>
        <v>#VALUE!</v>
      </c>
      <c r="IS128" t="e">
        <f>AND(Sheet1!H1725,"AAAAAB9ef/w=")</f>
        <v>#VALUE!</v>
      </c>
      <c r="IT128" t="e">
        <f>AND(Sheet1!I1725,"AAAAAB9ef/0=")</f>
        <v>#VALUE!</v>
      </c>
      <c r="IU128" t="e">
        <f>AND(Sheet1!J1725,"AAAAAB9ef/4=")</f>
        <v>#VALUE!</v>
      </c>
      <c r="IV128" t="e">
        <f>AND(Sheet1!K1725,"AAAAAB9ef/8=")</f>
        <v>#VALUE!</v>
      </c>
    </row>
    <row r="129" spans="1:256" x14ac:dyDescent="0.2">
      <c r="A129" t="e">
        <f>AND(Sheet1!L1725,"AAAAAHj+3wA=")</f>
        <v>#VALUE!</v>
      </c>
      <c r="B129" t="e">
        <f>AND(Sheet1!M1725,"AAAAAHj+3wE=")</f>
        <v>#VALUE!</v>
      </c>
      <c r="C129" t="e">
        <f>AND(Sheet1!N1725,"AAAAAHj+3wI=")</f>
        <v>#VALUE!</v>
      </c>
      <c r="D129" t="e">
        <f>AND(Sheet1!#REF!,"AAAAAHj+3wM=")</f>
        <v>#REF!</v>
      </c>
      <c r="E129" t="e">
        <f>AND(Sheet1!#REF!,"AAAAAHj+3wQ=")</f>
        <v>#REF!</v>
      </c>
      <c r="F129" t="e">
        <f>AND(Sheet1!#REF!,"AAAAAHj+3wU=")</f>
        <v>#REF!</v>
      </c>
      <c r="G129" t="e">
        <f>AND(Sheet1!#REF!,"AAAAAHj+3wY=")</f>
        <v>#REF!</v>
      </c>
      <c r="H129">
        <f>IF(Sheet1!1726:1726,"AAAAAHj+3wc=",0)</f>
        <v>0</v>
      </c>
      <c r="I129" t="e">
        <f>AND(Sheet1!A1726,"AAAAAHj+3wg=")</f>
        <v>#VALUE!</v>
      </c>
      <c r="J129" t="e">
        <f>AND(Sheet1!B1726,"AAAAAHj+3wk=")</f>
        <v>#VALUE!</v>
      </c>
      <c r="K129" t="e">
        <f>AND(Sheet1!C1726,"AAAAAHj+3wo=")</f>
        <v>#VALUE!</v>
      </c>
      <c r="L129" t="e">
        <f>AND(Sheet1!D1726,"AAAAAHj+3ws=")</f>
        <v>#VALUE!</v>
      </c>
      <c r="M129" t="e">
        <f>AND(Sheet1!E1726,"AAAAAHj+3ww=")</f>
        <v>#VALUE!</v>
      </c>
      <c r="N129" t="e">
        <f>AND(Sheet1!F1726,"AAAAAHj+3w0=")</f>
        <v>#VALUE!</v>
      </c>
      <c r="O129" t="e">
        <f>AND(Sheet1!G1726,"AAAAAHj+3w4=")</f>
        <v>#VALUE!</v>
      </c>
      <c r="P129" t="e">
        <f>AND(Sheet1!H1726,"AAAAAHj+3w8=")</f>
        <v>#VALUE!</v>
      </c>
      <c r="Q129" t="e">
        <f>AND(Sheet1!I1726,"AAAAAHj+3xA=")</f>
        <v>#VALUE!</v>
      </c>
      <c r="R129" t="e">
        <f>AND(Sheet1!J1726,"AAAAAHj+3xE=")</f>
        <v>#VALUE!</v>
      </c>
      <c r="S129" t="e">
        <f>AND(Sheet1!K1726,"AAAAAHj+3xI=")</f>
        <v>#VALUE!</v>
      </c>
      <c r="T129" t="e">
        <f>AND(Sheet1!L1726,"AAAAAHj+3xM=")</f>
        <v>#VALUE!</v>
      </c>
      <c r="U129" t="e">
        <f>AND(Sheet1!M1726,"AAAAAHj+3xQ=")</f>
        <v>#VALUE!</v>
      </c>
      <c r="V129" t="e">
        <f>AND(Sheet1!N1726,"AAAAAHj+3xU=")</f>
        <v>#VALUE!</v>
      </c>
      <c r="W129" t="e">
        <f>AND(Sheet1!#REF!,"AAAAAHj+3xY=")</f>
        <v>#REF!</v>
      </c>
      <c r="X129" t="e">
        <f>AND(Sheet1!#REF!,"AAAAAHj+3xc=")</f>
        <v>#REF!</v>
      </c>
      <c r="Y129" t="e">
        <f>AND(Sheet1!#REF!,"AAAAAHj+3xg=")</f>
        <v>#REF!</v>
      </c>
      <c r="Z129" t="e">
        <f>AND(Sheet1!#REF!,"AAAAAHj+3xk=")</f>
        <v>#REF!</v>
      </c>
      <c r="AA129">
        <f>IF(Sheet1!1727:1727,"AAAAAHj+3xo=",0)</f>
        <v>0</v>
      </c>
      <c r="AB129" t="e">
        <f>AND(Sheet1!A1727,"AAAAAHj+3xs=")</f>
        <v>#VALUE!</v>
      </c>
      <c r="AC129" t="e">
        <f>AND(Sheet1!B1727,"AAAAAHj+3xw=")</f>
        <v>#VALUE!</v>
      </c>
      <c r="AD129" t="e">
        <f>AND(Sheet1!C1727,"AAAAAHj+3x0=")</f>
        <v>#VALUE!</v>
      </c>
      <c r="AE129" t="e">
        <f>AND(Sheet1!D1727,"AAAAAHj+3x4=")</f>
        <v>#VALUE!</v>
      </c>
      <c r="AF129" t="e">
        <f>AND(Sheet1!E1727,"AAAAAHj+3x8=")</f>
        <v>#VALUE!</v>
      </c>
      <c r="AG129" t="e">
        <f>AND(Sheet1!F1727,"AAAAAHj+3yA=")</f>
        <v>#VALUE!</v>
      </c>
      <c r="AH129" t="e">
        <f>AND(Sheet1!G1727,"AAAAAHj+3yE=")</f>
        <v>#VALUE!</v>
      </c>
      <c r="AI129" t="e">
        <f>AND(Sheet1!H1727,"AAAAAHj+3yI=")</f>
        <v>#VALUE!</v>
      </c>
      <c r="AJ129" t="e">
        <f>AND(Sheet1!I1727,"AAAAAHj+3yM=")</f>
        <v>#VALUE!</v>
      </c>
      <c r="AK129" t="e">
        <f>AND(Sheet1!J1727,"AAAAAHj+3yQ=")</f>
        <v>#VALUE!</v>
      </c>
      <c r="AL129" t="e">
        <f>AND(Sheet1!K1727,"AAAAAHj+3yU=")</f>
        <v>#VALUE!</v>
      </c>
      <c r="AM129" t="e">
        <f>AND(Sheet1!L1727,"AAAAAHj+3yY=")</f>
        <v>#VALUE!</v>
      </c>
      <c r="AN129" t="e">
        <f>AND(Sheet1!M1727,"AAAAAHj+3yc=")</f>
        <v>#VALUE!</v>
      </c>
      <c r="AO129" t="e">
        <f>AND(Sheet1!N1727,"AAAAAHj+3yg=")</f>
        <v>#VALUE!</v>
      </c>
      <c r="AP129" t="e">
        <f>AND(Sheet1!#REF!,"AAAAAHj+3yk=")</f>
        <v>#REF!</v>
      </c>
      <c r="AQ129" t="e">
        <f>AND(Sheet1!#REF!,"AAAAAHj+3yo=")</f>
        <v>#REF!</v>
      </c>
      <c r="AR129" t="e">
        <f>AND(Sheet1!#REF!,"AAAAAHj+3ys=")</f>
        <v>#REF!</v>
      </c>
      <c r="AS129" t="e">
        <f>AND(Sheet1!#REF!,"AAAAAHj+3yw=")</f>
        <v>#REF!</v>
      </c>
      <c r="AT129">
        <f>IF(Sheet1!1728:1728,"AAAAAHj+3y0=",0)</f>
        <v>0</v>
      </c>
      <c r="AU129" t="e">
        <f>AND(Sheet1!A1728,"AAAAAHj+3y4=")</f>
        <v>#VALUE!</v>
      </c>
      <c r="AV129" t="e">
        <f>AND(Sheet1!B1728,"AAAAAHj+3y8=")</f>
        <v>#VALUE!</v>
      </c>
      <c r="AW129" t="e">
        <f>AND(Sheet1!C1728,"AAAAAHj+3zA=")</f>
        <v>#VALUE!</v>
      </c>
      <c r="AX129" t="e">
        <f>AND(Sheet1!D1728,"AAAAAHj+3zE=")</f>
        <v>#VALUE!</v>
      </c>
      <c r="AY129" t="e">
        <f>AND(Sheet1!E1728,"AAAAAHj+3zI=")</f>
        <v>#VALUE!</v>
      </c>
      <c r="AZ129" t="e">
        <f>AND(Sheet1!F1728,"AAAAAHj+3zM=")</f>
        <v>#VALUE!</v>
      </c>
      <c r="BA129" t="e">
        <f>AND(Sheet1!G1728,"AAAAAHj+3zQ=")</f>
        <v>#VALUE!</v>
      </c>
      <c r="BB129" t="e">
        <f>AND(Sheet1!H1728,"AAAAAHj+3zU=")</f>
        <v>#VALUE!</v>
      </c>
      <c r="BC129" t="e">
        <f>AND(Sheet1!I1728,"AAAAAHj+3zY=")</f>
        <v>#VALUE!</v>
      </c>
      <c r="BD129" t="e">
        <f>AND(Sheet1!J1728,"AAAAAHj+3zc=")</f>
        <v>#VALUE!</v>
      </c>
      <c r="BE129" t="e">
        <f>AND(Sheet1!K1728,"AAAAAHj+3zg=")</f>
        <v>#VALUE!</v>
      </c>
      <c r="BF129" t="e">
        <f>AND(Sheet1!L1728,"AAAAAHj+3zk=")</f>
        <v>#VALUE!</v>
      </c>
      <c r="BG129" t="e">
        <f>AND(Sheet1!M1728,"AAAAAHj+3zo=")</f>
        <v>#VALUE!</v>
      </c>
      <c r="BH129" t="e">
        <f>AND(Sheet1!N1728,"AAAAAHj+3zs=")</f>
        <v>#VALUE!</v>
      </c>
      <c r="BI129" t="e">
        <f>AND(Sheet1!#REF!,"AAAAAHj+3zw=")</f>
        <v>#REF!</v>
      </c>
      <c r="BJ129" t="e">
        <f>AND(Sheet1!#REF!,"AAAAAHj+3z0=")</f>
        <v>#REF!</v>
      </c>
      <c r="BK129" t="e">
        <f>AND(Sheet1!#REF!,"AAAAAHj+3z4=")</f>
        <v>#REF!</v>
      </c>
      <c r="BL129" t="e">
        <f>AND(Sheet1!#REF!,"AAAAAHj+3z8=")</f>
        <v>#REF!</v>
      </c>
      <c r="BM129">
        <f>IF(Sheet1!1729:1729,"AAAAAHj+30A=",0)</f>
        <v>0</v>
      </c>
      <c r="BN129" t="e">
        <f>AND(Sheet1!A1729,"AAAAAHj+30E=")</f>
        <v>#VALUE!</v>
      </c>
      <c r="BO129" t="e">
        <f>AND(Sheet1!B1729,"AAAAAHj+30I=")</f>
        <v>#VALUE!</v>
      </c>
      <c r="BP129" t="e">
        <f>AND(Sheet1!C1729,"AAAAAHj+30M=")</f>
        <v>#VALUE!</v>
      </c>
      <c r="BQ129" t="e">
        <f>AND(Sheet1!D1729,"AAAAAHj+30Q=")</f>
        <v>#VALUE!</v>
      </c>
      <c r="BR129" t="e">
        <f>AND(Sheet1!E1729,"AAAAAHj+30U=")</f>
        <v>#VALUE!</v>
      </c>
      <c r="BS129" t="e">
        <f>AND(Sheet1!F1729,"AAAAAHj+30Y=")</f>
        <v>#VALUE!</v>
      </c>
      <c r="BT129" t="e">
        <f>AND(Sheet1!G1729,"AAAAAHj+30c=")</f>
        <v>#VALUE!</v>
      </c>
      <c r="BU129" t="e">
        <f>AND(Sheet1!H1729,"AAAAAHj+30g=")</f>
        <v>#VALUE!</v>
      </c>
      <c r="BV129" t="e">
        <f>AND(Sheet1!I1729,"AAAAAHj+30k=")</f>
        <v>#VALUE!</v>
      </c>
      <c r="BW129" t="e">
        <f>AND(Sheet1!J1729,"AAAAAHj+30o=")</f>
        <v>#VALUE!</v>
      </c>
      <c r="BX129" t="e">
        <f>AND(Sheet1!K1729,"AAAAAHj+30s=")</f>
        <v>#VALUE!</v>
      </c>
      <c r="BY129" t="e">
        <f>AND(Sheet1!L1729,"AAAAAHj+30w=")</f>
        <v>#VALUE!</v>
      </c>
      <c r="BZ129" t="e">
        <f>AND(Sheet1!M1729,"AAAAAHj+300=")</f>
        <v>#VALUE!</v>
      </c>
      <c r="CA129" t="e">
        <f>AND(Sheet1!N1729,"AAAAAHj+304=")</f>
        <v>#VALUE!</v>
      </c>
      <c r="CB129" t="e">
        <f>AND(Sheet1!#REF!,"AAAAAHj+308=")</f>
        <v>#REF!</v>
      </c>
      <c r="CC129" t="e">
        <f>AND(Sheet1!#REF!,"AAAAAHj+31A=")</f>
        <v>#REF!</v>
      </c>
      <c r="CD129" t="e">
        <f>AND(Sheet1!#REF!,"AAAAAHj+31E=")</f>
        <v>#REF!</v>
      </c>
      <c r="CE129" t="e">
        <f>AND(Sheet1!#REF!,"AAAAAHj+31I=")</f>
        <v>#REF!</v>
      </c>
      <c r="CF129">
        <f>IF(Sheet1!1730:1730,"AAAAAHj+31M=",0)</f>
        <v>0</v>
      </c>
      <c r="CG129" t="e">
        <f>AND(Sheet1!A1730,"AAAAAHj+31Q=")</f>
        <v>#VALUE!</v>
      </c>
      <c r="CH129" t="e">
        <f>AND(Sheet1!B1730,"AAAAAHj+31U=")</f>
        <v>#VALUE!</v>
      </c>
      <c r="CI129" t="e">
        <f>AND(Sheet1!C1730,"AAAAAHj+31Y=")</f>
        <v>#VALUE!</v>
      </c>
      <c r="CJ129" t="e">
        <f>AND(Sheet1!D1730,"AAAAAHj+31c=")</f>
        <v>#VALUE!</v>
      </c>
      <c r="CK129" t="e">
        <f>AND(Sheet1!E1730,"AAAAAHj+31g=")</f>
        <v>#VALUE!</v>
      </c>
      <c r="CL129" t="e">
        <f>AND(Sheet1!F1730,"AAAAAHj+31k=")</f>
        <v>#VALUE!</v>
      </c>
      <c r="CM129" t="e">
        <f>AND(Sheet1!G1730,"AAAAAHj+31o=")</f>
        <v>#VALUE!</v>
      </c>
      <c r="CN129" t="e">
        <f>AND(Sheet1!H1730,"AAAAAHj+31s=")</f>
        <v>#VALUE!</v>
      </c>
      <c r="CO129" t="e">
        <f>AND(Sheet1!I1730,"AAAAAHj+31w=")</f>
        <v>#VALUE!</v>
      </c>
      <c r="CP129" t="e">
        <f>AND(Sheet1!J1730,"AAAAAHj+310=")</f>
        <v>#VALUE!</v>
      </c>
      <c r="CQ129" t="e">
        <f>AND(Sheet1!K1730,"AAAAAHj+314=")</f>
        <v>#VALUE!</v>
      </c>
      <c r="CR129" t="e">
        <f>AND(Sheet1!L1730,"AAAAAHj+318=")</f>
        <v>#VALUE!</v>
      </c>
      <c r="CS129" t="e">
        <f>AND(Sheet1!M1730,"AAAAAHj+32A=")</f>
        <v>#VALUE!</v>
      </c>
      <c r="CT129" t="e">
        <f>AND(Sheet1!N1730,"AAAAAHj+32E=")</f>
        <v>#VALUE!</v>
      </c>
      <c r="CU129" t="e">
        <f>AND(Sheet1!#REF!,"AAAAAHj+32I=")</f>
        <v>#REF!</v>
      </c>
      <c r="CV129" t="e">
        <f>AND(Sheet1!#REF!,"AAAAAHj+32M=")</f>
        <v>#REF!</v>
      </c>
      <c r="CW129" t="e">
        <f>AND(Sheet1!#REF!,"AAAAAHj+32Q=")</f>
        <v>#REF!</v>
      </c>
      <c r="CX129" t="e">
        <f>AND(Sheet1!#REF!,"AAAAAHj+32U=")</f>
        <v>#REF!</v>
      </c>
      <c r="CY129">
        <f>IF(Sheet1!1731:1731,"AAAAAHj+32Y=",0)</f>
        <v>0</v>
      </c>
      <c r="CZ129" t="e">
        <f>AND(Sheet1!A1731,"AAAAAHj+32c=")</f>
        <v>#VALUE!</v>
      </c>
      <c r="DA129" t="e">
        <f>AND(Sheet1!B1731,"AAAAAHj+32g=")</f>
        <v>#VALUE!</v>
      </c>
      <c r="DB129" t="e">
        <f>AND(Sheet1!C1731,"AAAAAHj+32k=")</f>
        <v>#VALUE!</v>
      </c>
      <c r="DC129" t="e">
        <f>AND(Sheet1!D1731,"AAAAAHj+32o=")</f>
        <v>#VALUE!</v>
      </c>
      <c r="DD129" t="e">
        <f>AND(Sheet1!E1731,"AAAAAHj+32s=")</f>
        <v>#VALUE!</v>
      </c>
      <c r="DE129" t="e">
        <f>AND(Sheet1!F1731,"AAAAAHj+32w=")</f>
        <v>#VALUE!</v>
      </c>
      <c r="DF129" t="e">
        <f>AND(Sheet1!G1731,"AAAAAHj+320=")</f>
        <v>#VALUE!</v>
      </c>
      <c r="DG129" t="e">
        <f>AND(Sheet1!H1731,"AAAAAHj+324=")</f>
        <v>#VALUE!</v>
      </c>
      <c r="DH129" t="e">
        <f>AND(Sheet1!I1731,"AAAAAHj+328=")</f>
        <v>#VALUE!</v>
      </c>
      <c r="DI129" t="e">
        <f>AND(Sheet1!J1731,"AAAAAHj+33A=")</f>
        <v>#VALUE!</v>
      </c>
      <c r="DJ129" t="e">
        <f>AND(Sheet1!K1731,"AAAAAHj+33E=")</f>
        <v>#VALUE!</v>
      </c>
      <c r="DK129" t="e">
        <f>AND(Sheet1!L1731,"AAAAAHj+33I=")</f>
        <v>#VALUE!</v>
      </c>
      <c r="DL129" t="e">
        <f>AND(Sheet1!M1731,"AAAAAHj+33M=")</f>
        <v>#VALUE!</v>
      </c>
      <c r="DM129" t="e">
        <f>AND(Sheet1!N1731,"AAAAAHj+33Q=")</f>
        <v>#VALUE!</v>
      </c>
      <c r="DN129" t="e">
        <f>AND(Sheet1!#REF!,"AAAAAHj+33U=")</f>
        <v>#REF!</v>
      </c>
      <c r="DO129" t="e">
        <f>AND(Sheet1!#REF!,"AAAAAHj+33Y=")</f>
        <v>#REF!</v>
      </c>
      <c r="DP129" t="e">
        <f>AND(Sheet1!#REF!,"AAAAAHj+33c=")</f>
        <v>#REF!</v>
      </c>
      <c r="DQ129" t="e">
        <f>AND(Sheet1!#REF!,"AAAAAHj+33g=")</f>
        <v>#REF!</v>
      </c>
      <c r="DR129">
        <f>IF(Sheet1!1732:1732,"AAAAAHj+33k=",0)</f>
        <v>0</v>
      </c>
      <c r="DS129" t="e">
        <f>AND(Sheet1!A1732,"AAAAAHj+33o=")</f>
        <v>#VALUE!</v>
      </c>
      <c r="DT129" t="e">
        <f>AND(Sheet1!B1732,"AAAAAHj+33s=")</f>
        <v>#VALUE!</v>
      </c>
      <c r="DU129" t="e">
        <f>AND(Sheet1!C1732,"AAAAAHj+33w=")</f>
        <v>#VALUE!</v>
      </c>
      <c r="DV129" t="e">
        <f>AND(Sheet1!D1732,"AAAAAHj+330=")</f>
        <v>#VALUE!</v>
      </c>
      <c r="DW129" t="e">
        <f>AND(Sheet1!E1732,"AAAAAHj+334=")</f>
        <v>#VALUE!</v>
      </c>
      <c r="DX129" t="e">
        <f>AND(Sheet1!F1732,"AAAAAHj+338=")</f>
        <v>#VALUE!</v>
      </c>
      <c r="DY129" t="e">
        <f>AND(Sheet1!G1732,"AAAAAHj+34A=")</f>
        <v>#VALUE!</v>
      </c>
      <c r="DZ129" t="e">
        <f>AND(Sheet1!H1732,"AAAAAHj+34E=")</f>
        <v>#VALUE!</v>
      </c>
      <c r="EA129" t="e">
        <f>AND(Sheet1!I1732,"AAAAAHj+34I=")</f>
        <v>#VALUE!</v>
      </c>
      <c r="EB129" t="e">
        <f>AND(Sheet1!J1732,"AAAAAHj+34M=")</f>
        <v>#VALUE!</v>
      </c>
      <c r="EC129" t="e">
        <f>AND(Sheet1!K1732,"AAAAAHj+34Q=")</f>
        <v>#VALUE!</v>
      </c>
      <c r="ED129" t="e">
        <f>AND(Sheet1!L1732,"AAAAAHj+34U=")</f>
        <v>#VALUE!</v>
      </c>
      <c r="EE129" t="e">
        <f>AND(Sheet1!M1732,"AAAAAHj+34Y=")</f>
        <v>#VALUE!</v>
      </c>
      <c r="EF129" t="e">
        <f>AND(Sheet1!N1732,"AAAAAHj+34c=")</f>
        <v>#VALUE!</v>
      </c>
      <c r="EG129" t="e">
        <f>AND(Sheet1!#REF!,"AAAAAHj+34g=")</f>
        <v>#REF!</v>
      </c>
      <c r="EH129" t="e">
        <f>AND(Sheet1!#REF!,"AAAAAHj+34k=")</f>
        <v>#REF!</v>
      </c>
      <c r="EI129" t="e">
        <f>AND(Sheet1!#REF!,"AAAAAHj+34o=")</f>
        <v>#REF!</v>
      </c>
      <c r="EJ129" t="e">
        <f>AND(Sheet1!#REF!,"AAAAAHj+34s=")</f>
        <v>#REF!</v>
      </c>
      <c r="EK129">
        <f>IF(Sheet1!1733:1733,"AAAAAHj+34w=",0)</f>
        <v>0</v>
      </c>
      <c r="EL129" t="e">
        <f>AND(Sheet1!A1733,"AAAAAHj+340=")</f>
        <v>#VALUE!</v>
      </c>
      <c r="EM129" t="e">
        <f>AND(Sheet1!B1733,"AAAAAHj+344=")</f>
        <v>#VALUE!</v>
      </c>
      <c r="EN129" t="e">
        <f>AND(Sheet1!C1733,"AAAAAHj+348=")</f>
        <v>#VALUE!</v>
      </c>
      <c r="EO129" t="e">
        <f>AND(Sheet1!D1733,"AAAAAHj+35A=")</f>
        <v>#VALUE!</v>
      </c>
      <c r="EP129" t="e">
        <f>AND(Sheet1!E1733,"AAAAAHj+35E=")</f>
        <v>#VALUE!</v>
      </c>
      <c r="EQ129" t="e">
        <f>AND(Sheet1!F1733,"AAAAAHj+35I=")</f>
        <v>#VALUE!</v>
      </c>
      <c r="ER129" t="e">
        <f>AND(Sheet1!G1733,"AAAAAHj+35M=")</f>
        <v>#VALUE!</v>
      </c>
      <c r="ES129" t="e">
        <f>AND(Sheet1!H1733,"AAAAAHj+35Q=")</f>
        <v>#VALUE!</v>
      </c>
      <c r="ET129" t="e">
        <f>AND(Sheet1!I1733,"AAAAAHj+35U=")</f>
        <v>#VALUE!</v>
      </c>
      <c r="EU129" t="e">
        <f>AND(Sheet1!J1733,"AAAAAHj+35Y=")</f>
        <v>#VALUE!</v>
      </c>
      <c r="EV129" t="e">
        <f>AND(Sheet1!K1733,"AAAAAHj+35c=")</f>
        <v>#VALUE!</v>
      </c>
      <c r="EW129" t="e">
        <f>AND(Sheet1!L1733,"AAAAAHj+35g=")</f>
        <v>#VALUE!</v>
      </c>
      <c r="EX129" t="e">
        <f>AND(Sheet1!M1733,"AAAAAHj+35k=")</f>
        <v>#VALUE!</v>
      </c>
      <c r="EY129" t="e">
        <f>AND(Sheet1!N1733,"AAAAAHj+35o=")</f>
        <v>#VALUE!</v>
      </c>
      <c r="EZ129" t="e">
        <f>AND(Sheet1!#REF!,"AAAAAHj+35s=")</f>
        <v>#REF!</v>
      </c>
      <c r="FA129" t="e">
        <f>AND(Sheet1!#REF!,"AAAAAHj+35w=")</f>
        <v>#REF!</v>
      </c>
      <c r="FB129" t="e">
        <f>AND(Sheet1!#REF!,"AAAAAHj+350=")</f>
        <v>#REF!</v>
      </c>
      <c r="FC129" t="e">
        <f>AND(Sheet1!#REF!,"AAAAAHj+354=")</f>
        <v>#REF!</v>
      </c>
      <c r="FD129">
        <f>IF(Sheet1!1734:1734,"AAAAAHj+358=",0)</f>
        <v>0</v>
      </c>
      <c r="FE129" t="e">
        <f>AND(Sheet1!A1734,"AAAAAHj+36A=")</f>
        <v>#VALUE!</v>
      </c>
      <c r="FF129" t="e">
        <f>AND(Sheet1!B1734,"AAAAAHj+36E=")</f>
        <v>#VALUE!</v>
      </c>
      <c r="FG129" t="e">
        <f>AND(Sheet1!C1734,"AAAAAHj+36I=")</f>
        <v>#VALUE!</v>
      </c>
      <c r="FH129" t="e">
        <f>AND(Sheet1!D1734,"AAAAAHj+36M=")</f>
        <v>#VALUE!</v>
      </c>
      <c r="FI129" t="e">
        <f>AND(Sheet1!E1734,"AAAAAHj+36Q=")</f>
        <v>#VALUE!</v>
      </c>
      <c r="FJ129" t="e">
        <f>AND(Sheet1!F1734,"AAAAAHj+36U=")</f>
        <v>#VALUE!</v>
      </c>
      <c r="FK129" t="e">
        <f>AND(Sheet1!G1734,"AAAAAHj+36Y=")</f>
        <v>#VALUE!</v>
      </c>
      <c r="FL129" t="e">
        <f>AND(Sheet1!H1734,"AAAAAHj+36c=")</f>
        <v>#VALUE!</v>
      </c>
      <c r="FM129" t="e">
        <f>AND(Sheet1!I1734,"AAAAAHj+36g=")</f>
        <v>#VALUE!</v>
      </c>
      <c r="FN129" t="e">
        <f>AND(Sheet1!J1734,"AAAAAHj+36k=")</f>
        <v>#VALUE!</v>
      </c>
      <c r="FO129" t="e">
        <f>AND(Sheet1!K1734,"AAAAAHj+36o=")</f>
        <v>#VALUE!</v>
      </c>
      <c r="FP129" t="e">
        <f>AND(Sheet1!L1734,"AAAAAHj+36s=")</f>
        <v>#VALUE!</v>
      </c>
      <c r="FQ129" t="e">
        <f>AND(Sheet1!M1734,"AAAAAHj+36w=")</f>
        <v>#VALUE!</v>
      </c>
      <c r="FR129" t="e">
        <f>AND(Sheet1!N1734,"AAAAAHj+360=")</f>
        <v>#VALUE!</v>
      </c>
      <c r="FS129" t="e">
        <f>AND(Sheet1!#REF!,"AAAAAHj+364=")</f>
        <v>#REF!</v>
      </c>
      <c r="FT129" t="e">
        <f>AND(Sheet1!#REF!,"AAAAAHj+368=")</f>
        <v>#REF!</v>
      </c>
      <c r="FU129" t="e">
        <f>AND(Sheet1!#REF!,"AAAAAHj+37A=")</f>
        <v>#REF!</v>
      </c>
      <c r="FV129" t="e">
        <f>AND(Sheet1!#REF!,"AAAAAHj+37E=")</f>
        <v>#REF!</v>
      </c>
      <c r="FW129">
        <f>IF(Sheet1!1735:1735,"AAAAAHj+37I=",0)</f>
        <v>0</v>
      </c>
      <c r="FX129" t="e">
        <f>AND(Sheet1!A1735,"AAAAAHj+37M=")</f>
        <v>#VALUE!</v>
      </c>
      <c r="FY129" t="e">
        <f>AND(Sheet1!B1735,"AAAAAHj+37Q=")</f>
        <v>#VALUE!</v>
      </c>
      <c r="FZ129" t="e">
        <f>AND(Sheet1!C1735,"AAAAAHj+37U=")</f>
        <v>#VALUE!</v>
      </c>
      <c r="GA129" t="e">
        <f>AND(Sheet1!D1735,"AAAAAHj+37Y=")</f>
        <v>#VALUE!</v>
      </c>
      <c r="GB129" t="e">
        <f>AND(Sheet1!E1735,"AAAAAHj+37c=")</f>
        <v>#VALUE!</v>
      </c>
      <c r="GC129" t="e">
        <f>AND(Sheet1!F1735,"AAAAAHj+37g=")</f>
        <v>#VALUE!</v>
      </c>
      <c r="GD129" t="e">
        <f>AND(Sheet1!G1735,"AAAAAHj+37k=")</f>
        <v>#VALUE!</v>
      </c>
      <c r="GE129" t="e">
        <f>AND(Sheet1!H1735,"AAAAAHj+37o=")</f>
        <v>#VALUE!</v>
      </c>
      <c r="GF129" t="e">
        <f>AND(Sheet1!I1735,"AAAAAHj+37s=")</f>
        <v>#VALUE!</v>
      </c>
      <c r="GG129" t="e">
        <f>AND(Sheet1!J1735,"AAAAAHj+37w=")</f>
        <v>#VALUE!</v>
      </c>
      <c r="GH129" t="e">
        <f>AND(Sheet1!K1735,"AAAAAHj+370=")</f>
        <v>#VALUE!</v>
      </c>
      <c r="GI129" t="e">
        <f>AND(Sheet1!L1735,"AAAAAHj+374=")</f>
        <v>#VALUE!</v>
      </c>
      <c r="GJ129" t="e">
        <f>AND(Sheet1!M1735,"AAAAAHj+378=")</f>
        <v>#VALUE!</v>
      </c>
      <c r="GK129" t="e">
        <f>AND(Sheet1!N1735,"AAAAAHj+38A=")</f>
        <v>#VALUE!</v>
      </c>
      <c r="GL129" t="e">
        <f>AND(Sheet1!#REF!,"AAAAAHj+38E=")</f>
        <v>#REF!</v>
      </c>
      <c r="GM129" t="e">
        <f>AND(Sheet1!#REF!,"AAAAAHj+38I=")</f>
        <v>#REF!</v>
      </c>
      <c r="GN129" t="e">
        <f>AND(Sheet1!#REF!,"AAAAAHj+38M=")</f>
        <v>#REF!</v>
      </c>
      <c r="GO129" t="e">
        <f>AND(Sheet1!#REF!,"AAAAAHj+38Q=")</f>
        <v>#REF!</v>
      </c>
      <c r="GP129">
        <f>IF(Sheet1!1736:1736,"AAAAAHj+38U=",0)</f>
        <v>0</v>
      </c>
      <c r="GQ129" t="e">
        <f>AND(Sheet1!A1736,"AAAAAHj+38Y=")</f>
        <v>#VALUE!</v>
      </c>
      <c r="GR129" t="e">
        <f>AND(Sheet1!B1736,"AAAAAHj+38c=")</f>
        <v>#VALUE!</v>
      </c>
      <c r="GS129" t="e">
        <f>AND(Sheet1!C1736,"AAAAAHj+38g=")</f>
        <v>#VALUE!</v>
      </c>
      <c r="GT129" t="e">
        <f>AND(Sheet1!D1736,"AAAAAHj+38k=")</f>
        <v>#VALUE!</v>
      </c>
      <c r="GU129" t="e">
        <f>AND(Sheet1!E1736,"AAAAAHj+38o=")</f>
        <v>#VALUE!</v>
      </c>
      <c r="GV129" t="e">
        <f>AND(Sheet1!F1736,"AAAAAHj+38s=")</f>
        <v>#VALUE!</v>
      </c>
      <c r="GW129" t="e">
        <f>AND(Sheet1!G1736,"AAAAAHj+38w=")</f>
        <v>#VALUE!</v>
      </c>
      <c r="GX129" t="e">
        <f>AND(Sheet1!H1736,"AAAAAHj+380=")</f>
        <v>#VALUE!</v>
      </c>
      <c r="GY129" t="e">
        <f>AND(Sheet1!I1736,"AAAAAHj+384=")</f>
        <v>#VALUE!</v>
      </c>
      <c r="GZ129" t="e">
        <f>AND(Sheet1!J1736,"AAAAAHj+388=")</f>
        <v>#VALUE!</v>
      </c>
      <c r="HA129" t="e">
        <f>AND(Sheet1!K1736,"AAAAAHj+39A=")</f>
        <v>#VALUE!</v>
      </c>
      <c r="HB129" t="e">
        <f>AND(Sheet1!L1736,"AAAAAHj+39E=")</f>
        <v>#VALUE!</v>
      </c>
      <c r="HC129" t="e">
        <f>AND(Sheet1!M1736,"AAAAAHj+39I=")</f>
        <v>#VALUE!</v>
      </c>
      <c r="HD129" t="e">
        <f>AND(Sheet1!N1736,"AAAAAHj+39M=")</f>
        <v>#VALUE!</v>
      </c>
      <c r="HE129" t="e">
        <f>AND(Sheet1!#REF!,"AAAAAHj+39Q=")</f>
        <v>#REF!</v>
      </c>
      <c r="HF129" t="e">
        <f>AND(Sheet1!#REF!,"AAAAAHj+39U=")</f>
        <v>#REF!</v>
      </c>
      <c r="HG129" t="e">
        <f>AND(Sheet1!#REF!,"AAAAAHj+39Y=")</f>
        <v>#REF!</v>
      </c>
      <c r="HH129" t="e">
        <f>AND(Sheet1!#REF!,"AAAAAHj+39c=")</f>
        <v>#REF!</v>
      </c>
      <c r="HI129">
        <f>IF(Sheet1!1737:1737,"AAAAAHj+39g=",0)</f>
        <v>0</v>
      </c>
      <c r="HJ129" t="e">
        <f>AND(Sheet1!A1737,"AAAAAHj+39k=")</f>
        <v>#VALUE!</v>
      </c>
      <c r="HK129" t="e">
        <f>AND(Sheet1!B1737,"AAAAAHj+39o=")</f>
        <v>#VALUE!</v>
      </c>
      <c r="HL129" t="e">
        <f>AND(Sheet1!C1737,"AAAAAHj+39s=")</f>
        <v>#VALUE!</v>
      </c>
      <c r="HM129" t="e">
        <f>AND(Sheet1!D1737,"AAAAAHj+39w=")</f>
        <v>#VALUE!</v>
      </c>
      <c r="HN129" t="e">
        <f>AND(Sheet1!E1737,"AAAAAHj+390=")</f>
        <v>#VALUE!</v>
      </c>
      <c r="HO129" t="e">
        <f>AND(Sheet1!F1737,"AAAAAHj+394=")</f>
        <v>#VALUE!</v>
      </c>
      <c r="HP129" t="e">
        <f>AND(Sheet1!G1737,"AAAAAHj+398=")</f>
        <v>#VALUE!</v>
      </c>
      <c r="HQ129" t="e">
        <f>AND(Sheet1!H1737,"AAAAAHj+3+A=")</f>
        <v>#VALUE!</v>
      </c>
      <c r="HR129" t="e">
        <f>AND(Sheet1!I1737,"AAAAAHj+3+E=")</f>
        <v>#VALUE!</v>
      </c>
      <c r="HS129" t="e">
        <f>AND(Sheet1!J1737,"AAAAAHj+3+I=")</f>
        <v>#VALUE!</v>
      </c>
      <c r="HT129" t="e">
        <f>AND(Sheet1!K1737,"AAAAAHj+3+M=")</f>
        <v>#VALUE!</v>
      </c>
      <c r="HU129" t="e">
        <f>AND(Sheet1!L1737,"AAAAAHj+3+Q=")</f>
        <v>#VALUE!</v>
      </c>
      <c r="HV129" t="e">
        <f>AND(Sheet1!M1737,"AAAAAHj+3+U=")</f>
        <v>#VALUE!</v>
      </c>
      <c r="HW129" t="e">
        <f>AND(Sheet1!N1737,"AAAAAHj+3+Y=")</f>
        <v>#VALUE!</v>
      </c>
      <c r="HX129" t="e">
        <f>AND(Sheet1!#REF!,"AAAAAHj+3+c=")</f>
        <v>#REF!</v>
      </c>
      <c r="HY129" t="e">
        <f>AND(Sheet1!#REF!,"AAAAAHj+3+g=")</f>
        <v>#REF!</v>
      </c>
      <c r="HZ129" t="e">
        <f>AND(Sheet1!#REF!,"AAAAAHj+3+k=")</f>
        <v>#REF!</v>
      </c>
      <c r="IA129" t="e">
        <f>AND(Sheet1!#REF!,"AAAAAHj+3+o=")</f>
        <v>#REF!</v>
      </c>
      <c r="IB129">
        <f>IF(Sheet1!1738:1738,"AAAAAHj+3+s=",0)</f>
        <v>0</v>
      </c>
      <c r="IC129" t="e">
        <f>AND(Sheet1!A1738,"AAAAAHj+3+w=")</f>
        <v>#VALUE!</v>
      </c>
      <c r="ID129" t="e">
        <f>AND(Sheet1!B1738,"AAAAAHj+3+0=")</f>
        <v>#VALUE!</v>
      </c>
      <c r="IE129" t="e">
        <f>AND(Sheet1!C1738,"AAAAAHj+3+4=")</f>
        <v>#VALUE!</v>
      </c>
      <c r="IF129" t="e">
        <f>AND(Sheet1!D1738,"AAAAAHj+3+8=")</f>
        <v>#VALUE!</v>
      </c>
      <c r="IG129" t="e">
        <f>AND(Sheet1!E1738,"AAAAAHj+3/A=")</f>
        <v>#VALUE!</v>
      </c>
      <c r="IH129" t="e">
        <f>AND(Sheet1!F1738,"AAAAAHj+3/E=")</f>
        <v>#VALUE!</v>
      </c>
      <c r="II129" t="e">
        <f>AND(Sheet1!G1738,"AAAAAHj+3/I=")</f>
        <v>#VALUE!</v>
      </c>
      <c r="IJ129" t="e">
        <f>AND(Sheet1!H1738,"AAAAAHj+3/M=")</f>
        <v>#VALUE!</v>
      </c>
      <c r="IK129" t="e">
        <f>AND(Sheet1!I1738,"AAAAAHj+3/Q=")</f>
        <v>#VALUE!</v>
      </c>
      <c r="IL129" t="e">
        <f>AND(Sheet1!J1738,"AAAAAHj+3/U=")</f>
        <v>#VALUE!</v>
      </c>
      <c r="IM129" t="e">
        <f>AND(Sheet1!K1738,"AAAAAHj+3/Y=")</f>
        <v>#VALUE!</v>
      </c>
      <c r="IN129" t="e">
        <f>AND(Sheet1!L1738,"AAAAAHj+3/c=")</f>
        <v>#VALUE!</v>
      </c>
      <c r="IO129" t="e">
        <f>AND(Sheet1!M1738,"AAAAAHj+3/g=")</f>
        <v>#VALUE!</v>
      </c>
      <c r="IP129" t="e">
        <f>AND(Sheet1!N1738,"AAAAAHj+3/k=")</f>
        <v>#VALUE!</v>
      </c>
      <c r="IQ129" t="e">
        <f>AND(Sheet1!#REF!,"AAAAAHj+3/o=")</f>
        <v>#REF!</v>
      </c>
      <c r="IR129" t="e">
        <f>AND(Sheet1!#REF!,"AAAAAHj+3/s=")</f>
        <v>#REF!</v>
      </c>
      <c r="IS129" t="e">
        <f>AND(Sheet1!#REF!,"AAAAAHj+3/w=")</f>
        <v>#REF!</v>
      </c>
      <c r="IT129" t="e">
        <f>AND(Sheet1!#REF!,"AAAAAHj+3/0=")</f>
        <v>#REF!</v>
      </c>
      <c r="IU129">
        <f>IF(Sheet1!1739:1739,"AAAAAHj+3/4=",0)</f>
        <v>0</v>
      </c>
      <c r="IV129" t="e">
        <f>AND(Sheet1!A1739,"AAAAAHj+3/8=")</f>
        <v>#VALUE!</v>
      </c>
    </row>
    <row r="130" spans="1:256" x14ac:dyDescent="0.2">
      <c r="A130" t="e">
        <f>AND(Sheet1!B1739,"AAAAAH1u7wA=")</f>
        <v>#VALUE!</v>
      </c>
      <c r="B130" t="e">
        <f>AND(Sheet1!C1739,"AAAAAH1u7wE=")</f>
        <v>#VALUE!</v>
      </c>
      <c r="C130" t="e">
        <f>AND(Sheet1!D1739,"AAAAAH1u7wI=")</f>
        <v>#VALUE!</v>
      </c>
      <c r="D130" t="e">
        <f>AND(Sheet1!E1739,"AAAAAH1u7wM=")</f>
        <v>#VALUE!</v>
      </c>
      <c r="E130" t="e">
        <f>AND(Sheet1!F1739,"AAAAAH1u7wQ=")</f>
        <v>#VALUE!</v>
      </c>
      <c r="F130" t="e">
        <f>AND(Sheet1!G1739,"AAAAAH1u7wU=")</f>
        <v>#VALUE!</v>
      </c>
      <c r="G130" t="e">
        <f>AND(Sheet1!H1739,"AAAAAH1u7wY=")</f>
        <v>#VALUE!</v>
      </c>
      <c r="H130" t="e">
        <f>AND(Sheet1!I1739,"AAAAAH1u7wc=")</f>
        <v>#VALUE!</v>
      </c>
      <c r="I130" t="e">
        <f>AND(Sheet1!J1739,"AAAAAH1u7wg=")</f>
        <v>#VALUE!</v>
      </c>
      <c r="J130" t="e">
        <f>AND(Sheet1!K1739,"AAAAAH1u7wk=")</f>
        <v>#VALUE!</v>
      </c>
      <c r="K130" t="e">
        <f>AND(Sheet1!L1739,"AAAAAH1u7wo=")</f>
        <v>#VALUE!</v>
      </c>
      <c r="L130" t="e">
        <f>AND(Sheet1!M1739,"AAAAAH1u7ws=")</f>
        <v>#VALUE!</v>
      </c>
      <c r="M130" t="e">
        <f>AND(Sheet1!N1739,"AAAAAH1u7ww=")</f>
        <v>#VALUE!</v>
      </c>
      <c r="N130" t="e">
        <f>AND(Sheet1!#REF!,"AAAAAH1u7w0=")</f>
        <v>#REF!</v>
      </c>
      <c r="O130" t="e">
        <f>AND(Sheet1!#REF!,"AAAAAH1u7w4=")</f>
        <v>#REF!</v>
      </c>
      <c r="P130" t="e">
        <f>AND(Sheet1!#REF!,"AAAAAH1u7w8=")</f>
        <v>#REF!</v>
      </c>
      <c r="Q130" t="e">
        <f>AND(Sheet1!#REF!,"AAAAAH1u7xA=")</f>
        <v>#REF!</v>
      </c>
      <c r="R130">
        <f>IF(Sheet1!1740:1740,"AAAAAH1u7xE=",0)</f>
        <v>0</v>
      </c>
      <c r="S130" t="e">
        <f>AND(Sheet1!A1740,"AAAAAH1u7xI=")</f>
        <v>#VALUE!</v>
      </c>
      <c r="T130" t="e">
        <f>AND(Sheet1!B1740,"AAAAAH1u7xM=")</f>
        <v>#VALUE!</v>
      </c>
      <c r="U130" t="e">
        <f>AND(Sheet1!C1740,"AAAAAH1u7xQ=")</f>
        <v>#VALUE!</v>
      </c>
      <c r="V130" t="e">
        <f>AND(Sheet1!D1740,"AAAAAH1u7xU=")</f>
        <v>#VALUE!</v>
      </c>
      <c r="W130" t="e">
        <f>AND(Sheet1!E1740,"AAAAAH1u7xY=")</f>
        <v>#VALUE!</v>
      </c>
      <c r="X130" t="e">
        <f>AND(Sheet1!F1740,"AAAAAH1u7xc=")</f>
        <v>#VALUE!</v>
      </c>
      <c r="Y130" t="e">
        <f>AND(Sheet1!G1740,"AAAAAH1u7xg=")</f>
        <v>#VALUE!</v>
      </c>
      <c r="Z130" t="e">
        <f>AND(Sheet1!H1740,"AAAAAH1u7xk=")</f>
        <v>#VALUE!</v>
      </c>
      <c r="AA130" t="e">
        <f>AND(Sheet1!I1740,"AAAAAH1u7xo=")</f>
        <v>#VALUE!</v>
      </c>
      <c r="AB130" t="e">
        <f>AND(Sheet1!J1740,"AAAAAH1u7xs=")</f>
        <v>#VALUE!</v>
      </c>
      <c r="AC130" t="e">
        <f>AND(Sheet1!K1740,"AAAAAH1u7xw=")</f>
        <v>#VALUE!</v>
      </c>
      <c r="AD130" t="e">
        <f>AND(Sheet1!L1740,"AAAAAH1u7x0=")</f>
        <v>#VALUE!</v>
      </c>
      <c r="AE130" t="e">
        <f>AND(Sheet1!M1740,"AAAAAH1u7x4=")</f>
        <v>#VALUE!</v>
      </c>
      <c r="AF130" t="e">
        <f>AND(Sheet1!N1740,"AAAAAH1u7x8=")</f>
        <v>#VALUE!</v>
      </c>
      <c r="AG130" t="e">
        <f>AND(Sheet1!#REF!,"AAAAAH1u7yA=")</f>
        <v>#REF!</v>
      </c>
      <c r="AH130" t="e">
        <f>AND(Sheet1!#REF!,"AAAAAH1u7yE=")</f>
        <v>#REF!</v>
      </c>
      <c r="AI130" t="e">
        <f>AND(Sheet1!#REF!,"AAAAAH1u7yI=")</f>
        <v>#REF!</v>
      </c>
      <c r="AJ130" t="e">
        <f>AND(Sheet1!#REF!,"AAAAAH1u7yM=")</f>
        <v>#REF!</v>
      </c>
      <c r="AK130">
        <f>IF(Sheet1!1741:1741,"AAAAAH1u7yQ=",0)</f>
        <v>0</v>
      </c>
      <c r="AL130" t="e">
        <f>AND(Sheet1!A1741,"AAAAAH1u7yU=")</f>
        <v>#VALUE!</v>
      </c>
      <c r="AM130" t="e">
        <f>AND(Sheet1!B1741,"AAAAAH1u7yY=")</f>
        <v>#VALUE!</v>
      </c>
      <c r="AN130" t="e">
        <f>AND(Sheet1!C1741,"AAAAAH1u7yc=")</f>
        <v>#VALUE!</v>
      </c>
      <c r="AO130" t="e">
        <f>AND(Sheet1!D1741,"AAAAAH1u7yg=")</f>
        <v>#VALUE!</v>
      </c>
      <c r="AP130" t="e">
        <f>AND(Sheet1!E1741,"AAAAAH1u7yk=")</f>
        <v>#VALUE!</v>
      </c>
      <c r="AQ130" t="e">
        <f>AND(Sheet1!F1741,"AAAAAH1u7yo=")</f>
        <v>#VALUE!</v>
      </c>
      <c r="AR130" t="e">
        <f>AND(Sheet1!G1741,"AAAAAH1u7ys=")</f>
        <v>#VALUE!</v>
      </c>
      <c r="AS130" t="e">
        <f>AND(Sheet1!H1741,"AAAAAH1u7yw=")</f>
        <v>#VALUE!</v>
      </c>
      <c r="AT130" t="e">
        <f>AND(Sheet1!I1741,"AAAAAH1u7y0=")</f>
        <v>#VALUE!</v>
      </c>
      <c r="AU130" t="e">
        <f>AND(Sheet1!J1741,"AAAAAH1u7y4=")</f>
        <v>#VALUE!</v>
      </c>
      <c r="AV130" t="e">
        <f>AND(Sheet1!K1741,"AAAAAH1u7y8=")</f>
        <v>#VALUE!</v>
      </c>
      <c r="AW130" t="e">
        <f>AND(Sheet1!L1741,"AAAAAH1u7zA=")</f>
        <v>#VALUE!</v>
      </c>
      <c r="AX130" t="e">
        <f>AND(Sheet1!M1741,"AAAAAH1u7zE=")</f>
        <v>#VALUE!</v>
      </c>
      <c r="AY130" t="e">
        <f>AND(Sheet1!N1741,"AAAAAH1u7zI=")</f>
        <v>#VALUE!</v>
      </c>
      <c r="AZ130" t="e">
        <f>AND(Sheet1!#REF!,"AAAAAH1u7zM=")</f>
        <v>#REF!</v>
      </c>
      <c r="BA130" t="e">
        <f>AND(Sheet1!#REF!,"AAAAAH1u7zQ=")</f>
        <v>#REF!</v>
      </c>
      <c r="BB130" t="e">
        <f>AND(Sheet1!#REF!,"AAAAAH1u7zU=")</f>
        <v>#REF!</v>
      </c>
      <c r="BC130" t="e">
        <f>AND(Sheet1!#REF!,"AAAAAH1u7zY=")</f>
        <v>#REF!</v>
      </c>
      <c r="BD130">
        <f>IF(Sheet1!1742:1742,"AAAAAH1u7zc=",0)</f>
        <v>0</v>
      </c>
      <c r="BE130" t="e">
        <f>AND(Sheet1!A1742,"AAAAAH1u7zg=")</f>
        <v>#VALUE!</v>
      </c>
      <c r="BF130" t="e">
        <f>AND(Sheet1!B1742,"AAAAAH1u7zk=")</f>
        <v>#VALUE!</v>
      </c>
      <c r="BG130" t="e">
        <f>AND(Sheet1!C1742,"AAAAAH1u7zo=")</f>
        <v>#VALUE!</v>
      </c>
      <c r="BH130" t="e">
        <f>AND(Sheet1!D1742,"AAAAAH1u7zs=")</f>
        <v>#VALUE!</v>
      </c>
      <c r="BI130" t="e">
        <f>AND(Sheet1!E1742,"AAAAAH1u7zw=")</f>
        <v>#VALUE!</v>
      </c>
      <c r="BJ130" t="e">
        <f>AND(Sheet1!F1742,"AAAAAH1u7z0=")</f>
        <v>#VALUE!</v>
      </c>
      <c r="BK130" t="e">
        <f>AND(Sheet1!G1742,"AAAAAH1u7z4=")</f>
        <v>#VALUE!</v>
      </c>
      <c r="BL130" t="e">
        <f>AND(Sheet1!H1742,"AAAAAH1u7z8=")</f>
        <v>#VALUE!</v>
      </c>
      <c r="BM130" t="e">
        <f>AND(Sheet1!I1742,"AAAAAH1u70A=")</f>
        <v>#VALUE!</v>
      </c>
      <c r="BN130" t="e">
        <f>AND(Sheet1!J1742,"AAAAAH1u70E=")</f>
        <v>#VALUE!</v>
      </c>
      <c r="BO130" t="e">
        <f>AND(Sheet1!K1742,"AAAAAH1u70I=")</f>
        <v>#VALUE!</v>
      </c>
      <c r="BP130" t="e">
        <f>AND(Sheet1!L1742,"AAAAAH1u70M=")</f>
        <v>#VALUE!</v>
      </c>
      <c r="BQ130" t="e">
        <f>AND(Sheet1!M1742,"AAAAAH1u70Q=")</f>
        <v>#VALUE!</v>
      </c>
      <c r="BR130" t="e">
        <f>AND(Sheet1!N1742,"AAAAAH1u70U=")</f>
        <v>#VALUE!</v>
      </c>
      <c r="BS130" t="e">
        <f>AND(Sheet1!#REF!,"AAAAAH1u70Y=")</f>
        <v>#REF!</v>
      </c>
      <c r="BT130" t="e">
        <f>AND(Sheet1!#REF!,"AAAAAH1u70c=")</f>
        <v>#REF!</v>
      </c>
      <c r="BU130" t="e">
        <f>AND(Sheet1!#REF!,"AAAAAH1u70g=")</f>
        <v>#REF!</v>
      </c>
      <c r="BV130" t="e">
        <f>AND(Sheet1!#REF!,"AAAAAH1u70k=")</f>
        <v>#REF!</v>
      </c>
      <c r="BW130">
        <f>IF(Sheet1!1743:1743,"AAAAAH1u70o=",0)</f>
        <v>0</v>
      </c>
      <c r="BX130" t="e">
        <f>AND(Sheet1!A1743,"AAAAAH1u70s=")</f>
        <v>#VALUE!</v>
      </c>
      <c r="BY130" t="e">
        <f>AND(Sheet1!B1743,"AAAAAH1u70w=")</f>
        <v>#VALUE!</v>
      </c>
      <c r="BZ130" t="e">
        <f>AND(Sheet1!C1743,"AAAAAH1u700=")</f>
        <v>#VALUE!</v>
      </c>
      <c r="CA130" t="e">
        <f>AND(Sheet1!D1743,"AAAAAH1u704=")</f>
        <v>#VALUE!</v>
      </c>
      <c r="CB130" t="e">
        <f>AND(Sheet1!E1743,"AAAAAH1u708=")</f>
        <v>#VALUE!</v>
      </c>
      <c r="CC130" t="e">
        <f>AND(Sheet1!F1743,"AAAAAH1u71A=")</f>
        <v>#VALUE!</v>
      </c>
      <c r="CD130" t="e">
        <f>AND(Sheet1!G1743,"AAAAAH1u71E=")</f>
        <v>#VALUE!</v>
      </c>
      <c r="CE130" t="e">
        <f>AND(Sheet1!H1743,"AAAAAH1u71I=")</f>
        <v>#VALUE!</v>
      </c>
      <c r="CF130" t="e">
        <f>AND(Sheet1!I1743,"AAAAAH1u71M=")</f>
        <v>#VALUE!</v>
      </c>
      <c r="CG130" t="e">
        <f>AND(Sheet1!J1743,"AAAAAH1u71Q=")</f>
        <v>#VALUE!</v>
      </c>
      <c r="CH130" t="e">
        <f>AND(Sheet1!K1743,"AAAAAH1u71U=")</f>
        <v>#VALUE!</v>
      </c>
      <c r="CI130" t="e">
        <f>AND(Sheet1!L1743,"AAAAAH1u71Y=")</f>
        <v>#VALUE!</v>
      </c>
      <c r="CJ130" t="e">
        <f>AND(Sheet1!M1743,"AAAAAH1u71c=")</f>
        <v>#VALUE!</v>
      </c>
      <c r="CK130" t="e">
        <f>AND(Sheet1!N1743,"AAAAAH1u71g=")</f>
        <v>#VALUE!</v>
      </c>
      <c r="CL130" t="e">
        <f>AND(Sheet1!#REF!,"AAAAAH1u71k=")</f>
        <v>#REF!</v>
      </c>
      <c r="CM130" t="e">
        <f>AND(Sheet1!#REF!,"AAAAAH1u71o=")</f>
        <v>#REF!</v>
      </c>
      <c r="CN130" t="e">
        <f>AND(Sheet1!#REF!,"AAAAAH1u71s=")</f>
        <v>#REF!</v>
      </c>
      <c r="CO130" t="e">
        <f>AND(Sheet1!#REF!,"AAAAAH1u71w=")</f>
        <v>#REF!</v>
      </c>
      <c r="CP130">
        <f>IF(Sheet1!1744:1744,"AAAAAH1u710=",0)</f>
        <v>0</v>
      </c>
      <c r="CQ130" t="e">
        <f>AND(Sheet1!A1744,"AAAAAH1u714=")</f>
        <v>#VALUE!</v>
      </c>
      <c r="CR130" t="e">
        <f>AND(Sheet1!B1744,"AAAAAH1u718=")</f>
        <v>#VALUE!</v>
      </c>
      <c r="CS130" t="e">
        <f>AND(Sheet1!C1744,"AAAAAH1u72A=")</f>
        <v>#VALUE!</v>
      </c>
      <c r="CT130" t="e">
        <f>AND(Sheet1!D1744,"AAAAAH1u72E=")</f>
        <v>#VALUE!</v>
      </c>
      <c r="CU130" t="e">
        <f>AND(Sheet1!E1744,"AAAAAH1u72I=")</f>
        <v>#VALUE!</v>
      </c>
      <c r="CV130" t="e">
        <f>AND(Sheet1!F1744,"AAAAAH1u72M=")</f>
        <v>#VALUE!</v>
      </c>
      <c r="CW130" t="e">
        <f>AND(Sheet1!G1744,"AAAAAH1u72Q=")</f>
        <v>#VALUE!</v>
      </c>
      <c r="CX130" t="e">
        <f>AND(Sheet1!H1744,"AAAAAH1u72U=")</f>
        <v>#VALUE!</v>
      </c>
      <c r="CY130" t="e">
        <f>AND(Sheet1!I1744,"AAAAAH1u72Y=")</f>
        <v>#VALUE!</v>
      </c>
      <c r="CZ130" t="e">
        <f>AND(Sheet1!J1744,"AAAAAH1u72c=")</f>
        <v>#VALUE!</v>
      </c>
      <c r="DA130" t="e">
        <f>AND(Sheet1!K1744,"AAAAAH1u72g=")</f>
        <v>#VALUE!</v>
      </c>
      <c r="DB130" t="e">
        <f>AND(Sheet1!L1744,"AAAAAH1u72k=")</f>
        <v>#VALUE!</v>
      </c>
      <c r="DC130" t="e">
        <f>AND(Sheet1!M1744,"AAAAAH1u72o=")</f>
        <v>#VALUE!</v>
      </c>
      <c r="DD130" t="e">
        <f>AND(Sheet1!N1744,"AAAAAH1u72s=")</f>
        <v>#VALUE!</v>
      </c>
      <c r="DE130" t="e">
        <f>AND(Sheet1!#REF!,"AAAAAH1u72w=")</f>
        <v>#REF!</v>
      </c>
      <c r="DF130" t="e">
        <f>AND(Sheet1!#REF!,"AAAAAH1u720=")</f>
        <v>#REF!</v>
      </c>
      <c r="DG130" t="e">
        <f>AND(Sheet1!#REF!,"AAAAAH1u724=")</f>
        <v>#REF!</v>
      </c>
      <c r="DH130" t="e">
        <f>AND(Sheet1!#REF!,"AAAAAH1u728=")</f>
        <v>#REF!</v>
      </c>
      <c r="DI130">
        <f>IF(Sheet1!1745:1745,"AAAAAH1u73A=",0)</f>
        <v>0</v>
      </c>
      <c r="DJ130" t="e">
        <f>AND(Sheet1!A1745,"AAAAAH1u73E=")</f>
        <v>#VALUE!</v>
      </c>
      <c r="DK130" t="e">
        <f>AND(Sheet1!B1745,"AAAAAH1u73I=")</f>
        <v>#VALUE!</v>
      </c>
      <c r="DL130" t="e">
        <f>AND(Sheet1!C1745,"AAAAAH1u73M=")</f>
        <v>#VALUE!</v>
      </c>
      <c r="DM130" t="e">
        <f>AND(Sheet1!D1745,"AAAAAH1u73Q=")</f>
        <v>#VALUE!</v>
      </c>
      <c r="DN130" t="e">
        <f>AND(Sheet1!E1745,"AAAAAH1u73U=")</f>
        <v>#VALUE!</v>
      </c>
      <c r="DO130" t="e">
        <f>AND(Sheet1!F1745,"AAAAAH1u73Y=")</f>
        <v>#VALUE!</v>
      </c>
      <c r="DP130" t="e">
        <f>AND(Sheet1!G1745,"AAAAAH1u73c=")</f>
        <v>#VALUE!</v>
      </c>
      <c r="DQ130" t="e">
        <f>AND(Sheet1!H1745,"AAAAAH1u73g=")</f>
        <v>#VALUE!</v>
      </c>
      <c r="DR130" t="e">
        <f>AND(Sheet1!I1745,"AAAAAH1u73k=")</f>
        <v>#VALUE!</v>
      </c>
      <c r="DS130" t="e">
        <f>AND(Sheet1!J1745,"AAAAAH1u73o=")</f>
        <v>#VALUE!</v>
      </c>
      <c r="DT130" t="e">
        <f>AND(Sheet1!K1745,"AAAAAH1u73s=")</f>
        <v>#VALUE!</v>
      </c>
      <c r="DU130" t="e">
        <f>AND(Sheet1!L1745,"AAAAAH1u73w=")</f>
        <v>#VALUE!</v>
      </c>
      <c r="DV130" t="e">
        <f>AND(Sheet1!M1745,"AAAAAH1u730=")</f>
        <v>#VALUE!</v>
      </c>
      <c r="DW130" t="e">
        <f>AND(Sheet1!N1745,"AAAAAH1u734=")</f>
        <v>#VALUE!</v>
      </c>
      <c r="DX130" t="e">
        <f>AND(Sheet1!#REF!,"AAAAAH1u738=")</f>
        <v>#REF!</v>
      </c>
      <c r="DY130" t="e">
        <f>AND(Sheet1!#REF!,"AAAAAH1u74A=")</f>
        <v>#REF!</v>
      </c>
      <c r="DZ130" t="e">
        <f>AND(Sheet1!#REF!,"AAAAAH1u74E=")</f>
        <v>#REF!</v>
      </c>
      <c r="EA130" t="e">
        <f>AND(Sheet1!#REF!,"AAAAAH1u74I=")</f>
        <v>#REF!</v>
      </c>
      <c r="EB130">
        <f>IF(Sheet1!1746:1746,"AAAAAH1u74M=",0)</f>
        <v>0</v>
      </c>
      <c r="EC130" t="e">
        <f>AND(Sheet1!A1746,"AAAAAH1u74Q=")</f>
        <v>#VALUE!</v>
      </c>
      <c r="ED130" t="e">
        <f>AND(Sheet1!B1746,"AAAAAH1u74U=")</f>
        <v>#VALUE!</v>
      </c>
      <c r="EE130" t="e">
        <f>AND(Sheet1!C1746,"AAAAAH1u74Y=")</f>
        <v>#VALUE!</v>
      </c>
      <c r="EF130" t="e">
        <f>AND(Sheet1!D1746,"AAAAAH1u74c=")</f>
        <v>#VALUE!</v>
      </c>
      <c r="EG130" t="e">
        <f>AND(Sheet1!E1746,"AAAAAH1u74g=")</f>
        <v>#VALUE!</v>
      </c>
      <c r="EH130" t="e">
        <f>AND(Sheet1!F1746,"AAAAAH1u74k=")</f>
        <v>#VALUE!</v>
      </c>
      <c r="EI130" t="e">
        <f>AND(Sheet1!G1746,"AAAAAH1u74o=")</f>
        <v>#VALUE!</v>
      </c>
      <c r="EJ130" t="e">
        <f>AND(Sheet1!H1746,"AAAAAH1u74s=")</f>
        <v>#VALUE!</v>
      </c>
      <c r="EK130" t="e">
        <f>AND(Sheet1!I1746,"AAAAAH1u74w=")</f>
        <v>#VALUE!</v>
      </c>
      <c r="EL130" t="e">
        <f>AND(Sheet1!J1746,"AAAAAH1u740=")</f>
        <v>#VALUE!</v>
      </c>
      <c r="EM130" t="e">
        <f>AND(Sheet1!K1746,"AAAAAH1u744=")</f>
        <v>#VALUE!</v>
      </c>
      <c r="EN130" t="e">
        <f>AND(Sheet1!L1746,"AAAAAH1u748=")</f>
        <v>#VALUE!</v>
      </c>
      <c r="EO130" t="e">
        <f>AND(Sheet1!M1746,"AAAAAH1u75A=")</f>
        <v>#VALUE!</v>
      </c>
      <c r="EP130" t="e">
        <f>AND(Sheet1!N1746,"AAAAAH1u75E=")</f>
        <v>#VALUE!</v>
      </c>
      <c r="EQ130" t="e">
        <f>AND(Sheet1!#REF!,"AAAAAH1u75I=")</f>
        <v>#REF!</v>
      </c>
      <c r="ER130" t="e">
        <f>AND(Sheet1!#REF!,"AAAAAH1u75M=")</f>
        <v>#REF!</v>
      </c>
      <c r="ES130" t="e">
        <f>AND(Sheet1!#REF!,"AAAAAH1u75Q=")</f>
        <v>#REF!</v>
      </c>
      <c r="ET130" t="e">
        <f>AND(Sheet1!#REF!,"AAAAAH1u75U=")</f>
        <v>#REF!</v>
      </c>
      <c r="EU130">
        <f>IF(Sheet1!1747:1747,"AAAAAH1u75Y=",0)</f>
        <v>0</v>
      </c>
      <c r="EV130" t="e">
        <f>AND(Sheet1!A1747,"AAAAAH1u75c=")</f>
        <v>#VALUE!</v>
      </c>
      <c r="EW130" t="e">
        <f>AND(Sheet1!B1747,"AAAAAH1u75g=")</f>
        <v>#VALUE!</v>
      </c>
      <c r="EX130" t="e">
        <f>AND(Sheet1!C1747,"AAAAAH1u75k=")</f>
        <v>#VALUE!</v>
      </c>
      <c r="EY130" t="e">
        <f>AND(Sheet1!D1747,"AAAAAH1u75o=")</f>
        <v>#VALUE!</v>
      </c>
      <c r="EZ130" t="e">
        <f>AND(Sheet1!E1747,"AAAAAH1u75s=")</f>
        <v>#VALUE!</v>
      </c>
      <c r="FA130" t="e">
        <f>AND(Sheet1!F1747,"AAAAAH1u75w=")</f>
        <v>#VALUE!</v>
      </c>
      <c r="FB130" t="e">
        <f>AND(Sheet1!G1747,"AAAAAH1u750=")</f>
        <v>#VALUE!</v>
      </c>
      <c r="FC130" t="e">
        <f>AND(Sheet1!H1747,"AAAAAH1u754=")</f>
        <v>#VALUE!</v>
      </c>
      <c r="FD130" t="e">
        <f>AND(Sheet1!I1747,"AAAAAH1u758=")</f>
        <v>#VALUE!</v>
      </c>
      <c r="FE130" t="e">
        <f>AND(Sheet1!J1747,"AAAAAH1u76A=")</f>
        <v>#VALUE!</v>
      </c>
      <c r="FF130" t="e">
        <f>AND(Sheet1!K1747,"AAAAAH1u76E=")</f>
        <v>#VALUE!</v>
      </c>
      <c r="FG130" t="e">
        <f>AND(Sheet1!L1747,"AAAAAH1u76I=")</f>
        <v>#VALUE!</v>
      </c>
      <c r="FH130" t="e">
        <f>AND(Sheet1!M1747,"AAAAAH1u76M=")</f>
        <v>#VALUE!</v>
      </c>
      <c r="FI130" t="e">
        <f>AND(Sheet1!N1747,"AAAAAH1u76Q=")</f>
        <v>#VALUE!</v>
      </c>
      <c r="FJ130" t="e">
        <f>AND(Sheet1!#REF!,"AAAAAH1u76U=")</f>
        <v>#REF!</v>
      </c>
      <c r="FK130" t="e">
        <f>AND(Sheet1!#REF!,"AAAAAH1u76Y=")</f>
        <v>#REF!</v>
      </c>
      <c r="FL130" t="e">
        <f>AND(Sheet1!#REF!,"AAAAAH1u76c=")</f>
        <v>#REF!</v>
      </c>
      <c r="FM130" t="e">
        <f>AND(Sheet1!#REF!,"AAAAAH1u76g=")</f>
        <v>#REF!</v>
      </c>
      <c r="FN130">
        <f>IF(Sheet1!1748:1748,"AAAAAH1u76k=",0)</f>
        <v>0</v>
      </c>
      <c r="FO130" t="e">
        <f>AND(Sheet1!A1748,"AAAAAH1u76o=")</f>
        <v>#VALUE!</v>
      </c>
      <c r="FP130" t="e">
        <f>AND(Sheet1!B1748,"AAAAAH1u76s=")</f>
        <v>#VALUE!</v>
      </c>
      <c r="FQ130" t="e">
        <f>AND(Sheet1!C1748,"AAAAAH1u76w=")</f>
        <v>#VALUE!</v>
      </c>
      <c r="FR130" t="e">
        <f>AND(Sheet1!D1748,"AAAAAH1u760=")</f>
        <v>#VALUE!</v>
      </c>
      <c r="FS130" t="e">
        <f>AND(Sheet1!E1748,"AAAAAH1u764=")</f>
        <v>#VALUE!</v>
      </c>
      <c r="FT130" t="e">
        <f>AND(Sheet1!F1748,"AAAAAH1u768=")</f>
        <v>#VALUE!</v>
      </c>
      <c r="FU130" t="e">
        <f>AND(Sheet1!G1748,"AAAAAH1u77A=")</f>
        <v>#VALUE!</v>
      </c>
      <c r="FV130" t="e">
        <f>AND(Sheet1!H1748,"AAAAAH1u77E=")</f>
        <v>#VALUE!</v>
      </c>
      <c r="FW130" t="e">
        <f>AND(Sheet1!I1748,"AAAAAH1u77I=")</f>
        <v>#VALUE!</v>
      </c>
      <c r="FX130" t="e">
        <f>AND(Sheet1!J1748,"AAAAAH1u77M=")</f>
        <v>#VALUE!</v>
      </c>
      <c r="FY130" t="e">
        <f>AND(Sheet1!K1748,"AAAAAH1u77Q=")</f>
        <v>#VALUE!</v>
      </c>
      <c r="FZ130" t="e">
        <f>AND(Sheet1!L1748,"AAAAAH1u77U=")</f>
        <v>#VALUE!</v>
      </c>
      <c r="GA130" t="e">
        <f>AND(Sheet1!M1748,"AAAAAH1u77Y=")</f>
        <v>#VALUE!</v>
      </c>
      <c r="GB130" t="e">
        <f>AND(Sheet1!N1748,"AAAAAH1u77c=")</f>
        <v>#VALUE!</v>
      </c>
      <c r="GC130" t="e">
        <f>AND(Sheet1!#REF!,"AAAAAH1u77g=")</f>
        <v>#REF!</v>
      </c>
      <c r="GD130" t="e">
        <f>AND(Sheet1!#REF!,"AAAAAH1u77k=")</f>
        <v>#REF!</v>
      </c>
      <c r="GE130" t="e">
        <f>AND(Sheet1!#REF!,"AAAAAH1u77o=")</f>
        <v>#REF!</v>
      </c>
      <c r="GF130" t="e">
        <f>AND(Sheet1!#REF!,"AAAAAH1u77s=")</f>
        <v>#REF!</v>
      </c>
      <c r="GG130">
        <f>IF(Sheet1!1749:1749,"AAAAAH1u77w=",0)</f>
        <v>0</v>
      </c>
      <c r="GH130" t="e">
        <f>AND(Sheet1!A1749,"AAAAAH1u770=")</f>
        <v>#VALUE!</v>
      </c>
      <c r="GI130" t="e">
        <f>AND(Sheet1!B1749,"AAAAAH1u774=")</f>
        <v>#VALUE!</v>
      </c>
      <c r="GJ130" t="e">
        <f>AND(Sheet1!C1749,"AAAAAH1u778=")</f>
        <v>#VALUE!</v>
      </c>
      <c r="GK130" t="e">
        <f>AND(Sheet1!D1749,"AAAAAH1u78A=")</f>
        <v>#VALUE!</v>
      </c>
      <c r="GL130" t="e">
        <f>AND(Sheet1!E1749,"AAAAAH1u78E=")</f>
        <v>#VALUE!</v>
      </c>
      <c r="GM130" t="e">
        <f>AND(Sheet1!F1749,"AAAAAH1u78I=")</f>
        <v>#VALUE!</v>
      </c>
      <c r="GN130" t="e">
        <f>AND(Sheet1!G1749,"AAAAAH1u78M=")</f>
        <v>#VALUE!</v>
      </c>
      <c r="GO130" t="e">
        <f>AND(Sheet1!H1749,"AAAAAH1u78Q=")</f>
        <v>#VALUE!</v>
      </c>
      <c r="GP130" t="e">
        <f>AND(Sheet1!I1749,"AAAAAH1u78U=")</f>
        <v>#VALUE!</v>
      </c>
      <c r="GQ130" t="e">
        <f>AND(Sheet1!J1749,"AAAAAH1u78Y=")</f>
        <v>#VALUE!</v>
      </c>
      <c r="GR130" t="e">
        <f>AND(Sheet1!K1749,"AAAAAH1u78c=")</f>
        <v>#VALUE!</v>
      </c>
      <c r="GS130" t="e">
        <f>AND(Sheet1!L1749,"AAAAAH1u78g=")</f>
        <v>#VALUE!</v>
      </c>
      <c r="GT130" t="e">
        <f>AND(Sheet1!M1749,"AAAAAH1u78k=")</f>
        <v>#VALUE!</v>
      </c>
      <c r="GU130" t="e">
        <f>AND(Sheet1!N1749,"AAAAAH1u78o=")</f>
        <v>#VALUE!</v>
      </c>
      <c r="GV130" t="e">
        <f>AND(Sheet1!#REF!,"AAAAAH1u78s=")</f>
        <v>#REF!</v>
      </c>
      <c r="GW130" t="e">
        <f>AND(Sheet1!#REF!,"AAAAAH1u78w=")</f>
        <v>#REF!</v>
      </c>
      <c r="GX130" t="e">
        <f>AND(Sheet1!#REF!,"AAAAAH1u780=")</f>
        <v>#REF!</v>
      </c>
      <c r="GY130" t="e">
        <f>AND(Sheet1!#REF!,"AAAAAH1u784=")</f>
        <v>#REF!</v>
      </c>
      <c r="GZ130">
        <f>IF(Sheet1!1750:1750,"AAAAAH1u788=",0)</f>
        <v>0</v>
      </c>
      <c r="HA130" t="e">
        <f>AND(Sheet1!A1750,"AAAAAH1u79A=")</f>
        <v>#VALUE!</v>
      </c>
      <c r="HB130" t="e">
        <f>AND(Sheet1!B1750,"AAAAAH1u79E=")</f>
        <v>#VALUE!</v>
      </c>
      <c r="HC130" t="e">
        <f>AND(Sheet1!C1750,"AAAAAH1u79I=")</f>
        <v>#VALUE!</v>
      </c>
      <c r="HD130" t="e">
        <f>AND(Sheet1!D1750,"AAAAAH1u79M=")</f>
        <v>#VALUE!</v>
      </c>
      <c r="HE130" t="e">
        <f>AND(Sheet1!E1750,"AAAAAH1u79Q=")</f>
        <v>#VALUE!</v>
      </c>
      <c r="HF130" t="e">
        <f>AND(Sheet1!F1750,"AAAAAH1u79U=")</f>
        <v>#VALUE!</v>
      </c>
      <c r="HG130" t="e">
        <f>AND(Sheet1!G1750,"AAAAAH1u79Y=")</f>
        <v>#VALUE!</v>
      </c>
      <c r="HH130" t="e">
        <f>AND(Sheet1!H1750,"AAAAAH1u79c=")</f>
        <v>#VALUE!</v>
      </c>
      <c r="HI130" t="e">
        <f>AND(Sheet1!I1750,"AAAAAH1u79g=")</f>
        <v>#VALUE!</v>
      </c>
      <c r="HJ130" t="e">
        <f>AND(Sheet1!J1750,"AAAAAH1u79k=")</f>
        <v>#VALUE!</v>
      </c>
      <c r="HK130" t="e">
        <f>AND(Sheet1!K1750,"AAAAAH1u79o=")</f>
        <v>#VALUE!</v>
      </c>
      <c r="HL130" t="e">
        <f>AND(Sheet1!L1750,"AAAAAH1u79s=")</f>
        <v>#VALUE!</v>
      </c>
      <c r="HM130" t="e">
        <f>AND(Sheet1!M1750,"AAAAAH1u79w=")</f>
        <v>#VALUE!</v>
      </c>
      <c r="HN130" t="e">
        <f>AND(Sheet1!N1750,"AAAAAH1u790=")</f>
        <v>#VALUE!</v>
      </c>
      <c r="HO130" t="e">
        <f>AND(Sheet1!#REF!,"AAAAAH1u794=")</f>
        <v>#REF!</v>
      </c>
      <c r="HP130" t="e">
        <f>AND(Sheet1!#REF!,"AAAAAH1u798=")</f>
        <v>#REF!</v>
      </c>
      <c r="HQ130" t="e">
        <f>AND(Sheet1!#REF!,"AAAAAH1u7+A=")</f>
        <v>#REF!</v>
      </c>
      <c r="HR130" t="e">
        <f>AND(Sheet1!#REF!,"AAAAAH1u7+E=")</f>
        <v>#REF!</v>
      </c>
      <c r="HS130">
        <f>IF(Sheet1!1751:1751,"AAAAAH1u7+I=",0)</f>
        <v>0</v>
      </c>
      <c r="HT130" t="e">
        <f>AND(Sheet1!A1751,"AAAAAH1u7+M=")</f>
        <v>#VALUE!</v>
      </c>
      <c r="HU130" t="e">
        <f>AND(Sheet1!B1751,"AAAAAH1u7+Q=")</f>
        <v>#VALUE!</v>
      </c>
      <c r="HV130" t="e">
        <f>AND(Sheet1!C1751,"AAAAAH1u7+U=")</f>
        <v>#VALUE!</v>
      </c>
      <c r="HW130" t="e">
        <f>AND(Sheet1!D1751,"AAAAAH1u7+Y=")</f>
        <v>#VALUE!</v>
      </c>
      <c r="HX130" t="e">
        <f>AND(Sheet1!E1751,"AAAAAH1u7+c=")</f>
        <v>#VALUE!</v>
      </c>
      <c r="HY130" t="e">
        <f>AND(Sheet1!F1751,"AAAAAH1u7+g=")</f>
        <v>#VALUE!</v>
      </c>
      <c r="HZ130" t="e">
        <f>AND(Sheet1!G1751,"AAAAAH1u7+k=")</f>
        <v>#VALUE!</v>
      </c>
      <c r="IA130" t="e">
        <f>AND(Sheet1!H1751,"AAAAAH1u7+o=")</f>
        <v>#VALUE!</v>
      </c>
      <c r="IB130" t="e">
        <f>AND(Sheet1!I1751,"AAAAAH1u7+s=")</f>
        <v>#VALUE!</v>
      </c>
      <c r="IC130" t="e">
        <f>AND(Sheet1!J1751,"AAAAAH1u7+w=")</f>
        <v>#VALUE!</v>
      </c>
      <c r="ID130" t="e">
        <f>AND(Sheet1!K1751,"AAAAAH1u7+0=")</f>
        <v>#VALUE!</v>
      </c>
      <c r="IE130" t="e">
        <f>AND(Sheet1!L1751,"AAAAAH1u7+4=")</f>
        <v>#VALUE!</v>
      </c>
      <c r="IF130" t="e">
        <f>AND(Sheet1!M1751,"AAAAAH1u7+8=")</f>
        <v>#VALUE!</v>
      </c>
      <c r="IG130" t="e">
        <f>AND(Sheet1!N1751,"AAAAAH1u7/A=")</f>
        <v>#VALUE!</v>
      </c>
      <c r="IH130" t="e">
        <f>AND(Sheet1!#REF!,"AAAAAH1u7/E=")</f>
        <v>#REF!</v>
      </c>
      <c r="II130" t="e">
        <f>AND(Sheet1!#REF!,"AAAAAH1u7/I=")</f>
        <v>#REF!</v>
      </c>
      <c r="IJ130" t="e">
        <f>AND(Sheet1!#REF!,"AAAAAH1u7/M=")</f>
        <v>#REF!</v>
      </c>
      <c r="IK130" t="e">
        <f>AND(Sheet1!#REF!,"AAAAAH1u7/Q=")</f>
        <v>#REF!</v>
      </c>
      <c r="IL130">
        <f>IF(Sheet1!1752:1752,"AAAAAH1u7/U=",0)</f>
        <v>0</v>
      </c>
      <c r="IM130" t="e">
        <f>AND(Sheet1!A1752,"AAAAAH1u7/Y=")</f>
        <v>#VALUE!</v>
      </c>
      <c r="IN130" t="e">
        <f>AND(Sheet1!B1752,"AAAAAH1u7/c=")</f>
        <v>#VALUE!</v>
      </c>
      <c r="IO130" t="e">
        <f>AND(Sheet1!C1752,"AAAAAH1u7/g=")</f>
        <v>#VALUE!</v>
      </c>
      <c r="IP130" t="e">
        <f>AND(Sheet1!D1752,"AAAAAH1u7/k=")</f>
        <v>#VALUE!</v>
      </c>
      <c r="IQ130" t="e">
        <f>AND(Sheet1!E1752,"AAAAAH1u7/o=")</f>
        <v>#VALUE!</v>
      </c>
      <c r="IR130" t="e">
        <f>AND(Sheet1!F1752,"AAAAAH1u7/s=")</f>
        <v>#VALUE!</v>
      </c>
      <c r="IS130" t="e">
        <f>AND(Sheet1!G1752,"AAAAAH1u7/w=")</f>
        <v>#VALUE!</v>
      </c>
      <c r="IT130" t="e">
        <f>AND(Sheet1!H1752,"AAAAAH1u7/0=")</f>
        <v>#VALUE!</v>
      </c>
      <c r="IU130" t="e">
        <f>AND(Sheet1!I1752,"AAAAAH1u7/4=")</f>
        <v>#VALUE!</v>
      </c>
      <c r="IV130" t="e">
        <f>AND(Sheet1!J1752,"AAAAAH1u7/8=")</f>
        <v>#VALUE!</v>
      </c>
    </row>
    <row r="131" spans="1:256" x14ac:dyDescent="0.2">
      <c r="A131" t="e">
        <f>AND(Sheet1!K1752,"AAAAAG/+vQA=")</f>
        <v>#VALUE!</v>
      </c>
      <c r="B131" t="e">
        <f>AND(Sheet1!L1752,"AAAAAG/+vQE=")</f>
        <v>#VALUE!</v>
      </c>
      <c r="C131" t="e">
        <f>AND(Sheet1!M1752,"AAAAAG/+vQI=")</f>
        <v>#VALUE!</v>
      </c>
      <c r="D131" t="e">
        <f>AND(Sheet1!N1752,"AAAAAG/+vQM=")</f>
        <v>#VALUE!</v>
      </c>
      <c r="E131" t="e">
        <f>AND(Sheet1!#REF!,"AAAAAG/+vQQ=")</f>
        <v>#REF!</v>
      </c>
      <c r="F131" t="e">
        <f>AND(Sheet1!#REF!,"AAAAAG/+vQU=")</f>
        <v>#REF!</v>
      </c>
      <c r="G131" t="e">
        <f>AND(Sheet1!#REF!,"AAAAAG/+vQY=")</f>
        <v>#REF!</v>
      </c>
      <c r="H131" t="e">
        <f>AND(Sheet1!#REF!,"AAAAAG/+vQc=")</f>
        <v>#REF!</v>
      </c>
      <c r="I131">
        <f>IF(Sheet1!1753:1753,"AAAAAG/+vQg=",0)</f>
        <v>0</v>
      </c>
      <c r="J131" t="e">
        <f>AND(Sheet1!A1753,"AAAAAG/+vQk=")</f>
        <v>#VALUE!</v>
      </c>
      <c r="K131" t="e">
        <f>AND(Sheet1!B1753,"AAAAAG/+vQo=")</f>
        <v>#VALUE!</v>
      </c>
      <c r="L131" t="e">
        <f>AND(Sheet1!C1753,"AAAAAG/+vQs=")</f>
        <v>#VALUE!</v>
      </c>
      <c r="M131" t="e">
        <f>AND(Sheet1!D1753,"AAAAAG/+vQw=")</f>
        <v>#VALUE!</v>
      </c>
      <c r="N131" t="e">
        <f>AND(Sheet1!E1753,"AAAAAG/+vQ0=")</f>
        <v>#VALUE!</v>
      </c>
      <c r="O131" t="e">
        <f>AND(Sheet1!F1753,"AAAAAG/+vQ4=")</f>
        <v>#VALUE!</v>
      </c>
      <c r="P131" t="e">
        <f>AND(Sheet1!G1753,"AAAAAG/+vQ8=")</f>
        <v>#VALUE!</v>
      </c>
      <c r="Q131" t="e">
        <f>AND(Sheet1!H1753,"AAAAAG/+vRA=")</f>
        <v>#VALUE!</v>
      </c>
      <c r="R131" t="e">
        <f>AND(Sheet1!I1753,"AAAAAG/+vRE=")</f>
        <v>#VALUE!</v>
      </c>
      <c r="S131" t="e">
        <f>AND(Sheet1!J1753,"AAAAAG/+vRI=")</f>
        <v>#VALUE!</v>
      </c>
      <c r="T131" t="e">
        <f>AND(Sheet1!K1753,"AAAAAG/+vRM=")</f>
        <v>#VALUE!</v>
      </c>
      <c r="U131" t="e">
        <f>AND(Sheet1!L1753,"AAAAAG/+vRQ=")</f>
        <v>#VALUE!</v>
      </c>
      <c r="V131" t="e">
        <f>AND(Sheet1!M1753,"AAAAAG/+vRU=")</f>
        <v>#VALUE!</v>
      </c>
      <c r="W131" t="e">
        <f>AND(Sheet1!N1753,"AAAAAG/+vRY=")</f>
        <v>#VALUE!</v>
      </c>
      <c r="X131" t="e">
        <f>AND(Sheet1!#REF!,"AAAAAG/+vRc=")</f>
        <v>#REF!</v>
      </c>
      <c r="Y131" t="e">
        <f>AND(Sheet1!#REF!,"AAAAAG/+vRg=")</f>
        <v>#REF!</v>
      </c>
      <c r="Z131" t="e">
        <f>AND(Sheet1!#REF!,"AAAAAG/+vRk=")</f>
        <v>#REF!</v>
      </c>
      <c r="AA131" t="e">
        <f>AND(Sheet1!#REF!,"AAAAAG/+vRo=")</f>
        <v>#REF!</v>
      </c>
      <c r="AB131">
        <f>IF(Sheet1!1754:1754,"AAAAAG/+vRs=",0)</f>
        <v>0</v>
      </c>
      <c r="AC131" t="e">
        <f>AND(Sheet1!A1754,"AAAAAG/+vRw=")</f>
        <v>#VALUE!</v>
      </c>
      <c r="AD131" t="e">
        <f>AND(Sheet1!B1754,"AAAAAG/+vR0=")</f>
        <v>#VALUE!</v>
      </c>
      <c r="AE131" t="e">
        <f>AND(Sheet1!C1754,"AAAAAG/+vR4=")</f>
        <v>#VALUE!</v>
      </c>
      <c r="AF131" t="e">
        <f>AND(Sheet1!D1754,"AAAAAG/+vR8=")</f>
        <v>#VALUE!</v>
      </c>
      <c r="AG131" t="e">
        <f>AND(Sheet1!E1754,"AAAAAG/+vSA=")</f>
        <v>#VALUE!</v>
      </c>
      <c r="AH131" t="e">
        <f>AND(Sheet1!F1754,"AAAAAG/+vSE=")</f>
        <v>#VALUE!</v>
      </c>
      <c r="AI131" t="e">
        <f>AND(Sheet1!G1754,"AAAAAG/+vSI=")</f>
        <v>#VALUE!</v>
      </c>
      <c r="AJ131" t="e">
        <f>AND(Sheet1!H1754,"AAAAAG/+vSM=")</f>
        <v>#VALUE!</v>
      </c>
      <c r="AK131" t="e">
        <f>AND(Sheet1!I1754,"AAAAAG/+vSQ=")</f>
        <v>#VALUE!</v>
      </c>
      <c r="AL131" t="e">
        <f>AND(Sheet1!J1754,"AAAAAG/+vSU=")</f>
        <v>#VALUE!</v>
      </c>
      <c r="AM131" t="e">
        <f>AND(Sheet1!K1754,"AAAAAG/+vSY=")</f>
        <v>#VALUE!</v>
      </c>
      <c r="AN131" t="e">
        <f>AND(Sheet1!L1754,"AAAAAG/+vSc=")</f>
        <v>#VALUE!</v>
      </c>
      <c r="AO131" t="e">
        <f>AND(Sheet1!M1754,"AAAAAG/+vSg=")</f>
        <v>#VALUE!</v>
      </c>
      <c r="AP131" t="e">
        <f>AND(Sheet1!N1754,"AAAAAG/+vSk=")</f>
        <v>#VALUE!</v>
      </c>
      <c r="AQ131" t="e">
        <f>AND(Sheet1!#REF!,"AAAAAG/+vSo=")</f>
        <v>#REF!</v>
      </c>
      <c r="AR131" t="e">
        <f>AND(Sheet1!#REF!,"AAAAAG/+vSs=")</f>
        <v>#REF!</v>
      </c>
      <c r="AS131" t="e">
        <f>AND(Sheet1!#REF!,"AAAAAG/+vSw=")</f>
        <v>#REF!</v>
      </c>
      <c r="AT131" t="e">
        <f>AND(Sheet1!#REF!,"AAAAAG/+vS0=")</f>
        <v>#REF!</v>
      </c>
      <c r="AU131">
        <f>IF(Sheet1!1755:1755,"AAAAAG/+vS4=",0)</f>
        <v>0</v>
      </c>
      <c r="AV131" t="e">
        <f>AND(Sheet1!A1755,"AAAAAG/+vS8=")</f>
        <v>#VALUE!</v>
      </c>
      <c r="AW131" t="e">
        <f>AND(Sheet1!B1755,"AAAAAG/+vTA=")</f>
        <v>#VALUE!</v>
      </c>
      <c r="AX131" t="e">
        <f>AND(Sheet1!C1755,"AAAAAG/+vTE=")</f>
        <v>#VALUE!</v>
      </c>
      <c r="AY131" t="e">
        <f>AND(Sheet1!D1755,"AAAAAG/+vTI=")</f>
        <v>#VALUE!</v>
      </c>
      <c r="AZ131" t="e">
        <f>AND(Sheet1!E1755,"AAAAAG/+vTM=")</f>
        <v>#VALUE!</v>
      </c>
      <c r="BA131" t="e">
        <f>AND(Sheet1!F1755,"AAAAAG/+vTQ=")</f>
        <v>#VALUE!</v>
      </c>
      <c r="BB131" t="e">
        <f>AND(Sheet1!G1755,"AAAAAG/+vTU=")</f>
        <v>#VALUE!</v>
      </c>
      <c r="BC131" t="e">
        <f>AND(Sheet1!H1755,"AAAAAG/+vTY=")</f>
        <v>#VALUE!</v>
      </c>
      <c r="BD131" t="e">
        <f>AND(Sheet1!I1755,"AAAAAG/+vTc=")</f>
        <v>#VALUE!</v>
      </c>
      <c r="BE131" t="e">
        <f>AND(Sheet1!J1755,"AAAAAG/+vTg=")</f>
        <v>#VALUE!</v>
      </c>
      <c r="BF131" t="e">
        <f>AND(Sheet1!K1755,"AAAAAG/+vTk=")</f>
        <v>#VALUE!</v>
      </c>
      <c r="BG131" t="e">
        <f>AND(Sheet1!L1755,"AAAAAG/+vTo=")</f>
        <v>#VALUE!</v>
      </c>
      <c r="BH131" t="e">
        <f>AND(Sheet1!M1755,"AAAAAG/+vTs=")</f>
        <v>#VALUE!</v>
      </c>
      <c r="BI131" t="e">
        <f>AND(Sheet1!N1755,"AAAAAG/+vTw=")</f>
        <v>#VALUE!</v>
      </c>
      <c r="BJ131" t="e">
        <f>AND(Sheet1!#REF!,"AAAAAG/+vT0=")</f>
        <v>#REF!</v>
      </c>
      <c r="BK131" t="e">
        <f>AND(Sheet1!#REF!,"AAAAAG/+vT4=")</f>
        <v>#REF!</v>
      </c>
      <c r="BL131" t="e">
        <f>AND(Sheet1!#REF!,"AAAAAG/+vT8=")</f>
        <v>#REF!</v>
      </c>
      <c r="BM131" t="e">
        <f>AND(Sheet1!#REF!,"AAAAAG/+vUA=")</f>
        <v>#REF!</v>
      </c>
      <c r="BN131">
        <f>IF(Sheet1!1756:1756,"AAAAAG/+vUE=",0)</f>
        <v>0</v>
      </c>
      <c r="BO131" t="e">
        <f>AND(Sheet1!A1756,"AAAAAG/+vUI=")</f>
        <v>#VALUE!</v>
      </c>
      <c r="BP131" t="e">
        <f>AND(Sheet1!B1756,"AAAAAG/+vUM=")</f>
        <v>#VALUE!</v>
      </c>
      <c r="BQ131" t="e">
        <f>AND(Sheet1!C1756,"AAAAAG/+vUQ=")</f>
        <v>#VALUE!</v>
      </c>
      <c r="BR131" t="e">
        <f>AND(Sheet1!D1756,"AAAAAG/+vUU=")</f>
        <v>#VALUE!</v>
      </c>
      <c r="BS131" t="e">
        <f>AND(Sheet1!E1756,"AAAAAG/+vUY=")</f>
        <v>#VALUE!</v>
      </c>
      <c r="BT131" t="e">
        <f>AND(Sheet1!F1756,"AAAAAG/+vUc=")</f>
        <v>#VALUE!</v>
      </c>
      <c r="BU131" t="e">
        <f>AND(Sheet1!G1756,"AAAAAG/+vUg=")</f>
        <v>#VALUE!</v>
      </c>
      <c r="BV131" t="e">
        <f>AND(Sheet1!H1756,"AAAAAG/+vUk=")</f>
        <v>#VALUE!</v>
      </c>
      <c r="BW131" t="e">
        <f>AND(Sheet1!I1756,"AAAAAG/+vUo=")</f>
        <v>#VALUE!</v>
      </c>
      <c r="BX131" t="e">
        <f>AND(Sheet1!J1756,"AAAAAG/+vUs=")</f>
        <v>#VALUE!</v>
      </c>
      <c r="BY131" t="e">
        <f>AND(Sheet1!K1756,"AAAAAG/+vUw=")</f>
        <v>#VALUE!</v>
      </c>
      <c r="BZ131" t="e">
        <f>AND(Sheet1!L1756,"AAAAAG/+vU0=")</f>
        <v>#VALUE!</v>
      </c>
      <c r="CA131" t="e">
        <f>AND(Sheet1!M1756,"AAAAAG/+vU4=")</f>
        <v>#VALUE!</v>
      </c>
      <c r="CB131" t="e">
        <f>AND(Sheet1!N1756,"AAAAAG/+vU8=")</f>
        <v>#VALUE!</v>
      </c>
      <c r="CC131" t="e">
        <f>AND(Sheet1!#REF!,"AAAAAG/+vVA=")</f>
        <v>#REF!</v>
      </c>
      <c r="CD131" t="e">
        <f>AND(Sheet1!#REF!,"AAAAAG/+vVE=")</f>
        <v>#REF!</v>
      </c>
      <c r="CE131" t="e">
        <f>AND(Sheet1!#REF!,"AAAAAG/+vVI=")</f>
        <v>#REF!</v>
      </c>
      <c r="CF131" t="e">
        <f>AND(Sheet1!#REF!,"AAAAAG/+vVM=")</f>
        <v>#REF!</v>
      </c>
      <c r="CG131">
        <f>IF(Sheet1!1757:1757,"AAAAAG/+vVQ=",0)</f>
        <v>0</v>
      </c>
      <c r="CH131" t="e">
        <f>AND(Sheet1!A1757,"AAAAAG/+vVU=")</f>
        <v>#VALUE!</v>
      </c>
      <c r="CI131" t="e">
        <f>AND(Sheet1!B1757,"AAAAAG/+vVY=")</f>
        <v>#VALUE!</v>
      </c>
      <c r="CJ131" t="e">
        <f>AND(Sheet1!C1757,"AAAAAG/+vVc=")</f>
        <v>#VALUE!</v>
      </c>
      <c r="CK131" t="e">
        <f>AND(Sheet1!D1757,"AAAAAG/+vVg=")</f>
        <v>#VALUE!</v>
      </c>
      <c r="CL131" t="e">
        <f>AND(Sheet1!E1757,"AAAAAG/+vVk=")</f>
        <v>#VALUE!</v>
      </c>
      <c r="CM131" t="e">
        <f>AND(Sheet1!F1757,"AAAAAG/+vVo=")</f>
        <v>#VALUE!</v>
      </c>
      <c r="CN131" t="e">
        <f>AND(Sheet1!G1757,"AAAAAG/+vVs=")</f>
        <v>#VALUE!</v>
      </c>
      <c r="CO131" t="e">
        <f>AND(Sheet1!H1757,"AAAAAG/+vVw=")</f>
        <v>#VALUE!</v>
      </c>
      <c r="CP131" t="e">
        <f>AND(Sheet1!I1757,"AAAAAG/+vV0=")</f>
        <v>#VALUE!</v>
      </c>
      <c r="CQ131" t="e">
        <f>AND(Sheet1!J1757,"AAAAAG/+vV4=")</f>
        <v>#VALUE!</v>
      </c>
      <c r="CR131" t="e">
        <f>AND(Sheet1!K1757,"AAAAAG/+vV8=")</f>
        <v>#VALUE!</v>
      </c>
      <c r="CS131" t="e">
        <f>AND(Sheet1!L1757,"AAAAAG/+vWA=")</f>
        <v>#VALUE!</v>
      </c>
      <c r="CT131" t="e">
        <f>AND(Sheet1!M1757,"AAAAAG/+vWE=")</f>
        <v>#VALUE!</v>
      </c>
      <c r="CU131" t="e">
        <f>AND(Sheet1!N1757,"AAAAAG/+vWI=")</f>
        <v>#VALUE!</v>
      </c>
      <c r="CV131" t="e">
        <f>AND(Sheet1!#REF!,"AAAAAG/+vWM=")</f>
        <v>#REF!</v>
      </c>
      <c r="CW131" t="e">
        <f>AND(Sheet1!#REF!,"AAAAAG/+vWQ=")</f>
        <v>#REF!</v>
      </c>
      <c r="CX131" t="e">
        <f>AND(Sheet1!#REF!,"AAAAAG/+vWU=")</f>
        <v>#REF!</v>
      </c>
      <c r="CY131" t="e">
        <f>AND(Sheet1!#REF!,"AAAAAG/+vWY=")</f>
        <v>#REF!</v>
      </c>
      <c r="CZ131">
        <f>IF(Sheet1!1758:1758,"AAAAAG/+vWc=",0)</f>
        <v>0</v>
      </c>
      <c r="DA131" t="e">
        <f>AND(Sheet1!A1758,"AAAAAG/+vWg=")</f>
        <v>#VALUE!</v>
      </c>
      <c r="DB131" t="e">
        <f>AND(Sheet1!B1758,"AAAAAG/+vWk=")</f>
        <v>#VALUE!</v>
      </c>
      <c r="DC131" t="e">
        <f>AND(Sheet1!C1758,"AAAAAG/+vWo=")</f>
        <v>#VALUE!</v>
      </c>
      <c r="DD131" t="e">
        <f>AND(Sheet1!D1758,"AAAAAG/+vWs=")</f>
        <v>#VALUE!</v>
      </c>
      <c r="DE131" t="e">
        <f>AND(Sheet1!E1758,"AAAAAG/+vWw=")</f>
        <v>#VALUE!</v>
      </c>
      <c r="DF131" t="e">
        <f>AND(Sheet1!F1758,"AAAAAG/+vW0=")</f>
        <v>#VALUE!</v>
      </c>
      <c r="DG131" t="e">
        <f>AND(Sheet1!G1758,"AAAAAG/+vW4=")</f>
        <v>#VALUE!</v>
      </c>
      <c r="DH131" t="e">
        <f>AND(Sheet1!H1758,"AAAAAG/+vW8=")</f>
        <v>#VALUE!</v>
      </c>
      <c r="DI131" t="e">
        <f>AND(Sheet1!I1758,"AAAAAG/+vXA=")</f>
        <v>#VALUE!</v>
      </c>
      <c r="DJ131" t="e">
        <f>AND(Sheet1!J1758,"AAAAAG/+vXE=")</f>
        <v>#VALUE!</v>
      </c>
      <c r="DK131" t="e">
        <f>AND(Sheet1!K1758,"AAAAAG/+vXI=")</f>
        <v>#VALUE!</v>
      </c>
      <c r="DL131" t="e">
        <f>AND(Sheet1!L1758,"AAAAAG/+vXM=")</f>
        <v>#VALUE!</v>
      </c>
      <c r="DM131" t="e">
        <f>AND(Sheet1!M1758,"AAAAAG/+vXQ=")</f>
        <v>#VALUE!</v>
      </c>
      <c r="DN131" t="e">
        <f>AND(Sheet1!N1758,"AAAAAG/+vXU=")</f>
        <v>#VALUE!</v>
      </c>
      <c r="DO131" t="e">
        <f>AND(Sheet1!#REF!,"AAAAAG/+vXY=")</f>
        <v>#REF!</v>
      </c>
      <c r="DP131" t="e">
        <f>AND(Sheet1!#REF!,"AAAAAG/+vXc=")</f>
        <v>#REF!</v>
      </c>
      <c r="DQ131" t="e">
        <f>AND(Sheet1!#REF!,"AAAAAG/+vXg=")</f>
        <v>#REF!</v>
      </c>
      <c r="DR131" t="e">
        <f>AND(Sheet1!#REF!,"AAAAAG/+vXk=")</f>
        <v>#REF!</v>
      </c>
      <c r="DS131">
        <f>IF(Sheet1!1759:1759,"AAAAAG/+vXo=",0)</f>
        <v>0</v>
      </c>
      <c r="DT131" t="e">
        <f>AND(Sheet1!A1759,"AAAAAG/+vXs=")</f>
        <v>#VALUE!</v>
      </c>
      <c r="DU131" t="e">
        <f>AND(Sheet1!B1759,"AAAAAG/+vXw=")</f>
        <v>#VALUE!</v>
      </c>
      <c r="DV131" t="e">
        <f>AND(Sheet1!C1759,"AAAAAG/+vX0=")</f>
        <v>#VALUE!</v>
      </c>
      <c r="DW131" t="e">
        <f>AND(Sheet1!D1759,"AAAAAG/+vX4=")</f>
        <v>#VALUE!</v>
      </c>
      <c r="DX131" t="e">
        <f>AND(Sheet1!E1759,"AAAAAG/+vX8=")</f>
        <v>#VALUE!</v>
      </c>
      <c r="DY131" t="e">
        <f>AND(Sheet1!F1759,"AAAAAG/+vYA=")</f>
        <v>#VALUE!</v>
      </c>
      <c r="DZ131" t="e">
        <f>AND(Sheet1!G1759,"AAAAAG/+vYE=")</f>
        <v>#VALUE!</v>
      </c>
      <c r="EA131" t="e">
        <f>AND(Sheet1!H1759,"AAAAAG/+vYI=")</f>
        <v>#VALUE!</v>
      </c>
      <c r="EB131" t="e">
        <f>AND(Sheet1!I1759,"AAAAAG/+vYM=")</f>
        <v>#VALUE!</v>
      </c>
      <c r="EC131" t="e">
        <f>AND(Sheet1!J1759,"AAAAAG/+vYQ=")</f>
        <v>#VALUE!</v>
      </c>
      <c r="ED131" t="e">
        <f>AND(Sheet1!K1759,"AAAAAG/+vYU=")</f>
        <v>#VALUE!</v>
      </c>
      <c r="EE131" t="e">
        <f>AND(Sheet1!L1759,"AAAAAG/+vYY=")</f>
        <v>#VALUE!</v>
      </c>
      <c r="EF131" t="e">
        <f>AND(Sheet1!M1759,"AAAAAG/+vYc=")</f>
        <v>#VALUE!</v>
      </c>
      <c r="EG131" t="e">
        <f>AND(Sheet1!N1759,"AAAAAG/+vYg=")</f>
        <v>#VALUE!</v>
      </c>
      <c r="EH131" t="e">
        <f>AND(Sheet1!#REF!,"AAAAAG/+vYk=")</f>
        <v>#REF!</v>
      </c>
      <c r="EI131" t="e">
        <f>AND(Sheet1!#REF!,"AAAAAG/+vYo=")</f>
        <v>#REF!</v>
      </c>
      <c r="EJ131" t="e">
        <f>AND(Sheet1!#REF!,"AAAAAG/+vYs=")</f>
        <v>#REF!</v>
      </c>
      <c r="EK131" t="e">
        <f>AND(Sheet1!#REF!,"AAAAAG/+vYw=")</f>
        <v>#REF!</v>
      </c>
      <c r="EL131">
        <f>IF(Sheet1!1760:1760,"AAAAAG/+vY0=",0)</f>
        <v>0</v>
      </c>
      <c r="EM131" t="e">
        <f>AND(Sheet1!A1760,"AAAAAG/+vY4=")</f>
        <v>#VALUE!</v>
      </c>
      <c r="EN131" t="e">
        <f>AND(Sheet1!B1760,"AAAAAG/+vY8=")</f>
        <v>#VALUE!</v>
      </c>
      <c r="EO131" t="e">
        <f>AND(Sheet1!C1760,"AAAAAG/+vZA=")</f>
        <v>#VALUE!</v>
      </c>
      <c r="EP131" t="e">
        <f>AND(Sheet1!D1760,"AAAAAG/+vZE=")</f>
        <v>#VALUE!</v>
      </c>
      <c r="EQ131" t="e">
        <f>AND(Sheet1!E1760,"AAAAAG/+vZI=")</f>
        <v>#VALUE!</v>
      </c>
      <c r="ER131" t="e">
        <f>AND(Sheet1!F1760,"AAAAAG/+vZM=")</f>
        <v>#VALUE!</v>
      </c>
      <c r="ES131" t="e">
        <f>AND(Sheet1!G1760,"AAAAAG/+vZQ=")</f>
        <v>#VALUE!</v>
      </c>
      <c r="ET131" t="e">
        <f>AND(Sheet1!H1760,"AAAAAG/+vZU=")</f>
        <v>#VALUE!</v>
      </c>
      <c r="EU131" t="e">
        <f>AND(Sheet1!I1760,"AAAAAG/+vZY=")</f>
        <v>#VALUE!</v>
      </c>
      <c r="EV131" t="e">
        <f>AND(Sheet1!J1760,"AAAAAG/+vZc=")</f>
        <v>#VALUE!</v>
      </c>
      <c r="EW131" t="e">
        <f>AND(Sheet1!K1760,"AAAAAG/+vZg=")</f>
        <v>#VALUE!</v>
      </c>
      <c r="EX131" t="e">
        <f>AND(Sheet1!L1760,"AAAAAG/+vZk=")</f>
        <v>#VALUE!</v>
      </c>
      <c r="EY131" t="e">
        <f>AND(Sheet1!M1760,"AAAAAG/+vZo=")</f>
        <v>#VALUE!</v>
      </c>
      <c r="EZ131" t="e">
        <f>AND(Sheet1!N1760,"AAAAAG/+vZs=")</f>
        <v>#VALUE!</v>
      </c>
      <c r="FA131" t="e">
        <f>AND(Sheet1!#REF!,"AAAAAG/+vZw=")</f>
        <v>#REF!</v>
      </c>
      <c r="FB131" t="e">
        <f>AND(Sheet1!#REF!,"AAAAAG/+vZ0=")</f>
        <v>#REF!</v>
      </c>
      <c r="FC131" t="e">
        <f>AND(Sheet1!#REF!,"AAAAAG/+vZ4=")</f>
        <v>#REF!</v>
      </c>
      <c r="FD131" t="e">
        <f>AND(Sheet1!#REF!,"AAAAAG/+vZ8=")</f>
        <v>#REF!</v>
      </c>
      <c r="FE131">
        <f>IF(Sheet1!1761:1761,"AAAAAG/+vaA=",0)</f>
        <v>0</v>
      </c>
      <c r="FF131" t="e">
        <f>AND(Sheet1!A1761,"AAAAAG/+vaE=")</f>
        <v>#VALUE!</v>
      </c>
      <c r="FG131" t="e">
        <f>AND(Sheet1!B1761,"AAAAAG/+vaI=")</f>
        <v>#VALUE!</v>
      </c>
      <c r="FH131" t="e">
        <f>AND(Sheet1!C1761,"AAAAAG/+vaM=")</f>
        <v>#VALUE!</v>
      </c>
      <c r="FI131" t="e">
        <f>AND(Sheet1!D1761,"AAAAAG/+vaQ=")</f>
        <v>#VALUE!</v>
      </c>
      <c r="FJ131" t="e">
        <f>AND(Sheet1!E1761,"AAAAAG/+vaU=")</f>
        <v>#VALUE!</v>
      </c>
      <c r="FK131" t="e">
        <f>AND(Sheet1!F1761,"AAAAAG/+vaY=")</f>
        <v>#VALUE!</v>
      </c>
      <c r="FL131" t="e">
        <f>AND(Sheet1!G1761,"AAAAAG/+vac=")</f>
        <v>#VALUE!</v>
      </c>
      <c r="FM131" t="e">
        <f>AND(Sheet1!H1761,"AAAAAG/+vag=")</f>
        <v>#VALUE!</v>
      </c>
      <c r="FN131" t="e">
        <f>AND(Sheet1!I1761,"AAAAAG/+vak=")</f>
        <v>#VALUE!</v>
      </c>
      <c r="FO131" t="e">
        <f>AND(Sheet1!J1761,"AAAAAG/+vao=")</f>
        <v>#VALUE!</v>
      </c>
      <c r="FP131" t="e">
        <f>AND(Sheet1!K1761,"AAAAAG/+vas=")</f>
        <v>#VALUE!</v>
      </c>
      <c r="FQ131" t="e">
        <f>AND(Sheet1!L1761,"AAAAAG/+vaw=")</f>
        <v>#VALUE!</v>
      </c>
      <c r="FR131" t="e">
        <f>AND(Sheet1!M1761,"AAAAAG/+va0=")</f>
        <v>#VALUE!</v>
      </c>
      <c r="FS131" t="e">
        <f>AND(Sheet1!N1761,"AAAAAG/+va4=")</f>
        <v>#VALUE!</v>
      </c>
      <c r="FT131" t="e">
        <f>AND(Sheet1!#REF!,"AAAAAG/+va8=")</f>
        <v>#REF!</v>
      </c>
      <c r="FU131" t="e">
        <f>AND(Sheet1!#REF!,"AAAAAG/+vbA=")</f>
        <v>#REF!</v>
      </c>
      <c r="FV131" t="e">
        <f>AND(Sheet1!#REF!,"AAAAAG/+vbE=")</f>
        <v>#REF!</v>
      </c>
      <c r="FW131" t="e">
        <f>AND(Sheet1!#REF!,"AAAAAG/+vbI=")</f>
        <v>#REF!</v>
      </c>
      <c r="FX131">
        <f>IF(Sheet1!1762:1762,"AAAAAG/+vbM=",0)</f>
        <v>0</v>
      </c>
      <c r="FY131" t="e">
        <f>AND(Sheet1!A1762,"AAAAAG/+vbQ=")</f>
        <v>#VALUE!</v>
      </c>
      <c r="FZ131" t="e">
        <f>AND(Sheet1!B1762,"AAAAAG/+vbU=")</f>
        <v>#VALUE!</v>
      </c>
      <c r="GA131" t="e">
        <f>AND(Sheet1!C1762,"AAAAAG/+vbY=")</f>
        <v>#VALUE!</v>
      </c>
      <c r="GB131" t="e">
        <f>AND(Sheet1!D1762,"AAAAAG/+vbc=")</f>
        <v>#VALUE!</v>
      </c>
      <c r="GC131" t="e">
        <f>AND(Sheet1!E1762,"AAAAAG/+vbg=")</f>
        <v>#VALUE!</v>
      </c>
      <c r="GD131" t="e">
        <f>AND(Sheet1!F1762,"AAAAAG/+vbk=")</f>
        <v>#VALUE!</v>
      </c>
      <c r="GE131" t="e">
        <f>AND(Sheet1!G1762,"AAAAAG/+vbo=")</f>
        <v>#VALUE!</v>
      </c>
      <c r="GF131" t="e">
        <f>AND(Sheet1!H1762,"AAAAAG/+vbs=")</f>
        <v>#VALUE!</v>
      </c>
      <c r="GG131" t="e">
        <f>AND(Sheet1!I1762,"AAAAAG/+vbw=")</f>
        <v>#VALUE!</v>
      </c>
      <c r="GH131" t="e">
        <f>AND(Sheet1!J1762,"AAAAAG/+vb0=")</f>
        <v>#VALUE!</v>
      </c>
      <c r="GI131" t="e">
        <f>AND(Sheet1!K1762,"AAAAAG/+vb4=")</f>
        <v>#VALUE!</v>
      </c>
      <c r="GJ131" t="e">
        <f>AND(Sheet1!L1762,"AAAAAG/+vb8=")</f>
        <v>#VALUE!</v>
      </c>
      <c r="GK131" t="e">
        <f>AND(Sheet1!M1762,"AAAAAG/+vcA=")</f>
        <v>#VALUE!</v>
      </c>
      <c r="GL131" t="e">
        <f>AND(Sheet1!N1762,"AAAAAG/+vcE=")</f>
        <v>#VALUE!</v>
      </c>
      <c r="GM131" t="e">
        <f>AND(Sheet1!#REF!,"AAAAAG/+vcI=")</f>
        <v>#REF!</v>
      </c>
      <c r="GN131" t="e">
        <f>AND(Sheet1!#REF!,"AAAAAG/+vcM=")</f>
        <v>#REF!</v>
      </c>
      <c r="GO131" t="e">
        <f>AND(Sheet1!#REF!,"AAAAAG/+vcQ=")</f>
        <v>#REF!</v>
      </c>
      <c r="GP131" t="e">
        <f>AND(Sheet1!#REF!,"AAAAAG/+vcU=")</f>
        <v>#REF!</v>
      </c>
      <c r="GQ131">
        <f>IF(Sheet1!1763:1763,"AAAAAG/+vcY=",0)</f>
        <v>0</v>
      </c>
      <c r="GR131" t="e">
        <f>AND(Sheet1!A1763,"AAAAAG/+vcc=")</f>
        <v>#VALUE!</v>
      </c>
      <c r="GS131" t="e">
        <f>AND(Sheet1!B1763,"AAAAAG/+vcg=")</f>
        <v>#VALUE!</v>
      </c>
      <c r="GT131" t="e">
        <f>AND(Sheet1!C1763,"AAAAAG/+vck=")</f>
        <v>#VALUE!</v>
      </c>
      <c r="GU131" t="e">
        <f>AND(Sheet1!D1763,"AAAAAG/+vco=")</f>
        <v>#VALUE!</v>
      </c>
      <c r="GV131" t="e">
        <f>AND(Sheet1!E1763,"AAAAAG/+vcs=")</f>
        <v>#VALUE!</v>
      </c>
      <c r="GW131" t="e">
        <f>AND(Sheet1!F1763,"AAAAAG/+vcw=")</f>
        <v>#VALUE!</v>
      </c>
      <c r="GX131" t="e">
        <f>AND(Sheet1!G1763,"AAAAAG/+vc0=")</f>
        <v>#VALUE!</v>
      </c>
      <c r="GY131" t="e">
        <f>AND(Sheet1!H1763,"AAAAAG/+vc4=")</f>
        <v>#VALUE!</v>
      </c>
      <c r="GZ131" t="e">
        <f>AND(Sheet1!I1763,"AAAAAG/+vc8=")</f>
        <v>#VALUE!</v>
      </c>
      <c r="HA131" t="e">
        <f>AND(Sheet1!J1763,"AAAAAG/+vdA=")</f>
        <v>#VALUE!</v>
      </c>
      <c r="HB131" t="e">
        <f>AND(Sheet1!K1763,"AAAAAG/+vdE=")</f>
        <v>#VALUE!</v>
      </c>
      <c r="HC131" t="e">
        <f>AND(Sheet1!L1763,"AAAAAG/+vdI=")</f>
        <v>#VALUE!</v>
      </c>
      <c r="HD131" t="e">
        <f>AND(Sheet1!M1763,"AAAAAG/+vdM=")</f>
        <v>#VALUE!</v>
      </c>
      <c r="HE131" t="e">
        <f>AND(Sheet1!N1763,"AAAAAG/+vdQ=")</f>
        <v>#VALUE!</v>
      </c>
      <c r="HF131" t="e">
        <f>AND(Sheet1!#REF!,"AAAAAG/+vdU=")</f>
        <v>#REF!</v>
      </c>
      <c r="HG131" t="e">
        <f>AND(Sheet1!#REF!,"AAAAAG/+vdY=")</f>
        <v>#REF!</v>
      </c>
      <c r="HH131" t="e">
        <f>AND(Sheet1!#REF!,"AAAAAG/+vdc=")</f>
        <v>#REF!</v>
      </c>
      <c r="HI131" t="e">
        <f>AND(Sheet1!#REF!,"AAAAAG/+vdg=")</f>
        <v>#REF!</v>
      </c>
      <c r="HJ131">
        <f>IF(Sheet1!1764:1764,"AAAAAG/+vdk=",0)</f>
        <v>0</v>
      </c>
      <c r="HK131" t="e">
        <f>AND(Sheet1!A1764,"AAAAAG/+vdo=")</f>
        <v>#VALUE!</v>
      </c>
      <c r="HL131" t="e">
        <f>AND(Sheet1!B1764,"AAAAAG/+vds=")</f>
        <v>#VALUE!</v>
      </c>
      <c r="HM131" t="e">
        <f>AND(Sheet1!C1764,"AAAAAG/+vdw=")</f>
        <v>#VALUE!</v>
      </c>
      <c r="HN131" t="e">
        <f>AND(Sheet1!D1764,"AAAAAG/+vd0=")</f>
        <v>#VALUE!</v>
      </c>
      <c r="HO131" t="e">
        <f>AND(Sheet1!E1764,"AAAAAG/+vd4=")</f>
        <v>#VALUE!</v>
      </c>
      <c r="HP131" t="e">
        <f>AND(Sheet1!F1764,"AAAAAG/+vd8=")</f>
        <v>#VALUE!</v>
      </c>
      <c r="HQ131" t="e">
        <f>AND(Sheet1!G1764,"AAAAAG/+veA=")</f>
        <v>#VALUE!</v>
      </c>
      <c r="HR131" t="e">
        <f>AND(Sheet1!H1764,"AAAAAG/+veE=")</f>
        <v>#VALUE!</v>
      </c>
      <c r="HS131" t="e">
        <f>AND(Sheet1!I1764,"AAAAAG/+veI=")</f>
        <v>#VALUE!</v>
      </c>
      <c r="HT131" t="e">
        <f>AND(Sheet1!J1764,"AAAAAG/+veM=")</f>
        <v>#VALUE!</v>
      </c>
      <c r="HU131" t="e">
        <f>AND(Sheet1!K1764,"AAAAAG/+veQ=")</f>
        <v>#VALUE!</v>
      </c>
      <c r="HV131" t="e">
        <f>AND(Sheet1!L1764,"AAAAAG/+veU=")</f>
        <v>#VALUE!</v>
      </c>
      <c r="HW131" t="e">
        <f>AND(Sheet1!M1764,"AAAAAG/+veY=")</f>
        <v>#VALUE!</v>
      </c>
      <c r="HX131" t="e">
        <f>AND(Sheet1!N1764,"AAAAAG/+vec=")</f>
        <v>#VALUE!</v>
      </c>
      <c r="HY131" t="e">
        <f>AND(Sheet1!#REF!,"AAAAAG/+veg=")</f>
        <v>#REF!</v>
      </c>
      <c r="HZ131" t="e">
        <f>AND(Sheet1!#REF!,"AAAAAG/+vek=")</f>
        <v>#REF!</v>
      </c>
      <c r="IA131" t="e">
        <f>AND(Sheet1!#REF!,"AAAAAG/+veo=")</f>
        <v>#REF!</v>
      </c>
      <c r="IB131" t="e">
        <f>AND(Sheet1!#REF!,"AAAAAG/+ves=")</f>
        <v>#REF!</v>
      </c>
      <c r="IC131">
        <f>IF(Sheet1!1765:1765,"AAAAAG/+vew=",0)</f>
        <v>0</v>
      </c>
      <c r="ID131" t="e">
        <f>AND(Sheet1!A1765,"AAAAAG/+ve0=")</f>
        <v>#VALUE!</v>
      </c>
      <c r="IE131" t="e">
        <f>AND(Sheet1!B1765,"AAAAAG/+ve4=")</f>
        <v>#VALUE!</v>
      </c>
      <c r="IF131" t="e">
        <f>AND(Sheet1!C1765,"AAAAAG/+ve8=")</f>
        <v>#VALUE!</v>
      </c>
      <c r="IG131" t="e">
        <f>AND(Sheet1!D1765,"AAAAAG/+vfA=")</f>
        <v>#VALUE!</v>
      </c>
      <c r="IH131" t="e">
        <f>AND(Sheet1!E1765,"AAAAAG/+vfE=")</f>
        <v>#VALUE!</v>
      </c>
      <c r="II131" t="e">
        <f>AND(Sheet1!F1765,"AAAAAG/+vfI=")</f>
        <v>#VALUE!</v>
      </c>
      <c r="IJ131" t="e">
        <f>AND(Sheet1!G1765,"AAAAAG/+vfM=")</f>
        <v>#VALUE!</v>
      </c>
      <c r="IK131" t="e">
        <f>AND(Sheet1!H1765,"AAAAAG/+vfQ=")</f>
        <v>#VALUE!</v>
      </c>
      <c r="IL131" t="e">
        <f>AND(Sheet1!I1765,"AAAAAG/+vfU=")</f>
        <v>#VALUE!</v>
      </c>
      <c r="IM131" t="e">
        <f>AND(Sheet1!J1765,"AAAAAG/+vfY=")</f>
        <v>#VALUE!</v>
      </c>
      <c r="IN131" t="e">
        <f>AND(Sheet1!K1765,"AAAAAG/+vfc=")</f>
        <v>#VALUE!</v>
      </c>
      <c r="IO131" t="e">
        <f>AND(Sheet1!L1765,"AAAAAG/+vfg=")</f>
        <v>#VALUE!</v>
      </c>
      <c r="IP131" t="e">
        <f>AND(Sheet1!M1765,"AAAAAG/+vfk=")</f>
        <v>#VALUE!</v>
      </c>
      <c r="IQ131" t="e">
        <f>AND(Sheet1!N1765,"AAAAAG/+vfo=")</f>
        <v>#VALUE!</v>
      </c>
      <c r="IR131" t="e">
        <f>AND(Sheet1!#REF!,"AAAAAG/+vfs=")</f>
        <v>#REF!</v>
      </c>
      <c r="IS131" t="e">
        <f>AND(Sheet1!#REF!,"AAAAAG/+vfw=")</f>
        <v>#REF!</v>
      </c>
      <c r="IT131" t="e">
        <f>AND(Sheet1!#REF!,"AAAAAG/+vf0=")</f>
        <v>#REF!</v>
      </c>
      <c r="IU131" t="e">
        <f>AND(Sheet1!#REF!,"AAAAAG/+vf4=")</f>
        <v>#REF!</v>
      </c>
      <c r="IV131">
        <f>IF(Sheet1!1766:1766,"AAAAAG/+vf8=",0)</f>
        <v>0</v>
      </c>
    </row>
    <row r="132" spans="1:256" x14ac:dyDescent="0.2">
      <c r="A132" t="e">
        <f>AND(Sheet1!A1766,"AAAAAFv6/wA=")</f>
        <v>#VALUE!</v>
      </c>
      <c r="B132" t="e">
        <f>AND(Sheet1!B1766,"AAAAAFv6/wE=")</f>
        <v>#VALUE!</v>
      </c>
      <c r="C132" t="e">
        <f>AND(Sheet1!C1766,"AAAAAFv6/wI=")</f>
        <v>#VALUE!</v>
      </c>
      <c r="D132" t="e">
        <f>AND(Sheet1!D1766,"AAAAAFv6/wM=")</f>
        <v>#VALUE!</v>
      </c>
      <c r="E132" t="e">
        <f>AND(Sheet1!E1766,"AAAAAFv6/wQ=")</f>
        <v>#VALUE!</v>
      </c>
      <c r="F132" t="e">
        <f>AND(Sheet1!F1766,"AAAAAFv6/wU=")</f>
        <v>#VALUE!</v>
      </c>
      <c r="G132" t="e">
        <f>AND(Sheet1!G1766,"AAAAAFv6/wY=")</f>
        <v>#VALUE!</v>
      </c>
      <c r="H132" t="e">
        <f>AND(Sheet1!H1766,"AAAAAFv6/wc=")</f>
        <v>#VALUE!</v>
      </c>
      <c r="I132" t="e">
        <f>AND(Sheet1!I1766,"AAAAAFv6/wg=")</f>
        <v>#VALUE!</v>
      </c>
      <c r="J132" t="e">
        <f>AND(Sheet1!J1766,"AAAAAFv6/wk=")</f>
        <v>#VALUE!</v>
      </c>
      <c r="K132" t="e">
        <f>AND(Sheet1!K1766,"AAAAAFv6/wo=")</f>
        <v>#VALUE!</v>
      </c>
      <c r="L132" t="e">
        <f>AND(Sheet1!L1766,"AAAAAFv6/ws=")</f>
        <v>#VALUE!</v>
      </c>
      <c r="M132" t="e">
        <f>AND(Sheet1!M1766,"AAAAAFv6/ww=")</f>
        <v>#VALUE!</v>
      </c>
      <c r="N132" t="e">
        <f>AND(Sheet1!N1766,"AAAAAFv6/w0=")</f>
        <v>#VALUE!</v>
      </c>
      <c r="O132" t="e">
        <f>AND(Sheet1!#REF!,"AAAAAFv6/w4=")</f>
        <v>#REF!</v>
      </c>
      <c r="P132" t="e">
        <f>AND(Sheet1!#REF!,"AAAAAFv6/w8=")</f>
        <v>#REF!</v>
      </c>
      <c r="Q132" t="e">
        <f>AND(Sheet1!#REF!,"AAAAAFv6/xA=")</f>
        <v>#REF!</v>
      </c>
      <c r="R132" t="e">
        <f>AND(Sheet1!#REF!,"AAAAAFv6/xE=")</f>
        <v>#REF!</v>
      </c>
      <c r="S132">
        <f>IF(Sheet1!1767:1767,"AAAAAFv6/xI=",0)</f>
        <v>0</v>
      </c>
      <c r="T132" t="e">
        <f>AND(Sheet1!A1767,"AAAAAFv6/xM=")</f>
        <v>#VALUE!</v>
      </c>
      <c r="U132" t="e">
        <f>AND(Sheet1!B1767,"AAAAAFv6/xQ=")</f>
        <v>#VALUE!</v>
      </c>
      <c r="V132" t="e">
        <f>AND(Sheet1!C1767,"AAAAAFv6/xU=")</f>
        <v>#VALUE!</v>
      </c>
      <c r="W132" t="e">
        <f>AND(Sheet1!D1767,"AAAAAFv6/xY=")</f>
        <v>#VALUE!</v>
      </c>
      <c r="X132" t="e">
        <f>AND(Sheet1!E1767,"AAAAAFv6/xc=")</f>
        <v>#VALUE!</v>
      </c>
      <c r="Y132" t="e">
        <f>AND(Sheet1!F1767,"AAAAAFv6/xg=")</f>
        <v>#VALUE!</v>
      </c>
      <c r="Z132" t="e">
        <f>AND(Sheet1!G1767,"AAAAAFv6/xk=")</f>
        <v>#VALUE!</v>
      </c>
      <c r="AA132" t="e">
        <f>AND(Sheet1!H1767,"AAAAAFv6/xo=")</f>
        <v>#VALUE!</v>
      </c>
      <c r="AB132" t="e">
        <f>AND(Sheet1!I1767,"AAAAAFv6/xs=")</f>
        <v>#VALUE!</v>
      </c>
      <c r="AC132" t="e">
        <f>AND(Sheet1!J1767,"AAAAAFv6/xw=")</f>
        <v>#VALUE!</v>
      </c>
      <c r="AD132" t="e">
        <f>AND(Sheet1!K1767,"AAAAAFv6/x0=")</f>
        <v>#VALUE!</v>
      </c>
      <c r="AE132" t="e">
        <f>AND(Sheet1!L1767,"AAAAAFv6/x4=")</f>
        <v>#VALUE!</v>
      </c>
      <c r="AF132" t="e">
        <f>AND(Sheet1!M1767,"AAAAAFv6/x8=")</f>
        <v>#VALUE!</v>
      </c>
      <c r="AG132" t="e">
        <f>AND(Sheet1!N1767,"AAAAAFv6/yA=")</f>
        <v>#VALUE!</v>
      </c>
      <c r="AH132" t="e">
        <f>AND(Sheet1!#REF!,"AAAAAFv6/yE=")</f>
        <v>#REF!</v>
      </c>
      <c r="AI132" t="e">
        <f>AND(Sheet1!#REF!,"AAAAAFv6/yI=")</f>
        <v>#REF!</v>
      </c>
      <c r="AJ132" t="e">
        <f>AND(Sheet1!#REF!,"AAAAAFv6/yM=")</f>
        <v>#REF!</v>
      </c>
      <c r="AK132" t="e">
        <f>AND(Sheet1!#REF!,"AAAAAFv6/yQ=")</f>
        <v>#REF!</v>
      </c>
      <c r="AL132">
        <f>IF(Sheet1!1768:1768,"AAAAAFv6/yU=",0)</f>
        <v>0</v>
      </c>
      <c r="AM132" t="e">
        <f>AND(Sheet1!A1768,"AAAAAFv6/yY=")</f>
        <v>#VALUE!</v>
      </c>
      <c r="AN132" t="e">
        <f>AND(Sheet1!B1768,"AAAAAFv6/yc=")</f>
        <v>#VALUE!</v>
      </c>
      <c r="AO132" t="e">
        <f>AND(Sheet1!C1768,"AAAAAFv6/yg=")</f>
        <v>#VALUE!</v>
      </c>
      <c r="AP132" t="e">
        <f>AND(Sheet1!D1768,"AAAAAFv6/yk=")</f>
        <v>#VALUE!</v>
      </c>
      <c r="AQ132" t="e">
        <f>AND(Sheet1!E1768,"AAAAAFv6/yo=")</f>
        <v>#VALUE!</v>
      </c>
      <c r="AR132" t="e">
        <f>AND(Sheet1!F1768,"AAAAAFv6/ys=")</f>
        <v>#VALUE!</v>
      </c>
      <c r="AS132" t="e">
        <f>AND(Sheet1!G1768,"AAAAAFv6/yw=")</f>
        <v>#VALUE!</v>
      </c>
      <c r="AT132" t="e">
        <f>AND(Sheet1!H1768,"AAAAAFv6/y0=")</f>
        <v>#VALUE!</v>
      </c>
      <c r="AU132" t="e">
        <f>AND(Sheet1!I1768,"AAAAAFv6/y4=")</f>
        <v>#VALUE!</v>
      </c>
      <c r="AV132" t="e">
        <f>AND(Sheet1!J1768,"AAAAAFv6/y8=")</f>
        <v>#VALUE!</v>
      </c>
      <c r="AW132" t="e">
        <f>AND(Sheet1!K1768,"AAAAAFv6/zA=")</f>
        <v>#VALUE!</v>
      </c>
      <c r="AX132" t="e">
        <f>AND(Sheet1!L1768,"AAAAAFv6/zE=")</f>
        <v>#VALUE!</v>
      </c>
      <c r="AY132" t="e">
        <f>AND(Sheet1!M1768,"AAAAAFv6/zI=")</f>
        <v>#VALUE!</v>
      </c>
      <c r="AZ132" t="e">
        <f>AND(Sheet1!N1768,"AAAAAFv6/zM=")</f>
        <v>#VALUE!</v>
      </c>
      <c r="BA132" t="e">
        <f>AND(Sheet1!#REF!,"AAAAAFv6/zQ=")</f>
        <v>#REF!</v>
      </c>
      <c r="BB132" t="e">
        <f>AND(Sheet1!#REF!,"AAAAAFv6/zU=")</f>
        <v>#REF!</v>
      </c>
      <c r="BC132" t="e">
        <f>AND(Sheet1!#REF!,"AAAAAFv6/zY=")</f>
        <v>#REF!</v>
      </c>
      <c r="BD132" t="e">
        <f>AND(Sheet1!#REF!,"AAAAAFv6/zc=")</f>
        <v>#REF!</v>
      </c>
      <c r="BE132">
        <f>IF(Sheet1!1769:1769,"AAAAAFv6/zg=",0)</f>
        <v>0</v>
      </c>
      <c r="BF132" t="e">
        <f>AND(Sheet1!A1769,"AAAAAFv6/zk=")</f>
        <v>#VALUE!</v>
      </c>
      <c r="BG132" t="e">
        <f>AND(Sheet1!B1769,"AAAAAFv6/zo=")</f>
        <v>#VALUE!</v>
      </c>
      <c r="BH132" t="e">
        <f>AND(Sheet1!C1769,"AAAAAFv6/zs=")</f>
        <v>#VALUE!</v>
      </c>
      <c r="BI132" t="e">
        <f>AND(Sheet1!D1769,"AAAAAFv6/zw=")</f>
        <v>#VALUE!</v>
      </c>
      <c r="BJ132" t="e">
        <f>AND(Sheet1!E1769,"AAAAAFv6/z0=")</f>
        <v>#VALUE!</v>
      </c>
      <c r="BK132" t="e">
        <f>AND(Sheet1!F1769,"AAAAAFv6/z4=")</f>
        <v>#VALUE!</v>
      </c>
      <c r="BL132" t="e">
        <f>AND(Sheet1!G1769,"AAAAAFv6/z8=")</f>
        <v>#VALUE!</v>
      </c>
      <c r="BM132" t="e">
        <f>AND(Sheet1!H1769,"AAAAAFv6/0A=")</f>
        <v>#VALUE!</v>
      </c>
      <c r="BN132" t="e">
        <f>AND(Sheet1!I1769,"AAAAAFv6/0E=")</f>
        <v>#VALUE!</v>
      </c>
      <c r="BO132" t="e">
        <f>AND(Sheet1!J1769,"AAAAAFv6/0I=")</f>
        <v>#VALUE!</v>
      </c>
      <c r="BP132" t="e">
        <f>AND(Sheet1!K1769,"AAAAAFv6/0M=")</f>
        <v>#VALUE!</v>
      </c>
      <c r="BQ132" t="e">
        <f>AND(Sheet1!L1769,"AAAAAFv6/0Q=")</f>
        <v>#VALUE!</v>
      </c>
      <c r="BR132" t="e">
        <f>AND(Sheet1!M1769,"AAAAAFv6/0U=")</f>
        <v>#VALUE!</v>
      </c>
      <c r="BS132" t="e">
        <f>AND(Sheet1!N1769,"AAAAAFv6/0Y=")</f>
        <v>#VALUE!</v>
      </c>
      <c r="BT132" t="e">
        <f>AND(Sheet1!#REF!,"AAAAAFv6/0c=")</f>
        <v>#REF!</v>
      </c>
      <c r="BU132" t="e">
        <f>AND(Sheet1!#REF!,"AAAAAFv6/0g=")</f>
        <v>#REF!</v>
      </c>
      <c r="BV132" t="e">
        <f>AND(Sheet1!#REF!,"AAAAAFv6/0k=")</f>
        <v>#REF!</v>
      </c>
      <c r="BW132" t="e">
        <f>AND(Sheet1!#REF!,"AAAAAFv6/0o=")</f>
        <v>#REF!</v>
      </c>
      <c r="BX132">
        <f>IF(Sheet1!1770:1770,"AAAAAFv6/0s=",0)</f>
        <v>0</v>
      </c>
      <c r="BY132" t="e">
        <f>AND(Sheet1!A1770,"AAAAAFv6/0w=")</f>
        <v>#VALUE!</v>
      </c>
      <c r="BZ132" t="e">
        <f>AND(Sheet1!B1770,"AAAAAFv6/00=")</f>
        <v>#VALUE!</v>
      </c>
      <c r="CA132" t="e">
        <f>AND(Sheet1!C1770,"AAAAAFv6/04=")</f>
        <v>#VALUE!</v>
      </c>
      <c r="CB132" t="e">
        <f>AND(Sheet1!D1770,"AAAAAFv6/08=")</f>
        <v>#VALUE!</v>
      </c>
      <c r="CC132" t="e">
        <f>AND(Sheet1!E1770,"AAAAAFv6/1A=")</f>
        <v>#VALUE!</v>
      </c>
      <c r="CD132" t="e">
        <f>AND(Sheet1!F1770,"AAAAAFv6/1E=")</f>
        <v>#VALUE!</v>
      </c>
      <c r="CE132" t="e">
        <f>AND(Sheet1!G1770,"AAAAAFv6/1I=")</f>
        <v>#VALUE!</v>
      </c>
      <c r="CF132" t="e">
        <f>AND(Sheet1!H1770,"AAAAAFv6/1M=")</f>
        <v>#VALUE!</v>
      </c>
      <c r="CG132" t="e">
        <f>AND(Sheet1!I1770,"AAAAAFv6/1Q=")</f>
        <v>#VALUE!</v>
      </c>
      <c r="CH132" t="e">
        <f>AND(Sheet1!J1770,"AAAAAFv6/1U=")</f>
        <v>#VALUE!</v>
      </c>
      <c r="CI132" t="e">
        <f>AND(Sheet1!K1770,"AAAAAFv6/1Y=")</f>
        <v>#VALUE!</v>
      </c>
      <c r="CJ132" t="e">
        <f>AND(Sheet1!L1770,"AAAAAFv6/1c=")</f>
        <v>#VALUE!</v>
      </c>
      <c r="CK132" t="e">
        <f>AND(Sheet1!M1770,"AAAAAFv6/1g=")</f>
        <v>#VALUE!</v>
      </c>
      <c r="CL132" t="e">
        <f>AND(Sheet1!N1770,"AAAAAFv6/1k=")</f>
        <v>#VALUE!</v>
      </c>
      <c r="CM132" t="e">
        <f>AND(Sheet1!#REF!,"AAAAAFv6/1o=")</f>
        <v>#REF!</v>
      </c>
      <c r="CN132" t="e">
        <f>AND(Sheet1!#REF!,"AAAAAFv6/1s=")</f>
        <v>#REF!</v>
      </c>
      <c r="CO132" t="e">
        <f>AND(Sheet1!#REF!,"AAAAAFv6/1w=")</f>
        <v>#REF!</v>
      </c>
      <c r="CP132" t="e">
        <f>AND(Sheet1!#REF!,"AAAAAFv6/10=")</f>
        <v>#REF!</v>
      </c>
      <c r="CQ132">
        <f>IF(Sheet1!1771:1771,"AAAAAFv6/14=",0)</f>
        <v>0</v>
      </c>
      <c r="CR132" t="e">
        <f>AND(Sheet1!A1771,"AAAAAFv6/18=")</f>
        <v>#VALUE!</v>
      </c>
      <c r="CS132" t="e">
        <f>AND(Sheet1!B1771,"AAAAAFv6/2A=")</f>
        <v>#VALUE!</v>
      </c>
      <c r="CT132" t="e">
        <f>AND(Sheet1!C1771,"AAAAAFv6/2E=")</f>
        <v>#VALUE!</v>
      </c>
      <c r="CU132" t="e">
        <f>AND(Sheet1!D1771,"AAAAAFv6/2I=")</f>
        <v>#VALUE!</v>
      </c>
      <c r="CV132" t="e">
        <f>AND(Sheet1!E1771,"AAAAAFv6/2M=")</f>
        <v>#VALUE!</v>
      </c>
      <c r="CW132" t="e">
        <f>AND(Sheet1!F1771,"AAAAAFv6/2Q=")</f>
        <v>#VALUE!</v>
      </c>
      <c r="CX132" t="e">
        <f>AND(Sheet1!G1771,"AAAAAFv6/2U=")</f>
        <v>#VALUE!</v>
      </c>
      <c r="CY132" t="e">
        <f>AND(Sheet1!H1771,"AAAAAFv6/2Y=")</f>
        <v>#VALUE!</v>
      </c>
      <c r="CZ132" t="e">
        <f>AND(Sheet1!I1771,"AAAAAFv6/2c=")</f>
        <v>#VALUE!</v>
      </c>
      <c r="DA132" t="e">
        <f>AND(Sheet1!J1771,"AAAAAFv6/2g=")</f>
        <v>#VALUE!</v>
      </c>
      <c r="DB132" t="e">
        <f>AND(Sheet1!K1771,"AAAAAFv6/2k=")</f>
        <v>#VALUE!</v>
      </c>
      <c r="DC132" t="e">
        <f>AND(Sheet1!L1771,"AAAAAFv6/2o=")</f>
        <v>#VALUE!</v>
      </c>
      <c r="DD132" t="e">
        <f>AND(Sheet1!M1771,"AAAAAFv6/2s=")</f>
        <v>#VALUE!</v>
      </c>
      <c r="DE132" t="e">
        <f>AND(Sheet1!N1771,"AAAAAFv6/2w=")</f>
        <v>#VALUE!</v>
      </c>
      <c r="DF132" t="e">
        <f>AND(Sheet1!#REF!,"AAAAAFv6/20=")</f>
        <v>#REF!</v>
      </c>
      <c r="DG132" t="e">
        <f>AND(Sheet1!#REF!,"AAAAAFv6/24=")</f>
        <v>#REF!</v>
      </c>
      <c r="DH132" t="e">
        <f>AND(Sheet1!#REF!,"AAAAAFv6/28=")</f>
        <v>#REF!</v>
      </c>
      <c r="DI132" t="e">
        <f>AND(Sheet1!#REF!,"AAAAAFv6/3A=")</f>
        <v>#REF!</v>
      </c>
      <c r="DJ132">
        <f>IF(Sheet1!1772:1772,"AAAAAFv6/3E=",0)</f>
        <v>0</v>
      </c>
      <c r="DK132" t="e">
        <f>AND(Sheet1!A1772,"AAAAAFv6/3I=")</f>
        <v>#VALUE!</v>
      </c>
      <c r="DL132" t="e">
        <f>AND(Sheet1!B1772,"AAAAAFv6/3M=")</f>
        <v>#VALUE!</v>
      </c>
      <c r="DM132" t="e">
        <f>AND(Sheet1!C1772,"AAAAAFv6/3Q=")</f>
        <v>#VALUE!</v>
      </c>
      <c r="DN132" t="e">
        <f>AND(Sheet1!D1772,"AAAAAFv6/3U=")</f>
        <v>#VALUE!</v>
      </c>
      <c r="DO132" t="e">
        <f>AND(Sheet1!E1772,"AAAAAFv6/3Y=")</f>
        <v>#VALUE!</v>
      </c>
      <c r="DP132" t="e">
        <f>AND(Sheet1!F1772,"AAAAAFv6/3c=")</f>
        <v>#VALUE!</v>
      </c>
      <c r="DQ132" t="e">
        <f>AND(Sheet1!G1772,"AAAAAFv6/3g=")</f>
        <v>#VALUE!</v>
      </c>
      <c r="DR132" t="e">
        <f>AND(Sheet1!H1772,"AAAAAFv6/3k=")</f>
        <v>#VALUE!</v>
      </c>
      <c r="DS132" t="e">
        <f>AND(Sheet1!I1772,"AAAAAFv6/3o=")</f>
        <v>#VALUE!</v>
      </c>
      <c r="DT132" t="e">
        <f>AND(Sheet1!J1772,"AAAAAFv6/3s=")</f>
        <v>#VALUE!</v>
      </c>
      <c r="DU132" t="e">
        <f>AND(Sheet1!K1772,"AAAAAFv6/3w=")</f>
        <v>#VALUE!</v>
      </c>
      <c r="DV132" t="e">
        <f>AND(Sheet1!L1772,"AAAAAFv6/30=")</f>
        <v>#VALUE!</v>
      </c>
      <c r="DW132" t="e">
        <f>AND(Sheet1!M1772,"AAAAAFv6/34=")</f>
        <v>#VALUE!</v>
      </c>
      <c r="DX132" t="e">
        <f>AND(Sheet1!N1772,"AAAAAFv6/38=")</f>
        <v>#VALUE!</v>
      </c>
      <c r="DY132" t="e">
        <f>AND(Sheet1!#REF!,"AAAAAFv6/4A=")</f>
        <v>#REF!</v>
      </c>
      <c r="DZ132" t="e">
        <f>AND(Sheet1!#REF!,"AAAAAFv6/4E=")</f>
        <v>#REF!</v>
      </c>
      <c r="EA132" t="e">
        <f>AND(Sheet1!#REF!,"AAAAAFv6/4I=")</f>
        <v>#REF!</v>
      </c>
      <c r="EB132" t="e">
        <f>AND(Sheet1!#REF!,"AAAAAFv6/4M=")</f>
        <v>#REF!</v>
      </c>
      <c r="EC132">
        <f>IF(Sheet1!1773:1773,"AAAAAFv6/4Q=",0)</f>
        <v>0</v>
      </c>
      <c r="ED132" t="e">
        <f>AND(Sheet1!A1773,"AAAAAFv6/4U=")</f>
        <v>#VALUE!</v>
      </c>
      <c r="EE132" t="e">
        <f>AND(Sheet1!B1773,"AAAAAFv6/4Y=")</f>
        <v>#VALUE!</v>
      </c>
      <c r="EF132" t="e">
        <f>AND(Sheet1!C1773,"AAAAAFv6/4c=")</f>
        <v>#VALUE!</v>
      </c>
      <c r="EG132" t="e">
        <f>AND(Sheet1!D1773,"AAAAAFv6/4g=")</f>
        <v>#VALUE!</v>
      </c>
      <c r="EH132" t="e">
        <f>AND(Sheet1!E1773,"AAAAAFv6/4k=")</f>
        <v>#VALUE!</v>
      </c>
      <c r="EI132" t="e">
        <f>AND(Sheet1!F1773,"AAAAAFv6/4o=")</f>
        <v>#VALUE!</v>
      </c>
      <c r="EJ132" t="e">
        <f>AND(Sheet1!G1773,"AAAAAFv6/4s=")</f>
        <v>#VALUE!</v>
      </c>
      <c r="EK132" t="e">
        <f>AND(Sheet1!H1773,"AAAAAFv6/4w=")</f>
        <v>#VALUE!</v>
      </c>
      <c r="EL132" t="e">
        <f>AND(Sheet1!I1773,"AAAAAFv6/40=")</f>
        <v>#VALUE!</v>
      </c>
      <c r="EM132" t="e">
        <f>AND(Sheet1!J1773,"AAAAAFv6/44=")</f>
        <v>#VALUE!</v>
      </c>
      <c r="EN132" t="e">
        <f>AND(Sheet1!K1773,"AAAAAFv6/48=")</f>
        <v>#VALUE!</v>
      </c>
      <c r="EO132" t="e">
        <f>AND(Sheet1!L1773,"AAAAAFv6/5A=")</f>
        <v>#VALUE!</v>
      </c>
      <c r="EP132" t="e">
        <f>AND(Sheet1!M1773,"AAAAAFv6/5E=")</f>
        <v>#VALUE!</v>
      </c>
      <c r="EQ132" t="e">
        <f>AND(Sheet1!N1773,"AAAAAFv6/5I=")</f>
        <v>#VALUE!</v>
      </c>
      <c r="ER132" t="e">
        <f>AND(Sheet1!#REF!,"AAAAAFv6/5M=")</f>
        <v>#REF!</v>
      </c>
      <c r="ES132" t="e">
        <f>AND(Sheet1!#REF!,"AAAAAFv6/5Q=")</f>
        <v>#REF!</v>
      </c>
      <c r="ET132" t="e">
        <f>AND(Sheet1!#REF!,"AAAAAFv6/5U=")</f>
        <v>#REF!</v>
      </c>
      <c r="EU132" t="e">
        <f>AND(Sheet1!#REF!,"AAAAAFv6/5Y=")</f>
        <v>#REF!</v>
      </c>
      <c r="EV132">
        <f>IF(Sheet1!1774:1774,"AAAAAFv6/5c=",0)</f>
        <v>0</v>
      </c>
      <c r="EW132" t="e">
        <f>AND(Sheet1!A1774,"AAAAAFv6/5g=")</f>
        <v>#VALUE!</v>
      </c>
      <c r="EX132" t="e">
        <f>AND(Sheet1!B1774,"AAAAAFv6/5k=")</f>
        <v>#VALUE!</v>
      </c>
      <c r="EY132" t="e">
        <f>AND(Sheet1!C1774,"AAAAAFv6/5o=")</f>
        <v>#VALUE!</v>
      </c>
      <c r="EZ132" t="e">
        <f>AND(Sheet1!D1774,"AAAAAFv6/5s=")</f>
        <v>#VALUE!</v>
      </c>
      <c r="FA132" t="e">
        <f>AND(Sheet1!E1774,"AAAAAFv6/5w=")</f>
        <v>#VALUE!</v>
      </c>
      <c r="FB132" t="e">
        <f>AND(Sheet1!F1774,"AAAAAFv6/50=")</f>
        <v>#VALUE!</v>
      </c>
      <c r="FC132" t="e">
        <f>AND(Sheet1!G1774,"AAAAAFv6/54=")</f>
        <v>#VALUE!</v>
      </c>
      <c r="FD132" t="e">
        <f>AND(Sheet1!H1774,"AAAAAFv6/58=")</f>
        <v>#VALUE!</v>
      </c>
      <c r="FE132" t="e">
        <f>AND(Sheet1!I1774,"AAAAAFv6/6A=")</f>
        <v>#VALUE!</v>
      </c>
      <c r="FF132" t="e">
        <f>AND(Sheet1!J1774,"AAAAAFv6/6E=")</f>
        <v>#VALUE!</v>
      </c>
      <c r="FG132" t="e">
        <f>AND(Sheet1!K1774,"AAAAAFv6/6I=")</f>
        <v>#VALUE!</v>
      </c>
      <c r="FH132" t="e">
        <f>AND(Sheet1!L1774,"AAAAAFv6/6M=")</f>
        <v>#VALUE!</v>
      </c>
      <c r="FI132" t="e">
        <f>AND(Sheet1!M1774,"AAAAAFv6/6Q=")</f>
        <v>#VALUE!</v>
      </c>
      <c r="FJ132" t="e">
        <f>AND(Sheet1!N1774,"AAAAAFv6/6U=")</f>
        <v>#VALUE!</v>
      </c>
      <c r="FK132" t="e">
        <f>AND(Sheet1!#REF!,"AAAAAFv6/6Y=")</f>
        <v>#REF!</v>
      </c>
      <c r="FL132" t="e">
        <f>AND(Sheet1!#REF!,"AAAAAFv6/6c=")</f>
        <v>#REF!</v>
      </c>
      <c r="FM132" t="e">
        <f>AND(Sheet1!#REF!,"AAAAAFv6/6g=")</f>
        <v>#REF!</v>
      </c>
      <c r="FN132" t="e">
        <f>AND(Sheet1!#REF!,"AAAAAFv6/6k=")</f>
        <v>#REF!</v>
      </c>
      <c r="FO132">
        <f>IF(Sheet1!1775:1775,"AAAAAFv6/6o=",0)</f>
        <v>0</v>
      </c>
      <c r="FP132" t="e">
        <f>AND(Sheet1!A1775,"AAAAAFv6/6s=")</f>
        <v>#VALUE!</v>
      </c>
      <c r="FQ132" t="e">
        <f>AND(Sheet1!B1775,"AAAAAFv6/6w=")</f>
        <v>#VALUE!</v>
      </c>
      <c r="FR132" t="e">
        <f>AND(Sheet1!C1775,"AAAAAFv6/60=")</f>
        <v>#VALUE!</v>
      </c>
      <c r="FS132" t="e">
        <f>AND(Sheet1!D1775,"AAAAAFv6/64=")</f>
        <v>#VALUE!</v>
      </c>
      <c r="FT132" t="e">
        <f>AND(Sheet1!E1775,"AAAAAFv6/68=")</f>
        <v>#VALUE!</v>
      </c>
      <c r="FU132" t="e">
        <f>AND(Sheet1!F1775,"AAAAAFv6/7A=")</f>
        <v>#VALUE!</v>
      </c>
      <c r="FV132" t="e">
        <f>AND(Sheet1!G1775,"AAAAAFv6/7E=")</f>
        <v>#VALUE!</v>
      </c>
      <c r="FW132" t="e">
        <f>AND(Sheet1!H1775,"AAAAAFv6/7I=")</f>
        <v>#VALUE!</v>
      </c>
      <c r="FX132" t="e">
        <f>AND(Sheet1!I1775,"AAAAAFv6/7M=")</f>
        <v>#VALUE!</v>
      </c>
      <c r="FY132" t="e">
        <f>AND(Sheet1!J1775,"AAAAAFv6/7Q=")</f>
        <v>#VALUE!</v>
      </c>
      <c r="FZ132" t="e">
        <f>AND(Sheet1!K1775,"AAAAAFv6/7U=")</f>
        <v>#VALUE!</v>
      </c>
      <c r="GA132" t="e">
        <f>AND(Sheet1!L1775,"AAAAAFv6/7Y=")</f>
        <v>#VALUE!</v>
      </c>
      <c r="GB132" t="e">
        <f>AND(Sheet1!M1775,"AAAAAFv6/7c=")</f>
        <v>#VALUE!</v>
      </c>
      <c r="GC132" t="e">
        <f>AND(Sheet1!N1775,"AAAAAFv6/7g=")</f>
        <v>#VALUE!</v>
      </c>
      <c r="GD132" t="e">
        <f>AND(Sheet1!#REF!,"AAAAAFv6/7k=")</f>
        <v>#REF!</v>
      </c>
      <c r="GE132" t="e">
        <f>AND(Sheet1!#REF!,"AAAAAFv6/7o=")</f>
        <v>#REF!</v>
      </c>
      <c r="GF132" t="e">
        <f>AND(Sheet1!#REF!,"AAAAAFv6/7s=")</f>
        <v>#REF!</v>
      </c>
      <c r="GG132" t="e">
        <f>AND(Sheet1!#REF!,"AAAAAFv6/7w=")</f>
        <v>#REF!</v>
      </c>
      <c r="GH132">
        <f>IF(Sheet1!1776:1776,"AAAAAFv6/70=",0)</f>
        <v>0</v>
      </c>
      <c r="GI132" t="e">
        <f>AND(Sheet1!A1776,"AAAAAFv6/74=")</f>
        <v>#VALUE!</v>
      </c>
      <c r="GJ132" t="e">
        <f>AND(Sheet1!B1776,"AAAAAFv6/78=")</f>
        <v>#VALUE!</v>
      </c>
      <c r="GK132" t="e">
        <f>AND(Sheet1!C1776,"AAAAAFv6/8A=")</f>
        <v>#VALUE!</v>
      </c>
      <c r="GL132" t="e">
        <f>AND(Sheet1!D1776,"AAAAAFv6/8E=")</f>
        <v>#VALUE!</v>
      </c>
      <c r="GM132" t="e">
        <f>AND(Sheet1!E1776,"AAAAAFv6/8I=")</f>
        <v>#VALUE!</v>
      </c>
      <c r="GN132" t="e">
        <f>AND(Sheet1!F1776,"AAAAAFv6/8M=")</f>
        <v>#VALUE!</v>
      </c>
      <c r="GO132" t="e">
        <f>AND(Sheet1!G1776,"AAAAAFv6/8Q=")</f>
        <v>#VALUE!</v>
      </c>
      <c r="GP132" t="e">
        <f>AND(Sheet1!H1776,"AAAAAFv6/8U=")</f>
        <v>#VALUE!</v>
      </c>
      <c r="GQ132" t="e">
        <f>AND(Sheet1!I1776,"AAAAAFv6/8Y=")</f>
        <v>#VALUE!</v>
      </c>
      <c r="GR132" t="e">
        <f>AND(Sheet1!J1776,"AAAAAFv6/8c=")</f>
        <v>#VALUE!</v>
      </c>
      <c r="GS132" t="e">
        <f>AND(Sheet1!K1776,"AAAAAFv6/8g=")</f>
        <v>#VALUE!</v>
      </c>
      <c r="GT132" t="e">
        <f>AND(Sheet1!L1776,"AAAAAFv6/8k=")</f>
        <v>#VALUE!</v>
      </c>
      <c r="GU132" t="e">
        <f>AND(Sheet1!M1776,"AAAAAFv6/8o=")</f>
        <v>#VALUE!</v>
      </c>
      <c r="GV132" t="e">
        <f>AND(Sheet1!N1776,"AAAAAFv6/8s=")</f>
        <v>#VALUE!</v>
      </c>
      <c r="GW132" t="e">
        <f>AND(Sheet1!#REF!,"AAAAAFv6/8w=")</f>
        <v>#REF!</v>
      </c>
      <c r="GX132" t="e">
        <f>AND(Sheet1!#REF!,"AAAAAFv6/80=")</f>
        <v>#REF!</v>
      </c>
      <c r="GY132" t="e">
        <f>AND(Sheet1!#REF!,"AAAAAFv6/84=")</f>
        <v>#REF!</v>
      </c>
      <c r="GZ132" t="e">
        <f>AND(Sheet1!#REF!,"AAAAAFv6/88=")</f>
        <v>#REF!</v>
      </c>
      <c r="HA132">
        <f>IF(Sheet1!1777:1777,"AAAAAFv6/9A=",0)</f>
        <v>0</v>
      </c>
      <c r="HB132" t="e">
        <f>AND(Sheet1!A1777,"AAAAAFv6/9E=")</f>
        <v>#VALUE!</v>
      </c>
      <c r="HC132" t="e">
        <f>AND(Sheet1!B1777,"AAAAAFv6/9I=")</f>
        <v>#VALUE!</v>
      </c>
      <c r="HD132" t="e">
        <f>AND(Sheet1!C1777,"AAAAAFv6/9M=")</f>
        <v>#VALUE!</v>
      </c>
      <c r="HE132" t="e">
        <f>AND(Sheet1!D1777,"AAAAAFv6/9Q=")</f>
        <v>#VALUE!</v>
      </c>
      <c r="HF132" t="e">
        <f>AND(Sheet1!E1777,"AAAAAFv6/9U=")</f>
        <v>#VALUE!</v>
      </c>
      <c r="HG132" t="e">
        <f>AND(Sheet1!F1777,"AAAAAFv6/9Y=")</f>
        <v>#VALUE!</v>
      </c>
      <c r="HH132" t="e">
        <f>AND(Sheet1!G1777,"AAAAAFv6/9c=")</f>
        <v>#VALUE!</v>
      </c>
      <c r="HI132" t="e">
        <f>AND(Sheet1!H1777,"AAAAAFv6/9g=")</f>
        <v>#VALUE!</v>
      </c>
      <c r="HJ132" t="e">
        <f>AND(Sheet1!I1777,"AAAAAFv6/9k=")</f>
        <v>#VALUE!</v>
      </c>
      <c r="HK132" t="e">
        <f>AND(Sheet1!J1777,"AAAAAFv6/9o=")</f>
        <v>#VALUE!</v>
      </c>
      <c r="HL132" t="e">
        <f>AND(Sheet1!K1777,"AAAAAFv6/9s=")</f>
        <v>#VALUE!</v>
      </c>
      <c r="HM132" t="e">
        <f>AND(Sheet1!L1777,"AAAAAFv6/9w=")</f>
        <v>#VALUE!</v>
      </c>
      <c r="HN132" t="e">
        <f>AND(Sheet1!M1777,"AAAAAFv6/90=")</f>
        <v>#VALUE!</v>
      </c>
      <c r="HO132" t="e">
        <f>AND(Sheet1!N1777,"AAAAAFv6/94=")</f>
        <v>#VALUE!</v>
      </c>
      <c r="HP132" t="e">
        <f>AND(Sheet1!#REF!,"AAAAAFv6/98=")</f>
        <v>#REF!</v>
      </c>
      <c r="HQ132" t="e">
        <f>AND(Sheet1!#REF!,"AAAAAFv6/+A=")</f>
        <v>#REF!</v>
      </c>
      <c r="HR132" t="e">
        <f>AND(Sheet1!#REF!,"AAAAAFv6/+E=")</f>
        <v>#REF!</v>
      </c>
      <c r="HS132" t="e">
        <f>AND(Sheet1!#REF!,"AAAAAFv6/+I=")</f>
        <v>#REF!</v>
      </c>
      <c r="HT132">
        <f>IF(Sheet1!1778:1778,"AAAAAFv6/+M=",0)</f>
        <v>0</v>
      </c>
      <c r="HU132" t="e">
        <f>AND(Sheet1!A1778,"AAAAAFv6/+Q=")</f>
        <v>#VALUE!</v>
      </c>
      <c r="HV132" t="e">
        <f>AND(Sheet1!B1778,"AAAAAFv6/+U=")</f>
        <v>#VALUE!</v>
      </c>
      <c r="HW132" t="e">
        <f>AND(Sheet1!C1778,"AAAAAFv6/+Y=")</f>
        <v>#VALUE!</v>
      </c>
      <c r="HX132" t="e">
        <f>AND(Sheet1!D1778,"AAAAAFv6/+c=")</f>
        <v>#VALUE!</v>
      </c>
      <c r="HY132" t="e">
        <f>AND(Sheet1!E1778,"AAAAAFv6/+g=")</f>
        <v>#VALUE!</v>
      </c>
      <c r="HZ132" t="e">
        <f>AND(Sheet1!F1778,"AAAAAFv6/+k=")</f>
        <v>#VALUE!</v>
      </c>
      <c r="IA132" t="e">
        <f>AND(Sheet1!G1778,"AAAAAFv6/+o=")</f>
        <v>#VALUE!</v>
      </c>
      <c r="IB132" t="e">
        <f>AND(Sheet1!H1778,"AAAAAFv6/+s=")</f>
        <v>#VALUE!</v>
      </c>
      <c r="IC132" t="e">
        <f>AND(Sheet1!I1778,"AAAAAFv6/+w=")</f>
        <v>#VALUE!</v>
      </c>
      <c r="ID132" t="e">
        <f>AND(Sheet1!J1778,"AAAAAFv6/+0=")</f>
        <v>#VALUE!</v>
      </c>
      <c r="IE132" t="e">
        <f>AND(Sheet1!K1778,"AAAAAFv6/+4=")</f>
        <v>#VALUE!</v>
      </c>
      <c r="IF132" t="e">
        <f>AND(Sheet1!L1778,"AAAAAFv6/+8=")</f>
        <v>#VALUE!</v>
      </c>
      <c r="IG132" t="e">
        <f>AND(Sheet1!M1778,"AAAAAFv6//A=")</f>
        <v>#VALUE!</v>
      </c>
      <c r="IH132" t="e">
        <f>AND(Sheet1!N1778,"AAAAAFv6//E=")</f>
        <v>#VALUE!</v>
      </c>
      <c r="II132" t="e">
        <f>AND(Sheet1!#REF!,"AAAAAFv6//I=")</f>
        <v>#REF!</v>
      </c>
      <c r="IJ132" t="e">
        <f>AND(Sheet1!#REF!,"AAAAAFv6//M=")</f>
        <v>#REF!</v>
      </c>
      <c r="IK132" t="e">
        <f>AND(Sheet1!#REF!,"AAAAAFv6//Q=")</f>
        <v>#REF!</v>
      </c>
      <c r="IL132" t="e">
        <f>AND(Sheet1!#REF!,"AAAAAFv6//U=")</f>
        <v>#REF!</v>
      </c>
      <c r="IM132">
        <f>IF(Sheet1!1779:1779,"AAAAAFv6//Y=",0)</f>
        <v>0</v>
      </c>
      <c r="IN132" t="e">
        <f>AND(Sheet1!A1779,"AAAAAFv6//c=")</f>
        <v>#VALUE!</v>
      </c>
      <c r="IO132" t="e">
        <f>AND(Sheet1!B1779,"AAAAAFv6//g=")</f>
        <v>#VALUE!</v>
      </c>
      <c r="IP132" t="e">
        <f>AND(Sheet1!C1779,"AAAAAFv6//k=")</f>
        <v>#VALUE!</v>
      </c>
      <c r="IQ132" t="e">
        <f>AND(Sheet1!D1779,"AAAAAFv6//o=")</f>
        <v>#VALUE!</v>
      </c>
      <c r="IR132" t="e">
        <f>AND(Sheet1!E1779,"AAAAAFv6//s=")</f>
        <v>#VALUE!</v>
      </c>
      <c r="IS132" t="e">
        <f>AND(Sheet1!F1779,"AAAAAFv6//w=")</f>
        <v>#VALUE!</v>
      </c>
      <c r="IT132" t="e">
        <f>AND(Sheet1!G1779,"AAAAAFv6//0=")</f>
        <v>#VALUE!</v>
      </c>
      <c r="IU132" t="e">
        <f>AND(Sheet1!H1779,"AAAAAFv6//4=")</f>
        <v>#VALUE!</v>
      </c>
      <c r="IV132" t="e">
        <f>AND(Sheet1!I1779,"AAAAAFv6//8=")</f>
        <v>#VALUE!</v>
      </c>
    </row>
    <row r="133" spans="1:256" x14ac:dyDescent="0.2">
      <c r="A133" t="e">
        <f>AND(Sheet1!J1779,"AAAAAC79VgA=")</f>
        <v>#VALUE!</v>
      </c>
      <c r="B133" t="e">
        <f>AND(Sheet1!K1779,"AAAAAC79VgE=")</f>
        <v>#VALUE!</v>
      </c>
      <c r="C133" t="e">
        <f>AND(Sheet1!L1779,"AAAAAC79VgI=")</f>
        <v>#VALUE!</v>
      </c>
      <c r="D133" t="e">
        <f>AND(Sheet1!M1779,"AAAAAC79VgM=")</f>
        <v>#VALUE!</v>
      </c>
      <c r="E133" t="e">
        <f>AND(Sheet1!N1779,"AAAAAC79VgQ=")</f>
        <v>#VALUE!</v>
      </c>
      <c r="F133" t="e">
        <f>AND(Sheet1!#REF!,"AAAAAC79VgU=")</f>
        <v>#REF!</v>
      </c>
      <c r="G133" t="e">
        <f>AND(Sheet1!#REF!,"AAAAAC79VgY=")</f>
        <v>#REF!</v>
      </c>
      <c r="H133" t="e">
        <f>AND(Sheet1!#REF!,"AAAAAC79Vgc=")</f>
        <v>#REF!</v>
      </c>
      <c r="I133" t="e">
        <f>AND(Sheet1!#REF!,"AAAAAC79Vgg=")</f>
        <v>#REF!</v>
      </c>
      <c r="J133" t="e">
        <f>IF(Sheet1!1780:1780,"AAAAAC79Vgk=",0)</f>
        <v>#VALUE!</v>
      </c>
      <c r="K133" t="e">
        <f>AND(Sheet1!A1780,"AAAAAC79Vgo=")</f>
        <v>#VALUE!</v>
      </c>
      <c r="L133" t="e">
        <f>AND(Sheet1!B1780,"AAAAAC79Vgs=")</f>
        <v>#VALUE!</v>
      </c>
      <c r="M133" t="e">
        <f>AND(Sheet1!C1780,"AAAAAC79Vgw=")</f>
        <v>#VALUE!</v>
      </c>
      <c r="N133" t="e">
        <f>AND(Sheet1!D1780,"AAAAAC79Vg0=")</f>
        <v>#VALUE!</v>
      </c>
      <c r="O133" t="e">
        <f>AND(Sheet1!E1780,"AAAAAC79Vg4=")</f>
        <v>#VALUE!</v>
      </c>
      <c r="P133" t="e">
        <f>AND(Sheet1!F1780,"AAAAAC79Vg8=")</f>
        <v>#VALUE!</v>
      </c>
      <c r="Q133" t="e">
        <f>AND(Sheet1!G1780,"AAAAAC79VhA=")</f>
        <v>#VALUE!</v>
      </c>
      <c r="R133" t="e">
        <f>AND(Sheet1!H1780,"AAAAAC79VhE=")</f>
        <v>#VALUE!</v>
      </c>
      <c r="S133" t="e">
        <f>AND(Sheet1!I1780,"AAAAAC79VhI=")</f>
        <v>#VALUE!</v>
      </c>
      <c r="T133" t="e">
        <f>AND(Sheet1!J1780,"AAAAAC79VhM=")</f>
        <v>#VALUE!</v>
      </c>
      <c r="U133" t="e">
        <f>AND(Sheet1!K1780,"AAAAAC79VhQ=")</f>
        <v>#VALUE!</v>
      </c>
      <c r="V133" t="e">
        <f>AND(Sheet1!L1780,"AAAAAC79VhU=")</f>
        <v>#VALUE!</v>
      </c>
      <c r="W133" t="e">
        <f>AND(Sheet1!M1780,"AAAAAC79VhY=")</f>
        <v>#VALUE!</v>
      </c>
      <c r="X133" t="e">
        <f>AND(Sheet1!N1780,"AAAAAC79Vhc=")</f>
        <v>#VALUE!</v>
      </c>
      <c r="Y133" t="e">
        <f>AND(Sheet1!#REF!,"AAAAAC79Vhg=")</f>
        <v>#REF!</v>
      </c>
      <c r="Z133" t="e">
        <f>AND(Sheet1!#REF!,"AAAAAC79Vhk=")</f>
        <v>#REF!</v>
      </c>
      <c r="AA133" t="e">
        <f>AND(Sheet1!#REF!,"AAAAAC79Vho=")</f>
        <v>#REF!</v>
      </c>
      <c r="AB133" t="e">
        <f>AND(Sheet1!#REF!,"AAAAAC79Vhs=")</f>
        <v>#REF!</v>
      </c>
      <c r="AC133">
        <f>IF(Sheet1!1781:1781,"AAAAAC79Vhw=",0)</f>
        <v>0</v>
      </c>
      <c r="AD133" t="e">
        <f>AND(Sheet1!A1781,"AAAAAC79Vh0=")</f>
        <v>#VALUE!</v>
      </c>
      <c r="AE133" t="e">
        <f>AND(Sheet1!B1781,"AAAAAC79Vh4=")</f>
        <v>#VALUE!</v>
      </c>
      <c r="AF133" t="e">
        <f>AND(Sheet1!C1781,"AAAAAC79Vh8=")</f>
        <v>#VALUE!</v>
      </c>
      <c r="AG133" t="e">
        <f>AND(Sheet1!D1781,"AAAAAC79ViA=")</f>
        <v>#VALUE!</v>
      </c>
      <c r="AH133" t="e">
        <f>AND(Sheet1!E1781,"AAAAAC79ViE=")</f>
        <v>#VALUE!</v>
      </c>
      <c r="AI133" t="e">
        <f>AND(Sheet1!F1781,"AAAAAC79ViI=")</f>
        <v>#VALUE!</v>
      </c>
      <c r="AJ133" t="e">
        <f>AND(Sheet1!G1781,"AAAAAC79ViM=")</f>
        <v>#VALUE!</v>
      </c>
      <c r="AK133" t="e">
        <f>AND(Sheet1!H1781,"AAAAAC79ViQ=")</f>
        <v>#VALUE!</v>
      </c>
      <c r="AL133" t="e">
        <f>AND(Sheet1!I1781,"AAAAAC79ViU=")</f>
        <v>#VALUE!</v>
      </c>
      <c r="AM133" t="e">
        <f>AND(Sheet1!J1781,"AAAAAC79ViY=")</f>
        <v>#VALUE!</v>
      </c>
      <c r="AN133" t="e">
        <f>AND(Sheet1!K1781,"AAAAAC79Vic=")</f>
        <v>#VALUE!</v>
      </c>
      <c r="AO133" t="e">
        <f>AND(Sheet1!L1781,"AAAAAC79Vig=")</f>
        <v>#VALUE!</v>
      </c>
      <c r="AP133" t="e">
        <f>AND(Sheet1!M1781,"AAAAAC79Vik=")</f>
        <v>#VALUE!</v>
      </c>
      <c r="AQ133" t="e">
        <f>AND(Sheet1!N1781,"AAAAAC79Vio=")</f>
        <v>#VALUE!</v>
      </c>
      <c r="AR133" t="e">
        <f>AND(Sheet1!#REF!,"AAAAAC79Vis=")</f>
        <v>#REF!</v>
      </c>
      <c r="AS133" t="e">
        <f>AND(Sheet1!#REF!,"AAAAAC79Viw=")</f>
        <v>#REF!</v>
      </c>
      <c r="AT133" t="e">
        <f>AND(Sheet1!#REF!,"AAAAAC79Vi0=")</f>
        <v>#REF!</v>
      </c>
      <c r="AU133" t="e">
        <f>AND(Sheet1!#REF!,"AAAAAC79Vi4=")</f>
        <v>#REF!</v>
      </c>
      <c r="AV133">
        <f>IF(Sheet1!1782:1782,"AAAAAC79Vi8=",0)</f>
        <v>0</v>
      </c>
      <c r="AW133" t="e">
        <f>AND(Sheet1!A1782,"AAAAAC79VjA=")</f>
        <v>#VALUE!</v>
      </c>
      <c r="AX133" t="e">
        <f>AND(Sheet1!B1782,"AAAAAC79VjE=")</f>
        <v>#VALUE!</v>
      </c>
      <c r="AY133" t="e">
        <f>AND(Sheet1!C1782,"AAAAAC79VjI=")</f>
        <v>#VALUE!</v>
      </c>
      <c r="AZ133" t="e">
        <f>AND(Sheet1!D1782,"AAAAAC79VjM=")</f>
        <v>#VALUE!</v>
      </c>
      <c r="BA133" t="e">
        <f>AND(Sheet1!E1782,"AAAAAC79VjQ=")</f>
        <v>#VALUE!</v>
      </c>
      <c r="BB133" t="e">
        <f>AND(Sheet1!F1782,"AAAAAC79VjU=")</f>
        <v>#VALUE!</v>
      </c>
      <c r="BC133" t="e">
        <f>AND(Sheet1!G1782,"AAAAAC79VjY=")</f>
        <v>#VALUE!</v>
      </c>
      <c r="BD133" t="e">
        <f>AND(Sheet1!H1782,"AAAAAC79Vjc=")</f>
        <v>#VALUE!</v>
      </c>
      <c r="BE133" t="e">
        <f>AND(Sheet1!I1782,"AAAAAC79Vjg=")</f>
        <v>#VALUE!</v>
      </c>
      <c r="BF133" t="e">
        <f>AND(Sheet1!J1782,"AAAAAC79Vjk=")</f>
        <v>#VALUE!</v>
      </c>
      <c r="BG133" t="e">
        <f>AND(Sheet1!K1782,"AAAAAC79Vjo=")</f>
        <v>#VALUE!</v>
      </c>
      <c r="BH133" t="e">
        <f>AND(Sheet1!L1782,"AAAAAC79Vjs=")</f>
        <v>#VALUE!</v>
      </c>
      <c r="BI133" t="e">
        <f>AND(Sheet1!M1782,"AAAAAC79Vjw=")</f>
        <v>#VALUE!</v>
      </c>
      <c r="BJ133" t="e">
        <f>AND(Sheet1!N1782,"AAAAAC79Vj0=")</f>
        <v>#VALUE!</v>
      </c>
      <c r="BK133" t="e">
        <f>AND(Sheet1!#REF!,"AAAAAC79Vj4=")</f>
        <v>#REF!</v>
      </c>
      <c r="BL133" t="e">
        <f>AND(Sheet1!#REF!,"AAAAAC79Vj8=")</f>
        <v>#REF!</v>
      </c>
      <c r="BM133" t="e">
        <f>AND(Sheet1!#REF!,"AAAAAC79VkA=")</f>
        <v>#REF!</v>
      </c>
      <c r="BN133" t="e">
        <f>AND(Sheet1!#REF!,"AAAAAC79VkE=")</f>
        <v>#REF!</v>
      </c>
      <c r="BO133">
        <f>IF(Sheet1!1783:1783,"AAAAAC79VkI=",0)</f>
        <v>0</v>
      </c>
      <c r="BP133" t="e">
        <f>AND(Sheet1!A1783,"AAAAAC79VkM=")</f>
        <v>#VALUE!</v>
      </c>
      <c r="BQ133" t="e">
        <f>AND(Sheet1!B1783,"AAAAAC79VkQ=")</f>
        <v>#VALUE!</v>
      </c>
      <c r="BR133" t="e">
        <f>AND(Sheet1!C1783,"AAAAAC79VkU=")</f>
        <v>#VALUE!</v>
      </c>
      <c r="BS133" t="e">
        <f>AND(Sheet1!D1783,"AAAAAC79VkY=")</f>
        <v>#VALUE!</v>
      </c>
      <c r="BT133" t="e">
        <f>AND(Sheet1!E1783,"AAAAAC79Vkc=")</f>
        <v>#VALUE!</v>
      </c>
      <c r="BU133" t="e">
        <f>AND(Sheet1!F1783,"AAAAAC79Vkg=")</f>
        <v>#VALUE!</v>
      </c>
      <c r="BV133" t="e">
        <f>AND(Sheet1!G1783,"AAAAAC79Vkk=")</f>
        <v>#VALUE!</v>
      </c>
      <c r="BW133" t="e">
        <f>AND(Sheet1!H1783,"AAAAAC79Vko=")</f>
        <v>#VALUE!</v>
      </c>
      <c r="BX133" t="e">
        <f>AND(Sheet1!I1783,"AAAAAC79Vks=")</f>
        <v>#VALUE!</v>
      </c>
      <c r="BY133" t="e">
        <f>AND(Sheet1!J1783,"AAAAAC79Vkw=")</f>
        <v>#VALUE!</v>
      </c>
      <c r="BZ133" t="e">
        <f>AND(Sheet1!K1783,"AAAAAC79Vk0=")</f>
        <v>#VALUE!</v>
      </c>
      <c r="CA133" t="e">
        <f>AND(Sheet1!L1783,"AAAAAC79Vk4=")</f>
        <v>#VALUE!</v>
      </c>
      <c r="CB133" t="e">
        <f>AND(Sheet1!M1783,"AAAAAC79Vk8=")</f>
        <v>#VALUE!</v>
      </c>
      <c r="CC133" t="e">
        <f>AND(Sheet1!N1783,"AAAAAC79VlA=")</f>
        <v>#VALUE!</v>
      </c>
      <c r="CD133" t="e">
        <f>AND(Sheet1!#REF!,"AAAAAC79VlE=")</f>
        <v>#REF!</v>
      </c>
      <c r="CE133" t="e">
        <f>AND(Sheet1!#REF!,"AAAAAC79VlI=")</f>
        <v>#REF!</v>
      </c>
      <c r="CF133" t="e">
        <f>AND(Sheet1!#REF!,"AAAAAC79VlM=")</f>
        <v>#REF!</v>
      </c>
      <c r="CG133" t="e">
        <f>AND(Sheet1!#REF!,"AAAAAC79VlQ=")</f>
        <v>#REF!</v>
      </c>
      <c r="CH133">
        <f>IF(Sheet1!1784:1784,"AAAAAC79VlU=",0)</f>
        <v>0</v>
      </c>
      <c r="CI133" t="e">
        <f>AND(Sheet1!A1784,"AAAAAC79VlY=")</f>
        <v>#VALUE!</v>
      </c>
      <c r="CJ133" t="e">
        <f>AND(Sheet1!B1784,"AAAAAC79Vlc=")</f>
        <v>#VALUE!</v>
      </c>
      <c r="CK133" t="e">
        <f>AND(Sheet1!C1784,"AAAAAC79Vlg=")</f>
        <v>#VALUE!</v>
      </c>
      <c r="CL133" t="e">
        <f>AND(Sheet1!D1784,"AAAAAC79Vlk=")</f>
        <v>#VALUE!</v>
      </c>
      <c r="CM133" t="e">
        <f>AND(Sheet1!E1784,"AAAAAC79Vlo=")</f>
        <v>#VALUE!</v>
      </c>
      <c r="CN133" t="e">
        <f>AND(Sheet1!F1784,"AAAAAC79Vls=")</f>
        <v>#VALUE!</v>
      </c>
      <c r="CO133" t="e">
        <f>AND(Sheet1!G1784,"AAAAAC79Vlw=")</f>
        <v>#VALUE!</v>
      </c>
      <c r="CP133" t="e">
        <f>AND(Sheet1!H1784,"AAAAAC79Vl0=")</f>
        <v>#VALUE!</v>
      </c>
      <c r="CQ133" t="e">
        <f>AND(Sheet1!I1784,"AAAAAC79Vl4=")</f>
        <v>#VALUE!</v>
      </c>
      <c r="CR133" t="e">
        <f>AND(Sheet1!J1784,"AAAAAC79Vl8=")</f>
        <v>#VALUE!</v>
      </c>
      <c r="CS133" t="e">
        <f>AND(Sheet1!K1784,"AAAAAC79VmA=")</f>
        <v>#VALUE!</v>
      </c>
      <c r="CT133" t="e">
        <f>AND(Sheet1!L1784,"AAAAAC79VmE=")</f>
        <v>#VALUE!</v>
      </c>
      <c r="CU133" t="e">
        <f>AND(Sheet1!M1784,"AAAAAC79VmI=")</f>
        <v>#VALUE!</v>
      </c>
      <c r="CV133" t="e">
        <f>AND(Sheet1!N1784,"AAAAAC79VmM=")</f>
        <v>#VALUE!</v>
      </c>
      <c r="CW133" t="e">
        <f>AND(Sheet1!#REF!,"AAAAAC79VmQ=")</f>
        <v>#REF!</v>
      </c>
      <c r="CX133" t="e">
        <f>AND(Sheet1!#REF!,"AAAAAC79VmU=")</f>
        <v>#REF!</v>
      </c>
      <c r="CY133" t="e">
        <f>AND(Sheet1!#REF!,"AAAAAC79VmY=")</f>
        <v>#REF!</v>
      </c>
      <c r="CZ133" t="e">
        <f>AND(Sheet1!#REF!,"AAAAAC79Vmc=")</f>
        <v>#REF!</v>
      </c>
      <c r="DA133">
        <f>IF(Sheet1!1785:1785,"AAAAAC79Vmg=",0)</f>
        <v>0</v>
      </c>
      <c r="DB133" t="e">
        <f>AND(Sheet1!A1785,"AAAAAC79Vmk=")</f>
        <v>#VALUE!</v>
      </c>
      <c r="DC133" t="e">
        <f>AND(Sheet1!B1785,"AAAAAC79Vmo=")</f>
        <v>#VALUE!</v>
      </c>
      <c r="DD133" t="e">
        <f>AND(Sheet1!C1785,"AAAAAC79Vms=")</f>
        <v>#VALUE!</v>
      </c>
      <c r="DE133" t="e">
        <f>AND(Sheet1!D1785,"AAAAAC79Vmw=")</f>
        <v>#VALUE!</v>
      </c>
      <c r="DF133" t="e">
        <f>AND(Sheet1!E1785,"AAAAAC79Vm0=")</f>
        <v>#VALUE!</v>
      </c>
      <c r="DG133" t="e">
        <f>AND(Sheet1!F1785,"AAAAAC79Vm4=")</f>
        <v>#VALUE!</v>
      </c>
      <c r="DH133" t="e">
        <f>AND(Sheet1!G1785,"AAAAAC79Vm8=")</f>
        <v>#VALUE!</v>
      </c>
      <c r="DI133" t="e">
        <f>AND(Sheet1!H1785,"AAAAAC79VnA=")</f>
        <v>#VALUE!</v>
      </c>
      <c r="DJ133" t="e">
        <f>AND(Sheet1!I1785,"AAAAAC79VnE=")</f>
        <v>#VALUE!</v>
      </c>
      <c r="DK133" t="e">
        <f>AND(Sheet1!J1785,"AAAAAC79VnI=")</f>
        <v>#VALUE!</v>
      </c>
      <c r="DL133" t="e">
        <f>AND(Sheet1!K1785,"AAAAAC79VnM=")</f>
        <v>#VALUE!</v>
      </c>
      <c r="DM133" t="e">
        <f>AND(Sheet1!L1785,"AAAAAC79VnQ=")</f>
        <v>#VALUE!</v>
      </c>
      <c r="DN133" t="e">
        <f>AND(Sheet1!M1785,"AAAAAC79VnU=")</f>
        <v>#VALUE!</v>
      </c>
      <c r="DO133" t="e">
        <f>AND(Sheet1!N1785,"AAAAAC79VnY=")</f>
        <v>#VALUE!</v>
      </c>
      <c r="DP133" t="e">
        <f>AND(Sheet1!#REF!,"AAAAAC79Vnc=")</f>
        <v>#REF!</v>
      </c>
      <c r="DQ133" t="e">
        <f>AND(Sheet1!#REF!,"AAAAAC79Vng=")</f>
        <v>#REF!</v>
      </c>
      <c r="DR133" t="e">
        <f>AND(Sheet1!#REF!,"AAAAAC79Vnk=")</f>
        <v>#REF!</v>
      </c>
      <c r="DS133" t="e">
        <f>AND(Sheet1!#REF!,"AAAAAC79Vno=")</f>
        <v>#REF!</v>
      </c>
      <c r="DT133">
        <f>IF(Sheet1!1786:1786,"AAAAAC79Vns=",0)</f>
        <v>0</v>
      </c>
      <c r="DU133" t="e">
        <f>AND(Sheet1!A1786,"AAAAAC79Vnw=")</f>
        <v>#VALUE!</v>
      </c>
      <c r="DV133" t="e">
        <f>AND(Sheet1!B1786,"AAAAAC79Vn0=")</f>
        <v>#VALUE!</v>
      </c>
      <c r="DW133" t="e">
        <f>AND(Sheet1!C1786,"AAAAAC79Vn4=")</f>
        <v>#VALUE!</v>
      </c>
      <c r="DX133" t="e">
        <f>AND(Sheet1!D1786,"AAAAAC79Vn8=")</f>
        <v>#VALUE!</v>
      </c>
      <c r="DY133" t="e">
        <f>AND(Sheet1!E1786,"AAAAAC79VoA=")</f>
        <v>#VALUE!</v>
      </c>
      <c r="DZ133" t="e">
        <f>AND(Sheet1!F1786,"AAAAAC79VoE=")</f>
        <v>#VALUE!</v>
      </c>
      <c r="EA133" t="e">
        <f>AND(Sheet1!G1786,"AAAAAC79VoI=")</f>
        <v>#VALUE!</v>
      </c>
      <c r="EB133" t="e">
        <f>AND(Sheet1!H1786,"AAAAAC79VoM=")</f>
        <v>#VALUE!</v>
      </c>
      <c r="EC133" t="e">
        <f>AND(Sheet1!I1786,"AAAAAC79VoQ=")</f>
        <v>#VALUE!</v>
      </c>
      <c r="ED133" t="e">
        <f>AND(Sheet1!J1786,"AAAAAC79VoU=")</f>
        <v>#VALUE!</v>
      </c>
      <c r="EE133" t="e">
        <f>AND(Sheet1!K1786,"AAAAAC79VoY=")</f>
        <v>#VALUE!</v>
      </c>
      <c r="EF133" t="e">
        <f>AND(Sheet1!L1786,"AAAAAC79Voc=")</f>
        <v>#VALUE!</v>
      </c>
      <c r="EG133" t="e">
        <f>AND(Sheet1!M1786,"AAAAAC79Vog=")</f>
        <v>#VALUE!</v>
      </c>
      <c r="EH133" t="e">
        <f>AND(Sheet1!N1786,"AAAAAC79Vok=")</f>
        <v>#VALUE!</v>
      </c>
      <c r="EI133" t="e">
        <f>AND(Sheet1!#REF!,"AAAAAC79Voo=")</f>
        <v>#REF!</v>
      </c>
      <c r="EJ133" t="e">
        <f>AND(Sheet1!#REF!,"AAAAAC79Vos=")</f>
        <v>#REF!</v>
      </c>
      <c r="EK133" t="e">
        <f>AND(Sheet1!#REF!,"AAAAAC79Vow=")</f>
        <v>#REF!</v>
      </c>
      <c r="EL133" t="e">
        <f>AND(Sheet1!#REF!,"AAAAAC79Vo0=")</f>
        <v>#REF!</v>
      </c>
      <c r="EM133">
        <f>IF(Sheet1!1787:1787,"AAAAAC79Vo4=",0)</f>
        <v>0</v>
      </c>
      <c r="EN133" t="e">
        <f>AND(Sheet1!A1787,"AAAAAC79Vo8=")</f>
        <v>#VALUE!</v>
      </c>
      <c r="EO133" t="e">
        <f>AND(Sheet1!B1787,"AAAAAC79VpA=")</f>
        <v>#VALUE!</v>
      </c>
      <c r="EP133" t="e">
        <f>AND(Sheet1!C1787,"AAAAAC79VpE=")</f>
        <v>#VALUE!</v>
      </c>
      <c r="EQ133" t="e">
        <f>AND(Sheet1!D1787,"AAAAAC79VpI=")</f>
        <v>#VALUE!</v>
      </c>
      <c r="ER133" t="e">
        <f>AND(Sheet1!E1787,"AAAAAC79VpM=")</f>
        <v>#VALUE!</v>
      </c>
      <c r="ES133" t="e">
        <f>AND(Sheet1!F1787,"AAAAAC79VpQ=")</f>
        <v>#VALUE!</v>
      </c>
      <c r="ET133" t="e">
        <f>AND(Sheet1!G1787,"AAAAAC79VpU=")</f>
        <v>#VALUE!</v>
      </c>
      <c r="EU133" t="e">
        <f>AND(Sheet1!H1787,"AAAAAC79VpY=")</f>
        <v>#VALUE!</v>
      </c>
      <c r="EV133" t="e">
        <f>AND(Sheet1!I1787,"AAAAAC79Vpc=")</f>
        <v>#VALUE!</v>
      </c>
      <c r="EW133" t="e">
        <f>AND(Sheet1!J1787,"AAAAAC79Vpg=")</f>
        <v>#VALUE!</v>
      </c>
      <c r="EX133" t="e">
        <f>AND(Sheet1!K1787,"AAAAAC79Vpk=")</f>
        <v>#VALUE!</v>
      </c>
      <c r="EY133" t="e">
        <f>AND(Sheet1!L1787,"AAAAAC79Vpo=")</f>
        <v>#VALUE!</v>
      </c>
      <c r="EZ133" t="e">
        <f>AND(Sheet1!M1787,"AAAAAC79Vps=")</f>
        <v>#VALUE!</v>
      </c>
      <c r="FA133" t="e">
        <f>AND(Sheet1!N1787,"AAAAAC79Vpw=")</f>
        <v>#VALUE!</v>
      </c>
      <c r="FB133" t="e">
        <f>AND(Sheet1!#REF!,"AAAAAC79Vp0=")</f>
        <v>#REF!</v>
      </c>
      <c r="FC133" t="e">
        <f>AND(Sheet1!#REF!,"AAAAAC79Vp4=")</f>
        <v>#REF!</v>
      </c>
      <c r="FD133" t="e">
        <f>AND(Sheet1!#REF!,"AAAAAC79Vp8=")</f>
        <v>#REF!</v>
      </c>
      <c r="FE133" t="e">
        <f>AND(Sheet1!#REF!,"AAAAAC79VqA=")</f>
        <v>#REF!</v>
      </c>
      <c r="FF133">
        <f>IF(Sheet1!1788:1788,"AAAAAC79VqE=",0)</f>
        <v>0</v>
      </c>
      <c r="FG133" t="e">
        <f>AND(Sheet1!A1788,"AAAAAC79VqI=")</f>
        <v>#VALUE!</v>
      </c>
      <c r="FH133" t="e">
        <f>AND(Sheet1!B1788,"AAAAAC79VqM=")</f>
        <v>#VALUE!</v>
      </c>
      <c r="FI133" t="e">
        <f>AND(Sheet1!C1788,"AAAAAC79VqQ=")</f>
        <v>#VALUE!</v>
      </c>
      <c r="FJ133" t="e">
        <f>AND(Sheet1!D1788,"AAAAAC79VqU=")</f>
        <v>#VALUE!</v>
      </c>
      <c r="FK133" t="e">
        <f>AND(Sheet1!E1788,"AAAAAC79VqY=")</f>
        <v>#VALUE!</v>
      </c>
      <c r="FL133" t="e">
        <f>AND(Sheet1!F1788,"AAAAAC79Vqc=")</f>
        <v>#VALUE!</v>
      </c>
      <c r="FM133" t="e">
        <f>AND(Sheet1!G1788,"AAAAAC79Vqg=")</f>
        <v>#VALUE!</v>
      </c>
      <c r="FN133" t="e">
        <f>AND(Sheet1!H1788,"AAAAAC79Vqk=")</f>
        <v>#VALUE!</v>
      </c>
      <c r="FO133" t="e">
        <f>AND(Sheet1!I1788,"AAAAAC79Vqo=")</f>
        <v>#VALUE!</v>
      </c>
      <c r="FP133" t="e">
        <f>AND(Sheet1!J1788,"AAAAAC79Vqs=")</f>
        <v>#VALUE!</v>
      </c>
      <c r="FQ133" t="e">
        <f>AND(Sheet1!K1788,"AAAAAC79Vqw=")</f>
        <v>#VALUE!</v>
      </c>
      <c r="FR133" t="e">
        <f>AND(Sheet1!L1788,"AAAAAC79Vq0=")</f>
        <v>#VALUE!</v>
      </c>
      <c r="FS133" t="e">
        <f>AND(Sheet1!M1788,"AAAAAC79Vq4=")</f>
        <v>#VALUE!</v>
      </c>
      <c r="FT133" t="e">
        <f>AND(Sheet1!N1788,"AAAAAC79Vq8=")</f>
        <v>#VALUE!</v>
      </c>
      <c r="FU133" t="e">
        <f>AND(Sheet1!#REF!,"AAAAAC79VrA=")</f>
        <v>#REF!</v>
      </c>
      <c r="FV133" t="e">
        <f>AND(Sheet1!#REF!,"AAAAAC79VrE=")</f>
        <v>#REF!</v>
      </c>
      <c r="FW133" t="e">
        <f>AND(Sheet1!#REF!,"AAAAAC79VrI=")</f>
        <v>#REF!</v>
      </c>
      <c r="FX133" t="e">
        <f>AND(Sheet1!#REF!,"AAAAAC79VrM=")</f>
        <v>#REF!</v>
      </c>
      <c r="FY133">
        <f>IF(Sheet1!1789:1789,"AAAAAC79VrQ=",0)</f>
        <v>0</v>
      </c>
      <c r="FZ133" t="e">
        <f>AND(Sheet1!A1789,"AAAAAC79VrU=")</f>
        <v>#VALUE!</v>
      </c>
      <c r="GA133" t="e">
        <f>AND(Sheet1!B1789,"AAAAAC79VrY=")</f>
        <v>#VALUE!</v>
      </c>
      <c r="GB133" t="e">
        <f>AND(Sheet1!C1789,"AAAAAC79Vrc=")</f>
        <v>#VALUE!</v>
      </c>
      <c r="GC133" t="e">
        <f>AND(Sheet1!D1789,"AAAAAC79Vrg=")</f>
        <v>#VALUE!</v>
      </c>
      <c r="GD133" t="e">
        <f>AND(Sheet1!E1789,"AAAAAC79Vrk=")</f>
        <v>#VALUE!</v>
      </c>
      <c r="GE133" t="e">
        <f>AND(Sheet1!F1789,"AAAAAC79Vro=")</f>
        <v>#VALUE!</v>
      </c>
      <c r="GF133" t="e">
        <f>AND(Sheet1!G1789,"AAAAAC79Vrs=")</f>
        <v>#VALUE!</v>
      </c>
      <c r="GG133" t="e">
        <f>AND(Sheet1!H1789,"AAAAAC79Vrw=")</f>
        <v>#VALUE!</v>
      </c>
      <c r="GH133" t="e">
        <f>AND(Sheet1!I1789,"AAAAAC79Vr0=")</f>
        <v>#VALUE!</v>
      </c>
      <c r="GI133" t="e">
        <f>AND(Sheet1!J1789,"AAAAAC79Vr4=")</f>
        <v>#VALUE!</v>
      </c>
      <c r="GJ133" t="e">
        <f>AND(Sheet1!K1789,"AAAAAC79Vr8=")</f>
        <v>#VALUE!</v>
      </c>
      <c r="GK133" t="e">
        <f>AND(Sheet1!L1789,"AAAAAC79VsA=")</f>
        <v>#VALUE!</v>
      </c>
      <c r="GL133" t="e">
        <f>AND(Sheet1!M1789,"AAAAAC79VsE=")</f>
        <v>#VALUE!</v>
      </c>
      <c r="GM133" t="e">
        <f>AND(Sheet1!N1789,"AAAAAC79VsI=")</f>
        <v>#VALUE!</v>
      </c>
      <c r="GN133" t="e">
        <f>AND(Sheet1!#REF!,"AAAAAC79VsM=")</f>
        <v>#REF!</v>
      </c>
      <c r="GO133" t="e">
        <f>AND(Sheet1!#REF!,"AAAAAC79VsQ=")</f>
        <v>#REF!</v>
      </c>
      <c r="GP133" t="e">
        <f>AND(Sheet1!#REF!,"AAAAAC79VsU=")</f>
        <v>#REF!</v>
      </c>
      <c r="GQ133" t="e">
        <f>AND(Sheet1!#REF!,"AAAAAC79VsY=")</f>
        <v>#REF!</v>
      </c>
      <c r="GR133">
        <f>IF(Sheet1!1790:1790,"AAAAAC79Vsc=",0)</f>
        <v>0</v>
      </c>
      <c r="GS133" t="e">
        <f>AND(Sheet1!A1790,"AAAAAC79Vsg=")</f>
        <v>#VALUE!</v>
      </c>
      <c r="GT133" t="e">
        <f>AND(Sheet1!B1790,"AAAAAC79Vsk=")</f>
        <v>#VALUE!</v>
      </c>
      <c r="GU133" t="e">
        <f>AND(Sheet1!C1790,"AAAAAC79Vso=")</f>
        <v>#VALUE!</v>
      </c>
      <c r="GV133" t="e">
        <f>AND(Sheet1!D1790,"AAAAAC79Vss=")</f>
        <v>#VALUE!</v>
      </c>
      <c r="GW133" t="e">
        <f>AND(Sheet1!E1790,"AAAAAC79Vsw=")</f>
        <v>#VALUE!</v>
      </c>
      <c r="GX133" t="e">
        <f>AND(Sheet1!F1790,"AAAAAC79Vs0=")</f>
        <v>#VALUE!</v>
      </c>
      <c r="GY133" t="e">
        <f>AND(Sheet1!G1790,"AAAAAC79Vs4=")</f>
        <v>#VALUE!</v>
      </c>
      <c r="GZ133" t="e">
        <f>AND(Sheet1!H1790,"AAAAAC79Vs8=")</f>
        <v>#VALUE!</v>
      </c>
      <c r="HA133" t="e">
        <f>AND(Sheet1!I1790,"AAAAAC79VtA=")</f>
        <v>#VALUE!</v>
      </c>
      <c r="HB133" t="e">
        <f>AND(Sheet1!J1790,"AAAAAC79VtE=")</f>
        <v>#VALUE!</v>
      </c>
      <c r="HC133" t="e">
        <f>AND(Sheet1!K1790,"AAAAAC79VtI=")</f>
        <v>#VALUE!</v>
      </c>
      <c r="HD133" t="e">
        <f>AND(Sheet1!L1790,"AAAAAC79VtM=")</f>
        <v>#VALUE!</v>
      </c>
      <c r="HE133" t="e">
        <f>AND(Sheet1!M1790,"AAAAAC79VtQ=")</f>
        <v>#VALUE!</v>
      </c>
      <c r="HF133" t="e">
        <f>AND(Sheet1!N1790,"AAAAAC79VtU=")</f>
        <v>#VALUE!</v>
      </c>
      <c r="HG133" t="e">
        <f>AND(Sheet1!#REF!,"AAAAAC79VtY=")</f>
        <v>#REF!</v>
      </c>
      <c r="HH133" t="e">
        <f>AND(Sheet1!#REF!,"AAAAAC79Vtc=")</f>
        <v>#REF!</v>
      </c>
      <c r="HI133" t="e">
        <f>AND(Sheet1!#REF!,"AAAAAC79Vtg=")</f>
        <v>#REF!</v>
      </c>
      <c r="HJ133" t="e">
        <f>AND(Sheet1!#REF!,"AAAAAC79Vtk=")</f>
        <v>#REF!</v>
      </c>
      <c r="HK133">
        <f>IF(Sheet1!1791:1791,"AAAAAC79Vto=",0)</f>
        <v>0</v>
      </c>
      <c r="HL133" t="e">
        <f>AND(Sheet1!A1791,"AAAAAC79Vts=")</f>
        <v>#VALUE!</v>
      </c>
      <c r="HM133" t="e">
        <f>AND(Sheet1!B1791,"AAAAAC79Vtw=")</f>
        <v>#VALUE!</v>
      </c>
      <c r="HN133" t="e">
        <f>AND(Sheet1!C1791,"AAAAAC79Vt0=")</f>
        <v>#VALUE!</v>
      </c>
      <c r="HO133" t="e">
        <f>AND(Sheet1!D1791,"AAAAAC79Vt4=")</f>
        <v>#VALUE!</v>
      </c>
      <c r="HP133" t="e">
        <f>AND(Sheet1!E1791,"AAAAAC79Vt8=")</f>
        <v>#VALUE!</v>
      </c>
      <c r="HQ133" t="e">
        <f>AND(Sheet1!F1791,"AAAAAC79VuA=")</f>
        <v>#VALUE!</v>
      </c>
      <c r="HR133" t="e">
        <f>AND(Sheet1!G1791,"AAAAAC79VuE=")</f>
        <v>#VALUE!</v>
      </c>
      <c r="HS133" t="e">
        <f>AND(Sheet1!H1791,"AAAAAC79VuI=")</f>
        <v>#VALUE!</v>
      </c>
      <c r="HT133" t="e">
        <f>AND(Sheet1!I1791,"AAAAAC79VuM=")</f>
        <v>#VALUE!</v>
      </c>
      <c r="HU133" t="e">
        <f>AND(Sheet1!J1791,"AAAAAC79VuQ=")</f>
        <v>#VALUE!</v>
      </c>
      <c r="HV133" t="e">
        <f>AND(Sheet1!K1791,"AAAAAC79VuU=")</f>
        <v>#VALUE!</v>
      </c>
      <c r="HW133" t="e">
        <f>AND(Sheet1!L1791,"AAAAAC79VuY=")</f>
        <v>#VALUE!</v>
      </c>
      <c r="HX133" t="e">
        <f>AND(Sheet1!M1791,"AAAAAC79Vuc=")</f>
        <v>#VALUE!</v>
      </c>
      <c r="HY133" t="e">
        <f>AND(Sheet1!N1791,"AAAAAC79Vug=")</f>
        <v>#VALUE!</v>
      </c>
      <c r="HZ133" t="e">
        <f>AND(Sheet1!#REF!,"AAAAAC79Vuk=")</f>
        <v>#REF!</v>
      </c>
      <c r="IA133" t="e">
        <f>AND(Sheet1!#REF!,"AAAAAC79Vuo=")</f>
        <v>#REF!</v>
      </c>
      <c r="IB133" t="e">
        <f>AND(Sheet1!#REF!,"AAAAAC79Vus=")</f>
        <v>#REF!</v>
      </c>
      <c r="IC133" t="e">
        <f>AND(Sheet1!#REF!,"AAAAAC79Vuw=")</f>
        <v>#REF!</v>
      </c>
      <c r="ID133">
        <f>IF(Sheet1!1792:1792,"AAAAAC79Vu0=",0)</f>
        <v>0</v>
      </c>
      <c r="IE133" t="e">
        <f>AND(Sheet1!A1792,"AAAAAC79Vu4=")</f>
        <v>#VALUE!</v>
      </c>
      <c r="IF133" t="e">
        <f>AND(Sheet1!B1792,"AAAAAC79Vu8=")</f>
        <v>#VALUE!</v>
      </c>
      <c r="IG133" t="e">
        <f>AND(Sheet1!C1792,"AAAAAC79VvA=")</f>
        <v>#VALUE!</v>
      </c>
      <c r="IH133" t="e">
        <f>AND(Sheet1!D1792,"AAAAAC79VvE=")</f>
        <v>#VALUE!</v>
      </c>
      <c r="II133" t="e">
        <f>AND(Sheet1!E1792,"AAAAAC79VvI=")</f>
        <v>#VALUE!</v>
      </c>
      <c r="IJ133" t="e">
        <f>AND(Sheet1!F1792,"AAAAAC79VvM=")</f>
        <v>#VALUE!</v>
      </c>
      <c r="IK133" t="e">
        <f>AND(Sheet1!G1792,"AAAAAC79VvQ=")</f>
        <v>#VALUE!</v>
      </c>
      <c r="IL133" t="e">
        <f>AND(Sheet1!H1792,"AAAAAC79VvU=")</f>
        <v>#VALUE!</v>
      </c>
      <c r="IM133" t="e">
        <f>AND(Sheet1!I1792,"AAAAAC79VvY=")</f>
        <v>#VALUE!</v>
      </c>
      <c r="IN133" t="e">
        <f>AND(Sheet1!J1792,"AAAAAC79Vvc=")</f>
        <v>#VALUE!</v>
      </c>
      <c r="IO133" t="e">
        <f>AND(Sheet1!K1792,"AAAAAC79Vvg=")</f>
        <v>#VALUE!</v>
      </c>
      <c r="IP133" t="e">
        <f>AND(Sheet1!L1792,"AAAAAC79Vvk=")</f>
        <v>#VALUE!</v>
      </c>
      <c r="IQ133" t="e">
        <f>AND(Sheet1!M1792,"AAAAAC79Vvo=")</f>
        <v>#VALUE!</v>
      </c>
      <c r="IR133" t="e">
        <f>AND(Sheet1!N1792,"AAAAAC79Vvs=")</f>
        <v>#VALUE!</v>
      </c>
      <c r="IS133" t="e">
        <f>AND(Sheet1!#REF!,"AAAAAC79Vvw=")</f>
        <v>#REF!</v>
      </c>
      <c r="IT133" t="e">
        <f>AND(Sheet1!#REF!,"AAAAAC79Vv0=")</f>
        <v>#REF!</v>
      </c>
      <c r="IU133" t="e">
        <f>AND(Sheet1!#REF!,"AAAAAC79Vv4=")</f>
        <v>#REF!</v>
      </c>
      <c r="IV133" t="e">
        <f>AND(Sheet1!#REF!,"AAAAAC79Vv8=")</f>
        <v>#REF!</v>
      </c>
    </row>
    <row r="134" spans="1:256" x14ac:dyDescent="0.2">
      <c r="A134" t="e">
        <f>IF(Sheet1!1793:1793,"AAAAAFvt2wA=",0)</f>
        <v>#VALUE!</v>
      </c>
      <c r="B134" t="e">
        <f>AND(Sheet1!A1793,"AAAAAFvt2wE=")</f>
        <v>#VALUE!</v>
      </c>
      <c r="C134" t="e">
        <f>AND(Sheet1!B1793,"AAAAAFvt2wI=")</f>
        <v>#VALUE!</v>
      </c>
      <c r="D134" t="e">
        <f>AND(Sheet1!C1793,"AAAAAFvt2wM=")</f>
        <v>#VALUE!</v>
      </c>
      <c r="E134" t="e">
        <f>AND(Sheet1!D1793,"AAAAAFvt2wQ=")</f>
        <v>#VALUE!</v>
      </c>
      <c r="F134" t="e">
        <f>AND(Sheet1!E1793,"AAAAAFvt2wU=")</f>
        <v>#VALUE!</v>
      </c>
      <c r="G134" t="e">
        <f>AND(Sheet1!F1793,"AAAAAFvt2wY=")</f>
        <v>#VALUE!</v>
      </c>
      <c r="H134" t="e">
        <f>AND(Sheet1!G1793,"AAAAAFvt2wc=")</f>
        <v>#VALUE!</v>
      </c>
      <c r="I134" t="e">
        <f>AND(Sheet1!H1793,"AAAAAFvt2wg=")</f>
        <v>#VALUE!</v>
      </c>
      <c r="J134" t="e">
        <f>AND(Sheet1!I1793,"AAAAAFvt2wk=")</f>
        <v>#VALUE!</v>
      </c>
      <c r="K134" t="e">
        <f>AND(Sheet1!J1793,"AAAAAFvt2wo=")</f>
        <v>#VALUE!</v>
      </c>
      <c r="L134" t="e">
        <f>AND(Sheet1!K1793,"AAAAAFvt2ws=")</f>
        <v>#VALUE!</v>
      </c>
      <c r="M134" t="e">
        <f>AND(Sheet1!L1793,"AAAAAFvt2ww=")</f>
        <v>#VALUE!</v>
      </c>
      <c r="N134" t="e">
        <f>AND(Sheet1!M1793,"AAAAAFvt2w0=")</f>
        <v>#VALUE!</v>
      </c>
      <c r="O134" t="e">
        <f>AND(Sheet1!N1793,"AAAAAFvt2w4=")</f>
        <v>#VALUE!</v>
      </c>
      <c r="P134" t="e">
        <f>AND(Sheet1!#REF!,"AAAAAFvt2w8=")</f>
        <v>#REF!</v>
      </c>
      <c r="Q134" t="e">
        <f>AND(Sheet1!#REF!,"AAAAAFvt2xA=")</f>
        <v>#REF!</v>
      </c>
      <c r="R134" t="e">
        <f>AND(Sheet1!#REF!,"AAAAAFvt2xE=")</f>
        <v>#REF!</v>
      </c>
      <c r="S134" t="e">
        <f>AND(Sheet1!#REF!,"AAAAAFvt2xI=")</f>
        <v>#REF!</v>
      </c>
      <c r="T134">
        <f>IF(Sheet1!1794:1794,"AAAAAFvt2xM=",0)</f>
        <v>0</v>
      </c>
      <c r="U134" t="e">
        <f>AND(Sheet1!A1794,"AAAAAFvt2xQ=")</f>
        <v>#VALUE!</v>
      </c>
      <c r="V134" t="e">
        <f>AND(Sheet1!B1794,"AAAAAFvt2xU=")</f>
        <v>#VALUE!</v>
      </c>
      <c r="W134" t="e">
        <f>AND(Sheet1!C1794,"AAAAAFvt2xY=")</f>
        <v>#VALUE!</v>
      </c>
      <c r="X134" t="e">
        <f>AND(Sheet1!D1794,"AAAAAFvt2xc=")</f>
        <v>#VALUE!</v>
      </c>
      <c r="Y134" t="e">
        <f>AND(Sheet1!E1794,"AAAAAFvt2xg=")</f>
        <v>#VALUE!</v>
      </c>
      <c r="Z134" t="e">
        <f>AND(Sheet1!F1794,"AAAAAFvt2xk=")</f>
        <v>#VALUE!</v>
      </c>
      <c r="AA134" t="e">
        <f>AND(Sheet1!G1794,"AAAAAFvt2xo=")</f>
        <v>#VALUE!</v>
      </c>
      <c r="AB134" t="e">
        <f>AND(Sheet1!H1794,"AAAAAFvt2xs=")</f>
        <v>#VALUE!</v>
      </c>
      <c r="AC134" t="e">
        <f>AND(Sheet1!I1794,"AAAAAFvt2xw=")</f>
        <v>#VALUE!</v>
      </c>
      <c r="AD134" t="e">
        <f>AND(Sheet1!J1794,"AAAAAFvt2x0=")</f>
        <v>#VALUE!</v>
      </c>
      <c r="AE134" t="e">
        <f>AND(Sheet1!K1794,"AAAAAFvt2x4=")</f>
        <v>#VALUE!</v>
      </c>
      <c r="AF134" t="e">
        <f>AND(Sheet1!L1794,"AAAAAFvt2x8=")</f>
        <v>#VALUE!</v>
      </c>
      <c r="AG134" t="e">
        <f>AND(Sheet1!M1794,"AAAAAFvt2yA=")</f>
        <v>#VALUE!</v>
      </c>
      <c r="AH134" t="e">
        <f>AND(Sheet1!N1794,"AAAAAFvt2yE=")</f>
        <v>#VALUE!</v>
      </c>
      <c r="AI134" t="e">
        <f>AND(Sheet1!#REF!,"AAAAAFvt2yI=")</f>
        <v>#REF!</v>
      </c>
      <c r="AJ134" t="e">
        <f>AND(Sheet1!#REF!,"AAAAAFvt2yM=")</f>
        <v>#REF!</v>
      </c>
      <c r="AK134" t="e">
        <f>AND(Sheet1!#REF!,"AAAAAFvt2yQ=")</f>
        <v>#REF!</v>
      </c>
      <c r="AL134" t="e">
        <f>AND(Sheet1!#REF!,"AAAAAFvt2yU=")</f>
        <v>#REF!</v>
      </c>
      <c r="AM134">
        <f>IF(Sheet1!1795:1795,"AAAAAFvt2yY=",0)</f>
        <v>0</v>
      </c>
      <c r="AN134" t="e">
        <f>AND(Sheet1!A1795,"AAAAAFvt2yc=")</f>
        <v>#VALUE!</v>
      </c>
      <c r="AO134" t="e">
        <f>AND(Sheet1!B1795,"AAAAAFvt2yg=")</f>
        <v>#VALUE!</v>
      </c>
      <c r="AP134" t="e">
        <f>AND(Sheet1!C1795,"AAAAAFvt2yk=")</f>
        <v>#VALUE!</v>
      </c>
      <c r="AQ134" t="e">
        <f>AND(Sheet1!D1795,"AAAAAFvt2yo=")</f>
        <v>#VALUE!</v>
      </c>
      <c r="AR134" t="e">
        <f>AND(Sheet1!E1795,"AAAAAFvt2ys=")</f>
        <v>#VALUE!</v>
      </c>
      <c r="AS134" t="e">
        <f>AND(Sheet1!F1795,"AAAAAFvt2yw=")</f>
        <v>#VALUE!</v>
      </c>
      <c r="AT134" t="e">
        <f>AND(Sheet1!G1795,"AAAAAFvt2y0=")</f>
        <v>#VALUE!</v>
      </c>
      <c r="AU134" t="e">
        <f>AND(Sheet1!H1795,"AAAAAFvt2y4=")</f>
        <v>#VALUE!</v>
      </c>
      <c r="AV134" t="e">
        <f>AND(Sheet1!I1795,"AAAAAFvt2y8=")</f>
        <v>#VALUE!</v>
      </c>
      <c r="AW134" t="e">
        <f>AND(Sheet1!J1795,"AAAAAFvt2zA=")</f>
        <v>#VALUE!</v>
      </c>
      <c r="AX134" t="e">
        <f>AND(Sheet1!K1795,"AAAAAFvt2zE=")</f>
        <v>#VALUE!</v>
      </c>
      <c r="AY134" t="e">
        <f>AND(Sheet1!L1795,"AAAAAFvt2zI=")</f>
        <v>#VALUE!</v>
      </c>
      <c r="AZ134" t="e">
        <f>AND(Sheet1!M1795,"AAAAAFvt2zM=")</f>
        <v>#VALUE!</v>
      </c>
      <c r="BA134" t="e">
        <f>AND(Sheet1!N1795,"AAAAAFvt2zQ=")</f>
        <v>#VALUE!</v>
      </c>
      <c r="BB134" t="e">
        <f>AND(Sheet1!#REF!,"AAAAAFvt2zU=")</f>
        <v>#REF!</v>
      </c>
      <c r="BC134" t="e">
        <f>AND(Sheet1!#REF!,"AAAAAFvt2zY=")</f>
        <v>#REF!</v>
      </c>
      <c r="BD134" t="e">
        <f>AND(Sheet1!#REF!,"AAAAAFvt2zc=")</f>
        <v>#REF!</v>
      </c>
      <c r="BE134" t="e">
        <f>AND(Sheet1!#REF!,"AAAAAFvt2zg=")</f>
        <v>#REF!</v>
      </c>
      <c r="BF134">
        <f>IF(Sheet1!1796:1796,"AAAAAFvt2zk=",0)</f>
        <v>0</v>
      </c>
      <c r="BG134" t="e">
        <f>AND(Sheet1!A1796,"AAAAAFvt2zo=")</f>
        <v>#VALUE!</v>
      </c>
      <c r="BH134" t="e">
        <f>AND(Sheet1!B1796,"AAAAAFvt2zs=")</f>
        <v>#VALUE!</v>
      </c>
      <c r="BI134" t="e">
        <f>AND(Sheet1!C1796,"AAAAAFvt2zw=")</f>
        <v>#VALUE!</v>
      </c>
      <c r="BJ134" t="e">
        <f>AND(Sheet1!D1796,"AAAAAFvt2z0=")</f>
        <v>#VALUE!</v>
      </c>
      <c r="BK134" t="e">
        <f>AND(Sheet1!E1796,"AAAAAFvt2z4=")</f>
        <v>#VALUE!</v>
      </c>
      <c r="BL134" t="e">
        <f>AND(Sheet1!F1796,"AAAAAFvt2z8=")</f>
        <v>#VALUE!</v>
      </c>
      <c r="BM134" t="e">
        <f>AND(Sheet1!G1796,"AAAAAFvt20A=")</f>
        <v>#VALUE!</v>
      </c>
      <c r="BN134" t="e">
        <f>AND(Sheet1!H1796,"AAAAAFvt20E=")</f>
        <v>#VALUE!</v>
      </c>
      <c r="BO134" t="e">
        <f>AND(Sheet1!I1796,"AAAAAFvt20I=")</f>
        <v>#VALUE!</v>
      </c>
      <c r="BP134" t="e">
        <f>AND(Sheet1!J1796,"AAAAAFvt20M=")</f>
        <v>#VALUE!</v>
      </c>
      <c r="BQ134" t="e">
        <f>AND(Sheet1!K1796,"AAAAAFvt20Q=")</f>
        <v>#VALUE!</v>
      </c>
      <c r="BR134" t="e">
        <f>AND(Sheet1!L1796,"AAAAAFvt20U=")</f>
        <v>#VALUE!</v>
      </c>
      <c r="BS134" t="e">
        <f>AND(Sheet1!M1796,"AAAAAFvt20Y=")</f>
        <v>#VALUE!</v>
      </c>
      <c r="BT134" t="e">
        <f>AND(Sheet1!N1796,"AAAAAFvt20c=")</f>
        <v>#VALUE!</v>
      </c>
      <c r="BU134" t="e">
        <f>AND(Sheet1!#REF!,"AAAAAFvt20g=")</f>
        <v>#REF!</v>
      </c>
      <c r="BV134" t="e">
        <f>AND(Sheet1!#REF!,"AAAAAFvt20k=")</f>
        <v>#REF!</v>
      </c>
      <c r="BW134" t="e">
        <f>AND(Sheet1!#REF!,"AAAAAFvt20o=")</f>
        <v>#REF!</v>
      </c>
      <c r="BX134" t="e">
        <f>AND(Sheet1!#REF!,"AAAAAFvt20s=")</f>
        <v>#REF!</v>
      </c>
      <c r="BY134">
        <f>IF(Sheet1!1797:1797,"AAAAAFvt20w=",0)</f>
        <v>0</v>
      </c>
      <c r="BZ134" t="e">
        <f>AND(Sheet1!A1797,"AAAAAFvt200=")</f>
        <v>#VALUE!</v>
      </c>
      <c r="CA134" t="e">
        <f>AND(Sheet1!B1797,"AAAAAFvt204=")</f>
        <v>#VALUE!</v>
      </c>
      <c r="CB134" t="e">
        <f>AND(Sheet1!C1797,"AAAAAFvt208=")</f>
        <v>#VALUE!</v>
      </c>
      <c r="CC134" t="e">
        <f>AND(Sheet1!D1797,"AAAAAFvt21A=")</f>
        <v>#VALUE!</v>
      </c>
      <c r="CD134" t="e">
        <f>AND(Sheet1!E1797,"AAAAAFvt21E=")</f>
        <v>#VALUE!</v>
      </c>
      <c r="CE134" t="e">
        <f>AND(Sheet1!F1797,"AAAAAFvt21I=")</f>
        <v>#VALUE!</v>
      </c>
      <c r="CF134" t="e">
        <f>AND(Sheet1!G1797,"AAAAAFvt21M=")</f>
        <v>#VALUE!</v>
      </c>
      <c r="CG134" t="e">
        <f>AND(Sheet1!H1797,"AAAAAFvt21Q=")</f>
        <v>#VALUE!</v>
      </c>
      <c r="CH134" t="e">
        <f>AND(Sheet1!I1797,"AAAAAFvt21U=")</f>
        <v>#VALUE!</v>
      </c>
      <c r="CI134" t="e">
        <f>AND(Sheet1!J1797,"AAAAAFvt21Y=")</f>
        <v>#VALUE!</v>
      </c>
      <c r="CJ134" t="e">
        <f>AND(Sheet1!K1797,"AAAAAFvt21c=")</f>
        <v>#VALUE!</v>
      </c>
      <c r="CK134" t="e">
        <f>AND(Sheet1!L1797,"AAAAAFvt21g=")</f>
        <v>#VALUE!</v>
      </c>
      <c r="CL134" t="e">
        <f>AND(Sheet1!M1797,"AAAAAFvt21k=")</f>
        <v>#VALUE!</v>
      </c>
      <c r="CM134" t="e">
        <f>AND(Sheet1!N1797,"AAAAAFvt21o=")</f>
        <v>#VALUE!</v>
      </c>
      <c r="CN134" t="e">
        <f>AND(Sheet1!#REF!,"AAAAAFvt21s=")</f>
        <v>#REF!</v>
      </c>
      <c r="CO134" t="e">
        <f>AND(Sheet1!#REF!,"AAAAAFvt21w=")</f>
        <v>#REF!</v>
      </c>
      <c r="CP134" t="e">
        <f>AND(Sheet1!#REF!,"AAAAAFvt210=")</f>
        <v>#REF!</v>
      </c>
      <c r="CQ134" t="e">
        <f>AND(Sheet1!#REF!,"AAAAAFvt214=")</f>
        <v>#REF!</v>
      </c>
      <c r="CR134">
        <f>IF(Sheet1!1798:1798,"AAAAAFvt218=",0)</f>
        <v>0</v>
      </c>
      <c r="CS134" t="e">
        <f>AND(Sheet1!A1798,"AAAAAFvt22A=")</f>
        <v>#VALUE!</v>
      </c>
      <c r="CT134" t="e">
        <f>AND(Sheet1!B1798,"AAAAAFvt22E=")</f>
        <v>#VALUE!</v>
      </c>
      <c r="CU134" t="e">
        <f>AND(Sheet1!C1798,"AAAAAFvt22I=")</f>
        <v>#VALUE!</v>
      </c>
      <c r="CV134" t="e">
        <f>AND(Sheet1!D1798,"AAAAAFvt22M=")</f>
        <v>#VALUE!</v>
      </c>
      <c r="CW134" t="e">
        <f>AND(Sheet1!E1798,"AAAAAFvt22Q=")</f>
        <v>#VALUE!</v>
      </c>
      <c r="CX134" t="e">
        <f>AND(Sheet1!F1798,"AAAAAFvt22U=")</f>
        <v>#VALUE!</v>
      </c>
      <c r="CY134" t="e">
        <f>AND(Sheet1!G1798,"AAAAAFvt22Y=")</f>
        <v>#VALUE!</v>
      </c>
      <c r="CZ134" t="e">
        <f>AND(Sheet1!H1798,"AAAAAFvt22c=")</f>
        <v>#VALUE!</v>
      </c>
      <c r="DA134" t="e">
        <f>AND(Sheet1!I1798,"AAAAAFvt22g=")</f>
        <v>#VALUE!</v>
      </c>
      <c r="DB134" t="e">
        <f>AND(Sheet1!J1798,"AAAAAFvt22k=")</f>
        <v>#VALUE!</v>
      </c>
      <c r="DC134" t="e">
        <f>AND(Sheet1!K1798,"AAAAAFvt22o=")</f>
        <v>#VALUE!</v>
      </c>
      <c r="DD134" t="e">
        <f>AND(Sheet1!L1798,"AAAAAFvt22s=")</f>
        <v>#VALUE!</v>
      </c>
      <c r="DE134" t="e">
        <f>AND(Sheet1!M1798,"AAAAAFvt22w=")</f>
        <v>#VALUE!</v>
      </c>
      <c r="DF134" t="e">
        <f>AND(Sheet1!N1798,"AAAAAFvt220=")</f>
        <v>#VALUE!</v>
      </c>
      <c r="DG134" t="e">
        <f>AND(Sheet1!#REF!,"AAAAAFvt224=")</f>
        <v>#REF!</v>
      </c>
      <c r="DH134" t="e">
        <f>AND(Sheet1!#REF!,"AAAAAFvt228=")</f>
        <v>#REF!</v>
      </c>
      <c r="DI134" t="e">
        <f>AND(Sheet1!#REF!,"AAAAAFvt23A=")</f>
        <v>#REF!</v>
      </c>
      <c r="DJ134" t="e">
        <f>AND(Sheet1!#REF!,"AAAAAFvt23E=")</f>
        <v>#REF!</v>
      </c>
      <c r="DK134">
        <f>IF(Sheet1!1799:1799,"AAAAAFvt23I=",0)</f>
        <v>0</v>
      </c>
      <c r="DL134" t="e">
        <f>AND(Sheet1!A1799,"AAAAAFvt23M=")</f>
        <v>#VALUE!</v>
      </c>
      <c r="DM134" t="e">
        <f>AND(Sheet1!B1799,"AAAAAFvt23Q=")</f>
        <v>#VALUE!</v>
      </c>
      <c r="DN134" t="e">
        <f>AND(Sheet1!C1799,"AAAAAFvt23U=")</f>
        <v>#VALUE!</v>
      </c>
      <c r="DO134" t="e">
        <f>AND(Sheet1!D1799,"AAAAAFvt23Y=")</f>
        <v>#VALUE!</v>
      </c>
      <c r="DP134" t="e">
        <f>AND(Sheet1!E1799,"AAAAAFvt23c=")</f>
        <v>#VALUE!</v>
      </c>
      <c r="DQ134" t="e">
        <f>AND(Sheet1!F1799,"AAAAAFvt23g=")</f>
        <v>#VALUE!</v>
      </c>
      <c r="DR134" t="e">
        <f>AND(Sheet1!G1799,"AAAAAFvt23k=")</f>
        <v>#VALUE!</v>
      </c>
      <c r="DS134" t="e">
        <f>AND(Sheet1!H1799,"AAAAAFvt23o=")</f>
        <v>#VALUE!</v>
      </c>
      <c r="DT134" t="e">
        <f>AND(Sheet1!I1799,"AAAAAFvt23s=")</f>
        <v>#VALUE!</v>
      </c>
      <c r="DU134" t="e">
        <f>AND(Sheet1!J1799,"AAAAAFvt23w=")</f>
        <v>#VALUE!</v>
      </c>
      <c r="DV134" t="e">
        <f>AND(Sheet1!K1799,"AAAAAFvt230=")</f>
        <v>#VALUE!</v>
      </c>
      <c r="DW134" t="e">
        <f>AND(Sheet1!L1799,"AAAAAFvt234=")</f>
        <v>#VALUE!</v>
      </c>
      <c r="DX134" t="e">
        <f>AND(Sheet1!M1799,"AAAAAFvt238=")</f>
        <v>#VALUE!</v>
      </c>
      <c r="DY134" t="e">
        <f>AND(Sheet1!N1799,"AAAAAFvt24A=")</f>
        <v>#VALUE!</v>
      </c>
      <c r="DZ134" t="e">
        <f>AND(Sheet1!#REF!,"AAAAAFvt24E=")</f>
        <v>#REF!</v>
      </c>
      <c r="EA134" t="e">
        <f>AND(Sheet1!#REF!,"AAAAAFvt24I=")</f>
        <v>#REF!</v>
      </c>
      <c r="EB134" t="e">
        <f>AND(Sheet1!#REF!,"AAAAAFvt24M=")</f>
        <v>#REF!</v>
      </c>
      <c r="EC134" t="e">
        <f>AND(Sheet1!#REF!,"AAAAAFvt24Q=")</f>
        <v>#REF!</v>
      </c>
      <c r="ED134">
        <f>IF(Sheet1!1800:1800,"AAAAAFvt24U=",0)</f>
        <v>0</v>
      </c>
      <c r="EE134" t="e">
        <f>AND(Sheet1!A1800,"AAAAAFvt24Y=")</f>
        <v>#VALUE!</v>
      </c>
      <c r="EF134" t="e">
        <f>AND(Sheet1!B1800,"AAAAAFvt24c=")</f>
        <v>#VALUE!</v>
      </c>
      <c r="EG134" t="e">
        <f>AND(Sheet1!C1800,"AAAAAFvt24g=")</f>
        <v>#VALUE!</v>
      </c>
      <c r="EH134" t="e">
        <f>AND(Sheet1!D1800,"AAAAAFvt24k=")</f>
        <v>#VALUE!</v>
      </c>
      <c r="EI134" t="e">
        <f>AND(Sheet1!E1800,"AAAAAFvt24o=")</f>
        <v>#VALUE!</v>
      </c>
      <c r="EJ134" t="e">
        <f>AND(Sheet1!F1800,"AAAAAFvt24s=")</f>
        <v>#VALUE!</v>
      </c>
      <c r="EK134" t="e">
        <f>AND(Sheet1!G1800,"AAAAAFvt24w=")</f>
        <v>#VALUE!</v>
      </c>
      <c r="EL134" t="e">
        <f>AND(Sheet1!H1800,"AAAAAFvt240=")</f>
        <v>#VALUE!</v>
      </c>
      <c r="EM134" t="e">
        <f>AND(Sheet1!I1800,"AAAAAFvt244=")</f>
        <v>#VALUE!</v>
      </c>
      <c r="EN134" t="e">
        <f>AND(Sheet1!J1800,"AAAAAFvt248=")</f>
        <v>#VALUE!</v>
      </c>
      <c r="EO134" t="e">
        <f>AND(Sheet1!K1800,"AAAAAFvt25A=")</f>
        <v>#VALUE!</v>
      </c>
      <c r="EP134" t="e">
        <f>AND(Sheet1!L1800,"AAAAAFvt25E=")</f>
        <v>#VALUE!</v>
      </c>
      <c r="EQ134" t="e">
        <f>AND(Sheet1!M1800,"AAAAAFvt25I=")</f>
        <v>#VALUE!</v>
      </c>
      <c r="ER134" t="e">
        <f>AND(Sheet1!N1800,"AAAAAFvt25M=")</f>
        <v>#VALUE!</v>
      </c>
      <c r="ES134" t="e">
        <f>AND(Sheet1!#REF!,"AAAAAFvt25Q=")</f>
        <v>#REF!</v>
      </c>
      <c r="ET134" t="e">
        <f>AND(Sheet1!#REF!,"AAAAAFvt25U=")</f>
        <v>#REF!</v>
      </c>
      <c r="EU134" t="e">
        <f>AND(Sheet1!#REF!,"AAAAAFvt25Y=")</f>
        <v>#REF!</v>
      </c>
      <c r="EV134" t="e">
        <f>AND(Sheet1!#REF!,"AAAAAFvt25c=")</f>
        <v>#REF!</v>
      </c>
      <c r="EW134">
        <f>IF(Sheet1!1801:1801,"AAAAAFvt25g=",0)</f>
        <v>0</v>
      </c>
      <c r="EX134" t="e">
        <f>AND(Sheet1!A1801,"AAAAAFvt25k=")</f>
        <v>#VALUE!</v>
      </c>
      <c r="EY134" t="e">
        <f>AND(Sheet1!B1801,"AAAAAFvt25o=")</f>
        <v>#VALUE!</v>
      </c>
      <c r="EZ134" t="e">
        <f>AND(Sheet1!C1801,"AAAAAFvt25s=")</f>
        <v>#VALUE!</v>
      </c>
      <c r="FA134" t="e">
        <f>AND(Sheet1!D1801,"AAAAAFvt25w=")</f>
        <v>#VALUE!</v>
      </c>
      <c r="FB134" t="e">
        <f>AND(Sheet1!E1801,"AAAAAFvt250=")</f>
        <v>#VALUE!</v>
      </c>
      <c r="FC134" t="e">
        <f>AND(Sheet1!F1801,"AAAAAFvt254=")</f>
        <v>#VALUE!</v>
      </c>
      <c r="FD134" t="e">
        <f>AND(Sheet1!G1801,"AAAAAFvt258=")</f>
        <v>#VALUE!</v>
      </c>
      <c r="FE134" t="e">
        <f>AND(Sheet1!H1801,"AAAAAFvt26A=")</f>
        <v>#VALUE!</v>
      </c>
      <c r="FF134" t="e">
        <f>AND(Sheet1!I1801,"AAAAAFvt26E=")</f>
        <v>#VALUE!</v>
      </c>
      <c r="FG134" t="e">
        <f>AND(Sheet1!J1801,"AAAAAFvt26I=")</f>
        <v>#VALUE!</v>
      </c>
      <c r="FH134" t="e">
        <f>AND(Sheet1!K1801,"AAAAAFvt26M=")</f>
        <v>#VALUE!</v>
      </c>
      <c r="FI134" t="e">
        <f>AND(Sheet1!L1801,"AAAAAFvt26Q=")</f>
        <v>#VALUE!</v>
      </c>
      <c r="FJ134" t="e">
        <f>AND(Sheet1!M1801,"AAAAAFvt26U=")</f>
        <v>#VALUE!</v>
      </c>
      <c r="FK134" t="e">
        <f>AND(Sheet1!N1801,"AAAAAFvt26Y=")</f>
        <v>#VALUE!</v>
      </c>
      <c r="FL134" t="e">
        <f>AND(Sheet1!#REF!,"AAAAAFvt26c=")</f>
        <v>#REF!</v>
      </c>
      <c r="FM134" t="e">
        <f>AND(Sheet1!#REF!,"AAAAAFvt26g=")</f>
        <v>#REF!</v>
      </c>
      <c r="FN134" t="e">
        <f>AND(Sheet1!#REF!,"AAAAAFvt26k=")</f>
        <v>#REF!</v>
      </c>
      <c r="FO134" t="e">
        <f>AND(Sheet1!#REF!,"AAAAAFvt26o=")</f>
        <v>#REF!</v>
      </c>
      <c r="FP134">
        <f>IF(Sheet1!1802:1802,"AAAAAFvt26s=",0)</f>
        <v>0</v>
      </c>
      <c r="FQ134" t="e">
        <f>AND(Sheet1!A1802,"AAAAAFvt26w=")</f>
        <v>#VALUE!</v>
      </c>
      <c r="FR134" t="e">
        <f>AND(Sheet1!B1802,"AAAAAFvt260=")</f>
        <v>#VALUE!</v>
      </c>
      <c r="FS134" t="e">
        <f>AND(Sheet1!C1802,"AAAAAFvt264=")</f>
        <v>#VALUE!</v>
      </c>
      <c r="FT134" t="e">
        <f>AND(Sheet1!D1802,"AAAAAFvt268=")</f>
        <v>#VALUE!</v>
      </c>
      <c r="FU134" t="e">
        <f>AND(Sheet1!E1802,"AAAAAFvt27A=")</f>
        <v>#VALUE!</v>
      </c>
      <c r="FV134" t="e">
        <f>AND(Sheet1!F1802,"AAAAAFvt27E=")</f>
        <v>#VALUE!</v>
      </c>
      <c r="FW134" t="e">
        <f>AND(Sheet1!G1802,"AAAAAFvt27I=")</f>
        <v>#VALUE!</v>
      </c>
      <c r="FX134" t="e">
        <f>AND(Sheet1!H1802,"AAAAAFvt27M=")</f>
        <v>#VALUE!</v>
      </c>
      <c r="FY134" t="e">
        <f>AND(Sheet1!I1802,"AAAAAFvt27Q=")</f>
        <v>#VALUE!</v>
      </c>
      <c r="FZ134" t="e">
        <f>AND(Sheet1!J1802,"AAAAAFvt27U=")</f>
        <v>#VALUE!</v>
      </c>
      <c r="GA134" t="e">
        <f>AND(Sheet1!K1802,"AAAAAFvt27Y=")</f>
        <v>#VALUE!</v>
      </c>
      <c r="GB134" t="e">
        <f>AND(Sheet1!L1802,"AAAAAFvt27c=")</f>
        <v>#VALUE!</v>
      </c>
      <c r="GC134" t="e">
        <f>AND(Sheet1!M1802,"AAAAAFvt27g=")</f>
        <v>#VALUE!</v>
      </c>
      <c r="GD134" t="e">
        <f>AND(Sheet1!N1802,"AAAAAFvt27k=")</f>
        <v>#VALUE!</v>
      </c>
      <c r="GE134" t="e">
        <f>AND(Sheet1!#REF!,"AAAAAFvt27o=")</f>
        <v>#REF!</v>
      </c>
      <c r="GF134" t="e">
        <f>AND(Sheet1!#REF!,"AAAAAFvt27s=")</f>
        <v>#REF!</v>
      </c>
      <c r="GG134" t="e">
        <f>AND(Sheet1!#REF!,"AAAAAFvt27w=")</f>
        <v>#REF!</v>
      </c>
      <c r="GH134" t="e">
        <f>AND(Sheet1!#REF!,"AAAAAFvt270=")</f>
        <v>#REF!</v>
      </c>
      <c r="GI134">
        <f>IF(Sheet1!1803:1803,"AAAAAFvt274=",0)</f>
        <v>0</v>
      </c>
      <c r="GJ134" t="e">
        <f>AND(Sheet1!A1803,"AAAAAFvt278=")</f>
        <v>#VALUE!</v>
      </c>
      <c r="GK134" t="e">
        <f>AND(Sheet1!B1803,"AAAAAFvt28A=")</f>
        <v>#VALUE!</v>
      </c>
      <c r="GL134" t="e">
        <f>AND(Sheet1!C1803,"AAAAAFvt28E=")</f>
        <v>#VALUE!</v>
      </c>
      <c r="GM134" t="e">
        <f>AND(Sheet1!D1803,"AAAAAFvt28I=")</f>
        <v>#VALUE!</v>
      </c>
      <c r="GN134" t="e">
        <f>AND(Sheet1!E1803,"AAAAAFvt28M=")</f>
        <v>#VALUE!</v>
      </c>
      <c r="GO134" t="e">
        <f>AND(Sheet1!F1803,"AAAAAFvt28Q=")</f>
        <v>#VALUE!</v>
      </c>
      <c r="GP134" t="e">
        <f>AND(Sheet1!G1803,"AAAAAFvt28U=")</f>
        <v>#VALUE!</v>
      </c>
      <c r="GQ134" t="e">
        <f>AND(Sheet1!H1803,"AAAAAFvt28Y=")</f>
        <v>#VALUE!</v>
      </c>
      <c r="GR134" t="e">
        <f>AND(Sheet1!I1803,"AAAAAFvt28c=")</f>
        <v>#VALUE!</v>
      </c>
      <c r="GS134" t="e">
        <f>AND(Sheet1!J1803,"AAAAAFvt28g=")</f>
        <v>#VALUE!</v>
      </c>
      <c r="GT134" t="e">
        <f>AND(Sheet1!K1803,"AAAAAFvt28k=")</f>
        <v>#VALUE!</v>
      </c>
      <c r="GU134" t="e">
        <f>AND(Sheet1!L1803,"AAAAAFvt28o=")</f>
        <v>#VALUE!</v>
      </c>
      <c r="GV134" t="e">
        <f>AND(Sheet1!M1803,"AAAAAFvt28s=")</f>
        <v>#VALUE!</v>
      </c>
      <c r="GW134" t="e">
        <f>AND(Sheet1!N1803,"AAAAAFvt28w=")</f>
        <v>#VALUE!</v>
      </c>
      <c r="GX134" t="e">
        <f>AND(Sheet1!#REF!,"AAAAAFvt280=")</f>
        <v>#REF!</v>
      </c>
      <c r="GY134" t="e">
        <f>AND(Sheet1!#REF!,"AAAAAFvt284=")</f>
        <v>#REF!</v>
      </c>
      <c r="GZ134" t="e">
        <f>AND(Sheet1!#REF!,"AAAAAFvt288=")</f>
        <v>#REF!</v>
      </c>
      <c r="HA134" t="e">
        <f>AND(Sheet1!#REF!,"AAAAAFvt29A=")</f>
        <v>#REF!</v>
      </c>
      <c r="HB134">
        <f>IF(Sheet1!1804:1804,"AAAAAFvt29E=",0)</f>
        <v>0</v>
      </c>
      <c r="HC134" t="e">
        <f>AND(Sheet1!A1804,"AAAAAFvt29I=")</f>
        <v>#VALUE!</v>
      </c>
      <c r="HD134" t="e">
        <f>AND(Sheet1!B1804,"AAAAAFvt29M=")</f>
        <v>#VALUE!</v>
      </c>
      <c r="HE134" t="e">
        <f>AND(Sheet1!C1804,"AAAAAFvt29Q=")</f>
        <v>#VALUE!</v>
      </c>
      <c r="HF134" t="e">
        <f>AND(Sheet1!D1804,"AAAAAFvt29U=")</f>
        <v>#VALUE!</v>
      </c>
      <c r="HG134" t="e">
        <f>AND(Sheet1!E1804,"AAAAAFvt29Y=")</f>
        <v>#VALUE!</v>
      </c>
      <c r="HH134" t="e">
        <f>AND(Sheet1!F1804,"AAAAAFvt29c=")</f>
        <v>#VALUE!</v>
      </c>
      <c r="HI134" t="e">
        <f>AND(Sheet1!G1804,"AAAAAFvt29g=")</f>
        <v>#VALUE!</v>
      </c>
      <c r="HJ134" t="e">
        <f>AND(Sheet1!H1804,"AAAAAFvt29k=")</f>
        <v>#VALUE!</v>
      </c>
      <c r="HK134" t="e">
        <f>AND(Sheet1!I1804,"AAAAAFvt29o=")</f>
        <v>#VALUE!</v>
      </c>
      <c r="HL134" t="e">
        <f>AND(Sheet1!J1804,"AAAAAFvt29s=")</f>
        <v>#VALUE!</v>
      </c>
      <c r="HM134" t="e">
        <f>AND(Sheet1!K1804,"AAAAAFvt29w=")</f>
        <v>#VALUE!</v>
      </c>
      <c r="HN134" t="e">
        <f>AND(Sheet1!L1804,"AAAAAFvt290=")</f>
        <v>#VALUE!</v>
      </c>
      <c r="HO134" t="e">
        <f>AND(Sheet1!M1804,"AAAAAFvt294=")</f>
        <v>#VALUE!</v>
      </c>
      <c r="HP134" t="e">
        <f>AND(Sheet1!N1804,"AAAAAFvt298=")</f>
        <v>#VALUE!</v>
      </c>
      <c r="HQ134" t="e">
        <f>AND(Sheet1!#REF!,"AAAAAFvt2+A=")</f>
        <v>#REF!</v>
      </c>
      <c r="HR134" t="e">
        <f>AND(Sheet1!#REF!,"AAAAAFvt2+E=")</f>
        <v>#REF!</v>
      </c>
      <c r="HS134" t="e">
        <f>AND(Sheet1!#REF!,"AAAAAFvt2+I=")</f>
        <v>#REF!</v>
      </c>
      <c r="HT134" t="e">
        <f>AND(Sheet1!#REF!,"AAAAAFvt2+M=")</f>
        <v>#REF!</v>
      </c>
      <c r="HU134">
        <f>IF(Sheet1!1805:1805,"AAAAAFvt2+Q=",0)</f>
        <v>0</v>
      </c>
      <c r="HV134" t="e">
        <f>AND(Sheet1!A1805,"AAAAAFvt2+U=")</f>
        <v>#VALUE!</v>
      </c>
      <c r="HW134" t="e">
        <f>AND(Sheet1!B1805,"AAAAAFvt2+Y=")</f>
        <v>#VALUE!</v>
      </c>
      <c r="HX134" t="e">
        <f>AND(Sheet1!C1805,"AAAAAFvt2+c=")</f>
        <v>#VALUE!</v>
      </c>
      <c r="HY134" t="e">
        <f>AND(Sheet1!D1805,"AAAAAFvt2+g=")</f>
        <v>#VALUE!</v>
      </c>
      <c r="HZ134" t="e">
        <f>AND(Sheet1!E1805,"AAAAAFvt2+k=")</f>
        <v>#VALUE!</v>
      </c>
      <c r="IA134" t="e">
        <f>AND(Sheet1!F1805,"AAAAAFvt2+o=")</f>
        <v>#VALUE!</v>
      </c>
      <c r="IB134" t="e">
        <f>AND(Sheet1!G1805,"AAAAAFvt2+s=")</f>
        <v>#VALUE!</v>
      </c>
      <c r="IC134" t="e">
        <f>AND(Sheet1!H1805,"AAAAAFvt2+w=")</f>
        <v>#VALUE!</v>
      </c>
      <c r="ID134" t="e">
        <f>AND(Sheet1!I1805,"AAAAAFvt2+0=")</f>
        <v>#VALUE!</v>
      </c>
      <c r="IE134" t="e">
        <f>AND(Sheet1!J1805,"AAAAAFvt2+4=")</f>
        <v>#VALUE!</v>
      </c>
      <c r="IF134" t="e">
        <f>AND(Sheet1!K1805,"AAAAAFvt2+8=")</f>
        <v>#VALUE!</v>
      </c>
      <c r="IG134" t="e">
        <f>AND(Sheet1!L1805,"AAAAAFvt2/A=")</f>
        <v>#VALUE!</v>
      </c>
      <c r="IH134" t="e">
        <f>AND(Sheet1!M1805,"AAAAAFvt2/E=")</f>
        <v>#VALUE!</v>
      </c>
      <c r="II134" t="e">
        <f>AND(Sheet1!N1805,"AAAAAFvt2/I=")</f>
        <v>#VALUE!</v>
      </c>
      <c r="IJ134" t="e">
        <f>AND(Sheet1!#REF!,"AAAAAFvt2/M=")</f>
        <v>#REF!</v>
      </c>
      <c r="IK134" t="e">
        <f>AND(Sheet1!#REF!,"AAAAAFvt2/Q=")</f>
        <v>#REF!</v>
      </c>
      <c r="IL134" t="e">
        <f>AND(Sheet1!#REF!,"AAAAAFvt2/U=")</f>
        <v>#REF!</v>
      </c>
      <c r="IM134" t="e">
        <f>AND(Sheet1!#REF!,"AAAAAFvt2/Y=")</f>
        <v>#REF!</v>
      </c>
      <c r="IN134">
        <f>IF(Sheet1!1806:1806,"AAAAAFvt2/c=",0)</f>
        <v>0</v>
      </c>
      <c r="IO134" t="e">
        <f>AND(Sheet1!A1806,"AAAAAFvt2/g=")</f>
        <v>#VALUE!</v>
      </c>
      <c r="IP134" t="e">
        <f>AND(Sheet1!B1806,"AAAAAFvt2/k=")</f>
        <v>#VALUE!</v>
      </c>
      <c r="IQ134" t="e">
        <f>AND(Sheet1!C1806,"AAAAAFvt2/o=")</f>
        <v>#VALUE!</v>
      </c>
      <c r="IR134" t="e">
        <f>AND(Sheet1!D1806,"AAAAAFvt2/s=")</f>
        <v>#VALUE!</v>
      </c>
      <c r="IS134" t="e">
        <f>AND(Sheet1!E1806,"AAAAAFvt2/w=")</f>
        <v>#VALUE!</v>
      </c>
      <c r="IT134" t="e">
        <f>AND(Sheet1!F1806,"AAAAAFvt2/0=")</f>
        <v>#VALUE!</v>
      </c>
      <c r="IU134" t="e">
        <f>AND(Sheet1!G1806,"AAAAAFvt2/4=")</f>
        <v>#VALUE!</v>
      </c>
      <c r="IV134" t="e">
        <f>AND(Sheet1!H1806,"AAAAAFvt2/8=")</f>
        <v>#VALUE!</v>
      </c>
    </row>
    <row r="135" spans="1:256" x14ac:dyDescent="0.2">
      <c r="A135" t="e">
        <f>AND(Sheet1!I1806,"AAAAAH1/ewA=")</f>
        <v>#VALUE!</v>
      </c>
      <c r="B135" t="e">
        <f>AND(Sheet1!J1806,"AAAAAH1/ewE=")</f>
        <v>#VALUE!</v>
      </c>
      <c r="C135" t="e">
        <f>AND(Sheet1!K1806,"AAAAAH1/ewI=")</f>
        <v>#VALUE!</v>
      </c>
      <c r="D135" t="e">
        <f>AND(Sheet1!L1806,"AAAAAH1/ewM=")</f>
        <v>#VALUE!</v>
      </c>
      <c r="E135" t="e">
        <f>AND(Sheet1!M1806,"AAAAAH1/ewQ=")</f>
        <v>#VALUE!</v>
      </c>
      <c r="F135" t="e">
        <f>AND(Sheet1!N1806,"AAAAAH1/ewU=")</f>
        <v>#VALUE!</v>
      </c>
      <c r="G135" t="e">
        <f>AND(Sheet1!#REF!,"AAAAAH1/ewY=")</f>
        <v>#REF!</v>
      </c>
      <c r="H135" t="e">
        <f>AND(Sheet1!#REF!,"AAAAAH1/ewc=")</f>
        <v>#REF!</v>
      </c>
      <c r="I135" t="e">
        <f>AND(Sheet1!#REF!,"AAAAAH1/ewg=")</f>
        <v>#REF!</v>
      </c>
      <c r="J135" t="e">
        <f>AND(Sheet1!#REF!,"AAAAAH1/ewk=")</f>
        <v>#REF!</v>
      </c>
      <c r="K135" t="e">
        <f>IF(Sheet1!1807:1807,"AAAAAH1/ewo=",0)</f>
        <v>#VALUE!</v>
      </c>
      <c r="L135" t="e">
        <f>AND(Sheet1!A1807,"AAAAAH1/ews=")</f>
        <v>#VALUE!</v>
      </c>
      <c r="M135" t="e">
        <f>AND(Sheet1!B1807,"AAAAAH1/eww=")</f>
        <v>#VALUE!</v>
      </c>
      <c r="N135" t="e">
        <f>AND(Sheet1!C1807,"AAAAAH1/ew0=")</f>
        <v>#VALUE!</v>
      </c>
      <c r="O135" t="e">
        <f>AND(Sheet1!D1807,"AAAAAH1/ew4=")</f>
        <v>#VALUE!</v>
      </c>
      <c r="P135" t="e">
        <f>AND(Sheet1!E1807,"AAAAAH1/ew8=")</f>
        <v>#VALUE!</v>
      </c>
      <c r="Q135" t="e">
        <f>AND(Sheet1!F1807,"AAAAAH1/exA=")</f>
        <v>#VALUE!</v>
      </c>
      <c r="R135" t="e">
        <f>AND(Sheet1!G1807,"AAAAAH1/exE=")</f>
        <v>#VALUE!</v>
      </c>
      <c r="S135" t="e">
        <f>AND(Sheet1!H1807,"AAAAAH1/exI=")</f>
        <v>#VALUE!</v>
      </c>
      <c r="T135" t="e">
        <f>AND(Sheet1!I1807,"AAAAAH1/exM=")</f>
        <v>#VALUE!</v>
      </c>
      <c r="U135" t="e">
        <f>AND(Sheet1!J1807,"AAAAAH1/exQ=")</f>
        <v>#VALUE!</v>
      </c>
      <c r="V135" t="e">
        <f>AND(Sheet1!K1807,"AAAAAH1/exU=")</f>
        <v>#VALUE!</v>
      </c>
      <c r="W135" t="e">
        <f>AND(Sheet1!L1807,"AAAAAH1/exY=")</f>
        <v>#VALUE!</v>
      </c>
      <c r="X135" t="e">
        <f>AND(Sheet1!M1807,"AAAAAH1/exc=")</f>
        <v>#VALUE!</v>
      </c>
      <c r="Y135" t="e">
        <f>AND(Sheet1!N1807,"AAAAAH1/exg=")</f>
        <v>#VALUE!</v>
      </c>
      <c r="Z135" t="e">
        <f>AND(Sheet1!#REF!,"AAAAAH1/exk=")</f>
        <v>#REF!</v>
      </c>
      <c r="AA135" t="e">
        <f>AND(Sheet1!#REF!,"AAAAAH1/exo=")</f>
        <v>#REF!</v>
      </c>
      <c r="AB135" t="e">
        <f>AND(Sheet1!#REF!,"AAAAAH1/exs=")</f>
        <v>#REF!</v>
      </c>
      <c r="AC135" t="e">
        <f>AND(Sheet1!#REF!,"AAAAAH1/exw=")</f>
        <v>#REF!</v>
      </c>
      <c r="AD135">
        <f>IF(Sheet1!1808:1808,"AAAAAH1/ex0=",0)</f>
        <v>0</v>
      </c>
      <c r="AE135" t="e">
        <f>AND(Sheet1!A1808,"AAAAAH1/ex4=")</f>
        <v>#VALUE!</v>
      </c>
      <c r="AF135" t="e">
        <f>AND(Sheet1!B1808,"AAAAAH1/ex8=")</f>
        <v>#VALUE!</v>
      </c>
      <c r="AG135" t="e">
        <f>AND(Sheet1!C1808,"AAAAAH1/eyA=")</f>
        <v>#VALUE!</v>
      </c>
      <c r="AH135" t="e">
        <f>AND(Sheet1!D1808,"AAAAAH1/eyE=")</f>
        <v>#VALUE!</v>
      </c>
      <c r="AI135" t="e">
        <f>AND(Sheet1!E1808,"AAAAAH1/eyI=")</f>
        <v>#VALUE!</v>
      </c>
      <c r="AJ135" t="e">
        <f>AND(Sheet1!F1808,"AAAAAH1/eyM=")</f>
        <v>#VALUE!</v>
      </c>
      <c r="AK135" t="e">
        <f>AND(Sheet1!G1808,"AAAAAH1/eyQ=")</f>
        <v>#VALUE!</v>
      </c>
      <c r="AL135" t="e">
        <f>AND(Sheet1!H1808,"AAAAAH1/eyU=")</f>
        <v>#VALUE!</v>
      </c>
      <c r="AM135" t="e">
        <f>AND(Sheet1!I1808,"AAAAAH1/eyY=")</f>
        <v>#VALUE!</v>
      </c>
      <c r="AN135" t="e">
        <f>AND(Sheet1!J1808,"AAAAAH1/eyc=")</f>
        <v>#VALUE!</v>
      </c>
      <c r="AO135" t="e">
        <f>AND(Sheet1!K1808,"AAAAAH1/eyg=")</f>
        <v>#VALUE!</v>
      </c>
      <c r="AP135" t="e">
        <f>AND(Sheet1!L1808,"AAAAAH1/eyk=")</f>
        <v>#VALUE!</v>
      </c>
      <c r="AQ135" t="e">
        <f>AND(Sheet1!M1808,"AAAAAH1/eyo=")</f>
        <v>#VALUE!</v>
      </c>
      <c r="AR135" t="e">
        <f>AND(Sheet1!N1808,"AAAAAH1/eys=")</f>
        <v>#VALUE!</v>
      </c>
      <c r="AS135" t="e">
        <f>AND(Sheet1!#REF!,"AAAAAH1/eyw=")</f>
        <v>#REF!</v>
      </c>
      <c r="AT135" t="e">
        <f>AND(Sheet1!#REF!,"AAAAAH1/ey0=")</f>
        <v>#REF!</v>
      </c>
      <c r="AU135" t="e">
        <f>AND(Sheet1!#REF!,"AAAAAH1/ey4=")</f>
        <v>#REF!</v>
      </c>
      <c r="AV135" t="e">
        <f>AND(Sheet1!#REF!,"AAAAAH1/ey8=")</f>
        <v>#REF!</v>
      </c>
      <c r="AW135">
        <f>IF(Sheet1!1809:1809,"AAAAAH1/ezA=",0)</f>
        <v>0</v>
      </c>
      <c r="AX135" t="e">
        <f>AND(Sheet1!A1809,"AAAAAH1/ezE=")</f>
        <v>#VALUE!</v>
      </c>
      <c r="AY135" t="e">
        <f>AND(Sheet1!B1809,"AAAAAH1/ezI=")</f>
        <v>#VALUE!</v>
      </c>
      <c r="AZ135" t="e">
        <f>AND(Sheet1!C1809,"AAAAAH1/ezM=")</f>
        <v>#VALUE!</v>
      </c>
      <c r="BA135" t="e">
        <f>AND(Sheet1!D1809,"AAAAAH1/ezQ=")</f>
        <v>#VALUE!</v>
      </c>
      <c r="BB135" t="e">
        <f>AND(Sheet1!E1809,"AAAAAH1/ezU=")</f>
        <v>#VALUE!</v>
      </c>
      <c r="BC135" t="e">
        <f>AND(Sheet1!F1809,"AAAAAH1/ezY=")</f>
        <v>#VALUE!</v>
      </c>
      <c r="BD135" t="e">
        <f>AND(Sheet1!G1809,"AAAAAH1/ezc=")</f>
        <v>#VALUE!</v>
      </c>
      <c r="BE135" t="e">
        <f>AND(Sheet1!H1809,"AAAAAH1/ezg=")</f>
        <v>#VALUE!</v>
      </c>
      <c r="BF135" t="e">
        <f>AND(Sheet1!I1809,"AAAAAH1/ezk=")</f>
        <v>#VALUE!</v>
      </c>
      <c r="BG135" t="e">
        <f>AND(Sheet1!J1809,"AAAAAH1/ezo=")</f>
        <v>#VALUE!</v>
      </c>
      <c r="BH135" t="e">
        <f>AND(Sheet1!K1809,"AAAAAH1/ezs=")</f>
        <v>#VALUE!</v>
      </c>
      <c r="BI135" t="e">
        <f>AND(Sheet1!L1809,"AAAAAH1/ezw=")</f>
        <v>#VALUE!</v>
      </c>
      <c r="BJ135" t="e">
        <f>AND(Sheet1!M1809,"AAAAAH1/ez0=")</f>
        <v>#VALUE!</v>
      </c>
      <c r="BK135" t="e">
        <f>AND(Sheet1!N1809,"AAAAAH1/ez4=")</f>
        <v>#VALUE!</v>
      </c>
      <c r="BL135" t="e">
        <f>AND(Sheet1!#REF!,"AAAAAH1/ez8=")</f>
        <v>#REF!</v>
      </c>
      <c r="BM135" t="e">
        <f>AND(Sheet1!#REF!,"AAAAAH1/e0A=")</f>
        <v>#REF!</v>
      </c>
      <c r="BN135" t="e">
        <f>AND(Sheet1!#REF!,"AAAAAH1/e0E=")</f>
        <v>#REF!</v>
      </c>
      <c r="BO135" t="e">
        <f>AND(Sheet1!#REF!,"AAAAAH1/e0I=")</f>
        <v>#REF!</v>
      </c>
      <c r="BP135">
        <f>IF(Sheet1!1810:1810,"AAAAAH1/e0M=",0)</f>
        <v>0</v>
      </c>
      <c r="BQ135" t="e">
        <f>AND(Sheet1!A1810,"AAAAAH1/e0Q=")</f>
        <v>#VALUE!</v>
      </c>
      <c r="BR135" t="e">
        <f>AND(Sheet1!B1810,"AAAAAH1/e0U=")</f>
        <v>#VALUE!</v>
      </c>
      <c r="BS135" t="e">
        <f>AND(Sheet1!C1810,"AAAAAH1/e0Y=")</f>
        <v>#VALUE!</v>
      </c>
      <c r="BT135" t="e">
        <f>AND(Sheet1!D1810,"AAAAAH1/e0c=")</f>
        <v>#VALUE!</v>
      </c>
      <c r="BU135" t="e">
        <f>AND(Sheet1!E1810,"AAAAAH1/e0g=")</f>
        <v>#VALUE!</v>
      </c>
      <c r="BV135" t="e">
        <f>AND(Sheet1!F1810,"AAAAAH1/e0k=")</f>
        <v>#VALUE!</v>
      </c>
      <c r="BW135" t="e">
        <f>AND(Sheet1!G1810,"AAAAAH1/e0o=")</f>
        <v>#VALUE!</v>
      </c>
      <c r="BX135" t="e">
        <f>AND(Sheet1!H1810,"AAAAAH1/e0s=")</f>
        <v>#VALUE!</v>
      </c>
      <c r="BY135" t="e">
        <f>AND(Sheet1!I1810,"AAAAAH1/e0w=")</f>
        <v>#VALUE!</v>
      </c>
      <c r="BZ135" t="e">
        <f>AND(Sheet1!J1810,"AAAAAH1/e00=")</f>
        <v>#VALUE!</v>
      </c>
      <c r="CA135" t="e">
        <f>AND(Sheet1!K1810,"AAAAAH1/e04=")</f>
        <v>#VALUE!</v>
      </c>
      <c r="CB135" t="e">
        <f>AND(Sheet1!L1810,"AAAAAH1/e08=")</f>
        <v>#VALUE!</v>
      </c>
      <c r="CC135" t="e">
        <f>AND(Sheet1!M1810,"AAAAAH1/e1A=")</f>
        <v>#VALUE!</v>
      </c>
      <c r="CD135" t="e">
        <f>AND(Sheet1!N1810,"AAAAAH1/e1E=")</f>
        <v>#VALUE!</v>
      </c>
      <c r="CE135" t="e">
        <f>AND(Sheet1!#REF!,"AAAAAH1/e1I=")</f>
        <v>#REF!</v>
      </c>
      <c r="CF135" t="e">
        <f>AND(Sheet1!#REF!,"AAAAAH1/e1M=")</f>
        <v>#REF!</v>
      </c>
      <c r="CG135" t="e">
        <f>AND(Sheet1!#REF!,"AAAAAH1/e1Q=")</f>
        <v>#REF!</v>
      </c>
      <c r="CH135" t="e">
        <f>AND(Sheet1!#REF!,"AAAAAH1/e1U=")</f>
        <v>#REF!</v>
      </c>
      <c r="CI135">
        <f>IF(Sheet1!1811:1811,"AAAAAH1/e1Y=",0)</f>
        <v>0</v>
      </c>
      <c r="CJ135" t="e">
        <f>AND(Sheet1!A1811,"AAAAAH1/e1c=")</f>
        <v>#VALUE!</v>
      </c>
      <c r="CK135" t="e">
        <f>AND(Sheet1!B1811,"AAAAAH1/e1g=")</f>
        <v>#VALUE!</v>
      </c>
      <c r="CL135" t="e">
        <f>AND(Sheet1!C1811,"AAAAAH1/e1k=")</f>
        <v>#VALUE!</v>
      </c>
      <c r="CM135" t="e">
        <f>AND(Sheet1!D1811,"AAAAAH1/e1o=")</f>
        <v>#VALUE!</v>
      </c>
      <c r="CN135" t="e">
        <f>AND(Sheet1!E1811,"AAAAAH1/e1s=")</f>
        <v>#VALUE!</v>
      </c>
      <c r="CO135" t="e">
        <f>AND(Sheet1!F1811,"AAAAAH1/e1w=")</f>
        <v>#VALUE!</v>
      </c>
      <c r="CP135" t="e">
        <f>AND(Sheet1!G1811,"AAAAAH1/e10=")</f>
        <v>#VALUE!</v>
      </c>
      <c r="CQ135" t="e">
        <f>AND(Sheet1!H1811,"AAAAAH1/e14=")</f>
        <v>#VALUE!</v>
      </c>
      <c r="CR135" t="e">
        <f>AND(Sheet1!I1811,"AAAAAH1/e18=")</f>
        <v>#VALUE!</v>
      </c>
      <c r="CS135" t="e">
        <f>AND(Sheet1!J1811,"AAAAAH1/e2A=")</f>
        <v>#VALUE!</v>
      </c>
      <c r="CT135" t="e">
        <f>AND(Sheet1!K1811,"AAAAAH1/e2E=")</f>
        <v>#VALUE!</v>
      </c>
      <c r="CU135" t="e">
        <f>AND(Sheet1!L1811,"AAAAAH1/e2I=")</f>
        <v>#VALUE!</v>
      </c>
      <c r="CV135" t="e">
        <f>AND(Sheet1!M1811,"AAAAAH1/e2M=")</f>
        <v>#VALUE!</v>
      </c>
      <c r="CW135" t="e">
        <f>AND(Sheet1!N1811,"AAAAAH1/e2Q=")</f>
        <v>#VALUE!</v>
      </c>
      <c r="CX135" t="e">
        <f>AND(Sheet1!#REF!,"AAAAAH1/e2U=")</f>
        <v>#REF!</v>
      </c>
      <c r="CY135" t="e">
        <f>AND(Sheet1!#REF!,"AAAAAH1/e2Y=")</f>
        <v>#REF!</v>
      </c>
      <c r="CZ135" t="e">
        <f>AND(Sheet1!#REF!,"AAAAAH1/e2c=")</f>
        <v>#REF!</v>
      </c>
      <c r="DA135" t="e">
        <f>AND(Sheet1!#REF!,"AAAAAH1/e2g=")</f>
        <v>#REF!</v>
      </c>
      <c r="DB135">
        <f>IF(Sheet1!1812:1812,"AAAAAH1/e2k=",0)</f>
        <v>0</v>
      </c>
      <c r="DC135" t="e">
        <f>AND(Sheet1!A1812,"AAAAAH1/e2o=")</f>
        <v>#VALUE!</v>
      </c>
      <c r="DD135" t="e">
        <f>AND(Sheet1!B1812,"AAAAAH1/e2s=")</f>
        <v>#VALUE!</v>
      </c>
      <c r="DE135" t="e">
        <f>AND(Sheet1!C1812,"AAAAAH1/e2w=")</f>
        <v>#VALUE!</v>
      </c>
      <c r="DF135" t="e">
        <f>AND(Sheet1!D1812,"AAAAAH1/e20=")</f>
        <v>#VALUE!</v>
      </c>
      <c r="DG135" t="e">
        <f>AND(Sheet1!E1812,"AAAAAH1/e24=")</f>
        <v>#VALUE!</v>
      </c>
      <c r="DH135" t="e">
        <f>AND(Sheet1!F1812,"AAAAAH1/e28=")</f>
        <v>#VALUE!</v>
      </c>
      <c r="DI135" t="e">
        <f>AND(Sheet1!G1812,"AAAAAH1/e3A=")</f>
        <v>#VALUE!</v>
      </c>
      <c r="DJ135" t="e">
        <f>AND(Sheet1!H1812,"AAAAAH1/e3E=")</f>
        <v>#VALUE!</v>
      </c>
      <c r="DK135" t="e">
        <f>AND(Sheet1!I1812,"AAAAAH1/e3I=")</f>
        <v>#VALUE!</v>
      </c>
      <c r="DL135" t="e">
        <f>AND(Sheet1!J1812,"AAAAAH1/e3M=")</f>
        <v>#VALUE!</v>
      </c>
      <c r="DM135" t="e">
        <f>AND(Sheet1!K1812,"AAAAAH1/e3Q=")</f>
        <v>#VALUE!</v>
      </c>
      <c r="DN135" t="e">
        <f>AND(Sheet1!L1812,"AAAAAH1/e3U=")</f>
        <v>#VALUE!</v>
      </c>
      <c r="DO135" t="e">
        <f>AND(Sheet1!M1812,"AAAAAH1/e3Y=")</f>
        <v>#VALUE!</v>
      </c>
      <c r="DP135" t="e">
        <f>AND(Sheet1!N1812,"AAAAAH1/e3c=")</f>
        <v>#VALUE!</v>
      </c>
      <c r="DQ135" t="e">
        <f>AND(Sheet1!#REF!,"AAAAAH1/e3g=")</f>
        <v>#REF!</v>
      </c>
      <c r="DR135" t="e">
        <f>AND(Sheet1!#REF!,"AAAAAH1/e3k=")</f>
        <v>#REF!</v>
      </c>
      <c r="DS135" t="e">
        <f>AND(Sheet1!#REF!,"AAAAAH1/e3o=")</f>
        <v>#REF!</v>
      </c>
      <c r="DT135" t="e">
        <f>AND(Sheet1!#REF!,"AAAAAH1/e3s=")</f>
        <v>#REF!</v>
      </c>
      <c r="DU135">
        <f>IF(Sheet1!1813:1813,"AAAAAH1/e3w=",0)</f>
        <v>0</v>
      </c>
      <c r="DV135" t="e">
        <f>AND(Sheet1!A1813,"AAAAAH1/e30=")</f>
        <v>#VALUE!</v>
      </c>
      <c r="DW135" t="e">
        <f>AND(Sheet1!B1813,"AAAAAH1/e34=")</f>
        <v>#VALUE!</v>
      </c>
      <c r="DX135" t="e">
        <f>AND(Sheet1!C1813,"AAAAAH1/e38=")</f>
        <v>#VALUE!</v>
      </c>
      <c r="DY135" t="e">
        <f>AND(Sheet1!D1813,"AAAAAH1/e4A=")</f>
        <v>#VALUE!</v>
      </c>
      <c r="DZ135" t="e">
        <f>AND(Sheet1!E1813,"AAAAAH1/e4E=")</f>
        <v>#VALUE!</v>
      </c>
      <c r="EA135" t="e">
        <f>AND(Sheet1!F1813,"AAAAAH1/e4I=")</f>
        <v>#VALUE!</v>
      </c>
      <c r="EB135" t="e">
        <f>AND(Sheet1!G1813,"AAAAAH1/e4M=")</f>
        <v>#VALUE!</v>
      </c>
      <c r="EC135" t="e">
        <f>AND(Sheet1!H1813,"AAAAAH1/e4Q=")</f>
        <v>#VALUE!</v>
      </c>
      <c r="ED135" t="e">
        <f>AND(Sheet1!I1813,"AAAAAH1/e4U=")</f>
        <v>#VALUE!</v>
      </c>
      <c r="EE135" t="e">
        <f>AND(Sheet1!J1813,"AAAAAH1/e4Y=")</f>
        <v>#VALUE!</v>
      </c>
      <c r="EF135" t="e">
        <f>AND(Sheet1!K1813,"AAAAAH1/e4c=")</f>
        <v>#VALUE!</v>
      </c>
      <c r="EG135" t="e">
        <f>AND(Sheet1!L1813,"AAAAAH1/e4g=")</f>
        <v>#VALUE!</v>
      </c>
      <c r="EH135" t="e">
        <f>AND(Sheet1!M1813,"AAAAAH1/e4k=")</f>
        <v>#VALUE!</v>
      </c>
      <c r="EI135" t="e">
        <f>AND(Sheet1!N1813,"AAAAAH1/e4o=")</f>
        <v>#VALUE!</v>
      </c>
      <c r="EJ135" t="e">
        <f>AND(Sheet1!#REF!,"AAAAAH1/e4s=")</f>
        <v>#REF!</v>
      </c>
      <c r="EK135" t="e">
        <f>AND(Sheet1!#REF!,"AAAAAH1/e4w=")</f>
        <v>#REF!</v>
      </c>
      <c r="EL135" t="e">
        <f>AND(Sheet1!#REF!,"AAAAAH1/e40=")</f>
        <v>#REF!</v>
      </c>
      <c r="EM135" t="e">
        <f>AND(Sheet1!#REF!,"AAAAAH1/e44=")</f>
        <v>#REF!</v>
      </c>
      <c r="EN135">
        <f>IF(Sheet1!1814:1814,"AAAAAH1/e48=",0)</f>
        <v>0</v>
      </c>
      <c r="EO135" t="e">
        <f>AND(Sheet1!A1814,"AAAAAH1/e5A=")</f>
        <v>#VALUE!</v>
      </c>
      <c r="EP135" t="e">
        <f>AND(Sheet1!B1814,"AAAAAH1/e5E=")</f>
        <v>#VALUE!</v>
      </c>
      <c r="EQ135" t="e">
        <f>AND(Sheet1!C1814,"AAAAAH1/e5I=")</f>
        <v>#VALUE!</v>
      </c>
      <c r="ER135" t="e">
        <f>AND(Sheet1!D1814,"AAAAAH1/e5M=")</f>
        <v>#VALUE!</v>
      </c>
      <c r="ES135" t="e">
        <f>AND(Sheet1!E1814,"AAAAAH1/e5Q=")</f>
        <v>#VALUE!</v>
      </c>
      <c r="ET135" t="e">
        <f>AND(Sheet1!F1814,"AAAAAH1/e5U=")</f>
        <v>#VALUE!</v>
      </c>
      <c r="EU135" t="e">
        <f>AND(Sheet1!G1814,"AAAAAH1/e5Y=")</f>
        <v>#VALUE!</v>
      </c>
      <c r="EV135" t="e">
        <f>AND(Sheet1!H1814,"AAAAAH1/e5c=")</f>
        <v>#VALUE!</v>
      </c>
      <c r="EW135" t="e">
        <f>AND(Sheet1!I1814,"AAAAAH1/e5g=")</f>
        <v>#VALUE!</v>
      </c>
      <c r="EX135" t="e">
        <f>AND(Sheet1!J1814,"AAAAAH1/e5k=")</f>
        <v>#VALUE!</v>
      </c>
      <c r="EY135" t="e">
        <f>AND(Sheet1!K1814,"AAAAAH1/e5o=")</f>
        <v>#VALUE!</v>
      </c>
      <c r="EZ135" t="e">
        <f>AND(Sheet1!L1814,"AAAAAH1/e5s=")</f>
        <v>#VALUE!</v>
      </c>
      <c r="FA135" t="e">
        <f>AND(Sheet1!M1814,"AAAAAH1/e5w=")</f>
        <v>#VALUE!</v>
      </c>
      <c r="FB135" t="e">
        <f>AND(Sheet1!N1814,"AAAAAH1/e50=")</f>
        <v>#VALUE!</v>
      </c>
      <c r="FC135" t="e">
        <f>AND(Sheet1!#REF!,"AAAAAH1/e54=")</f>
        <v>#REF!</v>
      </c>
      <c r="FD135" t="e">
        <f>AND(Sheet1!#REF!,"AAAAAH1/e58=")</f>
        <v>#REF!</v>
      </c>
      <c r="FE135" t="e">
        <f>AND(Sheet1!#REF!,"AAAAAH1/e6A=")</f>
        <v>#REF!</v>
      </c>
      <c r="FF135" t="e">
        <f>AND(Sheet1!#REF!,"AAAAAH1/e6E=")</f>
        <v>#REF!</v>
      </c>
      <c r="FG135">
        <f>IF(Sheet1!1815:1815,"AAAAAH1/e6I=",0)</f>
        <v>0</v>
      </c>
      <c r="FH135" t="e">
        <f>AND(Sheet1!A1815,"AAAAAH1/e6M=")</f>
        <v>#VALUE!</v>
      </c>
      <c r="FI135" t="e">
        <f>AND(Sheet1!B1815,"AAAAAH1/e6Q=")</f>
        <v>#VALUE!</v>
      </c>
      <c r="FJ135" t="e">
        <f>AND(Sheet1!C1815,"AAAAAH1/e6U=")</f>
        <v>#VALUE!</v>
      </c>
      <c r="FK135" t="e">
        <f>AND(Sheet1!D1815,"AAAAAH1/e6Y=")</f>
        <v>#VALUE!</v>
      </c>
      <c r="FL135" t="e">
        <f>AND(Sheet1!E1815,"AAAAAH1/e6c=")</f>
        <v>#VALUE!</v>
      </c>
      <c r="FM135" t="e">
        <f>AND(Sheet1!F1815,"AAAAAH1/e6g=")</f>
        <v>#VALUE!</v>
      </c>
      <c r="FN135" t="e">
        <f>AND(Sheet1!G1815,"AAAAAH1/e6k=")</f>
        <v>#VALUE!</v>
      </c>
      <c r="FO135" t="e">
        <f>AND(Sheet1!H1815,"AAAAAH1/e6o=")</f>
        <v>#VALUE!</v>
      </c>
      <c r="FP135" t="e">
        <f>AND(Sheet1!I1815,"AAAAAH1/e6s=")</f>
        <v>#VALUE!</v>
      </c>
      <c r="FQ135" t="e">
        <f>AND(Sheet1!J1815,"AAAAAH1/e6w=")</f>
        <v>#VALUE!</v>
      </c>
      <c r="FR135" t="e">
        <f>AND(Sheet1!K1815,"AAAAAH1/e60=")</f>
        <v>#VALUE!</v>
      </c>
      <c r="FS135" t="e">
        <f>AND(Sheet1!L1815,"AAAAAH1/e64=")</f>
        <v>#VALUE!</v>
      </c>
      <c r="FT135" t="e">
        <f>AND(Sheet1!M1815,"AAAAAH1/e68=")</f>
        <v>#VALUE!</v>
      </c>
      <c r="FU135" t="e">
        <f>AND(Sheet1!N1815,"AAAAAH1/e7A=")</f>
        <v>#VALUE!</v>
      </c>
      <c r="FV135" t="e">
        <f>AND(Sheet1!#REF!,"AAAAAH1/e7E=")</f>
        <v>#REF!</v>
      </c>
      <c r="FW135" t="e">
        <f>AND(Sheet1!#REF!,"AAAAAH1/e7I=")</f>
        <v>#REF!</v>
      </c>
      <c r="FX135" t="e">
        <f>AND(Sheet1!#REF!,"AAAAAH1/e7M=")</f>
        <v>#REF!</v>
      </c>
      <c r="FY135" t="e">
        <f>AND(Sheet1!#REF!,"AAAAAH1/e7Q=")</f>
        <v>#REF!</v>
      </c>
      <c r="FZ135">
        <f>IF(Sheet1!1816:1816,"AAAAAH1/e7U=",0)</f>
        <v>0</v>
      </c>
      <c r="GA135" t="e">
        <f>AND(Sheet1!A1816,"AAAAAH1/e7Y=")</f>
        <v>#VALUE!</v>
      </c>
      <c r="GB135" t="e">
        <f>AND(Sheet1!B1816,"AAAAAH1/e7c=")</f>
        <v>#VALUE!</v>
      </c>
      <c r="GC135" t="e">
        <f>AND(Sheet1!C1816,"AAAAAH1/e7g=")</f>
        <v>#VALUE!</v>
      </c>
      <c r="GD135" t="e">
        <f>AND(Sheet1!D1816,"AAAAAH1/e7k=")</f>
        <v>#VALUE!</v>
      </c>
      <c r="GE135" t="e">
        <f>AND(Sheet1!E1816,"AAAAAH1/e7o=")</f>
        <v>#VALUE!</v>
      </c>
      <c r="GF135" t="e">
        <f>AND(Sheet1!F1816,"AAAAAH1/e7s=")</f>
        <v>#VALUE!</v>
      </c>
      <c r="GG135" t="e">
        <f>AND(Sheet1!G1816,"AAAAAH1/e7w=")</f>
        <v>#VALUE!</v>
      </c>
      <c r="GH135" t="e">
        <f>AND(Sheet1!H1816,"AAAAAH1/e70=")</f>
        <v>#VALUE!</v>
      </c>
      <c r="GI135" t="e">
        <f>AND(Sheet1!I1816,"AAAAAH1/e74=")</f>
        <v>#VALUE!</v>
      </c>
      <c r="GJ135" t="e">
        <f>AND(Sheet1!J1816,"AAAAAH1/e78=")</f>
        <v>#VALUE!</v>
      </c>
      <c r="GK135" t="e">
        <f>AND(Sheet1!K1816,"AAAAAH1/e8A=")</f>
        <v>#VALUE!</v>
      </c>
      <c r="GL135" t="e">
        <f>AND(Sheet1!L1816,"AAAAAH1/e8E=")</f>
        <v>#VALUE!</v>
      </c>
      <c r="GM135" t="e">
        <f>AND(Sheet1!M1816,"AAAAAH1/e8I=")</f>
        <v>#VALUE!</v>
      </c>
      <c r="GN135" t="e">
        <f>AND(Sheet1!N1816,"AAAAAH1/e8M=")</f>
        <v>#VALUE!</v>
      </c>
      <c r="GO135" t="e">
        <f>AND(Sheet1!#REF!,"AAAAAH1/e8Q=")</f>
        <v>#REF!</v>
      </c>
      <c r="GP135" t="e">
        <f>AND(Sheet1!#REF!,"AAAAAH1/e8U=")</f>
        <v>#REF!</v>
      </c>
      <c r="GQ135" t="e">
        <f>AND(Sheet1!#REF!,"AAAAAH1/e8Y=")</f>
        <v>#REF!</v>
      </c>
      <c r="GR135" t="e">
        <f>AND(Sheet1!#REF!,"AAAAAH1/e8c=")</f>
        <v>#REF!</v>
      </c>
      <c r="GS135">
        <f>IF(Sheet1!1817:1817,"AAAAAH1/e8g=",0)</f>
        <v>0</v>
      </c>
      <c r="GT135" t="e">
        <f>AND(Sheet1!A1817,"AAAAAH1/e8k=")</f>
        <v>#VALUE!</v>
      </c>
      <c r="GU135" t="e">
        <f>AND(Sheet1!B1817,"AAAAAH1/e8o=")</f>
        <v>#VALUE!</v>
      </c>
      <c r="GV135" t="e">
        <f>AND(Sheet1!C1817,"AAAAAH1/e8s=")</f>
        <v>#VALUE!</v>
      </c>
      <c r="GW135" t="e">
        <f>AND(Sheet1!D1817,"AAAAAH1/e8w=")</f>
        <v>#VALUE!</v>
      </c>
      <c r="GX135" t="e">
        <f>AND(Sheet1!E1817,"AAAAAH1/e80=")</f>
        <v>#VALUE!</v>
      </c>
      <c r="GY135" t="e">
        <f>AND(Sheet1!F1817,"AAAAAH1/e84=")</f>
        <v>#VALUE!</v>
      </c>
      <c r="GZ135" t="e">
        <f>AND(Sheet1!G1817,"AAAAAH1/e88=")</f>
        <v>#VALUE!</v>
      </c>
      <c r="HA135" t="e">
        <f>AND(Sheet1!H1817,"AAAAAH1/e9A=")</f>
        <v>#VALUE!</v>
      </c>
      <c r="HB135" t="e">
        <f>AND(Sheet1!I1817,"AAAAAH1/e9E=")</f>
        <v>#VALUE!</v>
      </c>
      <c r="HC135" t="e">
        <f>AND(Sheet1!J1817,"AAAAAH1/e9I=")</f>
        <v>#VALUE!</v>
      </c>
      <c r="HD135" t="e">
        <f>AND(Sheet1!K1817,"AAAAAH1/e9M=")</f>
        <v>#VALUE!</v>
      </c>
      <c r="HE135" t="e">
        <f>AND(Sheet1!L1817,"AAAAAH1/e9Q=")</f>
        <v>#VALUE!</v>
      </c>
      <c r="HF135" t="e">
        <f>AND(Sheet1!M1817,"AAAAAH1/e9U=")</f>
        <v>#VALUE!</v>
      </c>
      <c r="HG135" t="e">
        <f>AND(Sheet1!N1817,"AAAAAH1/e9Y=")</f>
        <v>#VALUE!</v>
      </c>
      <c r="HH135" t="e">
        <f>AND(Sheet1!#REF!,"AAAAAH1/e9c=")</f>
        <v>#REF!</v>
      </c>
      <c r="HI135" t="e">
        <f>AND(Sheet1!#REF!,"AAAAAH1/e9g=")</f>
        <v>#REF!</v>
      </c>
      <c r="HJ135" t="e">
        <f>AND(Sheet1!#REF!,"AAAAAH1/e9k=")</f>
        <v>#REF!</v>
      </c>
      <c r="HK135" t="e">
        <f>AND(Sheet1!#REF!,"AAAAAH1/e9o=")</f>
        <v>#REF!</v>
      </c>
      <c r="HL135">
        <f>IF(Sheet1!1818:1818,"AAAAAH1/e9s=",0)</f>
        <v>0</v>
      </c>
      <c r="HM135" t="e">
        <f>AND(Sheet1!A1818,"AAAAAH1/e9w=")</f>
        <v>#VALUE!</v>
      </c>
      <c r="HN135" t="e">
        <f>AND(Sheet1!B1818,"AAAAAH1/e90=")</f>
        <v>#VALUE!</v>
      </c>
      <c r="HO135" t="e">
        <f>AND(Sheet1!C1818,"AAAAAH1/e94=")</f>
        <v>#VALUE!</v>
      </c>
      <c r="HP135" t="e">
        <f>AND(Sheet1!D1818,"AAAAAH1/e98=")</f>
        <v>#VALUE!</v>
      </c>
      <c r="HQ135" t="e">
        <f>AND(Sheet1!E1818,"AAAAAH1/e+A=")</f>
        <v>#VALUE!</v>
      </c>
      <c r="HR135" t="e">
        <f>AND(Sheet1!F1818,"AAAAAH1/e+E=")</f>
        <v>#VALUE!</v>
      </c>
      <c r="HS135" t="e">
        <f>AND(Sheet1!G1818,"AAAAAH1/e+I=")</f>
        <v>#VALUE!</v>
      </c>
      <c r="HT135" t="e">
        <f>AND(Sheet1!H1818,"AAAAAH1/e+M=")</f>
        <v>#VALUE!</v>
      </c>
      <c r="HU135" t="e">
        <f>AND(Sheet1!I1818,"AAAAAH1/e+Q=")</f>
        <v>#VALUE!</v>
      </c>
      <c r="HV135" t="e">
        <f>AND(Sheet1!J1818,"AAAAAH1/e+U=")</f>
        <v>#VALUE!</v>
      </c>
      <c r="HW135" t="e">
        <f>AND(Sheet1!K1818,"AAAAAH1/e+Y=")</f>
        <v>#VALUE!</v>
      </c>
      <c r="HX135" t="e">
        <f>AND(Sheet1!L1818,"AAAAAH1/e+c=")</f>
        <v>#VALUE!</v>
      </c>
      <c r="HY135" t="e">
        <f>AND(Sheet1!M1818,"AAAAAH1/e+g=")</f>
        <v>#VALUE!</v>
      </c>
      <c r="HZ135" t="e">
        <f>AND(Sheet1!N1818,"AAAAAH1/e+k=")</f>
        <v>#VALUE!</v>
      </c>
      <c r="IA135" t="e">
        <f>AND(Sheet1!#REF!,"AAAAAH1/e+o=")</f>
        <v>#REF!</v>
      </c>
      <c r="IB135" t="e">
        <f>AND(Sheet1!#REF!,"AAAAAH1/e+s=")</f>
        <v>#REF!</v>
      </c>
      <c r="IC135" t="e">
        <f>AND(Sheet1!#REF!,"AAAAAH1/e+w=")</f>
        <v>#REF!</v>
      </c>
      <c r="ID135" t="e">
        <f>AND(Sheet1!#REF!,"AAAAAH1/e+0=")</f>
        <v>#REF!</v>
      </c>
      <c r="IE135">
        <f>IF(Sheet1!1819:1819,"AAAAAH1/e+4=",0)</f>
        <v>0</v>
      </c>
      <c r="IF135" t="e">
        <f>AND(Sheet1!A1819,"AAAAAH1/e+8=")</f>
        <v>#VALUE!</v>
      </c>
      <c r="IG135" t="e">
        <f>AND(Sheet1!B1819,"AAAAAH1/e/A=")</f>
        <v>#VALUE!</v>
      </c>
      <c r="IH135" t="e">
        <f>AND(Sheet1!C1819,"AAAAAH1/e/E=")</f>
        <v>#VALUE!</v>
      </c>
      <c r="II135" t="e">
        <f>AND(Sheet1!D1819,"AAAAAH1/e/I=")</f>
        <v>#VALUE!</v>
      </c>
      <c r="IJ135" t="e">
        <f>AND(Sheet1!E1819,"AAAAAH1/e/M=")</f>
        <v>#VALUE!</v>
      </c>
      <c r="IK135" t="e">
        <f>AND(Sheet1!F1819,"AAAAAH1/e/Q=")</f>
        <v>#VALUE!</v>
      </c>
      <c r="IL135" t="e">
        <f>AND(Sheet1!G1819,"AAAAAH1/e/U=")</f>
        <v>#VALUE!</v>
      </c>
      <c r="IM135" t="e">
        <f>AND(Sheet1!H1819,"AAAAAH1/e/Y=")</f>
        <v>#VALUE!</v>
      </c>
      <c r="IN135" t="e">
        <f>AND(Sheet1!I1819,"AAAAAH1/e/c=")</f>
        <v>#VALUE!</v>
      </c>
      <c r="IO135" t="e">
        <f>AND(Sheet1!J1819,"AAAAAH1/e/g=")</f>
        <v>#VALUE!</v>
      </c>
      <c r="IP135" t="e">
        <f>AND(Sheet1!K1819,"AAAAAH1/e/k=")</f>
        <v>#VALUE!</v>
      </c>
      <c r="IQ135" t="e">
        <f>AND(Sheet1!L1819,"AAAAAH1/e/o=")</f>
        <v>#VALUE!</v>
      </c>
      <c r="IR135" t="e">
        <f>AND(Sheet1!M1819,"AAAAAH1/e/s=")</f>
        <v>#VALUE!</v>
      </c>
      <c r="IS135" t="e">
        <f>AND(Sheet1!N1819,"AAAAAH1/e/w=")</f>
        <v>#VALUE!</v>
      </c>
      <c r="IT135" t="e">
        <f>AND(Sheet1!#REF!,"AAAAAH1/e/0=")</f>
        <v>#REF!</v>
      </c>
      <c r="IU135" t="e">
        <f>AND(Sheet1!#REF!,"AAAAAH1/e/4=")</f>
        <v>#REF!</v>
      </c>
      <c r="IV135" t="e">
        <f>AND(Sheet1!#REF!,"AAAAAH1/e/8=")</f>
        <v>#REF!</v>
      </c>
    </row>
    <row r="136" spans="1:256" x14ac:dyDescent="0.2">
      <c r="A136" t="e">
        <f>AND(Sheet1!#REF!,"AAAAAD/n3gA=")</f>
        <v>#REF!</v>
      </c>
      <c r="B136" t="e">
        <f>IF(Sheet1!1820:1820,"AAAAAD/n3gE=",0)</f>
        <v>#VALUE!</v>
      </c>
      <c r="C136" t="e">
        <f>AND(Sheet1!A1820,"AAAAAD/n3gI=")</f>
        <v>#VALUE!</v>
      </c>
      <c r="D136" t="e">
        <f>AND(Sheet1!B1820,"AAAAAD/n3gM=")</f>
        <v>#VALUE!</v>
      </c>
      <c r="E136" t="e">
        <f>AND(Sheet1!C1820,"AAAAAD/n3gQ=")</f>
        <v>#VALUE!</v>
      </c>
      <c r="F136" t="e">
        <f>AND(Sheet1!D1820,"AAAAAD/n3gU=")</f>
        <v>#VALUE!</v>
      </c>
      <c r="G136" t="e">
        <f>AND(Sheet1!E1820,"AAAAAD/n3gY=")</f>
        <v>#VALUE!</v>
      </c>
      <c r="H136" t="e">
        <f>AND(Sheet1!F1820,"AAAAAD/n3gc=")</f>
        <v>#VALUE!</v>
      </c>
      <c r="I136" t="e">
        <f>AND(Sheet1!G1820,"AAAAAD/n3gg=")</f>
        <v>#VALUE!</v>
      </c>
      <c r="J136" t="e">
        <f>AND(Sheet1!H1820,"AAAAAD/n3gk=")</f>
        <v>#VALUE!</v>
      </c>
      <c r="K136" t="e">
        <f>AND(Sheet1!I1820,"AAAAAD/n3go=")</f>
        <v>#VALUE!</v>
      </c>
      <c r="L136" t="e">
        <f>AND(Sheet1!J1820,"AAAAAD/n3gs=")</f>
        <v>#VALUE!</v>
      </c>
      <c r="M136" t="e">
        <f>AND(Sheet1!K1820,"AAAAAD/n3gw=")</f>
        <v>#VALUE!</v>
      </c>
      <c r="N136" t="e">
        <f>AND(Sheet1!L1820,"AAAAAD/n3g0=")</f>
        <v>#VALUE!</v>
      </c>
      <c r="O136" t="e">
        <f>AND(Sheet1!M1820,"AAAAAD/n3g4=")</f>
        <v>#VALUE!</v>
      </c>
      <c r="P136" t="e">
        <f>AND(Sheet1!N1820,"AAAAAD/n3g8=")</f>
        <v>#VALUE!</v>
      </c>
      <c r="Q136" t="e">
        <f>AND(Sheet1!#REF!,"AAAAAD/n3hA=")</f>
        <v>#REF!</v>
      </c>
      <c r="R136" t="e">
        <f>AND(Sheet1!#REF!,"AAAAAD/n3hE=")</f>
        <v>#REF!</v>
      </c>
      <c r="S136" t="e">
        <f>AND(Sheet1!#REF!,"AAAAAD/n3hI=")</f>
        <v>#REF!</v>
      </c>
      <c r="T136" t="e">
        <f>AND(Sheet1!#REF!,"AAAAAD/n3hM=")</f>
        <v>#REF!</v>
      </c>
      <c r="U136">
        <f>IF(Sheet1!1821:1821,"AAAAAD/n3hQ=",0)</f>
        <v>0</v>
      </c>
      <c r="V136" t="e">
        <f>AND(Sheet1!A1821,"AAAAAD/n3hU=")</f>
        <v>#VALUE!</v>
      </c>
      <c r="W136" t="e">
        <f>AND(Sheet1!B1821,"AAAAAD/n3hY=")</f>
        <v>#VALUE!</v>
      </c>
      <c r="X136" t="e">
        <f>AND(Sheet1!C1821,"AAAAAD/n3hc=")</f>
        <v>#VALUE!</v>
      </c>
      <c r="Y136" t="e">
        <f>AND(Sheet1!D1821,"AAAAAD/n3hg=")</f>
        <v>#VALUE!</v>
      </c>
      <c r="Z136" t="e">
        <f>AND(Sheet1!E1821,"AAAAAD/n3hk=")</f>
        <v>#VALUE!</v>
      </c>
      <c r="AA136" t="e">
        <f>AND(Sheet1!F1821,"AAAAAD/n3ho=")</f>
        <v>#VALUE!</v>
      </c>
      <c r="AB136" t="e">
        <f>AND(Sheet1!G1821,"AAAAAD/n3hs=")</f>
        <v>#VALUE!</v>
      </c>
      <c r="AC136" t="e">
        <f>AND(Sheet1!H1821,"AAAAAD/n3hw=")</f>
        <v>#VALUE!</v>
      </c>
      <c r="AD136" t="e">
        <f>AND(Sheet1!I1821,"AAAAAD/n3h0=")</f>
        <v>#VALUE!</v>
      </c>
      <c r="AE136" t="e">
        <f>AND(Sheet1!J1821,"AAAAAD/n3h4=")</f>
        <v>#VALUE!</v>
      </c>
      <c r="AF136" t="e">
        <f>AND(Sheet1!K1821,"AAAAAD/n3h8=")</f>
        <v>#VALUE!</v>
      </c>
      <c r="AG136" t="e">
        <f>AND(Sheet1!L1821,"AAAAAD/n3iA=")</f>
        <v>#VALUE!</v>
      </c>
      <c r="AH136" t="e">
        <f>AND(Sheet1!M1821,"AAAAAD/n3iE=")</f>
        <v>#VALUE!</v>
      </c>
      <c r="AI136" t="e">
        <f>AND(Sheet1!N1821,"AAAAAD/n3iI=")</f>
        <v>#VALUE!</v>
      </c>
      <c r="AJ136" t="e">
        <f>AND(Sheet1!#REF!,"AAAAAD/n3iM=")</f>
        <v>#REF!</v>
      </c>
      <c r="AK136" t="e">
        <f>AND(Sheet1!#REF!,"AAAAAD/n3iQ=")</f>
        <v>#REF!</v>
      </c>
      <c r="AL136" t="e">
        <f>AND(Sheet1!#REF!,"AAAAAD/n3iU=")</f>
        <v>#REF!</v>
      </c>
      <c r="AM136" t="e">
        <f>AND(Sheet1!#REF!,"AAAAAD/n3iY=")</f>
        <v>#REF!</v>
      </c>
      <c r="AN136">
        <f>IF(Sheet1!1822:1822,"AAAAAD/n3ic=",0)</f>
        <v>0</v>
      </c>
      <c r="AO136" t="e">
        <f>AND(Sheet1!A1822,"AAAAAD/n3ig=")</f>
        <v>#VALUE!</v>
      </c>
      <c r="AP136" t="e">
        <f>AND(Sheet1!B1822,"AAAAAD/n3ik=")</f>
        <v>#VALUE!</v>
      </c>
      <c r="AQ136" t="e">
        <f>AND(Sheet1!C1822,"AAAAAD/n3io=")</f>
        <v>#VALUE!</v>
      </c>
      <c r="AR136" t="e">
        <f>AND(Sheet1!D1822,"AAAAAD/n3is=")</f>
        <v>#VALUE!</v>
      </c>
      <c r="AS136" t="e">
        <f>AND(Sheet1!E1822,"AAAAAD/n3iw=")</f>
        <v>#VALUE!</v>
      </c>
      <c r="AT136" t="e">
        <f>AND(Sheet1!F1822,"AAAAAD/n3i0=")</f>
        <v>#VALUE!</v>
      </c>
      <c r="AU136" t="e">
        <f>AND(Sheet1!G1822,"AAAAAD/n3i4=")</f>
        <v>#VALUE!</v>
      </c>
      <c r="AV136" t="e">
        <f>AND(Sheet1!H1822,"AAAAAD/n3i8=")</f>
        <v>#VALUE!</v>
      </c>
      <c r="AW136" t="e">
        <f>AND(Sheet1!I1822,"AAAAAD/n3jA=")</f>
        <v>#VALUE!</v>
      </c>
      <c r="AX136" t="e">
        <f>AND(Sheet1!J1822,"AAAAAD/n3jE=")</f>
        <v>#VALUE!</v>
      </c>
      <c r="AY136" t="e">
        <f>AND(Sheet1!K1822,"AAAAAD/n3jI=")</f>
        <v>#VALUE!</v>
      </c>
      <c r="AZ136" t="e">
        <f>AND(Sheet1!L1822,"AAAAAD/n3jM=")</f>
        <v>#VALUE!</v>
      </c>
      <c r="BA136" t="e">
        <f>AND(Sheet1!M1822,"AAAAAD/n3jQ=")</f>
        <v>#VALUE!</v>
      </c>
      <c r="BB136" t="e">
        <f>AND(Sheet1!N1822,"AAAAAD/n3jU=")</f>
        <v>#VALUE!</v>
      </c>
      <c r="BC136" t="e">
        <f>AND(Sheet1!#REF!,"AAAAAD/n3jY=")</f>
        <v>#REF!</v>
      </c>
      <c r="BD136" t="e">
        <f>AND(Sheet1!#REF!,"AAAAAD/n3jc=")</f>
        <v>#REF!</v>
      </c>
      <c r="BE136" t="e">
        <f>AND(Sheet1!#REF!,"AAAAAD/n3jg=")</f>
        <v>#REF!</v>
      </c>
      <c r="BF136" t="e">
        <f>AND(Sheet1!#REF!,"AAAAAD/n3jk=")</f>
        <v>#REF!</v>
      </c>
      <c r="BG136">
        <f>IF(Sheet1!1823:1823,"AAAAAD/n3jo=",0)</f>
        <v>0</v>
      </c>
      <c r="BH136" t="e">
        <f>AND(Sheet1!A1823,"AAAAAD/n3js=")</f>
        <v>#VALUE!</v>
      </c>
      <c r="BI136" t="e">
        <f>AND(Sheet1!B1823,"AAAAAD/n3jw=")</f>
        <v>#VALUE!</v>
      </c>
      <c r="BJ136" t="e">
        <f>AND(Sheet1!C1823,"AAAAAD/n3j0=")</f>
        <v>#VALUE!</v>
      </c>
      <c r="BK136" t="e">
        <f>AND(Sheet1!D1823,"AAAAAD/n3j4=")</f>
        <v>#VALUE!</v>
      </c>
      <c r="BL136" t="e">
        <f>AND(Sheet1!E1823,"AAAAAD/n3j8=")</f>
        <v>#VALUE!</v>
      </c>
      <c r="BM136" t="e">
        <f>AND(Sheet1!F1823,"AAAAAD/n3kA=")</f>
        <v>#VALUE!</v>
      </c>
      <c r="BN136" t="e">
        <f>AND(Sheet1!G1823,"AAAAAD/n3kE=")</f>
        <v>#VALUE!</v>
      </c>
      <c r="BO136" t="e">
        <f>AND(Sheet1!H1823,"AAAAAD/n3kI=")</f>
        <v>#VALUE!</v>
      </c>
      <c r="BP136" t="e">
        <f>AND(Sheet1!I1823,"AAAAAD/n3kM=")</f>
        <v>#VALUE!</v>
      </c>
      <c r="BQ136" t="e">
        <f>AND(Sheet1!J1823,"AAAAAD/n3kQ=")</f>
        <v>#VALUE!</v>
      </c>
      <c r="BR136" t="e">
        <f>AND(Sheet1!K1823,"AAAAAD/n3kU=")</f>
        <v>#VALUE!</v>
      </c>
      <c r="BS136" t="e">
        <f>AND(Sheet1!L1823,"AAAAAD/n3kY=")</f>
        <v>#VALUE!</v>
      </c>
      <c r="BT136" t="e">
        <f>AND(Sheet1!M1823,"AAAAAD/n3kc=")</f>
        <v>#VALUE!</v>
      </c>
      <c r="BU136" t="e">
        <f>AND(Sheet1!N1823,"AAAAAD/n3kg=")</f>
        <v>#VALUE!</v>
      </c>
      <c r="BV136" t="e">
        <f>AND(Sheet1!#REF!,"AAAAAD/n3kk=")</f>
        <v>#REF!</v>
      </c>
      <c r="BW136" t="e">
        <f>AND(Sheet1!#REF!,"AAAAAD/n3ko=")</f>
        <v>#REF!</v>
      </c>
      <c r="BX136" t="e">
        <f>AND(Sheet1!#REF!,"AAAAAD/n3ks=")</f>
        <v>#REF!</v>
      </c>
      <c r="BY136" t="e">
        <f>AND(Sheet1!#REF!,"AAAAAD/n3kw=")</f>
        <v>#REF!</v>
      </c>
      <c r="BZ136">
        <f>IF(Sheet1!1824:1824,"AAAAAD/n3k0=",0)</f>
        <v>0</v>
      </c>
      <c r="CA136" t="e">
        <f>AND(Sheet1!A1824,"AAAAAD/n3k4=")</f>
        <v>#VALUE!</v>
      </c>
      <c r="CB136" t="e">
        <f>AND(Sheet1!B1824,"AAAAAD/n3k8=")</f>
        <v>#VALUE!</v>
      </c>
      <c r="CC136" t="e">
        <f>AND(Sheet1!C1824,"AAAAAD/n3lA=")</f>
        <v>#VALUE!</v>
      </c>
      <c r="CD136" t="e">
        <f>AND(Sheet1!D1824,"AAAAAD/n3lE=")</f>
        <v>#VALUE!</v>
      </c>
      <c r="CE136" t="e">
        <f>AND(Sheet1!E1824,"AAAAAD/n3lI=")</f>
        <v>#VALUE!</v>
      </c>
      <c r="CF136" t="e">
        <f>AND(Sheet1!F1824,"AAAAAD/n3lM=")</f>
        <v>#VALUE!</v>
      </c>
      <c r="CG136" t="e">
        <f>AND(Sheet1!G1824,"AAAAAD/n3lQ=")</f>
        <v>#VALUE!</v>
      </c>
      <c r="CH136" t="e">
        <f>AND(Sheet1!H1824,"AAAAAD/n3lU=")</f>
        <v>#VALUE!</v>
      </c>
      <c r="CI136" t="e">
        <f>AND(Sheet1!I1824,"AAAAAD/n3lY=")</f>
        <v>#VALUE!</v>
      </c>
      <c r="CJ136" t="e">
        <f>AND(Sheet1!J1824,"AAAAAD/n3lc=")</f>
        <v>#VALUE!</v>
      </c>
      <c r="CK136" t="e">
        <f>AND(Sheet1!K1824,"AAAAAD/n3lg=")</f>
        <v>#VALUE!</v>
      </c>
      <c r="CL136" t="e">
        <f>AND(Sheet1!L1824,"AAAAAD/n3lk=")</f>
        <v>#VALUE!</v>
      </c>
      <c r="CM136" t="e">
        <f>AND(Sheet1!M1824,"AAAAAD/n3lo=")</f>
        <v>#VALUE!</v>
      </c>
      <c r="CN136" t="e">
        <f>AND(Sheet1!N1824,"AAAAAD/n3ls=")</f>
        <v>#VALUE!</v>
      </c>
      <c r="CO136" t="e">
        <f>AND(Sheet1!#REF!,"AAAAAD/n3lw=")</f>
        <v>#REF!</v>
      </c>
      <c r="CP136" t="e">
        <f>AND(Sheet1!#REF!,"AAAAAD/n3l0=")</f>
        <v>#REF!</v>
      </c>
      <c r="CQ136" t="e">
        <f>AND(Sheet1!#REF!,"AAAAAD/n3l4=")</f>
        <v>#REF!</v>
      </c>
      <c r="CR136" t="e">
        <f>AND(Sheet1!#REF!,"AAAAAD/n3l8=")</f>
        <v>#REF!</v>
      </c>
      <c r="CS136">
        <f>IF(Sheet1!1825:1825,"AAAAAD/n3mA=",0)</f>
        <v>0</v>
      </c>
      <c r="CT136" t="e">
        <f>AND(Sheet1!A1825,"AAAAAD/n3mE=")</f>
        <v>#VALUE!</v>
      </c>
      <c r="CU136" t="e">
        <f>AND(Sheet1!B1825,"AAAAAD/n3mI=")</f>
        <v>#VALUE!</v>
      </c>
      <c r="CV136" t="e">
        <f>AND(Sheet1!C1825,"AAAAAD/n3mM=")</f>
        <v>#VALUE!</v>
      </c>
      <c r="CW136" t="e">
        <f>AND(Sheet1!D1825,"AAAAAD/n3mQ=")</f>
        <v>#VALUE!</v>
      </c>
      <c r="CX136" t="e">
        <f>AND(Sheet1!E1825,"AAAAAD/n3mU=")</f>
        <v>#VALUE!</v>
      </c>
      <c r="CY136" t="e">
        <f>AND(Sheet1!F1825,"AAAAAD/n3mY=")</f>
        <v>#VALUE!</v>
      </c>
      <c r="CZ136" t="e">
        <f>AND(Sheet1!G1825,"AAAAAD/n3mc=")</f>
        <v>#VALUE!</v>
      </c>
      <c r="DA136" t="e">
        <f>AND(Sheet1!H1825,"AAAAAD/n3mg=")</f>
        <v>#VALUE!</v>
      </c>
      <c r="DB136" t="e">
        <f>AND(Sheet1!I1825,"AAAAAD/n3mk=")</f>
        <v>#VALUE!</v>
      </c>
      <c r="DC136" t="e">
        <f>AND(Sheet1!J1825,"AAAAAD/n3mo=")</f>
        <v>#VALUE!</v>
      </c>
      <c r="DD136" t="e">
        <f>AND(Sheet1!K1825,"AAAAAD/n3ms=")</f>
        <v>#VALUE!</v>
      </c>
      <c r="DE136" t="e">
        <f>AND(Sheet1!L1825,"AAAAAD/n3mw=")</f>
        <v>#VALUE!</v>
      </c>
      <c r="DF136" t="e">
        <f>AND(Sheet1!M1825,"AAAAAD/n3m0=")</f>
        <v>#VALUE!</v>
      </c>
      <c r="DG136" t="e">
        <f>AND(Sheet1!N1825,"AAAAAD/n3m4=")</f>
        <v>#VALUE!</v>
      </c>
      <c r="DH136" t="e">
        <f>AND(Sheet1!#REF!,"AAAAAD/n3m8=")</f>
        <v>#REF!</v>
      </c>
      <c r="DI136" t="e">
        <f>AND(Sheet1!#REF!,"AAAAAD/n3nA=")</f>
        <v>#REF!</v>
      </c>
      <c r="DJ136" t="e">
        <f>AND(Sheet1!#REF!,"AAAAAD/n3nE=")</f>
        <v>#REF!</v>
      </c>
      <c r="DK136" t="e">
        <f>AND(Sheet1!#REF!,"AAAAAD/n3nI=")</f>
        <v>#REF!</v>
      </c>
      <c r="DL136">
        <f>IF(Sheet1!1826:1826,"AAAAAD/n3nM=",0)</f>
        <v>0</v>
      </c>
      <c r="DM136" t="e">
        <f>AND(Sheet1!A1826,"AAAAAD/n3nQ=")</f>
        <v>#VALUE!</v>
      </c>
      <c r="DN136" t="e">
        <f>AND(Sheet1!B1826,"AAAAAD/n3nU=")</f>
        <v>#VALUE!</v>
      </c>
      <c r="DO136" t="e">
        <f>AND(Sheet1!C1826,"AAAAAD/n3nY=")</f>
        <v>#VALUE!</v>
      </c>
      <c r="DP136" t="e">
        <f>AND(Sheet1!D1826,"AAAAAD/n3nc=")</f>
        <v>#VALUE!</v>
      </c>
      <c r="DQ136" t="e">
        <f>AND(Sheet1!E1826,"AAAAAD/n3ng=")</f>
        <v>#VALUE!</v>
      </c>
      <c r="DR136" t="e">
        <f>AND(Sheet1!F1826,"AAAAAD/n3nk=")</f>
        <v>#VALUE!</v>
      </c>
      <c r="DS136" t="e">
        <f>AND(Sheet1!G1826,"AAAAAD/n3no=")</f>
        <v>#VALUE!</v>
      </c>
      <c r="DT136" t="e">
        <f>AND(Sheet1!H1826,"AAAAAD/n3ns=")</f>
        <v>#VALUE!</v>
      </c>
      <c r="DU136" t="e">
        <f>AND(Sheet1!I1826,"AAAAAD/n3nw=")</f>
        <v>#VALUE!</v>
      </c>
      <c r="DV136" t="e">
        <f>AND(Sheet1!J1826,"AAAAAD/n3n0=")</f>
        <v>#VALUE!</v>
      </c>
      <c r="DW136" t="e">
        <f>AND(Sheet1!K1826,"AAAAAD/n3n4=")</f>
        <v>#VALUE!</v>
      </c>
      <c r="DX136" t="e">
        <f>AND(Sheet1!L1826,"AAAAAD/n3n8=")</f>
        <v>#VALUE!</v>
      </c>
      <c r="DY136" t="e">
        <f>AND(Sheet1!M1826,"AAAAAD/n3oA=")</f>
        <v>#VALUE!</v>
      </c>
      <c r="DZ136" t="e">
        <f>AND(Sheet1!N1826,"AAAAAD/n3oE=")</f>
        <v>#VALUE!</v>
      </c>
      <c r="EA136" t="e">
        <f>AND(Sheet1!#REF!,"AAAAAD/n3oI=")</f>
        <v>#REF!</v>
      </c>
      <c r="EB136" t="e">
        <f>AND(Sheet1!#REF!,"AAAAAD/n3oM=")</f>
        <v>#REF!</v>
      </c>
      <c r="EC136" t="e">
        <f>AND(Sheet1!#REF!,"AAAAAD/n3oQ=")</f>
        <v>#REF!</v>
      </c>
      <c r="ED136" t="e">
        <f>AND(Sheet1!#REF!,"AAAAAD/n3oU=")</f>
        <v>#REF!</v>
      </c>
      <c r="EE136">
        <f>IF(Sheet1!1827:1827,"AAAAAD/n3oY=",0)</f>
        <v>0</v>
      </c>
      <c r="EF136" t="e">
        <f>AND(Sheet1!A1827,"AAAAAD/n3oc=")</f>
        <v>#VALUE!</v>
      </c>
      <c r="EG136" t="e">
        <f>AND(Sheet1!B1827,"AAAAAD/n3og=")</f>
        <v>#VALUE!</v>
      </c>
      <c r="EH136" t="e">
        <f>AND(Sheet1!C1827,"AAAAAD/n3ok=")</f>
        <v>#VALUE!</v>
      </c>
      <c r="EI136" t="e">
        <f>AND(Sheet1!D1827,"AAAAAD/n3oo=")</f>
        <v>#VALUE!</v>
      </c>
      <c r="EJ136" t="e">
        <f>AND(Sheet1!E1827,"AAAAAD/n3os=")</f>
        <v>#VALUE!</v>
      </c>
      <c r="EK136" t="e">
        <f>AND(Sheet1!F1827,"AAAAAD/n3ow=")</f>
        <v>#VALUE!</v>
      </c>
      <c r="EL136" t="e">
        <f>AND(Sheet1!G1827,"AAAAAD/n3o0=")</f>
        <v>#VALUE!</v>
      </c>
      <c r="EM136" t="e">
        <f>AND(Sheet1!H1827,"AAAAAD/n3o4=")</f>
        <v>#VALUE!</v>
      </c>
      <c r="EN136" t="e">
        <f>AND(Sheet1!I1827,"AAAAAD/n3o8=")</f>
        <v>#VALUE!</v>
      </c>
      <c r="EO136" t="e">
        <f>AND(Sheet1!J1827,"AAAAAD/n3pA=")</f>
        <v>#VALUE!</v>
      </c>
      <c r="EP136" t="e">
        <f>AND(Sheet1!K1827,"AAAAAD/n3pE=")</f>
        <v>#VALUE!</v>
      </c>
      <c r="EQ136" t="e">
        <f>AND(Sheet1!L1827,"AAAAAD/n3pI=")</f>
        <v>#VALUE!</v>
      </c>
      <c r="ER136" t="e">
        <f>AND(Sheet1!M1827,"AAAAAD/n3pM=")</f>
        <v>#VALUE!</v>
      </c>
      <c r="ES136" t="e">
        <f>AND(Sheet1!N1827,"AAAAAD/n3pQ=")</f>
        <v>#VALUE!</v>
      </c>
      <c r="ET136" t="e">
        <f>AND(Sheet1!#REF!,"AAAAAD/n3pU=")</f>
        <v>#REF!</v>
      </c>
      <c r="EU136" t="e">
        <f>AND(Sheet1!#REF!,"AAAAAD/n3pY=")</f>
        <v>#REF!</v>
      </c>
      <c r="EV136" t="e">
        <f>AND(Sheet1!#REF!,"AAAAAD/n3pc=")</f>
        <v>#REF!</v>
      </c>
      <c r="EW136" t="e">
        <f>AND(Sheet1!#REF!,"AAAAAD/n3pg=")</f>
        <v>#REF!</v>
      </c>
      <c r="EX136">
        <f>IF(Sheet1!1828:1828,"AAAAAD/n3pk=",0)</f>
        <v>0</v>
      </c>
      <c r="EY136" t="e">
        <f>AND(Sheet1!A1828,"AAAAAD/n3po=")</f>
        <v>#VALUE!</v>
      </c>
      <c r="EZ136" t="e">
        <f>AND(Sheet1!B1828,"AAAAAD/n3ps=")</f>
        <v>#VALUE!</v>
      </c>
      <c r="FA136" t="e">
        <f>AND(Sheet1!C1828,"AAAAAD/n3pw=")</f>
        <v>#VALUE!</v>
      </c>
      <c r="FB136" t="e">
        <f>AND(Sheet1!D1828,"AAAAAD/n3p0=")</f>
        <v>#VALUE!</v>
      </c>
      <c r="FC136" t="e">
        <f>AND(Sheet1!E1828,"AAAAAD/n3p4=")</f>
        <v>#VALUE!</v>
      </c>
      <c r="FD136" t="e">
        <f>AND(Sheet1!F1828,"AAAAAD/n3p8=")</f>
        <v>#VALUE!</v>
      </c>
      <c r="FE136" t="e">
        <f>AND(Sheet1!G1828,"AAAAAD/n3qA=")</f>
        <v>#VALUE!</v>
      </c>
      <c r="FF136" t="e">
        <f>AND(Sheet1!H1828,"AAAAAD/n3qE=")</f>
        <v>#VALUE!</v>
      </c>
      <c r="FG136" t="e">
        <f>AND(Sheet1!I1828,"AAAAAD/n3qI=")</f>
        <v>#VALUE!</v>
      </c>
      <c r="FH136" t="e">
        <f>AND(Sheet1!J1828,"AAAAAD/n3qM=")</f>
        <v>#VALUE!</v>
      </c>
      <c r="FI136" t="e">
        <f>AND(Sheet1!K1828,"AAAAAD/n3qQ=")</f>
        <v>#VALUE!</v>
      </c>
      <c r="FJ136" t="e">
        <f>AND(Sheet1!L1828,"AAAAAD/n3qU=")</f>
        <v>#VALUE!</v>
      </c>
      <c r="FK136" t="e">
        <f>AND(Sheet1!M1828,"AAAAAD/n3qY=")</f>
        <v>#VALUE!</v>
      </c>
      <c r="FL136" t="e">
        <f>AND(Sheet1!N1828,"AAAAAD/n3qc=")</f>
        <v>#VALUE!</v>
      </c>
      <c r="FM136" t="e">
        <f>AND(Sheet1!#REF!,"AAAAAD/n3qg=")</f>
        <v>#REF!</v>
      </c>
      <c r="FN136" t="e">
        <f>AND(Sheet1!#REF!,"AAAAAD/n3qk=")</f>
        <v>#REF!</v>
      </c>
      <c r="FO136" t="e">
        <f>AND(Sheet1!#REF!,"AAAAAD/n3qo=")</f>
        <v>#REF!</v>
      </c>
      <c r="FP136" t="e">
        <f>AND(Sheet1!#REF!,"AAAAAD/n3qs=")</f>
        <v>#REF!</v>
      </c>
      <c r="FQ136">
        <f>IF(Sheet1!1829:1829,"AAAAAD/n3qw=",0)</f>
        <v>0</v>
      </c>
      <c r="FR136" t="e">
        <f>AND(Sheet1!A1829,"AAAAAD/n3q0=")</f>
        <v>#VALUE!</v>
      </c>
      <c r="FS136" t="e">
        <f>AND(Sheet1!B1829,"AAAAAD/n3q4=")</f>
        <v>#VALUE!</v>
      </c>
      <c r="FT136" t="e">
        <f>AND(Sheet1!C1829,"AAAAAD/n3q8=")</f>
        <v>#VALUE!</v>
      </c>
      <c r="FU136" t="e">
        <f>AND(Sheet1!D1829,"AAAAAD/n3rA=")</f>
        <v>#VALUE!</v>
      </c>
      <c r="FV136" t="e">
        <f>AND(Sheet1!E1829,"AAAAAD/n3rE=")</f>
        <v>#VALUE!</v>
      </c>
      <c r="FW136" t="e">
        <f>AND(Sheet1!F1829,"AAAAAD/n3rI=")</f>
        <v>#VALUE!</v>
      </c>
      <c r="FX136" t="e">
        <f>AND(Sheet1!G1829,"AAAAAD/n3rM=")</f>
        <v>#VALUE!</v>
      </c>
      <c r="FY136" t="e">
        <f>AND(Sheet1!H1829,"AAAAAD/n3rQ=")</f>
        <v>#VALUE!</v>
      </c>
      <c r="FZ136" t="e">
        <f>AND(Sheet1!I1829,"AAAAAD/n3rU=")</f>
        <v>#VALUE!</v>
      </c>
      <c r="GA136" t="e">
        <f>AND(Sheet1!J1829,"AAAAAD/n3rY=")</f>
        <v>#VALUE!</v>
      </c>
      <c r="GB136" t="e">
        <f>AND(Sheet1!K1829,"AAAAAD/n3rc=")</f>
        <v>#VALUE!</v>
      </c>
      <c r="GC136" t="e">
        <f>AND(Sheet1!L1829,"AAAAAD/n3rg=")</f>
        <v>#VALUE!</v>
      </c>
      <c r="GD136" t="e">
        <f>AND(Sheet1!M1829,"AAAAAD/n3rk=")</f>
        <v>#VALUE!</v>
      </c>
      <c r="GE136" t="e">
        <f>AND(Sheet1!N1829,"AAAAAD/n3ro=")</f>
        <v>#VALUE!</v>
      </c>
      <c r="GF136" t="e">
        <f>AND(Sheet1!#REF!,"AAAAAD/n3rs=")</f>
        <v>#REF!</v>
      </c>
      <c r="GG136" t="e">
        <f>AND(Sheet1!#REF!,"AAAAAD/n3rw=")</f>
        <v>#REF!</v>
      </c>
      <c r="GH136" t="e">
        <f>AND(Sheet1!#REF!,"AAAAAD/n3r0=")</f>
        <v>#REF!</v>
      </c>
      <c r="GI136" t="e">
        <f>AND(Sheet1!#REF!,"AAAAAD/n3r4=")</f>
        <v>#REF!</v>
      </c>
      <c r="GJ136">
        <f>IF(Sheet1!1830:1830,"AAAAAD/n3r8=",0)</f>
        <v>0</v>
      </c>
      <c r="GK136" t="e">
        <f>AND(Sheet1!A1830,"AAAAAD/n3sA=")</f>
        <v>#VALUE!</v>
      </c>
      <c r="GL136" t="e">
        <f>AND(Sheet1!B1830,"AAAAAD/n3sE=")</f>
        <v>#VALUE!</v>
      </c>
      <c r="GM136" t="e">
        <f>AND(Sheet1!C1830,"AAAAAD/n3sI=")</f>
        <v>#VALUE!</v>
      </c>
      <c r="GN136" t="e">
        <f>AND(Sheet1!D1830,"AAAAAD/n3sM=")</f>
        <v>#VALUE!</v>
      </c>
      <c r="GO136" t="e">
        <f>AND(Sheet1!E1830,"AAAAAD/n3sQ=")</f>
        <v>#VALUE!</v>
      </c>
      <c r="GP136" t="e">
        <f>AND(Sheet1!F1830,"AAAAAD/n3sU=")</f>
        <v>#VALUE!</v>
      </c>
      <c r="GQ136" t="e">
        <f>AND(Sheet1!G1830,"AAAAAD/n3sY=")</f>
        <v>#VALUE!</v>
      </c>
      <c r="GR136" t="e">
        <f>AND(Sheet1!H1830,"AAAAAD/n3sc=")</f>
        <v>#VALUE!</v>
      </c>
      <c r="GS136" t="e">
        <f>AND(Sheet1!I1830,"AAAAAD/n3sg=")</f>
        <v>#VALUE!</v>
      </c>
      <c r="GT136" t="e">
        <f>AND(Sheet1!J1830,"AAAAAD/n3sk=")</f>
        <v>#VALUE!</v>
      </c>
      <c r="GU136" t="e">
        <f>AND(Sheet1!K1830,"AAAAAD/n3so=")</f>
        <v>#VALUE!</v>
      </c>
      <c r="GV136" t="e">
        <f>AND(Sheet1!L1830,"AAAAAD/n3ss=")</f>
        <v>#VALUE!</v>
      </c>
      <c r="GW136" t="e">
        <f>AND(Sheet1!M1830,"AAAAAD/n3sw=")</f>
        <v>#VALUE!</v>
      </c>
      <c r="GX136" t="e">
        <f>AND(Sheet1!N1830,"AAAAAD/n3s0=")</f>
        <v>#VALUE!</v>
      </c>
      <c r="GY136" t="e">
        <f>AND(Sheet1!#REF!,"AAAAAD/n3s4=")</f>
        <v>#REF!</v>
      </c>
      <c r="GZ136" t="e">
        <f>AND(Sheet1!#REF!,"AAAAAD/n3s8=")</f>
        <v>#REF!</v>
      </c>
      <c r="HA136" t="e">
        <f>AND(Sheet1!#REF!,"AAAAAD/n3tA=")</f>
        <v>#REF!</v>
      </c>
      <c r="HB136" t="e">
        <f>AND(Sheet1!#REF!,"AAAAAD/n3tE=")</f>
        <v>#REF!</v>
      </c>
      <c r="HC136">
        <f>IF(Sheet1!1831:1831,"AAAAAD/n3tI=",0)</f>
        <v>0</v>
      </c>
      <c r="HD136" t="e">
        <f>AND(Sheet1!A1831,"AAAAAD/n3tM=")</f>
        <v>#VALUE!</v>
      </c>
      <c r="HE136" t="e">
        <f>AND(Sheet1!B1831,"AAAAAD/n3tQ=")</f>
        <v>#VALUE!</v>
      </c>
      <c r="HF136" t="e">
        <f>AND(Sheet1!C1831,"AAAAAD/n3tU=")</f>
        <v>#VALUE!</v>
      </c>
      <c r="HG136" t="e">
        <f>AND(Sheet1!D1831,"AAAAAD/n3tY=")</f>
        <v>#VALUE!</v>
      </c>
      <c r="HH136" t="e">
        <f>AND(Sheet1!E1831,"AAAAAD/n3tc=")</f>
        <v>#VALUE!</v>
      </c>
      <c r="HI136" t="e">
        <f>AND(Sheet1!F1831,"AAAAAD/n3tg=")</f>
        <v>#VALUE!</v>
      </c>
      <c r="HJ136" t="e">
        <f>AND(Sheet1!G1831,"AAAAAD/n3tk=")</f>
        <v>#VALUE!</v>
      </c>
      <c r="HK136" t="e">
        <f>AND(Sheet1!H1831,"AAAAAD/n3to=")</f>
        <v>#VALUE!</v>
      </c>
      <c r="HL136" t="e">
        <f>AND(Sheet1!I1831,"AAAAAD/n3ts=")</f>
        <v>#VALUE!</v>
      </c>
      <c r="HM136" t="e">
        <f>AND(Sheet1!J1831,"AAAAAD/n3tw=")</f>
        <v>#VALUE!</v>
      </c>
      <c r="HN136" t="e">
        <f>AND(Sheet1!K1831,"AAAAAD/n3t0=")</f>
        <v>#VALUE!</v>
      </c>
      <c r="HO136" t="e">
        <f>AND(Sheet1!L1831,"AAAAAD/n3t4=")</f>
        <v>#VALUE!</v>
      </c>
      <c r="HP136" t="e">
        <f>AND(Sheet1!M1831,"AAAAAD/n3t8=")</f>
        <v>#VALUE!</v>
      </c>
      <c r="HQ136" t="e">
        <f>AND(Sheet1!N1831,"AAAAAD/n3uA=")</f>
        <v>#VALUE!</v>
      </c>
      <c r="HR136" t="e">
        <f>AND(Sheet1!#REF!,"AAAAAD/n3uE=")</f>
        <v>#REF!</v>
      </c>
      <c r="HS136" t="e">
        <f>AND(Sheet1!#REF!,"AAAAAD/n3uI=")</f>
        <v>#REF!</v>
      </c>
      <c r="HT136" t="e">
        <f>AND(Sheet1!#REF!,"AAAAAD/n3uM=")</f>
        <v>#REF!</v>
      </c>
      <c r="HU136" t="e">
        <f>AND(Sheet1!#REF!,"AAAAAD/n3uQ=")</f>
        <v>#REF!</v>
      </c>
      <c r="HV136">
        <f>IF(Sheet1!1832:1832,"AAAAAD/n3uU=",0)</f>
        <v>0</v>
      </c>
      <c r="HW136" t="e">
        <f>AND(Sheet1!A1832,"AAAAAD/n3uY=")</f>
        <v>#VALUE!</v>
      </c>
      <c r="HX136" t="e">
        <f>AND(Sheet1!B1832,"AAAAAD/n3uc=")</f>
        <v>#VALUE!</v>
      </c>
      <c r="HY136" t="e">
        <f>AND(Sheet1!C1832,"AAAAAD/n3ug=")</f>
        <v>#VALUE!</v>
      </c>
      <c r="HZ136" t="e">
        <f>AND(Sheet1!D1832,"AAAAAD/n3uk=")</f>
        <v>#VALUE!</v>
      </c>
      <c r="IA136" t="e">
        <f>AND(Sheet1!E1832,"AAAAAD/n3uo=")</f>
        <v>#VALUE!</v>
      </c>
      <c r="IB136" t="e">
        <f>AND(Sheet1!F1832,"AAAAAD/n3us=")</f>
        <v>#VALUE!</v>
      </c>
      <c r="IC136" t="e">
        <f>AND(Sheet1!G1832,"AAAAAD/n3uw=")</f>
        <v>#VALUE!</v>
      </c>
      <c r="ID136" t="e">
        <f>AND(Sheet1!H1832,"AAAAAD/n3u0=")</f>
        <v>#VALUE!</v>
      </c>
      <c r="IE136" t="e">
        <f>AND(Sheet1!I1832,"AAAAAD/n3u4=")</f>
        <v>#VALUE!</v>
      </c>
      <c r="IF136" t="e">
        <f>AND(Sheet1!J1832,"AAAAAD/n3u8=")</f>
        <v>#VALUE!</v>
      </c>
      <c r="IG136" t="e">
        <f>AND(Sheet1!K1832,"AAAAAD/n3vA=")</f>
        <v>#VALUE!</v>
      </c>
      <c r="IH136" t="e">
        <f>AND(Sheet1!L1832,"AAAAAD/n3vE=")</f>
        <v>#VALUE!</v>
      </c>
      <c r="II136" t="e">
        <f>AND(Sheet1!M1832,"AAAAAD/n3vI=")</f>
        <v>#VALUE!</v>
      </c>
      <c r="IJ136" t="e">
        <f>AND(Sheet1!N1832,"AAAAAD/n3vM=")</f>
        <v>#VALUE!</v>
      </c>
      <c r="IK136" t="e">
        <f>AND(Sheet1!#REF!,"AAAAAD/n3vQ=")</f>
        <v>#REF!</v>
      </c>
      <c r="IL136" t="e">
        <f>AND(Sheet1!#REF!,"AAAAAD/n3vU=")</f>
        <v>#REF!</v>
      </c>
      <c r="IM136" t="e">
        <f>AND(Sheet1!#REF!,"AAAAAD/n3vY=")</f>
        <v>#REF!</v>
      </c>
      <c r="IN136" t="e">
        <f>AND(Sheet1!#REF!,"AAAAAD/n3vc=")</f>
        <v>#REF!</v>
      </c>
      <c r="IO136">
        <f>IF(Sheet1!1833:1833,"AAAAAD/n3vg=",0)</f>
        <v>0</v>
      </c>
      <c r="IP136" t="e">
        <f>AND(Sheet1!A1833,"AAAAAD/n3vk=")</f>
        <v>#VALUE!</v>
      </c>
      <c r="IQ136" t="e">
        <f>AND(Sheet1!B1833,"AAAAAD/n3vo=")</f>
        <v>#VALUE!</v>
      </c>
      <c r="IR136" t="e">
        <f>AND(Sheet1!C1833,"AAAAAD/n3vs=")</f>
        <v>#VALUE!</v>
      </c>
      <c r="IS136" t="e">
        <f>AND(Sheet1!D1833,"AAAAAD/n3vw=")</f>
        <v>#VALUE!</v>
      </c>
      <c r="IT136" t="e">
        <f>AND(Sheet1!E1833,"AAAAAD/n3v0=")</f>
        <v>#VALUE!</v>
      </c>
      <c r="IU136" t="e">
        <f>AND(Sheet1!F1833,"AAAAAD/n3v4=")</f>
        <v>#VALUE!</v>
      </c>
      <c r="IV136" t="e">
        <f>AND(Sheet1!G1833,"AAAAAD/n3v8=")</f>
        <v>#VALUE!</v>
      </c>
    </row>
    <row r="137" spans="1:256" x14ac:dyDescent="0.2">
      <c r="A137" t="e">
        <f>AND(Sheet1!H1833,"AAAAADjbvwA=")</f>
        <v>#VALUE!</v>
      </c>
      <c r="B137" t="e">
        <f>AND(Sheet1!I1833,"AAAAADjbvwE=")</f>
        <v>#VALUE!</v>
      </c>
      <c r="C137" t="e">
        <f>AND(Sheet1!J1833,"AAAAADjbvwI=")</f>
        <v>#VALUE!</v>
      </c>
      <c r="D137" t="e">
        <f>AND(Sheet1!K1833,"AAAAADjbvwM=")</f>
        <v>#VALUE!</v>
      </c>
      <c r="E137" t="e">
        <f>AND(Sheet1!L1833,"AAAAADjbvwQ=")</f>
        <v>#VALUE!</v>
      </c>
      <c r="F137" t="e">
        <f>AND(Sheet1!M1833,"AAAAADjbvwU=")</f>
        <v>#VALUE!</v>
      </c>
      <c r="G137" t="e">
        <f>AND(Sheet1!N1833,"AAAAADjbvwY=")</f>
        <v>#VALUE!</v>
      </c>
      <c r="H137" t="e">
        <f>AND(Sheet1!#REF!,"AAAAADjbvwc=")</f>
        <v>#REF!</v>
      </c>
      <c r="I137" t="e">
        <f>AND(Sheet1!#REF!,"AAAAADjbvwg=")</f>
        <v>#REF!</v>
      </c>
      <c r="J137" t="e">
        <f>AND(Sheet1!#REF!,"AAAAADjbvwk=")</f>
        <v>#REF!</v>
      </c>
      <c r="K137" t="e">
        <f>AND(Sheet1!#REF!,"AAAAADjbvwo=")</f>
        <v>#REF!</v>
      </c>
      <c r="L137">
        <f>IF(Sheet1!1834:1834,"AAAAADjbvws=",0)</f>
        <v>0</v>
      </c>
      <c r="M137" t="e">
        <f>AND(Sheet1!A1834,"AAAAADjbvww=")</f>
        <v>#VALUE!</v>
      </c>
      <c r="N137" t="e">
        <f>AND(Sheet1!B1834,"AAAAADjbvw0=")</f>
        <v>#VALUE!</v>
      </c>
      <c r="O137" t="e">
        <f>AND(Sheet1!C1834,"AAAAADjbvw4=")</f>
        <v>#VALUE!</v>
      </c>
      <c r="P137" t="e">
        <f>AND(Sheet1!D1834,"AAAAADjbvw8=")</f>
        <v>#VALUE!</v>
      </c>
      <c r="Q137" t="e">
        <f>AND(Sheet1!E1834,"AAAAADjbvxA=")</f>
        <v>#VALUE!</v>
      </c>
      <c r="R137" t="e">
        <f>AND(Sheet1!F1834,"AAAAADjbvxE=")</f>
        <v>#VALUE!</v>
      </c>
      <c r="S137" t="e">
        <f>AND(Sheet1!G1834,"AAAAADjbvxI=")</f>
        <v>#VALUE!</v>
      </c>
      <c r="T137" t="e">
        <f>AND(Sheet1!H1834,"AAAAADjbvxM=")</f>
        <v>#VALUE!</v>
      </c>
      <c r="U137" t="e">
        <f>AND(Sheet1!I1834,"AAAAADjbvxQ=")</f>
        <v>#VALUE!</v>
      </c>
      <c r="V137" t="e">
        <f>AND(Sheet1!J1834,"AAAAADjbvxU=")</f>
        <v>#VALUE!</v>
      </c>
      <c r="W137" t="e">
        <f>AND(Sheet1!K1834,"AAAAADjbvxY=")</f>
        <v>#VALUE!</v>
      </c>
      <c r="X137" t="e">
        <f>AND(Sheet1!L1834,"AAAAADjbvxc=")</f>
        <v>#VALUE!</v>
      </c>
      <c r="Y137" t="e">
        <f>AND(Sheet1!M1834,"AAAAADjbvxg=")</f>
        <v>#VALUE!</v>
      </c>
      <c r="Z137" t="e">
        <f>AND(Sheet1!N1834,"AAAAADjbvxk=")</f>
        <v>#VALUE!</v>
      </c>
      <c r="AA137" t="e">
        <f>AND(Sheet1!#REF!,"AAAAADjbvxo=")</f>
        <v>#REF!</v>
      </c>
      <c r="AB137" t="e">
        <f>AND(Sheet1!#REF!,"AAAAADjbvxs=")</f>
        <v>#REF!</v>
      </c>
      <c r="AC137" t="e">
        <f>AND(Sheet1!#REF!,"AAAAADjbvxw=")</f>
        <v>#REF!</v>
      </c>
      <c r="AD137" t="e">
        <f>AND(Sheet1!#REF!,"AAAAADjbvx0=")</f>
        <v>#REF!</v>
      </c>
      <c r="AE137">
        <f>IF(Sheet1!1835:1835,"AAAAADjbvx4=",0)</f>
        <v>0</v>
      </c>
      <c r="AF137" t="e">
        <f>AND(Sheet1!A1835,"AAAAADjbvx8=")</f>
        <v>#VALUE!</v>
      </c>
      <c r="AG137" t="e">
        <f>AND(Sheet1!B1835,"AAAAADjbvyA=")</f>
        <v>#VALUE!</v>
      </c>
      <c r="AH137" t="e">
        <f>AND(Sheet1!C1835,"AAAAADjbvyE=")</f>
        <v>#VALUE!</v>
      </c>
      <c r="AI137" t="e">
        <f>AND(Sheet1!D1835,"AAAAADjbvyI=")</f>
        <v>#VALUE!</v>
      </c>
      <c r="AJ137" t="e">
        <f>AND(Sheet1!E1835,"AAAAADjbvyM=")</f>
        <v>#VALUE!</v>
      </c>
      <c r="AK137" t="e">
        <f>AND(Sheet1!F1835,"AAAAADjbvyQ=")</f>
        <v>#VALUE!</v>
      </c>
      <c r="AL137" t="e">
        <f>AND(Sheet1!G1835,"AAAAADjbvyU=")</f>
        <v>#VALUE!</v>
      </c>
      <c r="AM137" t="e">
        <f>AND(Sheet1!H1835,"AAAAADjbvyY=")</f>
        <v>#VALUE!</v>
      </c>
      <c r="AN137" t="e">
        <f>AND(Sheet1!I1835,"AAAAADjbvyc=")</f>
        <v>#VALUE!</v>
      </c>
      <c r="AO137" t="e">
        <f>AND(Sheet1!J1835,"AAAAADjbvyg=")</f>
        <v>#VALUE!</v>
      </c>
      <c r="AP137" t="e">
        <f>AND(Sheet1!K1835,"AAAAADjbvyk=")</f>
        <v>#VALUE!</v>
      </c>
      <c r="AQ137" t="e">
        <f>AND(Sheet1!L1835,"AAAAADjbvyo=")</f>
        <v>#VALUE!</v>
      </c>
      <c r="AR137" t="e">
        <f>AND(Sheet1!M1835,"AAAAADjbvys=")</f>
        <v>#VALUE!</v>
      </c>
      <c r="AS137" t="e">
        <f>AND(Sheet1!N1835,"AAAAADjbvyw=")</f>
        <v>#VALUE!</v>
      </c>
      <c r="AT137" t="e">
        <f>AND(Sheet1!#REF!,"AAAAADjbvy0=")</f>
        <v>#REF!</v>
      </c>
      <c r="AU137" t="e">
        <f>AND(Sheet1!#REF!,"AAAAADjbvy4=")</f>
        <v>#REF!</v>
      </c>
      <c r="AV137" t="e">
        <f>AND(Sheet1!#REF!,"AAAAADjbvy8=")</f>
        <v>#REF!</v>
      </c>
      <c r="AW137" t="e">
        <f>AND(Sheet1!#REF!,"AAAAADjbvzA=")</f>
        <v>#REF!</v>
      </c>
      <c r="AX137">
        <f>IF(Sheet1!1836:1836,"AAAAADjbvzE=",0)</f>
        <v>0</v>
      </c>
      <c r="AY137" t="e">
        <f>AND(Sheet1!A1836,"AAAAADjbvzI=")</f>
        <v>#VALUE!</v>
      </c>
      <c r="AZ137" t="e">
        <f>AND(Sheet1!B1836,"AAAAADjbvzM=")</f>
        <v>#VALUE!</v>
      </c>
      <c r="BA137" t="e">
        <f>AND(Sheet1!C1836,"AAAAADjbvzQ=")</f>
        <v>#VALUE!</v>
      </c>
      <c r="BB137" t="e">
        <f>AND(Sheet1!D1836,"AAAAADjbvzU=")</f>
        <v>#VALUE!</v>
      </c>
      <c r="BC137" t="e">
        <f>AND(Sheet1!E1836,"AAAAADjbvzY=")</f>
        <v>#VALUE!</v>
      </c>
      <c r="BD137" t="e">
        <f>AND(Sheet1!F1836,"AAAAADjbvzc=")</f>
        <v>#VALUE!</v>
      </c>
      <c r="BE137" t="e">
        <f>AND(Sheet1!G1836,"AAAAADjbvzg=")</f>
        <v>#VALUE!</v>
      </c>
      <c r="BF137" t="e">
        <f>AND(Sheet1!H1836,"AAAAADjbvzk=")</f>
        <v>#VALUE!</v>
      </c>
      <c r="BG137" t="e">
        <f>AND(Sheet1!I1836,"AAAAADjbvzo=")</f>
        <v>#VALUE!</v>
      </c>
      <c r="BH137" t="e">
        <f>AND(Sheet1!J1836,"AAAAADjbvzs=")</f>
        <v>#VALUE!</v>
      </c>
      <c r="BI137" t="e">
        <f>AND(Sheet1!K1836,"AAAAADjbvzw=")</f>
        <v>#VALUE!</v>
      </c>
      <c r="BJ137" t="e">
        <f>AND(Sheet1!L1836,"AAAAADjbvz0=")</f>
        <v>#VALUE!</v>
      </c>
      <c r="BK137" t="e">
        <f>AND(Sheet1!M1836,"AAAAADjbvz4=")</f>
        <v>#VALUE!</v>
      </c>
      <c r="BL137" t="e">
        <f>AND(Sheet1!N1836,"AAAAADjbvz8=")</f>
        <v>#VALUE!</v>
      </c>
      <c r="BM137" t="e">
        <f>AND(Sheet1!#REF!,"AAAAADjbv0A=")</f>
        <v>#REF!</v>
      </c>
      <c r="BN137" t="e">
        <f>AND(Sheet1!#REF!,"AAAAADjbv0E=")</f>
        <v>#REF!</v>
      </c>
      <c r="BO137" t="e">
        <f>AND(Sheet1!#REF!,"AAAAADjbv0I=")</f>
        <v>#REF!</v>
      </c>
      <c r="BP137" t="e">
        <f>AND(Sheet1!#REF!,"AAAAADjbv0M=")</f>
        <v>#REF!</v>
      </c>
      <c r="BQ137">
        <f>IF(Sheet1!1837:1837,"AAAAADjbv0Q=",0)</f>
        <v>0</v>
      </c>
      <c r="BR137" t="e">
        <f>AND(Sheet1!A1837,"AAAAADjbv0U=")</f>
        <v>#VALUE!</v>
      </c>
      <c r="BS137" t="e">
        <f>AND(Sheet1!B1837,"AAAAADjbv0Y=")</f>
        <v>#VALUE!</v>
      </c>
      <c r="BT137" t="e">
        <f>AND(Sheet1!C1837,"AAAAADjbv0c=")</f>
        <v>#VALUE!</v>
      </c>
      <c r="BU137" t="e">
        <f>AND(Sheet1!D1837,"AAAAADjbv0g=")</f>
        <v>#VALUE!</v>
      </c>
      <c r="BV137" t="e">
        <f>AND(Sheet1!E1837,"AAAAADjbv0k=")</f>
        <v>#VALUE!</v>
      </c>
      <c r="BW137" t="e">
        <f>AND(Sheet1!F1837,"AAAAADjbv0o=")</f>
        <v>#VALUE!</v>
      </c>
      <c r="BX137" t="e">
        <f>AND(Sheet1!G1837,"AAAAADjbv0s=")</f>
        <v>#VALUE!</v>
      </c>
      <c r="BY137" t="e">
        <f>AND(Sheet1!H1837,"AAAAADjbv0w=")</f>
        <v>#VALUE!</v>
      </c>
      <c r="BZ137" t="e">
        <f>AND(Sheet1!I1837,"AAAAADjbv00=")</f>
        <v>#VALUE!</v>
      </c>
      <c r="CA137" t="e">
        <f>AND(Sheet1!J1837,"AAAAADjbv04=")</f>
        <v>#VALUE!</v>
      </c>
      <c r="CB137" t="e">
        <f>AND(Sheet1!K1837,"AAAAADjbv08=")</f>
        <v>#VALUE!</v>
      </c>
      <c r="CC137" t="e">
        <f>AND(Sheet1!L1837,"AAAAADjbv1A=")</f>
        <v>#VALUE!</v>
      </c>
      <c r="CD137" t="e">
        <f>AND(Sheet1!M1837,"AAAAADjbv1E=")</f>
        <v>#VALUE!</v>
      </c>
      <c r="CE137" t="e">
        <f>AND(Sheet1!N1837,"AAAAADjbv1I=")</f>
        <v>#VALUE!</v>
      </c>
      <c r="CF137" t="e">
        <f>AND(Sheet1!#REF!,"AAAAADjbv1M=")</f>
        <v>#REF!</v>
      </c>
      <c r="CG137" t="e">
        <f>AND(Sheet1!#REF!,"AAAAADjbv1Q=")</f>
        <v>#REF!</v>
      </c>
      <c r="CH137" t="e">
        <f>AND(Sheet1!#REF!,"AAAAADjbv1U=")</f>
        <v>#REF!</v>
      </c>
      <c r="CI137" t="e">
        <f>AND(Sheet1!#REF!,"AAAAADjbv1Y=")</f>
        <v>#REF!</v>
      </c>
      <c r="CJ137">
        <f>IF(Sheet1!1838:1838,"AAAAADjbv1c=",0)</f>
        <v>0</v>
      </c>
      <c r="CK137" t="e">
        <f>AND(Sheet1!A1838,"AAAAADjbv1g=")</f>
        <v>#VALUE!</v>
      </c>
      <c r="CL137" t="e">
        <f>AND(Sheet1!B1838,"AAAAADjbv1k=")</f>
        <v>#VALUE!</v>
      </c>
      <c r="CM137" t="e">
        <f>AND(Sheet1!C1838,"AAAAADjbv1o=")</f>
        <v>#VALUE!</v>
      </c>
      <c r="CN137" t="e">
        <f>AND(Sheet1!D1838,"AAAAADjbv1s=")</f>
        <v>#VALUE!</v>
      </c>
      <c r="CO137" t="e">
        <f>AND(Sheet1!E1838,"AAAAADjbv1w=")</f>
        <v>#VALUE!</v>
      </c>
      <c r="CP137" t="e">
        <f>AND(Sheet1!F1838,"AAAAADjbv10=")</f>
        <v>#VALUE!</v>
      </c>
      <c r="CQ137" t="e">
        <f>AND(Sheet1!G1838,"AAAAADjbv14=")</f>
        <v>#VALUE!</v>
      </c>
      <c r="CR137" t="e">
        <f>AND(Sheet1!H1838,"AAAAADjbv18=")</f>
        <v>#VALUE!</v>
      </c>
      <c r="CS137" t="e">
        <f>AND(Sheet1!I1838,"AAAAADjbv2A=")</f>
        <v>#VALUE!</v>
      </c>
      <c r="CT137" t="e">
        <f>AND(Sheet1!J1838,"AAAAADjbv2E=")</f>
        <v>#VALUE!</v>
      </c>
      <c r="CU137" t="e">
        <f>AND(Sheet1!K1838,"AAAAADjbv2I=")</f>
        <v>#VALUE!</v>
      </c>
      <c r="CV137" t="e">
        <f>AND(Sheet1!L1838,"AAAAADjbv2M=")</f>
        <v>#VALUE!</v>
      </c>
      <c r="CW137" t="e">
        <f>AND(Sheet1!M1838,"AAAAADjbv2Q=")</f>
        <v>#VALUE!</v>
      </c>
      <c r="CX137" t="e">
        <f>AND(Sheet1!N1838,"AAAAADjbv2U=")</f>
        <v>#VALUE!</v>
      </c>
      <c r="CY137" t="e">
        <f>AND(Sheet1!#REF!,"AAAAADjbv2Y=")</f>
        <v>#REF!</v>
      </c>
      <c r="CZ137" t="e">
        <f>AND(Sheet1!#REF!,"AAAAADjbv2c=")</f>
        <v>#REF!</v>
      </c>
      <c r="DA137" t="e">
        <f>AND(Sheet1!#REF!,"AAAAADjbv2g=")</f>
        <v>#REF!</v>
      </c>
      <c r="DB137" t="e">
        <f>AND(Sheet1!#REF!,"AAAAADjbv2k=")</f>
        <v>#REF!</v>
      </c>
      <c r="DC137">
        <f>IF(Sheet1!1839:1839,"AAAAADjbv2o=",0)</f>
        <v>0</v>
      </c>
      <c r="DD137" t="e">
        <f>AND(Sheet1!A1839,"AAAAADjbv2s=")</f>
        <v>#VALUE!</v>
      </c>
      <c r="DE137" t="e">
        <f>AND(Sheet1!B1839,"AAAAADjbv2w=")</f>
        <v>#VALUE!</v>
      </c>
      <c r="DF137" t="e">
        <f>AND(Sheet1!C1839,"AAAAADjbv20=")</f>
        <v>#VALUE!</v>
      </c>
      <c r="DG137" t="e">
        <f>AND(Sheet1!D1839,"AAAAADjbv24=")</f>
        <v>#VALUE!</v>
      </c>
      <c r="DH137" t="e">
        <f>AND(Sheet1!E1839,"AAAAADjbv28=")</f>
        <v>#VALUE!</v>
      </c>
      <c r="DI137" t="e">
        <f>AND(Sheet1!F1839,"AAAAADjbv3A=")</f>
        <v>#VALUE!</v>
      </c>
      <c r="DJ137" t="e">
        <f>AND(Sheet1!G1839,"AAAAADjbv3E=")</f>
        <v>#VALUE!</v>
      </c>
      <c r="DK137" t="e">
        <f>AND(Sheet1!H1839,"AAAAADjbv3I=")</f>
        <v>#VALUE!</v>
      </c>
      <c r="DL137" t="e">
        <f>AND(Sheet1!I1839,"AAAAADjbv3M=")</f>
        <v>#VALUE!</v>
      </c>
      <c r="DM137" t="e">
        <f>AND(Sheet1!J1839,"AAAAADjbv3Q=")</f>
        <v>#VALUE!</v>
      </c>
      <c r="DN137" t="e">
        <f>AND(Sheet1!K1839,"AAAAADjbv3U=")</f>
        <v>#VALUE!</v>
      </c>
      <c r="DO137" t="e">
        <f>AND(Sheet1!L1839,"AAAAADjbv3Y=")</f>
        <v>#VALUE!</v>
      </c>
      <c r="DP137" t="e">
        <f>AND(Sheet1!M1839,"AAAAADjbv3c=")</f>
        <v>#VALUE!</v>
      </c>
      <c r="DQ137" t="e">
        <f>AND(Sheet1!N1839,"AAAAADjbv3g=")</f>
        <v>#VALUE!</v>
      </c>
      <c r="DR137" t="e">
        <f>AND(Sheet1!#REF!,"AAAAADjbv3k=")</f>
        <v>#REF!</v>
      </c>
      <c r="DS137" t="e">
        <f>AND(Sheet1!#REF!,"AAAAADjbv3o=")</f>
        <v>#REF!</v>
      </c>
      <c r="DT137" t="e">
        <f>AND(Sheet1!#REF!,"AAAAADjbv3s=")</f>
        <v>#REF!</v>
      </c>
      <c r="DU137" t="e">
        <f>AND(Sheet1!#REF!,"AAAAADjbv3w=")</f>
        <v>#REF!</v>
      </c>
      <c r="DV137">
        <f>IF(Sheet1!1840:1840,"AAAAADjbv30=",0)</f>
        <v>0</v>
      </c>
      <c r="DW137" t="e">
        <f>AND(Sheet1!A1840,"AAAAADjbv34=")</f>
        <v>#VALUE!</v>
      </c>
      <c r="DX137" t="e">
        <f>AND(Sheet1!B1840,"AAAAADjbv38=")</f>
        <v>#VALUE!</v>
      </c>
      <c r="DY137" t="e">
        <f>AND(Sheet1!C1840,"AAAAADjbv4A=")</f>
        <v>#VALUE!</v>
      </c>
      <c r="DZ137" t="e">
        <f>AND(Sheet1!D1840,"AAAAADjbv4E=")</f>
        <v>#VALUE!</v>
      </c>
      <c r="EA137" t="e">
        <f>AND(Sheet1!E1840,"AAAAADjbv4I=")</f>
        <v>#VALUE!</v>
      </c>
      <c r="EB137" t="e">
        <f>AND(Sheet1!F1840,"AAAAADjbv4M=")</f>
        <v>#VALUE!</v>
      </c>
      <c r="EC137" t="e">
        <f>AND(Sheet1!G1840,"AAAAADjbv4Q=")</f>
        <v>#VALUE!</v>
      </c>
      <c r="ED137" t="e">
        <f>AND(Sheet1!H1840,"AAAAADjbv4U=")</f>
        <v>#VALUE!</v>
      </c>
      <c r="EE137" t="e">
        <f>AND(Sheet1!I1840,"AAAAADjbv4Y=")</f>
        <v>#VALUE!</v>
      </c>
      <c r="EF137" t="e">
        <f>AND(Sheet1!J1840,"AAAAADjbv4c=")</f>
        <v>#VALUE!</v>
      </c>
      <c r="EG137" t="e">
        <f>AND(Sheet1!K1840,"AAAAADjbv4g=")</f>
        <v>#VALUE!</v>
      </c>
      <c r="EH137" t="e">
        <f>AND(Sheet1!L1840,"AAAAADjbv4k=")</f>
        <v>#VALUE!</v>
      </c>
      <c r="EI137" t="e">
        <f>AND(Sheet1!M1840,"AAAAADjbv4o=")</f>
        <v>#VALUE!</v>
      </c>
      <c r="EJ137" t="e">
        <f>AND(Sheet1!N1840,"AAAAADjbv4s=")</f>
        <v>#VALUE!</v>
      </c>
      <c r="EK137" t="e">
        <f>AND(Sheet1!#REF!,"AAAAADjbv4w=")</f>
        <v>#REF!</v>
      </c>
      <c r="EL137" t="e">
        <f>AND(Sheet1!#REF!,"AAAAADjbv40=")</f>
        <v>#REF!</v>
      </c>
      <c r="EM137" t="e">
        <f>AND(Sheet1!#REF!,"AAAAADjbv44=")</f>
        <v>#REF!</v>
      </c>
      <c r="EN137" t="e">
        <f>AND(Sheet1!#REF!,"AAAAADjbv48=")</f>
        <v>#REF!</v>
      </c>
      <c r="EO137">
        <f>IF(Sheet1!1841:1841,"AAAAADjbv5A=",0)</f>
        <v>0</v>
      </c>
      <c r="EP137" t="e">
        <f>AND(Sheet1!A1841,"AAAAADjbv5E=")</f>
        <v>#VALUE!</v>
      </c>
      <c r="EQ137" t="e">
        <f>AND(Sheet1!B1841,"AAAAADjbv5I=")</f>
        <v>#VALUE!</v>
      </c>
      <c r="ER137" t="e">
        <f>AND(Sheet1!C1841,"AAAAADjbv5M=")</f>
        <v>#VALUE!</v>
      </c>
      <c r="ES137" t="e">
        <f>AND(Sheet1!D1841,"AAAAADjbv5Q=")</f>
        <v>#VALUE!</v>
      </c>
      <c r="ET137" t="e">
        <f>AND(Sheet1!E1841,"AAAAADjbv5U=")</f>
        <v>#VALUE!</v>
      </c>
      <c r="EU137" t="e">
        <f>AND(Sheet1!F1841,"AAAAADjbv5Y=")</f>
        <v>#VALUE!</v>
      </c>
      <c r="EV137" t="e">
        <f>AND(Sheet1!G1841,"AAAAADjbv5c=")</f>
        <v>#VALUE!</v>
      </c>
      <c r="EW137" t="e">
        <f>AND(Sheet1!H1841,"AAAAADjbv5g=")</f>
        <v>#VALUE!</v>
      </c>
      <c r="EX137" t="e">
        <f>AND(Sheet1!I1841,"AAAAADjbv5k=")</f>
        <v>#VALUE!</v>
      </c>
      <c r="EY137" t="e">
        <f>AND(Sheet1!J1841,"AAAAADjbv5o=")</f>
        <v>#VALUE!</v>
      </c>
      <c r="EZ137" t="e">
        <f>AND(Sheet1!K1841,"AAAAADjbv5s=")</f>
        <v>#VALUE!</v>
      </c>
      <c r="FA137" t="e">
        <f>AND(Sheet1!L1841,"AAAAADjbv5w=")</f>
        <v>#VALUE!</v>
      </c>
      <c r="FB137" t="e">
        <f>AND(Sheet1!M1841,"AAAAADjbv50=")</f>
        <v>#VALUE!</v>
      </c>
      <c r="FC137" t="e">
        <f>AND(Sheet1!N1841,"AAAAADjbv54=")</f>
        <v>#VALUE!</v>
      </c>
      <c r="FD137" t="e">
        <f>AND(Sheet1!#REF!,"AAAAADjbv58=")</f>
        <v>#REF!</v>
      </c>
      <c r="FE137" t="e">
        <f>AND(Sheet1!#REF!,"AAAAADjbv6A=")</f>
        <v>#REF!</v>
      </c>
      <c r="FF137" t="e">
        <f>AND(Sheet1!#REF!,"AAAAADjbv6E=")</f>
        <v>#REF!</v>
      </c>
      <c r="FG137" t="e">
        <f>AND(Sheet1!#REF!,"AAAAADjbv6I=")</f>
        <v>#REF!</v>
      </c>
      <c r="FH137">
        <f>IF(Sheet1!1842:1842,"AAAAADjbv6M=",0)</f>
        <v>0</v>
      </c>
      <c r="FI137" t="e">
        <f>AND(Sheet1!A1842,"AAAAADjbv6Q=")</f>
        <v>#VALUE!</v>
      </c>
      <c r="FJ137" t="e">
        <f>AND(Sheet1!B1842,"AAAAADjbv6U=")</f>
        <v>#VALUE!</v>
      </c>
      <c r="FK137" t="e">
        <f>AND(Sheet1!C1842,"AAAAADjbv6Y=")</f>
        <v>#VALUE!</v>
      </c>
      <c r="FL137" t="e">
        <f>AND(Sheet1!D1842,"AAAAADjbv6c=")</f>
        <v>#VALUE!</v>
      </c>
      <c r="FM137" t="e">
        <f>AND(Sheet1!E1842,"AAAAADjbv6g=")</f>
        <v>#VALUE!</v>
      </c>
      <c r="FN137" t="e">
        <f>AND(Sheet1!F1842,"AAAAADjbv6k=")</f>
        <v>#VALUE!</v>
      </c>
      <c r="FO137" t="e">
        <f>AND(Sheet1!G1842,"AAAAADjbv6o=")</f>
        <v>#VALUE!</v>
      </c>
      <c r="FP137" t="e">
        <f>AND(Sheet1!H1842,"AAAAADjbv6s=")</f>
        <v>#VALUE!</v>
      </c>
      <c r="FQ137" t="e">
        <f>AND(Sheet1!I1842,"AAAAADjbv6w=")</f>
        <v>#VALUE!</v>
      </c>
      <c r="FR137" t="e">
        <f>AND(Sheet1!J1842,"AAAAADjbv60=")</f>
        <v>#VALUE!</v>
      </c>
      <c r="FS137" t="e">
        <f>AND(Sheet1!K1842,"AAAAADjbv64=")</f>
        <v>#VALUE!</v>
      </c>
      <c r="FT137" t="e">
        <f>AND(Sheet1!L1842,"AAAAADjbv68=")</f>
        <v>#VALUE!</v>
      </c>
      <c r="FU137" t="e">
        <f>AND(Sheet1!M1842,"AAAAADjbv7A=")</f>
        <v>#VALUE!</v>
      </c>
      <c r="FV137" t="e">
        <f>AND(Sheet1!N1842,"AAAAADjbv7E=")</f>
        <v>#VALUE!</v>
      </c>
      <c r="FW137" t="e">
        <f>AND(Sheet1!#REF!,"AAAAADjbv7I=")</f>
        <v>#REF!</v>
      </c>
      <c r="FX137" t="e">
        <f>AND(Sheet1!#REF!,"AAAAADjbv7M=")</f>
        <v>#REF!</v>
      </c>
      <c r="FY137" t="e">
        <f>AND(Sheet1!#REF!,"AAAAADjbv7Q=")</f>
        <v>#REF!</v>
      </c>
      <c r="FZ137" t="e">
        <f>AND(Sheet1!#REF!,"AAAAADjbv7U=")</f>
        <v>#REF!</v>
      </c>
      <c r="GA137">
        <f>IF(Sheet1!1843:1843,"AAAAADjbv7Y=",0)</f>
        <v>0</v>
      </c>
      <c r="GB137" t="e">
        <f>AND(Sheet1!A1843,"AAAAADjbv7c=")</f>
        <v>#VALUE!</v>
      </c>
      <c r="GC137" t="e">
        <f>AND(Sheet1!B1843,"AAAAADjbv7g=")</f>
        <v>#VALUE!</v>
      </c>
      <c r="GD137" t="e">
        <f>AND(Sheet1!C1843,"AAAAADjbv7k=")</f>
        <v>#VALUE!</v>
      </c>
      <c r="GE137" t="e">
        <f>AND(Sheet1!D1843,"AAAAADjbv7o=")</f>
        <v>#VALUE!</v>
      </c>
      <c r="GF137" t="e">
        <f>AND(Sheet1!E1843,"AAAAADjbv7s=")</f>
        <v>#VALUE!</v>
      </c>
      <c r="GG137" t="e">
        <f>AND(Sheet1!F1843,"AAAAADjbv7w=")</f>
        <v>#VALUE!</v>
      </c>
      <c r="GH137" t="e">
        <f>AND(Sheet1!G1843,"AAAAADjbv70=")</f>
        <v>#VALUE!</v>
      </c>
      <c r="GI137" t="e">
        <f>AND(Sheet1!H1843,"AAAAADjbv74=")</f>
        <v>#VALUE!</v>
      </c>
      <c r="GJ137" t="e">
        <f>AND(Sheet1!I1843,"AAAAADjbv78=")</f>
        <v>#VALUE!</v>
      </c>
      <c r="GK137" t="e">
        <f>AND(Sheet1!J1843,"AAAAADjbv8A=")</f>
        <v>#VALUE!</v>
      </c>
      <c r="GL137" t="e">
        <f>AND(Sheet1!K1843,"AAAAADjbv8E=")</f>
        <v>#VALUE!</v>
      </c>
      <c r="GM137" t="e">
        <f>AND(Sheet1!L1843,"AAAAADjbv8I=")</f>
        <v>#VALUE!</v>
      </c>
      <c r="GN137" t="e">
        <f>AND(Sheet1!M1843,"AAAAADjbv8M=")</f>
        <v>#VALUE!</v>
      </c>
      <c r="GO137" t="e">
        <f>AND(Sheet1!N1843,"AAAAADjbv8Q=")</f>
        <v>#VALUE!</v>
      </c>
      <c r="GP137" t="e">
        <f>AND(Sheet1!#REF!,"AAAAADjbv8U=")</f>
        <v>#REF!</v>
      </c>
      <c r="GQ137" t="e">
        <f>AND(Sheet1!#REF!,"AAAAADjbv8Y=")</f>
        <v>#REF!</v>
      </c>
      <c r="GR137" t="e">
        <f>AND(Sheet1!#REF!,"AAAAADjbv8c=")</f>
        <v>#REF!</v>
      </c>
      <c r="GS137" t="e">
        <f>AND(Sheet1!#REF!,"AAAAADjbv8g=")</f>
        <v>#REF!</v>
      </c>
      <c r="GT137">
        <f>IF(Sheet1!1844:1844,"AAAAADjbv8k=",0)</f>
        <v>0</v>
      </c>
      <c r="GU137" t="e">
        <f>AND(Sheet1!A1844,"AAAAADjbv8o=")</f>
        <v>#VALUE!</v>
      </c>
      <c r="GV137" t="e">
        <f>AND(Sheet1!B1844,"AAAAADjbv8s=")</f>
        <v>#VALUE!</v>
      </c>
      <c r="GW137" t="e">
        <f>AND(Sheet1!C1844,"AAAAADjbv8w=")</f>
        <v>#VALUE!</v>
      </c>
      <c r="GX137" t="e">
        <f>AND(Sheet1!D1844,"AAAAADjbv80=")</f>
        <v>#VALUE!</v>
      </c>
      <c r="GY137" t="e">
        <f>AND(Sheet1!E1844,"AAAAADjbv84=")</f>
        <v>#VALUE!</v>
      </c>
      <c r="GZ137" t="e">
        <f>AND(Sheet1!F1844,"AAAAADjbv88=")</f>
        <v>#VALUE!</v>
      </c>
      <c r="HA137" t="e">
        <f>AND(Sheet1!G1844,"AAAAADjbv9A=")</f>
        <v>#VALUE!</v>
      </c>
      <c r="HB137" t="e">
        <f>AND(Sheet1!H1844,"AAAAADjbv9E=")</f>
        <v>#VALUE!</v>
      </c>
      <c r="HC137" t="e">
        <f>AND(Sheet1!I1844,"AAAAADjbv9I=")</f>
        <v>#VALUE!</v>
      </c>
      <c r="HD137" t="e">
        <f>AND(Sheet1!J1844,"AAAAADjbv9M=")</f>
        <v>#VALUE!</v>
      </c>
      <c r="HE137" t="e">
        <f>AND(Sheet1!K1844,"AAAAADjbv9Q=")</f>
        <v>#VALUE!</v>
      </c>
      <c r="HF137" t="e">
        <f>AND(Sheet1!L1844,"AAAAADjbv9U=")</f>
        <v>#VALUE!</v>
      </c>
      <c r="HG137" t="e">
        <f>AND(Sheet1!M1844,"AAAAADjbv9Y=")</f>
        <v>#VALUE!</v>
      </c>
      <c r="HH137" t="e">
        <f>AND(Sheet1!N1844,"AAAAADjbv9c=")</f>
        <v>#VALUE!</v>
      </c>
      <c r="HI137" t="e">
        <f>AND(Sheet1!#REF!,"AAAAADjbv9g=")</f>
        <v>#REF!</v>
      </c>
      <c r="HJ137" t="e">
        <f>AND(Sheet1!#REF!,"AAAAADjbv9k=")</f>
        <v>#REF!</v>
      </c>
      <c r="HK137" t="e">
        <f>AND(Sheet1!#REF!,"AAAAADjbv9o=")</f>
        <v>#REF!</v>
      </c>
      <c r="HL137" t="e">
        <f>AND(Sheet1!#REF!,"AAAAADjbv9s=")</f>
        <v>#REF!</v>
      </c>
      <c r="HM137">
        <f>IF(Sheet1!1845:1845,"AAAAADjbv9w=",0)</f>
        <v>0</v>
      </c>
      <c r="HN137" t="e">
        <f>AND(Sheet1!A1845,"AAAAADjbv90=")</f>
        <v>#VALUE!</v>
      </c>
      <c r="HO137" t="e">
        <f>AND(Sheet1!B1845,"AAAAADjbv94=")</f>
        <v>#VALUE!</v>
      </c>
      <c r="HP137" t="e">
        <f>AND(Sheet1!C1845,"AAAAADjbv98=")</f>
        <v>#VALUE!</v>
      </c>
      <c r="HQ137" t="e">
        <f>AND(Sheet1!D1845,"AAAAADjbv+A=")</f>
        <v>#VALUE!</v>
      </c>
      <c r="HR137" t="e">
        <f>AND(Sheet1!E1845,"AAAAADjbv+E=")</f>
        <v>#VALUE!</v>
      </c>
      <c r="HS137" t="e">
        <f>AND(Sheet1!F1845,"AAAAADjbv+I=")</f>
        <v>#VALUE!</v>
      </c>
      <c r="HT137" t="e">
        <f>AND(Sheet1!G1845,"AAAAADjbv+M=")</f>
        <v>#VALUE!</v>
      </c>
      <c r="HU137" t="e">
        <f>AND(Sheet1!H1845,"AAAAADjbv+Q=")</f>
        <v>#VALUE!</v>
      </c>
      <c r="HV137" t="e">
        <f>AND(Sheet1!I1845,"AAAAADjbv+U=")</f>
        <v>#VALUE!</v>
      </c>
      <c r="HW137" t="e">
        <f>AND(Sheet1!J1845,"AAAAADjbv+Y=")</f>
        <v>#VALUE!</v>
      </c>
      <c r="HX137" t="e">
        <f>AND(Sheet1!K1845,"AAAAADjbv+c=")</f>
        <v>#VALUE!</v>
      </c>
      <c r="HY137" t="e">
        <f>AND(Sheet1!L1845,"AAAAADjbv+g=")</f>
        <v>#VALUE!</v>
      </c>
      <c r="HZ137" t="e">
        <f>AND(Sheet1!M1845,"AAAAADjbv+k=")</f>
        <v>#VALUE!</v>
      </c>
      <c r="IA137" t="e">
        <f>AND(Sheet1!N1845,"AAAAADjbv+o=")</f>
        <v>#VALUE!</v>
      </c>
      <c r="IB137" t="e">
        <f>AND(Sheet1!#REF!,"AAAAADjbv+s=")</f>
        <v>#REF!</v>
      </c>
      <c r="IC137" t="e">
        <f>AND(Sheet1!#REF!,"AAAAADjbv+w=")</f>
        <v>#REF!</v>
      </c>
      <c r="ID137" t="e">
        <f>AND(Sheet1!#REF!,"AAAAADjbv+0=")</f>
        <v>#REF!</v>
      </c>
      <c r="IE137" t="e">
        <f>AND(Sheet1!#REF!,"AAAAADjbv+4=")</f>
        <v>#REF!</v>
      </c>
      <c r="IF137">
        <f>IF(Sheet1!1846:1846,"AAAAADjbv+8=",0)</f>
        <v>0</v>
      </c>
      <c r="IG137" t="e">
        <f>AND(Sheet1!A1846,"AAAAADjbv/A=")</f>
        <v>#VALUE!</v>
      </c>
      <c r="IH137" t="e">
        <f>AND(Sheet1!B1846,"AAAAADjbv/E=")</f>
        <v>#VALUE!</v>
      </c>
      <c r="II137" t="e">
        <f>AND(Sheet1!C1846,"AAAAADjbv/I=")</f>
        <v>#VALUE!</v>
      </c>
      <c r="IJ137" t="e">
        <f>AND(Sheet1!D1846,"AAAAADjbv/M=")</f>
        <v>#VALUE!</v>
      </c>
      <c r="IK137" t="e">
        <f>AND(Sheet1!E1846,"AAAAADjbv/Q=")</f>
        <v>#VALUE!</v>
      </c>
      <c r="IL137" t="e">
        <f>AND(Sheet1!F1846,"AAAAADjbv/U=")</f>
        <v>#VALUE!</v>
      </c>
      <c r="IM137" t="e">
        <f>AND(Sheet1!G1846,"AAAAADjbv/Y=")</f>
        <v>#VALUE!</v>
      </c>
      <c r="IN137" t="e">
        <f>AND(Sheet1!H1846,"AAAAADjbv/c=")</f>
        <v>#VALUE!</v>
      </c>
      <c r="IO137" t="e">
        <f>AND(Sheet1!I1846,"AAAAADjbv/g=")</f>
        <v>#VALUE!</v>
      </c>
      <c r="IP137" t="e">
        <f>AND(Sheet1!J1846,"AAAAADjbv/k=")</f>
        <v>#VALUE!</v>
      </c>
      <c r="IQ137" t="e">
        <f>AND(Sheet1!K1846,"AAAAADjbv/o=")</f>
        <v>#VALUE!</v>
      </c>
      <c r="IR137" t="e">
        <f>AND(Sheet1!L1846,"AAAAADjbv/s=")</f>
        <v>#VALUE!</v>
      </c>
      <c r="IS137" t="e">
        <f>AND(Sheet1!M1846,"AAAAADjbv/w=")</f>
        <v>#VALUE!</v>
      </c>
      <c r="IT137" t="e">
        <f>AND(Sheet1!N1846,"AAAAADjbv/0=")</f>
        <v>#VALUE!</v>
      </c>
      <c r="IU137" t="e">
        <f>AND(Sheet1!#REF!,"AAAAADjbv/4=")</f>
        <v>#REF!</v>
      </c>
      <c r="IV137" t="e">
        <f>AND(Sheet1!#REF!,"AAAAADjbv/8=")</f>
        <v>#REF!</v>
      </c>
    </row>
    <row r="138" spans="1:256" x14ac:dyDescent="0.2">
      <c r="A138" t="e">
        <f>AND(Sheet1!#REF!,"AAAAAHte5wA=")</f>
        <v>#REF!</v>
      </c>
      <c r="B138" t="e">
        <f>AND(Sheet1!#REF!,"AAAAAHte5wE=")</f>
        <v>#REF!</v>
      </c>
      <c r="C138" t="e">
        <f>IF(Sheet1!1847:1847,"AAAAAHte5wI=",0)</f>
        <v>#VALUE!</v>
      </c>
      <c r="D138" t="e">
        <f>AND(Sheet1!A1847,"AAAAAHte5wM=")</f>
        <v>#VALUE!</v>
      </c>
      <c r="E138" t="e">
        <f>AND(Sheet1!B1847,"AAAAAHte5wQ=")</f>
        <v>#VALUE!</v>
      </c>
      <c r="F138" t="e">
        <f>AND(Sheet1!C1847,"AAAAAHte5wU=")</f>
        <v>#VALUE!</v>
      </c>
      <c r="G138" t="e">
        <f>AND(Sheet1!D1847,"AAAAAHte5wY=")</f>
        <v>#VALUE!</v>
      </c>
      <c r="H138" t="e">
        <f>AND(Sheet1!E1847,"AAAAAHte5wc=")</f>
        <v>#VALUE!</v>
      </c>
      <c r="I138" t="e">
        <f>AND(Sheet1!F1847,"AAAAAHte5wg=")</f>
        <v>#VALUE!</v>
      </c>
      <c r="J138" t="e">
        <f>AND(Sheet1!G1847,"AAAAAHte5wk=")</f>
        <v>#VALUE!</v>
      </c>
      <c r="K138" t="e">
        <f>AND(Sheet1!H1847,"AAAAAHte5wo=")</f>
        <v>#VALUE!</v>
      </c>
      <c r="L138" t="e">
        <f>AND(Sheet1!I1847,"AAAAAHte5ws=")</f>
        <v>#VALUE!</v>
      </c>
      <c r="M138" t="e">
        <f>AND(Sheet1!J1847,"AAAAAHte5ww=")</f>
        <v>#VALUE!</v>
      </c>
      <c r="N138" t="e">
        <f>AND(Sheet1!K1847,"AAAAAHte5w0=")</f>
        <v>#VALUE!</v>
      </c>
      <c r="O138" t="e">
        <f>AND(Sheet1!L1847,"AAAAAHte5w4=")</f>
        <v>#VALUE!</v>
      </c>
      <c r="P138" t="e">
        <f>AND(Sheet1!M1847,"AAAAAHte5w8=")</f>
        <v>#VALUE!</v>
      </c>
      <c r="Q138" t="e">
        <f>AND(Sheet1!N1847,"AAAAAHte5xA=")</f>
        <v>#VALUE!</v>
      </c>
      <c r="R138" t="e">
        <f>AND(Sheet1!#REF!,"AAAAAHte5xE=")</f>
        <v>#REF!</v>
      </c>
      <c r="S138" t="e">
        <f>AND(Sheet1!#REF!,"AAAAAHte5xI=")</f>
        <v>#REF!</v>
      </c>
      <c r="T138" t="e">
        <f>AND(Sheet1!#REF!,"AAAAAHte5xM=")</f>
        <v>#REF!</v>
      </c>
      <c r="U138" t="e">
        <f>AND(Sheet1!#REF!,"AAAAAHte5xQ=")</f>
        <v>#REF!</v>
      </c>
      <c r="V138">
        <f>IF(Sheet1!1848:1848,"AAAAAHte5xU=",0)</f>
        <v>0</v>
      </c>
      <c r="W138" t="e">
        <f>AND(Sheet1!A1848,"AAAAAHte5xY=")</f>
        <v>#VALUE!</v>
      </c>
      <c r="X138" t="e">
        <f>AND(Sheet1!B1848,"AAAAAHte5xc=")</f>
        <v>#VALUE!</v>
      </c>
      <c r="Y138" t="e">
        <f>AND(Sheet1!C1848,"AAAAAHte5xg=")</f>
        <v>#VALUE!</v>
      </c>
      <c r="Z138" t="e">
        <f>AND(Sheet1!D1848,"AAAAAHte5xk=")</f>
        <v>#VALUE!</v>
      </c>
      <c r="AA138" t="e">
        <f>AND(Sheet1!E1848,"AAAAAHte5xo=")</f>
        <v>#VALUE!</v>
      </c>
      <c r="AB138" t="e">
        <f>AND(Sheet1!F1848,"AAAAAHte5xs=")</f>
        <v>#VALUE!</v>
      </c>
      <c r="AC138" t="e">
        <f>AND(Sheet1!G1848,"AAAAAHte5xw=")</f>
        <v>#VALUE!</v>
      </c>
      <c r="AD138" t="e">
        <f>AND(Sheet1!H1848,"AAAAAHte5x0=")</f>
        <v>#VALUE!</v>
      </c>
      <c r="AE138" t="e">
        <f>AND(Sheet1!I1848,"AAAAAHte5x4=")</f>
        <v>#VALUE!</v>
      </c>
      <c r="AF138" t="e">
        <f>AND(Sheet1!J1848,"AAAAAHte5x8=")</f>
        <v>#VALUE!</v>
      </c>
      <c r="AG138" t="e">
        <f>AND(Sheet1!K1848,"AAAAAHte5yA=")</f>
        <v>#VALUE!</v>
      </c>
      <c r="AH138" t="e">
        <f>AND(Sheet1!L1848,"AAAAAHte5yE=")</f>
        <v>#VALUE!</v>
      </c>
      <c r="AI138" t="e">
        <f>AND(Sheet1!M1848,"AAAAAHte5yI=")</f>
        <v>#VALUE!</v>
      </c>
      <c r="AJ138" t="e">
        <f>AND(Sheet1!N1848,"AAAAAHte5yM=")</f>
        <v>#VALUE!</v>
      </c>
      <c r="AK138" t="e">
        <f>AND(Sheet1!#REF!,"AAAAAHte5yQ=")</f>
        <v>#REF!</v>
      </c>
      <c r="AL138" t="e">
        <f>AND(Sheet1!#REF!,"AAAAAHte5yU=")</f>
        <v>#REF!</v>
      </c>
      <c r="AM138" t="e">
        <f>AND(Sheet1!#REF!,"AAAAAHte5yY=")</f>
        <v>#REF!</v>
      </c>
      <c r="AN138" t="e">
        <f>AND(Sheet1!#REF!,"AAAAAHte5yc=")</f>
        <v>#REF!</v>
      </c>
      <c r="AO138">
        <f>IF(Sheet1!1849:1849,"AAAAAHte5yg=",0)</f>
        <v>0</v>
      </c>
      <c r="AP138" t="e">
        <f>AND(Sheet1!A1849,"AAAAAHte5yk=")</f>
        <v>#VALUE!</v>
      </c>
      <c r="AQ138" t="e">
        <f>AND(Sheet1!B1849,"AAAAAHte5yo=")</f>
        <v>#VALUE!</v>
      </c>
      <c r="AR138" t="e">
        <f>AND(Sheet1!C1849,"AAAAAHte5ys=")</f>
        <v>#VALUE!</v>
      </c>
      <c r="AS138" t="e">
        <f>AND(Sheet1!D1849,"AAAAAHte5yw=")</f>
        <v>#VALUE!</v>
      </c>
      <c r="AT138" t="e">
        <f>AND(Sheet1!E1849,"AAAAAHte5y0=")</f>
        <v>#VALUE!</v>
      </c>
      <c r="AU138" t="e">
        <f>AND(Sheet1!F1849,"AAAAAHte5y4=")</f>
        <v>#VALUE!</v>
      </c>
      <c r="AV138" t="e">
        <f>AND(Sheet1!G1849,"AAAAAHte5y8=")</f>
        <v>#VALUE!</v>
      </c>
      <c r="AW138" t="e">
        <f>AND(Sheet1!H1849,"AAAAAHte5zA=")</f>
        <v>#VALUE!</v>
      </c>
      <c r="AX138" t="e">
        <f>AND(Sheet1!I1849,"AAAAAHte5zE=")</f>
        <v>#VALUE!</v>
      </c>
      <c r="AY138" t="e">
        <f>AND(Sheet1!J1849,"AAAAAHte5zI=")</f>
        <v>#VALUE!</v>
      </c>
      <c r="AZ138" t="e">
        <f>AND(Sheet1!K1849,"AAAAAHte5zM=")</f>
        <v>#VALUE!</v>
      </c>
      <c r="BA138" t="e">
        <f>AND(Sheet1!L1849,"AAAAAHte5zQ=")</f>
        <v>#VALUE!</v>
      </c>
      <c r="BB138" t="e">
        <f>AND(Sheet1!M1849,"AAAAAHte5zU=")</f>
        <v>#VALUE!</v>
      </c>
      <c r="BC138" t="e">
        <f>AND(Sheet1!N1849,"AAAAAHte5zY=")</f>
        <v>#VALUE!</v>
      </c>
      <c r="BD138" t="e">
        <f>AND(Sheet1!#REF!,"AAAAAHte5zc=")</f>
        <v>#REF!</v>
      </c>
      <c r="BE138" t="e">
        <f>AND(Sheet1!#REF!,"AAAAAHte5zg=")</f>
        <v>#REF!</v>
      </c>
      <c r="BF138" t="e">
        <f>AND(Sheet1!#REF!,"AAAAAHte5zk=")</f>
        <v>#REF!</v>
      </c>
      <c r="BG138" t="e">
        <f>AND(Sheet1!#REF!,"AAAAAHte5zo=")</f>
        <v>#REF!</v>
      </c>
      <c r="BH138">
        <f>IF(Sheet1!1850:1850,"AAAAAHte5zs=",0)</f>
        <v>0</v>
      </c>
      <c r="BI138" t="e">
        <f>AND(Sheet1!A1850,"AAAAAHte5zw=")</f>
        <v>#VALUE!</v>
      </c>
      <c r="BJ138" t="e">
        <f>AND(Sheet1!B1850,"AAAAAHte5z0=")</f>
        <v>#VALUE!</v>
      </c>
      <c r="BK138" t="e">
        <f>AND(Sheet1!C1850,"AAAAAHte5z4=")</f>
        <v>#VALUE!</v>
      </c>
      <c r="BL138" t="e">
        <f>AND(Sheet1!D1850,"AAAAAHte5z8=")</f>
        <v>#VALUE!</v>
      </c>
      <c r="BM138" t="e">
        <f>AND(Sheet1!E1850,"AAAAAHte50A=")</f>
        <v>#VALUE!</v>
      </c>
      <c r="BN138" t="e">
        <f>AND(Sheet1!F1850,"AAAAAHte50E=")</f>
        <v>#VALUE!</v>
      </c>
      <c r="BO138" t="e">
        <f>AND(Sheet1!G1850,"AAAAAHte50I=")</f>
        <v>#VALUE!</v>
      </c>
      <c r="BP138" t="e">
        <f>AND(Sheet1!H1850,"AAAAAHte50M=")</f>
        <v>#VALUE!</v>
      </c>
      <c r="BQ138" t="e">
        <f>AND(Sheet1!I1850,"AAAAAHte50Q=")</f>
        <v>#VALUE!</v>
      </c>
      <c r="BR138" t="e">
        <f>AND(Sheet1!J1850,"AAAAAHte50U=")</f>
        <v>#VALUE!</v>
      </c>
      <c r="BS138" t="e">
        <f>AND(Sheet1!K1850,"AAAAAHte50Y=")</f>
        <v>#VALUE!</v>
      </c>
      <c r="BT138" t="e">
        <f>AND(Sheet1!L1850,"AAAAAHte50c=")</f>
        <v>#VALUE!</v>
      </c>
      <c r="BU138" t="e">
        <f>AND(Sheet1!M1850,"AAAAAHte50g=")</f>
        <v>#VALUE!</v>
      </c>
      <c r="BV138" t="e">
        <f>AND(Sheet1!N1850,"AAAAAHte50k=")</f>
        <v>#VALUE!</v>
      </c>
      <c r="BW138" t="e">
        <f>AND(Sheet1!#REF!,"AAAAAHte50o=")</f>
        <v>#REF!</v>
      </c>
      <c r="BX138" t="e">
        <f>AND(Sheet1!#REF!,"AAAAAHte50s=")</f>
        <v>#REF!</v>
      </c>
      <c r="BY138" t="e">
        <f>AND(Sheet1!#REF!,"AAAAAHte50w=")</f>
        <v>#REF!</v>
      </c>
      <c r="BZ138" t="e">
        <f>AND(Sheet1!#REF!,"AAAAAHte500=")</f>
        <v>#REF!</v>
      </c>
      <c r="CA138">
        <f>IF(Sheet1!1851:1851,"AAAAAHte504=",0)</f>
        <v>0</v>
      </c>
      <c r="CB138" t="e">
        <f>AND(Sheet1!A1851,"AAAAAHte508=")</f>
        <v>#VALUE!</v>
      </c>
      <c r="CC138" t="e">
        <f>AND(Sheet1!B1851,"AAAAAHte51A=")</f>
        <v>#VALUE!</v>
      </c>
      <c r="CD138" t="e">
        <f>AND(Sheet1!C1851,"AAAAAHte51E=")</f>
        <v>#VALUE!</v>
      </c>
      <c r="CE138" t="e">
        <f>AND(Sheet1!D1851,"AAAAAHte51I=")</f>
        <v>#VALUE!</v>
      </c>
      <c r="CF138" t="e">
        <f>AND(Sheet1!E1851,"AAAAAHte51M=")</f>
        <v>#VALUE!</v>
      </c>
      <c r="CG138" t="e">
        <f>AND(Sheet1!F1851,"AAAAAHte51Q=")</f>
        <v>#VALUE!</v>
      </c>
      <c r="CH138" t="e">
        <f>AND(Sheet1!G1851,"AAAAAHte51U=")</f>
        <v>#VALUE!</v>
      </c>
      <c r="CI138" t="e">
        <f>AND(Sheet1!H1851,"AAAAAHte51Y=")</f>
        <v>#VALUE!</v>
      </c>
      <c r="CJ138" t="e">
        <f>AND(Sheet1!I1851,"AAAAAHte51c=")</f>
        <v>#VALUE!</v>
      </c>
      <c r="CK138" t="e">
        <f>AND(Sheet1!J1851,"AAAAAHte51g=")</f>
        <v>#VALUE!</v>
      </c>
      <c r="CL138" t="e">
        <f>AND(Sheet1!K1851,"AAAAAHte51k=")</f>
        <v>#VALUE!</v>
      </c>
      <c r="CM138" t="e">
        <f>AND(Sheet1!L1851,"AAAAAHte51o=")</f>
        <v>#VALUE!</v>
      </c>
      <c r="CN138" t="e">
        <f>AND(Sheet1!M1851,"AAAAAHte51s=")</f>
        <v>#VALUE!</v>
      </c>
      <c r="CO138" t="e">
        <f>AND(Sheet1!N1851,"AAAAAHte51w=")</f>
        <v>#VALUE!</v>
      </c>
      <c r="CP138" t="e">
        <f>AND(Sheet1!#REF!,"AAAAAHte510=")</f>
        <v>#REF!</v>
      </c>
      <c r="CQ138" t="e">
        <f>AND(Sheet1!#REF!,"AAAAAHte514=")</f>
        <v>#REF!</v>
      </c>
      <c r="CR138" t="e">
        <f>AND(Sheet1!#REF!,"AAAAAHte518=")</f>
        <v>#REF!</v>
      </c>
      <c r="CS138" t="e">
        <f>AND(Sheet1!#REF!,"AAAAAHte52A=")</f>
        <v>#REF!</v>
      </c>
      <c r="CT138">
        <f>IF(Sheet1!1852:1852,"AAAAAHte52E=",0)</f>
        <v>0</v>
      </c>
      <c r="CU138" t="e">
        <f>AND(Sheet1!A1852,"AAAAAHte52I=")</f>
        <v>#VALUE!</v>
      </c>
      <c r="CV138" t="e">
        <f>AND(Sheet1!B1852,"AAAAAHte52M=")</f>
        <v>#VALUE!</v>
      </c>
      <c r="CW138" t="e">
        <f>AND(Sheet1!C1852,"AAAAAHte52Q=")</f>
        <v>#VALUE!</v>
      </c>
      <c r="CX138" t="e">
        <f>AND(Sheet1!D1852,"AAAAAHte52U=")</f>
        <v>#VALUE!</v>
      </c>
      <c r="CY138" t="e">
        <f>AND(Sheet1!E1852,"AAAAAHte52Y=")</f>
        <v>#VALUE!</v>
      </c>
      <c r="CZ138" t="e">
        <f>AND(Sheet1!F1852,"AAAAAHte52c=")</f>
        <v>#VALUE!</v>
      </c>
      <c r="DA138" t="e">
        <f>AND(Sheet1!G1852,"AAAAAHte52g=")</f>
        <v>#VALUE!</v>
      </c>
      <c r="DB138" t="e">
        <f>AND(Sheet1!H1852,"AAAAAHte52k=")</f>
        <v>#VALUE!</v>
      </c>
      <c r="DC138" t="e">
        <f>AND(Sheet1!I1852,"AAAAAHte52o=")</f>
        <v>#VALUE!</v>
      </c>
      <c r="DD138" t="e">
        <f>AND(Sheet1!J1852,"AAAAAHte52s=")</f>
        <v>#VALUE!</v>
      </c>
      <c r="DE138" t="e">
        <f>AND(Sheet1!K1852,"AAAAAHte52w=")</f>
        <v>#VALUE!</v>
      </c>
      <c r="DF138" t="e">
        <f>AND(Sheet1!L1852,"AAAAAHte520=")</f>
        <v>#VALUE!</v>
      </c>
      <c r="DG138" t="e">
        <f>AND(Sheet1!M1852,"AAAAAHte524=")</f>
        <v>#VALUE!</v>
      </c>
      <c r="DH138" t="e">
        <f>AND(Sheet1!N1852,"AAAAAHte528=")</f>
        <v>#VALUE!</v>
      </c>
      <c r="DI138" t="e">
        <f>AND(Sheet1!#REF!,"AAAAAHte53A=")</f>
        <v>#REF!</v>
      </c>
      <c r="DJ138" t="e">
        <f>AND(Sheet1!#REF!,"AAAAAHte53E=")</f>
        <v>#REF!</v>
      </c>
      <c r="DK138" t="e">
        <f>AND(Sheet1!#REF!,"AAAAAHte53I=")</f>
        <v>#REF!</v>
      </c>
      <c r="DL138" t="e">
        <f>AND(Sheet1!#REF!,"AAAAAHte53M=")</f>
        <v>#REF!</v>
      </c>
      <c r="DM138">
        <f>IF(Sheet1!1853:1853,"AAAAAHte53Q=",0)</f>
        <v>0</v>
      </c>
      <c r="DN138" t="e">
        <f>AND(Sheet1!A1853,"AAAAAHte53U=")</f>
        <v>#VALUE!</v>
      </c>
      <c r="DO138" t="e">
        <f>AND(Sheet1!B1853,"AAAAAHte53Y=")</f>
        <v>#VALUE!</v>
      </c>
      <c r="DP138" t="e">
        <f>AND(Sheet1!C1853,"AAAAAHte53c=")</f>
        <v>#VALUE!</v>
      </c>
      <c r="DQ138" t="e">
        <f>AND(Sheet1!D1853,"AAAAAHte53g=")</f>
        <v>#VALUE!</v>
      </c>
      <c r="DR138" t="e">
        <f>AND(Sheet1!E1853,"AAAAAHte53k=")</f>
        <v>#VALUE!</v>
      </c>
      <c r="DS138" t="e">
        <f>AND(Sheet1!F1853,"AAAAAHte53o=")</f>
        <v>#VALUE!</v>
      </c>
      <c r="DT138" t="e">
        <f>AND(Sheet1!G1853,"AAAAAHte53s=")</f>
        <v>#VALUE!</v>
      </c>
      <c r="DU138" t="e">
        <f>AND(Sheet1!H1853,"AAAAAHte53w=")</f>
        <v>#VALUE!</v>
      </c>
      <c r="DV138" t="e">
        <f>AND(Sheet1!I1853,"AAAAAHte530=")</f>
        <v>#VALUE!</v>
      </c>
      <c r="DW138" t="e">
        <f>AND(Sheet1!J1853,"AAAAAHte534=")</f>
        <v>#VALUE!</v>
      </c>
      <c r="DX138" t="e">
        <f>AND(Sheet1!K1853,"AAAAAHte538=")</f>
        <v>#VALUE!</v>
      </c>
      <c r="DY138" t="e">
        <f>AND(Sheet1!L1853,"AAAAAHte54A=")</f>
        <v>#VALUE!</v>
      </c>
      <c r="DZ138" t="e">
        <f>AND(Sheet1!M1853,"AAAAAHte54E=")</f>
        <v>#VALUE!</v>
      </c>
      <c r="EA138" t="e">
        <f>AND(Sheet1!N1853,"AAAAAHte54I=")</f>
        <v>#VALUE!</v>
      </c>
      <c r="EB138" t="e">
        <f>AND(Sheet1!#REF!,"AAAAAHte54M=")</f>
        <v>#REF!</v>
      </c>
      <c r="EC138" t="e">
        <f>AND(Sheet1!#REF!,"AAAAAHte54Q=")</f>
        <v>#REF!</v>
      </c>
      <c r="ED138" t="e">
        <f>AND(Sheet1!#REF!,"AAAAAHte54U=")</f>
        <v>#REF!</v>
      </c>
      <c r="EE138" t="e">
        <f>AND(Sheet1!#REF!,"AAAAAHte54Y=")</f>
        <v>#REF!</v>
      </c>
      <c r="EF138">
        <f>IF(Sheet1!1854:1854,"AAAAAHte54c=",0)</f>
        <v>0</v>
      </c>
      <c r="EG138" t="e">
        <f>AND(Sheet1!A1854,"AAAAAHte54g=")</f>
        <v>#VALUE!</v>
      </c>
      <c r="EH138" t="e">
        <f>AND(Sheet1!B1854,"AAAAAHte54k=")</f>
        <v>#VALUE!</v>
      </c>
      <c r="EI138" t="e">
        <f>AND(Sheet1!C1854,"AAAAAHte54o=")</f>
        <v>#VALUE!</v>
      </c>
      <c r="EJ138" t="e">
        <f>AND(Sheet1!D1854,"AAAAAHte54s=")</f>
        <v>#VALUE!</v>
      </c>
      <c r="EK138" t="e">
        <f>AND(Sheet1!E1854,"AAAAAHte54w=")</f>
        <v>#VALUE!</v>
      </c>
      <c r="EL138" t="e">
        <f>AND(Sheet1!F1854,"AAAAAHte540=")</f>
        <v>#VALUE!</v>
      </c>
      <c r="EM138" t="e">
        <f>AND(Sheet1!G1854,"AAAAAHte544=")</f>
        <v>#VALUE!</v>
      </c>
      <c r="EN138" t="e">
        <f>AND(Sheet1!H1854,"AAAAAHte548=")</f>
        <v>#VALUE!</v>
      </c>
      <c r="EO138" t="e">
        <f>AND(Sheet1!I1854,"AAAAAHte55A=")</f>
        <v>#VALUE!</v>
      </c>
      <c r="EP138" t="e">
        <f>AND(Sheet1!J1854,"AAAAAHte55E=")</f>
        <v>#VALUE!</v>
      </c>
      <c r="EQ138" t="e">
        <f>AND(Sheet1!K1854,"AAAAAHte55I=")</f>
        <v>#VALUE!</v>
      </c>
      <c r="ER138" t="e">
        <f>AND(Sheet1!L1854,"AAAAAHte55M=")</f>
        <v>#VALUE!</v>
      </c>
      <c r="ES138" t="e">
        <f>AND(Sheet1!M1854,"AAAAAHte55Q=")</f>
        <v>#VALUE!</v>
      </c>
      <c r="ET138" t="e">
        <f>AND(Sheet1!N1854,"AAAAAHte55U=")</f>
        <v>#VALUE!</v>
      </c>
      <c r="EU138" t="e">
        <f>AND(Sheet1!#REF!,"AAAAAHte55Y=")</f>
        <v>#REF!</v>
      </c>
      <c r="EV138" t="e">
        <f>AND(Sheet1!#REF!,"AAAAAHte55c=")</f>
        <v>#REF!</v>
      </c>
      <c r="EW138" t="e">
        <f>AND(Sheet1!#REF!,"AAAAAHte55g=")</f>
        <v>#REF!</v>
      </c>
      <c r="EX138" t="e">
        <f>AND(Sheet1!#REF!,"AAAAAHte55k=")</f>
        <v>#REF!</v>
      </c>
      <c r="EY138">
        <f>IF(Sheet1!1855:1855,"AAAAAHte55o=",0)</f>
        <v>0</v>
      </c>
      <c r="EZ138" t="e">
        <f>AND(Sheet1!A1855,"AAAAAHte55s=")</f>
        <v>#VALUE!</v>
      </c>
      <c r="FA138" t="e">
        <f>AND(Sheet1!B1855,"AAAAAHte55w=")</f>
        <v>#VALUE!</v>
      </c>
      <c r="FB138" t="e">
        <f>AND(Sheet1!C1855,"AAAAAHte550=")</f>
        <v>#VALUE!</v>
      </c>
      <c r="FC138" t="e">
        <f>AND(Sheet1!D1855,"AAAAAHte554=")</f>
        <v>#VALUE!</v>
      </c>
      <c r="FD138" t="e">
        <f>AND(Sheet1!E1855,"AAAAAHte558=")</f>
        <v>#VALUE!</v>
      </c>
      <c r="FE138" t="e">
        <f>AND(Sheet1!F1855,"AAAAAHte56A=")</f>
        <v>#VALUE!</v>
      </c>
      <c r="FF138" t="e">
        <f>AND(Sheet1!G1855,"AAAAAHte56E=")</f>
        <v>#VALUE!</v>
      </c>
      <c r="FG138" t="e">
        <f>AND(Sheet1!H1855,"AAAAAHte56I=")</f>
        <v>#VALUE!</v>
      </c>
      <c r="FH138" t="e">
        <f>AND(Sheet1!I1855,"AAAAAHte56M=")</f>
        <v>#VALUE!</v>
      </c>
      <c r="FI138" t="e">
        <f>AND(Sheet1!J1855,"AAAAAHte56Q=")</f>
        <v>#VALUE!</v>
      </c>
      <c r="FJ138" t="e">
        <f>AND(Sheet1!K1855,"AAAAAHte56U=")</f>
        <v>#VALUE!</v>
      </c>
      <c r="FK138" t="e">
        <f>AND(Sheet1!L1855,"AAAAAHte56Y=")</f>
        <v>#VALUE!</v>
      </c>
      <c r="FL138" t="e">
        <f>AND(Sheet1!M1855,"AAAAAHte56c=")</f>
        <v>#VALUE!</v>
      </c>
      <c r="FM138" t="e">
        <f>AND(Sheet1!N1855,"AAAAAHte56g=")</f>
        <v>#VALUE!</v>
      </c>
      <c r="FN138" t="e">
        <f>AND(Sheet1!#REF!,"AAAAAHte56k=")</f>
        <v>#REF!</v>
      </c>
      <c r="FO138" t="e">
        <f>AND(Sheet1!#REF!,"AAAAAHte56o=")</f>
        <v>#REF!</v>
      </c>
      <c r="FP138" t="e">
        <f>AND(Sheet1!#REF!,"AAAAAHte56s=")</f>
        <v>#REF!</v>
      </c>
      <c r="FQ138" t="e">
        <f>AND(Sheet1!#REF!,"AAAAAHte56w=")</f>
        <v>#REF!</v>
      </c>
      <c r="FR138">
        <f>IF(Sheet1!1856:1856,"AAAAAHte560=",0)</f>
        <v>0</v>
      </c>
      <c r="FS138" t="e">
        <f>AND(Sheet1!A1856,"AAAAAHte564=")</f>
        <v>#VALUE!</v>
      </c>
      <c r="FT138" t="e">
        <f>AND(Sheet1!B1856,"AAAAAHte568=")</f>
        <v>#VALUE!</v>
      </c>
      <c r="FU138" t="e">
        <f>AND(Sheet1!C1856,"AAAAAHte57A=")</f>
        <v>#VALUE!</v>
      </c>
      <c r="FV138" t="e">
        <f>AND(Sheet1!D1856,"AAAAAHte57E=")</f>
        <v>#VALUE!</v>
      </c>
      <c r="FW138" t="e">
        <f>AND(Sheet1!E1856,"AAAAAHte57I=")</f>
        <v>#VALUE!</v>
      </c>
      <c r="FX138" t="e">
        <f>AND(Sheet1!F1856,"AAAAAHte57M=")</f>
        <v>#VALUE!</v>
      </c>
      <c r="FY138" t="e">
        <f>AND(Sheet1!G1856,"AAAAAHte57Q=")</f>
        <v>#VALUE!</v>
      </c>
      <c r="FZ138" t="e">
        <f>AND(Sheet1!H1856,"AAAAAHte57U=")</f>
        <v>#VALUE!</v>
      </c>
      <c r="GA138" t="e">
        <f>AND(Sheet1!I1856,"AAAAAHte57Y=")</f>
        <v>#VALUE!</v>
      </c>
      <c r="GB138" t="e">
        <f>AND(Sheet1!J1856,"AAAAAHte57c=")</f>
        <v>#VALUE!</v>
      </c>
      <c r="GC138" t="e">
        <f>AND(Sheet1!K1856,"AAAAAHte57g=")</f>
        <v>#VALUE!</v>
      </c>
      <c r="GD138" t="e">
        <f>AND(Sheet1!L1856,"AAAAAHte57k=")</f>
        <v>#VALUE!</v>
      </c>
      <c r="GE138" t="e">
        <f>AND(Sheet1!M1856,"AAAAAHte57o=")</f>
        <v>#VALUE!</v>
      </c>
      <c r="GF138" t="e">
        <f>AND(Sheet1!N1856,"AAAAAHte57s=")</f>
        <v>#VALUE!</v>
      </c>
      <c r="GG138" t="e">
        <f>AND(Sheet1!#REF!,"AAAAAHte57w=")</f>
        <v>#REF!</v>
      </c>
      <c r="GH138" t="e">
        <f>AND(Sheet1!#REF!,"AAAAAHte570=")</f>
        <v>#REF!</v>
      </c>
      <c r="GI138" t="e">
        <f>AND(Sheet1!#REF!,"AAAAAHte574=")</f>
        <v>#REF!</v>
      </c>
      <c r="GJ138" t="e">
        <f>AND(Sheet1!#REF!,"AAAAAHte578=")</f>
        <v>#REF!</v>
      </c>
      <c r="GK138">
        <f>IF(Sheet1!1857:1857,"AAAAAHte58A=",0)</f>
        <v>0</v>
      </c>
      <c r="GL138" t="e">
        <f>AND(Sheet1!A1857,"AAAAAHte58E=")</f>
        <v>#VALUE!</v>
      </c>
      <c r="GM138" t="e">
        <f>AND(Sheet1!B1857,"AAAAAHte58I=")</f>
        <v>#VALUE!</v>
      </c>
      <c r="GN138" t="e">
        <f>AND(Sheet1!C1857,"AAAAAHte58M=")</f>
        <v>#VALUE!</v>
      </c>
      <c r="GO138" t="e">
        <f>AND(Sheet1!D1857,"AAAAAHte58Q=")</f>
        <v>#VALUE!</v>
      </c>
      <c r="GP138" t="e">
        <f>AND(Sheet1!E1857,"AAAAAHte58U=")</f>
        <v>#VALUE!</v>
      </c>
      <c r="GQ138" t="e">
        <f>AND(Sheet1!F1857,"AAAAAHte58Y=")</f>
        <v>#VALUE!</v>
      </c>
      <c r="GR138" t="e">
        <f>AND(Sheet1!G1857,"AAAAAHte58c=")</f>
        <v>#VALUE!</v>
      </c>
      <c r="GS138" t="e">
        <f>AND(Sheet1!H1857,"AAAAAHte58g=")</f>
        <v>#VALUE!</v>
      </c>
      <c r="GT138" t="e">
        <f>AND(Sheet1!I1857,"AAAAAHte58k=")</f>
        <v>#VALUE!</v>
      </c>
      <c r="GU138" t="e">
        <f>AND(Sheet1!J1857,"AAAAAHte58o=")</f>
        <v>#VALUE!</v>
      </c>
      <c r="GV138" t="e">
        <f>AND(Sheet1!K1857,"AAAAAHte58s=")</f>
        <v>#VALUE!</v>
      </c>
      <c r="GW138" t="e">
        <f>AND(Sheet1!L1857,"AAAAAHte58w=")</f>
        <v>#VALUE!</v>
      </c>
      <c r="GX138" t="e">
        <f>AND(Sheet1!M1857,"AAAAAHte580=")</f>
        <v>#VALUE!</v>
      </c>
      <c r="GY138" t="e">
        <f>AND(Sheet1!N1857,"AAAAAHte584=")</f>
        <v>#VALUE!</v>
      </c>
      <c r="GZ138" t="e">
        <f>AND(Sheet1!#REF!,"AAAAAHte588=")</f>
        <v>#REF!</v>
      </c>
      <c r="HA138" t="e">
        <f>AND(Sheet1!#REF!,"AAAAAHte59A=")</f>
        <v>#REF!</v>
      </c>
      <c r="HB138" t="e">
        <f>AND(Sheet1!#REF!,"AAAAAHte59E=")</f>
        <v>#REF!</v>
      </c>
      <c r="HC138" t="e">
        <f>AND(Sheet1!#REF!,"AAAAAHte59I=")</f>
        <v>#REF!</v>
      </c>
      <c r="HD138">
        <f>IF(Sheet1!1858:1858,"AAAAAHte59M=",0)</f>
        <v>0</v>
      </c>
      <c r="HE138" t="e">
        <f>AND(Sheet1!A1858,"AAAAAHte59Q=")</f>
        <v>#VALUE!</v>
      </c>
      <c r="HF138" t="e">
        <f>AND(Sheet1!B1858,"AAAAAHte59U=")</f>
        <v>#VALUE!</v>
      </c>
      <c r="HG138" t="e">
        <f>AND(Sheet1!C1858,"AAAAAHte59Y=")</f>
        <v>#VALUE!</v>
      </c>
      <c r="HH138" t="e">
        <f>AND(Sheet1!D1858,"AAAAAHte59c=")</f>
        <v>#VALUE!</v>
      </c>
      <c r="HI138" t="e">
        <f>AND(Sheet1!E1858,"AAAAAHte59g=")</f>
        <v>#VALUE!</v>
      </c>
      <c r="HJ138" t="e">
        <f>AND(Sheet1!F1858,"AAAAAHte59k=")</f>
        <v>#VALUE!</v>
      </c>
      <c r="HK138" t="e">
        <f>AND(Sheet1!G1858,"AAAAAHte59o=")</f>
        <v>#VALUE!</v>
      </c>
      <c r="HL138" t="e">
        <f>AND(Sheet1!H1858,"AAAAAHte59s=")</f>
        <v>#VALUE!</v>
      </c>
      <c r="HM138" t="e">
        <f>AND(Sheet1!I1858,"AAAAAHte59w=")</f>
        <v>#VALUE!</v>
      </c>
      <c r="HN138" t="e">
        <f>AND(Sheet1!J1858,"AAAAAHte590=")</f>
        <v>#VALUE!</v>
      </c>
      <c r="HO138" t="e">
        <f>AND(Sheet1!K1858,"AAAAAHte594=")</f>
        <v>#VALUE!</v>
      </c>
      <c r="HP138" t="e">
        <f>AND(Sheet1!L1858,"AAAAAHte598=")</f>
        <v>#VALUE!</v>
      </c>
      <c r="HQ138" t="e">
        <f>AND(Sheet1!M1858,"AAAAAHte5+A=")</f>
        <v>#VALUE!</v>
      </c>
      <c r="HR138" t="e">
        <f>AND(Sheet1!N1858,"AAAAAHte5+E=")</f>
        <v>#VALUE!</v>
      </c>
      <c r="HS138" t="e">
        <f>AND(Sheet1!#REF!,"AAAAAHte5+I=")</f>
        <v>#REF!</v>
      </c>
      <c r="HT138" t="e">
        <f>AND(Sheet1!#REF!,"AAAAAHte5+M=")</f>
        <v>#REF!</v>
      </c>
      <c r="HU138" t="e">
        <f>AND(Sheet1!#REF!,"AAAAAHte5+Q=")</f>
        <v>#REF!</v>
      </c>
      <c r="HV138" t="e">
        <f>AND(Sheet1!#REF!,"AAAAAHte5+U=")</f>
        <v>#REF!</v>
      </c>
      <c r="HW138">
        <f>IF(Sheet1!1859:1859,"AAAAAHte5+Y=",0)</f>
        <v>0</v>
      </c>
      <c r="HX138" t="e">
        <f>AND(Sheet1!A1859,"AAAAAHte5+c=")</f>
        <v>#VALUE!</v>
      </c>
      <c r="HY138" t="e">
        <f>AND(Sheet1!B1859,"AAAAAHte5+g=")</f>
        <v>#VALUE!</v>
      </c>
      <c r="HZ138" t="e">
        <f>AND(Sheet1!C1859,"AAAAAHte5+k=")</f>
        <v>#VALUE!</v>
      </c>
      <c r="IA138" t="e">
        <f>AND(Sheet1!D1859,"AAAAAHte5+o=")</f>
        <v>#VALUE!</v>
      </c>
      <c r="IB138" t="e">
        <f>AND(Sheet1!E1859,"AAAAAHte5+s=")</f>
        <v>#VALUE!</v>
      </c>
      <c r="IC138" t="e">
        <f>AND(Sheet1!F1859,"AAAAAHte5+w=")</f>
        <v>#VALUE!</v>
      </c>
      <c r="ID138" t="e">
        <f>AND(Sheet1!G1859,"AAAAAHte5+0=")</f>
        <v>#VALUE!</v>
      </c>
      <c r="IE138" t="e">
        <f>AND(Sheet1!H1859,"AAAAAHte5+4=")</f>
        <v>#VALUE!</v>
      </c>
      <c r="IF138" t="e">
        <f>AND(Sheet1!I1859,"AAAAAHte5+8=")</f>
        <v>#VALUE!</v>
      </c>
      <c r="IG138" t="e">
        <f>AND(Sheet1!J1859,"AAAAAHte5/A=")</f>
        <v>#VALUE!</v>
      </c>
      <c r="IH138" t="e">
        <f>AND(Sheet1!K1859,"AAAAAHte5/E=")</f>
        <v>#VALUE!</v>
      </c>
      <c r="II138" t="e">
        <f>AND(Sheet1!L1859,"AAAAAHte5/I=")</f>
        <v>#VALUE!</v>
      </c>
      <c r="IJ138" t="e">
        <f>AND(Sheet1!M1859,"AAAAAHte5/M=")</f>
        <v>#VALUE!</v>
      </c>
      <c r="IK138" t="e">
        <f>AND(Sheet1!N1859,"AAAAAHte5/Q=")</f>
        <v>#VALUE!</v>
      </c>
      <c r="IL138" t="e">
        <f>AND(Sheet1!#REF!,"AAAAAHte5/U=")</f>
        <v>#REF!</v>
      </c>
      <c r="IM138" t="e">
        <f>AND(Sheet1!#REF!,"AAAAAHte5/Y=")</f>
        <v>#REF!</v>
      </c>
      <c r="IN138" t="e">
        <f>AND(Sheet1!#REF!,"AAAAAHte5/c=")</f>
        <v>#REF!</v>
      </c>
      <c r="IO138" t="e">
        <f>AND(Sheet1!#REF!,"AAAAAHte5/g=")</f>
        <v>#REF!</v>
      </c>
      <c r="IP138">
        <f>IF(Sheet1!1860:1860,"AAAAAHte5/k=",0)</f>
        <v>0</v>
      </c>
      <c r="IQ138" t="e">
        <f>AND(Sheet1!A1860,"AAAAAHte5/o=")</f>
        <v>#VALUE!</v>
      </c>
      <c r="IR138" t="e">
        <f>AND(Sheet1!B1860,"AAAAAHte5/s=")</f>
        <v>#VALUE!</v>
      </c>
      <c r="IS138" t="e">
        <f>AND(Sheet1!C1860,"AAAAAHte5/w=")</f>
        <v>#VALUE!</v>
      </c>
      <c r="IT138" t="e">
        <f>AND(Sheet1!D1860,"AAAAAHte5/0=")</f>
        <v>#VALUE!</v>
      </c>
      <c r="IU138" t="e">
        <f>AND(Sheet1!E1860,"AAAAAHte5/4=")</f>
        <v>#VALUE!</v>
      </c>
      <c r="IV138" t="e">
        <f>AND(Sheet1!F1860,"AAAAAHte5/8=")</f>
        <v>#VALUE!</v>
      </c>
    </row>
    <row r="139" spans="1:256" x14ac:dyDescent="0.2">
      <c r="A139" t="e">
        <f>AND(Sheet1!G1860,"AAAAAHx3/QA=")</f>
        <v>#VALUE!</v>
      </c>
      <c r="B139" t="e">
        <f>AND(Sheet1!H1860,"AAAAAHx3/QE=")</f>
        <v>#VALUE!</v>
      </c>
      <c r="C139" t="e">
        <f>AND(Sheet1!I1860,"AAAAAHx3/QI=")</f>
        <v>#VALUE!</v>
      </c>
      <c r="D139" t="e">
        <f>AND(Sheet1!J1860,"AAAAAHx3/QM=")</f>
        <v>#VALUE!</v>
      </c>
      <c r="E139" t="e">
        <f>AND(Sheet1!K1860,"AAAAAHx3/QQ=")</f>
        <v>#VALUE!</v>
      </c>
      <c r="F139" t="e">
        <f>AND(Sheet1!L1860,"AAAAAHx3/QU=")</f>
        <v>#VALUE!</v>
      </c>
      <c r="G139" t="e">
        <f>AND(Sheet1!M1860,"AAAAAHx3/QY=")</f>
        <v>#VALUE!</v>
      </c>
      <c r="H139" t="e">
        <f>AND(Sheet1!N1860,"AAAAAHx3/Qc=")</f>
        <v>#VALUE!</v>
      </c>
      <c r="I139" t="e">
        <f>AND(Sheet1!#REF!,"AAAAAHx3/Qg=")</f>
        <v>#REF!</v>
      </c>
      <c r="J139" t="e">
        <f>AND(Sheet1!#REF!,"AAAAAHx3/Qk=")</f>
        <v>#REF!</v>
      </c>
      <c r="K139" t="e">
        <f>AND(Sheet1!#REF!,"AAAAAHx3/Qo=")</f>
        <v>#REF!</v>
      </c>
      <c r="L139" t="e">
        <f>AND(Sheet1!#REF!,"AAAAAHx3/Qs=")</f>
        <v>#REF!</v>
      </c>
      <c r="M139" t="str">
        <f>IF(Sheet1!1861:1861,"AAAAAHx3/Qw=",0)</f>
        <v>AAAAAHx3/Qw=</v>
      </c>
      <c r="N139" t="e">
        <f>AND(Sheet1!A1861,"AAAAAHx3/Q0=")</f>
        <v>#VALUE!</v>
      </c>
      <c r="O139" t="e">
        <f>AND(Sheet1!B1861,"AAAAAHx3/Q4=")</f>
        <v>#VALUE!</v>
      </c>
      <c r="P139" t="e">
        <f>AND(Sheet1!C1861,"AAAAAHx3/Q8=")</f>
        <v>#VALUE!</v>
      </c>
      <c r="Q139" t="e">
        <f>AND(Sheet1!D1861,"AAAAAHx3/RA=")</f>
        <v>#VALUE!</v>
      </c>
      <c r="R139" t="e">
        <f>AND(Sheet1!E1861,"AAAAAHx3/RE=")</f>
        <v>#VALUE!</v>
      </c>
      <c r="S139" t="e">
        <f>AND(Sheet1!F1861,"AAAAAHx3/RI=")</f>
        <v>#VALUE!</v>
      </c>
      <c r="T139" t="e">
        <f>AND(Sheet1!G1861,"AAAAAHx3/RM=")</f>
        <v>#VALUE!</v>
      </c>
      <c r="U139" t="e">
        <f>AND(Sheet1!H1861,"AAAAAHx3/RQ=")</f>
        <v>#VALUE!</v>
      </c>
      <c r="V139" t="e">
        <f>AND(Sheet1!I1861,"AAAAAHx3/RU=")</f>
        <v>#VALUE!</v>
      </c>
      <c r="W139" t="e">
        <f>AND(Sheet1!J1861,"AAAAAHx3/RY=")</f>
        <v>#VALUE!</v>
      </c>
      <c r="X139" t="e">
        <f>AND(Sheet1!K1861,"AAAAAHx3/Rc=")</f>
        <v>#VALUE!</v>
      </c>
      <c r="Y139" t="e">
        <f>AND(Sheet1!L1861,"AAAAAHx3/Rg=")</f>
        <v>#VALUE!</v>
      </c>
      <c r="Z139" t="e">
        <f>AND(Sheet1!M1861,"AAAAAHx3/Rk=")</f>
        <v>#VALUE!</v>
      </c>
      <c r="AA139" t="e">
        <f>AND(Sheet1!N1861,"AAAAAHx3/Ro=")</f>
        <v>#VALUE!</v>
      </c>
      <c r="AB139" t="e">
        <f>AND(Sheet1!#REF!,"AAAAAHx3/Rs=")</f>
        <v>#REF!</v>
      </c>
      <c r="AC139" t="e">
        <f>AND(Sheet1!#REF!,"AAAAAHx3/Rw=")</f>
        <v>#REF!</v>
      </c>
      <c r="AD139" t="e">
        <f>AND(Sheet1!#REF!,"AAAAAHx3/R0=")</f>
        <v>#REF!</v>
      </c>
      <c r="AE139" t="e">
        <f>AND(Sheet1!#REF!,"AAAAAHx3/R4=")</f>
        <v>#REF!</v>
      </c>
      <c r="AF139">
        <f>IF(Sheet1!1862:1862,"AAAAAHx3/R8=",0)</f>
        <v>0</v>
      </c>
      <c r="AG139" t="e">
        <f>AND(Sheet1!A1862,"AAAAAHx3/SA=")</f>
        <v>#VALUE!</v>
      </c>
      <c r="AH139" t="e">
        <f>AND(Sheet1!B1862,"AAAAAHx3/SE=")</f>
        <v>#VALUE!</v>
      </c>
      <c r="AI139" t="e">
        <f>AND(Sheet1!C1862,"AAAAAHx3/SI=")</f>
        <v>#VALUE!</v>
      </c>
      <c r="AJ139" t="e">
        <f>AND(Sheet1!D1862,"AAAAAHx3/SM=")</f>
        <v>#VALUE!</v>
      </c>
      <c r="AK139" t="e">
        <f>AND(Sheet1!E1862,"AAAAAHx3/SQ=")</f>
        <v>#VALUE!</v>
      </c>
      <c r="AL139" t="e">
        <f>AND(Sheet1!F1862,"AAAAAHx3/SU=")</f>
        <v>#VALUE!</v>
      </c>
      <c r="AM139" t="e">
        <f>AND(Sheet1!G1862,"AAAAAHx3/SY=")</f>
        <v>#VALUE!</v>
      </c>
      <c r="AN139" t="e">
        <f>AND(Sheet1!H1862,"AAAAAHx3/Sc=")</f>
        <v>#VALUE!</v>
      </c>
      <c r="AO139" t="e">
        <f>AND(Sheet1!I1862,"AAAAAHx3/Sg=")</f>
        <v>#VALUE!</v>
      </c>
      <c r="AP139" t="e">
        <f>AND(Sheet1!J1862,"AAAAAHx3/Sk=")</f>
        <v>#VALUE!</v>
      </c>
      <c r="AQ139" t="e">
        <f>AND(Sheet1!K1862,"AAAAAHx3/So=")</f>
        <v>#VALUE!</v>
      </c>
      <c r="AR139" t="e">
        <f>AND(Sheet1!L1862,"AAAAAHx3/Ss=")</f>
        <v>#VALUE!</v>
      </c>
      <c r="AS139" t="e">
        <f>AND(Sheet1!M1862,"AAAAAHx3/Sw=")</f>
        <v>#VALUE!</v>
      </c>
      <c r="AT139" t="e">
        <f>AND(Sheet1!N1862,"AAAAAHx3/S0=")</f>
        <v>#VALUE!</v>
      </c>
      <c r="AU139" t="e">
        <f>AND(Sheet1!#REF!,"AAAAAHx3/S4=")</f>
        <v>#REF!</v>
      </c>
      <c r="AV139" t="e">
        <f>AND(Sheet1!#REF!,"AAAAAHx3/S8=")</f>
        <v>#REF!</v>
      </c>
      <c r="AW139" t="e">
        <f>AND(Sheet1!#REF!,"AAAAAHx3/TA=")</f>
        <v>#REF!</v>
      </c>
      <c r="AX139" t="e">
        <f>AND(Sheet1!#REF!,"AAAAAHx3/TE=")</f>
        <v>#REF!</v>
      </c>
      <c r="AY139">
        <f>IF(Sheet1!1863:1863,"AAAAAHx3/TI=",0)</f>
        <v>0</v>
      </c>
      <c r="AZ139" t="e">
        <f>AND(Sheet1!A1863,"AAAAAHx3/TM=")</f>
        <v>#VALUE!</v>
      </c>
      <c r="BA139" t="e">
        <f>AND(Sheet1!B1863,"AAAAAHx3/TQ=")</f>
        <v>#VALUE!</v>
      </c>
      <c r="BB139" t="e">
        <f>AND(Sheet1!C1863,"AAAAAHx3/TU=")</f>
        <v>#VALUE!</v>
      </c>
      <c r="BC139" t="e">
        <f>AND(Sheet1!D1863,"AAAAAHx3/TY=")</f>
        <v>#VALUE!</v>
      </c>
      <c r="BD139" t="e">
        <f>AND(Sheet1!E1863,"AAAAAHx3/Tc=")</f>
        <v>#VALUE!</v>
      </c>
      <c r="BE139" t="e">
        <f>AND(Sheet1!F1863,"AAAAAHx3/Tg=")</f>
        <v>#VALUE!</v>
      </c>
      <c r="BF139" t="e">
        <f>AND(Sheet1!G1863,"AAAAAHx3/Tk=")</f>
        <v>#VALUE!</v>
      </c>
      <c r="BG139" t="e">
        <f>AND(Sheet1!H1863,"AAAAAHx3/To=")</f>
        <v>#VALUE!</v>
      </c>
      <c r="BH139" t="e">
        <f>AND(Sheet1!I1863,"AAAAAHx3/Ts=")</f>
        <v>#VALUE!</v>
      </c>
      <c r="BI139" t="e">
        <f>AND(Sheet1!J1863,"AAAAAHx3/Tw=")</f>
        <v>#VALUE!</v>
      </c>
      <c r="BJ139" t="e">
        <f>AND(Sheet1!K1863,"AAAAAHx3/T0=")</f>
        <v>#VALUE!</v>
      </c>
      <c r="BK139" t="e">
        <f>AND(Sheet1!L1863,"AAAAAHx3/T4=")</f>
        <v>#VALUE!</v>
      </c>
      <c r="BL139" t="e">
        <f>AND(Sheet1!M1863,"AAAAAHx3/T8=")</f>
        <v>#VALUE!</v>
      </c>
      <c r="BM139" t="e">
        <f>AND(Sheet1!N1863,"AAAAAHx3/UA=")</f>
        <v>#VALUE!</v>
      </c>
      <c r="BN139" t="e">
        <f>AND(Sheet1!#REF!,"AAAAAHx3/UE=")</f>
        <v>#REF!</v>
      </c>
      <c r="BO139" t="e">
        <f>AND(Sheet1!#REF!,"AAAAAHx3/UI=")</f>
        <v>#REF!</v>
      </c>
      <c r="BP139" t="e">
        <f>AND(Sheet1!#REF!,"AAAAAHx3/UM=")</f>
        <v>#REF!</v>
      </c>
      <c r="BQ139" t="e">
        <f>AND(Sheet1!#REF!,"AAAAAHx3/UQ=")</f>
        <v>#REF!</v>
      </c>
      <c r="BR139">
        <f>IF(Sheet1!1864:1864,"AAAAAHx3/UU=",0)</f>
        <v>0</v>
      </c>
      <c r="BS139" t="e">
        <f>AND(Sheet1!A1864,"AAAAAHx3/UY=")</f>
        <v>#VALUE!</v>
      </c>
      <c r="BT139" t="e">
        <f>AND(Sheet1!B1864,"AAAAAHx3/Uc=")</f>
        <v>#VALUE!</v>
      </c>
      <c r="BU139" t="e">
        <f>AND(Sheet1!C1864,"AAAAAHx3/Ug=")</f>
        <v>#VALUE!</v>
      </c>
      <c r="BV139" t="e">
        <f>AND(Sheet1!D1864,"AAAAAHx3/Uk=")</f>
        <v>#VALUE!</v>
      </c>
      <c r="BW139" t="e">
        <f>AND(Sheet1!E1864,"AAAAAHx3/Uo=")</f>
        <v>#VALUE!</v>
      </c>
      <c r="BX139" t="e">
        <f>AND(Sheet1!F1864,"AAAAAHx3/Us=")</f>
        <v>#VALUE!</v>
      </c>
      <c r="BY139" t="e">
        <f>AND(Sheet1!G1864,"AAAAAHx3/Uw=")</f>
        <v>#VALUE!</v>
      </c>
      <c r="BZ139" t="e">
        <f>AND(Sheet1!H1864,"AAAAAHx3/U0=")</f>
        <v>#VALUE!</v>
      </c>
      <c r="CA139" t="e">
        <f>AND(Sheet1!I1864,"AAAAAHx3/U4=")</f>
        <v>#VALUE!</v>
      </c>
      <c r="CB139" t="e">
        <f>AND(Sheet1!J1864,"AAAAAHx3/U8=")</f>
        <v>#VALUE!</v>
      </c>
      <c r="CC139" t="e">
        <f>AND(Sheet1!K1864,"AAAAAHx3/VA=")</f>
        <v>#VALUE!</v>
      </c>
      <c r="CD139" t="e">
        <f>AND(Sheet1!L1864,"AAAAAHx3/VE=")</f>
        <v>#VALUE!</v>
      </c>
      <c r="CE139" t="e">
        <f>AND(Sheet1!M1864,"AAAAAHx3/VI=")</f>
        <v>#VALUE!</v>
      </c>
      <c r="CF139" t="e">
        <f>AND(Sheet1!N1864,"AAAAAHx3/VM=")</f>
        <v>#VALUE!</v>
      </c>
      <c r="CG139" t="e">
        <f>AND(Sheet1!#REF!,"AAAAAHx3/VQ=")</f>
        <v>#REF!</v>
      </c>
      <c r="CH139" t="e">
        <f>AND(Sheet1!#REF!,"AAAAAHx3/VU=")</f>
        <v>#REF!</v>
      </c>
      <c r="CI139" t="e">
        <f>AND(Sheet1!#REF!,"AAAAAHx3/VY=")</f>
        <v>#REF!</v>
      </c>
      <c r="CJ139" t="e">
        <f>AND(Sheet1!#REF!,"AAAAAHx3/Vc=")</f>
        <v>#REF!</v>
      </c>
      <c r="CK139">
        <f>IF(Sheet1!1865:1865,"AAAAAHx3/Vg=",0)</f>
        <v>0</v>
      </c>
      <c r="CL139" t="e">
        <f>AND(Sheet1!A1865,"AAAAAHx3/Vk=")</f>
        <v>#VALUE!</v>
      </c>
      <c r="CM139" t="e">
        <f>AND(Sheet1!B1865,"AAAAAHx3/Vo=")</f>
        <v>#VALUE!</v>
      </c>
      <c r="CN139" t="e">
        <f>AND(Sheet1!C1865,"AAAAAHx3/Vs=")</f>
        <v>#VALUE!</v>
      </c>
      <c r="CO139" t="e">
        <f>AND(Sheet1!D1865,"AAAAAHx3/Vw=")</f>
        <v>#VALUE!</v>
      </c>
      <c r="CP139" t="e">
        <f>AND(Sheet1!E1865,"AAAAAHx3/V0=")</f>
        <v>#VALUE!</v>
      </c>
      <c r="CQ139" t="e">
        <f>AND(Sheet1!F1865,"AAAAAHx3/V4=")</f>
        <v>#VALUE!</v>
      </c>
      <c r="CR139" t="e">
        <f>AND(Sheet1!G1865,"AAAAAHx3/V8=")</f>
        <v>#VALUE!</v>
      </c>
      <c r="CS139" t="e">
        <f>AND(Sheet1!H1865,"AAAAAHx3/WA=")</f>
        <v>#VALUE!</v>
      </c>
      <c r="CT139" t="e">
        <f>AND(Sheet1!I1865,"AAAAAHx3/WE=")</f>
        <v>#VALUE!</v>
      </c>
      <c r="CU139" t="e">
        <f>AND(Sheet1!J1865,"AAAAAHx3/WI=")</f>
        <v>#VALUE!</v>
      </c>
      <c r="CV139" t="e">
        <f>AND(Sheet1!K1865,"AAAAAHx3/WM=")</f>
        <v>#VALUE!</v>
      </c>
      <c r="CW139" t="e">
        <f>AND(Sheet1!L1865,"AAAAAHx3/WQ=")</f>
        <v>#VALUE!</v>
      </c>
      <c r="CX139" t="e">
        <f>AND(Sheet1!M1865,"AAAAAHx3/WU=")</f>
        <v>#VALUE!</v>
      </c>
      <c r="CY139" t="e">
        <f>AND(Sheet1!N1865,"AAAAAHx3/WY=")</f>
        <v>#VALUE!</v>
      </c>
      <c r="CZ139" t="e">
        <f>AND(Sheet1!#REF!,"AAAAAHx3/Wc=")</f>
        <v>#REF!</v>
      </c>
      <c r="DA139" t="e">
        <f>AND(Sheet1!#REF!,"AAAAAHx3/Wg=")</f>
        <v>#REF!</v>
      </c>
      <c r="DB139" t="e">
        <f>AND(Sheet1!#REF!,"AAAAAHx3/Wk=")</f>
        <v>#REF!</v>
      </c>
      <c r="DC139" t="e">
        <f>AND(Sheet1!#REF!,"AAAAAHx3/Wo=")</f>
        <v>#REF!</v>
      </c>
      <c r="DD139">
        <f>IF(Sheet1!1866:1866,"AAAAAHx3/Ws=",0)</f>
        <v>0</v>
      </c>
      <c r="DE139" t="e">
        <f>AND(Sheet1!A1866,"AAAAAHx3/Ww=")</f>
        <v>#VALUE!</v>
      </c>
      <c r="DF139" t="e">
        <f>AND(Sheet1!B1866,"AAAAAHx3/W0=")</f>
        <v>#VALUE!</v>
      </c>
      <c r="DG139" t="e">
        <f>AND(Sheet1!C1866,"AAAAAHx3/W4=")</f>
        <v>#VALUE!</v>
      </c>
      <c r="DH139" t="e">
        <f>AND(Sheet1!D1866,"AAAAAHx3/W8=")</f>
        <v>#VALUE!</v>
      </c>
      <c r="DI139" t="e">
        <f>AND(Sheet1!E1866,"AAAAAHx3/XA=")</f>
        <v>#VALUE!</v>
      </c>
      <c r="DJ139" t="e">
        <f>AND(Sheet1!F1866,"AAAAAHx3/XE=")</f>
        <v>#VALUE!</v>
      </c>
      <c r="DK139" t="e">
        <f>AND(Sheet1!G1866,"AAAAAHx3/XI=")</f>
        <v>#VALUE!</v>
      </c>
      <c r="DL139" t="e">
        <f>AND(Sheet1!H1866,"AAAAAHx3/XM=")</f>
        <v>#VALUE!</v>
      </c>
      <c r="DM139" t="e">
        <f>AND(Sheet1!I1866,"AAAAAHx3/XQ=")</f>
        <v>#VALUE!</v>
      </c>
      <c r="DN139" t="e">
        <f>AND(Sheet1!J1866,"AAAAAHx3/XU=")</f>
        <v>#VALUE!</v>
      </c>
      <c r="DO139" t="e">
        <f>AND(Sheet1!K1866,"AAAAAHx3/XY=")</f>
        <v>#VALUE!</v>
      </c>
      <c r="DP139" t="e">
        <f>AND(Sheet1!L1866,"AAAAAHx3/Xc=")</f>
        <v>#VALUE!</v>
      </c>
      <c r="DQ139" t="e">
        <f>AND(Sheet1!M1866,"AAAAAHx3/Xg=")</f>
        <v>#VALUE!</v>
      </c>
      <c r="DR139" t="e">
        <f>AND(Sheet1!N1866,"AAAAAHx3/Xk=")</f>
        <v>#VALUE!</v>
      </c>
      <c r="DS139" t="e">
        <f>AND(Sheet1!#REF!,"AAAAAHx3/Xo=")</f>
        <v>#REF!</v>
      </c>
      <c r="DT139" t="e">
        <f>AND(Sheet1!#REF!,"AAAAAHx3/Xs=")</f>
        <v>#REF!</v>
      </c>
      <c r="DU139" t="e">
        <f>AND(Sheet1!#REF!,"AAAAAHx3/Xw=")</f>
        <v>#REF!</v>
      </c>
      <c r="DV139" t="e">
        <f>AND(Sheet1!#REF!,"AAAAAHx3/X0=")</f>
        <v>#REF!</v>
      </c>
      <c r="DW139">
        <f>IF(Sheet1!1867:1867,"AAAAAHx3/X4=",0)</f>
        <v>0</v>
      </c>
      <c r="DX139" t="e">
        <f>AND(Sheet1!A1867,"AAAAAHx3/X8=")</f>
        <v>#VALUE!</v>
      </c>
      <c r="DY139" t="e">
        <f>AND(Sheet1!B1867,"AAAAAHx3/YA=")</f>
        <v>#VALUE!</v>
      </c>
      <c r="DZ139" t="e">
        <f>AND(Sheet1!C1867,"AAAAAHx3/YE=")</f>
        <v>#VALUE!</v>
      </c>
      <c r="EA139" t="e">
        <f>AND(Sheet1!D1867,"AAAAAHx3/YI=")</f>
        <v>#VALUE!</v>
      </c>
      <c r="EB139" t="e">
        <f>AND(Sheet1!E1867,"AAAAAHx3/YM=")</f>
        <v>#VALUE!</v>
      </c>
      <c r="EC139" t="e">
        <f>AND(Sheet1!F1867,"AAAAAHx3/YQ=")</f>
        <v>#VALUE!</v>
      </c>
      <c r="ED139" t="e">
        <f>AND(Sheet1!G1867,"AAAAAHx3/YU=")</f>
        <v>#VALUE!</v>
      </c>
      <c r="EE139" t="e">
        <f>AND(Sheet1!H1867,"AAAAAHx3/YY=")</f>
        <v>#VALUE!</v>
      </c>
      <c r="EF139" t="e">
        <f>AND(Sheet1!I1867,"AAAAAHx3/Yc=")</f>
        <v>#VALUE!</v>
      </c>
      <c r="EG139" t="e">
        <f>AND(Sheet1!J1867,"AAAAAHx3/Yg=")</f>
        <v>#VALUE!</v>
      </c>
      <c r="EH139" t="e">
        <f>AND(Sheet1!K1867,"AAAAAHx3/Yk=")</f>
        <v>#VALUE!</v>
      </c>
      <c r="EI139" t="e">
        <f>AND(Sheet1!L1867,"AAAAAHx3/Yo=")</f>
        <v>#VALUE!</v>
      </c>
      <c r="EJ139" t="e">
        <f>AND(Sheet1!M1867,"AAAAAHx3/Ys=")</f>
        <v>#VALUE!</v>
      </c>
      <c r="EK139" t="e">
        <f>AND(Sheet1!N1867,"AAAAAHx3/Yw=")</f>
        <v>#VALUE!</v>
      </c>
      <c r="EL139" t="e">
        <f>AND(Sheet1!#REF!,"AAAAAHx3/Y0=")</f>
        <v>#REF!</v>
      </c>
      <c r="EM139" t="e">
        <f>AND(Sheet1!#REF!,"AAAAAHx3/Y4=")</f>
        <v>#REF!</v>
      </c>
      <c r="EN139" t="e">
        <f>AND(Sheet1!#REF!,"AAAAAHx3/Y8=")</f>
        <v>#REF!</v>
      </c>
      <c r="EO139" t="e">
        <f>AND(Sheet1!#REF!,"AAAAAHx3/ZA=")</f>
        <v>#REF!</v>
      </c>
      <c r="EP139">
        <f>IF(Sheet1!1868:1868,"AAAAAHx3/ZE=",0)</f>
        <v>0</v>
      </c>
      <c r="EQ139" t="e">
        <f>AND(Sheet1!A1868,"AAAAAHx3/ZI=")</f>
        <v>#VALUE!</v>
      </c>
      <c r="ER139" t="e">
        <f>AND(Sheet1!B1868,"AAAAAHx3/ZM=")</f>
        <v>#VALUE!</v>
      </c>
      <c r="ES139" t="e">
        <f>AND(Sheet1!C1868,"AAAAAHx3/ZQ=")</f>
        <v>#VALUE!</v>
      </c>
      <c r="ET139" t="e">
        <f>AND(Sheet1!D1868,"AAAAAHx3/ZU=")</f>
        <v>#VALUE!</v>
      </c>
      <c r="EU139" t="e">
        <f>AND(Sheet1!E1868,"AAAAAHx3/ZY=")</f>
        <v>#VALUE!</v>
      </c>
      <c r="EV139" t="e">
        <f>AND(Sheet1!F1868,"AAAAAHx3/Zc=")</f>
        <v>#VALUE!</v>
      </c>
      <c r="EW139" t="e">
        <f>AND(Sheet1!G1868,"AAAAAHx3/Zg=")</f>
        <v>#VALUE!</v>
      </c>
      <c r="EX139" t="e">
        <f>AND(Sheet1!H1868,"AAAAAHx3/Zk=")</f>
        <v>#VALUE!</v>
      </c>
      <c r="EY139" t="e">
        <f>AND(Sheet1!I1868,"AAAAAHx3/Zo=")</f>
        <v>#VALUE!</v>
      </c>
      <c r="EZ139" t="e">
        <f>AND(Sheet1!J1868,"AAAAAHx3/Zs=")</f>
        <v>#VALUE!</v>
      </c>
      <c r="FA139" t="e">
        <f>AND(Sheet1!K1868,"AAAAAHx3/Zw=")</f>
        <v>#VALUE!</v>
      </c>
      <c r="FB139" t="e">
        <f>AND(Sheet1!L1868,"AAAAAHx3/Z0=")</f>
        <v>#VALUE!</v>
      </c>
      <c r="FC139" t="e">
        <f>AND(Sheet1!M1868,"AAAAAHx3/Z4=")</f>
        <v>#VALUE!</v>
      </c>
      <c r="FD139" t="e">
        <f>AND(Sheet1!N1868,"AAAAAHx3/Z8=")</f>
        <v>#VALUE!</v>
      </c>
      <c r="FE139" t="e">
        <f>AND(Sheet1!#REF!,"AAAAAHx3/aA=")</f>
        <v>#REF!</v>
      </c>
      <c r="FF139" t="e">
        <f>AND(Sheet1!#REF!,"AAAAAHx3/aE=")</f>
        <v>#REF!</v>
      </c>
      <c r="FG139" t="e">
        <f>AND(Sheet1!#REF!,"AAAAAHx3/aI=")</f>
        <v>#REF!</v>
      </c>
      <c r="FH139" t="e">
        <f>AND(Sheet1!#REF!,"AAAAAHx3/aM=")</f>
        <v>#REF!</v>
      </c>
      <c r="FI139">
        <f>IF(Sheet1!1869:1869,"AAAAAHx3/aQ=",0)</f>
        <v>0</v>
      </c>
      <c r="FJ139" t="e">
        <f>AND(Sheet1!A1869,"AAAAAHx3/aU=")</f>
        <v>#VALUE!</v>
      </c>
      <c r="FK139" t="e">
        <f>AND(Sheet1!B1869,"AAAAAHx3/aY=")</f>
        <v>#VALUE!</v>
      </c>
      <c r="FL139" t="e">
        <f>AND(Sheet1!C1869,"AAAAAHx3/ac=")</f>
        <v>#VALUE!</v>
      </c>
      <c r="FM139" t="e">
        <f>AND(Sheet1!D1869,"AAAAAHx3/ag=")</f>
        <v>#VALUE!</v>
      </c>
      <c r="FN139" t="e">
        <f>AND(Sheet1!E1869,"AAAAAHx3/ak=")</f>
        <v>#VALUE!</v>
      </c>
      <c r="FO139" t="e">
        <f>AND(Sheet1!F1869,"AAAAAHx3/ao=")</f>
        <v>#VALUE!</v>
      </c>
      <c r="FP139" t="e">
        <f>AND(Sheet1!G1869,"AAAAAHx3/as=")</f>
        <v>#VALUE!</v>
      </c>
      <c r="FQ139" t="e">
        <f>AND(Sheet1!H1869,"AAAAAHx3/aw=")</f>
        <v>#VALUE!</v>
      </c>
      <c r="FR139" t="e">
        <f>AND(Sheet1!I1869,"AAAAAHx3/a0=")</f>
        <v>#VALUE!</v>
      </c>
      <c r="FS139" t="e">
        <f>AND(Sheet1!J1869,"AAAAAHx3/a4=")</f>
        <v>#VALUE!</v>
      </c>
      <c r="FT139" t="e">
        <f>AND(Sheet1!K1869,"AAAAAHx3/a8=")</f>
        <v>#VALUE!</v>
      </c>
      <c r="FU139" t="e">
        <f>AND(Sheet1!L1869,"AAAAAHx3/bA=")</f>
        <v>#VALUE!</v>
      </c>
      <c r="FV139" t="e">
        <f>AND(Sheet1!M1869,"AAAAAHx3/bE=")</f>
        <v>#VALUE!</v>
      </c>
      <c r="FW139" t="e">
        <f>AND(Sheet1!N1869,"AAAAAHx3/bI=")</f>
        <v>#VALUE!</v>
      </c>
      <c r="FX139" t="e">
        <f>AND(Sheet1!#REF!,"AAAAAHx3/bM=")</f>
        <v>#REF!</v>
      </c>
      <c r="FY139" t="e">
        <f>AND(Sheet1!#REF!,"AAAAAHx3/bQ=")</f>
        <v>#REF!</v>
      </c>
      <c r="FZ139" t="e">
        <f>AND(Sheet1!#REF!,"AAAAAHx3/bU=")</f>
        <v>#REF!</v>
      </c>
      <c r="GA139" t="e">
        <f>AND(Sheet1!#REF!,"AAAAAHx3/bY=")</f>
        <v>#REF!</v>
      </c>
      <c r="GB139">
        <f>IF(Sheet1!1870:1870,"AAAAAHx3/bc=",0)</f>
        <v>0</v>
      </c>
      <c r="GC139" t="e">
        <f>AND(Sheet1!A1870,"AAAAAHx3/bg=")</f>
        <v>#VALUE!</v>
      </c>
      <c r="GD139" t="e">
        <f>AND(Sheet1!B1870,"AAAAAHx3/bk=")</f>
        <v>#VALUE!</v>
      </c>
      <c r="GE139" t="e">
        <f>AND(Sheet1!C1870,"AAAAAHx3/bo=")</f>
        <v>#VALUE!</v>
      </c>
      <c r="GF139" t="e">
        <f>AND(Sheet1!D1870,"AAAAAHx3/bs=")</f>
        <v>#VALUE!</v>
      </c>
      <c r="GG139" t="e">
        <f>AND(Sheet1!E1870,"AAAAAHx3/bw=")</f>
        <v>#VALUE!</v>
      </c>
      <c r="GH139" t="e">
        <f>AND(Sheet1!F1870,"AAAAAHx3/b0=")</f>
        <v>#VALUE!</v>
      </c>
      <c r="GI139" t="e">
        <f>AND(Sheet1!G1870,"AAAAAHx3/b4=")</f>
        <v>#VALUE!</v>
      </c>
      <c r="GJ139" t="e">
        <f>AND(Sheet1!H1870,"AAAAAHx3/b8=")</f>
        <v>#VALUE!</v>
      </c>
      <c r="GK139" t="e">
        <f>AND(Sheet1!I1870,"AAAAAHx3/cA=")</f>
        <v>#VALUE!</v>
      </c>
      <c r="GL139" t="e">
        <f>AND(Sheet1!J1870,"AAAAAHx3/cE=")</f>
        <v>#VALUE!</v>
      </c>
      <c r="GM139" t="e">
        <f>AND(Sheet1!K1870,"AAAAAHx3/cI=")</f>
        <v>#VALUE!</v>
      </c>
      <c r="GN139" t="e">
        <f>AND(Sheet1!L1870,"AAAAAHx3/cM=")</f>
        <v>#VALUE!</v>
      </c>
      <c r="GO139" t="e">
        <f>AND(Sheet1!M1870,"AAAAAHx3/cQ=")</f>
        <v>#VALUE!</v>
      </c>
      <c r="GP139" t="e">
        <f>AND(Sheet1!N1870,"AAAAAHx3/cU=")</f>
        <v>#VALUE!</v>
      </c>
      <c r="GQ139" t="e">
        <f>AND(Sheet1!#REF!,"AAAAAHx3/cY=")</f>
        <v>#REF!</v>
      </c>
      <c r="GR139" t="e">
        <f>AND(Sheet1!#REF!,"AAAAAHx3/cc=")</f>
        <v>#REF!</v>
      </c>
      <c r="GS139" t="e">
        <f>AND(Sheet1!#REF!,"AAAAAHx3/cg=")</f>
        <v>#REF!</v>
      </c>
      <c r="GT139" t="e">
        <f>AND(Sheet1!#REF!,"AAAAAHx3/ck=")</f>
        <v>#REF!</v>
      </c>
      <c r="GU139">
        <f>IF(Sheet1!1871:1871,"AAAAAHx3/co=",0)</f>
        <v>0</v>
      </c>
      <c r="GV139" t="e">
        <f>AND(Sheet1!A1871,"AAAAAHx3/cs=")</f>
        <v>#VALUE!</v>
      </c>
      <c r="GW139" t="e">
        <f>AND(Sheet1!B1871,"AAAAAHx3/cw=")</f>
        <v>#VALUE!</v>
      </c>
      <c r="GX139" t="e">
        <f>AND(Sheet1!C1871,"AAAAAHx3/c0=")</f>
        <v>#VALUE!</v>
      </c>
      <c r="GY139" t="e">
        <f>AND(Sheet1!D1871,"AAAAAHx3/c4=")</f>
        <v>#VALUE!</v>
      </c>
      <c r="GZ139" t="e">
        <f>AND(Sheet1!E1871,"AAAAAHx3/c8=")</f>
        <v>#VALUE!</v>
      </c>
      <c r="HA139" t="e">
        <f>AND(Sheet1!F1871,"AAAAAHx3/dA=")</f>
        <v>#VALUE!</v>
      </c>
      <c r="HB139" t="e">
        <f>AND(Sheet1!G1871,"AAAAAHx3/dE=")</f>
        <v>#VALUE!</v>
      </c>
      <c r="HC139" t="e">
        <f>AND(Sheet1!H1871,"AAAAAHx3/dI=")</f>
        <v>#VALUE!</v>
      </c>
      <c r="HD139" t="e">
        <f>AND(Sheet1!I1871,"AAAAAHx3/dM=")</f>
        <v>#VALUE!</v>
      </c>
      <c r="HE139" t="e">
        <f>AND(Sheet1!J1871,"AAAAAHx3/dQ=")</f>
        <v>#VALUE!</v>
      </c>
      <c r="HF139" t="e">
        <f>AND(Sheet1!K1871,"AAAAAHx3/dU=")</f>
        <v>#VALUE!</v>
      </c>
      <c r="HG139" t="e">
        <f>AND(Sheet1!L1871,"AAAAAHx3/dY=")</f>
        <v>#VALUE!</v>
      </c>
      <c r="HH139" t="e">
        <f>AND(Sheet1!M1871,"AAAAAHx3/dc=")</f>
        <v>#VALUE!</v>
      </c>
      <c r="HI139" t="e">
        <f>AND(Sheet1!N1871,"AAAAAHx3/dg=")</f>
        <v>#VALUE!</v>
      </c>
      <c r="HJ139" t="e">
        <f>AND(Sheet1!#REF!,"AAAAAHx3/dk=")</f>
        <v>#REF!</v>
      </c>
      <c r="HK139" t="e">
        <f>AND(Sheet1!#REF!,"AAAAAHx3/do=")</f>
        <v>#REF!</v>
      </c>
      <c r="HL139" t="e">
        <f>AND(Sheet1!#REF!,"AAAAAHx3/ds=")</f>
        <v>#REF!</v>
      </c>
      <c r="HM139" t="e">
        <f>AND(Sheet1!#REF!,"AAAAAHx3/dw=")</f>
        <v>#REF!</v>
      </c>
      <c r="HN139">
        <f>IF(Sheet1!1872:1872,"AAAAAHx3/d0=",0)</f>
        <v>0</v>
      </c>
      <c r="HO139" t="e">
        <f>AND(Sheet1!A1872,"AAAAAHx3/d4=")</f>
        <v>#VALUE!</v>
      </c>
      <c r="HP139" t="e">
        <f>AND(Sheet1!B1872,"AAAAAHx3/d8=")</f>
        <v>#VALUE!</v>
      </c>
      <c r="HQ139" t="e">
        <f>AND(Sheet1!C1872,"AAAAAHx3/eA=")</f>
        <v>#VALUE!</v>
      </c>
      <c r="HR139" t="e">
        <f>AND(Sheet1!D1872,"AAAAAHx3/eE=")</f>
        <v>#VALUE!</v>
      </c>
      <c r="HS139" t="e">
        <f>AND(Sheet1!E1872,"AAAAAHx3/eI=")</f>
        <v>#VALUE!</v>
      </c>
      <c r="HT139" t="e">
        <f>AND(Sheet1!F1872,"AAAAAHx3/eM=")</f>
        <v>#VALUE!</v>
      </c>
      <c r="HU139" t="e">
        <f>AND(Sheet1!G1872,"AAAAAHx3/eQ=")</f>
        <v>#VALUE!</v>
      </c>
      <c r="HV139" t="e">
        <f>AND(Sheet1!H1872,"AAAAAHx3/eU=")</f>
        <v>#VALUE!</v>
      </c>
      <c r="HW139" t="e">
        <f>AND(Sheet1!I1872,"AAAAAHx3/eY=")</f>
        <v>#VALUE!</v>
      </c>
      <c r="HX139" t="e">
        <f>AND(Sheet1!J1872,"AAAAAHx3/ec=")</f>
        <v>#VALUE!</v>
      </c>
      <c r="HY139" t="e">
        <f>AND(Sheet1!K1872,"AAAAAHx3/eg=")</f>
        <v>#VALUE!</v>
      </c>
      <c r="HZ139" t="e">
        <f>AND(Sheet1!L1872,"AAAAAHx3/ek=")</f>
        <v>#VALUE!</v>
      </c>
      <c r="IA139" t="e">
        <f>AND(Sheet1!M1872,"AAAAAHx3/eo=")</f>
        <v>#VALUE!</v>
      </c>
      <c r="IB139" t="e">
        <f>AND(Sheet1!N1872,"AAAAAHx3/es=")</f>
        <v>#VALUE!</v>
      </c>
      <c r="IC139" t="e">
        <f>AND(Sheet1!#REF!,"AAAAAHx3/ew=")</f>
        <v>#REF!</v>
      </c>
      <c r="ID139" t="e">
        <f>AND(Sheet1!#REF!,"AAAAAHx3/e0=")</f>
        <v>#REF!</v>
      </c>
      <c r="IE139" t="e">
        <f>AND(Sheet1!#REF!,"AAAAAHx3/e4=")</f>
        <v>#REF!</v>
      </c>
      <c r="IF139" t="e">
        <f>AND(Sheet1!#REF!,"AAAAAHx3/e8=")</f>
        <v>#REF!</v>
      </c>
      <c r="IG139">
        <f>IF(Sheet1!1873:1873,"AAAAAHx3/fA=",0)</f>
        <v>0</v>
      </c>
      <c r="IH139" t="e">
        <f>AND(Sheet1!A1873,"AAAAAHx3/fE=")</f>
        <v>#VALUE!</v>
      </c>
      <c r="II139" t="e">
        <f>AND(Sheet1!B1873,"AAAAAHx3/fI=")</f>
        <v>#VALUE!</v>
      </c>
      <c r="IJ139" t="e">
        <f>AND(Sheet1!C1873,"AAAAAHx3/fM=")</f>
        <v>#VALUE!</v>
      </c>
      <c r="IK139" t="e">
        <f>AND(Sheet1!D1873,"AAAAAHx3/fQ=")</f>
        <v>#VALUE!</v>
      </c>
      <c r="IL139" t="e">
        <f>AND(Sheet1!E1873,"AAAAAHx3/fU=")</f>
        <v>#VALUE!</v>
      </c>
      <c r="IM139" t="e">
        <f>AND(Sheet1!F1873,"AAAAAHx3/fY=")</f>
        <v>#VALUE!</v>
      </c>
      <c r="IN139" t="e">
        <f>AND(Sheet1!G1873,"AAAAAHx3/fc=")</f>
        <v>#VALUE!</v>
      </c>
      <c r="IO139" t="e">
        <f>AND(Sheet1!H1873,"AAAAAHx3/fg=")</f>
        <v>#VALUE!</v>
      </c>
      <c r="IP139" t="e">
        <f>AND(Sheet1!I1873,"AAAAAHx3/fk=")</f>
        <v>#VALUE!</v>
      </c>
      <c r="IQ139" t="e">
        <f>AND(Sheet1!J1873,"AAAAAHx3/fo=")</f>
        <v>#VALUE!</v>
      </c>
      <c r="IR139" t="e">
        <f>AND(Sheet1!K1873,"AAAAAHx3/fs=")</f>
        <v>#VALUE!</v>
      </c>
      <c r="IS139" t="e">
        <f>AND(Sheet1!L1873,"AAAAAHx3/fw=")</f>
        <v>#VALUE!</v>
      </c>
      <c r="IT139" t="e">
        <f>AND(Sheet1!M1873,"AAAAAHx3/f0=")</f>
        <v>#VALUE!</v>
      </c>
      <c r="IU139" t="e">
        <f>AND(Sheet1!N1873,"AAAAAHx3/f4=")</f>
        <v>#VALUE!</v>
      </c>
      <c r="IV139" t="e">
        <f>AND(Sheet1!#REF!,"AAAAAHx3/f8=")</f>
        <v>#REF!</v>
      </c>
    </row>
    <row r="140" spans="1:256" x14ac:dyDescent="0.2">
      <c r="A140" t="e">
        <f>AND(Sheet1!#REF!,"AAAAAFq/+wA=")</f>
        <v>#REF!</v>
      </c>
      <c r="B140" t="e">
        <f>AND(Sheet1!#REF!,"AAAAAFq/+wE=")</f>
        <v>#REF!</v>
      </c>
      <c r="C140" t="e">
        <f>AND(Sheet1!#REF!,"AAAAAFq/+wI=")</f>
        <v>#REF!</v>
      </c>
      <c r="D140" t="e">
        <f>IF(Sheet1!1874:1874,"AAAAAFq/+wM=",0)</f>
        <v>#VALUE!</v>
      </c>
      <c r="E140" t="e">
        <f>AND(Sheet1!A1874,"AAAAAFq/+wQ=")</f>
        <v>#VALUE!</v>
      </c>
      <c r="F140" t="e">
        <f>AND(Sheet1!B1874,"AAAAAFq/+wU=")</f>
        <v>#VALUE!</v>
      </c>
      <c r="G140" t="e">
        <f>AND(Sheet1!C1874,"AAAAAFq/+wY=")</f>
        <v>#VALUE!</v>
      </c>
      <c r="H140" t="e">
        <f>AND(Sheet1!D1874,"AAAAAFq/+wc=")</f>
        <v>#VALUE!</v>
      </c>
      <c r="I140" t="e">
        <f>AND(Sheet1!E1874,"AAAAAFq/+wg=")</f>
        <v>#VALUE!</v>
      </c>
      <c r="J140" t="e">
        <f>AND(Sheet1!F1874,"AAAAAFq/+wk=")</f>
        <v>#VALUE!</v>
      </c>
      <c r="K140" t="e">
        <f>AND(Sheet1!G1874,"AAAAAFq/+wo=")</f>
        <v>#VALUE!</v>
      </c>
      <c r="L140" t="e">
        <f>AND(Sheet1!H1874,"AAAAAFq/+ws=")</f>
        <v>#VALUE!</v>
      </c>
      <c r="M140" t="e">
        <f>AND(Sheet1!I1874,"AAAAAFq/+ww=")</f>
        <v>#VALUE!</v>
      </c>
      <c r="N140" t="e">
        <f>AND(Sheet1!J1874,"AAAAAFq/+w0=")</f>
        <v>#VALUE!</v>
      </c>
      <c r="O140" t="e">
        <f>AND(Sheet1!K1874,"AAAAAFq/+w4=")</f>
        <v>#VALUE!</v>
      </c>
      <c r="P140" t="e">
        <f>AND(Sheet1!L1874,"AAAAAFq/+w8=")</f>
        <v>#VALUE!</v>
      </c>
      <c r="Q140" t="e">
        <f>AND(Sheet1!M1874,"AAAAAFq/+xA=")</f>
        <v>#VALUE!</v>
      </c>
      <c r="R140" t="e">
        <f>AND(Sheet1!N1874,"AAAAAFq/+xE=")</f>
        <v>#VALUE!</v>
      </c>
      <c r="S140" t="e">
        <f>AND(Sheet1!#REF!,"AAAAAFq/+xI=")</f>
        <v>#REF!</v>
      </c>
      <c r="T140" t="e">
        <f>AND(Sheet1!#REF!,"AAAAAFq/+xM=")</f>
        <v>#REF!</v>
      </c>
      <c r="U140" t="e">
        <f>AND(Sheet1!#REF!,"AAAAAFq/+xQ=")</f>
        <v>#REF!</v>
      </c>
      <c r="V140" t="e">
        <f>AND(Sheet1!#REF!,"AAAAAFq/+xU=")</f>
        <v>#REF!</v>
      </c>
      <c r="W140">
        <f>IF(Sheet1!1875:1875,"AAAAAFq/+xY=",0)</f>
        <v>0</v>
      </c>
      <c r="X140" t="e">
        <f>AND(Sheet1!A1875,"AAAAAFq/+xc=")</f>
        <v>#VALUE!</v>
      </c>
      <c r="Y140" t="e">
        <f>AND(Sheet1!B1875,"AAAAAFq/+xg=")</f>
        <v>#VALUE!</v>
      </c>
      <c r="Z140" t="e">
        <f>AND(Sheet1!C1875,"AAAAAFq/+xk=")</f>
        <v>#VALUE!</v>
      </c>
      <c r="AA140" t="e">
        <f>AND(Sheet1!D1875,"AAAAAFq/+xo=")</f>
        <v>#VALUE!</v>
      </c>
      <c r="AB140" t="e">
        <f>AND(Sheet1!E1875,"AAAAAFq/+xs=")</f>
        <v>#VALUE!</v>
      </c>
      <c r="AC140" t="e">
        <f>AND(Sheet1!F1875,"AAAAAFq/+xw=")</f>
        <v>#VALUE!</v>
      </c>
      <c r="AD140" t="e">
        <f>AND(Sheet1!G1875,"AAAAAFq/+x0=")</f>
        <v>#VALUE!</v>
      </c>
      <c r="AE140" t="e">
        <f>AND(Sheet1!H1875,"AAAAAFq/+x4=")</f>
        <v>#VALUE!</v>
      </c>
      <c r="AF140" t="e">
        <f>AND(Sheet1!I1875,"AAAAAFq/+x8=")</f>
        <v>#VALUE!</v>
      </c>
      <c r="AG140" t="e">
        <f>AND(Sheet1!J1875,"AAAAAFq/+yA=")</f>
        <v>#VALUE!</v>
      </c>
      <c r="AH140" t="e">
        <f>AND(Sheet1!K1875,"AAAAAFq/+yE=")</f>
        <v>#VALUE!</v>
      </c>
      <c r="AI140" t="e">
        <f>AND(Sheet1!L1875,"AAAAAFq/+yI=")</f>
        <v>#VALUE!</v>
      </c>
      <c r="AJ140" t="e">
        <f>AND(Sheet1!M1875,"AAAAAFq/+yM=")</f>
        <v>#VALUE!</v>
      </c>
      <c r="AK140" t="e">
        <f>AND(Sheet1!N1875,"AAAAAFq/+yQ=")</f>
        <v>#VALUE!</v>
      </c>
      <c r="AL140" t="e">
        <f>AND(Sheet1!#REF!,"AAAAAFq/+yU=")</f>
        <v>#REF!</v>
      </c>
      <c r="AM140" t="e">
        <f>AND(Sheet1!#REF!,"AAAAAFq/+yY=")</f>
        <v>#REF!</v>
      </c>
      <c r="AN140" t="e">
        <f>AND(Sheet1!#REF!,"AAAAAFq/+yc=")</f>
        <v>#REF!</v>
      </c>
      <c r="AO140" t="e">
        <f>AND(Sheet1!#REF!,"AAAAAFq/+yg=")</f>
        <v>#REF!</v>
      </c>
      <c r="AP140">
        <f>IF(Sheet1!1876:1876,"AAAAAFq/+yk=",0)</f>
        <v>0</v>
      </c>
      <c r="AQ140" t="e">
        <f>AND(Sheet1!A1876,"AAAAAFq/+yo=")</f>
        <v>#VALUE!</v>
      </c>
      <c r="AR140" t="e">
        <f>AND(Sheet1!B1876,"AAAAAFq/+ys=")</f>
        <v>#VALUE!</v>
      </c>
      <c r="AS140" t="e">
        <f>AND(Sheet1!C1876,"AAAAAFq/+yw=")</f>
        <v>#VALUE!</v>
      </c>
      <c r="AT140" t="e">
        <f>AND(Sheet1!D1876,"AAAAAFq/+y0=")</f>
        <v>#VALUE!</v>
      </c>
      <c r="AU140" t="e">
        <f>AND(Sheet1!E1876,"AAAAAFq/+y4=")</f>
        <v>#VALUE!</v>
      </c>
      <c r="AV140" t="e">
        <f>AND(Sheet1!F1876,"AAAAAFq/+y8=")</f>
        <v>#VALUE!</v>
      </c>
      <c r="AW140" t="e">
        <f>AND(Sheet1!G1876,"AAAAAFq/+zA=")</f>
        <v>#VALUE!</v>
      </c>
      <c r="AX140" t="e">
        <f>AND(Sheet1!H1876,"AAAAAFq/+zE=")</f>
        <v>#VALUE!</v>
      </c>
      <c r="AY140" t="e">
        <f>AND(Sheet1!I1876,"AAAAAFq/+zI=")</f>
        <v>#VALUE!</v>
      </c>
      <c r="AZ140" t="e">
        <f>AND(Sheet1!J1876,"AAAAAFq/+zM=")</f>
        <v>#VALUE!</v>
      </c>
      <c r="BA140" t="e">
        <f>AND(Sheet1!K1876,"AAAAAFq/+zQ=")</f>
        <v>#VALUE!</v>
      </c>
      <c r="BB140" t="e">
        <f>AND(Sheet1!L1876,"AAAAAFq/+zU=")</f>
        <v>#VALUE!</v>
      </c>
      <c r="BC140" t="e">
        <f>AND(Sheet1!M1876,"AAAAAFq/+zY=")</f>
        <v>#VALUE!</v>
      </c>
      <c r="BD140" t="e">
        <f>AND(Sheet1!N1876,"AAAAAFq/+zc=")</f>
        <v>#VALUE!</v>
      </c>
      <c r="BE140" t="e">
        <f>AND(Sheet1!#REF!,"AAAAAFq/+zg=")</f>
        <v>#REF!</v>
      </c>
      <c r="BF140" t="e">
        <f>AND(Sheet1!#REF!,"AAAAAFq/+zk=")</f>
        <v>#REF!</v>
      </c>
      <c r="BG140" t="e">
        <f>AND(Sheet1!#REF!,"AAAAAFq/+zo=")</f>
        <v>#REF!</v>
      </c>
      <c r="BH140" t="e">
        <f>AND(Sheet1!#REF!,"AAAAAFq/+zs=")</f>
        <v>#REF!</v>
      </c>
      <c r="BI140">
        <f>IF(Sheet1!1877:1877,"AAAAAFq/+zw=",0)</f>
        <v>0</v>
      </c>
      <c r="BJ140" t="e">
        <f>AND(Sheet1!A1877,"AAAAAFq/+z0=")</f>
        <v>#VALUE!</v>
      </c>
      <c r="BK140" t="e">
        <f>AND(Sheet1!B1877,"AAAAAFq/+z4=")</f>
        <v>#VALUE!</v>
      </c>
      <c r="BL140" t="e">
        <f>AND(Sheet1!C1877,"AAAAAFq/+z8=")</f>
        <v>#VALUE!</v>
      </c>
      <c r="BM140" t="e">
        <f>AND(Sheet1!D1877,"AAAAAFq/+0A=")</f>
        <v>#VALUE!</v>
      </c>
      <c r="BN140" t="e">
        <f>AND(Sheet1!E1877,"AAAAAFq/+0E=")</f>
        <v>#VALUE!</v>
      </c>
      <c r="BO140" t="e">
        <f>AND(Sheet1!F1877,"AAAAAFq/+0I=")</f>
        <v>#VALUE!</v>
      </c>
      <c r="BP140" t="e">
        <f>AND(Sheet1!G1877,"AAAAAFq/+0M=")</f>
        <v>#VALUE!</v>
      </c>
      <c r="BQ140" t="e">
        <f>AND(Sheet1!H1877,"AAAAAFq/+0Q=")</f>
        <v>#VALUE!</v>
      </c>
      <c r="BR140" t="e">
        <f>AND(Sheet1!I1877,"AAAAAFq/+0U=")</f>
        <v>#VALUE!</v>
      </c>
      <c r="BS140" t="e">
        <f>AND(Sheet1!J1877,"AAAAAFq/+0Y=")</f>
        <v>#VALUE!</v>
      </c>
      <c r="BT140" t="e">
        <f>AND(Sheet1!K1877,"AAAAAFq/+0c=")</f>
        <v>#VALUE!</v>
      </c>
      <c r="BU140" t="e">
        <f>AND(Sheet1!L1877,"AAAAAFq/+0g=")</f>
        <v>#VALUE!</v>
      </c>
      <c r="BV140" t="e">
        <f>AND(Sheet1!M1877,"AAAAAFq/+0k=")</f>
        <v>#VALUE!</v>
      </c>
      <c r="BW140" t="e">
        <f>AND(Sheet1!N1877,"AAAAAFq/+0o=")</f>
        <v>#VALUE!</v>
      </c>
      <c r="BX140" t="e">
        <f>AND(Sheet1!#REF!,"AAAAAFq/+0s=")</f>
        <v>#REF!</v>
      </c>
      <c r="BY140" t="e">
        <f>AND(Sheet1!#REF!,"AAAAAFq/+0w=")</f>
        <v>#REF!</v>
      </c>
      <c r="BZ140" t="e">
        <f>AND(Sheet1!#REF!,"AAAAAFq/+00=")</f>
        <v>#REF!</v>
      </c>
      <c r="CA140" t="e">
        <f>AND(Sheet1!#REF!,"AAAAAFq/+04=")</f>
        <v>#REF!</v>
      </c>
      <c r="CB140">
        <f>IF(Sheet1!1878:1878,"AAAAAFq/+08=",0)</f>
        <v>0</v>
      </c>
      <c r="CC140" t="e">
        <f>AND(Sheet1!A1878,"AAAAAFq/+1A=")</f>
        <v>#VALUE!</v>
      </c>
      <c r="CD140" t="e">
        <f>AND(Sheet1!B1878,"AAAAAFq/+1E=")</f>
        <v>#VALUE!</v>
      </c>
      <c r="CE140" t="e">
        <f>AND(Sheet1!C1878,"AAAAAFq/+1I=")</f>
        <v>#VALUE!</v>
      </c>
      <c r="CF140" t="e">
        <f>AND(Sheet1!D1878,"AAAAAFq/+1M=")</f>
        <v>#VALUE!</v>
      </c>
      <c r="CG140" t="e">
        <f>AND(Sheet1!E1878,"AAAAAFq/+1Q=")</f>
        <v>#VALUE!</v>
      </c>
      <c r="CH140" t="e">
        <f>AND(Sheet1!F1878,"AAAAAFq/+1U=")</f>
        <v>#VALUE!</v>
      </c>
      <c r="CI140" t="e">
        <f>AND(Sheet1!G1878,"AAAAAFq/+1Y=")</f>
        <v>#VALUE!</v>
      </c>
      <c r="CJ140" t="e">
        <f>AND(Sheet1!H1878,"AAAAAFq/+1c=")</f>
        <v>#VALUE!</v>
      </c>
      <c r="CK140" t="e">
        <f>AND(Sheet1!I1878,"AAAAAFq/+1g=")</f>
        <v>#VALUE!</v>
      </c>
      <c r="CL140" t="e">
        <f>AND(Sheet1!J1878,"AAAAAFq/+1k=")</f>
        <v>#VALUE!</v>
      </c>
      <c r="CM140" t="e">
        <f>AND(Sheet1!K1878,"AAAAAFq/+1o=")</f>
        <v>#VALUE!</v>
      </c>
      <c r="CN140" t="e">
        <f>AND(Sheet1!L1878,"AAAAAFq/+1s=")</f>
        <v>#VALUE!</v>
      </c>
      <c r="CO140" t="e">
        <f>AND(Sheet1!M1878,"AAAAAFq/+1w=")</f>
        <v>#VALUE!</v>
      </c>
      <c r="CP140" t="e">
        <f>AND(Sheet1!N1878,"AAAAAFq/+10=")</f>
        <v>#VALUE!</v>
      </c>
      <c r="CQ140" t="e">
        <f>AND(Sheet1!#REF!,"AAAAAFq/+14=")</f>
        <v>#REF!</v>
      </c>
      <c r="CR140" t="e">
        <f>AND(Sheet1!#REF!,"AAAAAFq/+18=")</f>
        <v>#REF!</v>
      </c>
      <c r="CS140" t="e">
        <f>AND(Sheet1!#REF!,"AAAAAFq/+2A=")</f>
        <v>#REF!</v>
      </c>
      <c r="CT140" t="e">
        <f>AND(Sheet1!#REF!,"AAAAAFq/+2E=")</f>
        <v>#REF!</v>
      </c>
      <c r="CU140">
        <f>IF(Sheet1!1879:1879,"AAAAAFq/+2I=",0)</f>
        <v>0</v>
      </c>
      <c r="CV140" t="e">
        <f>AND(Sheet1!A1879,"AAAAAFq/+2M=")</f>
        <v>#VALUE!</v>
      </c>
      <c r="CW140" t="e">
        <f>AND(Sheet1!B1879,"AAAAAFq/+2Q=")</f>
        <v>#VALUE!</v>
      </c>
      <c r="CX140" t="e">
        <f>AND(Sheet1!C1879,"AAAAAFq/+2U=")</f>
        <v>#VALUE!</v>
      </c>
      <c r="CY140" t="e">
        <f>AND(Sheet1!D1879,"AAAAAFq/+2Y=")</f>
        <v>#VALUE!</v>
      </c>
      <c r="CZ140" t="e">
        <f>AND(Sheet1!E1879,"AAAAAFq/+2c=")</f>
        <v>#VALUE!</v>
      </c>
      <c r="DA140" t="e">
        <f>AND(Sheet1!F1879,"AAAAAFq/+2g=")</f>
        <v>#VALUE!</v>
      </c>
      <c r="DB140" t="e">
        <f>AND(Sheet1!G1879,"AAAAAFq/+2k=")</f>
        <v>#VALUE!</v>
      </c>
      <c r="DC140" t="e">
        <f>AND(Sheet1!H1879,"AAAAAFq/+2o=")</f>
        <v>#VALUE!</v>
      </c>
      <c r="DD140" t="e">
        <f>AND(Sheet1!I1879,"AAAAAFq/+2s=")</f>
        <v>#VALUE!</v>
      </c>
      <c r="DE140" t="e">
        <f>AND(Sheet1!J1879,"AAAAAFq/+2w=")</f>
        <v>#VALUE!</v>
      </c>
      <c r="DF140" t="e">
        <f>AND(Sheet1!K1879,"AAAAAFq/+20=")</f>
        <v>#VALUE!</v>
      </c>
      <c r="DG140" t="e">
        <f>AND(Sheet1!L1879,"AAAAAFq/+24=")</f>
        <v>#VALUE!</v>
      </c>
      <c r="DH140" t="e">
        <f>AND(Sheet1!M1879,"AAAAAFq/+28=")</f>
        <v>#VALUE!</v>
      </c>
      <c r="DI140" t="e">
        <f>AND(Sheet1!N1879,"AAAAAFq/+3A=")</f>
        <v>#VALUE!</v>
      </c>
      <c r="DJ140" t="e">
        <f>AND(Sheet1!#REF!,"AAAAAFq/+3E=")</f>
        <v>#REF!</v>
      </c>
      <c r="DK140" t="e">
        <f>AND(Sheet1!#REF!,"AAAAAFq/+3I=")</f>
        <v>#REF!</v>
      </c>
      <c r="DL140" t="e">
        <f>AND(Sheet1!#REF!,"AAAAAFq/+3M=")</f>
        <v>#REF!</v>
      </c>
      <c r="DM140" t="e">
        <f>AND(Sheet1!#REF!,"AAAAAFq/+3Q=")</f>
        <v>#REF!</v>
      </c>
      <c r="DN140">
        <f>IF(Sheet1!1880:1880,"AAAAAFq/+3U=",0)</f>
        <v>0</v>
      </c>
      <c r="DO140" t="e">
        <f>AND(Sheet1!A1880,"AAAAAFq/+3Y=")</f>
        <v>#VALUE!</v>
      </c>
      <c r="DP140" t="e">
        <f>AND(Sheet1!B1880,"AAAAAFq/+3c=")</f>
        <v>#VALUE!</v>
      </c>
      <c r="DQ140" t="e">
        <f>AND(Sheet1!C1880,"AAAAAFq/+3g=")</f>
        <v>#VALUE!</v>
      </c>
      <c r="DR140" t="e">
        <f>AND(Sheet1!D1880,"AAAAAFq/+3k=")</f>
        <v>#VALUE!</v>
      </c>
      <c r="DS140" t="e">
        <f>AND(Sheet1!E1880,"AAAAAFq/+3o=")</f>
        <v>#VALUE!</v>
      </c>
      <c r="DT140" t="e">
        <f>AND(Sheet1!F1880,"AAAAAFq/+3s=")</f>
        <v>#VALUE!</v>
      </c>
      <c r="DU140" t="e">
        <f>AND(Sheet1!G1880,"AAAAAFq/+3w=")</f>
        <v>#VALUE!</v>
      </c>
      <c r="DV140" t="e">
        <f>AND(Sheet1!H1880,"AAAAAFq/+30=")</f>
        <v>#VALUE!</v>
      </c>
      <c r="DW140" t="e">
        <f>AND(Sheet1!I1880,"AAAAAFq/+34=")</f>
        <v>#VALUE!</v>
      </c>
      <c r="DX140" t="e">
        <f>AND(Sheet1!J1880,"AAAAAFq/+38=")</f>
        <v>#VALUE!</v>
      </c>
      <c r="DY140" t="e">
        <f>AND(Sheet1!K1880,"AAAAAFq/+4A=")</f>
        <v>#VALUE!</v>
      </c>
      <c r="DZ140" t="e">
        <f>AND(Sheet1!L1880,"AAAAAFq/+4E=")</f>
        <v>#VALUE!</v>
      </c>
      <c r="EA140" t="e">
        <f>AND(Sheet1!M1880,"AAAAAFq/+4I=")</f>
        <v>#VALUE!</v>
      </c>
      <c r="EB140" t="e">
        <f>AND(Sheet1!N1880,"AAAAAFq/+4M=")</f>
        <v>#VALUE!</v>
      </c>
      <c r="EC140" t="e">
        <f>AND(Sheet1!#REF!,"AAAAAFq/+4Q=")</f>
        <v>#REF!</v>
      </c>
      <c r="ED140" t="e">
        <f>AND(Sheet1!#REF!,"AAAAAFq/+4U=")</f>
        <v>#REF!</v>
      </c>
      <c r="EE140" t="e">
        <f>AND(Sheet1!#REF!,"AAAAAFq/+4Y=")</f>
        <v>#REF!</v>
      </c>
      <c r="EF140" t="e">
        <f>AND(Sheet1!#REF!,"AAAAAFq/+4c=")</f>
        <v>#REF!</v>
      </c>
      <c r="EG140">
        <f>IF(Sheet1!1881:1881,"AAAAAFq/+4g=",0)</f>
        <v>0</v>
      </c>
      <c r="EH140" t="e">
        <f>AND(Sheet1!A1881,"AAAAAFq/+4k=")</f>
        <v>#VALUE!</v>
      </c>
      <c r="EI140" t="e">
        <f>AND(Sheet1!B1881,"AAAAAFq/+4o=")</f>
        <v>#VALUE!</v>
      </c>
      <c r="EJ140" t="e">
        <f>AND(Sheet1!C1881,"AAAAAFq/+4s=")</f>
        <v>#VALUE!</v>
      </c>
      <c r="EK140" t="e">
        <f>AND(Sheet1!D1881,"AAAAAFq/+4w=")</f>
        <v>#VALUE!</v>
      </c>
      <c r="EL140" t="e">
        <f>AND(Sheet1!E1881,"AAAAAFq/+40=")</f>
        <v>#VALUE!</v>
      </c>
      <c r="EM140" t="e">
        <f>AND(Sheet1!F1881,"AAAAAFq/+44=")</f>
        <v>#VALUE!</v>
      </c>
      <c r="EN140" t="e">
        <f>AND(Sheet1!G1881,"AAAAAFq/+48=")</f>
        <v>#VALUE!</v>
      </c>
      <c r="EO140" t="e">
        <f>AND(Sheet1!H1881,"AAAAAFq/+5A=")</f>
        <v>#VALUE!</v>
      </c>
      <c r="EP140" t="e">
        <f>AND(Sheet1!I1881,"AAAAAFq/+5E=")</f>
        <v>#VALUE!</v>
      </c>
      <c r="EQ140" t="e">
        <f>AND(Sheet1!J1881,"AAAAAFq/+5I=")</f>
        <v>#VALUE!</v>
      </c>
      <c r="ER140" t="e">
        <f>AND(Sheet1!K1881,"AAAAAFq/+5M=")</f>
        <v>#VALUE!</v>
      </c>
      <c r="ES140" t="e">
        <f>AND(Sheet1!L1881,"AAAAAFq/+5Q=")</f>
        <v>#VALUE!</v>
      </c>
      <c r="ET140" t="e">
        <f>AND(Sheet1!M1881,"AAAAAFq/+5U=")</f>
        <v>#VALUE!</v>
      </c>
      <c r="EU140" t="e">
        <f>AND(Sheet1!N1881,"AAAAAFq/+5Y=")</f>
        <v>#VALUE!</v>
      </c>
      <c r="EV140" t="e">
        <f>AND(Sheet1!#REF!,"AAAAAFq/+5c=")</f>
        <v>#REF!</v>
      </c>
      <c r="EW140" t="e">
        <f>AND(Sheet1!#REF!,"AAAAAFq/+5g=")</f>
        <v>#REF!</v>
      </c>
      <c r="EX140" t="e">
        <f>AND(Sheet1!#REF!,"AAAAAFq/+5k=")</f>
        <v>#REF!</v>
      </c>
      <c r="EY140" t="e">
        <f>AND(Sheet1!#REF!,"AAAAAFq/+5o=")</f>
        <v>#REF!</v>
      </c>
      <c r="EZ140">
        <f>IF(Sheet1!1882:1882,"AAAAAFq/+5s=",0)</f>
        <v>0</v>
      </c>
      <c r="FA140" t="e">
        <f>AND(Sheet1!A1882,"AAAAAFq/+5w=")</f>
        <v>#VALUE!</v>
      </c>
      <c r="FB140" t="e">
        <f>AND(Sheet1!B1882,"AAAAAFq/+50=")</f>
        <v>#VALUE!</v>
      </c>
      <c r="FC140" t="e">
        <f>AND(Sheet1!C1882,"AAAAAFq/+54=")</f>
        <v>#VALUE!</v>
      </c>
      <c r="FD140" t="e">
        <f>AND(Sheet1!D1882,"AAAAAFq/+58=")</f>
        <v>#VALUE!</v>
      </c>
      <c r="FE140" t="e">
        <f>AND(Sheet1!E1882,"AAAAAFq/+6A=")</f>
        <v>#VALUE!</v>
      </c>
      <c r="FF140" t="e">
        <f>AND(Sheet1!F1882,"AAAAAFq/+6E=")</f>
        <v>#VALUE!</v>
      </c>
      <c r="FG140" t="e">
        <f>AND(Sheet1!G1882,"AAAAAFq/+6I=")</f>
        <v>#VALUE!</v>
      </c>
      <c r="FH140" t="e">
        <f>AND(Sheet1!H1882,"AAAAAFq/+6M=")</f>
        <v>#VALUE!</v>
      </c>
      <c r="FI140" t="e">
        <f>AND(Sheet1!I1882,"AAAAAFq/+6Q=")</f>
        <v>#VALUE!</v>
      </c>
      <c r="FJ140" t="e">
        <f>AND(Sheet1!J1882,"AAAAAFq/+6U=")</f>
        <v>#VALUE!</v>
      </c>
      <c r="FK140" t="e">
        <f>AND(Sheet1!K1882,"AAAAAFq/+6Y=")</f>
        <v>#VALUE!</v>
      </c>
      <c r="FL140" t="e">
        <f>AND(Sheet1!L1882,"AAAAAFq/+6c=")</f>
        <v>#VALUE!</v>
      </c>
      <c r="FM140" t="e">
        <f>AND(Sheet1!M1882,"AAAAAFq/+6g=")</f>
        <v>#VALUE!</v>
      </c>
      <c r="FN140" t="e">
        <f>AND(Sheet1!N1882,"AAAAAFq/+6k=")</f>
        <v>#VALUE!</v>
      </c>
      <c r="FO140" t="e">
        <f>AND(Sheet1!#REF!,"AAAAAFq/+6o=")</f>
        <v>#REF!</v>
      </c>
      <c r="FP140" t="e">
        <f>AND(Sheet1!#REF!,"AAAAAFq/+6s=")</f>
        <v>#REF!</v>
      </c>
      <c r="FQ140" t="e">
        <f>AND(Sheet1!#REF!,"AAAAAFq/+6w=")</f>
        <v>#REF!</v>
      </c>
      <c r="FR140" t="e">
        <f>AND(Sheet1!#REF!,"AAAAAFq/+60=")</f>
        <v>#REF!</v>
      </c>
      <c r="FS140">
        <f>IF(Sheet1!1883:1883,"AAAAAFq/+64=",0)</f>
        <v>0</v>
      </c>
      <c r="FT140" t="e">
        <f>AND(Sheet1!A1883,"AAAAAFq/+68=")</f>
        <v>#VALUE!</v>
      </c>
      <c r="FU140" t="e">
        <f>AND(Sheet1!B1883,"AAAAAFq/+7A=")</f>
        <v>#VALUE!</v>
      </c>
      <c r="FV140" t="e">
        <f>AND(Sheet1!C1883,"AAAAAFq/+7E=")</f>
        <v>#VALUE!</v>
      </c>
      <c r="FW140" t="e">
        <f>AND(Sheet1!D1883,"AAAAAFq/+7I=")</f>
        <v>#VALUE!</v>
      </c>
      <c r="FX140" t="e">
        <f>AND(Sheet1!E1883,"AAAAAFq/+7M=")</f>
        <v>#VALUE!</v>
      </c>
      <c r="FY140" t="e">
        <f>AND(Sheet1!F1883,"AAAAAFq/+7Q=")</f>
        <v>#VALUE!</v>
      </c>
      <c r="FZ140" t="e">
        <f>AND(Sheet1!G1883,"AAAAAFq/+7U=")</f>
        <v>#VALUE!</v>
      </c>
      <c r="GA140" t="e">
        <f>AND(Sheet1!H1883,"AAAAAFq/+7Y=")</f>
        <v>#VALUE!</v>
      </c>
      <c r="GB140" t="e">
        <f>AND(Sheet1!I1883,"AAAAAFq/+7c=")</f>
        <v>#VALUE!</v>
      </c>
      <c r="GC140" t="e">
        <f>AND(Sheet1!J1883,"AAAAAFq/+7g=")</f>
        <v>#VALUE!</v>
      </c>
      <c r="GD140" t="e">
        <f>AND(Sheet1!K1883,"AAAAAFq/+7k=")</f>
        <v>#VALUE!</v>
      </c>
      <c r="GE140" t="e">
        <f>AND(Sheet1!L1883,"AAAAAFq/+7o=")</f>
        <v>#VALUE!</v>
      </c>
      <c r="GF140" t="e">
        <f>AND(Sheet1!M1883,"AAAAAFq/+7s=")</f>
        <v>#VALUE!</v>
      </c>
      <c r="GG140" t="e">
        <f>AND(Sheet1!N1883,"AAAAAFq/+7w=")</f>
        <v>#VALUE!</v>
      </c>
      <c r="GH140" t="e">
        <f>AND(Sheet1!#REF!,"AAAAAFq/+70=")</f>
        <v>#REF!</v>
      </c>
      <c r="GI140" t="e">
        <f>AND(Sheet1!#REF!,"AAAAAFq/+74=")</f>
        <v>#REF!</v>
      </c>
      <c r="GJ140" t="e">
        <f>AND(Sheet1!#REF!,"AAAAAFq/+78=")</f>
        <v>#REF!</v>
      </c>
      <c r="GK140" t="e">
        <f>AND(Sheet1!#REF!,"AAAAAFq/+8A=")</f>
        <v>#REF!</v>
      </c>
      <c r="GL140">
        <f>IF(Sheet1!1884:1884,"AAAAAFq/+8E=",0)</f>
        <v>0</v>
      </c>
      <c r="GM140" t="e">
        <f>AND(Sheet1!A1884,"AAAAAFq/+8I=")</f>
        <v>#VALUE!</v>
      </c>
      <c r="GN140" t="e">
        <f>AND(Sheet1!B1884,"AAAAAFq/+8M=")</f>
        <v>#VALUE!</v>
      </c>
      <c r="GO140" t="e">
        <f>AND(Sheet1!C1884,"AAAAAFq/+8Q=")</f>
        <v>#VALUE!</v>
      </c>
      <c r="GP140" t="e">
        <f>AND(Sheet1!D1884,"AAAAAFq/+8U=")</f>
        <v>#VALUE!</v>
      </c>
      <c r="GQ140" t="e">
        <f>AND(Sheet1!E1884,"AAAAAFq/+8Y=")</f>
        <v>#VALUE!</v>
      </c>
      <c r="GR140" t="e">
        <f>AND(Sheet1!F1884,"AAAAAFq/+8c=")</f>
        <v>#VALUE!</v>
      </c>
      <c r="GS140" t="e">
        <f>AND(Sheet1!G1884,"AAAAAFq/+8g=")</f>
        <v>#VALUE!</v>
      </c>
      <c r="GT140" t="e">
        <f>AND(Sheet1!H1884,"AAAAAFq/+8k=")</f>
        <v>#VALUE!</v>
      </c>
      <c r="GU140" t="e">
        <f>AND(Sheet1!I1884,"AAAAAFq/+8o=")</f>
        <v>#VALUE!</v>
      </c>
      <c r="GV140" t="e">
        <f>AND(Sheet1!J1884,"AAAAAFq/+8s=")</f>
        <v>#VALUE!</v>
      </c>
      <c r="GW140" t="e">
        <f>AND(Sheet1!K1884,"AAAAAFq/+8w=")</f>
        <v>#VALUE!</v>
      </c>
      <c r="GX140" t="e">
        <f>AND(Sheet1!L1884,"AAAAAFq/+80=")</f>
        <v>#VALUE!</v>
      </c>
      <c r="GY140" t="e">
        <f>AND(Sheet1!M1884,"AAAAAFq/+84=")</f>
        <v>#VALUE!</v>
      </c>
      <c r="GZ140" t="e">
        <f>AND(Sheet1!N1884,"AAAAAFq/+88=")</f>
        <v>#VALUE!</v>
      </c>
      <c r="HA140" t="e">
        <f>AND(Sheet1!#REF!,"AAAAAFq/+9A=")</f>
        <v>#REF!</v>
      </c>
      <c r="HB140" t="e">
        <f>AND(Sheet1!#REF!,"AAAAAFq/+9E=")</f>
        <v>#REF!</v>
      </c>
      <c r="HC140" t="e">
        <f>AND(Sheet1!#REF!,"AAAAAFq/+9I=")</f>
        <v>#REF!</v>
      </c>
      <c r="HD140" t="e">
        <f>AND(Sheet1!#REF!,"AAAAAFq/+9M=")</f>
        <v>#REF!</v>
      </c>
      <c r="HE140">
        <f>IF(Sheet1!1885:1885,"AAAAAFq/+9Q=",0)</f>
        <v>0</v>
      </c>
      <c r="HF140" t="e">
        <f>AND(Sheet1!A1885,"AAAAAFq/+9U=")</f>
        <v>#VALUE!</v>
      </c>
      <c r="HG140" t="e">
        <f>AND(Sheet1!B1885,"AAAAAFq/+9Y=")</f>
        <v>#VALUE!</v>
      </c>
      <c r="HH140" t="e">
        <f>AND(Sheet1!C1885,"AAAAAFq/+9c=")</f>
        <v>#VALUE!</v>
      </c>
      <c r="HI140" t="e">
        <f>AND(Sheet1!D1885,"AAAAAFq/+9g=")</f>
        <v>#VALUE!</v>
      </c>
      <c r="HJ140" t="e">
        <f>AND(Sheet1!E1885,"AAAAAFq/+9k=")</f>
        <v>#VALUE!</v>
      </c>
      <c r="HK140" t="e">
        <f>AND(Sheet1!F1885,"AAAAAFq/+9o=")</f>
        <v>#VALUE!</v>
      </c>
      <c r="HL140" t="e">
        <f>AND(Sheet1!G1885,"AAAAAFq/+9s=")</f>
        <v>#VALUE!</v>
      </c>
      <c r="HM140" t="e">
        <f>AND(Sheet1!H1885,"AAAAAFq/+9w=")</f>
        <v>#VALUE!</v>
      </c>
      <c r="HN140" t="e">
        <f>AND(Sheet1!I1885,"AAAAAFq/+90=")</f>
        <v>#VALUE!</v>
      </c>
      <c r="HO140" t="e">
        <f>AND(Sheet1!J1885,"AAAAAFq/+94=")</f>
        <v>#VALUE!</v>
      </c>
      <c r="HP140" t="e">
        <f>AND(Sheet1!K1885,"AAAAAFq/+98=")</f>
        <v>#VALUE!</v>
      </c>
      <c r="HQ140" t="e">
        <f>AND(Sheet1!L1885,"AAAAAFq/++A=")</f>
        <v>#VALUE!</v>
      </c>
      <c r="HR140" t="e">
        <f>AND(Sheet1!M1885,"AAAAAFq/++E=")</f>
        <v>#VALUE!</v>
      </c>
      <c r="HS140" t="e">
        <f>AND(Sheet1!N1885,"AAAAAFq/++I=")</f>
        <v>#VALUE!</v>
      </c>
      <c r="HT140" t="e">
        <f>AND(Sheet1!#REF!,"AAAAAFq/++M=")</f>
        <v>#REF!</v>
      </c>
      <c r="HU140" t="e">
        <f>AND(Sheet1!#REF!,"AAAAAFq/++Q=")</f>
        <v>#REF!</v>
      </c>
      <c r="HV140" t="e">
        <f>AND(Sheet1!#REF!,"AAAAAFq/++U=")</f>
        <v>#REF!</v>
      </c>
      <c r="HW140" t="e">
        <f>AND(Sheet1!#REF!,"AAAAAFq/++Y=")</f>
        <v>#REF!</v>
      </c>
      <c r="HX140">
        <f>IF(Sheet1!1886:1886,"AAAAAFq/++c=",0)</f>
        <v>0</v>
      </c>
      <c r="HY140" t="e">
        <f>AND(Sheet1!A1886,"AAAAAFq/++g=")</f>
        <v>#VALUE!</v>
      </c>
      <c r="HZ140" t="e">
        <f>AND(Sheet1!B1886,"AAAAAFq/++k=")</f>
        <v>#VALUE!</v>
      </c>
      <c r="IA140" t="e">
        <f>AND(Sheet1!C1886,"AAAAAFq/++o=")</f>
        <v>#VALUE!</v>
      </c>
      <c r="IB140" t="e">
        <f>AND(Sheet1!D1886,"AAAAAFq/++s=")</f>
        <v>#VALUE!</v>
      </c>
      <c r="IC140" t="e">
        <f>AND(Sheet1!E1886,"AAAAAFq/++w=")</f>
        <v>#VALUE!</v>
      </c>
      <c r="ID140" t="e">
        <f>AND(Sheet1!F1886,"AAAAAFq/++0=")</f>
        <v>#VALUE!</v>
      </c>
      <c r="IE140" t="e">
        <f>AND(Sheet1!G1886,"AAAAAFq/++4=")</f>
        <v>#VALUE!</v>
      </c>
      <c r="IF140" t="e">
        <f>AND(Sheet1!H1886,"AAAAAFq/++8=")</f>
        <v>#VALUE!</v>
      </c>
      <c r="IG140" t="e">
        <f>AND(Sheet1!I1886,"AAAAAFq/+/A=")</f>
        <v>#VALUE!</v>
      </c>
      <c r="IH140" t="e">
        <f>AND(Sheet1!J1886,"AAAAAFq/+/E=")</f>
        <v>#VALUE!</v>
      </c>
      <c r="II140" t="e">
        <f>AND(Sheet1!K1886,"AAAAAFq/+/I=")</f>
        <v>#VALUE!</v>
      </c>
      <c r="IJ140" t="e">
        <f>AND(Sheet1!L1886,"AAAAAFq/+/M=")</f>
        <v>#VALUE!</v>
      </c>
      <c r="IK140" t="e">
        <f>AND(Sheet1!M1886,"AAAAAFq/+/Q=")</f>
        <v>#VALUE!</v>
      </c>
      <c r="IL140" t="e">
        <f>AND(Sheet1!N1886,"AAAAAFq/+/U=")</f>
        <v>#VALUE!</v>
      </c>
      <c r="IM140" t="e">
        <f>AND(Sheet1!#REF!,"AAAAAFq/+/Y=")</f>
        <v>#REF!</v>
      </c>
      <c r="IN140" t="e">
        <f>AND(Sheet1!#REF!,"AAAAAFq/+/c=")</f>
        <v>#REF!</v>
      </c>
      <c r="IO140" t="e">
        <f>AND(Sheet1!#REF!,"AAAAAFq/+/g=")</f>
        <v>#REF!</v>
      </c>
      <c r="IP140" t="e">
        <f>AND(Sheet1!#REF!,"AAAAAFq/+/k=")</f>
        <v>#REF!</v>
      </c>
      <c r="IQ140">
        <f>IF(Sheet1!1887:1887,"AAAAAFq/+/o=",0)</f>
        <v>0</v>
      </c>
      <c r="IR140" t="e">
        <f>AND(Sheet1!A1887,"AAAAAFq/+/s=")</f>
        <v>#VALUE!</v>
      </c>
      <c r="IS140" t="e">
        <f>AND(Sheet1!B1887,"AAAAAFq/+/w=")</f>
        <v>#VALUE!</v>
      </c>
      <c r="IT140" t="e">
        <f>AND(Sheet1!C1887,"AAAAAFq/+/0=")</f>
        <v>#VALUE!</v>
      </c>
      <c r="IU140" t="e">
        <f>AND(Sheet1!D1887,"AAAAAFq/+/4=")</f>
        <v>#VALUE!</v>
      </c>
      <c r="IV140" t="e">
        <f>AND(Sheet1!E1887,"AAAAAFq/+/8=")</f>
        <v>#VALUE!</v>
      </c>
    </row>
    <row r="141" spans="1:256" x14ac:dyDescent="0.2">
      <c r="A141" t="e">
        <f>AND(Sheet1!F1887,"AAAAABX+rgA=")</f>
        <v>#VALUE!</v>
      </c>
      <c r="B141" t="e">
        <f>AND(Sheet1!G1887,"AAAAABX+rgE=")</f>
        <v>#VALUE!</v>
      </c>
      <c r="C141" t="e">
        <f>AND(Sheet1!H1887,"AAAAABX+rgI=")</f>
        <v>#VALUE!</v>
      </c>
      <c r="D141" t="e">
        <f>AND(Sheet1!I1887,"AAAAABX+rgM=")</f>
        <v>#VALUE!</v>
      </c>
      <c r="E141" t="e">
        <f>AND(Sheet1!J1887,"AAAAABX+rgQ=")</f>
        <v>#VALUE!</v>
      </c>
      <c r="F141" t="e">
        <f>AND(Sheet1!K1887,"AAAAABX+rgU=")</f>
        <v>#VALUE!</v>
      </c>
      <c r="G141" t="e">
        <f>AND(Sheet1!L1887,"AAAAABX+rgY=")</f>
        <v>#VALUE!</v>
      </c>
      <c r="H141" t="e">
        <f>AND(Sheet1!M1887,"AAAAABX+rgc=")</f>
        <v>#VALUE!</v>
      </c>
      <c r="I141" t="e">
        <f>AND(Sheet1!N1887,"AAAAABX+rgg=")</f>
        <v>#VALUE!</v>
      </c>
      <c r="J141" t="e">
        <f>AND(Sheet1!#REF!,"AAAAABX+rgk=")</f>
        <v>#REF!</v>
      </c>
      <c r="K141" t="e">
        <f>AND(Sheet1!#REF!,"AAAAABX+rgo=")</f>
        <v>#REF!</v>
      </c>
      <c r="L141" t="e">
        <f>AND(Sheet1!#REF!,"AAAAABX+rgs=")</f>
        <v>#REF!</v>
      </c>
      <c r="M141" t="e">
        <f>AND(Sheet1!#REF!,"AAAAABX+rgw=")</f>
        <v>#REF!</v>
      </c>
      <c r="N141" t="e">
        <f>IF(Sheet1!1888:1888,"AAAAABX+rg0=",0)</f>
        <v>#VALUE!</v>
      </c>
      <c r="O141" t="e">
        <f>AND(Sheet1!A1888,"AAAAABX+rg4=")</f>
        <v>#VALUE!</v>
      </c>
      <c r="P141" t="e">
        <f>AND(Sheet1!B1888,"AAAAABX+rg8=")</f>
        <v>#VALUE!</v>
      </c>
      <c r="Q141" t="e">
        <f>AND(Sheet1!C1888,"AAAAABX+rhA=")</f>
        <v>#VALUE!</v>
      </c>
      <c r="R141" t="e">
        <f>AND(Sheet1!D1888,"AAAAABX+rhE=")</f>
        <v>#VALUE!</v>
      </c>
      <c r="S141" t="e">
        <f>AND(Sheet1!E1888,"AAAAABX+rhI=")</f>
        <v>#VALUE!</v>
      </c>
      <c r="T141" t="e">
        <f>AND(Sheet1!F1888,"AAAAABX+rhM=")</f>
        <v>#VALUE!</v>
      </c>
      <c r="U141" t="e">
        <f>AND(Sheet1!G1888,"AAAAABX+rhQ=")</f>
        <v>#VALUE!</v>
      </c>
      <c r="V141" t="e">
        <f>AND(Sheet1!H1888,"AAAAABX+rhU=")</f>
        <v>#VALUE!</v>
      </c>
      <c r="W141" t="e">
        <f>AND(Sheet1!I1888,"AAAAABX+rhY=")</f>
        <v>#VALUE!</v>
      </c>
      <c r="X141" t="e">
        <f>AND(Sheet1!J1888,"AAAAABX+rhc=")</f>
        <v>#VALUE!</v>
      </c>
      <c r="Y141" t="e">
        <f>AND(Sheet1!K1888,"AAAAABX+rhg=")</f>
        <v>#VALUE!</v>
      </c>
      <c r="Z141" t="e">
        <f>AND(Sheet1!L1888,"AAAAABX+rhk=")</f>
        <v>#VALUE!</v>
      </c>
      <c r="AA141" t="e">
        <f>AND(Sheet1!M1888,"AAAAABX+rho=")</f>
        <v>#VALUE!</v>
      </c>
      <c r="AB141" t="e">
        <f>AND(Sheet1!N1888,"AAAAABX+rhs=")</f>
        <v>#VALUE!</v>
      </c>
      <c r="AC141" t="e">
        <f>AND(Sheet1!#REF!,"AAAAABX+rhw=")</f>
        <v>#REF!</v>
      </c>
      <c r="AD141" t="e">
        <f>AND(Sheet1!#REF!,"AAAAABX+rh0=")</f>
        <v>#REF!</v>
      </c>
      <c r="AE141" t="e">
        <f>AND(Sheet1!#REF!,"AAAAABX+rh4=")</f>
        <v>#REF!</v>
      </c>
      <c r="AF141" t="e">
        <f>AND(Sheet1!#REF!,"AAAAABX+rh8=")</f>
        <v>#REF!</v>
      </c>
      <c r="AG141">
        <f>IF(Sheet1!1889:1889,"AAAAABX+riA=",0)</f>
        <v>0</v>
      </c>
      <c r="AH141" t="e">
        <f>AND(Sheet1!A1889,"AAAAABX+riE=")</f>
        <v>#VALUE!</v>
      </c>
      <c r="AI141" t="e">
        <f>AND(Sheet1!B1889,"AAAAABX+riI=")</f>
        <v>#VALUE!</v>
      </c>
      <c r="AJ141" t="e">
        <f>AND(Sheet1!C1889,"AAAAABX+riM=")</f>
        <v>#VALUE!</v>
      </c>
      <c r="AK141" t="e">
        <f>AND(Sheet1!D1889,"AAAAABX+riQ=")</f>
        <v>#VALUE!</v>
      </c>
      <c r="AL141" t="e">
        <f>AND(Sheet1!E1889,"AAAAABX+riU=")</f>
        <v>#VALUE!</v>
      </c>
      <c r="AM141" t="e">
        <f>AND(Sheet1!F1889,"AAAAABX+riY=")</f>
        <v>#VALUE!</v>
      </c>
      <c r="AN141" t="e">
        <f>AND(Sheet1!G1889,"AAAAABX+ric=")</f>
        <v>#VALUE!</v>
      </c>
      <c r="AO141" t="e">
        <f>AND(Sheet1!H1889,"AAAAABX+rig=")</f>
        <v>#VALUE!</v>
      </c>
      <c r="AP141" t="e">
        <f>AND(Sheet1!I1889,"AAAAABX+rik=")</f>
        <v>#VALUE!</v>
      </c>
      <c r="AQ141" t="e">
        <f>AND(Sheet1!J1889,"AAAAABX+rio=")</f>
        <v>#VALUE!</v>
      </c>
      <c r="AR141" t="e">
        <f>AND(Sheet1!K1889,"AAAAABX+ris=")</f>
        <v>#VALUE!</v>
      </c>
      <c r="AS141" t="e">
        <f>AND(Sheet1!L1889,"AAAAABX+riw=")</f>
        <v>#VALUE!</v>
      </c>
      <c r="AT141" t="e">
        <f>AND(Sheet1!M1889,"AAAAABX+ri0=")</f>
        <v>#VALUE!</v>
      </c>
      <c r="AU141" t="e">
        <f>AND(Sheet1!N1889,"AAAAABX+ri4=")</f>
        <v>#VALUE!</v>
      </c>
      <c r="AV141" t="e">
        <f>AND(Sheet1!#REF!,"AAAAABX+ri8=")</f>
        <v>#REF!</v>
      </c>
      <c r="AW141" t="e">
        <f>AND(Sheet1!#REF!,"AAAAABX+rjA=")</f>
        <v>#REF!</v>
      </c>
      <c r="AX141" t="e">
        <f>AND(Sheet1!#REF!,"AAAAABX+rjE=")</f>
        <v>#REF!</v>
      </c>
      <c r="AY141" t="e">
        <f>AND(Sheet1!#REF!,"AAAAABX+rjI=")</f>
        <v>#REF!</v>
      </c>
      <c r="AZ141">
        <f>IF(Sheet1!1890:1890,"AAAAABX+rjM=",0)</f>
        <v>0</v>
      </c>
      <c r="BA141" t="e">
        <f>AND(Sheet1!A1890,"AAAAABX+rjQ=")</f>
        <v>#VALUE!</v>
      </c>
      <c r="BB141" t="e">
        <f>AND(Sheet1!B1890,"AAAAABX+rjU=")</f>
        <v>#VALUE!</v>
      </c>
      <c r="BC141" t="e">
        <f>AND(Sheet1!C1890,"AAAAABX+rjY=")</f>
        <v>#VALUE!</v>
      </c>
      <c r="BD141" t="e">
        <f>AND(Sheet1!D1890,"AAAAABX+rjc=")</f>
        <v>#VALUE!</v>
      </c>
      <c r="BE141" t="e">
        <f>AND(Sheet1!E1890,"AAAAABX+rjg=")</f>
        <v>#VALUE!</v>
      </c>
      <c r="BF141" t="e">
        <f>AND(Sheet1!F1890,"AAAAABX+rjk=")</f>
        <v>#VALUE!</v>
      </c>
      <c r="BG141" t="e">
        <f>AND(Sheet1!G1890,"AAAAABX+rjo=")</f>
        <v>#VALUE!</v>
      </c>
      <c r="BH141" t="e">
        <f>AND(Sheet1!H1890,"AAAAABX+rjs=")</f>
        <v>#VALUE!</v>
      </c>
      <c r="BI141" t="e">
        <f>AND(Sheet1!I1890,"AAAAABX+rjw=")</f>
        <v>#VALUE!</v>
      </c>
      <c r="BJ141" t="e">
        <f>AND(Sheet1!J1890,"AAAAABX+rj0=")</f>
        <v>#VALUE!</v>
      </c>
      <c r="BK141" t="e">
        <f>AND(Sheet1!K1890,"AAAAABX+rj4=")</f>
        <v>#VALUE!</v>
      </c>
      <c r="BL141" t="e">
        <f>AND(Sheet1!L1890,"AAAAABX+rj8=")</f>
        <v>#VALUE!</v>
      </c>
      <c r="BM141" t="e">
        <f>AND(Sheet1!M1890,"AAAAABX+rkA=")</f>
        <v>#VALUE!</v>
      </c>
      <c r="BN141" t="e">
        <f>AND(Sheet1!N1890,"AAAAABX+rkE=")</f>
        <v>#VALUE!</v>
      </c>
      <c r="BO141" t="e">
        <f>AND(Sheet1!#REF!,"AAAAABX+rkI=")</f>
        <v>#REF!</v>
      </c>
      <c r="BP141" t="e">
        <f>AND(Sheet1!#REF!,"AAAAABX+rkM=")</f>
        <v>#REF!</v>
      </c>
      <c r="BQ141" t="e">
        <f>AND(Sheet1!#REF!,"AAAAABX+rkQ=")</f>
        <v>#REF!</v>
      </c>
      <c r="BR141" t="e">
        <f>AND(Sheet1!#REF!,"AAAAABX+rkU=")</f>
        <v>#REF!</v>
      </c>
      <c r="BS141">
        <f>IF(Sheet1!1891:1891,"AAAAABX+rkY=",0)</f>
        <v>0</v>
      </c>
      <c r="BT141" t="e">
        <f>AND(Sheet1!A1891,"AAAAABX+rkc=")</f>
        <v>#VALUE!</v>
      </c>
      <c r="BU141" t="e">
        <f>AND(Sheet1!B1891,"AAAAABX+rkg=")</f>
        <v>#VALUE!</v>
      </c>
      <c r="BV141" t="e">
        <f>AND(Sheet1!C1891,"AAAAABX+rkk=")</f>
        <v>#VALUE!</v>
      </c>
      <c r="BW141" t="e">
        <f>AND(Sheet1!D1891,"AAAAABX+rko=")</f>
        <v>#VALUE!</v>
      </c>
      <c r="BX141" t="e">
        <f>AND(Sheet1!E1891,"AAAAABX+rks=")</f>
        <v>#VALUE!</v>
      </c>
      <c r="BY141" t="e">
        <f>AND(Sheet1!F1891,"AAAAABX+rkw=")</f>
        <v>#VALUE!</v>
      </c>
      <c r="BZ141" t="e">
        <f>AND(Sheet1!G1891,"AAAAABX+rk0=")</f>
        <v>#VALUE!</v>
      </c>
      <c r="CA141" t="e">
        <f>AND(Sheet1!H1891,"AAAAABX+rk4=")</f>
        <v>#VALUE!</v>
      </c>
      <c r="CB141" t="e">
        <f>AND(Sheet1!I1891,"AAAAABX+rk8=")</f>
        <v>#VALUE!</v>
      </c>
      <c r="CC141" t="e">
        <f>AND(Sheet1!J1891,"AAAAABX+rlA=")</f>
        <v>#VALUE!</v>
      </c>
      <c r="CD141" t="e">
        <f>AND(Sheet1!K1891,"AAAAABX+rlE=")</f>
        <v>#VALUE!</v>
      </c>
      <c r="CE141" t="e">
        <f>AND(Sheet1!L1891,"AAAAABX+rlI=")</f>
        <v>#VALUE!</v>
      </c>
      <c r="CF141" t="e">
        <f>AND(Sheet1!M1891,"AAAAABX+rlM=")</f>
        <v>#VALUE!</v>
      </c>
      <c r="CG141" t="e">
        <f>AND(Sheet1!N1891,"AAAAABX+rlQ=")</f>
        <v>#VALUE!</v>
      </c>
      <c r="CH141" t="e">
        <f>AND(Sheet1!#REF!,"AAAAABX+rlU=")</f>
        <v>#REF!</v>
      </c>
      <c r="CI141" t="e">
        <f>AND(Sheet1!#REF!,"AAAAABX+rlY=")</f>
        <v>#REF!</v>
      </c>
      <c r="CJ141" t="e">
        <f>AND(Sheet1!#REF!,"AAAAABX+rlc=")</f>
        <v>#REF!</v>
      </c>
      <c r="CK141" t="e">
        <f>AND(Sheet1!#REF!,"AAAAABX+rlg=")</f>
        <v>#REF!</v>
      </c>
      <c r="CL141">
        <f>IF(Sheet1!1892:1892,"AAAAABX+rlk=",0)</f>
        <v>0</v>
      </c>
      <c r="CM141" t="e">
        <f>AND(Sheet1!A1892,"AAAAABX+rlo=")</f>
        <v>#VALUE!</v>
      </c>
      <c r="CN141" t="e">
        <f>AND(Sheet1!B1892,"AAAAABX+rls=")</f>
        <v>#VALUE!</v>
      </c>
      <c r="CO141" t="e">
        <f>AND(Sheet1!C1892,"AAAAABX+rlw=")</f>
        <v>#VALUE!</v>
      </c>
      <c r="CP141" t="e">
        <f>AND(Sheet1!D1892,"AAAAABX+rl0=")</f>
        <v>#VALUE!</v>
      </c>
      <c r="CQ141" t="e">
        <f>AND(Sheet1!E1892,"AAAAABX+rl4=")</f>
        <v>#VALUE!</v>
      </c>
      <c r="CR141" t="e">
        <f>AND(Sheet1!F1892,"AAAAABX+rl8=")</f>
        <v>#VALUE!</v>
      </c>
      <c r="CS141" t="e">
        <f>AND(Sheet1!G1892,"AAAAABX+rmA=")</f>
        <v>#VALUE!</v>
      </c>
      <c r="CT141" t="e">
        <f>AND(Sheet1!H1892,"AAAAABX+rmE=")</f>
        <v>#VALUE!</v>
      </c>
      <c r="CU141" t="e">
        <f>AND(Sheet1!I1892,"AAAAABX+rmI=")</f>
        <v>#VALUE!</v>
      </c>
      <c r="CV141" t="e">
        <f>AND(Sheet1!J1892,"AAAAABX+rmM=")</f>
        <v>#VALUE!</v>
      </c>
      <c r="CW141" t="e">
        <f>AND(Sheet1!K1892,"AAAAABX+rmQ=")</f>
        <v>#VALUE!</v>
      </c>
      <c r="CX141" t="e">
        <f>AND(Sheet1!L1892,"AAAAABX+rmU=")</f>
        <v>#VALUE!</v>
      </c>
      <c r="CY141" t="e">
        <f>AND(Sheet1!M1892,"AAAAABX+rmY=")</f>
        <v>#VALUE!</v>
      </c>
      <c r="CZ141" t="e">
        <f>AND(Sheet1!N1892,"AAAAABX+rmc=")</f>
        <v>#VALUE!</v>
      </c>
      <c r="DA141" t="e">
        <f>AND(Sheet1!#REF!,"AAAAABX+rmg=")</f>
        <v>#REF!</v>
      </c>
      <c r="DB141" t="e">
        <f>AND(Sheet1!#REF!,"AAAAABX+rmk=")</f>
        <v>#REF!</v>
      </c>
      <c r="DC141" t="e">
        <f>AND(Sheet1!#REF!,"AAAAABX+rmo=")</f>
        <v>#REF!</v>
      </c>
      <c r="DD141" t="e">
        <f>AND(Sheet1!#REF!,"AAAAABX+rms=")</f>
        <v>#REF!</v>
      </c>
      <c r="DE141">
        <f>IF(Sheet1!1893:1893,"AAAAABX+rmw=",0)</f>
        <v>0</v>
      </c>
      <c r="DF141" t="e">
        <f>AND(Sheet1!A1893,"AAAAABX+rm0=")</f>
        <v>#VALUE!</v>
      </c>
      <c r="DG141" t="e">
        <f>AND(Sheet1!B1893,"AAAAABX+rm4=")</f>
        <v>#VALUE!</v>
      </c>
      <c r="DH141" t="e">
        <f>AND(Sheet1!C1893,"AAAAABX+rm8=")</f>
        <v>#VALUE!</v>
      </c>
      <c r="DI141" t="e">
        <f>AND(Sheet1!D1893,"AAAAABX+rnA=")</f>
        <v>#VALUE!</v>
      </c>
      <c r="DJ141" t="e">
        <f>AND(Sheet1!E1893,"AAAAABX+rnE=")</f>
        <v>#VALUE!</v>
      </c>
      <c r="DK141" t="e">
        <f>AND(Sheet1!F1893,"AAAAABX+rnI=")</f>
        <v>#VALUE!</v>
      </c>
      <c r="DL141" t="e">
        <f>AND(Sheet1!G1893,"AAAAABX+rnM=")</f>
        <v>#VALUE!</v>
      </c>
      <c r="DM141" t="e">
        <f>AND(Sheet1!H1893,"AAAAABX+rnQ=")</f>
        <v>#VALUE!</v>
      </c>
      <c r="DN141" t="e">
        <f>AND(Sheet1!I1893,"AAAAABX+rnU=")</f>
        <v>#VALUE!</v>
      </c>
      <c r="DO141" t="e">
        <f>AND(Sheet1!J1893,"AAAAABX+rnY=")</f>
        <v>#VALUE!</v>
      </c>
      <c r="DP141" t="e">
        <f>AND(Sheet1!K1893,"AAAAABX+rnc=")</f>
        <v>#VALUE!</v>
      </c>
      <c r="DQ141" t="e">
        <f>AND(Sheet1!L1893,"AAAAABX+rng=")</f>
        <v>#VALUE!</v>
      </c>
      <c r="DR141" t="e">
        <f>AND(Sheet1!M1893,"AAAAABX+rnk=")</f>
        <v>#VALUE!</v>
      </c>
      <c r="DS141" t="e">
        <f>AND(Sheet1!N1893,"AAAAABX+rno=")</f>
        <v>#VALUE!</v>
      </c>
      <c r="DT141" t="e">
        <f>AND(Sheet1!#REF!,"AAAAABX+rns=")</f>
        <v>#REF!</v>
      </c>
      <c r="DU141" t="e">
        <f>AND(Sheet1!#REF!,"AAAAABX+rnw=")</f>
        <v>#REF!</v>
      </c>
      <c r="DV141" t="e">
        <f>AND(Sheet1!#REF!,"AAAAABX+rn0=")</f>
        <v>#REF!</v>
      </c>
      <c r="DW141" t="e">
        <f>AND(Sheet1!#REF!,"AAAAABX+rn4=")</f>
        <v>#REF!</v>
      </c>
      <c r="DX141">
        <f>IF(Sheet1!1894:1894,"AAAAABX+rn8=",0)</f>
        <v>0</v>
      </c>
      <c r="DY141" t="e">
        <f>AND(Sheet1!A1894,"AAAAABX+roA=")</f>
        <v>#VALUE!</v>
      </c>
      <c r="DZ141" t="e">
        <f>AND(Sheet1!B1894,"AAAAABX+roE=")</f>
        <v>#VALUE!</v>
      </c>
      <c r="EA141" t="e">
        <f>AND(Sheet1!C1894,"AAAAABX+roI=")</f>
        <v>#VALUE!</v>
      </c>
      <c r="EB141" t="e">
        <f>AND(Sheet1!D1894,"AAAAABX+roM=")</f>
        <v>#VALUE!</v>
      </c>
      <c r="EC141" t="e">
        <f>AND(Sheet1!E1894,"AAAAABX+roQ=")</f>
        <v>#VALUE!</v>
      </c>
      <c r="ED141" t="e">
        <f>AND(Sheet1!F1894,"AAAAABX+roU=")</f>
        <v>#VALUE!</v>
      </c>
      <c r="EE141" t="e">
        <f>AND(Sheet1!G1894,"AAAAABX+roY=")</f>
        <v>#VALUE!</v>
      </c>
      <c r="EF141" t="e">
        <f>AND(Sheet1!H1894,"AAAAABX+roc=")</f>
        <v>#VALUE!</v>
      </c>
      <c r="EG141" t="e">
        <f>AND(Sheet1!I1894,"AAAAABX+rog=")</f>
        <v>#VALUE!</v>
      </c>
      <c r="EH141" t="e">
        <f>AND(Sheet1!J1894,"AAAAABX+rok=")</f>
        <v>#VALUE!</v>
      </c>
      <c r="EI141" t="e">
        <f>AND(Sheet1!K1894,"AAAAABX+roo=")</f>
        <v>#VALUE!</v>
      </c>
      <c r="EJ141" t="e">
        <f>AND(Sheet1!L1894,"AAAAABX+ros=")</f>
        <v>#VALUE!</v>
      </c>
      <c r="EK141" t="e">
        <f>AND(Sheet1!M1894,"AAAAABX+row=")</f>
        <v>#VALUE!</v>
      </c>
      <c r="EL141" t="e">
        <f>AND(Sheet1!N1894,"AAAAABX+ro0=")</f>
        <v>#VALUE!</v>
      </c>
      <c r="EM141" t="e">
        <f>AND(Sheet1!#REF!,"AAAAABX+ro4=")</f>
        <v>#REF!</v>
      </c>
      <c r="EN141" t="e">
        <f>AND(Sheet1!#REF!,"AAAAABX+ro8=")</f>
        <v>#REF!</v>
      </c>
      <c r="EO141" t="e">
        <f>AND(Sheet1!#REF!,"AAAAABX+rpA=")</f>
        <v>#REF!</v>
      </c>
      <c r="EP141" t="e">
        <f>AND(Sheet1!#REF!,"AAAAABX+rpE=")</f>
        <v>#REF!</v>
      </c>
      <c r="EQ141">
        <f>IF(Sheet1!1895:1895,"AAAAABX+rpI=",0)</f>
        <v>0</v>
      </c>
      <c r="ER141" t="e">
        <f>AND(Sheet1!A1895,"AAAAABX+rpM=")</f>
        <v>#VALUE!</v>
      </c>
      <c r="ES141" t="e">
        <f>AND(Sheet1!B1895,"AAAAABX+rpQ=")</f>
        <v>#VALUE!</v>
      </c>
      <c r="ET141" t="e">
        <f>AND(Sheet1!C1895,"AAAAABX+rpU=")</f>
        <v>#VALUE!</v>
      </c>
      <c r="EU141" t="e">
        <f>AND(Sheet1!D1895,"AAAAABX+rpY=")</f>
        <v>#VALUE!</v>
      </c>
      <c r="EV141" t="e">
        <f>AND(Sheet1!E1895,"AAAAABX+rpc=")</f>
        <v>#VALUE!</v>
      </c>
      <c r="EW141" t="e">
        <f>AND(Sheet1!F1895,"AAAAABX+rpg=")</f>
        <v>#VALUE!</v>
      </c>
      <c r="EX141" t="e">
        <f>AND(Sheet1!G1895,"AAAAABX+rpk=")</f>
        <v>#VALUE!</v>
      </c>
      <c r="EY141" t="e">
        <f>AND(Sheet1!H1895,"AAAAABX+rpo=")</f>
        <v>#VALUE!</v>
      </c>
      <c r="EZ141" t="e">
        <f>AND(Sheet1!I1895,"AAAAABX+rps=")</f>
        <v>#VALUE!</v>
      </c>
      <c r="FA141" t="e">
        <f>AND(Sheet1!J1895,"AAAAABX+rpw=")</f>
        <v>#VALUE!</v>
      </c>
      <c r="FB141" t="e">
        <f>AND(Sheet1!K1895,"AAAAABX+rp0=")</f>
        <v>#VALUE!</v>
      </c>
      <c r="FC141" t="e">
        <f>AND(Sheet1!L1895,"AAAAABX+rp4=")</f>
        <v>#VALUE!</v>
      </c>
      <c r="FD141" t="e">
        <f>AND(Sheet1!M1895,"AAAAABX+rp8=")</f>
        <v>#VALUE!</v>
      </c>
      <c r="FE141" t="e">
        <f>AND(Sheet1!N1895,"AAAAABX+rqA=")</f>
        <v>#VALUE!</v>
      </c>
      <c r="FF141" t="e">
        <f>AND(Sheet1!#REF!,"AAAAABX+rqE=")</f>
        <v>#REF!</v>
      </c>
      <c r="FG141" t="e">
        <f>AND(Sheet1!#REF!,"AAAAABX+rqI=")</f>
        <v>#REF!</v>
      </c>
      <c r="FH141" t="e">
        <f>AND(Sheet1!#REF!,"AAAAABX+rqM=")</f>
        <v>#REF!</v>
      </c>
      <c r="FI141" t="e">
        <f>AND(Sheet1!#REF!,"AAAAABX+rqQ=")</f>
        <v>#REF!</v>
      </c>
      <c r="FJ141">
        <f>IF(Sheet1!1896:1896,"AAAAABX+rqU=",0)</f>
        <v>0</v>
      </c>
      <c r="FK141" t="e">
        <f>AND(Sheet1!A1896,"AAAAABX+rqY=")</f>
        <v>#VALUE!</v>
      </c>
      <c r="FL141" t="e">
        <f>AND(Sheet1!B1896,"AAAAABX+rqc=")</f>
        <v>#VALUE!</v>
      </c>
      <c r="FM141" t="e">
        <f>AND(Sheet1!C1896,"AAAAABX+rqg=")</f>
        <v>#VALUE!</v>
      </c>
      <c r="FN141" t="e">
        <f>AND(Sheet1!D1896,"AAAAABX+rqk=")</f>
        <v>#VALUE!</v>
      </c>
      <c r="FO141" t="e">
        <f>AND(Sheet1!E1896,"AAAAABX+rqo=")</f>
        <v>#VALUE!</v>
      </c>
      <c r="FP141" t="e">
        <f>AND(Sheet1!F1896,"AAAAABX+rqs=")</f>
        <v>#VALUE!</v>
      </c>
      <c r="FQ141" t="e">
        <f>AND(Sheet1!G1896,"AAAAABX+rqw=")</f>
        <v>#VALUE!</v>
      </c>
      <c r="FR141" t="e">
        <f>AND(Sheet1!H1896,"AAAAABX+rq0=")</f>
        <v>#VALUE!</v>
      </c>
      <c r="FS141" t="e">
        <f>AND(Sheet1!I1896,"AAAAABX+rq4=")</f>
        <v>#VALUE!</v>
      </c>
      <c r="FT141" t="e">
        <f>AND(Sheet1!J1896,"AAAAABX+rq8=")</f>
        <v>#VALUE!</v>
      </c>
      <c r="FU141" t="e">
        <f>AND(Sheet1!K1896,"AAAAABX+rrA=")</f>
        <v>#VALUE!</v>
      </c>
      <c r="FV141" t="e">
        <f>AND(Sheet1!L1896,"AAAAABX+rrE=")</f>
        <v>#VALUE!</v>
      </c>
      <c r="FW141" t="e">
        <f>AND(Sheet1!M1896,"AAAAABX+rrI=")</f>
        <v>#VALUE!</v>
      </c>
      <c r="FX141" t="e">
        <f>AND(Sheet1!N1896,"AAAAABX+rrM=")</f>
        <v>#VALUE!</v>
      </c>
      <c r="FY141" t="e">
        <f>AND(Sheet1!#REF!,"AAAAABX+rrQ=")</f>
        <v>#REF!</v>
      </c>
      <c r="FZ141" t="e">
        <f>AND(Sheet1!#REF!,"AAAAABX+rrU=")</f>
        <v>#REF!</v>
      </c>
      <c r="GA141" t="e">
        <f>AND(Sheet1!#REF!,"AAAAABX+rrY=")</f>
        <v>#REF!</v>
      </c>
      <c r="GB141" t="e">
        <f>AND(Sheet1!#REF!,"AAAAABX+rrc=")</f>
        <v>#REF!</v>
      </c>
      <c r="GC141">
        <f>IF(Sheet1!1897:1897,"AAAAABX+rrg=",0)</f>
        <v>0</v>
      </c>
      <c r="GD141" t="e">
        <f>AND(Sheet1!A1897,"AAAAABX+rrk=")</f>
        <v>#VALUE!</v>
      </c>
      <c r="GE141" t="e">
        <f>AND(Sheet1!B1897,"AAAAABX+rro=")</f>
        <v>#VALUE!</v>
      </c>
      <c r="GF141" t="e">
        <f>AND(Sheet1!C1897,"AAAAABX+rrs=")</f>
        <v>#VALUE!</v>
      </c>
      <c r="GG141" t="e">
        <f>AND(Sheet1!D1897,"AAAAABX+rrw=")</f>
        <v>#VALUE!</v>
      </c>
      <c r="GH141" t="e">
        <f>AND(Sheet1!E1897,"AAAAABX+rr0=")</f>
        <v>#VALUE!</v>
      </c>
      <c r="GI141" t="e">
        <f>AND(Sheet1!F1897,"AAAAABX+rr4=")</f>
        <v>#VALUE!</v>
      </c>
      <c r="GJ141" t="e">
        <f>AND(Sheet1!G1897,"AAAAABX+rr8=")</f>
        <v>#VALUE!</v>
      </c>
      <c r="GK141" t="e">
        <f>AND(Sheet1!H1897,"AAAAABX+rsA=")</f>
        <v>#VALUE!</v>
      </c>
      <c r="GL141" t="e">
        <f>AND(Sheet1!I1897,"AAAAABX+rsE=")</f>
        <v>#VALUE!</v>
      </c>
      <c r="GM141" t="e">
        <f>AND(Sheet1!J1897,"AAAAABX+rsI=")</f>
        <v>#VALUE!</v>
      </c>
      <c r="GN141" t="e">
        <f>AND(Sheet1!K1897,"AAAAABX+rsM=")</f>
        <v>#VALUE!</v>
      </c>
      <c r="GO141" t="e">
        <f>AND(Sheet1!L1897,"AAAAABX+rsQ=")</f>
        <v>#VALUE!</v>
      </c>
      <c r="GP141" t="e">
        <f>AND(Sheet1!M1897,"AAAAABX+rsU=")</f>
        <v>#VALUE!</v>
      </c>
      <c r="GQ141" t="e">
        <f>AND(Sheet1!N1897,"AAAAABX+rsY=")</f>
        <v>#VALUE!</v>
      </c>
      <c r="GR141" t="e">
        <f>AND(Sheet1!#REF!,"AAAAABX+rsc=")</f>
        <v>#REF!</v>
      </c>
      <c r="GS141" t="e">
        <f>AND(Sheet1!#REF!,"AAAAABX+rsg=")</f>
        <v>#REF!</v>
      </c>
      <c r="GT141" t="e">
        <f>AND(Sheet1!#REF!,"AAAAABX+rsk=")</f>
        <v>#REF!</v>
      </c>
      <c r="GU141" t="e">
        <f>AND(Sheet1!#REF!,"AAAAABX+rso=")</f>
        <v>#REF!</v>
      </c>
      <c r="GV141">
        <f>IF(Sheet1!1898:1898,"AAAAABX+rss=",0)</f>
        <v>0</v>
      </c>
      <c r="GW141" t="e">
        <f>AND(Sheet1!A1898,"AAAAABX+rsw=")</f>
        <v>#VALUE!</v>
      </c>
      <c r="GX141" t="e">
        <f>AND(Sheet1!B1898,"AAAAABX+rs0=")</f>
        <v>#VALUE!</v>
      </c>
      <c r="GY141" t="e">
        <f>AND(Sheet1!C1898,"AAAAABX+rs4=")</f>
        <v>#VALUE!</v>
      </c>
      <c r="GZ141" t="e">
        <f>AND(Sheet1!D1898,"AAAAABX+rs8=")</f>
        <v>#VALUE!</v>
      </c>
      <c r="HA141" t="e">
        <f>AND(Sheet1!E1898,"AAAAABX+rtA=")</f>
        <v>#VALUE!</v>
      </c>
      <c r="HB141" t="e">
        <f>AND(Sheet1!F1898,"AAAAABX+rtE=")</f>
        <v>#VALUE!</v>
      </c>
      <c r="HC141" t="e">
        <f>AND(Sheet1!G1898,"AAAAABX+rtI=")</f>
        <v>#VALUE!</v>
      </c>
      <c r="HD141" t="e">
        <f>AND(Sheet1!H1898,"AAAAABX+rtM=")</f>
        <v>#VALUE!</v>
      </c>
      <c r="HE141" t="e">
        <f>AND(Sheet1!I1898,"AAAAABX+rtQ=")</f>
        <v>#VALUE!</v>
      </c>
      <c r="HF141" t="e">
        <f>AND(Sheet1!J1898,"AAAAABX+rtU=")</f>
        <v>#VALUE!</v>
      </c>
      <c r="HG141" t="e">
        <f>AND(Sheet1!K1898,"AAAAABX+rtY=")</f>
        <v>#VALUE!</v>
      </c>
      <c r="HH141" t="e">
        <f>AND(Sheet1!L1898,"AAAAABX+rtc=")</f>
        <v>#VALUE!</v>
      </c>
      <c r="HI141" t="e">
        <f>AND(Sheet1!M1898,"AAAAABX+rtg=")</f>
        <v>#VALUE!</v>
      </c>
      <c r="HJ141" t="e">
        <f>AND(Sheet1!N1898,"AAAAABX+rtk=")</f>
        <v>#VALUE!</v>
      </c>
      <c r="HK141" t="e">
        <f>AND(Sheet1!#REF!,"AAAAABX+rto=")</f>
        <v>#REF!</v>
      </c>
      <c r="HL141" t="e">
        <f>AND(Sheet1!#REF!,"AAAAABX+rts=")</f>
        <v>#REF!</v>
      </c>
      <c r="HM141" t="e">
        <f>AND(Sheet1!#REF!,"AAAAABX+rtw=")</f>
        <v>#REF!</v>
      </c>
      <c r="HN141" t="e">
        <f>AND(Sheet1!#REF!,"AAAAABX+rt0=")</f>
        <v>#REF!</v>
      </c>
      <c r="HO141">
        <f>IF(Sheet1!1899:1899,"AAAAABX+rt4=",0)</f>
        <v>0</v>
      </c>
      <c r="HP141" t="e">
        <f>AND(Sheet1!A1899,"AAAAABX+rt8=")</f>
        <v>#VALUE!</v>
      </c>
      <c r="HQ141" t="e">
        <f>AND(Sheet1!B1899,"AAAAABX+ruA=")</f>
        <v>#VALUE!</v>
      </c>
      <c r="HR141" t="e">
        <f>AND(Sheet1!C1899,"AAAAABX+ruE=")</f>
        <v>#VALUE!</v>
      </c>
      <c r="HS141" t="e">
        <f>AND(Sheet1!D1899,"AAAAABX+ruI=")</f>
        <v>#VALUE!</v>
      </c>
      <c r="HT141" t="e">
        <f>AND(Sheet1!E1899,"AAAAABX+ruM=")</f>
        <v>#VALUE!</v>
      </c>
      <c r="HU141" t="e">
        <f>AND(Sheet1!F1899,"AAAAABX+ruQ=")</f>
        <v>#VALUE!</v>
      </c>
      <c r="HV141" t="e">
        <f>AND(Sheet1!G1899,"AAAAABX+ruU=")</f>
        <v>#VALUE!</v>
      </c>
      <c r="HW141" t="e">
        <f>AND(Sheet1!H1899,"AAAAABX+ruY=")</f>
        <v>#VALUE!</v>
      </c>
      <c r="HX141" t="e">
        <f>AND(Sheet1!I1899,"AAAAABX+ruc=")</f>
        <v>#VALUE!</v>
      </c>
      <c r="HY141" t="e">
        <f>AND(Sheet1!J1899,"AAAAABX+rug=")</f>
        <v>#VALUE!</v>
      </c>
      <c r="HZ141" t="e">
        <f>AND(Sheet1!K1899,"AAAAABX+ruk=")</f>
        <v>#VALUE!</v>
      </c>
      <c r="IA141" t="e">
        <f>AND(Sheet1!L1899,"AAAAABX+ruo=")</f>
        <v>#VALUE!</v>
      </c>
      <c r="IB141" t="e">
        <f>AND(Sheet1!M1899,"AAAAABX+rus=")</f>
        <v>#VALUE!</v>
      </c>
      <c r="IC141" t="e">
        <f>AND(Sheet1!N1899,"AAAAABX+ruw=")</f>
        <v>#VALUE!</v>
      </c>
      <c r="ID141" t="e">
        <f>AND(Sheet1!#REF!,"AAAAABX+ru0=")</f>
        <v>#REF!</v>
      </c>
      <c r="IE141" t="e">
        <f>AND(Sheet1!#REF!,"AAAAABX+ru4=")</f>
        <v>#REF!</v>
      </c>
      <c r="IF141" t="e">
        <f>AND(Sheet1!#REF!,"AAAAABX+ru8=")</f>
        <v>#REF!</v>
      </c>
      <c r="IG141" t="e">
        <f>AND(Sheet1!#REF!,"AAAAABX+rvA=")</f>
        <v>#REF!</v>
      </c>
      <c r="IH141">
        <f>IF(Sheet1!1900:1900,"AAAAABX+rvE=",0)</f>
        <v>0</v>
      </c>
      <c r="II141" t="e">
        <f>AND(Sheet1!A1900,"AAAAABX+rvI=")</f>
        <v>#VALUE!</v>
      </c>
      <c r="IJ141" t="e">
        <f>AND(Sheet1!B1900,"AAAAABX+rvM=")</f>
        <v>#VALUE!</v>
      </c>
      <c r="IK141" t="e">
        <f>AND(Sheet1!C1900,"AAAAABX+rvQ=")</f>
        <v>#VALUE!</v>
      </c>
      <c r="IL141" t="e">
        <f>AND(Sheet1!D1900,"AAAAABX+rvU=")</f>
        <v>#VALUE!</v>
      </c>
      <c r="IM141" t="e">
        <f>AND(Sheet1!E1900,"AAAAABX+rvY=")</f>
        <v>#VALUE!</v>
      </c>
      <c r="IN141" t="e">
        <f>AND(Sheet1!F1900,"AAAAABX+rvc=")</f>
        <v>#VALUE!</v>
      </c>
      <c r="IO141" t="e">
        <f>AND(Sheet1!G1900,"AAAAABX+rvg=")</f>
        <v>#VALUE!</v>
      </c>
      <c r="IP141" t="e">
        <f>AND(Sheet1!H1900,"AAAAABX+rvk=")</f>
        <v>#VALUE!</v>
      </c>
      <c r="IQ141" t="e">
        <f>AND(Sheet1!I1900,"AAAAABX+rvo=")</f>
        <v>#VALUE!</v>
      </c>
      <c r="IR141" t="e">
        <f>AND(Sheet1!J1900,"AAAAABX+rvs=")</f>
        <v>#VALUE!</v>
      </c>
      <c r="IS141" t="e">
        <f>AND(Sheet1!K1900,"AAAAABX+rvw=")</f>
        <v>#VALUE!</v>
      </c>
      <c r="IT141" t="e">
        <f>AND(Sheet1!L1900,"AAAAABX+rv0=")</f>
        <v>#VALUE!</v>
      </c>
      <c r="IU141" t="e">
        <f>AND(Sheet1!M1900,"AAAAABX+rv4=")</f>
        <v>#VALUE!</v>
      </c>
      <c r="IV141" t="e">
        <f>AND(Sheet1!N1900,"AAAAABX+rv8=")</f>
        <v>#VALUE!</v>
      </c>
    </row>
    <row r="142" spans="1:256" x14ac:dyDescent="0.2">
      <c r="A142" t="e">
        <f>AND(Sheet1!#REF!,"AAAAAH79vQA=")</f>
        <v>#REF!</v>
      </c>
      <c r="B142" t="e">
        <f>AND(Sheet1!#REF!,"AAAAAH79vQE=")</f>
        <v>#REF!</v>
      </c>
      <c r="C142" t="e">
        <f>AND(Sheet1!#REF!,"AAAAAH79vQI=")</f>
        <v>#REF!</v>
      </c>
      <c r="D142" t="e">
        <f>AND(Sheet1!#REF!,"AAAAAH79vQM=")</f>
        <v>#REF!</v>
      </c>
      <c r="E142">
        <f>IF(Sheet1!1901:1901,"AAAAAH79vQQ=",0)</f>
        <v>0</v>
      </c>
      <c r="F142" t="e">
        <f>AND(Sheet1!A1901,"AAAAAH79vQU=")</f>
        <v>#VALUE!</v>
      </c>
      <c r="G142" t="e">
        <f>AND(Sheet1!B1901,"AAAAAH79vQY=")</f>
        <v>#VALUE!</v>
      </c>
      <c r="H142" t="e">
        <f>AND(Sheet1!C1901,"AAAAAH79vQc=")</f>
        <v>#VALUE!</v>
      </c>
      <c r="I142" t="e">
        <f>AND(Sheet1!D1901,"AAAAAH79vQg=")</f>
        <v>#VALUE!</v>
      </c>
      <c r="J142" t="e">
        <f>AND(Sheet1!E1901,"AAAAAH79vQk=")</f>
        <v>#VALUE!</v>
      </c>
      <c r="K142" t="e">
        <f>AND(Sheet1!F1901,"AAAAAH79vQo=")</f>
        <v>#VALUE!</v>
      </c>
      <c r="L142" t="e">
        <f>AND(Sheet1!G1901,"AAAAAH79vQs=")</f>
        <v>#VALUE!</v>
      </c>
      <c r="M142" t="e">
        <f>AND(Sheet1!H1901,"AAAAAH79vQw=")</f>
        <v>#VALUE!</v>
      </c>
      <c r="N142" t="e">
        <f>AND(Sheet1!I1901,"AAAAAH79vQ0=")</f>
        <v>#VALUE!</v>
      </c>
      <c r="O142" t="e">
        <f>AND(Sheet1!J1901,"AAAAAH79vQ4=")</f>
        <v>#VALUE!</v>
      </c>
      <c r="P142" t="e">
        <f>AND(Sheet1!K1901,"AAAAAH79vQ8=")</f>
        <v>#VALUE!</v>
      </c>
      <c r="Q142" t="e">
        <f>AND(Sheet1!L1901,"AAAAAH79vRA=")</f>
        <v>#VALUE!</v>
      </c>
      <c r="R142" t="e">
        <f>AND(Sheet1!M1901,"AAAAAH79vRE=")</f>
        <v>#VALUE!</v>
      </c>
      <c r="S142" t="e">
        <f>AND(Sheet1!N1901,"AAAAAH79vRI=")</f>
        <v>#VALUE!</v>
      </c>
      <c r="T142" t="e">
        <f>AND(Sheet1!#REF!,"AAAAAH79vRM=")</f>
        <v>#REF!</v>
      </c>
      <c r="U142" t="e">
        <f>AND(Sheet1!#REF!,"AAAAAH79vRQ=")</f>
        <v>#REF!</v>
      </c>
      <c r="V142" t="e">
        <f>AND(Sheet1!#REF!,"AAAAAH79vRU=")</f>
        <v>#REF!</v>
      </c>
      <c r="W142" t="e">
        <f>AND(Sheet1!#REF!,"AAAAAH79vRY=")</f>
        <v>#REF!</v>
      </c>
      <c r="X142">
        <f>IF(Sheet1!1902:1902,"AAAAAH79vRc=",0)</f>
        <v>0</v>
      </c>
      <c r="Y142" t="e">
        <f>AND(Sheet1!A1902,"AAAAAH79vRg=")</f>
        <v>#VALUE!</v>
      </c>
      <c r="Z142" t="e">
        <f>AND(Sheet1!B1902,"AAAAAH79vRk=")</f>
        <v>#VALUE!</v>
      </c>
      <c r="AA142" t="e">
        <f>AND(Sheet1!C1902,"AAAAAH79vRo=")</f>
        <v>#VALUE!</v>
      </c>
      <c r="AB142" t="e">
        <f>AND(Sheet1!D1902,"AAAAAH79vRs=")</f>
        <v>#VALUE!</v>
      </c>
      <c r="AC142" t="e">
        <f>AND(Sheet1!E1902,"AAAAAH79vRw=")</f>
        <v>#VALUE!</v>
      </c>
      <c r="AD142" t="e">
        <f>AND(Sheet1!F1902,"AAAAAH79vR0=")</f>
        <v>#VALUE!</v>
      </c>
      <c r="AE142" t="e">
        <f>AND(Sheet1!G1902,"AAAAAH79vR4=")</f>
        <v>#VALUE!</v>
      </c>
      <c r="AF142" t="e">
        <f>AND(Sheet1!H1902,"AAAAAH79vR8=")</f>
        <v>#VALUE!</v>
      </c>
      <c r="AG142" t="e">
        <f>AND(Sheet1!I1902,"AAAAAH79vSA=")</f>
        <v>#VALUE!</v>
      </c>
      <c r="AH142" t="e">
        <f>AND(Sheet1!J1902,"AAAAAH79vSE=")</f>
        <v>#VALUE!</v>
      </c>
      <c r="AI142" t="e">
        <f>AND(Sheet1!K1902,"AAAAAH79vSI=")</f>
        <v>#VALUE!</v>
      </c>
      <c r="AJ142" t="e">
        <f>AND(Sheet1!L1902,"AAAAAH79vSM=")</f>
        <v>#VALUE!</v>
      </c>
      <c r="AK142" t="e">
        <f>AND(Sheet1!M1902,"AAAAAH79vSQ=")</f>
        <v>#VALUE!</v>
      </c>
      <c r="AL142" t="e">
        <f>AND(Sheet1!N1902,"AAAAAH79vSU=")</f>
        <v>#VALUE!</v>
      </c>
      <c r="AM142" t="e">
        <f>AND(Sheet1!#REF!,"AAAAAH79vSY=")</f>
        <v>#REF!</v>
      </c>
      <c r="AN142" t="e">
        <f>AND(Sheet1!#REF!,"AAAAAH79vSc=")</f>
        <v>#REF!</v>
      </c>
      <c r="AO142" t="e">
        <f>AND(Sheet1!#REF!,"AAAAAH79vSg=")</f>
        <v>#REF!</v>
      </c>
      <c r="AP142" t="e">
        <f>AND(Sheet1!#REF!,"AAAAAH79vSk=")</f>
        <v>#REF!</v>
      </c>
      <c r="AQ142">
        <f>IF(Sheet1!1903:1903,"AAAAAH79vSo=",0)</f>
        <v>0</v>
      </c>
      <c r="AR142" t="e">
        <f>AND(Sheet1!A1903,"AAAAAH79vSs=")</f>
        <v>#VALUE!</v>
      </c>
      <c r="AS142" t="e">
        <f>AND(Sheet1!B1903,"AAAAAH79vSw=")</f>
        <v>#VALUE!</v>
      </c>
      <c r="AT142" t="e">
        <f>AND(Sheet1!C1903,"AAAAAH79vS0=")</f>
        <v>#VALUE!</v>
      </c>
      <c r="AU142" t="e">
        <f>AND(Sheet1!D1903,"AAAAAH79vS4=")</f>
        <v>#VALUE!</v>
      </c>
      <c r="AV142" t="e">
        <f>AND(Sheet1!E1903,"AAAAAH79vS8=")</f>
        <v>#VALUE!</v>
      </c>
      <c r="AW142" t="e">
        <f>AND(Sheet1!F1903,"AAAAAH79vTA=")</f>
        <v>#VALUE!</v>
      </c>
      <c r="AX142" t="e">
        <f>AND(Sheet1!G1903,"AAAAAH79vTE=")</f>
        <v>#VALUE!</v>
      </c>
      <c r="AY142" t="e">
        <f>AND(Sheet1!H1903,"AAAAAH79vTI=")</f>
        <v>#VALUE!</v>
      </c>
      <c r="AZ142" t="e">
        <f>AND(Sheet1!I1903,"AAAAAH79vTM=")</f>
        <v>#VALUE!</v>
      </c>
      <c r="BA142" t="e">
        <f>AND(Sheet1!J1903,"AAAAAH79vTQ=")</f>
        <v>#VALUE!</v>
      </c>
      <c r="BB142" t="e">
        <f>AND(Sheet1!K1903,"AAAAAH79vTU=")</f>
        <v>#VALUE!</v>
      </c>
      <c r="BC142" t="e">
        <f>AND(Sheet1!L1903,"AAAAAH79vTY=")</f>
        <v>#VALUE!</v>
      </c>
      <c r="BD142" t="e">
        <f>AND(Sheet1!M1903,"AAAAAH79vTc=")</f>
        <v>#VALUE!</v>
      </c>
      <c r="BE142" t="e">
        <f>AND(Sheet1!N1903,"AAAAAH79vTg=")</f>
        <v>#VALUE!</v>
      </c>
      <c r="BF142" t="e">
        <f>AND(Sheet1!#REF!,"AAAAAH79vTk=")</f>
        <v>#REF!</v>
      </c>
      <c r="BG142" t="e">
        <f>AND(Sheet1!#REF!,"AAAAAH79vTo=")</f>
        <v>#REF!</v>
      </c>
      <c r="BH142" t="e">
        <f>AND(Sheet1!#REF!,"AAAAAH79vTs=")</f>
        <v>#REF!</v>
      </c>
      <c r="BI142" t="e">
        <f>AND(Sheet1!#REF!,"AAAAAH79vTw=")</f>
        <v>#REF!</v>
      </c>
      <c r="BJ142">
        <f>IF(Sheet1!1904:1904,"AAAAAH79vT0=",0)</f>
        <v>0</v>
      </c>
      <c r="BK142" t="e">
        <f>AND(Sheet1!A1904,"AAAAAH79vT4=")</f>
        <v>#VALUE!</v>
      </c>
      <c r="BL142" t="e">
        <f>AND(Sheet1!B1904,"AAAAAH79vT8=")</f>
        <v>#VALUE!</v>
      </c>
      <c r="BM142" t="e">
        <f>AND(Sheet1!C1904,"AAAAAH79vUA=")</f>
        <v>#VALUE!</v>
      </c>
      <c r="BN142" t="e">
        <f>AND(Sheet1!D1904,"AAAAAH79vUE=")</f>
        <v>#VALUE!</v>
      </c>
      <c r="BO142" t="e">
        <f>AND(Sheet1!E1904,"AAAAAH79vUI=")</f>
        <v>#VALUE!</v>
      </c>
      <c r="BP142" t="e">
        <f>AND(Sheet1!F1904,"AAAAAH79vUM=")</f>
        <v>#VALUE!</v>
      </c>
      <c r="BQ142" t="e">
        <f>AND(Sheet1!G1904,"AAAAAH79vUQ=")</f>
        <v>#VALUE!</v>
      </c>
      <c r="BR142" t="e">
        <f>AND(Sheet1!H1904,"AAAAAH79vUU=")</f>
        <v>#VALUE!</v>
      </c>
      <c r="BS142" t="e">
        <f>AND(Sheet1!I1904,"AAAAAH79vUY=")</f>
        <v>#VALUE!</v>
      </c>
      <c r="BT142" t="e">
        <f>AND(Sheet1!J1904,"AAAAAH79vUc=")</f>
        <v>#VALUE!</v>
      </c>
      <c r="BU142" t="e">
        <f>AND(Sheet1!K1904,"AAAAAH79vUg=")</f>
        <v>#VALUE!</v>
      </c>
      <c r="BV142" t="e">
        <f>AND(Sheet1!L1904,"AAAAAH79vUk=")</f>
        <v>#VALUE!</v>
      </c>
      <c r="BW142" t="e">
        <f>AND(Sheet1!M1904,"AAAAAH79vUo=")</f>
        <v>#VALUE!</v>
      </c>
      <c r="BX142" t="e">
        <f>AND(Sheet1!N1904,"AAAAAH79vUs=")</f>
        <v>#VALUE!</v>
      </c>
      <c r="BY142" t="e">
        <f>AND(Sheet1!#REF!,"AAAAAH79vUw=")</f>
        <v>#REF!</v>
      </c>
      <c r="BZ142" t="e">
        <f>AND(Sheet1!#REF!,"AAAAAH79vU0=")</f>
        <v>#REF!</v>
      </c>
      <c r="CA142" t="e">
        <f>AND(Sheet1!#REF!,"AAAAAH79vU4=")</f>
        <v>#REF!</v>
      </c>
      <c r="CB142" t="e">
        <f>AND(Sheet1!#REF!,"AAAAAH79vU8=")</f>
        <v>#REF!</v>
      </c>
      <c r="CC142">
        <f>IF(Sheet1!1905:1905,"AAAAAH79vVA=",0)</f>
        <v>0</v>
      </c>
      <c r="CD142" t="e">
        <f>AND(Sheet1!A1905,"AAAAAH79vVE=")</f>
        <v>#VALUE!</v>
      </c>
      <c r="CE142" t="e">
        <f>AND(Sheet1!B1905,"AAAAAH79vVI=")</f>
        <v>#VALUE!</v>
      </c>
      <c r="CF142" t="e">
        <f>AND(Sheet1!C1905,"AAAAAH79vVM=")</f>
        <v>#VALUE!</v>
      </c>
      <c r="CG142" t="e">
        <f>AND(Sheet1!D1905,"AAAAAH79vVQ=")</f>
        <v>#VALUE!</v>
      </c>
      <c r="CH142" t="e">
        <f>AND(Sheet1!E1905,"AAAAAH79vVU=")</f>
        <v>#VALUE!</v>
      </c>
      <c r="CI142" t="e">
        <f>AND(Sheet1!F1905,"AAAAAH79vVY=")</f>
        <v>#VALUE!</v>
      </c>
      <c r="CJ142" t="e">
        <f>AND(Sheet1!G1905,"AAAAAH79vVc=")</f>
        <v>#VALUE!</v>
      </c>
      <c r="CK142" t="e">
        <f>AND(Sheet1!H1905,"AAAAAH79vVg=")</f>
        <v>#VALUE!</v>
      </c>
      <c r="CL142" t="e">
        <f>AND(Sheet1!I1905,"AAAAAH79vVk=")</f>
        <v>#VALUE!</v>
      </c>
      <c r="CM142" t="e">
        <f>AND(Sheet1!J1905,"AAAAAH79vVo=")</f>
        <v>#VALUE!</v>
      </c>
      <c r="CN142" t="e">
        <f>AND(Sheet1!K1905,"AAAAAH79vVs=")</f>
        <v>#VALUE!</v>
      </c>
      <c r="CO142" t="e">
        <f>AND(Sheet1!L1905,"AAAAAH79vVw=")</f>
        <v>#VALUE!</v>
      </c>
      <c r="CP142" t="e">
        <f>AND(Sheet1!M1905,"AAAAAH79vV0=")</f>
        <v>#VALUE!</v>
      </c>
      <c r="CQ142" t="e">
        <f>AND(Sheet1!N1905,"AAAAAH79vV4=")</f>
        <v>#VALUE!</v>
      </c>
      <c r="CR142" t="e">
        <f>AND(Sheet1!#REF!,"AAAAAH79vV8=")</f>
        <v>#REF!</v>
      </c>
      <c r="CS142" t="e">
        <f>AND(Sheet1!#REF!,"AAAAAH79vWA=")</f>
        <v>#REF!</v>
      </c>
      <c r="CT142" t="e">
        <f>AND(Sheet1!#REF!,"AAAAAH79vWE=")</f>
        <v>#REF!</v>
      </c>
      <c r="CU142" t="e">
        <f>AND(Sheet1!#REF!,"AAAAAH79vWI=")</f>
        <v>#REF!</v>
      </c>
      <c r="CV142">
        <f>IF(Sheet1!1906:1906,"AAAAAH79vWM=",0)</f>
        <v>0</v>
      </c>
      <c r="CW142" t="e">
        <f>AND(Sheet1!A1906,"AAAAAH79vWQ=")</f>
        <v>#VALUE!</v>
      </c>
      <c r="CX142" t="e">
        <f>AND(Sheet1!B1906,"AAAAAH79vWU=")</f>
        <v>#VALUE!</v>
      </c>
      <c r="CY142" t="e">
        <f>AND(Sheet1!C1906,"AAAAAH79vWY=")</f>
        <v>#VALUE!</v>
      </c>
      <c r="CZ142" t="e">
        <f>AND(Sheet1!D1906,"AAAAAH79vWc=")</f>
        <v>#VALUE!</v>
      </c>
      <c r="DA142" t="e">
        <f>AND(Sheet1!E1906,"AAAAAH79vWg=")</f>
        <v>#VALUE!</v>
      </c>
      <c r="DB142" t="e">
        <f>AND(Sheet1!F1906,"AAAAAH79vWk=")</f>
        <v>#VALUE!</v>
      </c>
      <c r="DC142" t="e">
        <f>AND(Sheet1!G1906,"AAAAAH79vWo=")</f>
        <v>#VALUE!</v>
      </c>
      <c r="DD142" t="e">
        <f>AND(Sheet1!H1906,"AAAAAH79vWs=")</f>
        <v>#VALUE!</v>
      </c>
      <c r="DE142" t="e">
        <f>AND(Sheet1!I1906,"AAAAAH79vWw=")</f>
        <v>#VALUE!</v>
      </c>
      <c r="DF142" t="e">
        <f>AND(Sheet1!J1906,"AAAAAH79vW0=")</f>
        <v>#VALUE!</v>
      </c>
      <c r="DG142" t="e">
        <f>AND(Sheet1!K1906,"AAAAAH79vW4=")</f>
        <v>#VALUE!</v>
      </c>
      <c r="DH142" t="e">
        <f>AND(Sheet1!L1906,"AAAAAH79vW8=")</f>
        <v>#VALUE!</v>
      </c>
      <c r="DI142" t="e">
        <f>AND(Sheet1!M1906,"AAAAAH79vXA=")</f>
        <v>#VALUE!</v>
      </c>
      <c r="DJ142" t="e">
        <f>AND(Sheet1!N1906,"AAAAAH79vXE=")</f>
        <v>#VALUE!</v>
      </c>
      <c r="DK142" t="e">
        <f>AND(Sheet1!#REF!,"AAAAAH79vXI=")</f>
        <v>#REF!</v>
      </c>
      <c r="DL142" t="e">
        <f>AND(Sheet1!#REF!,"AAAAAH79vXM=")</f>
        <v>#REF!</v>
      </c>
      <c r="DM142" t="e">
        <f>AND(Sheet1!#REF!,"AAAAAH79vXQ=")</f>
        <v>#REF!</v>
      </c>
      <c r="DN142" t="e">
        <f>AND(Sheet1!#REF!,"AAAAAH79vXU=")</f>
        <v>#REF!</v>
      </c>
      <c r="DO142">
        <f>IF(Sheet1!1907:1907,"AAAAAH79vXY=",0)</f>
        <v>0</v>
      </c>
      <c r="DP142" t="e">
        <f>AND(Sheet1!A1907,"AAAAAH79vXc=")</f>
        <v>#VALUE!</v>
      </c>
      <c r="DQ142" t="e">
        <f>AND(Sheet1!B1907,"AAAAAH79vXg=")</f>
        <v>#VALUE!</v>
      </c>
      <c r="DR142" t="e">
        <f>AND(Sheet1!C1907,"AAAAAH79vXk=")</f>
        <v>#VALUE!</v>
      </c>
      <c r="DS142" t="e">
        <f>AND(Sheet1!D1907,"AAAAAH79vXo=")</f>
        <v>#VALUE!</v>
      </c>
      <c r="DT142" t="e">
        <f>AND(Sheet1!E1907,"AAAAAH79vXs=")</f>
        <v>#VALUE!</v>
      </c>
      <c r="DU142" t="e">
        <f>AND(Sheet1!F1907,"AAAAAH79vXw=")</f>
        <v>#VALUE!</v>
      </c>
      <c r="DV142" t="e">
        <f>AND(Sheet1!G1907,"AAAAAH79vX0=")</f>
        <v>#VALUE!</v>
      </c>
      <c r="DW142" t="e">
        <f>AND(Sheet1!H1907,"AAAAAH79vX4=")</f>
        <v>#VALUE!</v>
      </c>
      <c r="DX142" t="e">
        <f>AND(Sheet1!I1907,"AAAAAH79vX8=")</f>
        <v>#VALUE!</v>
      </c>
      <c r="DY142" t="e">
        <f>AND(Sheet1!J1907,"AAAAAH79vYA=")</f>
        <v>#VALUE!</v>
      </c>
      <c r="DZ142" t="e">
        <f>AND(Sheet1!K1907,"AAAAAH79vYE=")</f>
        <v>#VALUE!</v>
      </c>
      <c r="EA142" t="e">
        <f>AND(Sheet1!L1907,"AAAAAH79vYI=")</f>
        <v>#VALUE!</v>
      </c>
      <c r="EB142" t="e">
        <f>AND(Sheet1!M1907,"AAAAAH79vYM=")</f>
        <v>#VALUE!</v>
      </c>
      <c r="EC142" t="e">
        <f>AND(Sheet1!N1907,"AAAAAH79vYQ=")</f>
        <v>#VALUE!</v>
      </c>
      <c r="ED142" t="e">
        <f>AND(Sheet1!#REF!,"AAAAAH79vYU=")</f>
        <v>#REF!</v>
      </c>
      <c r="EE142" t="e">
        <f>AND(Sheet1!#REF!,"AAAAAH79vYY=")</f>
        <v>#REF!</v>
      </c>
      <c r="EF142" t="e">
        <f>AND(Sheet1!#REF!,"AAAAAH79vYc=")</f>
        <v>#REF!</v>
      </c>
      <c r="EG142" t="e">
        <f>AND(Sheet1!#REF!,"AAAAAH79vYg=")</f>
        <v>#REF!</v>
      </c>
      <c r="EH142">
        <f>IF(Sheet1!1908:1908,"AAAAAH79vYk=",0)</f>
        <v>0</v>
      </c>
      <c r="EI142" t="e">
        <f>AND(Sheet1!A1908,"AAAAAH79vYo=")</f>
        <v>#VALUE!</v>
      </c>
      <c r="EJ142" t="e">
        <f>AND(Sheet1!B1908,"AAAAAH79vYs=")</f>
        <v>#VALUE!</v>
      </c>
      <c r="EK142" t="e">
        <f>AND(Sheet1!C1908,"AAAAAH79vYw=")</f>
        <v>#VALUE!</v>
      </c>
      <c r="EL142" t="e">
        <f>AND(Sheet1!D1908,"AAAAAH79vY0=")</f>
        <v>#VALUE!</v>
      </c>
      <c r="EM142" t="e">
        <f>AND(Sheet1!E1908,"AAAAAH79vY4=")</f>
        <v>#VALUE!</v>
      </c>
      <c r="EN142" t="e">
        <f>AND(Sheet1!F1908,"AAAAAH79vY8=")</f>
        <v>#VALUE!</v>
      </c>
      <c r="EO142" t="e">
        <f>AND(Sheet1!G1908,"AAAAAH79vZA=")</f>
        <v>#VALUE!</v>
      </c>
      <c r="EP142" t="e">
        <f>AND(Sheet1!H1908,"AAAAAH79vZE=")</f>
        <v>#VALUE!</v>
      </c>
      <c r="EQ142" t="e">
        <f>AND(Sheet1!I1908,"AAAAAH79vZI=")</f>
        <v>#VALUE!</v>
      </c>
      <c r="ER142" t="e">
        <f>AND(Sheet1!J1908,"AAAAAH79vZM=")</f>
        <v>#VALUE!</v>
      </c>
      <c r="ES142" t="e">
        <f>AND(Sheet1!K1908,"AAAAAH79vZQ=")</f>
        <v>#VALUE!</v>
      </c>
      <c r="ET142" t="e">
        <f>AND(Sheet1!L1908,"AAAAAH79vZU=")</f>
        <v>#VALUE!</v>
      </c>
      <c r="EU142" t="e">
        <f>AND(Sheet1!M1908,"AAAAAH79vZY=")</f>
        <v>#VALUE!</v>
      </c>
      <c r="EV142" t="e">
        <f>AND(Sheet1!N1908,"AAAAAH79vZc=")</f>
        <v>#VALUE!</v>
      </c>
      <c r="EW142" t="e">
        <f>AND(Sheet1!#REF!,"AAAAAH79vZg=")</f>
        <v>#REF!</v>
      </c>
      <c r="EX142" t="e">
        <f>AND(Sheet1!#REF!,"AAAAAH79vZk=")</f>
        <v>#REF!</v>
      </c>
      <c r="EY142" t="e">
        <f>AND(Sheet1!#REF!,"AAAAAH79vZo=")</f>
        <v>#REF!</v>
      </c>
      <c r="EZ142" t="e">
        <f>AND(Sheet1!#REF!,"AAAAAH79vZs=")</f>
        <v>#REF!</v>
      </c>
      <c r="FA142">
        <f>IF(Sheet1!1909:1909,"AAAAAH79vZw=",0)</f>
        <v>0</v>
      </c>
      <c r="FB142" t="e">
        <f>AND(Sheet1!A1909,"AAAAAH79vZ0=")</f>
        <v>#VALUE!</v>
      </c>
      <c r="FC142" t="e">
        <f>AND(Sheet1!B1909,"AAAAAH79vZ4=")</f>
        <v>#VALUE!</v>
      </c>
      <c r="FD142" t="e">
        <f>AND(Sheet1!C1909,"AAAAAH79vZ8=")</f>
        <v>#VALUE!</v>
      </c>
      <c r="FE142" t="e">
        <f>AND(Sheet1!D1909,"AAAAAH79vaA=")</f>
        <v>#VALUE!</v>
      </c>
      <c r="FF142" t="e">
        <f>AND(Sheet1!E1909,"AAAAAH79vaE=")</f>
        <v>#VALUE!</v>
      </c>
      <c r="FG142" t="e">
        <f>AND(Sheet1!F1909,"AAAAAH79vaI=")</f>
        <v>#VALUE!</v>
      </c>
      <c r="FH142" t="e">
        <f>AND(Sheet1!G1909,"AAAAAH79vaM=")</f>
        <v>#VALUE!</v>
      </c>
      <c r="FI142" t="e">
        <f>AND(Sheet1!H1909,"AAAAAH79vaQ=")</f>
        <v>#VALUE!</v>
      </c>
      <c r="FJ142" t="e">
        <f>AND(Sheet1!I1909,"AAAAAH79vaU=")</f>
        <v>#VALUE!</v>
      </c>
      <c r="FK142" t="e">
        <f>AND(Sheet1!J1909,"AAAAAH79vaY=")</f>
        <v>#VALUE!</v>
      </c>
      <c r="FL142" t="e">
        <f>AND(Sheet1!K1909,"AAAAAH79vac=")</f>
        <v>#VALUE!</v>
      </c>
      <c r="FM142" t="e">
        <f>AND(Sheet1!L1909,"AAAAAH79vag=")</f>
        <v>#VALUE!</v>
      </c>
      <c r="FN142" t="e">
        <f>AND(Sheet1!M1909,"AAAAAH79vak=")</f>
        <v>#VALUE!</v>
      </c>
      <c r="FO142" t="e">
        <f>AND(Sheet1!N1909,"AAAAAH79vao=")</f>
        <v>#VALUE!</v>
      </c>
      <c r="FP142" t="e">
        <f>AND(Sheet1!#REF!,"AAAAAH79vas=")</f>
        <v>#REF!</v>
      </c>
      <c r="FQ142" t="e">
        <f>AND(Sheet1!#REF!,"AAAAAH79vaw=")</f>
        <v>#REF!</v>
      </c>
      <c r="FR142" t="e">
        <f>AND(Sheet1!#REF!,"AAAAAH79va0=")</f>
        <v>#REF!</v>
      </c>
      <c r="FS142" t="e">
        <f>AND(Sheet1!#REF!,"AAAAAH79va4=")</f>
        <v>#REF!</v>
      </c>
      <c r="FT142">
        <f>IF(Sheet1!1910:1910,"AAAAAH79va8=",0)</f>
        <v>0</v>
      </c>
      <c r="FU142" t="e">
        <f>AND(Sheet1!A1910,"AAAAAH79vbA=")</f>
        <v>#VALUE!</v>
      </c>
      <c r="FV142" t="e">
        <f>AND(Sheet1!B1910,"AAAAAH79vbE=")</f>
        <v>#VALUE!</v>
      </c>
      <c r="FW142" t="e">
        <f>AND(Sheet1!C1910,"AAAAAH79vbI=")</f>
        <v>#VALUE!</v>
      </c>
      <c r="FX142" t="e">
        <f>AND(Sheet1!D1910,"AAAAAH79vbM=")</f>
        <v>#VALUE!</v>
      </c>
      <c r="FY142" t="e">
        <f>AND(Sheet1!E1910,"AAAAAH79vbQ=")</f>
        <v>#VALUE!</v>
      </c>
      <c r="FZ142" t="e">
        <f>AND(Sheet1!F1910,"AAAAAH79vbU=")</f>
        <v>#VALUE!</v>
      </c>
      <c r="GA142" t="e">
        <f>AND(Sheet1!G1910,"AAAAAH79vbY=")</f>
        <v>#VALUE!</v>
      </c>
      <c r="GB142" t="e">
        <f>AND(Sheet1!H1910,"AAAAAH79vbc=")</f>
        <v>#VALUE!</v>
      </c>
      <c r="GC142" t="e">
        <f>AND(Sheet1!I1910,"AAAAAH79vbg=")</f>
        <v>#VALUE!</v>
      </c>
      <c r="GD142" t="e">
        <f>AND(Sheet1!J1910,"AAAAAH79vbk=")</f>
        <v>#VALUE!</v>
      </c>
      <c r="GE142" t="e">
        <f>AND(Sheet1!K1910,"AAAAAH79vbo=")</f>
        <v>#VALUE!</v>
      </c>
      <c r="GF142" t="e">
        <f>AND(Sheet1!L1910,"AAAAAH79vbs=")</f>
        <v>#VALUE!</v>
      </c>
      <c r="GG142" t="e">
        <f>AND(Sheet1!M1910,"AAAAAH79vbw=")</f>
        <v>#VALUE!</v>
      </c>
      <c r="GH142" t="e">
        <f>AND(Sheet1!N1910,"AAAAAH79vb0=")</f>
        <v>#VALUE!</v>
      </c>
      <c r="GI142" t="e">
        <f>AND(Sheet1!#REF!,"AAAAAH79vb4=")</f>
        <v>#REF!</v>
      </c>
      <c r="GJ142" t="e">
        <f>AND(Sheet1!#REF!,"AAAAAH79vb8=")</f>
        <v>#REF!</v>
      </c>
      <c r="GK142" t="e">
        <f>AND(Sheet1!#REF!,"AAAAAH79vcA=")</f>
        <v>#REF!</v>
      </c>
      <c r="GL142" t="e">
        <f>AND(Sheet1!#REF!,"AAAAAH79vcE=")</f>
        <v>#REF!</v>
      </c>
      <c r="GM142">
        <f>IF(Sheet1!1911:1911,"AAAAAH79vcI=",0)</f>
        <v>0</v>
      </c>
      <c r="GN142" t="e">
        <f>AND(Sheet1!A1911,"AAAAAH79vcM=")</f>
        <v>#VALUE!</v>
      </c>
      <c r="GO142" t="e">
        <f>AND(Sheet1!B1911,"AAAAAH79vcQ=")</f>
        <v>#VALUE!</v>
      </c>
      <c r="GP142" t="e">
        <f>AND(Sheet1!C1911,"AAAAAH79vcU=")</f>
        <v>#VALUE!</v>
      </c>
      <c r="GQ142" t="e">
        <f>AND(Sheet1!D1911,"AAAAAH79vcY=")</f>
        <v>#VALUE!</v>
      </c>
      <c r="GR142" t="e">
        <f>AND(Sheet1!E1911,"AAAAAH79vcc=")</f>
        <v>#VALUE!</v>
      </c>
      <c r="GS142" t="e">
        <f>AND(Sheet1!F1911,"AAAAAH79vcg=")</f>
        <v>#VALUE!</v>
      </c>
      <c r="GT142" t="e">
        <f>AND(Sheet1!G1911,"AAAAAH79vck=")</f>
        <v>#VALUE!</v>
      </c>
      <c r="GU142" t="e">
        <f>AND(Sheet1!H1911,"AAAAAH79vco=")</f>
        <v>#VALUE!</v>
      </c>
      <c r="GV142" t="e">
        <f>AND(Sheet1!I1911,"AAAAAH79vcs=")</f>
        <v>#VALUE!</v>
      </c>
      <c r="GW142" t="e">
        <f>AND(Sheet1!J1911,"AAAAAH79vcw=")</f>
        <v>#VALUE!</v>
      </c>
      <c r="GX142" t="e">
        <f>AND(Sheet1!K1911,"AAAAAH79vc0=")</f>
        <v>#VALUE!</v>
      </c>
      <c r="GY142" t="e">
        <f>AND(Sheet1!L1911,"AAAAAH79vc4=")</f>
        <v>#VALUE!</v>
      </c>
      <c r="GZ142" t="e">
        <f>AND(Sheet1!M1911,"AAAAAH79vc8=")</f>
        <v>#VALUE!</v>
      </c>
      <c r="HA142" t="e">
        <f>AND(Sheet1!N1911,"AAAAAH79vdA=")</f>
        <v>#VALUE!</v>
      </c>
      <c r="HB142" t="e">
        <f>AND(Sheet1!#REF!,"AAAAAH79vdE=")</f>
        <v>#REF!</v>
      </c>
      <c r="HC142" t="e">
        <f>AND(Sheet1!#REF!,"AAAAAH79vdI=")</f>
        <v>#REF!</v>
      </c>
      <c r="HD142" t="e">
        <f>AND(Sheet1!#REF!,"AAAAAH79vdM=")</f>
        <v>#REF!</v>
      </c>
      <c r="HE142" t="e">
        <f>AND(Sheet1!#REF!,"AAAAAH79vdQ=")</f>
        <v>#REF!</v>
      </c>
      <c r="HF142">
        <f>IF(Sheet1!1912:1912,"AAAAAH79vdU=",0)</f>
        <v>0</v>
      </c>
      <c r="HG142" t="e">
        <f>AND(Sheet1!A1912,"AAAAAH79vdY=")</f>
        <v>#VALUE!</v>
      </c>
      <c r="HH142" t="e">
        <f>AND(Sheet1!B1912,"AAAAAH79vdc=")</f>
        <v>#VALUE!</v>
      </c>
      <c r="HI142" t="e">
        <f>AND(Sheet1!C1912,"AAAAAH79vdg=")</f>
        <v>#VALUE!</v>
      </c>
      <c r="HJ142" t="e">
        <f>AND(Sheet1!D1912,"AAAAAH79vdk=")</f>
        <v>#VALUE!</v>
      </c>
      <c r="HK142" t="e">
        <f>AND(Sheet1!E1912,"AAAAAH79vdo=")</f>
        <v>#VALUE!</v>
      </c>
      <c r="HL142" t="e">
        <f>AND(Sheet1!F1912,"AAAAAH79vds=")</f>
        <v>#VALUE!</v>
      </c>
      <c r="HM142" t="e">
        <f>AND(Sheet1!G1912,"AAAAAH79vdw=")</f>
        <v>#VALUE!</v>
      </c>
      <c r="HN142" t="e">
        <f>AND(Sheet1!H1912,"AAAAAH79vd0=")</f>
        <v>#VALUE!</v>
      </c>
      <c r="HO142" t="e">
        <f>AND(Sheet1!I1912,"AAAAAH79vd4=")</f>
        <v>#VALUE!</v>
      </c>
      <c r="HP142" t="e">
        <f>AND(Sheet1!J1912,"AAAAAH79vd8=")</f>
        <v>#VALUE!</v>
      </c>
      <c r="HQ142" t="e">
        <f>AND(Sheet1!K1912,"AAAAAH79veA=")</f>
        <v>#VALUE!</v>
      </c>
      <c r="HR142" t="e">
        <f>AND(Sheet1!L1912,"AAAAAH79veE=")</f>
        <v>#VALUE!</v>
      </c>
      <c r="HS142" t="e">
        <f>AND(Sheet1!M1912,"AAAAAH79veI=")</f>
        <v>#VALUE!</v>
      </c>
      <c r="HT142" t="e">
        <f>AND(Sheet1!N1912,"AAAAAH79veM=")</f>
        <v>#VALUE!</v>
      </c>
      <c r="HU142" t="e">
        <f>AND(Sheet1!#REF!,"AAAAAH79veQ=")</f>
        <v>#REF!</v>
      </c>
      <c r="HV142" t="e">
        <f>AND(Sheet1!#REF!,"AAAAAH79veU=")</f>
        <v>#REF!</v>
      </c>
      <c r="HW142" t="e">
        <f>AND(Sheet1!#REF!,"AAAAAH79veY=")</f>
        <v>#REF!</v>
      </c>
      <c r="HX142" t="e">
        <f>AND(Sheet1!#REF!,"AAAAAH79vec=")</f>
        <v>#REF!</v>
      </c>
      <c r="HY142">
        <f>IF(Sheet1!1913:1913,"AAAAAH79veg=",0)</f>
        <v>0</v>
      </c>
      <c r="HZ142" t="e">
        <f>AND(Sheet1!A1913,"AAAAAH79vek=")</f>
        <v>#VALUE!</v>
      </c>
      <c r="IA142" t="e">
        <f>AND(Sheet1!B1913,"AAAAAH79veo=")</f>
        <v>#VALUE!</v>
      </c>
      <c r="IB142" t="e">
        <f>AND(Sheet1!C1913,"AAAAAH79ves=")</f>
        <v>#VALUE!</v>
      </c>
      <c r="IC142" t="e">
        <f>AND(Sheet1!D1913,"AAAAAH79vew=")</f>
        <v>#VALUE!</v>
      </c>
      <c r="ID142" t="e">
        <f>AND(Sheet1!E1913,"AAAAAH79ve0=")</f>
        <v>#VALUE!</v>
      </c>
      <c r="IE142" t="e">
        <f>AND(Sheet1!F1913,"AAAAAH79ve4=")</f>
        <v>#VALUE!</v>
      </c>
      <c r="IF142" t="e">
        <f>AND(Sheet1!G1913,"AAAAAH79ve8=")</f>
        <v>#VALUE!</v>
      </c>
      <c r="IG142" t="e">
        <f>AND(Sheet1!H1913,"AAAAAH79vfA=")</f>
        <v>#VALUE!</v>
      </c>
      <c r="IH142" t="e">
        <f>AND(Sheet1!I1913,"AAAAAH79vfE=")</f>
        <v>#VALUE!</v>
      </c>
      <c r="II142" t="e">
        <f>AND(Sheet1!J1913,"AAAAAH79vfI=")</f>
        <v>#VALUE!</v>
      </c>
      <c r="IJ142" t="e">
        <f>AND(Sheet1!K1913,"AAAAAH79vfM=")</f>
        <v>#VALUE!</v>
      </c>
      <c r="IK142" t="e">
        <f>AND(Sheet1!L1913,"AAAAAH79vfQ=")</f>
        <v>#VALUE!</v>
      </c>
      <c r="IL142" t="e">
        <f>AND(Sheet1!M1913,"AAAAAH79vfU=")</f>
        <v>#VALUE!</v>
      </c>
      <c r="IM142" t="e">
        <f>AND(Sheet1!N1913,"AAAAAH79vfY=")</f>
        <v>#VALUE!</v>
      </c>
      <c r="IN142" t="e">
        <f>AND(Sheet1!#REF!,"AAAAAH79vfc=")</f>
        <v>#REF!</v>
      </c>
      <c r="IO142" t="e">
        <f>AND(Sheet1!#REF!,"AAAAAH79vfg=")</f>
        <v>#REF!</v>
      </c>
      <c r="IP142" t="e">
        <f>AND(Sheet1!#REF!,"AAAAAH79vfk=")</f>
        <v>#REF!</v>
      </c>
      <c r="IQ142" t="e">
        <f>AND(Sheet1!#REF!,"AAAAAH79vfo=")</f>
        <v>#REF!</v>
      </c>
      <c r="IR142">
        <f>IF(Sheet1!1914:1914,"AAAAAH79vfs=",0)</f>
        <v>0</v>
      </c>
      <c r="IS142" t="e">
        <f>AND(Sheet1!A1914,"AAAAAH79vfw=")</f>
        <v>#VALUE!</v>
      </c>
      <c r="IT142" t="e">
        <f>AND(Sheet1!B1914,"AAAAAH79vf0=")</f>
        <v>#VALUE!</v>
      </c>
      <c r="IU142" t="e">
        <f>AND(Sheet1!C1914,"AAAAAH79vf4=")</f>
        <v>#VALUE!</v>
      </c>
      <c r="IV142" t="e">
        <f>AND(Sheet1!D1914,"AAAAAH79vf8=")</f>
        <v>#VALUE!</v>
      </c>
    </row>
    <row r="143" spans="1:256" x14ac:dyDescent="0.2">
      <c r="A143" t="e">
        <f>AND(Sheet1!E1914,"AAAAADv//AA=")</f>
        <v>#VALUE!</v>
      </c>
      <c r="B143" t="e">
        <f>AND(Sheet1!F1914,"AAAAADv//AE=")</f>
        <v>#VALUE!</v>
      </c>
      <c r="C143" t="e">
        <f>AND(Sheet1!G1914,"AAAAADv//AI=")</f>
        <v>#VALUE!</v>
      </c>
      <c r="D143" t="e">
        <f>AND(Sheet1!H1914,"AAAAADv//AM=")</f>
        <v>#VALUE!</v>
      </c>
      <c r="E143" t="e">
        <f>AND(Sheet1!I1914,"AAAAADv//AQ=")</f>
        <v>#VALUE!</v>
      </c>
      <c r="F143" t="e">
        <f>AND(Sheet1!J1914,"AAAAADv//AU=")</f>
        <v>#VALUE!</v>
      </c>
      <c r="G143" t="e">
        <f>AND(Sheet1!K1914,"AAAAADv//AY=")</f>
        <v>#VALUE!</v>
      </c>
      <c r="H143" t="e">
        <f>AND(Sheet1!L1914,"AAAAADv//Ac=")</f>
        <v>#VALUE!</v>
      </c>
      <c r="I143" t="e">
        <f>AND(Sheet1!M1914,"AAAAADv//Ag=")</f>
        <v>#VALUE!</v>
      </c>
      <c r="J143" t="e">
        <f>AND(Sheet1!N1914,"AAAAADv//Ak=")</f>
        <v>#VALUE!</v>
      </c>
      <c r="K143" t="e">
        <f>AND(Sheet1!#REF!,"AAAAADv//Ao=")</f>
        <v>#REF!</v>
      </c>
      <c r="L143" t="e">
        <f>AND(Sheet1!#REF!,"AAAAADv//As=")</f>
        <v>#REF!</v>
      </c>
      <c r="M143" t="e">
        <f>AND(Sheet1!#REF!,"AAAAADv//Aw=")</f>
        <v>#REF!</v>
      </c>
      <c r="N143" t="e">
        <f>AND(Sheet1!#REF!,"AAAAADv//A0=")</f>
        <v>#REF!</v>
      </c>
      <c r="O143">
        <f>IF(Sheet1!1915:1915,"AAAAADv//A4=",0)</f>
        <v>0</v>
      </c>
      <c r="P143" t="e">
        <f>AND(Sheet1!A1915,"AAAAADv//A8=")</f>
        <v>#VALUE!</v>
      </c>
      <c r="Q143" t="e">
        <f>AND(Sheet1!B1915,"AAAAADv//BA=")</f>
        <v>#VALUE!</v>
      </c>
      <c r="R143" t="e">
        <f>AND(Sheet1!C1915,"AAAAADv//BE=")</f>
        <v>#VALUE!</v>
      </c>
      <c r="S143" t="e">
        <f>AND(Sheet1!D1915,"AAAAADv//BI=")</f>
        <v>#VALUE!</v>
      </c>
      <c r="T143" t="e">
        <f>AND(Sheet1!E1915,"AAAAADv//BM=")</f>
        <v>#VALUE!</v>
      </c>
      <c r="U143" t="e">
        <f>AND(Sheet1!F1915,"AAAAADv//BQ=")</f>
        <v>#VALUE!</v>
      </c>
      <c r="V143" t="e">
        <f>AND(Sheet1!G1915,"AAAAADv//BU=")</f>
        <v>#VALUE!</v>
      </c>
      <c r="W143" t="e">
        <f>AND(Sheet1!H1915,"AAAAADv//BY=")</f>
        <v>#VALUE!</v>
      </c>
      <c r="X143" t="e">
        <f>AND(Sheet1!I1915,"AAAAADv//Bc=")</f>
        <v>#VALUE!</v>
      </c>
      <c r="Y143" t="e">
        <f>AND(Sheet1!J1915,"AAAAADv//Bg=")</f>
        <v>#VALUE!</v>
      </c>
      <c r="Z143" t="e">
        <f>AND(Sheet1!K1915,"AAAAADv//Bk=")</f>
        <v>#VALUE!</v>
      </c>
      <c r="AA143" t="e">
        <f>AND(Sheet1!L1915,"AAAAADv//Bo=")</f>
        <v>#VALUE!</v>
      </c>
      <c r="AB143" t="e">
        <f>AND(Sheet1!M1915,"AAAAADv//Bs=")</f>
        <v>#VALUE!</v>
      </c>
      <c r="AC143" t="e">
        <f>AND(Sheet1!N1915,"AAAAADv//Bw=")</f>
        <v>#VALUE!</v>
      </c>
      <c r="AD143" t="e">
        <f>AND(Sheet1!#REF!,"AAAAADv//B0=")</f>
        <v>#REF!</v>
      </c>
      <c r="AE143" t="e">
        <f>AND(Sheet1!#REF!,"AAAAADv//B4=")</f>
        <v>#REF!</v>
      </c>
      <c r="AF143" t="e">
        <f>AND(Sheet1!#REF!,"AAAAADv//B8=")</f>
        <v>#REF!</v>
      </c>
      <c r="AG143" t="e">
        <f>AND(Sheet1!#REF!,"AAAAADv//CA=")</f>
        <v>#REF!</v>
      </c>
      <c r="AH143">
        <f>IF(Sheet1!1916:1916,"AAAAADv//CE=",0)</f>
        <v>0</v>
      </c>
      <c r="AI143" t="e">
        <f>AND(Sheet1!A1916,"AAAAADv//CI=")</f>
        <v>#VALUE!</v>
      </c>
      <c r="AJ143" t="e">
        <f>AND(Sheet1!B1916,"AAAAADv//CM=")</f>
        <v>#VALUE!</v>
      </c>
      <c r="AK143" t="e">
        <f>AND(Sheet1!C1916,"AAAAADv//CQ=")</f>
        <v>#VALUE!</v>
      </c>
      <c r="AL143" t="e">
        <f>AND(Sheet1!D1916,"AAAAADv//CU=")</f>
        <v>#VALUE!</v>
      </c>
      <c r="AM143" t="e">
        <f>AND(Sheet1!E1916,"AAAAADv//CY=")</f>
        <v>#VALUE!</v>
      </c>
      <c r="AN143" t="e">
        <f>AND(Sheet1!F1916,"AAAAADv//Cc=")</f>
        <v>#VALUE!</v>
      </c>
      <c r="AO143" t="e">
        <f>AND(Sheet1!G1916,"AAAAADv//Cg=")</f>
        <v>#VALUE!</v>
      </c>
      <c r="AP143" t="e">
        <f>AND(Sheet1!H1916,"AAAAADv//Ck=")</f>
        <v>#VALUE!</v>
      </c>
      <c r="AQ143" t="e">
        <f>AND(Sheet1!I1916,"AAAAADv//Co=")</f>
        <v>#VALUE!</v>
      </c>
      <c r="AR143" t="e">
        <f>AND(Sheet1!J1916,"AAAAADv//Cs=")</f>
        <v>#VALUE!</v>
      </c>
      <c r="AS143" t="e">
        <f>AND(Sheet1!K1916,"AAAAADv//Cw=")</f>
        <v>#VALUE!</v>
      </c>
      <c r="AT143" t="e">
        <f>AND(Sheet1!L1916,"AAAAADv//C0=")</f>
        <v>#VALUE!</v>
      </c>
      <c r="AU143" t="e">
        <f>AND(Sheet1!M1916,"AAAAADv//C4=")</f>
        <v>#VALUE!</v>
      </c>
      <c r="AV143" t="e">
        <f>AND(Sheet1!N1916,"AAAAADv//C8=")</f>
        <v>#VALUE!</v>
      </c>
      <c r="AW143" t="e">
        <f>AND(Sheet1!#REF!,"AAAAADv//DA=")</f>
        <v>#REF!</v>
      </c>
      <c r="AX143" t="e">
        <f>AND(Sheet1!#REF!,"AAAAADv//DE=")</f>
        <v>#REF!</v>
      </c>
      <c r="AY143" t="e">
        <f>AND(Sheet1!#REF!,"AAAAADv//DI=")</f>
        <v>#REF!</v>
      </c>
      <c r="AZ143" t="e">
        <f>AND(Sheet1!#REF!,"AAAAADv//DM=")</f>
        <v>#REF!</v>
      </c>
      <c r="BA143">
        <f>IF(Sheet1!1917:1917,"AAAAADv//DQ=",0)</f>
        <v>0</v>
      </c>
      <c r="BB143" t="e">
        <f>AND(Sheet1!A1917,"AAAAADv//DU=")</f>
        <v>#VALUE!</v>
      </c>
      <c r="BC143" t="e">
        <f>AND(Sheet1!B1917,"AAAAADv//DY=")</f>
        <v>#VALUE!</v>
      </c>
      <c r="BD143" t="e">
        <f>AND(Sheet1!C1917,"AAAAADv//Dc=")</f>
        <v>#VALUE!</v>
      </c>
      <c r="BE143" t="e">
        <f>AND(Sheet1!D1917,"AAAAADv//Dg=")</f>
        <v>#VALUE!</v>
      </c>
      <c r="BF143" t="e">
        <f>AND(Sheet1!E1917,"AAAAADv//Dk=")</f>
        <v>#VALUE!</v>
      </c>
      <c r="BG143" t="e">
        <f>AND(Sheet1!F1917,"AAAAADv//Do=")</f>
        <v>#VALUE!</v>
      </c>
      <c r="BH143" t="e">
        <f>AND(Sheet1!G1917,"AAAAADv//Ds=")</f>
        <v>#VALUE!</v>
      </c>
      <c r="BI143" t="e">
        <f>AND(Sheet1!H1917,"AAAAADv//Dw=")</f>
        <v>#VALUE!</v>
      </c>
      <c r="BJ143" t="e">
        <f>AND(Sheet1!I1917,"AAAAADv//D0=")</f>
        <v>#VALUE!</v>
      </c>
      <c r="BK143" t="e">
        <f>AND(Sheet1!J1917,"AAAAADv//D4=")</f>
        <v>#VALUE!</v>
      </c>
      <c r="BL143" t="e">
        <f>AND(Sheet1!K1917,"AAAAADv//D8=")</f>
        <v>#VALUE!</v>
      </c>
      <c r="BM143" t="e">
        <f>AND(Sheet1!L1917,"AAAAADv//EA=")</f>
        <v>#VALUE!</v>
      </c>
      <c r="BN143" t="e">
        <f>AND(Sheet1!M1917,"AAAAADv//EE=")</f>
        <v>#VALUE!</v>
      </c>
      <c r="BO143" t="e">
        <f>AND(Sheet1!N1917,"AAAAADv//EI=")</f>
        <v>#VALUE!</v>
      </c>
      <c r="BP143" t="e">
        <f>AND(Sheet1!#REF!,"AAAAADv//EM=")</f>
        <v>#REF!</v>
      </c>
      <c r="BQ143" t="e">
        <f>AND(Sheet1!#REF!,"AAAAADv//EQ=")</f>
        <v>#REF!</v>
      </c>
      <c r="BR143" t="e">
        <f>AND(Sheet1!#REF!,"AAAAADv//EU=")</f>
        <v>#REF!</v>
      </c>
      <c r="BS143" t="e">
        <f>AND(Sheet1!#REF!,"AAAAADv//EY=")</f>
        <v>#REF!</v>
      </c>
      <c r="BT143">
        <f>IF(Sheet1!1918:1918,"AAAAADv//Ec=",0)</f>
        <v>0</v>
      </c>
      <c r="BU143" t="e">
        <f>AND(Sheet1!A1918,"AAAAADv//Eg=")</f>
        <v>#VALUE!</v>
      </c>
      <c r="BV143" t="e">
        <f>AND(Sheet1!B1918,"AAAAADv//Ek=")</f>
        <v>#VALUE!</v>
      </c>
      <c r="BW143" t="e">
        <f>AND(Sheet1!C1918,"AAAAADv//Eo=")</f>
        <v>#VALUE!</v>
      </c>
      <c r="BX143" t="e">
        <f>AND(Sheet1!D1918,"AAAAADv//Es=")</f>
        <v>#VALUE!</v>
      </c>
      <c r="BY143" t="e">
        <f>AND(Sheet1!E1918,"AAAAADv//Ew=")</f>
        <v>#VALUE!</v>
      </c>
      <c r="BZ143" t="e">
        <f>AND(Sheet1!F1918,"AAAAADv//E0=")</f>
        <v>#VALUE!</v>
      </c>
      <c r="CA143" t="e">
        <f>AND(Sheet1!G1918,"AAAAADv//E4=")</f>
        <v>#VALUE!</v>
      </c>
      <c r="CB143" t="e">
        <f>AND(Sheet1!H1918,"AAAAADv//E8=")</f>
        <v>#VALUE!</v>
      </c>
      <c r="CC143" t="e">
        <f>AND(Sheet1!I1918,"AAAAADv//FA=")</f>
        <v>#VALUE!</v>
      </c>
      <c r="CD143" t="e">
        <f>AND(Sheet1!J1918,"AAAAADv//FE=")</f>
        <v>#VALUE!</v>
      </c>
      <c r="CE143" t="e">
        <f>AND(Sheet1!K1918,"AAAAADv//FI=")</f>
        <v>#VALUE!</v>
      </c>
      <c r="CF143" t="e">
        <f>AND(Sheet1!L1918,"AAAAADv//FM=")</f>
        <v>#VALUE!</v>
      </c>
      <c r="CG143" t="e">
        <f>AND(Sheet1!M1918,"AAAAADv//FQ=")</f>
        <v>#VALUE!</v>
      </c>
      <c r="CH143" t="e">
        <f>AND(Sheet1!N1918,"AAAAADv//FU=")</f>
        <v>#VALUE!</v>
      </c>
      <c r="CI143" t="e">
        <f>AND(Sheet1!#REF!,"AAAAADv//FY=")</f>
        <v>#REF!</v>
      </c>
      <c r="CJ143" t="e">
        <f>AND(Sheet1!#REF!,"AAAAADv//Fc=")</f>
        <v>#REF!</v>
      </c>
      <c r="CK143" t="e">
        <f>AND(Sheet1!#REF!,"AAAAADv//Fg=")</f>
        <v>#REF!</v>
      </c>
      <c r="CL143" t="e">
        <f>AND(Sheet1!#REF!,"AAAAADv//Fk=")</f>
        <v>#REF!</v>
      </c>
      <c r="CM143">
        <f>IF(Sheet1!1919:1919,"AAAAADv//Fo=",0)</f>
        <v>0</v>
      </c>
      <c r="CN143" t="e">
        <f>AND(Sheet1!A1919,"AAAAADv//Fs=")</f>
        <v>#VALUE!</v>
      </c>
      <c r="CO143" t="e">
        <f>AND(Sheet1!B1919,"AAAAADv//Fw=")</f>
        <v>#VALUE!</v>
      </c>
      <c r="CP143" t="e">
        <f>AND(Sheet1!C1919,"AAAAADv//F0=")</f>
        <v>#VALUE!</v>
      </c>
      <c r="CQ143" t="e">
        <f>AND(Sheet1!D1919,"AAAAADv//F4=")</f>
        <v>#VALUE!</v>
      </c>
      <c r="CR143" t="e">
        <f>AND(Sheet1!E1919,"AAAAADv//F8=")</f>
        <v>#VALUE!</v>
      </c>
      <c r="CS143" t="e">
        <f>AND(Sheet1!F1919,"AAAAADv//GA=")</f>
        <v>#VALUE!</v>
      </c>
      <c r="CT143" t="e">
        <f>AND(Sheet1!G1919,"AAAAADv//GE=")</f>
        <v>#VALUE!</v>
      </c>
      <c r="CU143" t="e">
        <f>AND(Sheet1!H1919,"AAAAADv//GI=")</f>
        <v>#VALUE!</v>
      </c>
      <c r="CV143" t="e">
        <f>AND(Sheet1!I1919,"AAAAADv//GM=")</f>
        <v>#VALUE!</v>
      </c>
      <c r="CW143" t="e">
        <f>AND(Sheet1!J1919,"AAAAADv//GQ=")</f>
        <v>#VALUE!</v>
      </c>
      <c r="CX143" t="e">
        <f>AND(Sheet1!K1919,"AAAAADv//GU=")</f>
        <v>#VALUE!</v>
      </c>
      <c r="CY143" t="e">
        <f>AND(Sheet1!L1919,"AAAAADv//GY=")</f>
        <v>#VALUE!</v>
      </c>
      <c r="CZ143" t="e">
        <f>AND(Sheet1!M1919,"AAAAADv//Gc=")</f>
        <v>#VALUE!</v>
      </c>
      <c r="DA143" t="e">
        <f>AND(Sheet1!N1919,"AAAAADv//Gg=")</f>
        <v>#VALUE!</v>
      </c>
      <c r="DB143" t="e">
        <f>AND(Sheet1!#REF!,"AAAAADv//Gk=")</f>
        <v>#REF!</v>
      </c>
      <c r="DC143" t="e">
        <f>AND(Sheet1!#REF!,"AAAAADv//Go=")</f>
        <v>#REF!</v>
      </c>
      <c r="DD143" t="e">
        <f>AND(Sheet1!#REF!,"AAAAADv//Gs=")</f>
        <v>#REF!</v>
      </c>
      <c r="DE143" t="e">
        <f>AND(Sheet1!#REF!,"AAAAADv//Gw=")</f>
        <v>#REF!</v>
      </c>
      <c r="DF143">
        <f>IF(Sheet1!1920:1920,"AAAAADv//G0=",0)</f>
        <v>0</v>
      </c>
      <c r="DG143" t="e">
        <f>AND(Sheet1!A1920,"AAAAADv//G4=")</f>
        <v>#VALUE!</v>
      </c>
      <c r="DH143" t="e">
        <f>AND(Sheet1!B1920,"AAAAADv//G8=")</f>
        <v>#VALUE!</v>
      </c>
      <c r="DI143" t="e">
        <f>AND(Sheet1!C1920,"AAAAADv//HA=")</f>
        <v>#VALUE!</v>
      </c>
      <c r="DJ143" t="e">
        <f>AND(Sheet1!D1920,"AAAAADv//HE=")</f>
        <v>#VALUE!</v>
      </c>
      <c r="DK143" t="e">
        <f>AND(Sheet1!E1920,"AAAAADv//HI=")</f>
        <v>#VALUE!</v>
      </c>
      <c r="DL143" t="e">
        <f>AND(Sheet1!F1920,"AAAAADv//HM=")</f>
        <v>#VALUE!</v>
      </c>
      <c r="DM143" t="e">
        <f>AND(Sheet1!G1920,"AAAAADv//HQ=")</f>
        <v>#VALUE!</v>
      </c>
      <c r="DN143" t="e">
        <f>AND(Sheet1!H1920,"AAAAADv//HU=")</f>
        <v>#VALUE!</v>
      </c>
      <c r="DO143" t="e">
        <f>AND(Sheet1!I1920,"AAAAADv//HY=")</f>
        <v>#VALUE!</v>
      </c>
      <c r="DP143" t="e">
        <f>AND(Sheet1!J1920,"AAAAADv//Hc=")</f>
        <v>#VALUE!</v>
      </c>
      <c r="DQ143" t="e">
        <f>AND(Sheet1!K1920,"AAAAADv//Hg=")</f>
        <v>#VALUE!</v>
      </c>
      <c r="DR143" t="e">
        <f>AND(Sheet1!L1920,"AAAAADv//Hk=")</f>
        <v>#VALUE!</v>
      </c>
      <c r="DS143" t="e">
        <f>AND(Sheet1!M1920,"AAAAADv//Ho=")</f>
        <v>#VALUE!</v>
      </c>
      <c r="DT143" t="e">
        <f>AND(Sheet1!N1920,"AAAAADv//Hs=")</f>
        <v>#VALUE!</v>
      </c>
      <c r="DU143" t="e">
        <f>AND(Sheet1!#REF!,"AAAAADv//Hw=")</f>
        <v>#REF!</v>
      </c>
      <c r="DV143" t="e">
        <f>AND(Sheet1!#REF!,"AAAAADv//H0=")</f>
        <v>#REF!</v>
      </c>
      <c r="DW143" t="e">
        <f>AND(Sheet1!#REF!,"AAAAADv//H4=")</f>
        <v>#REF!</v>
      </c>
      <c r="DX143" t="e">
        <f>AND(Sheet1!#REF!,"AAAAADv//H8=")</f>
        <v>#REF!</v>
      </c>
      <c r="DY143">
        <f>IF(Sheet1!1921:1921,"AAAAADv//IA=",0)</f>
        <v>0</v>
      </c>
      <c r="DZ143" t="e">
        <f>AND(Sheet1!A1921,"AAAAADv//IE=")</f>
        <v>#VALUE!</v>
      </c>
      <c r="EA143" t="e">
        <f>AND(Sheet1!B1921,"AAAAADv//II=")</f>
        <v>#VALUE!</v>
      </c>
      <c r="EB143" t="e">
        <f>AND(Sheet1!C1921,"AAAAADv//IM=")</f>
        <v>#VALUE!</v>
      </c>
      <c r="EC143" t="e">
        <f>AND(Sheet1!D1921,"AAAAADv//IQ=")</f>
        <v>#VALUE!</v>
      </c>
      <c r="ED143" t="e">
        <f>AND(Sheet1!E1921,"AAAAADv//IU=")</f>
        <v>#VALUE!</v>
      </c>
      <c r="EE143" t="e">
        <f>AND(Sheet1!F1921,"AAAAADv//IY=")</f>
        <v>#VALUE!</v>
      </c>
      <c r="EF143" t="e">
        <f>AND(Sheet1!G1921,"AAAAADv//Ic=")</f>
        <v>#VALUE!</v>
      </c>
      <c r="EG143" t="e">
        <f>AND(Sheet1!H1921,"AAAAADv//Ig=")</f>
        <v>#VALUE!</v>
      </c>
      <c r="EH143" t="e">
        <f>AND(Sheet1!I1921,"AAAAADv//Ik=")</f>
        <v>#VALUE!</v>
      </c>
      <c r="EI143" t="e">
        <f>AND(Sheet1!J1921,"AAAAADv//Io=")</f>
        <v>#VALUE!</v>
      </c>
      <c r="EJ143" t="e">
        <f>AND(Sheet1!K1921,"AAAAADv//Is=")</f>
        <v>#VALUE!</v>
      </c>
      <c r="EK143" t="e">
        <f>AND(Sheet1!L1921,"AAAAADv//Iw=")</f>
        <v>#VALUE!</v>
      </c>
      <c r="EL143" t="e">
        <f>AND(Sheet1!M1921,"AAAAADv//I0=")</f>
        <v>#VALUE!</v>
      </c>
      <c r="EM143" t="e">
        <f>AND(Sheet1!N1921,"AAAAADv//I4=")</f>
        <v>#VALUE!</v>
      </c>
      <c r="EN143" t="e">
        <f>AND(Sheet1!#REF!,"AAAAADv//I8=")</f>
        <v>#REF!</v>
      </c>
      <c r="EO143" t="e">
        <f>AND(Sheet1!#REF!,"AAAAADv//JA=")</f>
        <v>#REF!</v>
      </c>
      <c r="EP143" t="e">
        <f>AND(Sheet1!#REF!,"AAAAADv//JE=")</f>
        <v>#REF!</v>
      </c>
      <c r="EQ143" t="e">
        <f>AND(Sheet1!#REF!,"AAAAADv//JI=")</f>
        <v>#REF!</v>
      </c>
      <c r="ER143">
        <f>IF(Sheet1!1922:1922,"AAAAADv//JM=",0)</f>
        <v>0</v>
      </c>
      <c r="ES143" t="e">
        <f>AND(Sheet1!A1922,"AAAAADv//JQ=")</f>
        <v>#VALUE!</v>
      </c>
      <c r="ET143" t="e">
        <f>AND(Sheet1!B1922,"AAAAADv//JU=")</f>
        <v>#VALUE!</v>
      </c>
      <c r="EU143" t="e">
        <f>AND(Sheet1!C1922,"AAAAADv//JY=")</f>
        <v>#VALUE!</v>
      </c>
      <c r="EV143" t="e">
        <f>AND(Sheet1!D1922,"AAAAADv//Jc=")</f>
        <v>#VALUE!</v>
      </c>
      <c r="EW143" t="e">
        <f>AND(Sheet1!E1922,"AAAAADv//Jg=")</f>
        <v>#VALUE!</v>
      </c>
      <c r="EX143" t="e">
        <f>AND(Sheet1!F1922,"AAAAADv//Jk=")</f>
        <v>#VALUE!</v>
      </c>
      <c r="EY143" t="e">
        <f>AND(Sheet1!G1922,"AAAAADv//Jo=")</f>
        <v>#VALUE!</v>
      </c>
      <c r="EZ143" t="e">
        <f>AND(Sheet1!H1922,"AAAAADv//Js=")</f>
        <v>#VALUE!</v>
      </c>
      <c r="FA143" t="e">
        <f>AND(Sheet1!I1922,"AAAAADv//Jw=")</f>
        <v>#VALUE!</v>
      </c>
      <c r="FB143" t="e">
        <f>AND(Sheet1!J1922,"AAAAADv//J0=")</f>
        <v>#VALUE!</v>
      </c>
      <c r="FC143" t="e">
        <f>AND(Sheet1!K1922,"AAAAADv//J4=")</f>
        <v>#VALUE!</v>
      </c>
      <c r="FD143" t="e">
        <f>AND(Sheet1!L1922,"AAAAADv//J8=")</f>
        <v>#VALUE!</v>
      </c>
      <c r="FE143" t="e">
        <f>AND(Sheet1!M1922,"AAAAADv//KA=")</f>
        <v>#VALUE!</v>
      </c>
      <c r="FF143" t="e">
        <f>AND(Sheet1!N1922,"AAAAADv//KE=")</f>
        <v>#VALUE!</v>
      </c>
      <c r="FG143" t="e">
        <f>AND(Sheet1!#REF!,"AAAAADv//KI=")</f>
        <v>#REF!</v>
      </c>
      <c r="FH143" t="e">
        <f>AND(Sheet1!#REF!,"AAAAADv//KM=")</f>
        <v>#REF!</v>
      </c>
      <c r="FI143" t="e">
        <f>AND(Sheet1!#REF!,"AAAAADv//KQ=")</f>
        <v>#REF!</v>
      </c>
      <c r="FJ143" t="e">
        <f>AND(Sheet1!#REF!,"AAAAADv//KU=")</f>
        <v>#REF!</v>
      </c>
      <c r="FK143">
        <f>IF(Sheet1!1923:1923,"AAAAADv//KY=",0)</f>
        <v>0</v>
      </c>
      <c r="FL143" t="e">
        <f>AND(Sheet1!A1923,"AAAAADv//Kc=")</f>
        <v>#VALUE!</v>
      </c>
      <c r="FM143" t="e">
        <f>AND(Sheet1!B1923,"AAAAADv//Kg=")</f>
        <v>#VALUE!</v>
      </c>
      <c r="FN143" t="e">
        <f>AND(Sheet1!C1923,"AAAAADv//Kk=")</f>
        <v>#VALUE!</v>
      </c>
      <c r="FO143" t="e">
        <f>AND(Sheet1!D1923,"AAAAADv//Ko=")</f>
        <v>#VALUE!</v>
      </c>
      <c r="FP143" t="e">
        <f>AND(Sheet1!E1923,"AAAAADv//Ks=")</f>
        <v>#VALUE!</v>
      </c>
      <c r="FQ143" t="e">
        <f>AND(Sheet1!F1923,"AAAAADv//Kw=")</f>
        <v>#VALUE!</v>
      </c>
      <c r="FR143" t="e">
        <f>AND(Sheet1!G1923,"AAAAADv//K0=")</f>
        <v>#VALUE!</v>
      </c>
      <c r="FS143" t="e">
        <f>AND(Sheet1!H1923,"AAAAADv//K4=")</f>
        <v>#VALUE!</v>
      </c>
      <c r="FT143" t="e">
        <f>AND(Sheet1!I1923,"AAAAADv//K8=")</f>
        <v>#VALUE!</v>
      </c>
      <c r="FU143" t="e">
        <f>AND(Sheet1!J1923,"AAAAADv//LA=")</f>
        <v>#VALUE!</v>
      </c>
      <c r="FV143" t="e">
        <f>AND(Sheet1!K1923,"AAAAADv//LE=")</f>
        <v>#VALUE!</v>
      </c>
      <c r="FW143" t="e">
        <f>AND(Sheet1!L1923,"AAAAADv//LI=")</f>
        <v>#VALUE!</v>
      </c>
      <c r="FX143" t="e">
        <f>AND(Sheet1!M1923,"AAAAADv//LM=")</f>
        <v>#VALUE!</v>
      </c>
      <c r="FY143" t="e">
        <f>AND(Sheet1!N1923,"AAAAADv//LQ=")</f>
        <v>#VALUE!</v>
      </c>
      <c r="FZ143" t="e">
        <f>AND(Sheet1!#REF!,"AAAAADv//LU=")</f>
        <v>#REF!</v>
      </c>
      <c r="GA143" t="e">
        <f>AND(Sheet1!#REF!,"AAAAADv//LY=")</f>
        <v>#REF!</v>
      </c>
      <c r="GB143" t="e">
        <f>AND(Sheet1!#REF!,"AAAAADv//Lc=")</f>
        <v>#REF!</v>
      </c>
      <c r="GC143" t="e">
        <f>AND(Sheet1!#REF!,"AAAAADv//Lg=")</f>
        <v>#REF!</v>
      </c>
      <c r="GD143">
        <f>IF(Sheet1!1924:1924,"AAAAADv//Lk=",0)</f>
        <v>0</v>
      </c>
      <c r="GE143" t="e">
        <f>AND(Sheet1!A1924,"AAAAADv//Lo=")</f>
        <v>#VALUE!</v>
      </c>
      <c r="GF143" t="e">
        <f>AND(Sheet1!B1924,"AAAAADv//Ls=")</f>
        <v>#VALUE!</v>
      </c>
      <c r="GG143" t="e">
        <f>AND(Sheet1!C1924,"AAAAADv//Lw=")</f>
        <v>#VALUE!</v>
      </c>
      <c r="GH143" t="e">
        <f>AND(Sheet1!D1924,"AAAAADv//L0=")</f>
        <v>#VALUE!</v>
      </c>
      <c r="GI143" t="e">
        <f>AND(Sheet1!E1924,"AAAAADv//L4=")</f>
        <v>#VALUE!</v>
      </c>
      <c r="GJ143" t="e">
        <f>AND(Sheet1!F1924,"AAAAADv//L8=")</f>
        <v>#VALUE!</v>
      </c>
      <c r="GK143" t="e">
        <f>AND(Sheet1!G1924,"AAAAADv//MA=")</f>
        <v>#VALUE!</v>
      </c>
      <c r="GL143" t="e">
        <f>AND(Sheet1!H1924,"AAAAADv//ME=")</f>
        <v>#VALUE!</v>
      </c>
      <c r="GM143" t="e">
        <f>AND(Sheet1!I1924,"AAAAADv//MI=")</f>
        <v>#VALUE!</v>
      </c>
      <c r="GN143" t="e">
        <f>AND(Sheet1!J1924,"AAAAADv//MM=")</f>
        <v>#VALUE!</v>
      </c>
      <c r="GO143" t="e">
        <f>AND(Sheet1!K1924,"AAAAADv//MQ=")</f>
        <v>#VALUE!</v>
      </c>
      <c r="GP143" t="e">
        <f>AND(Sheet1!L1924,"AAAAADv//MU=")</f>
        <v>#VALUE!</v>
      </c>
      <c r="GQ143" t="e">
        <f>AND(Sheet1!M1924,"AAAAADv//MY=")</f>
        <v>#VALUE!</v>
      </c>
      <c r="GR143" t="e">
        <f>AND(Sheet1!N1924,"AAAAADv//Mc=")</f>
        <v>#VALUE!</v>
      </c>
      <c r="GS143" t="e">
        <f>AND(Sheet1!#REF!,"AAAAADv//Mg=")</f>
        <v>#REF!</v>
      </c>
      <c r="GT143" t="e">
        <f>AND(Sheet1!#REF!,"AAAAADv//Mk=")</f>
        <v>#REF!</v>
      </c>
      <c r="GU143" t="e">
        <f>AND(Sheet1!#REF!,"AAAAADv//Mo=")</f>
        <v>#REF!</v>
      </c>
      <c r="GV143" t="e">
        <f>AND(Sheet1!#REF!,"AAAAADv//Ms=")</f>
        <v>#REF!</v>
      </c>
      <c r="GW143">
        <f>IF(Sheet1!1925:1925,"AAAAADv//Mw=",0)</f>
        <v>0</v>
      </c>
      <c r="GX143" t="e">
        <f>AND(Sheet1!A1925,"AAAAADv//M0=")</f>
        <v>#VALUE!</v>
      </c>
      <c r="GY143" t="e">
        <f>AND(Sheet1!B1925,"AAAAADv//M4=")</f>
        <v>#VALUE!</v>
      </c>
      <c r="GZ143" t="e">
        <f>AND(Sheet1!C1925,"AAAAADv//M8=")</f>
        <v>#VALUE!</v>
      </c>
      <c r="HA143" t="e">
        <f>AND(Sheet1!D1925,"AAAAADv//NA=")</f>
        <v>#VALUE!</v>
      </c>
      <c r="HB143" t="e">
        <f>AND(Sheet1!E1925,"AAAAADv//NE=")</f>
        <v>#VALUE!</v>
      </c>
      <c r="HC143" t="e">
        <f>AND(Sheet1!F1925,"AAAAADv//NI=")</f>
        <v>#VALUE!</v>
      </c>
      <c r="HD143" t="e">
        <f>AND(Sheet1!G1925,"AAAAADv//NM=")</f>
        <v>#VALUE!</v>
      </c>
      <c r="HE143" t="e">
        <f>AND(Sheet1!H1925,"AAAAADv//NQ=")</f>
        <v>#VALUE!</v>
      </c>
      <c r="HF143" t="e">
        <f>AND(Sheet1!I1925,"AAAAADv//NU=")</f>
        <v>#VALUE!</v>
      </c>
      <c r="HG143" t="e">
        <f>AND(Sheet1!J1925,"AAAAADv//NY=")</f>
        <v>#VALUE!</v>
      </c>
      <c r="HH143" t="e">
        <f>AND(Sheet1!K1925,"AAAAADv//Nc=")</f>
        <v>#VALUE!</v>
      </c>
      <c r="HI143" t="e">
        <f>AND(Sheet1!L1925,"AAAAADv//Ng=")</f>
        <v>#VALUE!</v>
      </c>
      <c r="HJ143" t="e">
        <f>AND(Sheet1!M1925,"AAAAADv//Nk=")</f>
        <v>#VALUE!</v>
      </c>
      <c r="HK143" t="e">
        <f>AND(Sheet1!N1925,"AAAAADv//No=")</f>
        <v>#VALUE!</v>
      </c>
      <c r="HL143" t="e">
        <f>AND(Sheet1!#REF!,"AAAAADv//Ns=")</f>
        <v>#REF!</v>
      </c>
      <c r="HM143" t="e">
        <f>AND(Sheet1!#REF!,"AAAAADv//Nw=")</f>
        <v>#REF!</v>
      </c>
      <c r="HN143" t="e">
        <f>AND(Sheet1!#REF!,"AAAAADv//N0=")</f>
        <v>#REF!</v>
      </c>
      <c r="HO143" t="e">
        <f>AND(Sheet1!#REF!,"AAAAADv//N4=")</f>
        <v>#REF!</v>
      </c>
      <c r="HP143">
        <f>IF(Sheet1!1926:1926,"AAAAADv//N8=",0)</f>
        <v>0</v>
      </c>
      <c r="HQ143" t="e">
        <f>AND(Sheet1!A1926,"AAAAADv//OA=")</f>
        <v>#VALUE!</v>
      </c>
      <c r="HR143" t="e">
        <f>AND(Sheet1!B1926,"AAAAADv//OE=")</f>
        <v>#VALUE!</v>
      </c>
      <c r="HS143" t="e">
        <f>AND(Sheet1!C1926,"AAAAADv//OI=")</f>
        <v>#VALUE!</v>
      </c>
      <c r="HT143" t="e">
        <f>AND(Sheet1!D1926,"AAAAADv//OM=")</f>
        <v>#VALUE!</v>
      </c>
      <c r="HU143" t="e">
        <f>AND(Sheet1!E1926,"AAAAADv//OQ=")</f>
        <v>#VALUE!</v>
      </c>
      <c r="HV143" t="e">
        <f>AND(Sheet1!F1926,"AAAAADv//OU=")</f>
        <v>#VALUE!</v>
      </c>
      <c r="HW143" t="e">
        <f>AND(Sheet1!G1926,"AAAAADv//OY=")</f>
        <v>#VALUE!</v>
      </c>
      <c r="HX143" t="e">
        <f>AND(Sheet1!H1926,"AAAAADv//Oc=")</f>
        <v>#VALUE!</v>
      </c>
      <c r="HY143" t="e">
        <f>AND(Sheet1!I1926,"AAAAADv//Og=")</f>
        <v>#VALUE!</v>
      </c>
      <c r="HZ143" t="e">
        <f>AND(Sheet1!J1926,"AAAAADv//Ok=")</f>
        <v>#VALUE!</v>
      </c>
      <c r="IA143" t="e">
        <f>AND(Sheet1!K1926,"AAAAADv//Oo=")</f>
        <v>#VALUE!</v>
      </c>
      <c r="IB143" t="e">
        <f>AND(Sheet1!L1926,"AAAAADv//Os=")</f>
        <v>#VALUE!</v>
      </c>
      <c r="IC143" t="e">
        <f>AND(Sheet1!M1926,"AAAAADv//Ow=")</f>
        <v>#VALUE!</v>
      </c>
      <c r="ID143" t="e">
        <f>AND(Sheet1!N1926,"AAAAADv//O0=")</f>
        <v>#VALUE!</v>
      </c>
      <c r="IE143" t="e">
        <f>AND(Sheet1!#REF!,"AAAAADv//O4=")</f>
        <v>#REF!</v>
      </c>
      <c r="IF143" t="e">
        <f>AND(Sheet1!#REF!,"AAAAADv//O8=")</f>
        <v>#REF!</v>
      </c>
      <c r="IG143" t="e">
        <f>AND(Sheet1!#REF!,"AAAAADv//PA=")</f>
        <v>#REF!</v>
      </c>
      <c r="IH143" t="e">
        <f>AND(Sheet1!#REF!,"AAAAADv//PE=")</f>
        <v>#REF!</v>
      </c>
      <c r="II143">
        <f>IF(Sheet1!1927:1927,"AAAAADv//PI=",0)</f>
        <v>0</v>
      </c>
      <c r="IJ143" t="e">
        <f>AND(Sheet1!A1927,"AAAAADv//PM=")</f>
        <v>#VALUE!</v>
      </c>
      <c r="IK143" t="e">
        <f>AND(Sheet1!B1927,"AAAAADv//PQ=")</f>
        <v>#VALUE!</v>
      </c>
      <c r="IL143" t="e">
        <f>AND(Sheet1!C1927,"AAAAADv//PU=")</f>
        <v>#VALUE!</v>
      </c>
      <c r="IM143" t="e">
        <f>AND(Sheet1!D1927,"AAAAADv//PY=")</f>
        <v>#VALUE!</v>
      </c>
      <c r="IN143" t="e">
        <f>AND(Sheet1!E1927,"AAAAADv//Pc=")</f>
        <v>#VALUE!</v>
      </c>
      <c r="IO143" t="e">
        <f>AND(Sheet1!F1927,"AAAAADv//Pg=")</f>
        <v>#VALUE!</v>
      </c>
      <c r="IP143" t="e">
        <f>AND(Sheet1!G1927,"AAAAADv//Pk=")</f>
        <v>#VALUE!</v>
      </c>
      <c r="IQ143" t="e">
        <f>AND(Sheet1!H1927,"AAAAADv//Po=")</f>
        <v>#VALUE!</v>
      </c>
      <c r="IR143" t="e">
        <f>AND(Sheet1!I1927,"AAAAADv//Ps=")</f>
        <v>#VALUE!</v>
      </c>
      <c r="IS143" t="e">
        <f>AND(Sheet1!J1927,"AAAAADv//Pw=")</f>
        <v>#VALUE!</v>
      </c>
      <c r="IT143" t="e">
        <f>AND(Sheet1!K1927,"AAAAADv//P0=")</f>
        <v>#VALUE!</v>
      </c>
      <c r="IU143" t="e">
        <f>AND(Sheet1!L1927,"AAAAADv//P4=")</f>
        <v>#VALUE!</v>
      </c>
      <c r="IV143" t="e">
        <f>AND(Sheet1!M1927,"AAAAADv//P8=")</f>
        <v>#VALUE!</v>
      </c>
    </row>
    <row r="144" spans="1:256" x14ac:dyDescent="0.2">
      <c r="A144" t="e">
        <f>AND(Sheet1!N1927,"AAAAAHpvjQA=")</f>
        <v>#VALUE!</v>
      </c>
      <c r="B144" t="e">
        <f>AND(Sheet1!#REF!,"AAAAAHpvjQE=")</f>
        <v>#REF!</v>
      </c>
      <c r="C144" t="e">
        <f>AND(Sheet1!#REF!,"AAAAAHpvjQI=")</f>
        <v>#REF!</v>
      </c>
      <c r="D144" t="e">
        <f>AND(Sheet1!#REF!,"AAAAAHpvjQM=")</f>
        <v>#REF!</v>
      </c>
      <c r="E144" t="e">
        <f>AND(Sheet1!#REF!,"AAAAAHpvjQQ=")</f>
        <v>#REF!</v>
      </c>
      <c r="F144" t="e">
        <f>IF(Sheet1!1928:1928,"AAAAAHpvjQU=",0)</f>
        <v>#VALUE!</v>
      </c>
      <c r="G144" t="e">
        <f>AND(Sheet1!A1928,"AAAAAHpvjQY=")</f>
        <v>#VALUE!</v>
      </c>
      <c r="H144" t="e">
        <f>AND(Sheet1!B1928,"AAAAAHpvjQc=")</f>
        <v>#VALUE!</v>
      </c>
      <c r="I144" t="e">
        <f>AND(Sheet1!C1928,"AAAAAHpvjQg=")</f>
        <v>#VALUE!</v>
      </c>
      <c r="J144" t="e">
        <f>AND(Sheet1!D1928,"AAAAAHpvjQk=")</f>
        <v>#VALUE!</v>
      </c>
      <c r="K144" t="e">
        <f>AND(Sheet1!E1928,"AAAAAHpvjQo=")</f>
        <v>#VALUE!</v>
      </c>
      <c r="L144" t="e">
        <f>AND(Sheet1!F1928,"AAAAAHpvjQs=")</f>
        <v>#VALUE!</v>
      </c>
      <c r="M144" t="e">
        <f>AND(Sheet1!G1928,"AAAAAHpvjQw=")</f>
        <v>#VALUE!</v>
      </c>
      <c r="N144" t="e">
        <f>AND(Sheet1!H1928,"AAAAAHpvjQ0=")</f>
        <v>#VALUE!</v>
      </c>
      <c r="O144" t="e">
        <f>AND(Sheet1!I1928,"AAAAAHpvjQ4=")</f>
        <v>#VALUE!</v>
      </c>
      <c r="P144" t="e">
        <f>AND(Sheet1!J1928,"AAAAAHpvjQ8=")</f>
        <v>#VALUE!</v>
      </c>
      <c r="Q144" t="e">
        <f>AND(Sheet1!K1928,"AAAAAHpvjRA=")</f>
        <v>#VALUE!</v>
      </c>
      <c r="R144" t="e">
        <f>AND(Sheet1!L1928,"AAAAAHpvjRE=")</f>
        <v>#VALUE!</v>
      </c>
      <c r="S144" t="e">
        <f>AND(Sheet1!M1928,"AAAAAHpvjRI=")</f>
        <v>#VALUE!</v>
      </c>
      <c r="T144" t="e">
        <f>AND(Sheet1!N1928,"AAAAAHpvjRM=")</f>
        <v>#VALUE!</v>
      </c>
      <c r="U144" t="e">
        <f>AND(Sheet1!#REF!,"AAAAAHpvjRQ=")</f>
        <v>#REF!</v>
      </c>
      <c r="V144" t="e">
        <f>AND(Sheet1!#REF!,"AAAAAHpvjRU=")</f>
        <v>#REF!</v>
      </c>
      <c r="W144" t="e">
        <f>AND(Sheet1!#REF!,"AAAAAHpvjRY=")</f>
        <v>#REF!</v>
      </c>
      <c r="X144" t="e">
        <f>AND(Sheet1!#REF!,"AAAAAHpvjRc=")</f>
        <v>#REF!</v>
      </c>
      <c r="Y144">
        <f>IF(Sheet1!1929:1929,"AAAAAHpvjRg=",0)</f>
        <v>0</v>
      </c>
      <c r="Z144" t="e">
        <f>AND(Sheet1!A1929,"AAAAAHpvjRk=")</f>
        <v>#VALUE!</v>
      </c>
      <c r="AA144" t="e">
        <f>AND(Sheet1!B1929,"AAAAAHpvjRo=")</f>
        <v>#VALUE!</v>
      </c>
      <c r="AB144" t="e">
        <f>AND(Sheet1!C1929,"AAAAAHpvjRs=")</f>
        <v>#VALUE!</v>
      </c>
      <c r="AC144" t="e">
        <f>AND(Sheet1!D1929,"AAAAAHpvjRw=")</f>
        <v>#VALUE!</v>
      </c>
      <c r="AD144" t="e">
        <f>AND(Sheet1!E1929,"AAAAAHpvjR0=")</f>
        <v>#VALUE!</v>
      </c>
      <c r="AE144" t="e">
        <f>AND(Sheet1!F1929,"AAAAAHpvjR4=")</f>
        <v>#VALUE!</v>
      </c>
      <c r="AF144" t="e">
        <f>AND(Sheet1!G1929,"AAAAAHpvjR8=")</f>
        <v>#VALUE!</v>
      </c>
      <c r="AG144" t="e">
        <f>AND(Sheet1!H1929,"AAAAAHpvjSA=")</f>
        <v>#VALUE!</v>
      </c>
      <c r="AH144" t="e">
        <f>AND(Sheet1!I1929,"AAAAAHpvjSE=")</f>
        <v>#VALUE!</v>
      </c>
      <c r="AI144" t="e">
        <f>AND(Sheet1!J1929,"AAAAAHpvjSI=")</f>
        <v>#VALUE!</v>
      </c>
      <c r="AJ144" t="e">
        <f>AND(Sheet1!K1929,"AAAAAHpvjSM=")</f>
        <v>#VALUE!</v>
      </c>
      <c r="AK144" t="e">
        <f>AND(Sheet1!L1929,"AAAAAHpvjSQ=")</f>
        <v>#VALUE!</v>
      </c>
      <c r="AL144" t="e">
        <f>AND(Sheet1!M1929,"AAAAAHpvjSU=")</f>
        <v>#VALUE!</v>
      </c>
      <c r="AM144" t="e">
        <f>AND(Sheet1!N1929,"AAAAAHpvjSY=")</f>
        <v>#VALUE!</v>
      </c>
      <c r="AN144" t="e">
        <f>AND(Sheet1!#REF!,"AAAAAHpvjSc=")</f>
        <v>#REF!</v>
      </c>
      <c r="AO144" t="e">
        <f>AND(Sheet1!#REF!,"AAAAAHpvjSg=")</f>
        <v>#REF!</v>
      </c>
      <c r="AP144" t="e">
        <f>AND(Sheet1!#REF!,"AAAAAHpvjSk=")</f>
        <v>#REF!</v>
      </c>
      <c r="AQ144" t="e">
        <f>AND(Sheet1!#REF!,"AAAAAHpvjSo=")</f>
        <v>#REF!</v>
      </c>
      <c r="AR144">
        <f>IF(Sheet1!1930:1930,"AAAAAHpvjSs=",0)</f>
        <v>0</v>
      </c>
      <c r="AS144" t="e">
        <f>AND(Sheet1!A1930,"AAAAAHpvjSw=")</f>
        <v>#VALUE!</v>
      </c>
      <c r="AT144" t="e">
        <f>AND(Sheet1!B1930,"AAAAAHpvjS0=")</f>
        <v>#VALUE!</v>
      </c>
      <c r="AU144" t="e">
        <f>AND(Sheet1!C1930,"AAAAAHpvjS4=")</f>
        <v>#VALUE!</v>
      </c>
      <c r="AV144" t="e">
        <f>AND(Sheet1!D1930,"AAAAAHpvjS8=")</f>
        <v>#VALUE!</v>
      </c>
      <c r="AW144" t="e">
        <f>AND(Sheet1!E1930,"AAAAAHpvjTA=")</f>
        <v>#VALUE!</v>
      </c>
      <c r="AX144" t="e">
        <f>AND(Sheet1!F1930,"AAAAAHpvjTE=")</f>
        <v>#VALUE!</v>
      </c>
      <c r="AY144" t="e">
        <f>AND(Sheet1!G1930,"AAAAAHpvjTI=")</f>
        <v>#VALUE!</v>
      </c>
      <c r="AZ144" t="e">
        <f>AND(Sheet1!H1930,"AAAAAHpvjTM=")</f>
        <v>#VALUE!</v>
      </c>
      <c r="BA144" t="e">
        <f>AND(Sheet1!I1930,"AAAAAHpvjTQ=")</f>
        <v>#VALUE!</v>
      </c>
      <c r="BB144" t="e">
        <f>AND(Sheet1!J1930,"AAAAAHpvjTU=")</f>
        <v>#VALUE!</v>
      </c>
      <c r="BC144" t="e">
        <f>AND(Sheet1!K1930,"AAAAAHpvjTY=")</f>
        <v>#VALUE!</v>
      </c>
      <c r="BD144" t="e">
        <f>AND(Sheet1!L1930,"AAAAAHpvjTc=")</f>
        <v>#VALUE!</v>
      </c>
      <c r="BE144" t="e">
        <f>AND(Sheet1!M1930,"AAAAAHpvjTg=")</f>
        <v>#VALUE!</v>
      </c>
      <c r="BF144" t="e">
        <f>AND(Sheet1!N1930,"AAAAAHpvjTk=")</f>
        <v>#VALUE!</v>
      </c>
      <c r="BG144" t="e">
        <f>AND(Sheet1!#REF!,"AAAAAHpvjTo=")</f>
        <v>#REF!</v>
      </c>
      <c r="BH144" t="e">
        <f>AND(Sheet1!#REF!,"AAAAAHpvjTs=")</f>
        <v>#REF!</v>
      </c>
      <c r="BI144" t="e">
        <f>AND(Sheet1!#REF!,"AAAAAHpvjTw=")</f>
        <v>#REF!</v>
      </c>
      <c r="BJ144" t="e">
        <f>AND(Sheet1!#REF!,"AAAAAHpvjT0=")</f>
        <v>#REF!</v>
      </c>
      <c r="BK144">
        <f>IF(Sheet1!1931:1931,"AAAAAHpvjT4=",0)</f>
        <v>0</v>
      </c>
      <c r="BL144" t="e">
        <f>AND(Sheet1!A1931,"AAAAAHpvjT8=")</f>
        <v>#VALUE!</v>
      </c>
      <c r="BM144" t="e">
        <f>AND(Sheet1!B1931,"AAAAAHpvjUA=")</f>
        <v>#VALUE!</v>
      </c>
      <c r="BN144" t="e">
        <f>AND(Sheet1!C1931,"AAAAAHpvjUE=")</f>
        <v>#VALUE!</v>
      </c>
      <c r="BO144" t="e">
        <f>AND(Sheet1!D1931,"AAAAAHpvjUI=")</f>
        <v>#VALUE!</v>
      </c>
      <c r="BP144" t="e">
        <f>AND(Sheet1!E1931,"AAAAAHpvjUM=")</f>
        <v>#VALUE!</v>
      </c>
      <c r="BQ144" t="e">
        <f>AND(Sheet1!F1931,"AAAAAHpvjUQ=")</f>
        <v>#VALUE!</v>
      </c>
      <c r="BR144" t="e">
        <f>AND(Sheet1!G1931,"AAAAAHpvjUU=")</f>
        <v>#VALUE!</v>
      </c>
      <c r="BS144" t="e">
        <f>AND(Sheet1!H1931,"AAAAAHpvjUY=")</f>
        <v>#VALUE!</v>
      </c>
      <c r="BT144" t="e">
        <f>AND(Sheet1!I1931,"AAAAAHpvjUc=")</f>
        <v>#VALUE!</v>
      </c>
      <c r="BU144" t="e">
        <f>AND(Sheet1!J1931,"AAAAAHpvjUg=")</f>
        <v>#VALUE!</v>
      </c>
      <c r="BV144" t="e">
        <f>AND(Sheet1!K1931,"AAAAAHpvjUk=")</f>
        <v>#VALUE!</v>
      </c>
      <c r="BW144" t="e">
        <f>AND(Sheet1!L1931,"AAAAAHpvjUo=")</f>
        <v>#VALUE!</v>
      </c>
      <c r="BX144" t="e">
        <f>AND(Sheet1!M1931,"AAAAAHpvjUs=")</f>
        <v>#VALUE!</v>
      </c>
      <c r="BY144" t="e">
        <f>AND(Sheet1!N1931,"AAAAAHpvjUw=")</f>
        <v>#VALUE!</v>
      </c>
      <c r="BZ144" t="e">
        <f>AND(Sheet1!#REF!,"AAAAAHpvjU0=")</f>
        <v>#REF!</v>
      </c>
      <c r="CA144" t="e">
        <f>AND(Sheet1!#REF!,"AAAAAHpvjU4=")</f>
        <v>#REF!</v>
      </c>
      <c r="CB144" t="e">
        <f>AND(Sheet1!#REF!,"AAAAAHpvjU8=")</f>
        <v>#REF!</v>
      </c>
      <c r="CC144" t="e">
        <f>AND(Sheet1!#REF!,"AAAAAHpvjVA=")</f>
        <v>#REF!</v>
      </c>
      <c r="CD144">
        <f>IF(Sheet1!1932:1932,"AAAAAHpvjVE=",0)</f>
        <v>0</v>
      </c>
      <c r="CE144" t="e">
        <f>AND(Sheet1!A1932,"AAAAAHpvjVI=")</f>
        <v>#VALUE!</v>
      </c>
      <c r="CF144" t="e">
        <f>AND(Sheet1!B1932,"AAAAAHpvjVM=")</f>
        <v>#VALUE!</v>
      </c>
      <c r="CG144" t="e">
        <f>AND(Sheet1!C1932,"AAAAAHpvjVQ=")</f>
        <v>#VALUE!</v>
      </c>
      <c r="CH144" t="e">
        <f>AND(Sheet1!D1932,"AAAAAHpvjVU=")</f>
        <v>#VALUE!</v>
      </c>
      <c r="CI144" t="e">
        <f>AND(Sheet1!E1932,"AAAAAHpvjVY=")</f>
        <v>#VALUE!</v>
      </c>
      <c r="CJ144" t="e">
        <f>AND(Sheet1!F1932,"AAAAAHpvjVc=")</f>
        <v>#VALUE!</v>
      </c>
      <c r="CK144" t="e">
        <f>AND(Sheet1!G1932,"AAAAAHpvjVg=")</f>
        <v>#VALUE!</v>
      </c>
      <c r="CL144" t="e">
        <f>AND(Sheet1!H1932,"AAAAAHpvjVk=")</f>
        <v>#VALUE!</v>
      </c>
      <c r="CM144" t="e">
        <f>AND(Sheet1!I1932,"AAAAAHpvjVo=")</f>
        <v>#VALUE!</v>
      </c>
      <c r="CN144" t="e">
        <f>AND(Sheet1!J1932,"AAAAAHpvjVs=")</f>
        <v>#VALUE!</v>
      </c>
      <c r="CO144" t="e">
        <f>AND(Sheet1!K1932,"AAAAAHpvjVw=")</f>
        <v>#VALUE!</v>
      </c>
      <c r="CP144" t="e">
        <f>AND(Sheet1!L1932,"AAAAAHpvjV0=")</f>
        <v>#VALUE!</v>
      </c>
      <c r="CQ144" t="e">
        <f>AND(Sheet1!M1932,"AAAAAHpvjV4=")</f>
        <v>#VALUE!</v>
      </c>
      <c r="CR144" t="e">
        <f>AND(Sheet1!N1932,"AAAAAHpvjV8=")</f>
        <v>#VALUE!</v>
      </c>
      <c r="CS144" t="e">
        <f>AND(Sheet1!#REF!,"AAAAAHpvjWA=")</f>
        <v>#REF!</v>
      </c>
      <c r="CT144" t="e">
        <f>AND(Sheet1!#REF!,"AAAAAHpvjWE=")</f>
        <v>#REF!</v>
      </c>
      <c r="CU144" t="e">
        <f>AND(Sheet1!#REF!,"AAAAAHpvjWI=")</f>
        <v>#REF!</v>
      </c>
      <c r="CV144" t="e">
        <f>AND(Sheet1!#REF!,"AAAAAHpvjWM=")</f>
        <v>#REF!</v>
      </c>
      <c r="CW144">
        <f>IF(Sheet1!1933:1933,"AAAAAHpvjWQ=",0)</f>
        <v>0</v>
      </c>
      <c r="CX144" t="e">
        <f>AND(Sheet1!A1933,"AAAAAHpvjWU=")</f>
        <v>#VALUE!</v>
      </c>
      <c r="CY144" t="e">
        <f>AND(Sheet1!B1933,"AAAAAHpvjWY=")</f>
        <v>#VALUE!</v>
      </c>
      <c r="CZ144" t="e">
        <f>AND(Sheet1!C1933,"AAAAAHpvjWc=")</f>
        <v>#VALUE!</v>
      </c>
      <c r="DA144" t="e">
        <f>AND(Sheet1!D1933,"AAAAAHpvjWg=")</f>
        <v>#VALUE!</v>
      </c>
      <c r="DB144" t="e">
        <f>AND(Sheet1!E1933,"AAAAAHpvjWk=")</f>
        <v>#VALUE!</v>
      </c>
      <c r="DC144" t="e">
        <f>AND(Sheet1!F1933,"AAAAAHpvjWo=")</f>
        <v>#VALUE!</v>
      </c>
      <c r="DD144" t="e">
        <f>AND(Sheet1!G1933,"AAAAAHpvjWs=")</f>
        <v>#VALUE!</v>
      </c>
      <c r="DE144" t="e">
        <f>AND(Sheet1!H1933,"AAAAAHpvjWw=")</f>
        <v>#VALUE!</v>
      </c>
      <c r="DF144" t="e">
        <f>AND(Sheet1!I1933,"AAAAAHpvjW0=")</f>
        <v>#VALUE!</v>
      </c>
      <c r="DG144" t="e">
        <f>AND(Sheet1!J1933,"AAAAAHpvjW4=")</f>
        <v>#VALUE!</v>
      </c>
      <c r="DH144" t="e">
        <f>AND(Sheet1!K1933,"AAAAAHpvjW8=")</f>
        <v>#VALUE!</v>
      </c>
      <c r="DI144" t="e">
        <f>AND(Sheet1!L1933,"AAAAAHpvjXA=")</f>
        <v>#VALUE!</v>
      </c>
      <c r="DJ144" t="e">
        <f>AND(Sheet1!M1933,"AAAAAHpvjXE=")</f>
        <v>#VALUE!</v>
      </c>
      <c r="DK144" t="e">
        <f>AND(Sheet1!N1933,"AAAAAHpvjXI=")</f>
        <v>#VALUE!</v>
      </c>
      <c r="DL144" t="e">
        <f>AND(Sheet1!#REF!,"AAAAAHpvjXM=")</f>
        <v>#REF!</v>
      </c>
      <c r="DM144" t="e">
        <f>AND(Sheet1!#REF!,"AAAAAHpvjXQ=")</f>
        <v>#REF!</v>
      </c>
      <c r="DN144" t="e">
        <f>AND(Sheet1!#REF!,"AAAAAHpvjXU=")</f>
        <v>#REF!</v>
      </c>
      <c r="DO144" t="e">
        <f>AND(Sheet1!#REF!,"AAAAAHpvjXY=")</f>
        <v>#REF!</v>
      </c>
      <c r="DP144">
        <f>IF(Sheet1!1934:1934,"AAAAAHpvjXc=",0)</f>
        <v>0</v>
      </c>
      <c r="DQ144" t="e">
        <f>AND(Sheet1!A1934,"AAAAAHpvjXg=")</f>
        <v>#VALUE!</v>
      </c>
      <c r="DR144" t="e">
        <f>AND(Sheet1!B1934,"AAAAAHpvjXk=")</f>
        <v>#VALUE!</v>
      </c>
      <c r="DS144" t="e">
        <f>AND(Sheet1!C1934,"AAAAAHpvjXo=")</f>
        <v>#VALUE!</v>
      </c>
      <c r="DT144" t="e">
        <f>AND(Sheet1!D1934,"AAAAAHpvjXs=")</f>
        <v>#VALUE!</v>
      </c>
      <c r="DU144" t="e">
        <f>AND(Sheet1!E1934,"AAAAAHpvjXw=")</f>
        <v>#VALUE!</v>
      </c>
      <c r="DV144" t="e">
        <f>AND(Sheet1!F1934,"AAAAAHpvjX0=")</f>
        <v>#VALUE!</v>
      </c>
      <c r="DW144" t="e">
        <f>AND(Sheet1!G1934,"AAAAAHpvjX4=")</f>
        <v>#VALUE!</v>
      </c>
      <c r="DX144" t="e">
        <f>AND(Sheet1!H1934,"AAAAAHpvjX8=")</f>
        <v>#VALUE!</v>
      </c>
      <c r="DY144" t="e">
        <f>AND(Sheet1!I1934,"AAAAAHpvjYA=")</f>
        <v>#VALUE!</v>
      </c>
      <c r="DZ144" t="e">
        <f>AND(Sheet1!J1934,"AAAAAHpvjYE=")</f>
        <v>#VALUE!</v>
      </c>
      <c r="EA144" t="e">
        <f>AND(Sheet1!K1934,"AAAAAHpvjYI=")</f>
        <v>#VALUE!</v>
      </c>
      <c r="EB144" t="e">
        <f>AND(Sheet1!L1934,"AAAAAHpvjYM=")</f>
        <v>#VALUE!</v>
      </c>
      <c r="EC144" t="e">
        <f>AND(Sheet1!M1934,"AAAAAHpvjYQ=")</f>
        <v>#VALUE!</v>
      </c>
      <c r="ED144" t="e">
        <f>AND(Sheet1!N1934,"AAAAAHpvjYU=")</f>
        <v>#VALUE!</v>
      </c>
      <c r="EE144" t="e">
        <f>AND(Sheet1!#REF!,"AAAAAHpvjYY=")</f>
        <v>#REF!</v>
      </c>
      <c r="EF144" t="e">
        <f>AND(Sheet1!#REF!,"AAAAAHpvjYc=")</f>
        <v>#REF!</v>
      </c>
      <c r="EG144" t="e">
        <f>AND(Sheet1!#REF!,"AAAAAHpvjYg=")</f>
        <v>#REF!</v>
      </c>
      <c r="EH144" t="e">
        <f>AND(Sheet1!#REF!,"AAAAAHpvjYk=")</f>
        <v>#REF!</v>
      </c>
      <c r="EI144">
        <f>IF(Sheet1!1935:1935,"AAAAAHpvjYo=",0)</f>
        <v>0</v>
      </c>
      <c r="EJ144" t="e">
        <f>AND(Sheet1!A1935,"AAAAAHpvjYs=")</f>
        <v>#VALUE!</v>
      </c>
      <c r="EK144" t="e">
        <f>AND(Sheet1!B1935,"AAAAAHpvjYw=")</f>
        <v>#VALUE!</v>
      </c>
      <c r="EL144" t="e">
        <f>AND(Sheet1!C1935,"AAAAAHpvjY0=")</f>
        <v>#VALUE!</v>
      </c>
      <c r="EM144" t="e">
        <f>AND(Sheet1!D1935,"AAAAAHpvjY4=")</f>
        <v>#VALUE!</v>
      </c>
      <c r="EN144" t="e">
        <f>AND(Sheet1!E1935,"AAAAAHpvjY8=")</f>
        <v>#VALUE!</v>
      </c>
      <c r="EO144" t="e">
        <f>AND(Sheet1!F1935,"AAAAAHpvjZA=")</f>
        <v>#VALUE!</v>
      </c>
      <c r="EP144" t="e">
        <f>AND(Sheet1!G1935,"AAAAAHpvjZE=")</f>
        <v>#VALUE!</v>
      </c>
      <c r="EQ144" t="e">
        <f>AND(Sheet1!H1935,"AAAAAHpvjZI=")</f>
        <v>#VALUE!</v>
      </c>
      <c r="ER144" t="e">
        <f>AND(Sheet1!I1935,"AAAAAHpvjZM=")</f>
        <v>#VALUE!</v>
      </c>
      <c r="ES144" t="e">
        <f>AND(Sheet1!J1935,"AAAAAHpvjZQ=")</f>
        <v>#VALUE!</v>
      </c>
      <c r="ET144" t="e">
        <f>AND(Sheet1!K1935,"AAAAAHpvjZU=")</f>
        <v>#VALUE!</v>
      </c>
      <c r="EU144" t="e">
        <f>AND(Sheet1!L1935,"AAAAAHpvjZY=")</f>
        <v>#VALUE!</v>
      </c>
      <c r="EV144" t="e">
        <f>AND(Sheet1!M1935,"AAAAAHpvjZc=")</f>
        <v>#VALUE!</v>
      </c>
      <c r="EW144" t="e">
        <f>AND(Sheet1!N1935,"AAAAAHpvjZg=")</f>
        <v>#VALUE!</v>
      </c>
      <c r="EX144" t="e">
        <f>AND(Sheet1!#REF!,"AAAAAHpvjZk=")</f>
        <v>#REF!</v>
      </c>
      <c r="EY144" t="e">
        <f>AND(Sheet1!#REF!,"AAAAAHpvjZo=")</f>
        <v>#REF!</v>
      </c>
      <c r="EZ144" t="e">
        <f>AND(Sheet1!#REF!,"AAAAAHpvjZs=")</f>
        <v>#REF!</v>
      </c>
      <c r="FA144" t="e">
        <f>AND(Sheet1!#REF!,"AAAAAHpvjZw=")</f>
        <v>#REF!</v>
      </c>
      <c r="FB144">
        <f>IF(Sheet1!1936:1936,"AAAAAHpvjZ0=",0)</f>
        <v>0</v>
      </c>
      <c r="FC144" t="e">
        <f>AND(Sheet1!A1936,"AAAAAHpvjZ4=")</f>
        <v>#VALUE!</v>
      </c>
      <c r="FD144" t="e">
        <f>AND(Sheet1!B1936,"AAAAAHpvjZ8=")</f>
        <v>#VALUE!</v>
      </c>
      <c r="FE144" t="e">
        <f>AND(Sheet1!C1936,"AAAAAHpvjaA=")</f>
        <v>#VALUE!</v>
      </c>
      <c r="FF144" t="e">
        <f>AND(Sheet1!D1936,"AAAAAHpvjaE=")</f>
        <v>#VALUE!</v>
      </c>
      <c r="FG144" t="e">
        <f>AND(Sheet1!E1936,"AAAAAHpvjaI=")</f>
        <v>#VALUE!</v>
      </c>
      <c r="FH144" t="e">
        <f>AND(Sheet1!F1936,"AAAAAHpvjaM=")</f>
        <v>#VALUE!</v>
      </c>
      <c r="FI144" t="e">
        <f>AND(Sheet1!G1936,"AAAAAHpvjaQ=")</f>
        <v>#VALUE!</v>
      </c>
      <c r="FJ144" t="e">
        <f>AND(Sheet1!H1936,"AAAAAHpvjaU=")</f>
        <v>#VALUE!</v>
      </c>
      <c r="FK144" t="e">
        <f>AND(Sheet1!I1936,"AAAAAHpvjaY=")</f>
        <v>#VALUE!</v>
      </c>
      <c r="FL144" t="e">
        <f>AND(Sheet1!J1936,"AAAAAHpvjac=")</f>
        <v>#VALUE!</v>
      </c>
      <c r="FM144" t="e">
        <f>AND(Sheet1!K1936,"AAAAAHpvjag=")</f>
        <v>#VALUE!</v>
      </c>
      <c r="FN144" t="e">
        <f>AND(Sheet1!L1936,"AAAAAHpvjak=")</f>
        <v>#VALUE!</v>
      </c>
      <c r="FO144" t="e">
        <f>AND(Sheet1!M1936,"AAAAAHpvjao=")</f>
        <v>#VALUE!</v>
      </c>
      <c r="FP144" t="e">
        <f>AND(Sheet1!N1936,"AAAAAHpvjas=")</f>
        <v>#VALUE!</v>
      </c>
      <c r="FQ144" t="e">
        <f>AND(Sheet1!#REF!,"AAAAAHpvjaw=")</f>
        <v>#REF!</v>
      </c>
      <c r="FR144" t="e">
        <f>AND(Sheet1!#REF!,"AAAAAHpvja0=")</f>
        <v>#REF!</v>
      </c>
      <c r="FS144" t="e">
        <f>AND(Sheet1!#REF!,"AAAAAHpvja4=")</f>
        <v>#REF!</v>
      </c>
      <c r="FT144" t="e">
        <f>AND(Sheet1!#REF!,"AAAAAHpvja8=")</f>
        <v>#REF!</v>
      </c>
      <c r="FU144">
        <f>IF(Sheet1!1937:1937,"AAAAAHpvjbA=",0)</f>
        <v>0</v>
      </c>
      <c r="FV144" t="e">
        <f>AND(Sheet1!A1937,"AAAAAHpvjbE=")</f>
        <v>#VALUE!</v>
      </c>
      <c r="FW144" t="e">
        <f>AND(Sheet1!B1937,"AAAAAHpvjbI=")</f>
        <v>#VALUE!</v>
      </c>
      <c r="FX144" t="e">
        <f>AND(Sheet1!C1937,"AAAAAHpvjbM=")</f>
        <v>#VALUE!</v>
      </c>
      <c r="FY144" t="e">
        <f>AND(Sheet1!D1937,"AAAAAHpvjbQ=")</f>
        <v>#VALUE!</v>
      </c>
      <c r="FZ144" t="e">
        <f>AND(Sheet1!E1937,"AAAAAHpvjbU=")</f>
        <v>#VALUE!</v>
      </c>
      <c r="GA144" t="e">
        <f>AND(Sheet1!F1937,"AAAAAHpvjbY=")</f>
        <v>#VALUE!</v>
      </c>
      <c r="GB144" t="e">
        <f>AND(Sheet1!G1937,"AAAAAHpvjbc=")</f>
        <v>#VALUE!</v>
      </c>
      <c r="GC144" t="e">
        <f>AND(Sheet1!H1937,"AAAAAHpvjbg=")</f>
        <v>#VALUE!</v>
      </c>
      <c r="GD144" t="e">
        <f>AND(Sheet1!I1937,"AAAAAHpvjbk=")</f>
        <v>#VALUE!</v>
      </c>
      <c r="GE144" t="e">
        <f>AND(Sheet1!J1937,"AAAAAHpvjbo=")</f>
        <v>#VALUE!</v>
      </c>
      <c r="GF144" t="e">
        <f>AND(Sheet1!K1937,"AAAAAHpvjbs=")</f>
        <v>#VALUE!</v>
      </c>
      <c r="GG144" t="e">
        <f>AND(Sheet1!L1937,"AAAAAHpvjbw=")</f>
        <v>#VALUE!</v>
      </c>
      <c r="GH144" t="e">
        <f>AND(Sheet1!M1937,"AAAAAHpvjb0=")</f>
        <v>#VALUE!</v>
      </c>
      <c r="GI144" t="e">
        <f>AND(Sheet1!N1937,"AAAAAHpvjb4=")</f>
        <v>#VALUE!</v>
      </c>
      <c r="GJ144" t="e">
        <f>AND(Sheet1!#REF!,"AAAAAHpvjb8=")</f>
        <v>#REF!</v>
      </c>
      <c r="GK144" t="e">
        <f>AND(Sheet1!#REF!,"AAAAAHpvjcA=")</f>
        <v>#REF!</v>
      </c>
      <c r="GL144" t="e">
        <f>AND(Sheet1!#REF!,"AAAAAHpvjcE=")</f>
        <v>#REF!</v>
      </c>
      <c r="GM144" t="e">
        <f>AND(Sheet1!#REF!,"AAAAAHpvjcI=")</f>
        <v>#REF!</v>
      </c>
      <c r="GN144">
        <f>IF(Sheet1!1938:1938,"AAAAAHpvjcM=",0)</f>
        <v>0</v>
      </c>
      <c r="GO144" t="e">
        <f>AND(Sheet1!A1938,"AAAAAHpvjcQ=")</f>
        <v>#VALUE!</v>
      </c>
      <c r="GP144" t="e">
        <f>AND(Sheet1!B1938,"AAAAAHpvjcU=")</f>
        <v>#VALUE!</v>
      </c>
      <c r="GQ144" t="e">
        <f>AND(Sheet1!C1938,"AAAAAHpvjcY=")</f>
        <v>#VALUE!</v>
      </c>
      <c r="GR144" t="e">
        <f>AND(Sheet1!D1938,"AAAAAHpvjcc=")</f>
        <v>#VALUE!</v>
      </c>
      <c r="GS144" t="e">
        <f>AND(Sheet1!E1938,"AAAAAHpvjcg=")</f>
        <v>#VALUE!</v>
      </c>
      <c r="GT144" t="e">
        <f>AND(Sheet1!F1938,"AAAAAHpvjck=")</f>
        <v>#VALUE!</v>
      </c>
      <c r="GU144" t="e">
        <f>AND(Sheet1!G1938,"AAAAAHpvjco=")</f>
        <v>#VALUE!</v>
      </c>
      <c r="GV144" t="e">
        <f>AND(Sheet1!H1938,"AAAAAHpvjcs=")</f>
        <v>#VALUE!</v>
      </c>
      <c r="GW144" t="e">
        <f>AND(Sheet1!I1938,"AAAAAHpvjcw=")</f>
        <v>#VALUE!</v>
      </c>
      <c r="GX144" t="e">
        <f>AND(Sheet1!J1938,"AAAAAHpvjc0=")</f>
        <v>#VALUE!</v>
      </c>
      <c r="GY144" t="e">
        <f>AND(Sheet1!K1938,"AAAAAHpvjc4=")</f>
        <v>#VALUE!</v>
      </c>
      <c r="GZ144" t="e">
        <f>AND(Sheet1!L1938,"AAAAAHpvjc8=")</f>
        <v>#VALUE!</v>
      </c>
      <c r="HA144" t="e">
        <f>AND(Sheet1!M1938,"AAAAAHpvjdA=")</f>
        <v>#VALUE!</v>
      </c>
      <c r="HB144" t="e">
        <f>AND(Sheet1!N1938,"AAAAAHpvjdE=")</f>
        <v>#VALUE!</v>
      </c>
      <c r="HC144" t="e">
        <f>AND(Sheet1!#REF!,"AAAAAHpvjdI=")</f>
        <v>#REF!</v>
      </c>
      <c r="HD144" t="e">
        <f>AND(Sheet1!#REF!,"AAAAAHpvjdM=")</f>
        <v>#REF!</v>
      </c>
      <c r="HE144" t="e">
        <f>AND(Sheet1!#REF!,"AAAAAHpvjdQ=")</f>
        <v>#REF!</v>
      </c>
      <c r="HF144" t="e">
        <f>AND(Sheet1!#REF!,"AAAAAHpvjdU=")</f>
        <v>#REF!</v>
      </c>
      <c r="HG144">
        <f>IF(Sheet1!1939:1939,"AAAAAHpvjdY=",0)</f>
        <v>0</v>
      </c>
      <c r="HH144" t="e">
        <f>AND(Sheet1!A1939,"AAAAAHpvjdc=")</f>
        <v>#VALUE!</v>
      </c>
      <c r="HI144" t="e">
        <f>AND(Sheet1!B1939,"AAAAAHpvjdg=")</f>
        <v>#VALUE!</v>
      </c>
      <c r="HJ144" t="e">
        <f>AND(Sheet1!C1939,"AAAAAHpvjdk=")</f>
        <v>#VALUE!</v>
      </c>
      <c r="HK144" t="e">
        <f>AND(Sheet1!D1939,"AAAAAHpvjdo=")</f>
        <v>#VALUE!</v>
      </c>
      <c r="HL144" t="e">
        <f>AND(Sheet1!E1939,"AAAAAHpvjds=")</f>
        <v>#VALUE!</v>
      </c>
      <c r="HM144" t="e">
        <f>AND(Sheet1!F1939,"AAAAAHpvjdw=")</f>
        <v>#VALUE!</v>
      </c>
      <c r="HN144" t="e">
        <f>AND(Sheet1!G1939,"AAAAAHpvjd0=")</f>
        <v>#VALUE!</v>
      </c>
      <c r="HO144" t="e">
        <f>AND(Sheet1!H1939,"AAAAAHpvjd4=")</f>
        <v>#VALUE!</v>
      </c>
      <c r="HP144" t="e">
        <f>AND(Sheet1!I1939,"AAAAAHpvjd8=")</f>
        <v>#VALUE!</v>
      </c>
      <c r="HQ144" t="e">
        <f>AND(Sheet1!J1939,"AAAAAHpvjeA=")</f>
        <v>#VALUE!</v>
      </c>
      <c r="HR144" t="e">
        <f>AND(Sheet1!K1939,"AAAAAHpvjeE=")</f>
        <v>#VALUE!</v>
      </c>
      <c r="HS144" t="e">
        <f>AND(Sheet1!L1939,"AAAAAHpvjeI=")</f>
        <v>#VALUE!</v>
      </c>
      <c r="HT144" t="e">
        <f>AND(Sheet1!M1939,"AAAAAHpvjeM=")</f>
        <v>#VALUE!</v>
      </c>
      <c r="HU144" t="e">
        <f>AND(Sheet1!N1939,"AAAAAHpvjeQ=")</f>
        <v>#VALUE!</v>
      </c>
      <c r="HV144" t="e">
        <f>AND(Sheet1!#REF!,"AAAAAHpvjeU=")</f>
        <v>#REF!</v>
      </c>
      <c r="HW144" t="e">
        <f>AND(Sheet1!#REF!,"AAAAAHpvjeY=")</f>
        <v>#REF!</v>
      </c>
      <c r="HX144" t="e">
        <f>AND(Sheet1!#REF!,"AAAAAHpvjec=")</f>
        <v>#REF!</v>
      </c>
      <c r="HY144" t="e">
        <f>AND(Sheet1!#REF!,"AAAAAHpvjeg=")</f>
        <v>#REF!</v>
      </c>
      <c r="HZ144">
        <f>IF(Sheet1!1940:1940,"AAAAAHpvjek=",0)</f>
        <v>0</v>
      </c>
      <c r="IA144" t="e">
        <f>AND(Sheet1!A1940,"AAAAAHpvjeo=")</f>
        <v>#VALUE!</v>
      </c>
      <c r="IB144" t="e">
        <f>AND(Sheet1!B1940,"AAAAAHpvjes=")</f>
        <v>#VALUE!</v>
      </c>
      <c r="IC144" t="e">
        <f>AND(Sheet1!C1940,"AAAAAHpvjew=")</f>
        <v>#VALUE!</v>
      </c>
      <c r="ID144" t="e">
        <f>AND(Sheet1!D1940,"AAAAAHpvje0=")</f>
        <v>#VALUE!</v>
      </c>
      <c r="IE144" t="e">
        <f>AND(Sheet1!E1940,"AAAAAHpvje4=")</f>
        <v>#VALUE!</v>
      </c>
      <c r="IF144" t="e">
        <f>AND(Sheet1!F1940,"AAAAAHpvje8=")</f>
        <v>#VALUE!</v>
      </c>
      <c r="IG144" t="e">
        <f>AND(Sheet1!G1940,"AAAAAHpvjfA=")</f>
        <v>#VALUE!</v>
      </c>
      <c r="IH144" t="e">
        <f>AND(Sheet1!H1940,"AAAAAHpvjfE=")</f>
        <v>#VALUE!</v>
      </c>
      <c r="II144" t="e">
        <f>AND(Sheet1!I1940,"AAAAAHpvjfI=")</f>
        <v>#VALUE!</v>
      </c>
      <c r="IJ144" t="e">
        <f>AND(Sheet1!J1940,"AAAAAHpvjfM=")</f>
        <v>#VALUE!</v>
      </c>
      <c r="IK144" t="e">
        <f>AND(Sheet1!K1940,"AAAAAHpvjfQ=")</f>
        <v>#VALUE!</v>
      </c>
      <c r="IL144" t="e">
        <f>AND(Sheet1!L1940,"AAAAAHpvjfU=")</f>
        <v>#VALUE!</v>
      </c>
      <c r="IM144" t="e">
        <f>AND(Sheet1!M1940,"AAAAAHpvjfY=")</f>
        <v>#VALUE!</v>
      </c>
      <c r="IN144" t="e">
        <f>AND(Sheet1!N1940,"AAAAAHpvjfc=")</f>
        <v>#VALUE!</v>
      </c>
      <c r="IO144" t="e">
        <f>AND(Sheet1!#REF!,"AAAAAHpvjfg=")</f>
        <v>#REF!</v>
      </c>
      <c r="IP144" t="e">
        <f>AND(Sheet1!#REF!,"AAAAAHpvjfk=")</f>
        <v>#REF!</v>
      </c>
      <c r="IQ144" t="e">
        <f>AND(Sheet1!#REF!,"AAAAAHpvjfo=")</f>
        <v>#REF!</v>
      </c>
      <c r="IR144" t="e">
        <f>AND(Sheet1!#REF!,"AAAAAHpvjfs=")</f>
        <v>#REF!</v>
      </c>
      <c r="IS144">
        <f>IF(Sheet1!1941:1941,"AAAAAHpvjfw=",0)</f>
        <v>0</v>
      </c>
      <c r="IT144" t="e">
        <f>AND(Sheet1!A1941,"AAAAAHpvjf0=")</f>
        <v>#VALUE!</v>
      </c>
      <c r="IU144" t="e">
        <f>AND(Sheet1!B1941,"AAAAAHpvjf4=")</f>
        <v>#VALUE!</v>
      </c>
      <c r="IV144" t="e">
        <f>AND(Sheet1!C1941,"AAAAAHpvjf8=")</f>
        <v>#VALUE!</v>
      </c>
    </row>
    <row r="145" spans="1:256" x14ac:dyDescent="0.2">
      <c r="A145" t="e">
        <f>AND(Sheet1!D1941,"AAAAAF3v9AA=")</f>
        <v>#VALUE!</v>
      </c>
      <c r="B145" t="e">
        <f>AND(Sheet1!E1941,"AAAAAF3v9AE=")</f>
        <v>#VALUE!</v>
      </c>
      <c r="C145" t="e">
        <f>AND(Sheet1!F1941,"AAAAAF3v9AI=")</f>
        <v>#VALUE!</v>
      </c>
      <c r="D145" t="e">
        <f>AND(Sheet1!G1941,"AAAAAF3v9AM=")</f>
        <v>#VALUE!</v>
      </c>
      <c r="E145" t="e">
        <f>AND(Sheet1!H1941,"AAAAAF3v9AQ=")</f>
        <v>#VALUE!</v>
      </c>
      <c r="F145" t="e">
        <f>AND(Sheet1!I1941,"AAAAAF3v9AU=")</f>
        <v>#VALUE!</v>
      </c>
      <c r="G145" t="e">
        <f>AND(Sheet1!J1941,"AAAAAF3v9AY=")</f>
        <v>#VALUE!</v>
      </c>
      <c r="H145" t="e">
        <f>AND(Sheet1!K1941,"AAAAAF3v9Ac=")</f>
        <v>#VALUE!</v>
      </c>
      <c r="I145" t="e">
        <f>AND(Sheet1!L1941,"AAAAAF3v9Ag=")</f>
        <v>#VALUE!</v>
      </c>
      <c r="J145" t="e">
        <f>AND(Sheet1!M1941,"AAAAAF3v9Ak=")</f>
        <v>#VALUE!</v>
      </c>
      <c r="K145" t="e">
        <f>AND(Sheet1!N1941,"AAAAAF3v9Ao=")</f>
        <v>#VALUE!</v>
      </c>
      <c r="L145" t="e">
        <f>AND(Sheet1!#REF!,"AAAAAF3v9As=")</f>
        <v>#REF!</v>
      </c>
      <c r="M145" t="e">
        <f>AND(Sheet1!#REF!,"AAAAAF3v9Aw=")</f>
        <v>#REF!</v>
      </c>
      <c r="N145" t="e">
        <f>AND(Sheet1!#REF!,"AAAAAF3v9A0=")</f>
        <v>#REF!</v>
      </c>
      <c r="O145" t="e">
        <f>AND(Sheet1!#REF!,"AAAAAF3v9A4=")</f>
        <v>#REF!</v>
      </c>
      <c r="P145">
        <f>IF(Sheet1!1942:1942,"AAAAAF3v9A8=",0)</f>
        <v>0</v>
      </c>
      <c r="Q145" t="e">
        <f>AND(Sheet1!A1942,"AAAAAF3v9BA=")</f>
        <v>#VALUE!</v>
      </c>
      <c r="R145" t="e">
        <f>AND(Sheet1!B1942,"AAAAAF3v9BE=")</f>
        <v>#VALUE!</v>
      </c>
      <c r="S145" t="e">
        <f>AND(Sheet1!C1942,"AAAAAF3v9BI=")</f>
        <v>#VALUE!</v>
      </c>
      <c r="T145" t="e">
        <f>AND(Sheet1!D1942,"AAAAAF3v9BM=")</f>
        <v>#VALUE!</v>
      </c>
      <c r="U145" t="e">
        <f>AND(Sheet1!E1942,"AAAAAF3v9BQ=")</f>
        <v>#VALUE!</v>
      </c>
      <c r="V145" t="e">
        <f>AND(Sheet1!F1942,"AAAAAF3v9BU=")</f>
        <v>#VALUE!</v>
      </c>
      <c r="W145" t="e">
        <f>AND(Sheet1!G1942,"AAAAAF3v9BY=")</f>
        <v>#VALUE!</v>
      </c>
      <c r="X145" t="e">
        <f>AND(Sheet1!H1942,"AAAAAF3v9Bc=")</f>
        <v>#VALUE!</v>
      </c>
      <c r="Y145" t="e">
        <f>AND(Sheet1!I1942,"AAAAAF3v9Bg=")</f>
        <v>#VALUE!</v>
      </c>
      <c r="Z145" t="e">
        <f>AND(Sheet1!J1942,"AAAAAF3v9Bk=")</f>
        <v>#VALUE!</v>
      </c>
      <c r="AA145" t="e">
        <f>AND(Sheet1!K1942,"AAAAAF3v9Bo=")</f>
        <v>#VALUE!</v>
      </c>
      <c r="AB145" t="e">
        <f>AND(Sheet1!L1942,"AAAAAF3v9Bs=")</f>
        <v>#VALUE!</v>
      </c>
      <c r="AC145" t="e">
        <f>AND(Sheet1!M1942,"AAAAAF3v9Bw=")</f>
        <v>#VALUE!</v>
      </c>
      <c r="AD145" t="e">
        <f>AND(Sheet1!N1942,"AAAAAF3v9B0=")</f>
        <v>#VALUE!</v>
      </c>
      <c r="AE145" t="e">
        <f>AND(Sheet1!#REF!,"AAAAAF3v9B4=")</f>
        <v>#REF!</v>
      </c>
      <c r="AF145" t="e">
        <f>AND(Sheet1!#REF!,"AAAAAF3v9B8=")</f>
        <v>#REF!</v>
      </c>
      <c r="AG145" t="e">
        <f>AND(Sheet1!#REF!,"AAAAAF3v9CA=")</f>
        <v>#REF!</v>
      </c>
      <c r="AH145" t="e">
        <f>AND(Sheet1!#REF!,"AAAAAF3v9CE=")</f>
        <v>#REF!</v>
      </c>
      <c r="AI145">
        <f>IF(Sheet1!1943:1943,"AAAAAF3v9CI=",0)</f>
        <v>0</v>
      </c>
      <c r="AJ145" t="e">
        <f>AND(Sheet1!A1943,"AAAAAF3v9CM=")</f>
        <v>#VALUE!</v>
      </c>
      <c r="AK145" t="e">
        <f>AND(Sheet1!B1943,"AAAAAF3v9CQ=")</f>
        <v>#VALUE!</v>
      </c>
      <c r="AL145" t="e">
        <f>AND(Sheet1!C1943,"AAAAAF3v9CU=")</f>
        <v>#VALUE!</v>
      </c>
      <c r="AM145" t="e">
        <f>AND(Sheet1!D1943,"AAAAAF3v9CY=")</f>
        <v>#VALUE!</v>
      </c>
      <c r="AN145" t="e">
        <f>AND(Sheet1!E1943,"AAAAAF3v9Cc=")</f>
        <v>#VALUE!</v>
      </c>
      <c r="AO145" t="e">
        <f>AND(Sheet1!F1943,"AAAAAF3v9Cg=")</f>
        <v>#VALUE!</v>
      </c>
      <c r="AP145" t="e">
        <f>AND(Sheet1!G1943,"AAAAAF3v9Ck=")</f>
        <v>#VALUE!</v>
      </c>
      <c r="AQ145" t="e">
        <f>AND(Sheet1!H1943,"AAAAAF3v9Co=")</f>
        <v>#VALUE!</v>
      </c>
      <c r="AR145" t="e">
        <f>AND(Sheet1!I1943,"AAAAAF3v9Cs=")</f>
        <v>#VALUE!</v>
      </c>
      <c r="AS145" t="e">
        <f>AND(Sheet1!J1943,"AAAAAF3v9Cw=")</f>
        <v>#VALUE!</v>
      </c>
      <c r="AT145" t="e">
        <f>AND(Sheet1!K1943,"AAAAAF3v9C0=")</f>
        <v>#VALUE!</v>
      </c>
      <c r="AU145" t="e">
        <f>AND(Sheet1!L1943,"AAAAAF3v9C4=")</f>
        <v>#VALUE!</v>
      </c>
      <c r="AV145" t="e">
        <f>AND(Sheet1!M1943,"AAAAAF3v9C8=")</f>
        <v>#VALUE!</v>
      </c>
      <c r="AW145" t="e">
        <f>AND(Sheet1!N1943,"AAAAAF3v9DA=")</f>
        <v>#VALUE!</v>
      </c>
      <c r="AX145" t="e">
        <f>AND(Sheet1!#REF!,"AAAAAF3v9DE=")</f>
        <v>#REF!</v>
      </c>
      <c r="AY145" t="e">
        <f>AND(Sheet1!#REF!,"AAAAAF3v9DI=")</f>
        <v>#REF!</v>
      </c>
      <c r="AZ145" t="e">
        <f>AND(Sheet1!#REF!,"AAAAAF3v9DM=")</f>
        <v>#REF!</v>
      </c>
      <c r="BA145" t="e">
        <f>AND(Sheet1!#REF!,"AAAAAF3v9DQ=")</f>
        <v>#REF!</v>
      </c>
      <c r="BB145">
        <f>IF(Sheet1!1944:1944,"AAAAAF3v9DU=",0)</f>
        <v>0</v>
      </c>
      <c r="BC145" t="e">
        <f>AND(Sheet1!A1944,"AAAAAF3v9DY=")</f>
        <v>#VALUE!</v>
      </c>
      <c r="BD145" t="e">
        <f>AND(Sheet1!B1944,"AAAAAF3v9Dc=")</f>
        <v>#VALUE!</v>
      </c>
      <c r="BE145" t="e">
        <f>AND(Sheet1!C1944,"AAAAAF3v9Dg=")</f>
        <v>#VALUE!</v>
      </c>
      <c r="BF145" t="e">
        <f>AND(Sheet1!D1944,"AAAAAF3v9Dk=")</f>
        <v>#VALUE!</v>
      </c>
      <c r="BG145" t="e">
        <f>AND(Sheet1!E1944,"AAAAAF3v9Do=")</f>
        <v>#VALUE!</v>
      </c>
      <c r="BH145" t="e">
        <f>AND(Sheet1!F1944,"AAAAAF3v9Ds=")</f>
        <v>#VALUE!</v>
      </c>
      <c r="BI145" t="e">
        <f>AND(Sheet1!G1944,"AAAAAF3v9Dw=")</f>
        <v>#VALUE!</v>
      </c>
      <c r="BJ145" t="e">
        <f>AND(Sheet1!H1944,"AAAAAF3v9D0=")</f>
        <v>#VALUE!</v>
      </c>
      <c r="BK145" t="e">
        <f>AND(Sheet1!I1944,"AAAAAF3v9D4=")</f>
        <v>#VALUE!</v>
      </c>
      <c r="BL145" t="e">
        <f>AND(Sheet1!J1944,"AAAAAF3v9D8=")</f>
        <v>#VALUE!</v>
      </c>
      <c r="BM145" t="e">
        <f>AND(Sheet1!K1944,"AAAAAF3v9EA=")</f>
        <v>#VALUE!</v>
      </c>
      <c r="BN145" t="e">
        <f>AND(Sheet1!L1944,"AAAAAF3v9EE=")</f>
        <v>#VALUE!</v>
      </c>
      <c r="BO145" t="e">
        <f>AND(Sheet1!M1944,"AAAAAF3v9EI=")</f>
        <v>#VALUE!</v>
      </c>
      <c r="BP145" t="e">
        <f>AND(Sheet1!N1944,"AAAAAF3v9EM=")</f>
        <v>#VALUE!</v>
      </c>
      <c r="BQ145" t="e">
        <f>AND(Sheet1!#REF!,"AAAAAF3v9EQ=")</f>
        <v>#REF!</v>
      </c>
      <c r="BR145" t="e">
        <f>AND(Sheet1!#REF!,"AAAAAF3v9EU=")</f>
        <v>#REF!</v>
      </c>
      <c r="BS145" t="e">
        <f>AND(Sheet1!#REF!,"AAAAAF3v9EY=")</f>
        <v>#REF!</v>
      </c>
      <c r="BT145" t="e">
        <f>AND(Sheet1!#REF!,"AAAAAF3v9Ec=")</f>
        <v>#REF!</v>
      </c>
      <c r="BU145">
        <f>IF(Sheet1!1945:1945,"AAAAAF3v9Eg=",0)</f>
        <v>0</v>
      </c>
      <c r="BV145" t="e">
        <f>AND(Sheet1!A1945,"AAAAAF3v9Ek=")</f>
        <v>#VALUE!</v>
      </c>
      <c r="BW145" t="e">
        <f>AND(Sheet1!B1945,"AAAAAF3v9Eo=")</f>
        <v>#VALUE!</v>
      </c>
      <c r="BX145" t="e">
        <f>AND(Sheet1!C1945,"AAAAAF3v9Es=")</f>
        <v>#VALUE!</v>
      </c>
      <c r="BY145" t="e">
        <f>AND(Sheet1!D1945,"AAAAAF3v9Ew=")</f>
        <v>#VALUE!</v>
      </c>
      <c r="BZ145" t="e">
        <f>AND(Sheet1!E1945,"AAAAAF3v9E0=")</f>
        <v>#VALUE!</v>
      </c>
      <c r="CA145" t="e">
        <f>AND(Sheet1!F1945,"AAAAAF3v9E4=")</f>
        <v>#VALUE!</v>
      </c>
      <c r="CB145" t="e">
        <f>AND(Sheet1!G1945,"AAAAAF3v9E8=")</f>
        <v>#VALUE!</v>
      </c>
      <c r="CC145" t="e">
        <f>AND(Sheet1!H1945,"AAAAAF3v9FA=")</f>
        <v>#VALUE!</v>
      </c>
      <c r="CD145" t="e">
        <f>AND(Sheet1!I1945,"AAAAAF3v9FE=")</f>
        <v>#VALUE!</v>
      </c>
      <c r="CE145" t="e">
        <f>AND(Sheet1!J1945,"AAAAAF3v9FI=")</f>
        <v>#VALUE!</v>
      </c>
      <c r="CF145" t="e">
        <f>AND(Sheet1!K1945,"AAAAAF3v9FM=")</f>
        <v>#VALUE!</v>
      </c>
      <c r="CG145" t="e">
        <f>AND(Sheet1!L1945,"AAAAAF3v9FQ=")</f>
        <v>#VALUE!</v>
      </c>
      <c r="CH145" t="e">
        <f>AND(Sheet1!M1945,"AAAAAF3v9FU=")</f>
        <v>#VALUE!</v>
      </c>
      <c r="CI145" t="e">
        <f>AND(Sheet1!N1945,"AAAAAF3v9FY=")</f>
        <v>#VALUE!</v>
      </c>
      <c r="CJ145" t="e">
        <f>AND(Sheet1!#REF!,"AAAAAF3v9Fc=")</f>
        <v>#REF!</v>
      </c>
      <c r="CK145" t="e">
        <f>AND(Sheet1!#REF!,"AAAAAF3v9Fg=")</f>
        <v>#REF!</v>
      </c>
      <c r="CL145" t="e">
        <f>AND(Sheet1!#REF!,"AAAAAF3v9Fk=")</f>
        <v>#REF!</v>
      </c>
      <c r="CM145" t="e">
        <f>AND(Sheet1!#REF!,"AAAAAF3v9Fo=")</f>
        <v>#REF!</v>
      </c>
      <c r="CN145">
        <f>IF(Sheet1!1946:1946,"AAAAAF3v9Fs=",0)</f>
        <v>0</v>
      </c>
      <c r="CO145" t="e">
        <f>AND(Sheet1!A1946,"AAAAAF3v9Fw=")</f>
        <v>#VALUE!</v>
      </c>
      <c r="CP145" t="e">
        <f>AND(Sheet1!B1946,"AAAAAF3v9F0=")</f>
        <v>#VALUE!</v>
      </c>
      <c r="CQ145" t="e">
        <f>AND(Sheet1!C1946,"AAAAAF3v9F4=")</f>
        <v>#VALUE!</v>
      </c>
      <c r="CR145" t="e">
        <f>AND(Sheet1!D1946,"AAAAAF3v9F8=")</f>
        <v>#VALUE!</v>
      </c>
      <c r="CS145" t="e">
        <f>AND(Sheet1!E1946,"AAAAAF3v9GA=")</f>
        <v>#VALUE!</v>
      </c>
      <c r="CT145" t="e">
        <f>AND(Sheet1!F1946,"AAAAAF3v9GE=")</f>
        <v>#VALUE!</v>
      </c>
      <c r="CU145" t="e">
        <f>AND(Sheet1!G1946,"AAAAAF3v9GI=")</f>
        <v>#VALUE!</v>
      </c>
      <c r="CV145" t="e">
        <f>AND(Sheet1!H1946,"AAAAAF3v9GM=")</f>
        <v>#VALUE!</v>
      </c>
      <c r="CW145" t="e">
        <f>AND(Sheet1!I1946,"AAAAAF3v9GQ=")</f>
        <v>#VALUE!</v>
      </c>
      <c r="CX145" t="e">
        <f>AND(Sheet1!J1946,"AAAAAF3v9GU=")</f>
        <v>#VALUE!</v>
      </c>
      <c r="CY145" t="e">
        <f>AND(Sheet1!K1946,"AAAAAF3v9GY=")</f>
        <v>#VALUE!</v>
      </c>
      <c r="CZ145" t="e">
        <f>AND(Sheet1!L1946,"AAAAAF3v9Gc=")</f>
        <v>#VALUE!</v>
      </c>
      <c r="DA145" t="e">
        <f>AND(Sheet1!M1946,"AAAAAF3v9Gg=")</f>
        <v>#VALUE!</v>
      </c>
      <c r="DB145" t="e">
        <f>AND(Sheet1!N1946,"AAAAAF3v9Gk=")</f>
        <v>#VALUE!</v>
      </c>
      <c r="DC145" t="e">
        <f>AND(Sheet1!#REF!,"AAAAAF3v9Go=")</f>
        <v>#REF!</v>
      </c>
      <c r="DD145" t="e">
        <f>AND(Sheet1!#REF!,"AAAAAF3v9Gs=")</f>
        <v>#REF!</v>
      </c>
      <c r="DE145" t="e">
        <f>AND(Sheet1!#REF!,"AAAAAF3v9Gw=")</f>
        <v>#REF!</v>
      </c>
      <c r="DF145" t="e">
        <f>AND(Sheet1!#REF!,"AAAAAF3v9G0=")</f>
        <v>#REF!</v>
      </c>
      <c r="DG145">
        <f>IF(Sheet1!1947:1947,"AAAAAF3v9G4=",0)</f>
        <v>0</v>
      </c>
      <c r="DH145" t="e">
        <f>AND(Sheet1!A1947,"AAAAAF3v9G8=")</f>
        <v>#VALUE!</v>
      </c>
      <c r="DI145" t="e">
        <f>AND(Sheet1!B1947,"AAAAAF3v9HA=")</f>
        <v>#VALUE!</v>
      </c>
      <c r="DJ145" t="e">
        <f>AND(Sheet1!C1947,"AAAAAF3v9HE=")</f>
        <v>#VALUE!</v>
      </c>
      <c r="DK145" t="e">
        <f>AND(Sheet1!D1947,"AAAAAF3v9HI=")</f>
        <v>#VALUE!</v>
      </c>
      <c r="DL145" t="e">
        <f>AND(Sheet1!E1947,"AAAAAF3v9HM=")</f>
        <v>#VALUE!</v>
      </c>
      <c r="DM145" t="e">
        <f>AND(Sheet1!F1947,"AAAAAF3v9HQ=")</f>
        <v>#VALUE!</v>
      </c>
      <c r="DN145" t="e">
        <f>AND(Sheet1!G1947,"AAAAAF3v9HU=")</f>
        <v>#VALUE!</v>
      </c>
      <c r="DO145" t="e">
        <f>AND(Sheet1!H1947,"AAAAAF3v9HY=")</f>
        <v>#VALUE!</v>
      </c>
      <c r="DP145" t="e">
        <f>AND(Sheet1!I1947,"AAAAAF3v9Hc=")</f>
        <v>#VALUE!</v>
      </c>
      <c r="DQ145" t="e">
        <f>AND(Sheet1!J1947,"AAAAAF3v9Hg=")</f>
        <v>#VALUE!</v>
      </c>
      <c r="DR145" t="e">
        <f>AND(Sheet1!K1947,"AAAAAF3v9Hk=")</f>
        <v>#VALUE!</v>
      </c>
      <c r="DS145" t="e">
        <f>AND(Sheet1!L1947,"AAAAAF3v9Ho=")</f>
        <v>#VALUE!</v>
      </c>
      <c r="DT145" t="e">
        <f>AND(Sheet1!M1947,"AAAAAF3v9Hs=")</f>
        <v>#VALUE!</v>
      </c>
      <c r="DU145" t="e">
        <f>AND(Sheet1!N1947,"AAAAAF3v9Hw=")</f>
        <v>#VALUE!</v>
      </c>
      <c r="DV145" t="e">
        <f>AND(Sheet1!#REF!,"AAAAAF3v9H0=")</f>
        <v>#REF!</v>
      </c>
      <c r="DW145" t="e">
        <f>AND(Sheet1!#REF!,"AAAAAF3v9H4=")</f>
        <v>#REF!</v>
      </c>
      <c r="DX145" t="e">
        <f>AND(Sheet1!#REF!,"AAAAAF3v9H8=")</f>
        <v>#REF!</v>
      </c>
      <c r="DY145" t="e">
        <f>AND(Sheet1!#REF!,"AAAAAF3v9IA=")</f>
        <v>#REF!</v>
      </c>
      <c r="DZ145">
        <f>IF(Sheet1!1948:1948,"AAAAAF3v9IE=",0)</f>
        <v>0</v>
      </c>
      <c r="EA145" t="e">
        <f>AND(Sheet1!A1948,"AAAAAF3v9II=")</f>
        <v>#VALUE!</v>
      </c>
      <c r="EB145" t="e">
        <f>AND(Sheet1!B1948,"AAAAAF3v9IM=")</f>
        <v>#VALUE!</v>
      </c>
      <c r="EC145" t="e">
        <f>AND(Sheet1!C1948,"AAAAAF3v9IQ=")</f>
        <v>#VALUE!</v>
      </c>
      <c r="ED145" t="e">
        <f>AND(Sheet1!D1948,"AAAAAF3v9IU=")</f>
        <v>#VALUE!</v>
      </c>
      <c r="EE145" t="e">
        <f>AND(Sheet1!E1948,"AAAAAF3v9IY=")</f>
        <v>#VALUE!</v>
      </c>
      <c r="EF145" t="e">
        <f>AND(Sheet1!F1948,"AAAAAF3v9Ic=")</f>
        <v>#VALUE!</v>
      </c>
      <c r="EG145" t="e">
        <f>AND(Sheet1!G1948,"AAAAAF3v9Ig=")</f>
        <v>#VALUE!</v>
      </c>
      <c r="EH145" t="e">
        <f>AND(Sheet1!H1948,"AAAAAF3v9Ik=")</f>
        <v>#VALUE!</v>
      </c>
      <c r="EI145" t="e">
        <f>AND(Sheet1!I1948,"AAAAAF3v9Io=")</f>
        <v>#VALUE!</v>
      </c>
      <c r="EJ145" t="e">
        <f>AND(Sheet1!J1948,"AAAAAF3v9Is=")</f>
        <v>#VALUE!</v>
      </c>
      <c r="EK145" t="e">
        <f>AND(Sheet1!K1948,"AAAAAF3v9Iw=")</f>
        <v>#VALUE!</v>
      </c>
      <c r="EL145" t="e">
        <f>AND(Sheet1!L1948,"AAAAAF3v9I0=")</f>
        <v>#VALUE!</v>
      </c>
      <c r="EM145" t="e">
        <f>AND(Sheet1!M1948,"AAAAAF3v9I4=")</f>
        <v>#VALUE!</v>
      </c>
      <c r="EN145" t="e">
        <f>AND(Sheet1!N1948,"AAAAAF3v9I8=")</f>
        <v>#VALUE!</v>
      </c>
      <c r="EO145" t="e">
        <f>AND(Sheet1!#REF!,"AAAAAF3v9JA=")</f>
        <v>#REF!</v>
      </c>
      <c r="EP145" t="e">
        <f>AND(Sheet1!#REF!,"AAAAAF3v9JE=")</f>
        <v>#REF!</v>
      </c>
      <c r="EQ145" t="e">
        <f>AND(Sheet1!#REF!,"AAAAAF3v9JI=")</f>
        <v>#REF!</v>
      </c>
      <c r="ER145" t="e">
        <f>AND(Sheet1!#REF!,"AAAAAF3v9JM=")</f>
        <v>#REF!</v>
      </c>
      <c r="ES145">
        <f>IF(Sheet1!1949:1949,"AAAAAF3v9JQ=",0)</f>
        <v>0</v>
      </c>
      <c r="ET145" t="e">
        <f>AND(Sheet1!A1949,"AAAAAF3v9JU=")</f>
        <v>#VALUE!</v>
      </c>
      <c r="EU145" t="e">
        <f>AND(Sheet1!B1949,"AAAAAF3v9JY=")</f>
        <v>#VALUE!</v>
      </c>
      <c r="EV145" t="e">
        <f>AND(Sheet1!C1949,"AAAAAF3v9Jc=")</f>
        <v>#VALUE!</v>
      </c>
      <c r="EW145" t="e">
        <f>AND(Sheet1!D1949,"AAAAAF3v9Jg=")</f>
        <v>#VALUE!</v>
      </c>
      <c r="EX145" t="e">
        <f>AND(Sheet1!E1949,"AAAAAF3v9Jk=")</f>
        <v>#VALUE!</v>
      </c>
      <c r="EY145" t="e">
        <f>AND(Sheet1!F1949,"AAAAAF3v9Jo=")</f>
        <v>#VALUE!</v>
      </c>
      <c r="EZ145" t="e">
        <f>AND(Sheet1!G1949,"AAAAAF3v9Js=")</f>
        <v>#VALUE!</v>
      </c>
      <c r="FA145" t="e">
        <f>AND(Sheet1!H1949,"AAAAAF3v9Jw=")</f>
        <v>#VALUE!</v>
      </c>
      <c r="FB145" t="e">
        <f>AND(Sheet1!I1949,"AAAAAF3v9J0=")</f>
        <v>#VALUE!</v>
      </c>
      <c r="FC145" t="e">
        <f>AND(Sheet1!J1949,"AAAAAF3v9J4=")</f>
        <v>#VALUE!</v>
      </c>
      <c r="FD145" t="e">
        <f>AND(Sheet1!K1949,"AAAAAF3v9J8=")</f>
        <v>#VALUE!</v>
      </c>
      <c r="FE145" t="e">
        <f>AND(Sheet1!L1949,"AAAAAF3v9KA=")</f>
        <v>#VALUE!</v>
      </c>
      <c r="FF145" t="e">
        <f>AND(Sheet1!M1949,"AAAAAF3v9KE=")</f>
        <v>#VALUE!</v>
      </c>
      <c r="FG145" t="e">
        <f>AND(Sheet1!N1949,"AAAAAF3v9KI=")</f>
        <v>#VALUE!</v>
      </c>
      <c r="FH145" t="e">
        <f>AND(Sheet1!#REF!,"AAAAAF3v9KM=")</f>
        <v>#REF!</v>
      </c>
      <c r="FI145" t="e">
        <f>AND(Sheet1!#REF!,"AAAAAF3v9KQ=")</f>
        <v>#REF!</v>
      </c>
      <c r="FJ145" t="e">
        <f>AND(Sheet1!#REF!,"AAAAAF3v9KU=")</f>
        <v>#REF!</v>
      </c>
      <c r="FK145" t="e">
        <f>AND(Sheet1!#REF!,"AAAAAF3v9KY=")</f>
        <v>#REF!</v>
      </c>
      <c r="FL145">
        <f>IF(Sheet1!1950:1950,"AAAAAF3v9Kc=",0)</f>
        <v>0</v>
      </c>
      <c r="FM145" t="e">
        <f>AND(Sheet1!A1950,"AAAAAF3v9Kg=")</f>
        <v>#VALUE!</v>
      </c>
      <c r="FN145" t="e">
        <f>AND(Sheet1!B1950,"AAAAAF3v9Kk=")</f>
        <v>#VALUE!</v>
      </c>
      <c r="FO145" t="e">
        <f>AND(Sheet1!C1950,"AAAAAF3v9Ko=")</f>
        <v>#VALUE!</v>
      </c>
      <c r="FP145" t="e">
        <f>AND(Sheet1!D1950,"AAAAAF3v9Ks=")</f>
        <v>#VALUE!</v>
      </c>
      <c r="FQ145" t="e">
        <f>AND(Sheet1!E1950,"AAAAAF3v9Kw=")</f>
        <v>#VALUE!</v>
      </c>
      <c r="FR145" t="e">
        <f>AND(Sheet1!F1950,"AAAAAF3v9K0=")</f>
        <v>#VALUE!</v>
      </c>
      <c r="FS145" t="e">
        <f>AND(Sheet1!G1950,"AAAAAF3v9K4=")</f>
        <v>#VALUE!</v>
      </c>
      <c r="FT145" t="e">
        <f>AND(Sheet1!H1950,"AAAAAF3v9K8=")</f>
        <v>#VALUE!</v>
      </c>
      <c r="FU145" t="e">
        <f>AND(Sheet1!I1950,"AAAAAF3v9LA=")</f>
        <v>#VALUE!</v>
      </c>
      <c r="FV145" t="e">
        <f>AND(Sheet1!J1950,"AAAAAF3v9LE=")</f>
        <v>#VALUE!</v>
      </c>
      <c r="FW145" t="e">
        <f>AND(Sheet1!K1950,"AAAAAF3v9LI=")</f>
        <v>#VALUE!</v>
      </c>
      <c r="FX145" t="e">
        <f>AND(Sheet1!L1950,"AAAAAF3v9LM=")</f>
        <v>#VALUE!</v>
      </c>
      <c r="FY145" t="e">
        <f>AND(Sheet1!M1950,"AAAAAF3v9LQ=")</f>
        <v>#VALUE!</v>
      </c>
      <c r="FZ145" t="e">
        <f>AND(Sheet1!N1950,"AAAAAF3v9LU=")</f>
        <v>#VALUE!</v>
      </c>
      <c r="GA145" t="e">
        <f>AND(Sheet1!#REF!,"AAAAAF3v9LY=")</f>
        <v>#REF!</v>
      </c>
      <c r="GB145" t="e">
        <f>AND(Sheet1!#REF!,"AAAAAF3v9Lc=")</f>
        <v>#REF!</v>
      </c>
      <c r="GC145" t="e">
        <f>AND(Sheet1!#REF!,"AAAAAF3v9Lg=")</f>
        <v>#REF!</v>
      </c>
      <c r="GD145" t="e">
        <f>AND(Sheet1!#REF!,"AAAAAF3v9Lk=")</f>
        <v>#REF!</v>
      </c>
      <c r="GE145">
        <f>IF(Sheet1!1951:1951,"AAAAAF3v9Lo=",0)</f>
        <v>0</v>
      </c>
      <c r="GF145" t="e">
        <f>AND(Sheet1!A1951,"AAAAAF3v9Ls=")</f>
        <v>#VALUE!</v>
      </c>
      <c r="GG145" t="e">
        <f>AND(Sheet1!B1951,"AAAAAF3v9Lw=")</f>
        <v>#VALUE!</v>
      </c>
      <c r="GH145" t="e">
        <f>AND(Sheet1!C1951,"AAAAAF3v9L0=")</f>
        <v>#VALUE!</v>
      </c>
      <c r="GI145" t="e">
        <f>AND(Sheet1!D1951,"AAAAAF3v9L4=")</f>
        <v>#VALUE!</v>
      </c>
      <c r="GJ145" t="e">
        <f>AND(Sheet1!E1951,"AAAAAF3v9L8=")</f>
        <v>#VALUE!</v>
      </c>
      <c r="GK145" t="e">
        <f>AND(Sheet1!F1951,"AAAAAF3v9MA=")</f>
        <v>#VALUE!</v>
      </c>
      <c r="GL145" t="e">
        <f>AND(Sheet1!G1951,"AAAAAF3v9ME=")</f>
        <v>#VALUE!</v>
      </c>
      <c r="GM145" t="e">
        <f>AND(Sheet1!H1951,"AAAAAF3v9MI=")</f>
        <v>#VALUE!</v>
      </c>
      <c r="GN145" t="e">
        <f>AND(Sheet1!I1951,"AAAAAF3v9MM=")</f>
        <v>#VALUE!</v>
      </c>
      <c r="GO145" t="e">
        <f>AND(Sheet1!J1951,"AAAAAF3v9MQ=")</f>
        <v>#VALUE!</v>
      </c>
      <c r="GP145" t="e">
        <f>AND(Sheet1!K1951,"AAAAAF3v9MU=")</f>
        <v>#VALUE!</v>
      </c>
      <c r="GQ145" t="e">
        <f>AND(Sheet1!L1951,"AAAAAF3v9MY=")</f>
        <v>#VALUE!</v>
      </c>
      <c r="GR145" t="e">
        <f>AND(Sheet1!M1951,"AAAAAF3v9Mc=")</f>
        <v>#VALUE!</v>
      </c>
      <c r="GS145" t="e">
        <f>AND(Sheet1!N1951,"AAAAAF3v9Mg=")</f>
        <v>#VALUE!</v>
      </c>
      <c r="GT145" t="e">
        <f>AND(Sheet1!#REF!,"AAAAAF3v9Mk=")</f>
        <v>#REF!</v>
      </c>
      <c r="GU145" t="e">
        <f>AND(Sheet1!#REF!,"AAAAAF3v9Mo=")</f>
        <v>#REF!</v>
      </c>
      <c r="GV145" t="e">
        <f>AND(Sheet1!#REF!,"AAAAAF3v9Ms=")</f>
        <v>#REF!</v>
      </c>
      <c r="GW145" t="e">
        <f>AND(Sheet1!#REF!,"AAAAAF3v9Mw=")</f>
        <v>#REF!</v>
      </c>
      <c r="GX145">
        <f>IF(Sheet1!1952:1952,"AAAAAF3v9M0=",0)</f>
        <v>0</v>
      </c>
      <c r="GY145" t="e">
        <f>AND(Sheet1!A1952,"AAAAAF3v9M4=")</f>
        <v>#VALUE!</v>
      </c>
      <c r="GZ145" t="e">
        <f>AND(Sheet1!B1952,"AAAAAF3v9M8=")</f>
        <v>#VALUE!</v>
      </c>
      <c r="HA145" t="e">
        <f>AND(Sheet1!C1952,"AAAAAF3v9NA=")</f>
        <v>#VALUE!</v>
      </c>
      <c r="HB145" t="e">
        <f>AND(Sheet1!D1952,"AAAAAF3v9NE=")</f>
        <v>#VALUE!</v>
      </c>
      <c r="HC145" t="e">
        <f>AND(Sheet1!E1952,"AAAAAF3v9NI=")</f>
        <v>#VALUE!</v>
      </c>
      <c r="HD145" t="e">
        <f>AND(Sheet1!F1952,"AAAAAF3v9NM=")</f>
        <v>#VALUE!</v>
      </c>
      <c r="HE145" t="e">
        <f>AND(Sheet1!G1952,"AAAAAF3v9NQ=")</f>
        <v>#VALUE!</v>
      </c>
      <c r="HF145" t="e">
        <f>AND(Sheet1!H1952,"AAAAAF3v9NU=")</f>
        <v>#VALUE!</v>
      </c>
      <c r="HG145" t="e">
        <f>AND(Sheet1!I1952,"AAAAAF3v9NY=")</f>
        <v>#VALUE!</v>
      </c>
      <c r="HH145" t="e">
        <f>AND(Sheet1!J1952,"AAAAAF3v9Nc=")</f>
        <v>#VALUE!</v>
      </c>
      <c r="HI145" t="e">
        <f>AND(Sheet1!K1952,"AAAAAF3v9Ng=")</f>
        <v>#VALUE!</v>
      </c>
      <c r="HJ145" t="e">
        <f>AND(Sheet1!L1952,"AAAAAF3v9Nk=")</f>
        <v>#VALUE!</v>
      </c>
      <c r="HK145" t="e">
        <f>AND(Sheet1!M1952,"AAAAAF3v9No=")</f>
        <v>#VALUE!</v>
      </c>
      <c r="HL145" t="e">
        <f>AND(Sheet1!N1952,"AAAAAF3v9Ns=")</f>
        <v>#VALUE!</v>
      </c>
      <c r="HM145" t="e">
        <f>AND(Sheet1!#REF!,"AAAAAF3v9Nw=")</f>
        <v>#REF!</v>
      </c>
      <c r="HN145" t="e">
        <f>AND(Sheet1!#REF!,"AAAAAF3v9N0=")</f>
        <v>#REF!</v>
      </c>
      <c r="HO145" t="e">
        <f>AND(Sheet1!#REF!,"AAAAAF3v9N4=")</f>
        <v>#REF!</v>
      </c>
      <c r="HP145" t="e">
        <f>AND(Sheet1!#REF!,"AAAAAF3v9N8=")</f>
        <v>#REF!</v>
      </c>
      <c r="HQ145">
        <f>IF(Sheet1!1953:1953,"AAAAAF3v9OA=",0)</f>
        <v>0</v>
      </c>
      <c r="HR145" t="e">
        <f>AND(Sheet1!A1953,"AAAAAF3v9OE=")</f>
        <v>#VALUE!</v>
      </c>
      <c r="HS145" t="e">
        <f>AND(Sheet1!B1953,"AAAAAF3v9OI=")</f>
        <v>#VALUE!</v>
      </c>
      <c r="HT145" t="e">
        <f>AND(Sheet1!C1953,"AAAAAF3v9OM=")</f>
        <v>#VALUE!</v>
      </c>
      <c r="HU145" t="e">
        <f>AND(Sheet1!D1953,"AAAAAF3v9OQ=")</f>
        <v>#VALUE!</v>
      </c>
      <c r="HV145" t="e">
        <f>AND(Sheet1!E1953,"AAAAAF3v9OU=")</f>
        <v>#VALUE!</v>
      </c>
      <c r="HW145" t="e">
        <f>AND(Sheet1!F1953,"AAAAAF3v9OY=")</f>
        <v>#VALUE!</v>
      </c>
      <c r="HX145" t="e">
        <f>AND(Sheet1!G1953,"AAAAAF3v9Oc=")</f>
        <v>#VALUE!</v>
      </c>
      <c r="HY145" t="e">
        <f>AND(Sheet1!H1953,"AAAAAF3v9Og=")</f>
        <v>#VALUE!</v>
      </c>
      <c r="HZ145" t="e">
        <f>AND(Sheet1!I1953,"AAAAAF3v9Ok=")</f>
        <v>#VALUE!</v>
      </c>
      <c r="IA145" t="e">
        <f>AND(Sheet1!J1953,"AAAAAF3v9Oo=")</f>
        <v>#VALUE!</v>
      </c>
      <c r="IB145" t="e">
        <f>AND(Sheet1!K1953,"AAAAAF3v9Os=")</f>
        <v>#VALUE!</v>
      </c>
      <c r="IC145" t="e">
        <f>AND(Sheet1!L1953,"AAAAAF3v9Ow=")</f>
        <v>#VALUE!</v>
      </c>
      <c r="ID145" t="e">
        <f>AND(Sheet1!M1953,"AAAAAF3v9O0=")</f>
        <v>#VALUE!</v>
      </c>
      <c r="IE145" t="e">
        <f>AND(Sheet1!N1953,"AAAAAF3v9O4=")</f>
        <v>#VALUE!</v>
      </c>
      <c r="IF145" t="e">
        <f>AND(Sheet1!#REF!,"AAAAAF3v9O8=")</f>
        <v>#REF!</v>
      </c>
      <c r="IG145" t="e">
        <f>AND(Sheet1!#REF!,"AAAAAF3v9PA=")</f>
        <v>#REF!</v>
      </c>
      <c r="IH145" t="e">
        <f>AND(Sheet1!#REF!,"AAAAAF3v9PE=")</f>
        <v>#REF!</v>
      </c>
      <c r="II145" t="e">
        <f>AND(Sheet1!#REF!,"AAAAAF3v9PI=")</f>
        <v>#REF!</v>
      </c>
      <c r="IJ145">
        <f>IF(Sheet1!1954:1954,"AAAAAF3v9PM=",0)</f>
        <v>0</v>
      </c>
      <c r="IK145" t="e">
        <f>AND(Sheet1!A1954,"AAAAAF3v9PQ=")</f>
        <v>#VALUE!</v>
      </c>
      <c r="IL145" t="e">
        <f>AND(Sheet1!B1954,"AAAAAF3v9PU=")</f>
        <v>#VALUE!</v>
      </c>
      <c r="IM145" t="e">
        <f>AND(Sheet1!C1954,"AAAAAF3v9PY=")</f>
        <v>#VALUE!</v>
      </c>
      <c r="IN145" t="e">
        <f>AND(Sheet1!D1954,"AAAAAF3v9Pc=")</f>
        <v>#VALUE!</v>
      </c>
      <c r="IO145" t="e">
        <f>AND(Sheet1!E1954,"AAAAAF3v9Pg=")</f>
        <v>#VALUE!</v>
      </c>
      <c r="IP145" t="e">
        <f>AND(Sheet1!F1954,"AAAAAF3v9Pk=")</f>
        <v>#VALUE!</v>
      </c>
      <c r="IQ145" t="e">
        <f>AND(Sheet1!G1954,"AAAAAF3v9Po=")</f>
        <v>#VALUE!</v>
      </c>
      <c r="IR145" t="e">
        <f>AND(Sheet1!H1954,"AAAAAF3v9Ps=")</f>
        <v>#VALUE!</v>
      </c>
      <c r="IS145" t="e">
        <f>AND(Sheet1!I1954,"AAAAAF3v9Pw=")</f>
        <v>#VALUE!</v>
      </c>
      <c r="IT145" t="e">
        <f>AND(Sheet1!J1954,"AAAAAF3v9P0=")</f>
        <v>#VALUE!</v>
      </c>
      <c r="IU145" t="e">
        <f>AND(Sheet1!K1954,"AAAAAF3v9P4=")</f>
        <v>#VALUE!</v>
      </c>
      <c r="IV145" t="e">
        <f>AND(Sheet1!L1954,"AAAAAF3v9P8=")</f>
        <v>#VALUE!</v>
      </c>
    </row>
    <row r="146" spans="1:256" x14ac:dyDescent="0.2">
      <c r="A146" t="e">
        <f>AND(Sheet1!M1954,"AAAAAGz//wA=")</f>
        <v>#VALUE!</v>
      </c>
      <c r="B146" t="e">
        <f>AND(Sheet1!N1954,"AAAAAGz//wE=")</f>
        <v>#VALUE!</v>
      </c>
      <c r="C146" t="e">
        <f>AND(Sheet1!#REF!,"AAAAAGz//wI=")</f>
        <v>#REF!</v>
      </c>
      <c r="D146" t="e">
        <f>AND(Sheet1!#REF!,"AAAAAGz//wM=")</f>
        <v>#REF!</v>
      </c>
      <c r="E146" t="e">
        <f>AND(Sheet1!#REF!,"AAAAAGz//wQ=")</f>
        <v>#REF!</v>
      </c>
      <c r="F146" t="e">
        <f>AND(Sheet1!#REF!,"AAAAAGz//wU=")</f>
        <v>#REF!</v>
      </c>
      <c r="G146" t="str">
        <f>IF(Sheet1!1955:1955,"AAAAAGz//wY=",0)</f>
        <v>AAAAAGz//wY=</v>
      </c>
      <c r="H146" t="e">
        <f>AND(Sheet1!A1955,"AAAAAGz//wc=")</f>
        <v>#VALUE!</v>
      </c>
      <c r="I146" t="e">
        <f>AND(Sheet1!B1955,"AAAAAGz//wg=")</f>
        <v>#VALUE!</v>
      </c>
      <c r="J146" t="e">
        <f>AND(Sheet1!C1955,"AAAAAGz//wk=")</f>
        <v>#VALUE!</v>
      </c>
      <c r="K146" t="e">
        <f>AND(Sheet1!D1955,"AAAAAGz//wo=")</f>
        <v>#VALUE!</v>
      </c>
      <c r="L146" t="e">
        <f>AND(Sheet1!E1955,"AAAAAGz//ws=")</f>
        <v>#VALUE!</v>
      </c>
      <c r="M146" t="e">
        <f>AND(Sheet1!F1955,"AAAAAGz//ww=")</f>
        <v>#VALUE!</v>
      </c>
      <c r="N146" t="e">
        <f>AND(Sheet1!G1955,"AAAAAGz//w0=")</f>
        <v>#VALUE!</v>
      </c>
      <c r="O146" t="e">
        <f>AND(Sheet1!H1955,"AAAAAGz//w4=")</f>
        <v>#VALUE!</v>
      </c>
      <c r="P146" t="e">
        <f>AND(Sheet1!I1955,"AAAAAGz//w8=")</f>
        <v>#VALUE!</v>
      </c>
      <c r="Q146" t="e">
        <f>AND(Sheet1!J1955,"AAAAAGz//xA=")</f>
        <v>#VALUE!</v>
      </c>
      <c r="R146" t="e">
        <f>AND(Sheet1!K1955,"AAAAAGz//xE=")</f>
        <v>#VALUE!</v>
      </c>
      <c r="S146" t="e">
        <f>AND(Sheet1!L1955,"AAAAAGz//xI=")</f>
        <v>#VALUE!</v>
      </c>
      <c r="T146" t="e">
        <f>AND(Sheet1!M1955,"AAAAAGz//xM=")</f>
        <v>#VALUE!</v>
      </c>
      <c r="U146" t="e">
        <f>AND(Sheet1!N1955,"AAAAAGz//xQ=")</f>
        <v>#VALUE!</v>
      </c>
      <c r="V146" t="e">
        <f>AND(Sheet1!#REF!,"AAAAAGz//xU=")</f>
        <v>#REF!</v>
      </c>
      <c r="W146" t="e">
        <f>AND(Sheet1!#REF!,"AAAAAGz//xY=")</f>
        <v>#REF!</v>
      </c>
      <c r="X146" t="e">
        <f>AND(Sheet1!#REF!,"AAAAAGz//xc=")</f>
        <v>#REF!</v>
      </c>
      <c r="Y146" t="e">
        <f>AND(Sheet1!#REF!,"AAAAAGz//xg=")</f>
        <v>#REF!</v>
      </c>
      <c r="Z146">
        <f>IF(Sheet1!1956:1956,"AAAAAGz//xk=",0)</f>
        <v>0</v>
      </c>
      <c r="AA146" t="e">
        <f>AND(Sheet1!A1956,"AAAAAGz//xo=")</f>
        <v>#VALUE!</v>
      </c>
      <c r="AB146" t="e">
        <f>AND(Sheet1!B1956,"AAAAAGz//xs=")</f>
        <v>#VALUE!</v>
      </c>
      <c r="AC146" t="e">
        <f>AND(Sheet1!C1956,"AAAAAGz//xw=")</f>
        <v>#VALUE!</v>
      </c>
      <c r="AD146" t="e">
        <f>AND(Sheet1!D1956,"AAAAAGz//x0=")</f>
        <v>#VALUE!</v>
      </c>
      <c r="AE146" t="e">
        <f>AND(Sheet1!E1956,"AAAAAGz//x4=")</f>
        <v>#VALUE!</v>
      </c>
      <c r="AF146" t="e">
        <f>AND(Sheet1!F1956,"AAAAAGz//x8=")</f>
        <v>#VALUE!</v>
      </c>
      <c r="AG146" t="e">
        <f>AND(Sheet1!G1956,"AAAAAGz//yA=")</f>
        <v>#VALUE!</v>
      </c>
      <c r="AH146" t="e">
        <f>AND(Sheet1!H1956,"AAAAAGz//yE=")</f>
        <v>#VALUE!</v>
      </c>
      <c r="AI146" t="e">
        <f>AND(Sheet1!I1956,"AAAAAGz//yI=")</f>
        <v>#VALUE!</v>
      </c>
      <c r="AJ146" t="e">
        <f>AND(Sheet1!J1956,"AAAAAGz//yM=")</f>
        <v>#VALUE!</v>
      </c>
      <c r="AK146" t="e">
        <f>AND(Sheet1!K1956,"AAAAAGz//yQ=")</f>
        <v>#VALUE!</v>
      </c>
      <c r="AL146" t="e">
        <f>AND(Sheet1!L1956,"AAAAAGz//yU=")</f>
        <v>#VALUE!</v>
      </c>
      <c r="AM146" t="e">
        <f>AND(Sheet1!M1956,"AAAAAGz//yY=")</f>
        <v>#VALUE!</v>
      </c>
      <c r="AN146" t="e">
        <f>AND(Sheet1!N1956,"AAAAAGz//yc=")</f>
        <v>#VALUE!</v>
      </c>
      <c r="AO146" t="e">
        <f>AND(Sheet1!#REF!,"AAAAAGz//yg=")</f>
        <v>#REF!</v>
      </c>
      <c r="AP146" t="e">
        <f>AND(Sheet1!#REF!,"AAAAAGz//yk=")</f>
        <v>#REF!</v>
      </c>
      <c r="AQ146" t="e">
        <f>AND(Sheet1!#REF!,"AAAAAGz//yo=")</f>
        <v>#REF!</v>
      </c>
      <c r="AR146" t="e">
        <f>AND(Sheet1!#REF!,"AAAAAGz//ys=")</f>
        <v>#REF!</v>
      </c>
      <c r="AS146">
        <f>IF(Sheet1!1957:1957,"AAAAAGz//yw=",0)</f>
        <v>0</v>
      </c>
      <c r="AT146" t="e">
        <f>AND(Sheet1!A1957,"AAAAAGz//y0=")</f>
        <v>#VALUE!</v>
      </c>
      <c r="AU146" t="e">
        <f>AND(Sheet1!B1957,"AAAAAGz//y4=")</f>
        <v>#VALUE!</v>
      </c>
      <c r="AV146" t="e">
        <f>AND(Sheet1!C1957,"AAAAAGz//y8=")</f>
        <v>#VALUE!</v>
      </c>
      <c r="AW146" t="e">
        <f>AND(Sheet1!D1957,"AAAAAGz//zA=")</f>
        <v>#VALUE!</v>
      </c>
      <c r="AX146" t="e">
        <f>AND(Sheet1!E1957,"AAAAAGz//zE=")</f>
        <v>#VALUE!</v>
      </c>
      <c r="AY146" t="e">
        <f>AND(Sheet1!F1957,"AAAAAGz//zI=")</f>
        <v>#VALUE!</v>
      </c>
      <c r="AZ146" t="e">
        <f>AND(Sheet1!G1957,"AAAAAGz//zM=")</f>
        <v>#VALUE!</v>
      </c>
      <c r="BA146" t="e">
        <f>AND(Sheet1!H1957,"AAAAAGz//zQ=")</f>
        <v>#VALUE!</v>
      </c>
      <c r="BB146" t="e">
        <f>AND(Sheet1!I1957,"AAAAAGz//zU=")</f>
        <v>#VALUE!</v>
      </c>
      <c r="BC146" t="e">
        <f>AND(Sheet1!J1957,"AAAAAGz//zY=")</f>
        <v>#VALUE!</v>
      </c>
      <c r="BD146" t="e">
        <f>AND(Sheet1!K1957,"AAAAAGz//zc=")</f>
        <v>#VALUE!</v>
      </c>
      <c r="BE146" t="e">
        <f>AND(Sheet1!L1957,"AAAAAGz//zg=")</f>
        <v>#VALUE!</v>
      </c>
      <c r="BF146" t="e">
        <f>AND(Sheet1!M1957,"AAAAAGz//zk=")</f>
        <v>#VALUE!</v>
      </c>
      <c r="BG146" t="e">
        <f>AND(Sheet1!N1957,"AAAAAGz//zo=")</f>
        <v>#VALUE!</v>
      </c>
      <c r="BH146" t="e">
        <f>AND(Sheet1!#REF!,"AAAAAGz//zs=")</f>
        <v>#REF!</v>
      </c>
      <c r="BI146" t="e">
        <f>AND(Sheet1!#REF!,"AAAAAGz//zw=")</f>
        <v>#REF!</v>
      </c>
      <c r="BJ146" t="e">
        <f>AND(Sheet1!#REF!,"AAAAAGz//z0=")</f>
        <v>#REF!</v>
      </c>
      <c r="BK146" t="e">
        <f>AND(Sheet1!#REF!,"AAAAAGz//z4=")</f>
        <v>#REF!</v>
      </c>
      <c r="BL146">
        <f>IF(Sheet1!1958:1958,"AAAAAGz//z8=",0)</f>
        <v>0</v>
      </c>
      <c r="BM146" t="e">
        <f>AND(Sheet1!A1958,"AAAAAGz//0A=")</f>
        <v>#VALUE!</v>
      </c>
      <c r="BN146" t="e">
        <f>AND(Sheet1!B1958,"AAAAAGz//0E=")</f>
        <v>#VALUE!</v>
      </c>
      <c r="BO146" t="e">
        <f>AND(Sheet1!C1958,"AAAAAGz//0I=")</f>
        <v>#VALUE!</v>
      </c>
      <c r="BP146" t="e">
        <f>AND(Sheet1!D1958,"AAAAAGz//0M=")</f>
        <v>#VALUE!</v>
      </c>
      <c r="BQ146" t="e">
        <f>AND(Sheet1!E1958,"AAAAAGz//0Q=")</f>
        <v>#VALUE!</v>
      </c>
      <c r="BR146" t="e">
        <f>AND(Sheet1!F1958,"AAAAAGz//0U=")</f>
        <v>#VALUE!</v>
      </c>
      <c r="BS146" t="e">
        <f>AND(Sheet1!G1958,"AAAAAGz//0Y=")</f>
        <v>#VALUE!</v>
      </c>
      <c r="BT146" t="e">
        <f>AND(Sheet1!H1958,"AAAAAGz//0c=")</f>
        <v>#VALUE!</v>
      </c>
      <c r="BU146" t="e">
        <f>AND(Sheet1!I1958,"AAAAAGz//0g=")</f>
        <v>#VALUE!</v>
      </c>
      <c r="BV146" t="e">
        <f>AND(Sheet1!J1958,"AAAAAGz//0k=")</f>
        <v>#VALUE!</v>
      </c>
      <c r="BW146" t="e">
        <f>AND(Sheet1!K1958,"AAAAAGz//0o=")</f>
        <v>#VALUE!</v>
      </c>
      <c r="BX146" t="e">
        <f>AND(Sheet1!L1958,"AAAAAGz//0s=")</f>
        <v>#VALUE!</v>
      </c>
      <c r="BY146" t="e">
        <f>AND(Sheet1!M1958,"AAAAAGz//0w=")</f>
        <v>#VALUE!</v>
      </c>
      <c r="BZ146" t="e">
        <f>AND(Sheet1!N1958,"AAAAAGz//00=")</f>
        <v>#VALUE!</v>
      </c>
      <c r="CA146" t="e">
        <f>AND(Sheet1!#REF!,"AAAAAGz//04=")</f>
        <v>#REF!</v>
      </c>
      <c r="CB146" t="e">
        <f>AND(Sheet1!#REF!,"AAAAAGz//08=")</f>
        <v>#REF!</v>
      </c>
      <c r="CC146" t="e">
        <f>AND(Sheet1!#REF!,"AAAAAGz//1A=")</f>
        <v>#REF!</v>
      </c>
      <c r="CD146" t="e">
        <f>AND(Sheet1!#REF!,"AAAAAGz//1E=")</f>
        <v>#REF!</v>
      </c>
      <c r="CE146">
        <f>IF(Sheet1!1959:1959,"AAAAAGz//1I=",0)</f>
        <v>0</v>
      </c>
      <c r="CF146" t="e">
        <f>AND(Sheet1!A1959,"AAAAAGz//1M=")</f>
        <v>#VALUE!</v>
      </c>
      <c r="CG146" t="e">
        <f>AND(Sheet1!B1959,"AAAAAGz//1Q=")</f>
        <v>#VALUE!</v>
      </c>
      <c r="CH146" t="e">
        <f>AND(Sheet1!C1959,"AAAAAGz//1U=")</f>
        <v>#VALUE!</v>
      </c>
      <c r="CI146" t="e">
        <f>AND(Sheet1!D1959,"AAAAAGz//1Y=")</f>
        <v>#VALUE!</v>
      </c>
      <c r="CJ146" t="e">
        <f>AND(Sheet1!E1959,"AAAAAGz//1c=")</f>
        <v>#VALUE!</v>
      </c>
      <c r="CK146" t="e">
        <f>AND(Sheet1!F1959,"AAAAAGz//1g=")</f>
        <v>#VALUE!</v>
      </c>
      <c r="CL146" t="e">
        <f>AND(Sheet1!G1959,"AAAAAGz//1k=")</f>
        <v>#VALUE!</v>
      </c>
      <c r="CM146" t="e">
        <f>AND(Sheet1!H1959,"AAAAAGz//1o=")</f>
        <v>#VALUE!</v>
      </c>
      <c r="CN146" t="e">
        <f>AND(Sheet1!I1959,"AAAAAGz//1s=")</f>
        <v>#VALUE!</v>
      </c>
      <c r="CO146" t="e">
        <f>AND(Sheet1!J1959,"AAAAAGz//1w=")</f>
        <v>#VALUE!</v>
      </c>
      <c r="CP146" t="e">
        <f>AND(Sheet1!K1959,"AAAAAGz//10=")</f>
        <v>#VALUE!</v>
      </c>
      <c r="CQ146" t="e">
        <f>AND(Sheet1!L1959,"AAAAAGz//14=")</f>
        <v>#VALUE!</v>
      </c>
      <c r="CR146" t="e">
        <f>AND(Sheet1!M1959,"AAAAAGz//18=")</f>
        <v>#VALUE!</v>
      </c>
      <c r="CS146" t="e">
        <f>AND(Sheet1!N1959,"AAAAAGz//2A=")</f>
        <v>#VALUE!</v>
      </c>
      <c r="CT146" t="e">
        <f>AND(Sheet1!#REF!,"AAAAAGz//2E=")</f>
        <v>#REF!</v>
      </c>
      <c r="CU146" t="e">
        <f>AND(Sheet1!#REF!,"AAAAAGz//2I=")</f>
        <v>#REF!</v>
      </c>
      <c r="CV146" t="e">
        <f>AND(Sheet1!#REF!,"AAAAAGz//2M=")</f>
        <v>#REF!</v>
      </c>
      <c r="CW146" t="e">
        <f>AND(Sheet1!#REF!,"AAAAAGz//2Q=")</f>
        <v>#REF!</v>
      </c>
      <c r="CX146">
        <f>IF(Sheet1!1960:1960,"AAAAAGz//2U=",0)</f>
        <v>0</v>
      </c>
      <c r="CY146" t="e">
        <f>AND(Sheet1!A1960,"AAAAAGz//2Y=")</f>
        <v>#VALUE!</v>
      </c>
      <c r="CZ146" t="e">
        <f>AND(Sheet1!B1960,"AAAAAGz//2c=")</f>
        <v>#VALUE!</v>
      </c>
      <c r="DA146" t="e">
        <f>AND(Sheet1!C1960,"AAAAAGz//2g=")</f>
        <v>#VALUE!</v>
      </c>
      <c r="DB146" t="e">
        <f>AND(Sheet1!D1960,"AAAAAGz//2k=")</f>
        <v>#VALUE!</v>
      </c>
      <c r="DC146" t="e">
        <f>AND(Sheet1!E1960,"AAAAAGz//2o=")</f>
        <v>#VALUE!</v>
      </c>
      <c r="DD146" t="e">
        <f>AND(Sheet1!F1960,"AAAAAGz//2s=")</f>
        <v>#VALUE!</v>
      </c>
      <c r="DE146" t="e">
        <f>AND(Sheet1!G1960,"AAAAAGz//2w=")</f>
        <v>#VALUE!</v>
      </c>
      <c r="DF146" t="e">
        <f>AND(Sheet1!H1960,"AAAAAGz//20=")</f>
        <v>#VALUE!</v>
      </c>
      <c r="DG146" t="e">
        <f>AND(Sheet1!I1960,"AAAAAGz//24=")</f>
        <v>#VALUE!</v>
      </c>
      <c r="DH146" t="e">
        <f>AND(Sheet1!J1960,"AAAAAGz//28=")</f>
        <v>#VALUE!</v>
      </c>
      <c r="DI146" t="e">
        <f>AND(Sheet1!K1960,"AAAAAGz//3A=")</f>
        <v>#VALUE!</v>
      </c>
      <c r="DJ146" t="e">
        <f>AND(Sheet1!L1960,"AAAAAGz//3E=")</f>
        <v>#VALUE!</v>
      </c>
      <c r="DK146" t="e">
        <f>AND(Sheet1!M1960,"AAAAAGz//3I=")</f>
        <v>#VALUE!</v>
      </c>
      <c r="DL146" t="e">
        <f>AND(Sheet1!N1960,"AAAAAGz//3M=")</f>
        <v>#VALUE!</v>
      </c>
      <c r="DM146" t="e">
        <f>AND(Sheet1!#REF!,"AAAAAGz//3Q=")</f>
        <v>#REF!</v>
      </c>
      <c r="DN146" t="e">
        <f>AND(Sheet1!#REF!,"AAAAAGz//3U=")</f>
        <v>#REF!</v>
      </c>
      <c r="DO146" t="e">
        <f>AND(Sheet1!#REF!,"AAAAAGz//3Y=")</f>
        <v>#REF!</v>
      </c>
      <c r="DP146" t="e">
        <f>AND(Sheet1!#REF!,"AAAAAGz//3c=")</f>
        <v>#REF!</v>
      </c>
      <c r="DQ146">
        <f>IF(Sheet1!1961:1961,"AAAAAGz//3g=",0)</f>
        <v>0</v>
      </c>
      <c r="DR146" t="e">
        <f>AND(Sheet1!A1961,"AAAAAGz//3k=")</f>
        <v>#VALUE!</v>
      </c>
      <c r="DS146" t="e">
        <f>AND(Sheet1!B1961,"AAAAAGz//3o=")</f>
        <v>#VALUE!</v>
      </c>
      <c r="DT146" t="e">
        <f>AND(Sheet1!C1961,"AAAAAGz//3s=")</f>
        <v>#VALUE!</v>
      </c>
      <c r="DU146" t="e">
        <f>AND(Sheet1!D1961,"AAAAAGz//3w=")</f>
        <v>#VALUE!</v>
      </c>
      <c r="DV146" t="e">
        <f>AND(Sheet1!E1961,"AAAAAGz//30=")</f>
        <v>#VALUE!</v>
      </c>
      <c r="DW146" t="e">
        <f>AND(Sheet1!F1961,"AAAAAGz//34=")</f>
        <v>#VALUE!</v>
      </c>
      <c r="DX146" t="e">
        <f>AND(Sheet1!G1961,"AAAAAGz//38=")</f>
        <v>#VALUE!</v>
      </c>
      <c r="DY146" t="e">
        <f>AND(Sheet1!H1961,"AAAAAGz//4A=")</f>
        <v>#VALUE!</v>
      </c>
      <c r="DZ146" t="e">
        <f>AND(Sheet1!I1961,"AAAAAGz//4E=")</f>
        <v>#VALUE!</v>
      </c>
      <c r="EA146" t="e">
        <f>AND(Sheet1!J1961,"AAAAAGz//4I=")</f>
        <v>#VALUE!</v>
      </c>
      <c r="EB146" t="e">
        <f>AND(Sheet1!K1961,"AAAAAGz//4M=")</f>
        <v>#VALUE!</v>
      </c>
      <c r="EC146" t="e">
        <f>AND(Sheet1!L1961,"AAAAAGz//4Q=")</f>
        <v>#VALUE!</v>
      </c>
      <c r="ED146" t="e">
        <f>AND(Sheet1!M1961,"AAAAAGz//4U=")</f>
        <v>#VALUE!</v>
      </c>
      <c r="EE146" t="e">
        <f>AND(Sheet1!N1961,"AAAAAGz//4Y=")</f>
        <v>#VALUE!</v>
      </c>
      <c r="EF146" t="e">
        <f>AND(Sheet1!#REF!,"AAAAAGz//4c=")</f>
        <v>#REF!</v>
      </c>
      <c r="EG146" t="e">
        <f>AND(Sheet1!#REF!,"AAAAAGz//4g=")</f>
        <v>#REF!</v>
      </c>
      <c r="EH146" t="e">
        <f>AND(Sheet1!#REF!,"AAAAAGz//4k=")</f>
        <v>#REF!</v>
      </c>
      <c r="EI146" t="e">
        <f>AND(Sheet1!#REF!,"AAAAAGz//4o=")</f>
        <v>#REF!</v>
      </c>
      <c r="EJ146">
        <f>IF(Sheet1!1962:1962,"AAAAAGz//4s=",0)</f>
        <v>0</v>
      </c>
      <c r="EK146" t="e">
        <f>AND(Sheet1!A1962,"AAAAAGz//4w=")</f>
        <v>#VALUE!</v>
      </c>
      <c r="EL146" t="e">
        <f>AND(Sheet1!B1962,"AAAAAGz//40=")</f>
        <v>#VALUE!</v>
      </c>
      <c r="EM146" t="e">
        <f>AND(Sheet1!C1962,"AAAAAGz//44=")</f>
        <v>#VALUE!</v>
      </c>
      <c r="EN146" t="e">
        <f>AND(Sheet1!D1962,"AAAAAGz//48=")</f>
        <v>#VALUE!</v>
      </c>
      <c r="EO146" t="e">
        <f>AND(Sheet1!E1962,"AAAAAGz//5A=")</f>
        <v>#VALUE!</v>
      </c>
      <c r="EP146" t="e">
        <f>AND(Sheet1!F1962,"AAAAAGz//5E=")</f>
        <v>#VALUE!</v>
      </c>
      <c r="EQ146" t="e">
        <f>AND(Sheet1!G1962,"AAAAAGz//5I=")</f>
        <v>#VALUE!</v>
      </c>
      <c r="ER146" t="e">
        <f>AND(Sheet1!H1962,"AAAAAGz//5M=")</f>
        <v>#VALUE!</v>
      </c>
      <c r="ES146" t="e">
        <f>AND(Sheet1!I1962,"AAAAAGz//5Q=")</f>
        <v>#VALUE!</v>
      </c>
      <c r="ET146" t="e">
        <f>AND(Sheet1!J1962,"AAAAAGz//5U=")</f>
        <v>#VALUE!</v>
      </c>
      <c r="EU146" t="e">
        <f>AND(Sheet1!K1962,"AAAAAGz//5Y=")</f>
        <v>#VALUE!</v>
      </c>
      <c r="EV146" t="e">
        <f>AND(Sheet1!L1962,"AAAAAGz//5c=")</f>
        <v>#VALUE!</v>
      </c>
      <c r="EW146" t="e">
        <f>AND(Sheet1!M1962,"AAAAAGz//5g=")</f>
        <v>#VALUE!</v>
      </c>
      <c r="EX146" t="e">
        <f>AND(Sheet1!N1962,"AAAAAGz//5k=")</f>
        <v>#VALUE!</v>
      </c>
      <c r="EY146" t="e">
        <f>AND(Sheet1!#REF!,"AAAAAGz//5o=")</f>
        <v>#REF!</v>
      </c>
      <c r="EZ146" t="e">
        <f>AND(Sheet1!#REF!,"AAAAAGz//5s=")</f>
        <v>#REF!</v>
      </c>
      <c r="FA146" t="e">
        <f>AND(Sheet1!#REF!,"AAAAAGz//5w=")</f>
        <v>#REF!</v>
      </c>
      <c r="FB146" t="e">
        <f>AND(Sheet1!#REF!,"AAAAAGz//50=")</f>
        <v>#REF!</v>
      </c>
      <c r="FC146">
        <f>IF(Sheet1!1963:1963,"AAAAAGz//54=",0)</f>
        <v>0</v>
      </c>
      <c r="FD146" t="e">
        <f>AND(Sheet1!A1963,"AAAAAGz//58=")</f>
        <v>#VALUE!</v>
      </c>
      <c r="FE146" t="e">
        <f>AND(Sheet1!B1963,"AAAAAGz//6A=")</f>
        <v>#VALUE!</v>
      </c>
      <c r="FF146" t="e">
        <f>AND(Sheet1!C1963,"AAAAAGz//6E=")</f>
        <v>#VALUE!</v>
      </c>
      <c r="FG146" t="e">
        <f>AND(Sheet1!D1963,"AAAAAGz//6I=")</f>
        <v>#VALUE!</v>
      </c>
      <c r="FH146" t="e">
        <f>AND(Sheet1!E1963,"AAAAAGz//6M=")</f>
        <v>#VALUE!</v>
      </c>
      <c r="FI146" t="e">
        <f>AND(Sheet1!F1963,"AAAAAGz//6Q=")</f>
        <v>#VALUE!</v>
      </c>
      <c r="FJ146" t="e">
        <f>AND(Sheet1!G1963,"AAAAAGz//6U=")</f>
        <v>#VALUE!</v>
      </c>
      <c r="FK146" t="e">
        <f>AND(Sheet1!H1963,"AAAAAGz//6Y=")</f>
        <v>#VALUE!</v>
      </c>
      <c r="FL146" t="e">
        <f>AND(Sheet1!I1963,"AAAAAGz//6c=")</f>
        <v>#VALUE!</v>
      </c>
      <c r="FM146" t="e">
        <f>AND(Sheet1!J1963,"AAAAAGz//6g=")</f>
        <v>#VALUE!</v>
      </c>
      <c r="FN146" t="e">
        <f>AND(Sheet1!K1963,"AAAAAGz//6k=")</f>
        <v>#VALUE!</v>
      </c>
      <c r="FO146" t="e">
        <f>AND(Sheet1!L1963,"AAAAAGz//6o=")</f>
        <v>#VALUE!</v>
      </c>
      <c r="FP146" t="e">
        <f>AND(Sheet1!M1963,"AAAAAGz//6s=")</f>
        <v>#VALUE!</v>
      </c>
      <c r="FQ146" t="e">
        <f>AND(Sheet1!N1963,"AAAAAGz//6w=")</f>
        <v>#VALUE!</v>
      </c>
      <c r="FR146" t="e">
        <f>AND(Sheet1!#REF!,"AAAAAGz//60=")</f>
        <v>#REF!</v>
      </c>
      <c r="FS146" t="e">
        <f>AND(Sheet1!#REF!,"AAAAAGz//64=")</f>
        <v>#REF!</v>
      </c>
      <c r="FT146" t="e">
        <f>AND(Sheet1!#REF!,"AAAAAGz//68=")</f>
        <v>#REF!</v>
      </c>
      <c r="FU146" t="e">
        <f>AND(Sheet1!#REF!,"AAAAAGz//7A=")</f>
        <v>#REF!</v>
      </c>
      <c r="FV146">
        <f>IF(Sheet1!1964:1964,"AAAAAGz//7E=",0)</f>
        <v>0</v>
      </c>
      <c r="FW146" t="e">
        <f>AND(Sheet1!A1964,"AAAAAGz//7I=")</f>
        <v>#VALUE!</v>
      </c>
      <c r="FX146" t="e">
        <f>AND(Sheet1!B1964,"AAAAAGz//7M=")</f>
        <v>#VALUE!</v>
      </c>
      <c r="FY146" t="e">
        <f>AND(Sheet1!C1964,"AAAAAGz//7Q=")</f>
        <v>#VALUE!</v>
      </c>
      <c r="FZ146" t="e">
        <f>AND(Sheet1!D1964,"AAAAAGz//7U=")</f>
        <v>#VALUE!</v>
      </c>
      <c r="GA146" t="e">
        <f>AND(Sheet1!E1964,"AAAAAGz//7Y=")</f>
        <v>#VALUE!</v>
      </c>
      <c r="GB146" t="e">
        <f>AND(Sheet1!F1964,"AAAAAGz//7c=")</f>
        <v>#VALUE!</v>
      </c>
      <c r="GC146" t="e">
        <f>AND(Sheet1!G1964,"AAAAAGz//7g=")</f>
        <v>#VALUE!</v>
      </c>
      <c r="GD146" t="e">
        <f>AND(Sheet1!H1964,"AAAAAGz//7k=")</f>
        <v>#VALUE!</v>
      </c>
      <c r="GE146" t="e">
        <f>AND(Sheet1!I1964,"AAAAAGz//7o=")</f>
        <v>#VALUE!</v>
      </c>
      <c r="GF146" t="e">
        <f>AND(Sheet1!J1964,"AAAAAGz//7s=")</f>
        <v>#VALUE!</v>
      </c>
      <c r="GG146" t="e">
        <f>AND(Sheet1!K1964,"AAAAAGz//7w=")</f>
        <v>#VALUE!</v>
      </c>
      <c r="GH146" t="e">
        <f>AND(Sheet1!L1964,"AAAAAGz//70=")</f>
        <v>#VALUE!</v>
      </c>
      <c r="GI146" t="e">
        <f>AND(Sheet1!M1964,"AAAAAGz//74=")</f>
        <v>#VALUE!</v>
      </c>
      <c r="GJ146" t="e">
        <f>AND(Sheet1!N1964,"AAAAAGz//78=")</f>
        <v>#VALUE!</v>
      </c>
      <c r="GK146" t="e">
        <f>AND(Sheet1!#REF!,"AAAAAGz//8A=")</f>
        <v>#REF!</v>
      </c>
      <c r="GL146" t="e">
        <f>AND(Sheet1!#REF!,"AAAAAGz//8E=")</f>
        <v>#REF!</v>
      </c>
      <c r="GM146" t="e">
        <f>AND(Sheet1!#REF!,"AAAAAGz//8I=")</f>
        <v>#REF!</v>
      </c>
      <c r="GN146" t="e">
        <f>AND(Sheet1!#REF!,"AAAAAGz//8M=")</f>
        <v>#REF!</v>
      </c>
      <c r="GO146">
        <f>IF(Sheet1!1965:1965,"AAAAAGz//8Q=",0)</f>
        <v>0</v>
      </c>
      <c r="GP146" t="e">
        <f>AND(Sheet1!A1965,"AAAAAGz//8U=")</f>
        <v>#VALUE!</v>
      </c>
      <c r="GQ146" t="e">
        <f>AND(Sheet1!B1965,"AAAAAGz//8Y=")</f>
        <v>#VALUE!</v>
      </c>
      <c r="GR146" t="e">
        <f>AND(Sheet1!C1965,"AAAAAGz//8c=")</f>
        <v>#VALUE!</v>
      </c>
      <c r="GS146" t="e">
        <f>AND(Sheet1!D1965,"AAAAAGz//8g=")</f>
        <v>#VALUE!</v>
      </c>
      <c r="GT146" t="e">
        <f>AND(Sheet1!E1965,"AAAAAGz//8k=")</f>
        <v>#VALUE!</v>
      </c>
      <c r="GU146" t="e">
        <f>AND(Sheet1!F1965,"AAAAAGz//8o=")</f>
        <v>#VALUE!</v>
      </c>
      <c r="GV146" t="e">
        <f>AND(Sheet1!G1965,"AAAAAGz//8s=")</f>
        <v>#VALUE!</v>
      </c>
      <c r="GW146" t="e">
        <f>AND(Sheet1!H1965,"AAAAAGz//8w=")</f>
        <v>#VALUE!</v>
      </c>
      <c r="GX146" t="e">
        <f>AND(Sheet1!I1965,"AAAAAGz//80=")</f>
        <v>#VALUE!</v>
      </c>
      <c r="GY146" t="e">
        <f>AND(Sheet1!J1965,"AAAAAGz//84=")</f>
        <v>#VALUE!</v>
      </c>
      <c r="GZ146" t="e">
        <f>AND(Sheet1!K1965,"AAAAAGz//88=")</f>
        <v>#VALUE!</v>
      </c>
      <c r="HA146" t="e">
        <f>AND(Sheet1!L1965,"AAAAAGz//9A=")</f>
        <v>#VALUE!</v>
      </c>
      <c r="HB146" t="e">
        <f>AND(Sheet1!M1965,"AAAAAGz//9E=")</f>
        <v>#VALUE!</v>
      </c>
      <c r="HC146" t="e">
        <f>AND(Sheet1!N1965,"AAAAAGz//9I=")</f>
        <v>#VALUE!</v>
      </c>
      <c r="HD146" t="e">
        <f>AND(Sheet1!#REF!,"AAAAAGz//9M=")</f>
        <v>#REF!</v>
      </c>
      <c r="HE146" t="e">
        <f>AND(Sheet1!#REF!,"AAAAAGz//9Q=")</f>
        <v>#REF!</v>
      </c>
      <c r="HF146" t="e">
        <f>AND(Sheet1!#REF!,"AAAAAGz//9U=")</f>
        <v>#REF!</v>
      </c>
      <c r="HG146" t="e">
        <f>AND(Sheet1!#REF!,"AAAAAGz//9Y=")</f>
        <v>#REF!</v>
      </c>
      <c r="HH146">
        <f>IF(Sheet1!1966:1966,"AAAAAGz//9c=",0)</f>
        <v>0</v>
      </c>
      <c r="HI146" t="e">
        <f>AND(Sheet1!A1966,"AAAAAGz//9g=")</f>
        <v>#VALUE!</v>
      </c>
      <c r="HJ146" t="e">
        <f>AND(Sheet1!B1966,"AAAAAGz//9k=")</f>
        <v>#VALUE!</v>
      </c>
      <c r="HK146" t="e">
        <f>AND(Sheet1!C1966,"AAAAAGz//9o=")</f>
        <v>#VALUE!</v>
      </c>
      <c r="HL146" t="e">
        <f>AND(Sheet1!D1966,"AAAAAGz//9s=")</f>
        <v>#VALUE!</v>
      </c>
      <c r="HM146" t="e">
        <f>AND(Sheet1!E1966,"AAAAAGz//9w=")</f>
        <v>#VALUE!</v>
      </c>
      <c r="HN146" t="e">
        <f>AND(Sheet1!F1966,"AAAAAGz//90=")</f>
        <v>#VALUE!</v>
      </c>
      <c r="HO146" t="e">
        <f>AND(Sheet1!G1966,"AAAAAGz//94=")</f>
        <v>#VALUE!</v>
      </c>
      <c r="HP146" t="e">
        <f>AND(Sheet1!H1966,"AAAAAGz//98=")</f>
        <v>#VALUE!</v>
      </c>
      <c r="HQ146" t="e">
        <f>AND(Sheet1!I1966,"AAAAAGz//+A=")</f>
        <v>#VALUE!</v>
      </c>
      <c r="HR146" t="e">
        <f>AND(Sheet1!J1966,"AAAAAGz//+E=")</f>
        <v>#VALUE!</v>
      </c>
      <c r="HS146" t="e">
        <f>AND(Sheet1!K1966,"AAAAAGz//+I=")</f>
        <v>#VALUE!</v>
      </c>
      <c r="HT146" t="e">
        <f>AND(Sheet1!L1966,"AAAAAGz//+M=")</f>
        <v>#VALUE!</v>
      </c>
      <c r="HU146" t="e">
        <f>AND(Sheet1!M1966,"AAAAAGz//+Q=")</f>
        <v>#VALUE!</v>
      </c>
      <c r="HV146" t="e">
        <f>AND(Sheet1!N1966,"AAAAAGz//+U=")</f>
        <v>#VALUE!</v>
      </c>
      <c r="HW146" t="e">
        <f>AND(Sheet1!#REF!,"AAAAAGz//+Y=")</f>
        <v>#REF!</v>
      </c>
      <c r="HX146" t="e">
        <f>AND(Sheet1!#REF!,"AAAAAGz//+c=")</f>
        <v>#REF!</v>
      </c>
      <c r="HY146" t="e">
        <f>AND(Sheet1!#REF!,"AAAAAGz//+g=")</f>
        <v>#REF!</v>
      </c>
      <c r="HZ146" t="e">
        <f>AND(Sheet1!#REF!,"AAAAAGz//+k=")</f>
        <v>#REF!</v>
      </c>
      <c r="IA146">
        <f>IF(Sheet1!1967:1967,"AAAAAGz//+o=",0)</f>
        <v>0</v>
      </c>
      <c r="IB146" t="e">
        <f>AND(Sheet1!A1967,"AAAAAGz//+s=")</f>
        <v>#VALUE!</v>
      </c>
      <c r="IC146" t="e">
        <f>AND(Sheet1!B1967,"AAAAAGz//+w=")</f>
        <v>#VALUE!</v>
      </c>
      <c r="ID146" t="e">
        <f>AND(Sheet1!C1967,"AAAAAGz//+0=")</f>
        <v>#VALUE!</v>
      </c>
      <c r="IE146" t="e">
        <f>AND(Sheet1!D1967,"AAAAAGz//+4=")</f>
        <v>#VALUE!</v>
      </c>
      <c r="IF146" t="e">
        <f>AND(Sheet1!E1967,"AAAAAGz//+8=")</f>
        <v>#VALUE!</v>
      </c>
      <c r="IG146" t="e">
        <f>AND(Sheet1!F1967,"AAAAAGz///A=")</f>
        <v>#VALUE!</v>
      </c>
      <c r="IH146" t="e">
        <f>AND(Sheet1!G1967,"AAAAAGz///E=")</f>
        <v>#VALUE!</v>
      </c>
      <c r="II146" t="e">
        <f>AND(Sheet1!H1967,"AAAAAGz///I=")</f>
        <v>#VALUE!</v>
      </c>
      <c r="IJ146" t="e">
        <f>AND(Sheet1!I1967,"AAAAAGz///M=")</f>
        <v>#VALUE!</v>
      </c>
      <c r="IK146" t="e">
        <f>AND(Sheet1!J1967,"AAAAAGz///Q=")</f>
        <v>#VALUE!</v>
      </c>
      <c r="IL146" t="e">
        <f>AND(Sheet1!K1967,"AAAAAGz///U=")</f>
        <v>#VALUE!</v>
      </c>
      <c r="IM146" t="e">
        <f>AND(Sheet1!L1967,"AAAAAGz///Y=")</f>
        <v>#VALUE!</v>
      </c>
      <c r="IN146" t="e">
        <f>AND(Sheet1!M1967,"AAAAAGz///c=")</f>
        <v>#VALUE!</v>
      </c>
      <c r="IO146" t="e">
        <f>AND(Sheet1!N1967,"AAAAAGz///g=")</f>
        <v>#VALUE!</v>
      </c>
      <c r="IP146" t="e">
        <f>AND(Sheet1!#REF!,"AAAAAGz///k=")</f>
        <v>#REF!</v>
      </c>
      <c r="IQ146" t="e">
        <f>AND(Sheet1!#REF!,"AAAAAGz///o=")</f>
        <v>#REF!</v>
      </c>
      <c r="IR146" t="e">
        <f>AND(Sheet1!#REF!,"AAAAAGz///s=")</f>
        <v>#REF!</v>
      </c>
      <c r="IS146" t="e">
        <f>AND(Sheet1!#REF!,"AAAAAGz///w=")</f>
        <v>#REF!</v>
      </c>
      <c r="IT146">
        <f>IF(Sheet1!1968:1968,"AAAAAGz///0=",0)</f>
        <v>0</v>
      </c>
      <c r="IU146" t="e">
        <f>AND(Sheet1!A1968,"AAAAAGz///4=")</f>
        <v>#VALUE!</v>
      </c>
      <c r="IV146" t="e">
        <f>AND(Sheet1!B1968,"AAAAAGz///8=")</f>
        <v>#VALUE!</v>
      </c>
    </row>
    <row r="147" spans="1:256" x14ac:dyDescent="0.2">
      <c r="A147" t="e">
        <f>AND(Sheet1!C1968,"AAAAAD/vbwA=")</f>
        <v>#VALUE!</v>
      </c>
      <c r="B147" t="e">
        <f>AND(Sheet1!D1968,"AAAAAD/vbwE=")</f>
        <v>#VALUE!</v>
      </c>
      <c r="C147" t="e">
        <f>AND(Sheet1!E1968,"AAAAAD/vbwI=")</f>
        <v>#VALUE!</v>
      </c>
      <c r="D147" t="e">
        <f>AND(Sheet1!F1968,"AAAAAD/vbwM=")</f>
        <v>#VALUE!</v>
      </c>
      <c r="E147" t="e">
        <f>AND(Sheet1!G1968,"AAAAAD/vbwQ=")</f>
        <v>#VALUE!</v>
      </c>
      <c r="F147" t="e">
        <f>AND(Sheet1!H1968,"AAAAAD/vbwU=")</f>
        <v>#VALUE!</v>
      </c>
      <c r="G147" t="e">
        <f>AND(Sheet1!I1968,"AAAAAD/vbwY=")</f>
        <v>#VALUE!</v>
      </c>
      <c r="H147" t="e">
        <f>AND(Sheet1!J1968,"AAAAAD/vbwc=")</f>
        <v>#VALUE!</v>
      </c>
      <c r="I147" t="e">
        <f>AND(Sheet1!K1968,"AAAAAD/vbwg=")</f>
        <v>#VALUE!</v>
      </c>
      <c r="J147" t="e">
        <f>AND(Sheet1!L1968,"AAAAAD/vbwk=")</f>
        <v>#VALUE!</v>
      </c>
      <c r="K147" t="e">
        <f>AND(Sheet1!M1968,"AAAAAD/vbwo=")</f>
        <v>#VALUE!</v>
      </c>
      <c r="L147" t="e">
        <f>AND(Sheet1!N1968,"AAAAAD/vbws=")</f>
        <v>#VALUE!</v>
      </c>
      <c r="M147" t="e">
        <f>AND(Sheet1!#REF!,"AAAAAD/vbww=")</f>
        <v>#REF!</v>
      </c>
      <c r="N147" t="e">
        <f>AND(Sheet1!#REF!,"AAAAAD/vbw0=")</f>
        <v>#REF!</v>
      </c>
      <c r="O147" t="e">
        <f>AND(Sheet1!#REF!,"AAAAAD/vbw4=")</f>
        <v>#REF!</v>
      </c>
      <c r="P147" t="e">
        <f>AND(Sheet1!#REF!,"AAAAAD/vbw8=")</f>
        <v>#REF!</v>
      </c>
      <c r="Q147">
        <f>IF(Sheet1!1969:1969,"AAAAAD/vbxA=",0)</f>
        <v>0</v>
      </c>
      <c r="R147" t="e">
        <f>AND(Sheet1!A1969,"AAAAAD/vbxE=")</f>
        <v>#VALUE!</v>
      </c>
      <c r="S147" t="e">
        <f>AND(Sheet1!B1969,"AAAAAD/vbxI=")</f>
        <v>#VALUE!</v>
      </c>
      <c r="T147" t="e">
        <f>AND(Sheet1!C1969,"AAAAAD/vbxM=")</f>
        <v>#VALUE!</v>
      </c>
      <c r="U147" t="e">
        <f>AND(Sheet1!D1969,"AAAAAD/vbxQ=")</f>
        <v>#VALUE!</v>
      </c>
      <c r="V147" t="e">
        <f>AND(Sheet1!E1969,"AAAAAD/vbxU=")</f>
        <v>#VALUE!</v>
      </c>
      <c r="W147" t="e">
        <f>AND(Sheet1!F1969,"AAAAAD/vbxY=")</f>
        <v>#VALUE!</v>
      </c>
      <c r="X147" t="e">
        <f>AND(Sheet1!G1969,"AAAAAD/vbxc=")</f>
        <v>#VALUE!</v>
      </c>
      <c r="Y147" t="e">
        <f>AND(Sheet1!H1969,"AAAAAD/vbxg=")</f>
        <v>#VALUE!</v>
      </c>
      <c r="Z147" t="e">
        <f>AND(Sheet1!I1969,"AAAAAD/vbxk=")</f>
        <v>#VALUE!</v>
      </c>
      <c r="AA147" t="e">
        <f>AND(Sheet1!J1969,"AAAAAD/vbxo=")</f>
        <v>#VALUE!</v>
      </c>
      <c r="AB147" t="e">
        <f>AND(Sheet1!K1969,"AAAAAD/vbxs=")</f>
        <v>#VALUE!</v>
      </c>
      <c r="AC147" t="e">
        <f>AND(Sheet1!L1969,"AAAAAD/vbxw=")</f>
        <v>#VALUE!</v>
      </c>
      <c r="AD147" t="e">
        <f>AND(Sheet1!M1969,"AAAAAD/vbx0=")</f>
        <v>#VALUE!</v>
      </c>
      <c r="AE147" t="e">
        <f>AND(Sheet1!N1969,"AAAAAD/vbx4=")</f>
        <v>#VALUE!</v>
      </c>
      <c r="AF147" t="e">
        <f>AND(Sheet1!#REF!,"AAAAAD/vbx8=")</f>
        <v>#REF!</v>
      </c>
      <c r="AG147" t="e">
        <f>AND(Sheet1!#REF!,"AAAAAD/vbyA=")</f>
        <v>#REF!</v>
      </c>
      <c r="AH147" t="e">
        <f>AND(Sheet1!#REF!,"AAAAAD/vbyE=")</f>
        <v>#REF!</v>
      </c>
      <c r="AI147" t="e">
        <f>AND(Sheet1!#REF!,"AAAAAD/vbyI=")</f>
        <v>#REF!</v>
      </c>
      <c r="AJ147">
        <f>IF(Sheet1!1970:1970,"AAAAAD/vbyM=",0)</f>
        <v>0</v>
      </c>
      <c r="AK147" t="e">
        <f>AND(Sheet1!A1970,"AAAAAD/vbyQ=")</f>
        <v>#VALUE!</v>
      </c>
      <c r="AL147" t="e">
        <f>AND(Sheet1!B1970,"AAAAAD/vbyU=")</f>
        <v>#VALUE!</v>
      </c>
      <c r="AM147" t="e">
        <f>AND(Sheet1!C1970,"AAAAAD/vbyY=")</f>
        <v>#VALUE!</v>
      </c>
      <c r="AN147" t="e">
        <f>AND(Sheet1!D1970,"AAAAAD/vbyc=")</f>
        <v>#VALUE!</v>
      </c>
      <c r="AO147" t="e">
        <f>AND(Sheet1!E1970,"AAAAAD/vbyg=")</f>
        <v>#VALUE!</v>
      </c>
      <c r="AP147" t="e">
        <f>AND(Sheet1!F1970,"AAAAAD/vbyk=")</f>
        <v>#VALUE!</v>
      </c>
      <c r="AQ147" t="e">
        <f>AND(Sheet1!G1970,"AAAAAD/vbyo=")</f>
        <v>#VALUE!</v>
      </c>
      <c r="AR147" t="e">
        <f>AND(Sheet1!H1970,"AAAAAD/vbys=")</f>
        <v>#VALUE!</v>
      </c>
      <c r="AS147" t="e">
        <f>AND(Sheet1!I1970,"AAAAAD/vbyw=")</f>
        <v>#VALUE!</v>
      </c>
      <c r="AT147" t="e">
        <f>AND(Sheet1!J1970,"AAAAAD/vby0=")</f>
        <v>#VALUE!</v>
      </c>
      <c r="AU147" t="e">
        <f>AND(Sheet1!K1970,"AAAAAD/vby4=")</f>
        <v>#VALUE!</v>
      </c>
      <c r="AV147" t="e">
        <f>AND(Sheet1!L1970,"AAAAAD/vby8=")</f>
        <v>#VALUE!</v>
      </c>
      <c r="AW147" t="e">
        <f>AND(Sheet1!M1970,"AAAAAD/vbzA=")</f>
        <v>#VALUE!</v>
      </c>
      <c r="AX147" t="e">
        <f>AND(Sheet1!N1970,"AAAAAD/vbzE=")</f>
        <v>#VALUE!</v>
      </c>
      <c r="AY147" t="e">
        <f>AND(Sheet1!#REF!,"AAAAAD/vbzI=")</f>
        <v>#REF!</v>
      </c>
      <c r="AZ147" t="e">
        <f>AND(Sheet1!#REF!,"AAAAAD/vbzM=")</f>
        <v>#REF!</v>
      </c>
      <c r="BA147" t="e">
        <f>AND(Sheet1!#REF!,"AAAAAD/vbzQ=")</f>
        <v>#REF!</v>
      </c>
      <c r="BB147" t="e">
        <f>AND(Sheet1!#REF!,"AAAAAD/vbzU=")</f>
        <v>#REF!</v>
      </c>
      <c r="BC147">
        <f>IF(Sheet1!1971:1971,"AAAAAD/vbzY=",0)</f>
        <v>0</v>
      </c>
      <c r="BD147" t="e">
        <f>AND(Sheet1!A1971,"AAAAAD/vbzc=")</f>
        <v>#VALUE!</v>
      </c>
      <c r="BE147" t="e">
        <f>AND(Sheet1!B1971,"AAAAAD/vbzg=")</f>
        <v>#VALUE!</v>
      </c>
      <c r="BF147" t="e">
        <f>AND(Sheet1!C1971,"AAAAAD/vbzk=")</f>
        <v>#VALUE!</v>
      </c>
      <c r="BG147" t="e">
        <f>AND(Sheet1!D1971,"AAAAAD/vbzo=")</f>
        <v>#VALUE!</v>
      </c>
      <c r="BH147" t="e">
        <f>AND(Sheet1!E1971,"AAAAAD/vbzs=")</f>
        <v>#VALUE!</v>
      </c>
      <c r="BI147" t="e">
        <f>AND(Sheet1!F1971,"AAAAAD/vbzw=")</f>
        <v>#VALUE!</v>
      </c>
      <c r="BJ147" t="e">
        <f>AND(Sheet1!G1971,"AAAAAD/vbz0=")</f>
        <v>#VALUE!</v>
      </c>
      <c r="BK147" t="e">
        <f>AND(Sheet1!H1971,"AAAAAD/vbz4=")</f>
        <v>#VALUE!</v>
      </c>
      <c r="BL147" t="e">
        <f>AND(Sheet1!I1971,"AAAAAD/vbz8=")</f>
        <v>#VALUE!</v>
      </c>
      <c r="BM147" t="e">
        <f>AND(Sheet1!J1971,"AAAAAD/vb0A=")</f>
        <v>#VALUE!</v>
      </c>
      <c r="BN147" t="e">
        <f>AND(Sheet1!K1971,"AAAAAD/vb0E=")</f>
        <v>#VALUE!</v>
      </c>
      <c r="BO147" t="e">
        <f>AND(Sheet1!L1971,"AAAAAD/vb0I=")</f>
        <v>#VALUE!</v>
      </c>
      <c r="BP147" t="e">
        <f>AND(Sheet1!M1971,"AAAAAD/vb0M=")</f>
        <v>#VALUE!</v>
      </c>
      <c r="BQ147" t="e">
        <f>AND(Sheet1!N1971,"AAAAAD/vb0Q=")</f>
        <v>#VALUE!</v>
      </c>
      <c r="BR147" t="e">
        <f>AND(Sheet1!#REF!,"AAAAAD/vb0U=")</f>
        <v>#REF!</v>
      </c>
      <c r="BS147" t="e">
        <f>AND(Sheet1!#REF!,"AAAAAD/vb0Y=")</f>
        <v>#REF!</v>
      </c>
      <c r="BT147" t="e">
        <f>AND(Sheet1!#REF!,"AAAAAD/vb0c=")</f>
        <v>#REF!</v>
      </c>
      <c r="BU147" t="e">
        <f>AND(Sheet1!#REF!,"AAAAAD/vb0g=")</f>
        <v>#REF!</v>
      </c>
      <c r="BV147">
        <f>IF(Sheet1!1972:1972,"AAAAAD/vb0k=",0)</f>
        <v>0</v>
      </c>
      <c r="BW147" t="e">
        <f>AND(Sheet1!A1972,"AAAAAD/vb0o=")</f>
        <v>#VALUE!</v>
      </c>
      <c r="BX147" t="e">
        <f>AND(Sheet1!B1972,"AAAAAD/vb0s=")</f>
        <v>#VALUE!</v>
      </c>
      <c r="BY147" t="e">
        <f>AND(Sheet1!C1972,"AAAAAD/vb0w=")</f>
        <v>#VALUE!</v>
      </c>
      <c r="BZ147" t="e">
        <f>AND(Sheet1!D1972,"AAAAAD/vb00=")</f>
        <v>#VALUE!</v>
      </c>
      <c r="CA147" t="e">
        <f>AND(Sheet1!E1972,"AAAAAD/vb04=")</f>
        <v>#VALUE!</v>
      </c>
      <c r="CB147" t="e">
        <f>AND(Sheet1!F1972,"AAAAAD/vb08=")</f>
        <v>#VALUE!</v>
      </c>
      <c r="CC147" t="e">
        <f>AND(Sheet1!G1972,"AAAAAD/vb1A=")</f>
        <v>#VALUE!</v>
      </c>
      <c r="CD147" t="e">
        <f>AND(Sheet1!H1972,"AAAAAD/vb1E=")</f>
        <v>#VALUE!</v>
      </c>
      <c r="CE147" t="e">
        <f>AND(Sheet1!I1972,"AAAAAD/vb1I=")</f>
        <v>#VALUE!</v>
      </c>
      <c r="CF147" t="e">
        <f>AND(Sheet1!J1972,"AAAAAD/vb1M=")</f>
        <v>#VALUE!</v>
      </c>
      <c r="CG147" t="e">
        <f>AND(Sheet1!K1972,"AAAAAD/vb1Q=")</f>
        <v>#VALUE!</v>
      </c>
      <c r="CH147" t="e">
        <f>AND(Sheet1!L1972,"AAAAAD/vb1U=")</f>
        <v>#VALUE!</v>
      </c>
      <c r="CI147" t="e">
        <f>AND(Sheet1!M1972,"AAAAAD/vb1Y=")</f>
        <v>#VALUE!</v>
      </c>
      <c r="CJ147" t="e">
        <f>AND(Sheet1!N1972,"AAAAAD/vb1c=")</f>
        <v>#VALUE!</v>
      </c>
      <c r="CK147" t="e">
        <f>AND(Sheet1!#REF!,"AAAAAD/vb1g=")</f>
        <v>#REF!</v>
      </c>
      <c r="CL147" t="e">
        <f>AND(Sheet1!#REF!,"AAAAAD/vb1k=")</f>
        <v>#REF!</v>
      </c>
      <c r="CM147" t="e">
        <f>AND(Sheet1!#REF!,"AAAAAD/vb1o=")</f>
        <v>#REF!</v>
      </c>
      <c r="CN147" t="e">
        <f>AND(Sheet1!#REF!,"AAAAAD/vb1s=")</f>
        <v>#REF!</v>
      </c>
      <c r="CO147">
        <f>IF(Sheet1!1973:1973,"AAAAAD/vb1w=",0)</f>
        <v>0</v>
      </c>
      <c r="CP147" t="e">
        <f>AND(Sheet1!A1973,"AAAAAD/vb10=")</f>
        <v>#VALUE!</v>
      </c>
      <c r="CQ147" t="e">
        <f>AND(Sheet1!B1973,"AAAAAD/vb14=")</f>
        <v>#VALUE!</v>
      </c>
      <c r="CR147" t="e">
        <f>AND(Sheet1!C1973,"AAAAAD/vb18=")</f>
        <v>#VALUE!</v>
      </c>
      <c r="CS147" t="e">
        <f>AND(Sheet1!D1973,"AAAAAD/vb2A=")</f>
        <v>#VALUE!</v>
      </c>
      <c r="CT147" t="e">
        <f>AND(Sheet1!E1973,"AAAAAD/vb2E=")</f>
        <v>#VALUE!</v>
      </c>
      <c r="CU147" t="e">
        <f>AND(Sheet1!F1973,"AAAAAD/vb2I=")</f>
        <v>#VALUE!</v>
      </c>
      <c r="CV147" t="e">
        <f>AND(Sheet1!G1973,"AAAAAD/vb2M=")</f>
        <v>#VALUE!</v>
      </c>
      <c r="CW147" t="e">
        <f>AND(Sheet1!H1973,"AAAAAD/vb2Q=")</f>
        <v>#VALUE!</v>
      </c>
      <c r="CX147" t="e">
        <f>AND(Sheet1!I1973,"AAAAAD/vb2U=")</f>
        <v>#VALUE!</v>
      </c>
      <c r="CY147" t="e">
        <f>AND(Sheet1!J1973,"AAAAAD/vb2Y=")</f>
        <v>#VALUE!</v>
      </c>
      <c r="CZ147" t="e">
        <f>AND(Sheet1!K1973,"AAAAAD/vb2c=")</f>
        <v>#VALUE!</v>
      </c>
      <c r="DA147" t="e">
        <f>AND(Sheet1!L1973,"AAAAAD/vb2g=")</f>
        <v>#VALUE!</v>
      </c>
      <c r="DB147" t="e">
        <f>AND(Sheet1!M1973,"AAAAAD/vb2k=")</f>
        <v>#VALUE!</v>
      </c>
      <c r="DC147" t="e">
        <f>AND(Sheet1!N1973,"AAAAAD/vb2o=")</f>
        <v>#VALUE!</v>
      </c>
      <c r="DD147" t="e">
        <f>AND(Sheet1!#REF!,"AAAAAD/vb2s=")</f>
        <v>#REF!</v>
      </c>
      <c r="DE147" t="e">
        <f>AND(Sheet1!#REF!,"AAAAAD/vb2w=")</f>
        <v>#REF!</v>
      </c>
      <c r="DF147" t="e">
        <f>AND(Sheet1!#REF!,"AAAAAD/vb20=")</f>
        <v>#REF!</v>
      </c>
      <c r="DG147" t="e">
        <f>AND(Sheet1!#REF!,"AAAAAD/vb24=")</f>
        <v>#REF!</v>
      </c>
      <c r="DH147">
        <f>IF(Sheet1!1974:1974,"AAAAAD/vb28=",0)</f>
        <v>0</v>
      </c>
      <c r="DI147" t="e">
        <f>AND(Sheet1!A1974,"AAAAAD/vb3A=")</f>
        <v>#VALUE!</v>
      </c>
      <c r="DJ147" t="e">
        <f>AND(Sheet1!B1974,"AAAAAD/vb3E=")</f>
        <v>#VALUE!</v>
      </c>
      <c r="DK147" t="e">
        <f>AND(Sheet1!C1974,"AAAAAD/vb3I=")</f>
        <v>#VALUE!</v>
      </c>
      <c r="DL147" t="e">
        <f>AND(Sheet1!D1974,"AAAAAD/vb3M=")</f>
        <v>#VALUE!</v>
      </c>
      <c r="DM147" t="e">
        <f>AND(Sheet1!E1974,"AAAAAD/vb3Q=")</f>
        <v>#VALUE!</v>
      </c>
      <c r="DN147" t="e">
        <f>AND(Sheet1!F1974,"AAAAAD/vb3U=")</f>
        <v>#VALUE!</v>
      </c>
      <c r="DO147" t="e">
        <f>AND(Sheet1!G1974,"AAAAAD/vb3Y=")</f>
        <v>#VALUE!</v>
      </c>
      <c r="DP147" t="e">
        <f>AND(Sheet1!H1974,"AAAAAD/vb3c=")</f>
        <v>#VALUE!</v>
      </c>
      <c r="DQ147" t="e">
        <f>AND(Sheet1!I1974,"AAAAAD/vb3g=")</f>
        <v>#VALUE!</v>
      </c>
      <c r="DR147" t="e">
        <f>AND(Sheet1!J1974,"AAAAAD/vb3k=")</f>
        <v>#VALUE!</v>
      </c>
      <c r="DS147" t="e">
        <f>AND(Sheet1!K1974,"AAAAAD/vb3o=")</f>
        <v>#VALUE!</v>
      </c>
      <c r="DT147" t="e">
        <f>AND(Sheet1!L1974,"AAAAAD/vb3s=")</f>
        <v>#VALUE!</v>
      </c>
      <c r="DU147" t="e">
        <f>AND(Sheet1!M1974,"AAAAAD/vb3w=")</f>
        <v>#VALUE!</v>
      </c>
      <c r="DV147" t="e">
        <f>AND(Sheet1!N1974,"AAAAAD/vb30=")</f>
        <v>#VALUE!</v>
      </c>
      <c r="DW147" t="e">
        <f>AND(Sheet1!#REF!,"AAAAAD/vb34=")</f>
        <v>#REF!</v>
      </c>
      <c r="DX147" t="e">
        <f>AND(Sheet1!#REF!,"AAAAAD/vb38=")</f>
        <v>#REF!</v>
      </c>
      <c r="DY147" t="e">
        <f>AND(Sheet1!#REF!,"AAAAAD/vb4A=")</f>
        <v>#REF!</v>
      </c>
      <c r="DZ147" t="e">
        <f>AND(Sheet1!#REF!,"AAAAAD/vb4E=")</f>
        <v>#REF!</v>
      </c>
      <c r="EA147">
        <f>IF(Sheet1!1975:1975,"AAAAAD/vb4I=",0)</f>
        <v>0</v>
      </c>
      <c r="EB147" t="e">
        <f>AND(Sheet1!A1975,"AAAAAD/vb4M=")</f>
        <v>#VALUE!</v>
      </c>
      <c r="EC147" t="e">
        <f>AND(Sheet1!B1975,"AAAAAD/vb4Q=")</f>
        <v>#VALUE!</v>
      </c>
      <c r="ED147" t="e">
        <f>AND(Sheet1!C1975,"AAAAAD/vb4U=")</f>
        <v>#VALUE!</v>
      </c>
      <c r="EE147" t="e">
        <f>AND(Sheet1!D1975,"AAAAAD/vb4Y=")</f>
        <v>#VALUE!</v>
      </c>
      <c r="EF147" t="e">
        <f>AND(Sheet1!E1975,"AAAAAD/vb4c=")</f>
        <v>#VALUE!</v>
      </c>
      <c r="EG147" t="e">
        <f>AND(Sheet1!F1975,"AAAAAD/vb4g=")</f>
        <v>#VALUE!</v>
      </c>
      <c r="EH147" t="e">
        <f>AND(Sheet1!G1975,"AAAAAD/vb4k=")</f>
        <v>#VALUE!</v>
      </c>
      <c r="EI147" t="e">
        <f>AND(Sheet1!H1975,"AAAAAD/vb4o=")</f>
        <v>#VALUE!</v>
      </c>
      <c r="EJ147" t="e">
        <f>AND(Sheet1!I1975,"AAAAAD/vb4s=")</f>
        <v>#VALUE!</v>
      </c>
      <c r="EK147" t="e">
        <f>AND(Sheet1!J1975,"AAAAAD/vb4w=")</f>
        <v>#VALUE!</v>
      </c>
      <c r="EL147" t="e">
        <f>AND(Sheet1!K1975,"AAAAAD/vb40=")</f>
        <v>#VALUE!</v>
      </c>
      <c r="EM147" t="e">
        <f>AND(Sheet1!L1975,"AAAAAD/vb44=")</f>
        <v>#VALUE!</v>
      </c>
      <c r="EN147" t="e">
        <f>AND(Sheet1!M1975,"AAAAAD/vb48=")</f>
        <v>#VALUE!</v>
      </c>
      <c r="EO147" t="e">
        <f>AND(Sheet1!N1975,"AAAAAD/vb5A=")</f>
        <v>#VALUE!</v>
      </c>
      <c r="EP147" t="e">
        <f>AND(Sheet1!#REF!,"AAAAAD/vb5E=")</f>
        <v>#REF!</v>
      </c>
      <c r="EQ147" t="e">
        <f>AND(Sheet1!#REF!,"AAAAAD/vb5I=")</f>
        <v>#REF!</v>
      </c>
      <c r="ER147" t="e">
        <f>AND(Sheet1!#REF!,"AAAAAD/vb5M=")</f>
        <v>#REF!</v>
      </c>
      <c r="ES147" t="e">
        <f>AND(Sheet1!#REF!,"AAAAAD/vb5Q=")</f>
        <v>#REF!</v>
      </c>
      <c r="ET147">
        <f>IF(Sheet1!1976:1976,"AAAAAD/vb5U=",0)</f>
        <v>0</v>
      </c>
      <c r="EU147" t="e">
        <f>AND(Sheet1!A1976,"AAAAAD/vb5Y=")</f>
        <v>#VALUE!</v>
      </c>
      <c r="EV147" t="e">
        <f>AND(Sheet1!B1976,"AAAAAD/vb5c=")</f>
        <v>#VALUE!</v>
      </c>
      <c r="EW147" t="e">
        <f>AND(Sheet1!C1976,"AAAAAD/vb5g=")</f>
        <v>#VALUE!</v>
      </c>
      <c r="EX147" t="e">
        <f>AND(Sheet1!D1976,"AAAAAD/vb5k=")</f>
        <v>#VALUE!</v>
      </c>
      <c r="EY147" t="e">
        <f>AND(Sheet1!E1976,"AAAAAD/vb5o=")</f>
        <v>#VALUE!</v>
      </c>
      <c r="EZ147" t="e">
        <f>AND(Sheet1!F1976,"AAAAAD/vb5s=")</f>
        <v>#VALUE!</v>
      </c>
      <c r="FA147" t="e">
        <f>AND(Sheet1!G1976,"AAAAAD/vb5w=")</f>
        <v>#VALUE!</v>
      </c>
      <c r="FB147" t="e">
        <f>AND(Sheet1!H1976,"AAAAAD/vb50=")</f>
        <v>#VALUE!</v>
      </c>
      <c r="FC147" t="e">
        <f>AND(Sheet1!I1976,"AAAAAD/vb54=")</f>
        <v>#VALUE!</v>
      </c>
      <c r="FD147" t="e">
        <f>AND(Sheet1!J1976,"AAAAAD/vb58=")</f>
        <v>#VALUE!</v>
      </c>
      <c r="FE147" t="e">
        <f>AND(Sheet1!K1976,"AAAAAD/vb6A=")</f>
        <v>#VALUE!</v>
      </c>
      <c r="FF147" t="e">
        <f>AND(Sheet1!L1976,"AAAAAD/vb6E=")</f>
        <v>#VALUE!</v>
      </c>
      <c r="FG147" t="e">
        <f>AND(Sheet1!M1976,"AAAAAD/vb6I=")</f>
        <v>#VALUE!</v>
      </c>
      <c r="FH147" t="e">
        <f>AND(Sheet1!N1976,"AAAAAD/vb6M=")</f>
        <v>#VALUE!</v>
      </c>
      <c r="FI147" t="e">
        <f>AND(Sheet1!#REF!,"AAAAAD/vb6Q=")</f>
        <v>#REF!</v>
      </c>
      <c r="FJ147" t="e">
        <f>AND(Sheet1!#REF!,"AAAAAD/vb6U=")</f>
        <v>#REF!</v>
      </c>
      <c r="FK147" t="e">
        <f>AND(Sheet1!#REF!,"AAAAAD/vb6Y=")</f>
        <v>#REF!</v>
      </c>
      <c r="FL147" t="e">
        <f>AND(Sheet1!#REF!,"AAAAAD/vb6c=")</f>
        <v>#REF!</v>
      </c>
      <c r="FM147">
        <f>IF(Sheet1!1977:1977,"AAAAAD/vb6g=",0)</f>
        <v>0</v>
      </c>
      <c r="FN147" t="e">
        <f>AND(Sheet1!A1977,"AAAAAD/vb6k=")</f>
        <v>#VALUE!</v>
      </c>
      <c r="FO147" t="e">
        <f>AND(Sheet1!B1977,"AAAAAD/vb6o=")</f>
        <v>#VALUE!</v>
      </c>
      <c r="FP147" t="e">
        <f>AND(Sheet1!C1977,"AAAAAD/vb6s=")</f>
        <v>#VALUE!</v>
      </c>
      <c r="FQ147" t="e">
        <f>AND(Sheet1!D1977,"AAAAAD/vb6w=")</f>
        <v>#VALUE!</v>
      </c>
      <c r="FR147" t="e">
        <f>AND(Sheet1!E1977,"AAAAAD/vb60=")</f>
        <v>#VALUE!</v>
      </c>
      <c r="FS147" t="e">
        <f>AND(Sheet1!F1977,"AAAAAD/vb64=")</f>
        <v>#VALUE!</v>
      </c>
      <c r="FT147" t="e">
        <f>AND(Sheet1!G1977,"AAAAAD/vb68=")</f>
        <v>#VALUE!</v>
      </c>
      <c r="FU147" t="e">
        <f>AND(Sheet1!H1977,"AAAAAD/vb7A=")</f>
        <v>#VALUE!</v>
      </c>
      <c r="FV147" t="e">
        <f>AND(Sheet1!I1977,"AAAAAD/vb7E=")</f>
        <v>#VALUE!</v>
      </c>
      <c r="FW147" t="e">
        <f>AND(Sheet1!J1977,"AAAAAD/vb7I=")</f>
        <v>#VALUE!</v>
      </c>
      <c r="FX147" t="e">
        <f>AND(Sheet1!K1977,"AAAAAD/vb7M=")</f>
        <v>#VALUE!</v>
      </c>
      <c r="FY147" t="e">
        <f>AND(Sheet1!L1977,"AAAAAD/vb7Q=")</f>
        <v>#VALUE!</v>
      </c>
      <c r="FZ147" t="e">
        <f>AND(Sheet1!M1977,"AAAAAD/vb7U=")</f>
        <v>#VALUE!</v>
      </c>
      <c r="GA147" t="e">
        <f>AND(Sheet1!N1977,"AAAAAD/vb7Y=")</f>
        <v>#VALUE!</v>
      </c>
      <c r="GB147" t="e">
        <f>AND(Sheet1!#REF!,"AAAAAD/vb7c=")</f>
        <v>#REF!</v>
      </c>
      <c r="GC147" t="e">
        <f>AND(Sheet1!#REF!,"AAAAAD/vb7g=")</f>
        <v>#REF!</v>
      </c>
      <c r="GD147" t="e">
        <f>AND(Sheet1!#REF!,"AAAAAD/vb7k=")</f>
        <v>#REF!</v>
      </c>
      <c r="GE147" t="e">
        <f>AND(Sheet1!#REF!,"AAAAAD/vb7o=")</f>
        <v>#REF!</v>
      </c>
      <c r="GF147">
        <f>IF(Sheet1!1978:1978,"AAAAAD/vb7s=",0)</f>
        <v>0</v>
      </c>
      <c r="GG147" t="e">
        <f>AND(Sheet1!A1978,"AAAAAD/vb7w=")</f>
        <v>#VALUE!</v>
      </c>
      <c r="GH147" t="e">
        <f>AND(Sheet1!B1978,"AAAAAD/vb70=")</f>
        <v>#VALUE!</v>
      </c>
      <c r="GI147" t="e">
        <f>AND(Sheet1!C1978,"AAAAAD/vb74=")</f>
        <v>#VALUE!</v>
      </c>
      <c r="GJ147" t="e">
        <f>AND(Sheet1!D1978,"AAAAAD/vb78=")</f>
        <v>#VALUE!</v>
      </c>
      <c r="GK147" t="e">
        <f>AND(Sheet1!E1978,"AAAAAD/vb8A=")</f>
        <v>#VALUE!</v>
      </c>
      <c r="GL147" t="e">
        <f>AND(Sheet1!F1978,"AAAAAD/vb8E=")</f>
        <v>#VALUE!</v>
      </c>
      <c r="GM147" t="e">
        <f>AND(Sheet1!G1978,"AAAAAD/vb8I=")</f>
        <v>#VALUE!</v>
      </c>
      <c r="GN147" t="e">
        <f>AND(Sheet1!H1978,"AAAAAD/vb8M=")</f>
        <v>#VALUE!</v>
      </c>
      <c r="GO147" t="e">
        <f>AND(Sheet1!I1978,"AAAAAD/vb8Q=")</f>
        <v>#VALUE!</v>
      </c>
      <c r="GP147" t="e">
        <f>AND(Sheet1!J1978,"AAAAAD/vb8U=")</f>
        <v>#VALUE!</v>
      </c>
      <c r="GQ147" t="e">
        <f>AND(Sheet1!K1978,"AAAAAD/vb8Y=")</f>
        <v>#VALUE!</v>
      </c>
      <c r="GR147" t="e">
        <f>AND(Sheet1!L1978,"AAAAAD/vb8c=")</f>
        <v>#VALUE!</v>
      </c>
      <c r="GS147" t="e">
        <f>AND(Sheet1!M1978,"AAAAAD/vb8g=")</f>
        <v>#VALUE!</v>
      </c>
      <c r="GT147" t="e">
        <f>AND(Sheet1!N1978,"AAAAAD/vb8k=")</f>
        <v>#VALUE!</v>
      </c>
      <c r="GU147" t="e">
        <f>AND(Sheet1!#REF!,"AAAAAD/vb8o=")</f>
        <v>#REF!</v>
      </c>
      <c r="GV147" t="e">
        <f>AND(Sheet1!#REF!,"AAAAAD/vb8s=")</f>
        <v>#REF!</v>
      </c>
      <c r="GW147" t="e">
        <f>AND(Sheet1!#REF!,"AAAAAD/vb8w=")</f>
        <v>#REF!</v>
      </c>
      <c r="GX147" t="e">
        <f>AND(Sheet1!#REF!,"AAAAAD/vb80=")</f>
        <v>#REF!</v>
      </c>
      <c r="GY147">
        <f>IF(Sheet1!1979:1979,"AAAAAD/vb84=",0)</f>
        <v>0</v>
      </c>
      <c r="GZ147" t="e">
        <f>AND(Sheet1!A1979,"AAAAAD/vb88=")</f>
        <v>#VALUE!</v>
      </c>
      <c r="HA147" t="e">
        <f>AND(Sheet1!B1979,"AAAAAD/vb9A=")</f>
        <v>#VALUE!</v>
      </c>
      <c r="HB147" t="e">
        <f>AND(Sheet1!C1979,"AAAAAD/vb9E=")</f>
        <v>#VALUE!</v>
      </c>
      <c r="HC147" t="e">
        <f>AND(Sheet1!D1979,"AAAAAD/vb9I=")</f>
        <v>#VALUE!</v>
      </c>
      <c r="HD147" t="e">
        <f>AND(Sheet1!E1979,"AAAAAD/vb9M=")</f>
        <v>#VALUE!</v>
      </c>
      <c r="HE147" t="e">
        <f>AND(Sheet1!F1979,"AAAAAD/vb9Q=")</f>
        <v>#VALUE!</v>
      </c>
      <c r="HF147" t="e">
        <f>AND(Sheet1!G1979,"AAAAAD/vb9U=")</f>
        <v>#VALUE!</v>
      </c>
      <c r="HG147" t="e">
        <f>AND(Sheet1!H1979,"AAAAAD/vb9Y=")</f>
        <v>#VALUE!</v>
      </c>
      <c r="HH147" t="e">
        <f>AND(Sheet1!I1979,"AAAAAD/vb9c=")</f>
        <v>#VALUE!</v>
      </c>
      <c r="HI147" t="e">
        <f>AND(Sheet1!J1979,"AAAAAD/vb9g=")</f>
        <v>#VALUE!</v>
      </c>
      <c r="HJ147" t="e">
        <f>AND(Sheet1!K1979,"AAAAAD/vb9k=")</f>
        <v>#VALUE!</v>
      </c>
      <c r="HK147" t="e">
        <f>AND(Sheet1!L1979,"AAAAAD/vb9o=")</f>
        <v>#VALUE!</v>
      </c>
      <c r="HL147" t="e">
        <f>AND(Sheet1!M1979,"AAAAAD/vb9s=")</f>
        <v>#VALUE!</v>
      </c>
      <c r="HM147" t="e">
        <f>AND(Sheet1!N1979,"AAAAAD/vb9w=")</f>
        <v>#VALUE!</v>
      </c>
      <c r="HN147" t="e">
        <f>AND(Sheet1!#REF!,"AAAAAD/vb90=")</f>
        <v>#REF!</v>
      </c>
      <c r="HO147" t="e">
        <f>AND(Sheet1!#REF!,"AAAAAD/vb94=")</f>
        <v>#REF!</v>
      </c>
      <c r="HP147" t="e">
        <f>AND(Sheet1!#REF!,"AAAAAD/vb98=")</f>
        <v>#REF!</v>
      </c>
      <c r="HQ147" t="e">
        <f>AND(Sheet1!#REF!,"AAAAAD/vb+A=")</f>
        <v>#REF!</v>
      </c>
      <c r="HR147">
        <f>IF(Sheet1!1980:1980,"AAAAAD/vb+E=",0)</f>
        <v>0</v>
      </c>
      <c r="HS147" t="e">
        <f>AND(Sheet1!A1980,"AAAAAD/vb+I=")</f>
        <v>#VALUE!</v>
      </c>
      <c r="HT147" t="e">
        <f>AND(Sheet1!B1980,"AAAAAD/vb+M=")</f>
        <v>#VALUE!</v>
      </c>
      <c r="HU147" t="e">
        <f>AND(Sheet1!C1980,"AAAAAD/vb+Q=")</f>
        <v>#VALUE!</v>
      </c>
      <c r="HV147" t="e">
        <f>AND(Sheet1!D1980,"AAAAAD/vb+U=")</f>
        <v>#VALUE!</v>
      </c>
      <c r="HW147" t="e">
        <f>AND(Sheet1!E1980,"AAAAAD/vb+Y=")</f>
        <v>#VALUE!</v>
      </c>
      <c r="HX147" t="e">
        <f>AND(Sheet1!F1980,"AAAAAD/vb+c=")</f>
        <v>#VALUE!</v>
      </c>
      <c r="HY147" t="e">
        <f>AND(Sheet1!G1980,"AAAAAD/vb+g=")</f>
        <v>#VALUE!</v>
      </c>
      <c r="HZ147" t="e">
        <f>AND(Sheet1!H1980,"AAAAAD/vb+k=")</f>
        <v>#VALUE!</v>
      </c>
      <c r="IA147" t="e">
        <f>AND(Sheet1!I1980,"AAAAAD/vb+o=")</f>
        <v>#VALUE!</v>
      </c>
      <c r="IB147" t="e">
        <f>AND(Sheet1!J1980,"AAAAAD/vb+s=")</f>
        <v>#VALUE!</v>
      </c>
      <c r="IC147" t="e">
        <f>AND(Sheet1!K1980,"AAAAAD/vb+w=")</f>
        <v>#VALUE!</v>
      </c>
      <c r="ID147" t="e">
        <f>AND(Sheet1!L1980,"AAAAAD/vb+0=")</f>
        <v>#VALUE!</v>
      </c>
      <c r="IE147" t="e">
        <f>AND(Sheet1!M1980,"AAAAAD/vb+4=")</f>
        <v>#VALUE!</v>
      </c>
      <c r="IF147" t="e">
        <f>AND(Sheet1!N1980,"AAAAAD/vb+8=")</f>
        <v>#VALUE!</v>
      </c>
      <c r="IG147" t="e">
        <f>AND(Sheet1!#REF!,"AAAAAD/vb/A=")</f>
        <v>#REF!</v>
      </c>
      <c r="IH147" t="e">
        <f>AND(Sheet1!#REF!,"AAAAAD/vb/E=")</f>
        <v>#REF!</v>
      </c>
      <c r="II147" t="e">
        <f>AND(Sheet1!#REF!,"AAAAAD/vb/I=")</f>
        <v>#REF!</v>
      </c>
      <c r="IJ147" t="e">
        <f>AND(Sheet1!#REF!,"AAAAAD/vb/M=")</f>
        <v>#REF!</v>
      </c>
      <c r="IK147">
        <f>IF(Sheet1!1981:1981,"AAAAAD/vb/Q=",0)</f>
        <v>0</v>
      </c>
      <c r="IL147" t="e">
        <f>AND(Sheet1!A1981,"AAAAAD/vb/U=")</f>
        <v>#VALUE!</v>
      </c>
      <c r="IM147" t="e">
        <f>AND(Sheet1!B1981,"AAAAAD/vb/Y=")</f>
        <v>#VALUE!</v>
      </c>
      <c r="IN147" t="e">
        <f>AND(Sheet1!C1981,"AAAAAD/vb/c=")</f>
        <v>#VALUE!</v>
      </c>
      <c r="IO147" t="e">
        <f>AND(Sheet1!D1981,"AAAAAD/vb/g=")</f>
        <v>#VALUE!</v>
      </c>
      <c r="IP147" t="e">
        <f>AND(Sheet1!E1981,"AAAAAD/vb/k=")</f>
        <v>#VALUE!</v>
      </c>
      <c r="IQ147" t="e">
        <f>AND(Sheet1!F1981,"AAAAAD/vb/o=")</f>
        <v>#VALUE!</v>
      </c>
      <c r="IR147" t="e">
        <f>AND(Sheet1!G1981,"AAAAAD/vb/s=")</f>
        <v>#VALUE!</v>
      </c>
      <c r="IS147" t="e">
        <f>AND(Sheet1!H1981,"AAAAAD/vb/w=")</f>
        <v>#VALUE!</v>
      </c>
      <c r="IT147" t="e">
        <f>AND(Sheet1!I1981,"AAAAAD/vb/0=")</f>
        <v>#VALUE!</v>
      </c>
      <c r="IU147" t="e">
        <f>AND(Sheet1!J1981,"AAAAAD/vb/4=")</f>
        <v>#VALUE!</v>
      </c>
      <c r="IV147" t="e">
        <f>AND(Sheet1!K1981,"AAAAAD/vb/8=")</f>
        <v>#VALUE!</v>
      </c>
    </row>
    <row r="148" spans="1:256" x14ac:dyDescent="0.2">
      <c r="A148" t="e">
        <f>AND(Sheet1!L1981,"AAAAAHlz+QA=")</f>
        <v>#VALUE!</v>
      </c>
      <c r="B148" t="e">
        <f>AND(Sheet1!M1981,"AAAAAHlz+QE=")</f>
        <v>#VALUE!</v>
      </c>
      <c r="C148" t="e">
        <f>AND(Sheet1!N1981,"AAAAAHlz+QI=")</f>
        <v>#VALUE!</v>
      </c>
      <c r="D148" t="e">
        <f>AND(Sheet1!#REF!,"AAAAAHlz+QM=")</f>
        <v>#REF!</v>
      </c>
      <c r="E148" t="e">
        <f>AND(Sheet1!#REF!,"AAAAAHlz+QQ=")</f>
        <v>#REF!</v>
      </c>
      <c r="F148" t="e">
        <f>AND(Sheet1!#REF!,"AAAAAHlz+QU=")</f>
        <v>#REF!</v>
      </c>
      <c r="G148" t="e">
        <f>AND(Sheet1!#REF!,"AAAAAHlz+QY=")</f>
        <v>#REF!</v>
      </c>
      <c r="H148">
        <f>IF(Sheet1!1982:1982,"AAAAAHlz+Qc=",0)</f>
        <v>0</v>
      </c>
      <c r="I148" t="e">
        <f>AND(Sheet1!A1982,"AAAAAHlz+Qg=")</f>
        <v>#VALUE!</v>
      </c>
      <c r="J148" t="e">
        <f>AND(Sheet1!B1982,"AAAAAHlz+Qk=")</f>
        <v>#VALUE!</v>
      </c>
      <c r="K148" t="e">
        <f>AND(Sheet1!C1982,"AAAAAHlz+Qo=")</f>
        <v>#VALUE!</v>
      </c>
      <c r="L148" t="e">
        <f>AND(Sheet1!D1982,"AAAAAHlz+Qs=")</f>
        <v>#VALUE!</v>
      </c>
      <c r="M148" t="e">
        <f>AND(Sheet1!E1982,"AAAAAHlz+Qw=")</f>
        <v>#VALUE!</v>
      </c>
      <c r="N148" t="e">
        <f>AND(Sheet1!F1982,"AAAAAHlz+Q0=")</f>
        <v>#VALUE!</v>
      </c>
      <c r="O148" t="e">
        <f>AND(Sheet1!G1982,"AAAAAHlz+Q4=")</f>
        <v>#VALUE!</v>
      </c>
      <c r="P148" t="e">
        <f>AND(Sheet1!H1982,"AAAAAHlz+Q8=")</f>
        <v>#VALUE!</v>
      </c>
      <c r="Q148" t="e">
        <f>AND(Sheet1!I1982,"AAAAAHlz+RA=")</f>
        <v>#VALUE!</v>
      </c>
      <c r="R148" t="e">
        <f>AND(Sheet1!J1982,"AAAAAHlz+RE=")</f>
        <v>#VALUE!</v>
      </c>
      <c r="S148" t="e">
        <f>AND(Sheet1!K1982,"AAAAAHlz+RI=")</f>
        <v>#VALUE!</v>
      </c>
      <c r="T148" t="e">
        <f>AND(Sheet1!L1982,"AAAAAHlz+RM=")</f>
        <v>#VALUE!</v>
      </c>
      <c r="U148" t="e">
        <f>AND(Sheet1!M1982,"AAAAAHlz+RQ=")</f>
        <v>#VALUE!</v>
      </c>
      <c r="V148" t="e">
        <f>AND(Sheet1!N1982,"AAAAAHlz+RU=")</f>
        <v>#VALUE!</v>
      </c>
      <c r="W148" t="e">
        <f>AND(Sheet1!#REF!,"AAAAAHlz+RY=")</f>
        <v>#REF!</v>
      </c>
      <c r="X148" t="e">
        <f>AND(Sheet1!#REF!,"AAAAAHlz+Rc=")</f>
        <v>#REF!</v>
      </c>
      <c r="Y148" t="e">
        <f>AND(Sheet1!#REF!,"AAAAAHlz+Rg=")</f>
        <v>#REF!</v>
      </c>
      <c r="Z148" t="e">
        <f>AND(Sheet1!#REF!,"AAAAAHlz+Rk=")</f>
        <v>#REF!</v>
      </c>
      <c r="AA148">
        <f>IF(Sheet1!1983:1983,"AAAAAHlz+Ro=",0)</f>
        <v>0</v>
      </c>
      <c r="AB148" t="e">
        <f>AND(Sheet1!A1983,"AAAAAHlz+Rs=")</f>
        <v>#VALUE!</v>
      </c>
      <c r="AC148" t="e">
        <f>AND(Sheet1!B1983,"AAAAAHlz+Rw=")</f>
        <v>#VALUE!</v>
      </c>
      <c r="AD148" t="e">
        <f>AND(Sheet1!C1983,"AAAAAHlz+R0=")</f>
        <v>#VALUE!</v>
      </c>
      <c r="AE148" t="e">
        <f>AND(Sheet1!D1983,"AAAAAHlz+R4=")</f>
        <v>#VALUE!</v>
      </c>
      <c r="AF148" t="e">
        <f>AND(Sheet1!E1983,"AAAAAHlz+R8=")</f>
        <v>#VALUE!</v>
      </c>
      <c r="AG148" t="e">
        <f>AND(Sheet1!F1983,"AAAAAHlz+SA=")</f>
        <v>#VALUE!</v>
      </c>
      <c r="AH148" t="e">
        <f>AND(Sheet1!G1983,"AAAAAHlz+SE=")</f>
        <v>#VALUE!</v>
      </c>
      <c r="AI148" t="e">
        <f>AND(Sheet1!H1983,"AAAAAHlz+SI=")</f>
        <v>#VALUE!</v>
      </c>
      <c r="AJ148" t="e">
        <f>AND(Sheet1!I1983,"AAAAAHlz+SM=")</f>
        <v>#VALUE!</v>
      </c>
      <c r="AK148" t="e">
        <f>AND(Sheet1!J1983,"AAAAAHlz+SQ=")</f>
        <v>#VALUE!</v>
      </c>
      <c r="AL148" t="e">
        <f>AND(Sheet1!K1983,"AAAAAHlz+SU=")</f>
        <v>#VALUE!</v>
      </c>
      <c r="AM148" t="e">
        <f>AND(Sheet1!L1983,"AAAAAHlz+SY=")</f>
        <v>#VALUE!</v>
      </c>
      <c r="AN148" t="e">
        <f>AND(Sheet1!M1983,"AAAAAHlz+Sc=")</f>
        <v>#VALUE!</v>
      </c>
      <c r="AO148" t="e">
        <f>AND(Sheet1!N1983,"AAAAAHlz+Sg=")</f>
        <v>#VALUE!</v>
      </c>
      <c r="AP148" t="e">
        <f>AND(Sheet1!#REF!,"AAAAAHlz+Sk=")</f>
        <v>#REF!</v>
      </c>
      <c r="AQ148" t="e">
        <f>AND(Sheet1!#REF!,"AAAAAHlz+So=")</f>
        <v>#REF!</v>
      </c>
      <c r="AR148" t="e">
        <f>AND(Sheet1!#REF!,"AAAAAHlz+Ss=")</f>
        <v>#REF!</v>
      </c>
      <c r="AS148" t="e">
        <f>AND(Sheet1!#REF!,"AAAAAHlz+Sw=")</f>
        <v>#REF!</v>
      </c>
      <c r="AT148">
        <f>IF(Sheet1!1984:1984,"AAAAAHlz+S0=",0)</f>
        <v>0</v>
      </c>
      <c r="AU148" t="e">
        <f>AND(Sheet1!A1984,"AAAAAHlz+S4=")</f>
        <v>#VALUE!</v>
      </c>
      <c r="AV148" t="e">
        <f>AND(Sheet1!B1984,"AAAAAHlz+S8=")</f>
        <v>#VALUE!</v>
      </c>
      <c r="AW148" t="e">
        <f>AND(Sheet1!C1984,"AAAAAHlz+TA=")</f>
        <v>#VALUE!</v>
      </c>
      <c r="AX148" t="e">
        <f>AND(Sheet1!D1984,"AAAAAHlz+TE=")</f>
        <v>#VALUE!</v>
      </c>
      <c r="AY148" t="e">
        <f>AND(Sheet1!E1984,"AAAAAHlz+TI=")</f>
        <v>#VALUE!</v>
      </c>
      <c r="AZ148" t="e">
        <f>AND(Sheet1!F1984,"AAAAAHlz+TM=")</f>
        <v>#VALUE!</v>
      </c>
      <c r="BA148" t="e">
        <f>AND(Sheet1!G1984,"AAAAAHlz+TQ=")</f>
        <v>#VALUE!</v>
      </c>
      <c r="BB148" t="e">
        <f>AND(Sheet1!H1984,"AAAAAHlz+TU=")</f>
        <v>#VALUE!</v>
      </c>
      <c r="BC148" t="e">
        <f>AND(Sheet1!I1984,"AAAAAHlz+TY=")</f>
        <v>#VALUE!</v>
      </c>
      <c r="BD148" t="e">
        <f>AND(Sheet1!J1984,"AAAAAHlz+Tc=")</f>
        <v>#VALUE!</v>
      </c>
      <c r="BE148" t="e">
        <f>AND(Sheet1!K1984,"AAAAAHlz+Tg=")</f>
        <v>#VALUE!</v>
      </c>
      <c r="BF148" t="e">
        <f>AND(Sheet1!L1984,"AAAAAHlz+Tk=")</f>
        <v>#VALUE!</v>
      </c>
      <c r="BG148" t="e">
        <f>AND(Sheet1!M1984,"AAAAAHlz+To=")</f>
        <v>#VALUE!</v>
      </c>
      <c r="BH148" t="e">
        <f>AND(Sheet1!N1984,"AAAAAHlz+Ts=")</f>
        <v>#VALUE!</v>
      </c>
      <c r="BI148" t="e">
        <f>AND(Sheet1!#REF!,"AAAAAHlz+Tw=")</f>
        <v>#REF!</v>
      </c>
      <c r="BJ148" t="e">
        <f>AND(Sheet1!#REF!,"AAAAAHlz+T0=")</f>
        <v>#REF!</v>
      </c>
      <c r="BK148" t="e">
        <f>AND(Sheet1!#REF!,"AAAAAHlz+T4=")</f>
        <v>#REF!</v>
      </c>
      <c r="BL148" t="e">
        <f>AND(Sheet1!#REF!,"AAAAAHlz+T8=")</f>
        <v>#REF!</v>
      </c>
      <c r="BM148">
        <f>IF(Sheet1!1985:1985,"AAAAAHlz+UA=",0)</f>
        <v>0</v>
      </c>
      <c r="BN148" t="e">
        <f>AND(Sheet1!A1985,"AAAAAHlz+UE=")</f>
        <v>#VALUE!</v>
      </c>
      <c r="BO148" t="e">
        <f>AND(Sheet1!B1985,"AAAAAHlz+UI=")</f>
        <v>#VALUE!</v>
      </c>
      <c r="BP148" t="e">
        <f>AND(Sheet1!C1985,"AAAAAHlz+UM=")</f>
        <v>#VALUE!</v>
      </c>
      <c r="BQ148" t="e">
        <f>AND(Sheet1!D1985,"AAAAAHlz+UQ=")</f>
        <v>#VALUE!</v>
      </c>
      <c r="BR148" t="e">
        <f>AND(Sheet1!E1985,"AAAAAHlz+UU=")</f>
        <v>#VALUE!</v>
      </c>
      <c r="BS148" t="e">
        <f>AND(Sheet1!F1985,"AAAAAHlz+UY=")</f>
        <v>#VALUE!</v>
      </c>
      <c r="BT148" t="e">
        <f>AND(Sheet1!G1985,"AAAAAHlz+Uc=")</f>
        <v>#VALUE!</v>
      </c>
      <c r="BU148" t="e">
        <f>AND(Sheet1!H1985,"AAAAAHlz+Ug=")</f>
        <v>#VALUE!</v>
      </c>
      <c r="BV148" t="e">
        <f>AND(Sheet1!I1985,"AAAAAHlz+Uk=")</f>
        <v>#VALUE!</v>
      </c>
      <c r="BW148" t="e">
        <f>AND(Sheet1!J1985,"AAAAAHlz+Uo=")</f>
        <v>#VALUE!</v>
      </c>
      <c r="BX148" t="e">
        <f>AND(Sheet1!K1985,"AAAAAHlz+Us=")</f>
        <v>#VALUE!</v>
      </c>
      <c r="BY148" t="e">
        <f>AND(Sheet1!L1985,"AAAAAHlz+Uw=")</f>
        <v>#VALUE!</v>
      </c>
      <c r="BZ148" t="e">
        <f>AND(Sheet1!M1985,"AAAAAHlz+U0=")</f>
        <v>#VALUE!</v>
      </c>
      <c r="CA148" t="e">
        <f>AND(Sheet1!N1985,"AAAAAHlz+U4=")</f>
        <v>#VALUE!</v>
      </c>
      <c r="CB148" t="e">
        <f>AND(Sheet1!#REF!,"AAAAAHlz+U8=")</f>
        <v>#REF!</v>
      </c>
      <c r="CC148" t="e">
        <f>AND(Sheet1!#REF!,"AAAAAHlz+VA=")</f>
        <v>#REF!</v>
      </c>
      <c r="CD148" t="e">
        <f>AND(Sheet1!#REF!,"AAAAAHlz+VE=")</f>
        <v>#REF!</v>
      </c>
      <c r="CE148" t="e">
        <f>AND(Sheet1!#REF!,"AAAAAHlz+VI=")</f>
        <v>#REF!</v>
      </c>
      <c r="CF148">
        <f>IF(Sheet1!1986:1986,"AAAAAHlz+VM=",0)</f>
        <v>0</v>
      </c>
      <c r="CG148" t="e">
        <f>AND(Sheet1!A1986,"AAAAAHlz+VQ=")</f>
        <v>#VALUE!</v>
      </c>
      <c r="CH148" t="e">
        <f>AND(Sheet1!B1986,"AAAAAHlz+VU=")</f>
        <v>#VALUE!</v>
      </c>
      <c r="CI148" t="e">
        <f>AND(Sheet1!C1986,"AAAAAHlz+VY=")</f>
        <v>#VALUE!</v>
      </c>
      <c r="CJ148" t="e">
        <f>AND(Sheet1!D1986,"AAAAAHlz+Vc=")</f>
        <v>#VALUE!</v>
      </c>
      <c r="CK148" t="e">
        <f>AND(Sheet1!E1986,"AAAAAHlz+Vg=")</f>
        <v>#VALUE!</v>
      </c>
      <c r="CL148" t="e">
        <f>AND(Sheet1!F1986,"AAAAAHlz+Vk=")</f>
        <v>#VALUE!</v>
      </c>
      <c r="CM148" t="e">
        <f>AND(Sheet1!G1986,"AAAAAHlz+Vo=")</f>
        <v>#VALUE!</v>
      </c>
      <c r="CN148" t="e">
        <f>AND(Sheet1!H1986,"AAAAAHlz+Vs=")</f>
        <v>#VALUE!</v>
      </c>
      <c r="CO148" t="e">
        <f>AND(Sheet1!I1986,"AAAAAHlz+Vw=")</f>
        <v>#VALUE!</v>
      </c>
      <c r="CP148" t="e">
        <f>AND(Sheet1!J1986,"AAAAAHlz+V0=")</f>
        <v>#VALUE!</v>
      </c>
      <c r="CQ148" t="e">
        <f>AND(Sheet1!K1986,"AAAAAHlz+V4=")</f>
        <v>#VALUE!</v>
      </c>
      <c r="CR148" t="e">
        <f>AND(Sheet1!L1986,"AAAAAHlz+V8=")</f>
        <v>#VALUE!</v>
      </c>
      <c r="CS148" t="e">
        <f>AND(Sheet1!M1986,"AAAAAHlz+WA=")</f>
        <v>#VALUE!</v>
      </c>
      <c r="CT148" t="e">
        <f>AND(Sheet1!N1986,"AAAAAHlz+WE=")</f>
        <v>#VALUE!</v>
      </c>
      <c r="CU148" t="e">
        <f>AND(Sheet1!#REF!,"AAAAAHlz+WI=")</f>
        <v>#REF!</v>
      </c>
      <c r="CV148" t="e">
        <f>AND(Sheet1!#REF!,"AAAAAHlz+WM=")</f>
        <v>#REF!</v>
      </c>
      <c r="CW148" t="e">
        <f>AND(Sheet1!#REF!,"AAAAAHlz+WQ=")</f>
        <v>#REF!</v>
      </c>
      <c r="CX148" t="e">
        <f>AND(Sheet1!#REF!,"AAAAAHlz+WU=")</f>
        <v>#REF!</v>
      </c>
      <c r="CY148">
        <f>IF(Sheet1!1987:1987,"AAAAAHlz+WY=",0)</f>
        <v>0</v>
      </c>
      <c r="CZ148" t="e">
        <f>AND(Sheet1!A1987,"AAAAAHlz+Wc=")</f>
        <v>#VALUE!</v>
      </c>
      <c r="DA148" t="e">
        <f>AND(Sheet1!B1987,"AAAAAHlz+Wg=")</f>
        <v>#VALUE!</v>
      </c>
      <c r="DB148" t="e">
        <f>AND(Sheet1!C1987,"AAAAAHlz+Wk=")</f>
        <v>#VALUE!</v>
      </c>
      <c r="DC148" t="e">
        <f>AND(Sheet1!D1987,"AAAAAHlz+Wo=")</f>
        <v>#VALUE!</v>
      </c>
      <c r="DD148" t="e">
        <f>AND(Sheet1!E1987,"AAAAAHlz+Ws=")</f>
        <v>#VALUE!</v>
      </c>
      <c r="DE148" t="e">
        <f>AND(Sheet1!F1987,"AAAAAHlz+Ww=")</f>
        <v>#VALUE!</v>
      </c>
      <c r="DF148" t="e">
        <f>AND(Sheet1!G1987,"AAAAAHlz+W0=")</f>
        <v>#VALUE!</v>
      </c>
      <c r="DG148" t="e">
        <f>AND(Sheet1!H1987,"AAAAAHlz+W4=")</f>
        <v>#VALUE!</v>
      </c>
      <c r="DH148" t="e">
        <f>AND(Sheet1!I1987,"AAAAAHlz+W8=")</f>
        <v>#VALUE!</v>
      </c>
      <c r="DI148" t="e">
        <f>AND(Sheet1!J1987,"AAAAAHlz+XA=")</f>
        <v>#VALUE!</v>
      </c>
      <c r="DJ148" t="e">
        <f>AND(Sheet1!K1987,"AAAAAHlz+XE=")</f>
        <v>#VALUE!</v>
      </c>
      <c r="DK148" t="e">
        <f>AND(Sheet1!L1987,"AAAAAHlz+XI=")</f>
        <v>#VALUE!</v>
      </c>
      <c r="DL148" t="e">
        <f>AND(Sheet1!M1987,"AAAAAHlz+XM=")</f>
        <v>#VALUE!</v>
      </c>
      <c r="DM148" t="e">
        <f>AND(Sheet1!N1987,"AAAAAHlz+XQ=")</f>
        <v>#VALUE!</v>
      </c>
      <c r="DN148" t="e">
        <f>AND(Sheet1!#REF!,"AAAAAHlz+XU=")</f>
        <v>#REF!</v>
      </c>
      <c r="DO148" t="e">
        <f>AND(Sheet1!#REF!,"AAAAAHlz+XY=")</f>
        <v>#REF!</v>
      </c>
      <c r="DP148" t="e">
        <f>AND(Sheet1!#REF!,"AAAAAHlz+Xc=")</f>
        <v>#REF!</v>
      </c>
      <c r="DQ148" t="e">
        <f>AND(Sheet1!#REF!,"AAAAAHlz+Xg=")</f>
        <v>#REF!</v>
      </c>
      <c r="DR148">
        <f>IF(Sheet1!1988:1988,"AAAAAHlz+Xk=",0)</f>
        <v>0</v>
      </c>
      <c r="DS148" t="e">
        <f>AND(Sheet1!A1988,"AAAAAHlz+Xo=")</f>
        <v>#VALUE!</v>
      </c>
      <c r="DT148" t="e">
        <f>AND(Sheet1!B1988,"AAAAAHlz+Xs=")</f>
        <v>#VALUE!</v>
      </c>
      <c r="DU148" t="e">
        <f>AND(Sheet1!C1988,"AAAAAHlz+Xw=")</f>
        <v>#VALUE!</v>
      </c>
      <c r="DV148" t="e">
        <f>AND(Sheet1!D1988,"AAAAAHlz+X0=")</f>
        <v>#VALUE!</v>
      </c>
      <c r="DW148" t="e">
        <f>AND(Sheet1!E1988,"AAAAAHlz+X4=")</f>
        <v>#VALUE!</v>
      </c>
      <c r="DX148" t="e">
        <f>AND(Sheet1!F1988,"AAAAAHlz+X8=")</f>
        <v>#VALUE!</v>
      </c>
      <c r="DY148" t="e">
        <f>AND(Sheet1!G1988,"AAAAAHlz+YA=")</f>
        <v>#VALUE!</v>
      </c>
      <c r="DZ148" t="e">
        <f>AND(Sheet1!H1988,"AAAAAHlz+YE=")</f>
        <v>#VALUE!</v>
      </c>
      <c r="EA148" t="e">
        <f>AND(Sheet1!I1988,"AAAAAHlz+YI=")</f>
        <v>#VALUE!</v>
      </c>
      <c r="EB148" t="e">
        <f>AND(Sheet1!J1988,"AAAAAHlz+YM=")</f>
        <v>#VALUE!</v>
      </c>
      <c r="EC148" t="e">
        <f>AND(Sheet1!K1988,"AAAAAHlz+YQ=")</f>
        <v>#VALUE!</v>
      </c>
      <c r="ED148" t="e">
        <f>AND(Sheet1!L1988,"AAAAAHlz+YU=")</f>
        <v>#VALUE!</v>
      </c>
      <c r="EE148" t="e">
        <f>AND(Sheet1!M1988,"AAAAAHlz+YY=")</f>
        <v>#VALUE!</v>
      </c>
      <c r="EF148" t="e">
        <f>AND(Sheet1!N1988,"AAAAAHlz+Yc=")</f>
        <v>#VALUE!</v>
      </c>
      <c r="EG148" t="e">
        <f>AND(Sheet1!#REF!,"AAAAAHlz+Yg=")</f>
        <v>#REF!</v>
      </c>
      <c r="EH148" t="e">
        <f>AND(Sheet1!#REF!,"AAAAAHlz+Yk=")</f>
        <v>#REF!</v>
      </c>
      <c r="EI148" t="e">
        <f>AND(Sheet1!#REF!,"AAAAAHlz+Yo=")</f>
        <v>#REF!</v>
      </c>
      <c r="EJ148" t="e">
        <f>AND(Sheet1!#REF!,"AAAAAHlz+Ys=")</f>
        <v>#REF!</v>
      </c>
      <c r="EK148">
        <f>IF(Sheet1!1989:1989,"AAAAAHlz+Yw=",0)</f>
        <v>0</v>
      </c>
      <c r="EL148" t="e">
        <f>AND(Sheet1!A1989,"AAAAAHlz+Y0=")</f>
        <v>#VALUE!</v>
      </c>
      <c r="EM148" t="e">
        <f>AND(Sheet1!B1989,"AAAAAHlz+Y4=")</f>
        <v>#VALUE!</v>
      </c>
      <c r="EN148" t="e">
        <f>AND(Sheet1!C1989,"AAAAAHlz+Y8=")</f>
        <v>#VALUE!</v>
      </c>
      <c r="EO148" t="e">
        <f>AND(Sheet1!D1989,"AAAAAHlz+ZA=")</f>
        <v>#VALUE!</v>
      </c>
      <c r="EP148" t="e">
        <f>AND(Sheet1!E1989,"AAAAAHlz+ZE=")</f>
        <v>#VALUE!</v>
      </c>
      <c r="EQ148" t="e">
        <f>AND(Sheet1!F1989,"AAAAAHlz+ZI=")</f>
        <v>#VALUE!</v>
      </c>
      <c r="ER148" t="e">
        <f>AND(Sheet1!G1989,"AAAAAHlz+ZM=")</f>
        <v>#VALUE!</v>
      </c>
      <c r="ES148" t="e">
        <f>AND(Sheet1!H1989,"AAAAAHlz+ZQ=")</f>
        <v>#VALUE!</v>
      </c>
      <c r="ET148" t="e">
        <f>AND(Sheet1!I1989,"AAAAAHlz+ZU=")</f>
        <v>#VALUE!</v>
      </c>
      <c r="EU148" t="e">
        <f>AND(Sheet1!J1989,"AAAAAHlz+ZY=")</f>
        <v>#VALUE!</v>
      </c>
      <c r="EV148" t="e">
        <f>AND(Sheet1!K1989,"AAAAAHlz+Zc=")</f>
        <v>#VALUE!</v>
      </c>
      <c r="EW148" t="e">
        <f>AND(Sheet1!L1989,"AAAAAHlz+Zg=")</f>
        <v>#VALUE!</v>
      </c>
      <c r="EX148" t="e">
        <f>AND(Sheet1!M1989,"AAAAAHlz+Zk=")</f>
        <v>#VALUE!</v>
      </c>
      <c r="EY148" t="e">
        <f>AND(Sheet1!N1989,"AAAAAHlz+Zo=")</f>
        <v>#VALUE!</v>
      </c>
      <c r="EZ148" t="e">
        <f>AND(Sheet1!#REF!,"AAAAAHlz+Zs=")</f>
        <v>#REF!</v>
      </c>
      <c r="FA148" t="e">
        <f>AND(Sheet1!#REF!,"AAAAAHlz+Zw=")</f>
        <v>#REF!</v>
      </c>
      <c r="FB148" t="e">
        <f>AND(Sheet1!#REF!,"AAAAAHlz+Z0=")</f>
        <v>#REF!</v>
      </c>
      <c r="FC148" t="e">
        <f>AND(Sheet1!#REF!,"AAAAAHlz+Z4=")</f>
        <v>#REF!</v>
      </c>
      <c r="FD148">
        <f>IF(Sheet1!1990:1990,"AAAAAHlz+Z8=",0)</f>
        <v>0</v>
      </c>
      <c r="FE148" t="e">
        <f>AND(Sheet1!A1990,"AAAAAHlz+aA=")</f>
        <v>#VALUE!</v>
      </c>
      <c r="FF148" t="e">
        <f>AND(Sheet1!B1990,"AAAAAHlz+aE=")</f>
        <v>#VALUE!</v>
      </c>
      <c r="FG148" t="e">
        <f>AND(Sheet1!C1990,"AAAAAHlz+aI=")</f>
        <v>#VALUE!</v>
      </c>
      <c r="FH148" t="e">
        <f>AND(Sheet1!D1990,"AAAAAHlz+aM=")</f>
        <v>#VALUE!</v>
      </c>
      <c r="FI148" t="e">
        <f>AND(Sheet1!E1990,"AAAAAHlz+aQ=")</f>
        <v>#VALUE!</v>
      </c>
      <c r="FJ148" t="e">
        <f>AND(Sheet1!F1990,"AAAAAHlz+aU=")</f>
        <v>#VALUE!</v>
      </c>
      <c r="FK148" t="e">
        <f>AND(Sheet1!G1990,"AAAAAHlz+aY=")</f>
        <v>#VALUE!</v>
      </c>
      <c r="FL148" t="e">
        <f>AND(Sheet1!H1990,"AAAAAHlz+ac=")</f>
        <v>#VALUE!</v>
      </c>
      <c r="FM148" t="e">
        <f>AND(Sheet1!I1990,"AAAAAHlz+ag=")</f>
        <v>#VALUE!</v>
      </c>
      <c r="FN148" t="e">
        <f>AND(Sheet1!J1990,"AAAAAHlz+ak=")</f>
        <v>#VALUE!</v>
      </c>
      <c r="FO148" t="e">
        <f>AND(Sheet1!K1990,"AAAAAHlz+ao=")</f>
        <v>#VALUE!</v>
      </c>
      <c r="FP148" t="e">
        <f>AND(Sheet1!L1990,"AAAAAHlz+as=")</f>
        <v>#VALUE!</v>
      </c>
      <c r="FQ148" t="e">
        <f>AND(Sheet1!M1990,"AAAAAHlz+aw=")</f>
        <v>#VALUE!</v>
      </c>
      <c r="FR148" t="e">
        <f>AND(Sheet1!N1990,"AAAAAHlz+a0=")</f>
        <v>#VALUE!</v>
      </c>
      <c r="FS148" t="e">
        <f>AND(Sheet1!#REF!,"AAAAAHlz+a4=")</f>
        <v>#REF!</v>
      </c>
      <c r="FT148" t="e">
        <f>AND(Sheet1!#REF!,"AAAAAHlz+a8=")</f>
        <v>#REF!</v>
      </c>
      <c r="FU148" t="e">
        <f>AND(Sheet1!#REF!,"AAAAAHlz+bA=")</f>
        <v>#REF!</v>
      </c>
      <c r="FV148" t="e">
        <f>AND(Sheet1!#REF!,"AAAAAHlz+bE=")</f>
        <v>#REF!</v>
      </c>
      <c r="FW148">
        <f>IF(Sheet1!1991:1991,"AAAAAHlz+bI=",0)</f>
        <v>0</v>
      </c>
      <c r="FX148" t="e">
        <f>AND(Sheet1!A1991,"AAAAAHlz+bM=")</f>
        <v>#VALUE!</v>
      </c>
      <c r="FY148" t="e">
        <f>AND(Sheet1!B1991,"AAAAAHlz+bQ=")</f>
        <v>#VALUE!</v>
      </c>
      <c r="FZ148" t="e">
        <f>AND(Sheet1!C1991,"AAAAAHlz+bU=")</f>
        <v>#VALUE!</v>
      </c>
      <c r="GA148" t="e">
        <f>AND(Sheet1!D1991,"AAAAAHlz+bY=")</f>
        <v>#VALUE!</v>
      </c>
      <c r="GB148" t="e">
        <f>AND(Sheet1!E1991,"AAAAAHlz+bc=")</f>
        <v>#VALUE!</v>
      </c>
      <c r="GC148" t="e">
        <f>AND(Sheet1!F1991,"AAAAAHlz+bg=")</f>
        <v>#VALUE!</v>
      </c>
      <c r="GD148" t="e">
        <f>AND(Sheet1!G1991,"AAAAAHlz+bk=")</f>
        <v>#VALUE!</v>
      </c>
      <c r="GE148" t="e">
        <f>AND(Sheet1!H1991,"AAAAAHlz+bo=")</f>
        <v>#VALUE!</v>
      </c>
      <c r="GF148" t="e">
        <f>AND(Sheet1!I1991,"AAAAAHlz+bs=")</f>
        <v>#VALUE!</v>
      </c>
      <c r="GG148" t="e">
        <f>AND(Sheet1!J1991,"AAAAAHlz+bw=")</f>
        <v>#VALUE!</v>
      </c>
      <c r="GH148" t="e">
        <f>AND(Sheet1!K1991,"AAAAAHlz+b0=")</f>
        <v>#VALUE!</v>
      </c>
      <c r="GI148" t="e">
        <f>AND(Sheet1!L1991,"AAAAAHlz+b4=")</f>
        <v>#VALUE!</v>
      </c>
      <c r="GJ148" t="e">
        <f>AND(Sheet1!M1991,"AAAAAHlz+b8=")</f>
        <v>#VALUE!</v>
      </c>
      <c r="GK148" t="e">
        <f>AND(Sheet1!N1991,"AAAAAHlz+cA=")</f>
        <v>#VALUE!</v>
      </c>
      <c r="GL148" t="e">
        <f>AND(Sheet1!#REF!,"AAAAAHlz+cE=")</f>
        <v>#REF!</v>
      </c>
      <c r="GM148" t="e">
        <f>AND(Sheet1!#REF!,"AAAAAHlz+cI=")</f>
        <v>#REF!</v>
      </c>
      <c r="GN148" t="e">
        <f>AND(Sheet1!#REF!,"AAAAAHlz+cM=")</f>
        <v>#REF!</v>
      </c>
      <c r="GO148" t="e">
        <f>AND(Sheet1!#REF!,"AAAAAHlz+cQ=")</f>
        <v>#REF!</v>
      </c>
      <c r="GP148">
        <f>IF(Sheet1!1992:1992,"AAAAAHlz+cU=",0)</f>
        <v>0</v>
      </c>
      <c r="GQ148" t="e">
        <f>AND(Sheet1!A1992,"AAAAAHlz+cY=")</f>
        <v>#VALUE!</v>
      </c>
      <c r="GR148" t="e">
        <f>AND(Sheet1!B1992,"AAAAAHlz+cc=")</f>
        <v>#VALUE!</v>
      </c>
      <c r="GS148" t="e">
        <f>AND(Sheet1!C1992,"AAAAAHlz+cg=")</f>
        <v>#VALUE!</v>
      </c>
      <c r="GT148" t="e">
        <f>AND(Sheet1!D1992,"AAAAAHlz+ck=")</f>
        <v>#VALUE!</v>
      </c>
      <c r="GU148" t="e">
        <f>AND(Sheet1!E1992,"AAAAAHlz+co=")</f>
        <v>#VALUE!</v>
      </c>
      <c r="GV148" t="e">
        <f>AND(Sheet1!F1992,"AAAAAHlz+cs=")</f>
        <v>#VALUE!</v>
      </c>
      <c r="GW148" t="e">
        <f>AND(Sheet1!G1992,"AAAAAHlz+cw=")</f>
        <v>#VALUE!</v>
      </c>
      <c r="GX148" t="e">
        <f>AND(Sheet1!H1992,"AAAAAHlz+c0=")</f>
        <v>#VALUE!</v>
      </c>
      <c r="GY148" t="e">
        <f>AND(Sheet1!I1992,"AAAAAHlz+c4=")</f>
        <v>#VALUE!</v>
      </c>
      <c r="GZ148" t="e">
        <f>AND(Sheet1!J1992,"AAAAAHlz+c8=")</f>
        <v>#VALUE!</v>
      </c>
      <c r="HA148" t="e">
        <f>AND(Sheet1!K1992,"AAAAAHlz+dA=")</f>
        <v>#VALUE!</v>
      </c>
      <c r="HB148" t="e">
        <f>AND(Sheet1!L1992,"AAAAAHlz+dE=")</f>
        <v>#VALUE!</v>
      </c>
      <c r="HC148" t="e">
        <f>AND(Sheet1!M1992,"AAAAAHlz+dI=")</f>
        <v>#VALUE!</v>
      </c>
      <c r="HD148" t="e">
        <f>AND(Sheet1!N1992,"AAAAAHlz+dM=")</f>
        <v>#VALUE!</v>
      </c>
      <c r="HE148" t="e">
        <f>AND(Sheet1!#REF!,"AAAAAHlz+dQ=")</f>
        <v>#REF!</v>
      </c>
      <c r="HF148" t="e">
        <f>AND(Sheet1!#REF!,"AAAAAHlz+dU=")</f>
        <v>#REF!</v>
      </c>
      <c r="HG148" t="e">
        <f>AND(Sheet1!#REF!,"AAAAAHlz+dY=")</f>
        <v>#REF!</v>
      </c>
      <c r="HH148" t="e">
        <f>AND(Sheet1!#REF!,"AAAAAHlz+dc=")</f>
        <v>#REF!</v>
      </c>
      <c r="HI148">
        <f>IF(Sheet1!1993:1993,"AAAAAHlz+dg=",0)</f>
        <v>0</v>
      </c>
      <c r="HJ148" t="e">
        <f>AND(Sheet1!A1993,"AAAAAHlz+dk=")</f>
        <v>#VALUE!</v>
      </c>
      <c r="HK148" t="e">
        <f>AND(Sheet1!B1993,"AAAAAHlz+do=")</f>
        <v>#VALUE!</v>
      </c>
      <c r="HL148" t="e">
        <f>AND(Sheet1!C1993,"AAAAAHlz+ds=")</f>
        <v>#VALUE!</v>
      </c>
      <c r="HM148" t="e">
        <f>AND(Sheet1!D1993,"AAAAAHlz+dw=")</f>
        <v>#VALUE!</v>
      </c>
      <c r="HN148" t="e">
        <f>AND(Sheet1!E1993,"AAAAAHlz+d0=")</f>
        <v>#VALUE!</v>
      </c>
      <c r="HO148" t="e">
        <f>AND(Sheet1!F1993,"AAAAAHlz+d4=")</f>
        <v>#VALUE!</v>
      </c>
      <c r="HP148" t="e">
        <f>AND(Sheet1!G1993,"AAAAAHlz+d8=")</f>
        <v>#VALUE!</v>
      </c>
      <c r="HQ148" t="e">
        <f>AND(Sheet1!H1993,"AAAAAHlz+eA=")</f>
        <v>#VALUE!</v>
      </c>
      <c r="HR148" t="e">
        <f>AND(Sheet1!I1993,"AAAAAHlz+eE=")</f>
        <v>#VALUE!</v>
      </c>
      <c r="HS148" t="e">
        <f>AND(Sheet1!J1993,"AAAAAHlz+eI=")</f>
        <v>#VALUE!</v>
      </c>
      <c r="HT148" t="e">
        <f>AND(Sheet1!K1993,"AAAAAHlz+eM=")</f>
        <v>#VALUE!</v>
      </c>
      <c r="HU148" t="e">
        <f>AND(Sheet1!L1993,"AAAAAHlz+eQ=")</f>
        <v>#VALUE!</v>
      </c>
      <c r="HV148" t="e">
        <f>AND(Sheet1!M1993,"AAAAAHlz+eU=")</f>
        <v>#VALUE!</v>
      </c>
      <c r="HW148" t="e">
        <f>AND(Sheet1!N1993,"AAAAAHlz+eY=")</f>
        <v>#VALUE!</v>
      </c>
      <c r="HX148" t="e">
        <f>AND(Sheet1!#REF!,"AAAAAHlz+ec=")</f>
        <v>#REF!</v>
      </c>
      <c r="HY148" t="e">
        <f>AND(Sheet1!#REF!,"AAAAAHlz+eg=")</f>
        <v>#REF!</v>
      </c>
      <c r="HZ148" t="e">
        <f>AND(Sheet1!#REF!,"AAAAAHlz+ek=")</f>
        <v>#REF!</v>
      </c>
      <c r="IA148" t="e">
        <f>AND(Sheet1!#REF!,"AAAAAHlz+eo=")</f>
        <v>#REF!</v>
      </c>
      <c r="IB148">
        <f>IF(Sheet1!1994:1994,"AAAAAHlz+es=",0)</f>
        <v>0</v>
      </c>
      <c r="IC148" t="e">
        <f>AND(Sheet1!A1994,"AAAAAHlz+ew=")</f>
        <v>#VALUE!</v>
      </c>
      <c r="ID148" t="e">
        <f>AND(Sheet1!B1994,"AAAAAHlz+e0=")</f>
        <v>#VALUE!</v>
      </c>
      <c r="IE148" t="e">
        <f>AND(Sheet1!C1994,"AAAAAHlz+e4=")</f>
        <v>#VALUE!</v>
      </c>
      <c r="IF148" t="e">
        <f>AND(Sheet1!D1994,"AAAAAHlz+e8=")</f>
        <v>#VALUE!</v>
      </c>
      <c r="IG148" t="e">
        <f>AND(Sheet1!E1994,"AAAAAHlz+fA=")</f>
        <v>#VALUE!</v>
      </c>
      <c r="IH148" t="e">
        <f>AND(Sheet1!F1994,"AAAAAHlz+fE=")</f>
        <v>#VALUE!</v>
      </c>
      <c r="II148" t="e">
        <f>AND(Sheet1!G1994,"AAAAAHlz+fI=")</f>
        <v>#VALUE!</v>
      </c>
      <c r="IJ148" t="e">
        <f>AND(Sheet1!H1994,"AAAAAHlz+fM=")</f>
        <v>#VALUE!</v>
      </c>
      <c r="IK148" t="e">
        <f>AND(Sheet1!I1994,"AAAAAHlz+fQ=")</f>
        <v>#VALUE!</v>
      </c>
      <c r="IL148" t="e">
        <f>AND(Sheet1!J1994,"AAAAAHlz+fU=")</f>
        <v>#VALUE!</v>
      </c>
      <c r="IM148" t="e">
        <f>AND(Sheet1!K1994,"AAAAAHlz+fY=")</f>
        <v>#VALUE!</v>
      </c>
      <c r="IN148" t="e">
        <f>AND(Sheet1!L1994,"AAAAAHlz+fc=")</f>
        <v>#VALUE!</v>
      </c>
      <c r="IO148" t="e">
        <f>AND(Sheet1!M1994,"AAAAAHlz+fg=")</f>
        <v>#VALUE!</v>
      </c>
      <c r="IP148" t="e">
        <f>AND(Sheet1!N1994,"AAAAAHlz+fk=")</f>
        <v>#VALUE!</v>
      </c>
      <c r="IQ148" t="e">
        <f>AND(Sheet1!#REF!,"AAAAAHlz+fo=")</f>
        <v>#REF!</v>
      </c>
      <c r="IR148" t="e">
        <f>AND(Sheet1!#REF!,"AAAAAHlz+fs=")</f>
        <v>#REF!</v>
      </c>
      <c r="IS148" t="e">
        <f>AND(Sheet1!#REF!,"AAAAAHlz+fw=")</f>
        <v>#REF!</v>
      </c>
      <c r="IT148" t="e">
        <f>AND(Sheet1!#REF!,"AAAAAHlz+f0=")</f>
        <v>#REF!</v>
      </c>
      <c r="IU148">
        <f>IF(Sheet1!1995:1995,"AAAAAHlz+f4=",0)</f>
        <v>0</v>
      </c>
      <c r="IV148" t="e">
        <f>AND(Sheet1!A1995,"AAAAAHlz+f8=")</f>
        <v>#VALUE!</v>
      </c>
    </row>
    <row r="149" spans="1:256" x14ac:dyDescent="0.2">
      <c r="A149" t="e">
        <f>AND(Sheet1!B1995,"AAAAADb38QA=")</f>
        <v>#VALUE!</v>
      </c>
      <c r="B149" t="e">
        <f>AND(Sheet1!C1995,"AAAAADb38QE=")</f>
        <v>#VALUE!</v>
      </c>
      <c r="C149" t="e">
        <f>AND(Sheet1!D1995,"AAAAADb38QI=")</f>
        <v>#VALUE!</v>
      </c>
      <c r="D149" t="e">
        <f>AND(Sheet1!E1995,"AAAAADb38QM=")</f>
        <v>#VALUE!</v>
      </c>
      <c r="E149" t="e">
        <f>AND(Sheet1!F1995,"AAAAADb38QQ=")</f>
        <v>#VALUE!</v>
      </c>
      <c r="F149" t="e">
        <f>AND(Sheet1!G1995,"AAAAADb38QU=")</f>
        <v>#VALUE!</v>
      </c>
      <c r="G149" t="e">
        <f>AND(Sheet1!H1995,"AAAAADb38QY=")</f>
        <v>#VALUE!</v>
      </c>
      <c r="H149" t="e">
        <f>AND(Sheet1!I1995,"AAAAADb38Qc=")</f>
        <v>#VALUE!</v>
      </c>
      <c r="I149" t="e">
        <f>AND(Sheet1!J1995,"AAAAADb38Qg=")</f>
        <v>#VALUE!</v>
      </c>
      <c r="J149" t="e">
        <f>AND(Sheet1!K1995,"AAAAADb38Qk=")</f>
        <v>#VALUE!</v>
      </c>
      <c r="K149" t="e">
        <f>AND(Sheet1!L1995,"AAAAADb38Qo=")</f>
        <v>#VALUE!</v>
      </c>
      <c r="L149" t="e">
        <f>AND(Sheet1!M1995,"AAAAADb38Qs=")</f>
        <v>#VALUE!</v>
      </c>
      <c r="M149" t="e">
        <f>AND(Sheet1!N1995,"AAAAADb38Qw=")</f>
        <v>#VALUE!</v>
      </c>
      <c r="N149" t="e">
        <f>AND(Sheet1!#REF!,"AAAAADb38Q0=")</f>
        <v>#REF!</v>
      </c>
      <c r="O149" t="e">
        <f>AND(Sheet1!#REF!,"AAAAADb38Q4=")</f>
        <v>#REF!</v>
      </c>
      <c r="P149" t="e">
        <f>AND(Sheet1!#REF!,"AAAAADb38Q8=")</f>
        <v>#REF!</v>
      </c>
      <c r="Q149" t="e">
        <f>AND(Sheet1!#REF!,"AAAAADb38RA=")</f>
        <v>#REF!</v>
      </c>
      <c r="R149">
        <f>IF(Sheet1!1996:1996,"AAAAADb38RE=",0)</f>
        <v>0</v>
      </c>
      <c r="S149" t="e">
        <f>AND(Sheet1!A1996,"AAAAADb38RI=")</f>
        <v>#VALUE!</v>
      </c>
      <c r="T149" t="e">
        <f>AND(Sheet1!B1996,"AAAAADb38RM=")</f>
        <v>#VALUE!</v>
      </c>
      <c r="U149" t="e">
        <f>AND(Sheet1!C1996,"AAAAADb38RQ=")</f>
        <v>#VALUE!</v>
      </c>
      <c r="V149" t="e">
        <f>AND(Sheet1!D1996,"AAAAADb38RU=")</f>
        <v>#VALUE!</v>
      </c>
      <c r="W149" t="e">
        <f>AND(Sheet1!E1996,"AAAAADb38RY=")</f>
        <v>#VALUE!</v>
      </c>
      <c r="X149" t="e">
        <f>AND(Sheet1!F1996,"AAAAADb38Rc=")</f>
        <v>#VALUE!</v>
      </c>
      <c r="Y149" t="e">
        <f>AND(Sheet1!G1996,"AAAAADb38Rg=")</f>
        <v>#VALUE!</v>
      </c>
      <c r="Z149" t="e">
        <f>AND(Sheet1!H1996,"AAAAADb38Rk=")</f>
        <v>#VALUE!</v>
      </c>
      <c r="AA149" t="e">
        <f>AND(Sheet1!I1996,"AAAAADb38Ro=")</f>
        <v>#VALUE!</v>
      </c>
      <c r="AB149" t="e">
        <f>AND(Sheet1!J1996,"AAAAADb38Rs=")</f>
        <v>#VALUE!</v>
      </c>
      <c r="AC149" t="e">
        <f>AND(Sheet1!K1996,"AAAAADb38Rw=")</f>
        <v>#VALUE!</v>
      </c>
      <c r="AD149" t="e">
        <f>AND(Sheet1!L1996,"AAAAADb38R0=")</f>
        <v>#VALUE!</v>
      </c>
      <c r="AE149" t="e">
        <f>AND(Sheet1!M1996,"AAAAADb38R4=")</f>
        <v>#VALUE!</v>
      </c>
      <c r="AF149" t="e">
        <f>AND(Sheet1!N1996,"AAAAADb38R8=")</f>
        <v>#VALUE!</v>
      </c>
      <c r="AG149" t="e">
        <f>AND(Sheet1!#REF!,"AAAAADb38SA=")</f>
        <v>#REF!</v>
      </c>
      <c r="AH149" t="e">
        <f>AND(Sheet1!#REF!,"AAAAADb38SE=")</f>
        <v>#REF!</v>
      </c>
      <c r="AI149" t="e">
        <f>AND(Sheet1!#REF!,"AAAAADb38SI=")</f>
        <v>#REF!</v>
      </c>
      <c r="AJ149" t="e">
        <f>AND(Sheet1!#REF!,"AAAAADb38SM=")</f>
        <v>#REF!</v>
      </c>
      <c r="AK149">
        <f>IF(Sheet1!1997:1997,"AAAAADb38SQ=",0)</f>
        <v>0</v>
      </c>
      <c r="AL149" t="e">
        <f>AND(Sheet1!A1997,"AAAAADb38SU=")</f>
        <v>#VALUE!</v>
      </c>
      <c r="AM149" t="e">
        <f>AND(Sheet1!B1997,"AAAAADb38SY=")</f>
        <v>#VALUE!</v>
      </c>
      <c r="AN149" t="e">
        <f>AND(Sheet1!C1997,"AAAAADb38Sc=")</f>
        <v>#VALUE!</v>
      </c>
      <c r="AO149" t="e">
        <f>AND(Sheet1!D1997,"AAAAADb38Sg=")</f>
        <v>#VALUE!</v>
      </c>
      <c r="AP149" t="e">
        <f>AND(Sheet1!E1997,"AAAAADb38Sk=")</f>
        <v>#VALUE!</v>
      </c>
      <c r="AQ149" t="e">
        <f>AND(Sheet1!F1997,"AAAAADb38So=")</f>
        <v>#VALUE!</v>
      </c>
      <c r="AR149" t="e">
        <f>AND(Sheet1!G1997,"AAAAADb38Ss=")</f>
        <v>#VALUE!</v>
      </c>
      <c r="AS149" t="e">
        <f>AND(Sheet1!H1997,"AAAAADb38Sw=")</f>
        <v>#VALUE!</v>
      </c>
      <c r="AT149" t="e">
        <f>AND(Sheet1!I1997,"AAAAADb38S0=")</f>
        <v>#VALUE!</v>
      </c>
      <c r="AU149" t="e">
        <f>AND(Sheet1!J1997,"AAAAADb38S4=")</f>
        <v>#VALUE!</v>
      </c>
      <c r="AV149" t="e">
        <f>AND(Sheet1!K1997,"AAAAADb38S8=")</f>
        <v>#VALUE!</v>
      </c>
      <c r="AW149" t="e">
        <f>AND(Sheet1!L1997,"AAAAADb38TA=")</f>
        <v>#VALUE!</v>
      </c>
      <c r="AX149" t="e">
        <f>AND(Sheet1!M1997,"AAAAADb38TE=")</f>
        <v>#VALUE!</v>
      </c>
      <c r="AY149" t="e">
        <f>AND(Sheet1!N1997,"AAAAADb38TI=")</f>
        <v>#VALUE!</v>
      </c>
      <c r="AZ149" t="e">
        <f>AND(Sheet1!#REF!,"AAAAADb38TM=")</f>
        <v>#REF!</v>
      </c>
      <c r="BA149" t="e">
        <f>AND(Sheet1!#REF!,"AAAAADb38TQ=")</f>
        <v>#REF!</v>
      </c>
      <c r="BB149" t="e">
        <f>AND(Sheet1!#REF!,"AAAAADb38TU=")</f>
        <v>#REF!</v>
      </c>
      <c r="BC149" t="e">
        <f>AND(Sheet1!#REF!,"AAAAADb38TY=")</f>
        <v>#REF!</v>
      </c>
      <c r="BD149">
        <f>IF(Sheet1!1998:1998,"AAAAADb38Tc=",0)</f>
        <v>0</v>
      </c>
      <c r="BE149" t="e">
        <f>AND(Sheet1!A1998,"AAAAADb38Tg=")</f>
        <v>#VALUE!</v>
      </c>
      <c r="BF149" t="e">
        <f>AND(Sheet1!B1998,"AAAAADb38Tk=")</f>
        <v>#VALUE!</v>
      </c>
      <c r="BG149" t="e">
        <f>AND(Sheet1!C1998,"AAAAADb38To=")</f>
        <v>#VALUE!</v>
      </c>
      <c r="BH149" t="e">
        <f>AND(Sheet1!D1998,"AAAAADb38Ts=")</f>
        <v>#VALUE!</v>
      </c>
      <c r="BI149" t="e">
        <f>AND(Sheet1!E1998,"AAAAADb38Tw=")</f>
        <v>#VALUE!</v>
      </c>
      <c r="BJ149" t="e">
        <f>AND(Sheet1!F1998,"AAAAADb38T0=")</f>
        <v>#VALUE!</v>
      </c>
      <c r="BK149" t="e">
        <f>AND(Sheet1!G1998,"AAAAADb38T4=")</f>
        <v>#VALUE!</v>
      </c>
      <c r="BL149" t="e">
        <f>AND(Sheet1!H1998,"AAAAADb38T8=")</f>
        <v>#VALUE!</v>
      </c>
      <c r="BM149" t="e">
        <f>AND(Sheet1!I1998,"AAAAADb38UA=")</f>
        <v>#VALUE!</v>
      </c>
      <c r="BN149" t="e">
        <f>AND(Sheet1!J1998,"AAAAADb38UE=")</f>
        <v>#VALUE!</v>
      </c>
      <c r="BO149" t="e">
        <f>AND(Sheet1!K1998,"AAAAADb38UI=")</f>
        <v>#VALUE!</v>
      </c>
      <c r="BP149" t="e">
        <f>AND(Sheet1!L1998,"AAAAADb38UM=")</f>
        <v>#VALUE!</v>
      </c>
      <c r="BQ149" t="e">
        <f>AND(Sheet1!M1998,"AAAAADb38UQ=")</f>
        <v>#VALUE!</v>
      </c>
      <c r="BR149" t="e">
        <f>AND(Sheet1!N1998,"AAAAADb38UU=")</f>
        <v>#VALUE!</v>
      </c>
      <c r="BS149" t="e">
        <f>AND(Sheet1!#REF!,"AAAAADb38UY=")</f>
        <v>#REF!</v>
      </c>
      <c r="BT149" t="e">
        <f>AND(Sheet1!#REF!,"AAAAADb38Uc=")</f>
        <v>#REF!</v>
      </c>
      <c r="BU149" t="e">
        <f>AND(Sheet1!#REF!,"AAAAADb38Ug=")</f>
        <v>#REF!</v>
      </c>
      <c r="BV149" t="e">
        <f>AND(Sheet1!#REF!,"AAAAADb38Uk=")</f>
        <v>#REF!</v>
      </c>
      <c r="BW149">
        <f>IF(Sheet1!1999:1999,"AAAAADb38Uo=",0)</f>
        <v>0</v>
      </c>
      <c r="BX149" t="e">
        <f>AND(Sheet1!A1999,"AAAAADb38Us=")</f>
        <v>#VALUE!</v>
      </c>
      <c r="BY149" t="e">
        <f>AND(Sheet1!B1999,"AAAAADb38Uw=")</f>
        <v>#VALUE!</v>
      </c>
      <c r="BZ149" t="e">
        <f>AND(Sheet1!C1999,"AAAAADb38U0=")</f>
        <v>#VALUE!</v>
      </c>
      <c r="CA149" t="e">
        <f>AND(Sheet1!D1999,"AAAAADb38U4=")</f>
        <v>#VALUE!</v>
      </c>
      <c r="CB149" t="e">
        <f>AND(Sheet1!E1999,"AAAAADb38U8=")</f>
        <v>#VALUE!</v>
      </c>
      <c r="CC149" t="e">
        <f>AND(Sheet1!F1999,"AAAAADb38VA=")</f>
        <v>#VALUE!</v>
      </c>
      <c r="CD149" t="e">
        <f>AND(Sheet1!G1999,"AAAAADb38VE=")</f>
        <v>#VALUE!</v>
      </c>
      <c r="CE149" t="e">
        <f>AND(Sheet1!H1999,"AAAAADb38VI=")</f>
        <v>#VALUE!</v>
      </c>
      <c r="CF149" t="e">
        <f>AND(Sheet1!I1999,"AAAAADb38VM=")</f>
        <v>#VALUE!</v>
      </c>
      <c r="CG149" t="e">
        <f>AND(Sheet1!J1999,"AAAAADb38VQ=")</f>
        <v>#VALUE!</v>
      </c>
      <c r="CH149" t="e">
        <f>AND(Sheet1!K1999,"AAAAADb38VU=")</f>
        <v>#VALUE!</v>
      </c>
      <c r="CI149" t="e">
        <f>AND(Sheet1!L1999,"AAAAADb38VY=")</f>
        <v>#VALUE!</v>
      </c>
      <c r="CJ149" t="e">
        <f>AND(Sheet1!M1999,"AAAAADb38Vc=")</f>
        <v>#VALUE!</v>
      </c>
      <c r="CK149" t="e">
        <f>AND(Sheet1!N1999,"AAAAADb38Vg=")</f>
        <v>#VALUE!</v>
      </c>
      <c r="CL149" t="e">
        <f>AND(Sheet1!#REF!,"AAAAADb38Vk=")</f>
        <v>#REF!</v>
      </c>
      <c r="CM149" t="e">
        <f>AND(Sheet1!#REF!,"AAAAADb38Vo=")</f>
        <v>#REF!</v>
      </c>
      <c r="CN149" t="e">
        <f>AND(Sheet1!#REF!,"AAAAADb38Vs=")</f>
        <v>#REF!</v>
      </c>
      <c r="CO149" t="e">
        <f>AND(Sheet1!#REF!,"AAAAADb38Vw=")</f>
        <v>#REF!</v>
      </c>
      <c r="CP149">
        <f>IF(Sheet1!2000:2000,"AAAAADb38V0=",0)</f>
        <v>0</v>
      </c>
      <c r="CQ149" t="e">
        <f>AND(Sheet1!A2000,"AAAAADb38V4=")</f>
        <v>#VALUE!</v>
      </c>
      <c r="CR149" t="e">
        <f>AND(Sheet1!B2000,"AAAAADb38V8=")</f>
        <v>#VALUE!</v>
      </c>
      <c r="CS149" t="e">
        <f>AND(Sheet1!C2000,"AAAAADb38WA=")</f>
        <v>#VALUE!</v>
      </c>
      <c r="CT149" t="e">
        <f>AND(Sheet1!D2000,"AAAAADb38WE=")</f>
        <v>#VALUE!</v>
      </c>
      <c r="CU149" t="e">
        <f>AND(Sheet1!E2000,"AAAAADb38WI=")</f>
        <v>#VALUE!</v>
      </c>
      <c r="CV149" t="e">
        <f>AND(Sheet1!F2000,"AAAAADb38WM=")</f>
        <v>#VALUE!</v>
      </c>
      <c r="CW149" t="e">
        <f>AND(Sheet1!G2000,"AAAAADb38WQ=")</f>
        <v>#VALUE!</v>
      </c>
      <c r="CX149" t="e">
        <f>AND(Sheet1!H2000,"AAAAADb38WU=")</f>
        <v>#VALUE!</v>
      </c>
      <c r="CY149" t="e">
        <f>AND(Sheet1!I2000,"AAAAADb38WY=")</f>
        <v>#VALUE!</v>
      </c>
      <c r="CZ149" t="e">
        <f>AND(Sheet1!J2000,"AAAAADb38Wc=")</f>
        <v>#VALUE!</v>
      </c>
      <c r="DA149" t="e">
        <f>AND(Sheet1!K2000,"AAAAADb38Wg=")</f>
        <v>#VALUE!</v>
      </c>
      <c r="DB149" t="e">
        <f>AND(Sheet1!L2000,"AAAAADb38Wk=")</f>
        <v>#VALUE!</v>
      </c>
      <c r="DC149" t="e">
        <f>AND(Sheet1!M2000,"AAAAADb38Wo=")</f>
        <v>#VALUE!</v>
      </c>
      <c r="DD149" t="e">
        <f>AND(Sheet1!N2000,"AAAAADb38Ws=")</f>
        <v>#VALUE!</v>
      </c>
      <c r="DE149" t="e">
        <f>AND(Sheet1!#REF!,"AAAAADb38Ww=")</f>
        <v>#REF!</v>
      </c>
      <c r="DF149" t="e">
        <f>AND(Sheet1!#REF!,"AAAAADb38W0=")</f>
        <v>#REF!</v>
      </c>
      <c r="DG149" t="e">
        <f>AND(Sheet1!#REF!,"AAAAADb38W4=")</f>
        <v>#REF!</v>
      </c>
      <c r="DH149" t="e">
        <f>AND(Sheet1!#REF!,"AAAAADb38W8=")</f>
        <v>#REF!</v>
      </c>
      <c r="DI149">
        <f>IF(Sheet1!2001:2001,"AAAAADb38XA=",0)</f>
        <v>0</v>
      </c>
      <c r="DJ149" t="e">
        <f>AND(Sheet1!A2001,"AAAAADb38XE=")</f>
        <v>#VALUE!</v>
      </c>
      <c r="DK149" t="e">
        <f>AND(Sheet1!B2001,"AAAAADb38XI=")</f>
        <v>#VALUE!</v>
      </c>
      <c r="DL149" t="e">
        <f>AND(Sheet1!C2001,"AAAAADb38XM=")</f>
        <v>#VALUE!</v>
      </c>
      <c r="DM149" t="e">
        <f>AND(Sheet1!D2001,"AAAAADb38XQ=")</f>
        <v>#VALUE!</v>
      </c>
      <c r="DN149" t="e">
        <f>AND(Sheet1!E2001,"AAAAADb38XU=")</f>
        <v>#VALUE!</v>
      </c>
      <c r="DO149" t="e">
        <f>AND(Sheet1!F2001,"AAAAADb38XY=")</f>
        <v>#VALUE!</v>
      </c>
      <c r="DP149" t="e">
        <f>AND(Sheet1!G2001,"AAAAADb38Xc=")</f>
        <v>#VALUE!</v>
      </c>
      <c r="DQ149" t="e">
        <f>AND(Sheet1!H2001,"AAAAADb38Xg=")</f>
        <v>#VALUE!</v>
      </c>
      <c r="DR149" t="e">
        <f>AND(Sheet1!I2001,"AAAAADb38Xk=")</f>
        <v>#VALUE!</v>
      </c>
      <c r="DS149" t="e">
        <f>AND(Sheet1!J2001,"AAAAADb38Xo=")</f>
        <v>#VALUE!</v>
      </c>
      <c r="DT149" t="e">
        <f>AND(Sheet1!K2001,"AAAAADb38Xs=")</f>
        <v>#VALUE!</v>
      </c>
      <c r="DU149" t="e">
        <f>AND(Sheet1!L2001,"AAAAADb38Xw=")</f>
        <v>#VALUE!</v>
      </c>
      <c r="DV149" t="e">
        <f>AND(Sheet1!M2001,"AAAAADb38X0=")</f>
        <v>#VALUE!</v>
      </c>
      <c r="DW149" t="e">
        <f>AND(Sheet1!N2001,"AAAAADb38X4=")</f>
        <v>#VALUE!</v>
      </c>
      <c r="DX149" t="e">
        <f>AND(Sheet1!#REF!,"AAAAADb38X8=")</f>
        <v>#REF!</v>
      </c>
      <c r="DY149" t="e">
        <f>AND(Sheet1!#REF!,"AAAAADb38YA=")</f>
        <v>#REF!</v>
      </c>
      <c r="DZ149" t="e">
        <f>AND(Sheet1!#REF!,"AAAAADb38YE=")</f>
        <v>#REF!</v>
      </c>
      <c r="EA149" t="e">
        <f>AND(Sheet1!#REF!,"AAAAADb38YI=")</f>
        <v>#REF!</v>
      </c>
      <c r="EB149">
        <f>IF(Sheet1!2002:2002,"AAAAADb38YM=",0)</f>
        <v>0</v>
      </c>
      <c r="EC149" t="e">
        <f>AND(Sheet1!A2002,"AAAAADb38YQ=")</f>
        <v>#VALUE!</v>
      </c>
      <c r="ED149" t="e">
        <f>AND(Sheet1!B2002,"AAAAADb38YU=")</f>
        <v>#VALUE!</v>
      </c>
      <c r="EE149" t="e">
        <f>AND(Sheet1!C2002,"AAAAADb38YY=")</f>
        <v>#VALUE!</v>
      </c>
      <c r="EF149" t="e">
        <f>AND(Sheet1!D2002,"AAAAADb38Yc=")</f>
        <v>#VALUE!</v>
      </c>
      <c r="EG149" t="e">
        <f>AND(Sheet1!E2002,"AAAAADb38Yg=")</f>
        <v>#VALUE!</v>
      </c>
      <c r="EH149" t="e">
        <f>AND(Sheet1!F2002,"AAAAADb38Yk=")</f>
        <v>#VALUE!</v>
      </c>
      <c r="EI149" t="e">
        <f>AND(Sheet1!G2002,"AAAAADb38Yo=")</f>
        <v>#VALUE!</v>
      </c>
      <c r="EJ149" t="e">
        <f>AND(Sheet1!H2002,"AAAAADb38Ys=")</f>
        <v>#VALUE!</v>
      </c>
      <c r="EK149" t="e">
        <f>AND(Sheet1!I2002,"AAAAADb38Yw=")</f>
        <v>#VALUE!</v>
      </c>
      <c r="EL149" t="e">
        <f>AND(Sheet1!J2002,"AAAAADb38Y0=")</f>
        <v>#VALUE!</v>
      </c>
      <c r="EM149" t="e">
        <f>AND(Sheet1!K2002,"AAAAADb38Y4=")</f>
        <v>#VALUE!</v>
      </c>
      <c r="EN149" t="e">
        <f>AND(Sheet1!L2002,"AAAAADb38Y8=")</f>
        <v>#VALUE!</v>
      </c>
      <c r="EO149" t="e">
        <f>AND(Sheet1!M2002,"AAAAADb38ZA=")</f>
        <v>#VALUE!</v>
      </c>
      <c r="EP149" t="e">
        <f>AND(Sheet1!N2002,"AAAAADb38ZE=")</f>
        <v>#VALUE!</v>
      </c>
      <c r="EQ149" t="e">
        <f>AND(Sheet1!#REF!,"AAAAADb38ZI=")</f>
        <v>#REF!</v>
      </c>
      <c r="ER149" t="e">
        <f>AND(Sheet1!#REF!,"AAAAADb38ZM=")</f>
        <v>#REF!</v>
      </c>
      <c r="ES149" t="e">
        <f>AND(Sheet1!#REF!,"AAAAADb38ZQ=")</f>
        <v>#REF!</v>
      </c>
      <c r="ET149" t="e">
        <f>AND(Sheet1!#REF!,"AAAAADb38ZU=")</f>
        <v>#REF!</v>
      </c>
      <c r="EU149">
        <f>IF(Sheet1!2003:2003,"AAAAADb38ZY=",0)</f>
        <v>0</v>
      </c>
      <c r="EV149" t="e">
        <f>AND(Sheet1!A2003,"AAAAADb38Zc=")</f>
        <v>#VALUE!</v>
      </c>
      <c r="EW149" t="e">
        <f>AND(Sheet1!B2003,"AAAAADb38Zg=")</f>
        <v>#VALUE!</v>
      </c>
      <c r="EX149" t="e">
        <f>AND(Sheet1!C2003,"AAAAADb38Zk=")</f>
        <v>#VALUE!</v>
      </c>
      <c r="EY149" t="e">
        <f>AND(Sheet1!D2003,"AAAAADb38Zo=")</f>
        <v>#VALUE!</v>
      </c>
      <c r="EZ149" t="e">
        <f>AND(Sheet1!E2003,"AAAAADb38Zs=")</f>
        <v>#VALUE!</v>
      </c>
      <c r="FA149" t="e">
        <f>AND(Sheet1!F2003,"AAAAADb38Zw=")</f>
        <v>#VALUE!</v>
      </c>
      <c r="FB149" t="e">
        <f>AND(Sheet1!G2003,"AAAAADb38Z0=")</f>
        <v>#VALUE!</v>
      </c>
      <c r="FC149" t="e">
        <f>AND(Sheet1!H2003,"AAAAADb38Z4=")</f>
        <v>#VALUE!</v>
      </c>
      <c r="FD149" t="e">
        <f>AND(Sheet1!I2003,"AAAAADb38Z8=")</f>
        <v>#VALUE!</v>
      </c>
      <c r="FE149" t="e">
        <f>AND(Sheet1!J2003,"AAAAADb38aA=")</f>
        <v>#VALUE!</v>
      </c>
      <c r="FF149" t="e">
        <f>AND(Sheet1!K2003,"AAAAADb38aE=")</f>
        <v>#VALUE!</v>
      </c>
      <c r="FG149" t="e">
        <f>AND(Sheet1!L2003,"AAAAADb38aI=")</f>
        <v>#VALUE!</v>
      </c>
      <c r="FH149" t="e">
        <f>AND(Sheet1!M2003,"AAAAADb38aM=")</f>
        <v>#VALUE!</v>
      </c>
      <c r="FI149" t="e">
        <f>AND(Sheet1!N2003,"AAAAADb38aQ=")</f>
        <v>#VALUE!</v>
      </c>
      <c r="FJ149" t="e">
        <f>AND(Sheet1!#REF!,"AAAAADb38aU=")</f>
        <v>#REF!</v>
      </c>
      <c r="FK149" t="e">
        <f>AND(Sheet1!#REF!,"AAAAADb38aY=")</f>
        <v>#REF!</v>
      </c>
      <c r="FL149" t="e">
        <f>AND(Sheet1!#REF!,"AAAAADb38ac=")</f>
        <v>#REF!</v>
      </c>
      <c r="FM149" t="e">
        <f>AND(Sheet1!#REF!,"AAAAADb38ag=")</f>
        <v>#REF!</v>
      </c>
      <c r="FN149">
        <f>IF(Sheet1!2004:2004,"AAAAADb38ak=",0)</f>
        <v>0</v>
      </c>
      <c r="FO149" t="e">
        <f>AND(Sheet1!A2004,"AAAAADb38ao=")</f>
        <v>#VALUE!</v>
      </c>
      <c r="FP149" t="e">
        <f>AND(Sheet1!B2004,"AAAAADb38as=")</f>
        <v>#VALUE!</v>
      </c>
      <c r="FQ149" t="e">
        <f>AND(Sheet1!C2004,"AAAAADb38aw=")</f>
        <v>#VALUE!</v>
      </c>
      <c r="FR149" t="e">
        <f>AND(Sheet1!D2004,"AAAAADb38a0=")</f>
        <v>#VALUE!</v>
      </c>
      <c r="FS149" t="e">
        <f>AND(Sheet1!E2004,"AAAAADb38a4=")</f>
        <v>#VALUE!</v>
      </c>
      <c r="FT149" t="e">
        <f>AND(Sheet1!F2004,"AAAAADb38a8=")</f>
        <v>#VALUE!</v>
      </c>
      <c r="FU149" t="e">
        <f>AND(Sheet1!G2004,"AAAAADb38bA=")</f>
        <v>#VALUE!</v>
      </c>
      <c r="FV149" t="e">
        <f>AND(Sheet1!H2004,"AAAAADb38bE=")</f>
        <v>#VALUE!</v>
      </c>
      <c r="FW149" t="e">
        <f>AND(Sheet1!I2004,"AAAAADb38bI=")</f>
        <v>#VALUE!</v>
      </c>
      <c r="FX149" t="e">
        <f>AND(Sheet1!J2004,"AAAAADb38bM=")</f>
        <v>#VALUE!</v>
      </c>
      <c r="FY149" t="e">
        <f>AND(Sheet1!K2004,"AAAAADb38bQ=")</f>
        <v>#VALUE!</v>
      </c>
      <c r="FZ149" t="e">
        <f>AND(Sheet1!L2004,"AAAAADb38bU=")</f>
        <v>#VALUE!</v>
      </c>
      <c r="GA149" t="e">
        <f>AND(Sheet1!M2004,"AAAAADb38bY=")</f>
        <v>#VALUE!</v>
      </c>
      <c r="GB149" t="e">
        <f>AND(Sheet1!N2004,"AAAAADb38bc=")</f>
        <v>#VALUE!</v>
      </c>
      <c r="GC149" t="e">
        <f>AND(Sheet1!#REF!,"AAAAADb38bg=")</f>
        <v>#REF!</v>
      </c>
      <c r="GD149" t="e">
        <f>AND(Sheet1!#REF!,"AAAAADb38bk=")</f>
        <v>#REF!</v>
      </c>
      <c r="GE149" t="e">
        <f>AND(Sheet1!#REF!,"AAAAADb38bo=")</f>
        <v>#REF!</v>
      </c>
      <c r="GF149" t="e">
        <f>AND(Sheet1!#REF!,"AAAAADb38bs=")</f>
        <v>#REF!</v>
      </c>
      <c r="GG149">
        <f>IF(Sheet1!2005:2005,"AAAAADb38bw=",0)</f>
        <v>0</v>
      </c>
      <c r="GH149" t="e">
        <f>AND(Sheet1!A2005,"AAAAADb38b0=")</f>
        <v>#VALUE!</v>
      </c>
      <c r="GI149" t="e">
        <f>AND(Sheet1!B2005,"AAAAADb38b4=")</f>
        <v>#VALUE!</v>
      </c>
      <c r="GJ149" t="e">
        <f>AND(Sheet1!C2005,"AAAAADb38b8=")</f>
        <v>#VALUE!</v>
      </c>
      <c r="GK149" t="e">
        <f>AND(Sheet1!D2005,"AAAAADb38cA=")</f>
        <v>#VALUE!</v>
      </c>
      <c r="GL149" t="e">
        <f>AND(Sheet1!E2005,"AAAAADb38cE=")</f>
        <v>#VALUE!</v>
      </c>
      <c r="GM149" t="e">
        <f>AND(Sheet1!F2005,"AAAAADb38cI=")</f>
        <v>#VALUE!</v>
      </c>
      <c r="GN149" t="e">
        <f>AND(Sheet1!G2005,"AAAAADb38cM=")</f>
        <v>#VALUE!</v>
      </c>
      <c r="GO149" t="e">
        <f>AND(Sheet1!H2005,"AAAAADb38cQ=")</f>
        <v>#VALUE!</v>
      </c>
      <c r="GP149" t="e">
        <f>AND(Sheet1!I2005,"AAAAADb38cU=")</f>
        <v>#VALUE!</v>
      </c>
      <c r="GQ149" t="e">
        <f>AND(Sheet1!J2005,"AAAAADb38cY=")</f>
        <v>#VALUE!</v>
      </c>
      <c r="GR149" t="e">
        <f>AND(Sheet1!K2005,"AAAAADb38cc=")</f>
        <v>#VALUE!</v>
      </c>
      <c r="GS149" t="e">
        <f>AND(Sheet1!L2005,"AAAAADb38cg=")</f>
        <v>#VALUE!</v>
      </c>
      <c r="GT149" t="e">
        <f>AND(Sheet1!M2005,"AAAAADb38ck=")</f>
        <v>#VALUE!</v>
      </c>
      <c r="GU149" t="e">
        <f>AND(Sheet1!N2005,"AAAAADb38co=")</f>
        <v>#VALUE!</v>
      </c>
      <c r="GV149" t="e">
        <f>AND(Sheet1!#REF!,"AAAAADb38cs=")</f>
        <v>#REF!</v>
      </c>
      <c r="GW149" t="e">
        <f>AND(Sheet1!#REF!,"AAAAADb38cw=")</f>
        <v>#REF!</v>
      </c>
      <c r="GX149" t="e">
        <f>AND(Sheet1!#REF!,"AAAAADb38c0=")</f>
        <v>#REF!</v>
      </c>
      <c r="GY149" t="e">
        <f>AND(Sheet1!#REF!,"AAAAADb38c4=")</f>
        <v>#REF!</v>
      </c>
      <c r="GZ149">
        <f>IF(Sheet1!2006:2006,"AAAAADb38c8=",0)</f>
        <v>0</v>
      </c>
      <c r="HA149" t="e">
        <f>AND(Sheet1!A2006,"AAAAADb38dA=")</f>
        <v>#VALUE!</v>
      </c>
      <c r="HB149" t="e">
        <f>AND(Sheet1!B2006,"AAAAADb38dE=")</f>
        <v>#VALUE!</v>
      </c>
      <c r="HC149" t="e">
        <f>AND(Sheet1!C2006,"AAAAADb38dI=")</f>
        <v>#VALUE!</v>
      </c>
      <c r="HD149" t="e">
        <f>AND(Sheet1!D2006,"AAAAADb38dM=")</f>
        <v>#VALUE!</v>
      </c>
      <c r="HE149" t="e">
        <f>AND(Sheet1!E2006,"AAAAADb38dQ=")</f>
        <v>#VALUE!</v>
      </c>
      <c r="HF149" t="e">
        <f>AND(Sheet1!F2006,"AAAAADb38dU=")</f>
        <v>#VALUE!</v>
      </c>
      <c r="HG149" t="e">
        <f>AND(Sheet1!G2006,"AAAAADb38dY=")</f>
        <v>#VALUE!</v>
      </c>
      <c r="HH149" t="e">
        <f>AND(Sheet1!H2006,"AAAAADb38dc=")</f>
        <v>#VALUE!</v>
      </c>
      <c r="HI149" t="e">
        <f>AND(Sheet1!I2006,"AAAAADb38dg=")</f>
        <v>#VALUE!</v>
      </c>
      <c r="HJ149" t="e">
        <f>AND(Sheet1!J2006,"AAAAADb38dk=")</f>
        <v>#VALUE!</v>
      </c>
      <c r="HK149" t="e">
        <f>AND(Sheet1!K2006,"AAAAADb38do=")</f>
        <v>#VALUE!</v>
      </c>
      <c r="HL149" t="e">
        <f>AND(Sheet1!L2006,"AAAAADb38ds=")</f>
        <v>#VALUE!</v>
      </c>
      <c r="HM149" t="e">
        <f>AND(Sheet1!M2006,"AAAAADb38dw=")</f>
        <v>#VALUE!</v>
      </c>
      <c r="HN149" t="e">
        <f>AND(Sheet1!N2006,"AAAAADb38d0=")</f>
        <v>#VALUE!</v>
      </c>
      <c r="HO149" t="e">
        <f>AND(Sheet1!#REF!,"AAAAADb38d4=")</f>
        <v>#REF!</v>
      </c>
      <c r="HP149" t="e">
        <f>AND(Sheet1!#REF!,"AAAAADb38d8=")</f>
        <v>#REF!</v>
      </c>
      <c r="HQ149" t="e">
        <f>AND(Sheet1!#REF!,"AAAAADb38eA=")</f>
        <v>#REF!</v>
      </c>
      <c r="HR149" t="e">
        <f>AND(Sheet1!#REF!,"AAAAADb38eE=")</f>
        <v>#REF!</v>
      </c>
      <c r="HS149">
        <f>IF(Sheet1!2007:2007,"AAAAADb38eI=",0)</f>
        <v>0</v>
      </c>
      <c r="HT149" t="e">
        <f>AND(Sheet1!A2007,"AAAAADb38eM=")</f>
        <v>#VALUE!</v>
      </c>
      <c r="HU149" t="e">
        <f>AND(Sheet1!B2007,"AAAAADb38eQ=")</f>
        <v>#VALUE!</v>
      </c>
      <c r="HV149" t="e">
        <f>AND(Sheet1!C2007,"AAAAADb38eU=")</f>
        <v>#VALUE!</v>
      </c>
      <c r="HW149" t="e">
        <f>AND(Sheet1!D2007,"AAAAADb38eY=")</f>
        <v>#VALUE!</v>
      </c>
      <c r="HX149" t="e">
        <f>AND(Sheet1!E2007,"AAAAADb38ec=")</f>
        <v>#VALUE!</v>
      </c>
      <c r="HY149" t="e">
        <f>AND(Sheet1!F2007,"AAAAADb38eg=")</f>
        <v>#VALUE!</v>
      </c>
      <c r="HZ149" t="e">
        <f>AND(Sheet1!G2007,"AAAAADb38ek=")</f>
        <v>#VALUE!</v>
      </c>
      <c r="IA149" t="e">
        <f>AND(Sheet1!H2007,"AAAAADb38eo=")</f>
        <v>#VALUE!</v>
      </c>
      <c r="IB149" t="e">
        <f>AND(Sheet1!I2007,"AAAAADb38es=")</f>
        <v>#VALUE!</v>
      </c>
      <c r="IC149" t="e">
        <f>AND(Sheet1!J2007,"AAAAADb38ew=")</f>
        <v>#VALUE!</v>
      </c>
      <c r="ID149" t="e">
        <f>AND(Sheet1!K2007,"AAAAADb38e0=")</f>
        <v>#VALUE!</v>
      </c>
      <c r="IE149" t="e">
        <f>AND(Sheet1!L2007,"AAAAADb38e4=")</f>
        <v>#VALUE!</v>
      </c>
      <c r="IF149" t="e">
        <f>AND(Sheet1!M2007,"AAAAADb38e8=")</f>
        <v>#VALUE!</v>
      </c>
      <c r="IG149" t="e">
        <f>AND(Sheet1!N2007,"AAAAADb38fA=")</f>
        <v>#VALUE!</v>
      </c>
      <c r="IH149" t="e">
        <f>AND(Sheet1!#REF!,"AAAAADb38fE=")</f>
        <v>#REF!</v>
      </c>
      <c r="II149" t="e">
        <f>AND(Sheet1!#REF!,"AAAAADb38fI=")</f>
        <v>#REF!</v>
      </c>
      <c r="IJ149" t="e">
        <f>AND(Sheet1!#REF!,"AAAAADb38fM=")</f>
        <v>#REF!</v>
      </c>
      <c r="IK149" t="e">
        <f>AND(Sheet1!#REF!,"AAAAADb38fQ=")</f>
        <v>#REF!</v>
      </c>
      <c r="IL149">
        <f>IF(Sheet1!2008:2008,"AAAAADb38fU=",0)</f>
        <v>0</v>
      </c>
      <c r="IM149" t="e">
        <f>AND(Sheet1!A2008,"AAAAADb38fY=")</f>
        <v>#VALUE!</v>
      </c>
      <c r="IN149" t="e">
        <f>AND(Sheet1!B2008,"AAAAADb38fc=")</f>
        <v>#VALUE!</v>
      </c>
      <c r="IO149" t="e">
        <f>AND(Sheet1!C2008,"AAAAADb38fg=")</f>
        <v>#VALUE!</v>
      </c>
      <c r="IP149" t="e">
        <f>AND(Sheet1!D2008,"AAAAADb38fk=")</f>
        <v>#VALUE!</v>
      </c>
      <c r="IQ149" t="e">
        <f>AND(Sheet1!E2008,"AAAAADb38fo=")</f>
        <v>#VALUE!</v>
      </c>
      <c r="IR149" t="e">
        <f>AND(Sheet1!F2008,"AAAAADb38fs=")</f>
        <v>#VALUE!</v>
      </c>
      <c r="IS149" t="e">
        <f>AND(Sheet1!G2008,"AAAAADb38fw=")</f>
        <v>#VALUE!</v>
      </c>
      <c r="IT149" t="e">
        <f>AND(Sheet1!H2008,"AAAAADb38f0=")</f>
        <v>#VALUE!</v>
      </c>
      <c r="IU149" t="e">
        <f>AND(Sheet1!I2008,"AAAAADb38f4=")</f>
        <v>#VALUE!</v>
      </c>
      <c r="IV149" t="e">
        <f>AND(Sheet1!J2008,"AAAAADb38f8=")</f>
        <v>#VALUE!</v>
      </c>
    </row>
    <row r="150" spans="1:256" x14ac:dyDescent="0.2">
      <c r="A150" t="e">
        <f>AND(Sheet1!K2008,"AAAAAHrb/QA=")</f>
        <v>#VALUE!</v>
      </c>
      <c r="B150" t="e">
        <f>AND(Sheet1!L2008,"AAAAAHrb/QE=")</f>
        <v>#VALUE!</v>
      </c>
      <c r="C150" t="e">
        <f>AND(Sheet1!M2008,"AAAAAHrb/QI=")</f>
        <v>#VALUE!</v>
      </c>
      <c r="D150" t="e">
        <f>AND(Sheet1!N2008,"AAAAAHrb/QM=")</f>
        <v>#VALUE!</v>
      </c>
      <c r="E150" t="e">
        <f>AND(Sheet1!#REF!,"AAAAAHrb/QQ=")</f>
        <v>#REF!</v>
      </c>
      <c r="F150" t="e">
        <f>AND(Sheet1!#REF!,"AAAAAHrb/QU=")</f>
        <v>#REF!</v>
      </c>
      <c r="G150" t="e">
        <f>AND(Sheet1!#REF!,"AAAAAHrb/QY=")</f>
        <v>#REF!</v>
      </c>
      <c r="H150" t="e">
        <f>AND(Sheet1!#REF!,"AAAAAHrb/Qc=")</f>
        <v>#REF!</v>
      </c>
      <c r="I150">
        <f>IF(Sheet1!2009:2009,"AAAAAHrb/Qg=",0)</f>
        <v>0</v>
      </c>
      <c r="J150" t="e">
        <f>AND(Sheet1!A2009,"AAAAAHrb/Qk=")</f>
        <v>#VALUE!</v>
      </c>
      <c r="K150" t="e">
        <f>AND(Sheet1!B2009,"AAAAAHrb/Qo=")</f>
        <v>#VALUE!</v>
      </c>
      <c r="L150" t="e">
        <f>AND(Sheet1!C2009,"AAAAAHrb/Qs=")</f>
        <v>#VALUE!</v>
      </c>
      <c r="M150" t="e">
        <f>AND(Sheet1!D2009,"AAAAAHrb/Qw=")</f>
        <v>#VALUE!</v>
      </c>
      <c r="N150" t="e">
        <f>AND(Sheet1!E2009,"AAAAAHrb/Q0=")</f>
        <v>#VALUE!</v>
      </c>
      <c r="O150" t="e">
        <f>AND(Sheet1!F2009,"AAAAAHrb/Q4=")</f>
        <v>#VALUE!</v>
      </c>
      <c r="P150" t="e">
        <f>AND(Sheet1!G2009,"AAAAAHrb/Q8=")</f>
        <v>#VALUE!</v>
      </c>
      <c r="Q150" t="e">
        <f>AND(Sheet1!H2009,"AAAAAHrb/RA=")</f>
        <v>#VALUE!</v>
      </c>
      <c r="R150" t="e">
        <f>AND(Sheet1!I2009,"AAAAAHrb/RE=")</f>
        <v>#VALUE!</v>
      </c>
      <c r="S150" t="e">
        <f>AND(Sheet1!J2009,"AAAAAHrb/RI=")</f>
        <v>#VALUE!</v>
      </c>
      <c r="T150" t="e">
        <f>AND(Sheet1!K2009,"AAAAAHrb/RM=")</f>
        <v>#VALUE!</v>
      </c>
      <c r="U150" t="e">
        <f>AND(Sheet1!L2009,"AAAAAHrb/RQ=")</f>
        <v>#VALUE!</v>
      </c>
      <c r="V150" t="e">
        <f>AND(Sheet1!M2009,"AAAAAHrb/RU=")</f>
        <v>#VALUE!</v>
      </c>
      <c r="W150" t="e">
        <f>AND(Sheet1!N2009,"AAAAAHrb/RY=")</f>
        <v>#VALUE!</v>
      </c>
      <c r="X150" t="e">
        <f>AND(Sheet1!#REF!,"AAAAAHrb/Rc=")</f>
        <v>#REF!</v>
      </c>
      <c r="Y150" t="e">
        <f>AND(Sheet1!#REF!,"AAAAAHrb/Rg=")</f>
        <v>#REF!</v>
      </c>
      <c r="Z150" t="e">
        <f>AND(Sheet1!#REF!,"AAAAAHrb/Rk=")</f>
        <v>#REF!</v>
      </c>
      <c r="AA150" t="e">
        <f>AND(Sheet1!#REF!,"AAAAAHrb/Ro=")</f>
        <v>#REF!</v>
      </c>
      <c r="AB150">
        <f>IF(Sheet1!2010:2010,"AAAAAHrb/Rs=",0)</f>
        <v>0</v>
      </c>
      <c r="AC150" t="e">
        <f>AND(Sheet1!A2010,"AAAAAHrb/Rw=")</f>
        <v>#VALUE!</v>
      </c>
      <c r="AD150" t="e">
        <f>AND(Sheet1!B2010,"AAAAAHrb/R0=")</f>
        <v>#VALUE!</v>
      </c>
      <c r="AE150" t="e">
        <f>AND(Sheet1!C2010,"AAAAAHrb/R4=")</f>
        <v>#VALUE!</v>
      </c>
      <c r="AF150" t="e">
        <f>AND(Sheet1!D2010,"AAAAAHrb/R8=")</f>
        <v>#VALUE!</v>
      </c>
      <c r="AG150" t="e">
        <f>AND(Sheet1!E2010,"AAAAAHrb/SA=")</f>
        <v>#VALUE!</v>
      </c>
      <c r="AH150" t="e">
        <f>AND(Sheet1!F2010,"AAAAAHrb/SE=")</f>
        <v>#VALUE!</v>
      </c>
      <c r="AI150" t="e">
        <f>AND(Sheet1!G2010,"AAAAAHrb/SI=")</f>
        <v>#VALUE!</v>
      </c>
      <c r="AJ150" t="e">
        <f>AND(Sheet1!H2010,"AAAAAHrb/SM=")</f>
        <v>#VALUE!</v>
      </c>
      <c r="AK150" t="e">
        <f>AND(Sheet1!I2010,"AAAAAHrb/SQ=")</f>
        <v>#VALUE!</v>
      </c>
      <c r="AL150" t="e">
        <f>AND(Sheet1!J2010,"AAAAAHrb/SU=")</f>
        <v>#VALUE!</v>
      </c>
      <c r="AM150" t="e">
        <f>AND(Sheet1!K2010,"AAAAAHrb/SY=")</f>
        <v>#VALUE!</v>
      </c>
      <c r="AN150" t="e">
        <f>AND(Sheet1!L2010,"AAAAAHrb/Sc=")</f>
        <v>#VALUE!</v>
      </c>
      <c r="AO150" t="e">
        <f>AND(Sheet1!M2010,"AAAAAHrb/Sg=")</f>
        <v>#VALUE!</v>
      </c>
      <c r="AP150" t="e">
        <f>AND(Sheet1!N2010,"AAAAAHrb/Sk=")</f>
        <v>#VALUE!</v>
      </c>
      <c r="AQ150" t="e">
        <f>AND(Sheet1!#REF!,"AAAAAHrb/So=")</f>
        <v>#REF!</v>
      </c>
      <c r="AR150" t="e">
        <f>AND(Sheet1!#REF!,"AAAAAHrb/Ss=")</f>
        <v>#REF!</v>
      </c>
      <c r="AS150" t="e">
        <f>AND(Sheet1!#REF!,"AAAAAHrb/Sw=")</f>
        <v>#REF!</v>
      </c>
      <c r="AT150" t="e">
        <f>AND(Sheet1!#REF!,"AAAAAHrb/S0=")</f>
        <v>#REF!</v>
      </c>
      <c r="AU150">
        <f>IF(Sheet1!2011:2011,"AAAAAHrb/S4=",0)</f>
        <v>0</v>
      </c>
      <c r="AV150" t="e">
        <f>AND(Sheet1!A2011,"AAAAAHrb/S8=")</f>
        <v>#VALUE!</v>
      </c>
      <c r="AW150" t="e">
        <f>AND(Sheet1!B2011,"AAAAAHrb/TA=")</f>
        <v>#VALUE!</v>
      </c>
      <c r="AX150" t="e">
        <f>AND(Sheet1!C2011,"AAAAAHrb/TE=")</f>
        <v>#VALUE!</v>
      </c>
      <c r="AY150" t="e">
        <f>AND(Sheet1!D2011,"AAAAAHrb/TI=")</f>
        <v>#VALUE!</v>
      </c>
      <c r="AZ150" t="e">
        <f>AND(Sheet1!E2011,"AAAAAHrb/TM=")</f>
        <v>#VALUE!</v>
      </c>
      <c r="BA150" t="e">
        <f>AND(Sheet1!F2011,"AAAAAHrb/TQ=")</f>
        <v>#VALUE!</v>
      </c>
      <c r="BB150" t="e">
        <f>AND(Sheet1!G2011,"AAAAAHrb/TU=")</f>
        <v>#VALUE!</v>
      </c>
      <c r="BC150" t="e">
        <f>AND(Sheet1!H2011,"AAAAAHrb/TY=")</f>
        <v>#VALUE!</v>
      </c>
      <c r="BD150" t="e">
        <f>AND(Sheet1!I2011,"AAAAAHrb/Tc=")</f>
        <v>#VALUE!</v>
      </c>
      <c r="BE150" t="e">
        <f>AND(Sheet1!J2011,"AAAAAHrb/Tg=")</f>
        <v>#VALUE!</v>
      </c>
      <c r="BF150" t="e">
        <f>AND(Sheet1!K2011,"AAAAAHrb/Tk=")</f>
        <v>#VALUE!</v>
      </c>
      <c r="BG150" t="e">
        <f>AND(Sheet1!L2011,"AAAAAHrb/To=")</f>
        <v>#VALUE!</v>
      </c>
      <c r="BH150" t="e">
        <f>AND(Sheet1!M2011,"AAAAAHrb/Ts=")</f>
        <v>#VALUE!</v>
      </c>
      <c r="BI150" t="e">
        <f>AND(Sheet1!N2011,"AAAAAHrb/Tw=")</f>
        <v>#VALUE!</v>
      </c>
      <c r="BJ150" t="e">
        <f>AND(Sheet1!#REF!,"AAAAAHrb/T0=")</f>
        <v>#REF!</v>
      </c>
      <c r="BK150" t="e">
        <f>AND(Sheet1!#REF!,"AAAAAHrb/T4=")</f>
        <v>#REF!</v>
      </c>
      <c r="BL150" t="e">
        <f>AND(Sheet1!#REF!,"AAAAAHrb/T8=")</f>
        <v>#REF!</v>
      </c>
      <c r="BM150" t="e">
        <f>AND(Sheet1!#REF!,"AAAAAHrb/UA=")</f>
        <v>#REF!</v>
      </c>
      <c r="BN150">
        <f>IF(Sheet1!2012:2012,"AAAAAHrb/UE=",0)</f>
        <v>0</v>
      </c>
      <c r="BO150" t="e">
        <f>AND(Sheet1!A2012,"AAAAAHrb/UI=")</f>
        <v>#VALUE!</v>
      </c>
      <c r="BP150" t="e">
        <f>AND(Sheet1!B2012,"AAAAAHrb/UM=")</f>
        <v>#VALUE!</v>
      </c>
      <c r="BQ150" t="e">
        <f>AND(Sheet1!C2012,"AAAAAHrb/UQ=")</f>
        <v>#VALUE!</v>
      </c>
      <c r="BR150" t="e">
        <f>AND(Sheet1!D2012,"AAAAAHrb/UU=")</f>
        <v>#VALUE!</v>
      </c>
      <c r="BS150" t="e">
        <f>AND(Sheet1!E2012,"AAAAAHrb/UY=")</f>
        <v>#VALUE!</v>
      </c>
      <c r="BT150" t="e">
        <f>AND(Sheet1!F2012,"AAAAAHrb/Uc=")</f>
        <v>#VALUE!</v>
      </c>
      <c r="BU150" t="e">
        <f>AND(Sheet1!G2012,"AAAAAHrb/Ug=")</f>
        <v>#VALUE!</v>
      </c>
      <c r="BV150" t="e">
        <f>AND(Sheet1!H2012,"AAAAAHrb/Uk=")</f>
        <v>#VALUE!</v>
      </c>
      <c r="BW150" t="e">
        <f>AND(Sheet1!I2012,"AAAAAHrb/Uo=")</f>
        <v>#VALUE!</v>
      </c>
      <c r="BX150" t="e">
        <f>AND(Sheet1!J2012,"AAAAAHrb/Us=")</f>
        <v>#VALUE!</v>
      </c>
      <c r="BY150" t="e">
        <f>AND(Sheet1!K2012,"AAAAAHrb/Uw=")</f>
        <v>#VALUE!</v>
      </c>
      <c r="BZ150" t="e">
        <f>AND(Sheet1!L2012,"AAAAAHrb/U0=")</f>
        <v>#VALUE!</v>
      </c>
      <c r="CA150" t="e">
        <f>AND(Sheet1!M2012,"AAAAAHrb/U4=")</f>
        <v>#VALUE!</v>
      </c>
      <c r="CB150" t="e">
        <f>AND(Sheet1!N2012,"AAAAAHrb/U8=")</f>
        <v>#VALUE!</v>
      </c>
      <c r="CC150" t="e">
        <f>AND(Sheet1!#REF!,"AAAAAHrb/VA=")</f>
        <v>#REF!</v>
      </c>
      <c r="CD150" t="e">
        <f>AND(Sheet1!#REF!,"AAAAAHrb/VE=")</f>
        <v>#REF!</v>
      </c>
      <c r="CE150" t="e">
        <f>AND(Sheet1!#REF!,"AAAAAHrb/VI=")</f>
        <v>#REF!</v>
      </c>
      <c r="CF150" t="e">
        <f>AND(Sheet1!#REF!,"AAAAAHrb/VM=")</f>
        <v>#REF!</v>
      </c>
      <c r="CG150">
        <f>IF(Sheet1!2013:2013,"AAAAAHrb/VQ=",0)</f>
        <v>0</v>
      </c>
      <c r="CH150" t="e">
        <f>AND(Sheet1!A2013,"AAAAAHrb/VU=")</f>
        <v>#VALUE!</v>
      </c>
      <c r="CI150" t="e">
        <f>AND(Sheet1!B2013,"AAAAAHrb/VY=")</f>
        <v>#VALUE!</v>
      </c>
      <c r="CJ150" t="e">
        <f>AND(Sheet1!C2013,"AAAAAHrb/Vc=")</f>
        <v>#VALUE!</v>
      </c>
      <c r="CK150" t="e">
        <f>AND(Sheet1!D2013,"AAAAAHrb/Vg=")</f>
        <v>#VALUE!</v>
      </c>
      <c r="CL150" t="e">
        <f>AND(Sheet1!E2013,"AAAAAHrb/Vk=")</f>
        <v>#VALUE!</v>
      </c>
      <c r="CM150" t="e">
        <f>AND(Sheet1!F2013,"AAAAAHrb/Vo=")</f>
        <v>#VALUE!</v>
      </c>
      <c r="CN150" t="e">
        <f>AND(Sheet1!G2013,"AAAAAHrb/Vs=")</f>
        <v>#VALUE!</v>
      </c>
      <c r="CO150" t="e">
        <f>AND(Sheet1!H2013,"AAAAAHrb/Vw=")</f>
        <v>#VALUE!</v>
      </c>
      <c r="CP150" t="e">
        <f>AND(Sheet1!I2013,"AAAAAHrb/V0=")</f>
        <v>#VALUE!</v>
      </c>
      <c r="CQ150" t="e">
        <f>AND(Sheet1!J2013,"AAAAAHrb/V4=")</f>
        <v>#VALUE!</v>
      </c>
      <c r="CR150" t="e">
        <f>AND(Sheet1!K2013,"AAAAAHrb/V8=")</f>
        <v>#VALUE!</v>
      </c>
      <c r="CS150" t="e">
        <f>AND(Sheet1!L2013,"AAAAAHrb/WA=")</f>
        <v>#VALUE!</v>
      </c>
      <c r="CT150" t="e">
        <f>AND(Sheet1!M2013,"AAAAAHrb/WE=")</f>
        <v>#VALUE!</v>
      </c>
      <c r="CU150" t="e">
        <f>AND(Sheet1!N2013,"AAAAAHrb/WI=")</f>
        <v>#VALUE!</v>
      </c>
      <c r="CV150" t="e">
        <f>AND(Sheet1!#REF!,"AAAAAHrb/WM=")</f>
        <v>#REF!</v>
      </c>
      <c r="CW150" t="e">
        <f>AND(Sheet1!#REF!,"AAAAAHrb/WQ=")</f>
        <v>#REF!</v>
      </c>
      <c r="CX150" t="e">
        <f>AND(Sheet1!#REF!,"AAAAAHrb/WU=")</f>
        <v>#REF!</v>
      </c>
      <c r="CY150" t="e">
        <f>AND(Sheet1!#REF!,"AAAAAHrb/WY=")</f>
        <v>#REF!</v>
      </c>
      <c r="CZ150">
        <f>IF(Sheet1!2014:2014,"AAAAAHrb/Wc=",0)</f>
        <v>0</v>
      </c>
      <c r="DA150" t="e">
        <f>AND(Sheet1!A2014,"AAAAAHrb/Wg=")</f>
        <v>#VALUE!</v>
      </c>
      <c r="DB150" t="e">
        <f>AND(Sheet1!B2014,"AAAAAHrb/Wk=")</f>
        <v>#VALUE!</v>
      </c>
      <c r="DC150" t="e">
        <f>AND(Sheet1!C2014,"AAAAAHrb/Wo=")</f>
        <v>#VALUE!</v>
      </c>
      <c r="DD150" t="e">
        <f>AND(Sheet1!D2014,"AAAAAHrb/Ws=")</f>
        <v>#VALUE!</v>
      </c>
      <c r="DE150" t="e">
        <f>AND(Sheet1!E2014,"AAAAAHrb/Ww=")</f>
        <v>#VALUE!</v>
      </c>
      <c r="DF150" t="e">
        <f>AND(Sheet1!F2014,"AAAAAHrb/W0=")</f>
        <v>#VALUE!</v>
      </c>
      <c r="DG150" t="e">
        <f>AND(Sheet1!G2014,"AAAAAHrb/W4=")</f>
        <v>#VALUE!</v>
      </c>
      <c r="DH150" t="e">
        <f>AND(Sheet1!H2014,"AAAAAHrb/W8=")</f>
        <v>#VALUE!</v>
      </c>
      <c r="DI150" t="e">
        <f>AND(Sheet1!I2014,"AAAAAHrb/XA=")</f>
        <v>#VALUE!</v>
      </c>
      <c r="DJ150" t="e">
        <f>AND(Sheet1!J2014,"AAAAAHrb/XE=")</f>
        <v>#VALUE!</v>
      </c>
      <c r="DK150" t="e">
        <f>AND(Sheet1!K2014,"AAAAAHrb/XI=")</f>
        <v>#VALUE!</v>
      </c>
      <c r="DL150" t="e">
        <f>AND(Sheet1!L2014,"AAAAAHrb/XM=")</f>
        <v>#VALUE!</v>
      </c>
      <c r="DM150" t="e">
        <f>AND(Sheet1!M2014,"AAAAAHrb/XQ=")</f>
        <v>#VALUE!</v>
      </c>
      <c r="DN150" t="e">
        <f>AND(Sheet1!N2014,"AAAAAHrb/XU=")</f>
        <v>#VALUE!</v>
      </c>
      <c r="DO150" t="e">
        <f>AND(Sheet1!#REF!,"AAAAAHrb/XY=")</f>
        <v>#REF!</v>
      </c>
      <c r="DP150" t="e">
        <f>AND(Sheet1!#REF!,"AAAAAHrb/Xc=")</f>
        <v>#REF!</v>
      </c>
      <c r="DQ150" t="e">
        <f>AND(Sheet1!#REF!,"AAAAAHrb/Xg=")</f>
        <v>#REF!</v>
      </c>
      <c r="DR150" t="e">
        <f>AND(Sheet1!#REF!,"AAAAAHrb/Xk=")</f>
        <v>#REF!</v>
      </c>
      <c r="DS150">
        <f>IF(Sheet1!2015:2015,"AAAAAHrb/Xo=",0)</f>
        <v>0</v>
      </c>
      <c r="DT150" t="e">
        <f>AND(Sheet1!A2015,"AAAAAHrb/Xs=")</f>
        <v>#VALUE!</v>
      </c>
      <c r="DU150" t="e">
        <f>AND(Sheet1!B2015,"AAAAAHrb/Xw=")</f>
        <v>#VALUE!</v>
      </c>
      <c r="DV150" t="e">
        <f>AND(Sheet1!C2015,"AAAAAHrb/X0=")</f>
        <v>#VALUE!</v>
      </c>
      <c r="DW150" t="e">
        <f>AND(Sheet1!D2015,"AAAAAHrb/X4=")</f>
        <v>#VALUE!</v>
      </c>
      <c r="DX150" t="e">
        <f>AND(Sheet1!E2015,"AAAAAHrb/X8=")</f>
        <v>#VALUE!</v>
      </c>
      <c r="DY150" t="e">
        <f>AND(Sheet1!F2015,"AAAAAHrb/YA=")</f>
        <v>#VALUE!</v>
      </c>
      <c r="DZ150" t="e">
        <f>AND(Sheet1!G2015,"AAAAAHrb/YE=")</f>
        <v>#VALUE!</v>
      </c>
      <c r="EA150" t="e">
        <f>AND(Sheet1!H2015,"AAAAAHrb/YI=")</f>
        <v>#VALUE!</v>
      </c>
      <c r="EB150" t="e">
        <f>AND(Sheet1!I2015,"AAAAAHrb/YM=")</f>
        <v>#VALUE!</v>
      </c>
      <c r="EC150" t="e">
        <f>AND(Sheet1!J2015,"AAAAAHrb/YQ=")</f>
        <v>#VALUE!</v>
      </c>
      <c r="ED150" t="e">
        <f>AND(Sheet1!K2015,"AAAAAHrb/YU=")</f>
        <v>#VALUE!</v>
      </c>
      <c r="EE150" t="e">
        <f>AND(Sheet1!L2015,"AAAAAHrb/YY=")</f>
        <v>#VALUE!</v>
      </c>
      <c r="EF150" t="e">
        <f>AND(Sheet1!M2015,"AAAAAHrb/Yc=")</f>
        <v>#VALUE!</v>
      </c>
      <c r="EG150" t="e">
        <f>AND(Sheet1!N2015,"AAAAAHrb/Yg=")</f>
        <v>#VALUE!</v>
      </c>
      <c r="EH150" t="e">
        <f>AND(Sheet1!#REF!,"AAAAAHrb/Yk=")</f>
        <v>#REF!</v>
      </c>
      <c r="EI150" t="e">
        <f>AND(Sheet1!#REF!,"AAAAAHrb/Yo=")</f>
        <v>#REF!</v>
      </c>
      <c r="EJ150" t="e">
        <f>AND(Sheet1!#REF!,"AAAAAHrb/Ys=")</f>
        <v>#REF!</v>
      </c>
      <c r="EK150" t="e">
        <f>AND(Sheet1!#REF!,"AAAAAHrb/Yw=")</f>
        <v>#REF!</v>
      </c>
      <c r="EL150">
        <f>IF(Sheet1!2016:2016,"AAAAAHrb/Y0=",0)</f>
        <v>0</v>
      </c>
      <c r="EM150" t="e">
        <f>AND(Sheet1!A2016,"AAAAAHrb/Y4=")</f>
        <v>#VALUE!</v>
      </c>
      <c r="EN150" t="e">
        <f>AND(Sheet1!B2016,"AAAAAHrb/Y8=")</f>
        <v>#VALUE!</v>
      </c>
      <c r="EO150" t="e">
        <f>AND(Sheet1!C2016,"AAAAAHrb/ZA=")</f>
        <v>#VALUE!</v>
      </c>
      <c r="EP150" t="e">
        <f>AND(Sheet1!D2016,"AAAAAHrb/ZE=")</f>
        <v>#VALUE!</v>
      </c>
      <c r="EQ150" t="e">
        <f>AND(Sheet1!E2016,"AAAAAHrb/ZI=")</f>
        <v>#VALUE!</v>
      </c>
      <c r="ER150" t="e">
        <f>AND(Sheet1!F2016,"AAAAAHrb/ZM=")</f>
        <v>#VALUE!</v>
      </c>
      <c r="ES150" t="e">
        <f>AND(Sheet1!G2016,"AAAAAHrb/ZQ=")</f>
        <v>#VALUE!</v>
      </c>
      <c r="ET150" t="e">
        <f>AND(Sheet1!H2016,"AAAAAHrb/ZU=")</f>
        <v>#VALUE!</v>
      </c>
      <c r="EU150" t="e">
        <f>AND(Sheet1!I2016,"AAAAAHrb/ZY=")</f>
        <v>#VALUE!</v>
      </c>
      <c r="EV150" t="e">
        <f>AND(Sheet1!J2016,"AAAAAHrb/Zc=")</f>
        <v>#VALUE!</v>
      </c>
      <c r="EW150" t="e">
        <f>AND(Sheet1!K2016,"AAAAAHrb/Zg=")</f>
        <v>#VALUE!</v>
      </c>
      <c r="EX150" t="e">
        <f>AND(Sheet1!L2016,"AAAAAHrb/Zk=")</f>
        <v>#VALUE!</v>
      </c>
      <c r="EY150" t="e">
        <f>AND(Sheet1!M2016,"AAAAAHrb/Zo=")</f>
        <v>#VALUE!</v>
      </c>
      <c r="EZ150" t="e">
        <f>AND(Sheet1!N2016,"AAAAAHrb/Zs=")</f>
        <v>#VALUE!</v>
      </c>
      <c r="FA150" t="e">
        <f>AND(Sheet1!#REF!,"AAAAAHrb/Zw=")</f>
        <v>#REF!</v>
      </c>
      <c r="FB150" t="e">
        <f>AND(Sheet1!#REF!,"AAAAAHrb/Z0=")</f>
        <v>#REF!</v>
      </c>
      <c r="FC150" t="e">
        <f>AND(Sheet1!#REF!,"AAAAAHrb/Z4=")</f>
        <v>#REF!</v>
      </c>
      <c r="FD150" t="e">
        <f>AND(Sheet1!#REF!,"AAAAAHrb/Z8=")</f>
        <v>#REF!</v>
      </c>
      <c r="FE150">
        <f>IF(Sheet1!2017:2017,"AAAAAHrb/aA=",0)</f>
        <v>0</v>
      </c>
      <c r="FF150" t="e">
        <f>AND(Sheet1!A2017,"AAAAAHrb/aE=")</f>
        <v>#VALUE!</v>
      </c>
      <c r="FG150" t="e">
        <f>AND(Sheet1!B2017,"AAAAAHrb/aI=")</f>
        <v>#VALUE!</v>
      </c>
      <c r="FH150" t="e">
        <f>AND(Sheet1!C2017,"AAAAAHrb/aM=")</f>
        <v>#VALUE!</v>
      </c>
      <c r="FI150" t="e">
        <f>AND(Sheet1!D2017,"AAAAAHrb/aQ=")</f>
        <v>#VALUE!</v>
      </c>
      <c r="FJ150" t="e">
        <f>AND(Sheet1!E2017,"AAAAAHrb/aU=")</f>
        <v>#VALUE!</v>
      </c>
      <c r="FK150" t="e">
        <f>AND(Sheet1!F2017,"AAAAAHrb/aY=")</f>
        <v>#VALUE!</v>
      </c>
      <c r="FL150" t="e">
        <f>AND(Sheet1!G2017,"AAAAAHrb/ac=")</f>
        <v>#VALUE!</v>
      </c>
      <c r="FM150" t="e">
        <f>AND(Sheet1!H2017,"AAAAAHrb/ag=")</f>
        <v>#VALUE!</v>
      </c>
      <c r="FN150" t="e">
        <f>AND(Sheet1!I2017,"AAAAAHrb/ak=")</f>
        <v>#VALUE!</v>
      </c>
      <c r="FO150" t="e">
        <f>AND(Sheet1!J2017,"AAAAAHrb/ao=")</f>
        <v>#VALUE!</v>
      </c>
      <c r="FP150" t="e">
        <f>AND(Sheet1!K2017,"AAAAAHrb/as=")</f>
        <v>#VALUE!</v>
      </c>
      <c r="FQ150" t="e">
        <f>AND(Sheet1!L2017,"AAAAAHrb/aw=")</f>
        <v>#VALUE!</v>
      </c>
      <c r="FR150" t="e">
        <f>AND(Sheet1!M2017,"AAAAAHrb/a0=")</f>
        <v>#VALUE!</v>
      </c>
      <c r="FS150" t="e">
        <f>AND(Sheet1!N2017,"AAAAAHrb/a4=")</f>
        <v>#VALUE!</v>
      </c>
      <c r="FT150" t="e">
        <f>AND(Sheet1!#REF!,"AAAAAHrb/a8=")</f>
        <v>#REF!</v>
      </c>
      <c r="FU150" t="e">
        <f>AND(Sheet1!#REF!,"AAAAAHrb/bA=")</f>
        <v>#REF!</v>
      </c>
      <c r="FV150" t="e">
        <f>AND(Sheet1!#REF!,"AAAAAHrb/bE=")</f>
        <v>#REF!</v>
      </c>
      <c r="FW150" t="e">
        <f>AND(Sheet1!#REF!,"AAAAAHrb/bI=")</f>
        <v>#REF!</v>
      </c>
      <c r="FX150">
        <f>IF(Sheet1!2018:2018,"AAAAAHrb/bM=",0)</f>
        <v>0</v>
      </c>
      <c r="FY150" t="e">
        <f>AND(Sheet1!A2018,"AAAAAHrb/bQ=")</f>
        <v>#VALUE!</v>
      </c>
      <c r="FZ150" t="e">
        <f>AND(Sheet1!B2018,"AAAAAHrb/bU=")</f>
        <v>#VALUE!</v>
      </c>
      <c r="GA150" t="e">
        <f>AND(Sheet1!C2018,"AAAAAHrb/bY=")</f>
        <v>#VALUE!</v>
      </c>
      <c r="GB150" t="e">
        <f>AND(Sheet1!D2018,"AAAAAHrb/bc=")</f>
        <v>#VALUE!</v>
      </c>
      <c r="GC150" t="e">
        <f>AND(Sheet1!E2018,"AAAAAHrb/bg=")</f>
        <v>#VALUE!</v>
      </c>
      <c r="GD150" t="e">
        <f>AND(Sheet1!F2018,"AAAAAHrb/bk=")</f>
        <v>#VALUE!</v>
      </c>
      <c r="GE150" t="e">
        <f>AND(Sheet1!G2018,"AAAAAHrb/bo=")</f>
        <v>#VALUE!</v>
      </c>
      <c r="GF150" t="e">
        <f>AND(Sheet1!H2018,"AAAAAHrb/bs=")</f>
        <v>#VALUE!</v>
      </c>
      <c r="GG150" t="e">
        <f>AND(Sheet1!I2018,"AAAAAHrb/bw=")</f>
        <v>#VALUE!</v>
      </c>
      <c r="GH150" t="e">
        <f>AND(Sheet1!J2018,"AAAAAHrb/b0=")</f>
        <v>#VALUE!</v>
      </c>
      <c r="GI150" t="e">
        <f>AND(Sheet1!K2018,"AAAAAHrb/b4=")</f>
        <v>#VALUE!</v>
      </c>
      <c r="GJ150" t="e">
        <f>AND(Sheet1!L2018,"AAAAAHrb/b8=")</f>
        <v>#VALUE!</v>
      </c>
      <c r="GK150" t="e">
        <f>AND(Sheet1!M2018,"AAAAAHrb/cA=")</f>
        <v>#VALUE!</v>
      </c>
      <c r="GL150" t="e">
        <f>AND(Sheet1!N2018,"AAAAAHrb/cE=")</f>
        <v>#VALUE!</v>
      </c>
      <c r="GM150" t="e">
        <f>AND(Sheet1!#REF!,"AAAAAHrb/cI=")</f>
        <v>#REF!</v>
      </c>
      <c r="GN150" t="e">
        <f>AND(Sheet1!#REF!,"AAAAAHrb/cM=")</f>
        <v>#REF!</v>
      </c>
      <c r="GO150" t="e">
        <f>AND(Sheet1!#REF!,"AAAAAHrb/cQ=")</f>
        <v>#REF!</v>
      </c>
      <c r="GP150" t="e">
        <f>AND(Sheet1!#REF!,"AAAAAHrb/cU=")</f>
        <v>#REF!</v>
      </c>
      <c r="GQ150">
        <f>IF(Sheet1!2019:2019,"AAAAAHrb/cY=",0)</f>
        <v>0</v>
      </c>
      <c r="GR150" t="e">
        <f>AND(Sheet1!A2019,"AAAAAHrb/cc=")</f>
        <v>#VALUE!</v>
      </c>
      <c r="GS150" t="e">
        <f>AND(Sheet1!B2019,"AAAAAHrb/cg=")</f>
        <v>#VALUE!</v>
      </c>
      <c r="GT150" t="e">
        <f>AND(Sheet1!C2019,"AAAAAHrb/ck=")</f>
        <v>#VALUE!</v>
      </c>
      <c r="GU150" t="e">
        <f>AND(Sheet1!D2019,"AAAAAHrb/co=")</f>
        <v>#VALUE!</v>
      </c>
      <c r="GV150" t="e">
        <f>AND(Sheet1!E2019,"AAAAAHrb/cs=")</f>
        <v>#VALUE!</v>
      </c>
      <c r="GW150" t="e">
        <f>AND(Sheet1!F2019,"AAAAAHrb/cw=")</f>
        <v>#VALUE!</v>
      </c>
      <c r="GX150" t="e">
        <f>AND(Sheet1!G2019,"AAAAAHrb/c0=")</f>
        <v>#VALUE!</v>
      </c>
      <c r="GY150" t="e">
        <f>AND(Sheet1!H2019,"AAAAAHrb/c4=")</f>
        <v>#VALUE!</v>
      </c>
      <c r="GZ150" t="e">
        <f>AND(Sheet1!I2019,"AAAAAHrb/c8=")</f>
        <v>#VALUE!</v>
      </c>
      <c r="HA150" t="e">
        <f>AND(Sheet1!J2019,"AAAAAHrb/dA=")</f>
        <v>#VALUE!</v>
      </c>
      <c r="HB150" t="e">
        <f>AND(Sheet1!K2019,"AAAAAHrb/dE=")</f>
        <v>#VALUE!</v>
      </c>
      <c r="HC150" t="e">
        <f>AND(Sheet1!L2019,"AAAAAHrb/dI=")</f>
        <v>#VALUE!</v>
      </c>
      <c r="HD150" t="e">
        <f>AND(Sheet1!M2019,"AAAAAHrb/dM=")</f>
        <v>#VALUE!</v>
      </c>
      <c r="HE150" t="e">
        <f>AND(Sheet1!N2019,"AAAAAHrb/dQ=")</f>
        <v>#VALUE!</v>
      </c>
      <c r="HF150" t="e">
        <f>AND(Sheet1!#REF!,"AAAAAHrb/dU=")</f>
        <v>#REF!</v>
      </c>
      <c r="HG150" t="e">
        <f>AND(Sheet1!#REF!,"AAAAAHrb/dY=")</f>
        <v>#REF!</v>
      </c>
      <c r="HH150" t="e">
        <f>AND(Sheet1!#REF!,"AAAAAHrb/dc=")</f>
        <v>#REF!</v>
      </c>
      <c r="HI150" t="e">
        <f>AND(Sheet1!#REF!,"AAAAAHrb/dg=")</f>
        <v>#REF!</v>
      </c>
      <c r="HJ150">
        <f>IF(Sheet1!2020:2020,"AAAAAHrb/dk=",0)</f>
        <v>0</v>
      </c>
      <c r="HK150" t="e">
        <f>AND(Sheet1!A2020,"AAAAAHrb/do=")</f>
        <v>#VALUE!</v>
      </c>
      <c r="HL150" t="e">
        <f>AND(Sheet1!B2020,"AAAAAHrb/ds=")</f>
        <v>#VALUE!</v>
      </c>
      <c r="HM150" t="e">
        <f>AND(Sheet1!C2020,"AAAAAHrb/dw=")</f>
        <v>#VALUE!</v>
      </c>
      <c r="HN150" t="e">
        <f>AND(Sheet1!D2020,"AAAAAHrb/d0=")</f>
        <v>#VALUE!</v>
      </c>
      <c r="HO150" t="e">
        <f>AND(Sheet1!E2020,"AAAAAHrb/d4=")</f>
        <v>#VALUE!</v>
      </c>
      <c r="HP150" t="e">
        <f>AND(Sheet1!F2020,"AAAAAHrb/d8=")</f>
        <v>#VALUE!</v>
      </c>
      <c r="HQ150" t="e">
        <f>AND(Sheet1!G2020,"AAAAAHrb/eA=")</f>
        <v>#VALUE!</v>
      </c>
      <c r="HR150" t="e">
        <f>AND(Sheet1!H2020,"AAAAAHrb/eE=")</f>
        <v>#VALUE!</v>
      </c>
      <c r="HS150" t="e">
        <f>AND(Sheet1!I2020,"AAAAAHrb/eI=")</f>
        <v>#VALUE!</v>
      </c>
      <c r="HT150" t="e">
        <f>AND(Sheet1!J2020,"AAAAAHrb/eM=")</f>
        <v>#VALUE!</v>
      </c>
      <c r="HU150" t="e">
        <f>AND(Sheet1!K2020,"AAAAAHrb/eQ=")</f>
        <v>#VALUE!</v>
      </c>
      <c r="HV150" t="e">
        <f>AND(Sheet1!L2020,"AAAAAHrb/eU=")</f>
        <v>#VALUE!</v>
      </c>
      <c r="HW150" t="e">
        <f>AND(Sheet1!M2020,"AAAAAHrb/eY=")</f>
        <v>#VALUE!</v>
      </c>
      <c r="HX150" t="e">
        <f>AND(Sheet1!N2020,"AAAAAHrb/ec=")</f>
        <v>#VALUE!</v>
      </c>
      <c r="HY150" t="e">
        <f>AND(Sheet1!#REF!,"AAAAAHrb/eg=")</f>
        <v>#REF!</v>
      </c>
      <c r="HZ150" t="e">
        <f>AND(Sheet1!#REF!,"AAAAAHrb/ek=")</f>
        <v>#REF!</v>
      </c>
      <c r="IA150" t="e">
        <f>AND(Sheet1!#REF!,"AAAAAHrb/eo=")</f>
        <v>#REF!</v>
      </c>
      <c r="IB150" t="e">
        <f>AND(Sheet1!#REF!,"AAAAAHrb/es=")</f>
        <v>#REF!</v>
      </c>
      <c r="IC150">
        <f>IF(Sheet1!2021:2021,"AAAAAHrb/ew=",0)</f>
        <v>0</v>
      </c>
      <c r="ID150" t="e">
        <f>AND(Sheet1!A2021,"AAAAAHrb/e0=")</f>
        <v>#VALUE!</v>
      </c>
      <c r="IE150" t="e">
        <f>AND(Sheet1!B2021,"AAAAAHrb/e4=")</f>
        <v>#VALUE!</v>
      </c>
      <c r="IF150" t="e">
        <f>AND(Sheet1!C2021,"AAAAAHrb/e8=")</f>
        <v>#VALUE!</v>
      </c>
      <c r="IG150" t="e">
        <f>AND(Sheet1!D2021,"AAAAAHrb/fA=")</f>
        <v>#VALUE!</v>
      </c>
      <c r="IH150" t="e">
        <f>AND(Sheet1!E2021,"AAAAAHrb/fE=")</f>
        <v>#VALUE!</v>
      </c>
      <c r="II150" t="e">
        <f>AND(Sheet1!F2021,"AAAAAHrb/fI=")</f>
        <v>#VALUE!</v>
      </c>
      <c r="IJ150" t="e">
        <f>AND(Sheet1!G2021,"AAAAAHrb/fM=")</f>
        <v>#VALUE!</v>
      </c>
      <c r="IK150" t="e">
        <f>AND(Sheet1!H2021,"AAAAAHrb/fQ=")</f>
        <v>#VALUE!</v>
      </c>
      <c r="IL150" t="e">
        <f>AND(Sheet1!I2021,"AAAAAHrb/fU=")</f>
        <v>#VALUE!</v>
      </c>
      <c r="IM150" t="e">
        <f>AND(Sheet1!J2021,"AAAAAHrb/fY=")</f>
        <v>#VALUE!</v>
      </c>
      <c r="IN150" t="e">
        <f>AND(Sheet1!K2021,"AAAAAHrb/fc=")</f>
        <v>#VALUE!</v>
      </c>
      <c r="IO150" t="e">
        <f>AND(Sheet1!L2021,"AAAAAHrb/fg=")</f>
        <v>#VALUE!</v>
      </c>
      <c r="IP150" t="e">
        <f>AND(Sheet1!M2021,"AAAAAHrb/fk=")</f>
        <v>#VALUE!</v>
      </c>
      <c r="IQ150" t="e">
        <f>AND(Sheet1!N2021,"AAAAAHrb/fo=")</f>
        <v>#VALUE!</v>
      </c>
      <c r="IR150" t="e">
        <f>AND(Sheet1!#REF!,"AAAAAHrb/fs=")</f>
        <v>#REF!</v>
      </c>
      <c r="IS150" t="e">
        <f>AND(Sheet1!#REF!,"AAAAAHrb/fw=")</f>
        <v>#REF!</v>
      </c>
      <c r="IT150" t="e">
        <f>AND(Sheet1!#REF!,"AAAAAHrb/f0=")</f>
        <v>#REF!</v>
      </c>
      <c r="IU150" t="e">
        <f>AND(Sheet1!#REF!,"AAAAAHrb/f4=")</f>
        <v>#REF!</v>
      </c>
      <c r="IV150">
        <f>IF(Sheet1!2022:2022,"AAAAAHrb/f8=",0)</f>
        <v>0</v>
      </c>
    </row>
    <row r="151" spans="1:256" x14ac:dyDescent="0.2">
      <c r="A151" t="e">
        <f>AND(Sheet1!A2022,"AAAAAH/1PwA=")</f>
        <v>#VALUE!</v>
      </c>
      <c r="B151" t="e">
        <f>AND(Sheet1!B2022,"AAAAAH/1PwE=")</f>
        <v>#VALUE!</v>
      </c>
      <c r="C151" t="e">
        <f>AND(Sheet1!C2022,"AAAAAH/1PwI=")</f>
        <v>#VALUE!</v>
      </c>
      <c r="D151" t="e">
        <f>AND(Sheet1!D2022,"AAAAAH/1PwM=")</f>
        <v>#VALUE!</v>
      </c>
      <c r="E151" t="e">
        <f>AND(Sheet1!E2022,"AAAAAH/1PwQ=")</f>
        <v>#VALUE!</v>
      </c>
      <c r="F151" t="e">
        <f>AND(Sheet1!F2022,"AAAAAH/1PwU=")</f>
        <v>#VALUE!</v>
      </c>
      <c r="G151" t="e">
        <f>AND(Sheet1!G2022,"AAAAAH/1PwY=")</f>
        <v>#VALUE!</v>
      </c>
      <c r="H151" t="e">
        <f>AND(Sheet1!H2022,"AAAAAH/1Pwc=")</f>
        <v>#VALUE!</v>
      </c>
      <c r="I151" t="e">
        <f>AND(Sheet1!I2022,"AAAAAH/1Pwg=")</f>
        <v>#VALUE!</v>
      </c>
      <c r="J151" t="e">
        <f>AND(Sheet1!J2022,"AAAAAH/1Pwk=")</f>
        <v>#VALUE!</v>
      </c>
      <c r="K151" t="e">
        <f>AND(Sheet1!K2022,"AAAAAH/1Pwo=")</f>
        <v>#VALUE!</v>
      </c>
      <c r="L151" t="e">
        <f>AND(Sheet1!L2022,"AAAAAH/1Pws=")</f>
        <v>#VALUE!</v>
      </c>
      <c r="M151" t="e">
        <f>AND(Sheet1!M2022,"AAAAAH/1Pww=")</f>
        <v>#VALUE!</v>
      </c>
      <c r="N151" t="e">
        <f>AND(Sheet1!N2022,"AAAAAH/1Pw0=")</f>
        <v>#VALUE!</v>
      </c>
      <c r="O151" t="e">
        <f>AND(Sheet1!#REF!,"AAAAAH/1Pw4=")</f>
        <v>#REF!</v>
      </c>
      <c r="P151" t="e">
        <f>AND(Sheet1!#REF!,"AAAAAH/1Pw8=")</f>
        <v>#REF!</v>
      </c>
      <c r="Q151" t="e">
        <f>AND(Sheet1!#REF!,"AAAAAH/1PxA=")</f>
        <v>#REF!</v>
      </c>
      <c r="R151" t="e">
        <f>AND(Sheet1!#REF!,"AAAAAH/1PxE=")</f>
        <v>#REF!</v>
      </c>
      <c r="S151">
        <f>IF(Sheet1!2023:2023,"AAAAAH/1PxI=",0)</f>
        <v>0</v>
      </c>
      <c r="T151" t="e">
        <f>AND(Sheet1!A2023,"AAAAAH/1PxM=")</f>
        <v>#VALUE!</v>
      </c>
      <c r="U151" t="e">
        <f>AND(Sheet1!B2023,"AAAAAH/1PxQ=")</f>
        <v>#VALUE!</v>
      </c>
      <c r="V151" t="e">
        <f>AND(Sheet1!C2023,"AAAAAH/1PxU=")</f>
        <v>#VALUE!</v>
      </c>
      <c r="W151" t="e">
        <f>AND(Sheet1!D2023,"AAAAAH/1PxY=")</f>
        <v>#VALUE!</v>
      </c>
      <c r="X151" t="e">
        <f>AND(Sheet1!E2023,"AAAAAH/1Pxc=")</f>
        <v>#VALUE!</v>
      </c>
      <c r="Y151" t="e">
        <f>AND(Sheet1!F2023,"AAAAAH/1Pxg=")</f>
        <v>#VALUE!</v>
      </c>
      <c r="Z151" t="e">
        <f>AND(Sheet1!G2023,"AAAAAH/1Pxk=")</f>
        <v>#VALUE!</v>
      </c>
      <c r="AA151" t="e">
        <f>AND(Sheet1!H2023,"AAAAAH/1Pxo=")</f>
        <v>#VALUE!</v>
      </c>
      <c r="AB151" t="e">
        <f>AND(Sheet1!I2023,"AAAAAH/1Pxs=")</f>
        <v>#VALUE!</v>
      </c>
      <c r="AC151" t="e">
        <f>AND(Sheet1!J2023,"AAAAAH/1Pxw=")</f>
        <v>#VALUE!</v>
      </c>
      <c r="AD151" t="e">
        <f>AND(Sheet1!K2023,"AAAAAH/1Px0=")</f>
        <v>#VALUE!</v>
      </c>
      <c r="AE151" t="e">
        <f>AND(Sheet1!L2023,"AAAAAH/1Px4=")</f>
        <v>#VALUE!</v>
      </c>
      <c r="AF151" t="e">
        <f>AND(Sheet1!M2023,"AAAAAH/1Px8=")</f>
        <v>#VALUE!</v>
      </c>
      <c r="AG151" t="e">
        <f>AND(Sheet1!N2023,"AAAAAH/1PyA=")</f>
        <v>#VALUE!</v>
      </c>
      <c r="AH151" t="e">
        <f>AND(Sheet1!#REF!,"AAAAAH/1PyE=")</f>
        <v>#REF!</v>
      </c>
      <c r="AI151" t="e">
        <f>AND(Sheet1!#REF!,"AAAAAH/1PyI=")</f>
        <v>#REF!</v>
      </c>
      <c r="AJ151" t="e">
        <f>AND(Sheet1!#REF!,"AAAAAH/1PyM=")</f>
        <v>#REF!</v>
      </c>
      <c r="AK151" t="e">
        <f>AND(Sheet1!#REF!,"AAAAAH/1PyQ=")</f>
        <v>#REF!</v>
      </c>
      <c r="AL151">
        <f>IF(Sheet1!2024:2024,"AAAAAH/1PyU=",0)</f>
        <v>0</v>
      </c>
      <c r="AM151" t="e">
        <f>AND(Sheet1!A2024,"AAAAAH/1PyY=")</f>
        <v>#VALUE!</v>
      </c>
      <c r="AN151" t="e">
        <f>AND(Sheet1!B2024,"AAAAAH/1Pyc=")</f>
        <v>#VALUE!</v>
      </c>
      <c r="AO151" t="e">
        <f>AND(Sheet1!C2024,"AAAAAH/1Pyg=")</f>
        <v>#VALUE!</v>
      </c>
      <c r="AP151" t="e">
        <f>AND(Sheet1!D2024,"AAAAAH/1Pyk=")</f>
        <v>#VALUE!</v>
      </c>
      <c r="AQ151" t="e">
        <f>AND(Sheet1!E2024,"AAAAAH/1Pyo=")</f>
        <v>#VALUE!</v>
      </c>
      <c r="AR151" t="e">
        <f>AND(Sheet1!F2024,"AAAAAH/1Pys=")</f>
        <v>#VALUE!</v>
      </c>
      <c r="AS151" t="e">
        <f>AND(Sheet1!G2024,"AAAAAH/1Pyw=")</f>
        <v>#VALUE!</v>
      </c>
      <c r="AT151" t="e">
        <f>AND(Sheet1!H2024,"AAAAAH/1Py0=")</f>
        <v>#VALUE!</v>
      </c>
      <c r="AU151" t="e">
        <f>AND(Sheet1!I2024,"AAAAAH/1Py4=")</f>
        <v>#VALUE!</v>
      </c>
      <c r="AV151" t="e">
        <f>AND(Sheet1!J2024,"AAAAAH/1Py8=")</f>
        <v>#VALUE!</v>
      </c>
      <c r="AW151" t="e">
        <f>AND(Sheet1!K2024,"AAAAAH/1PzA=")</f>
        <v>#VALUE!</v>
      </c>
      <c r="AX151" t="e">
        <f>AND(Sheet1!L2024,"AAAAAH/1PzE=")</f>
        <v>#VALUE!</v>
      </c>
      <c r="AY151" t="e">
        <f>AND(Sheet1!M2024,"AAAAAH/1PzI=")</f>
        <v>#VALUE!</v>
      </c>
      <c r="AZ151" t="e">
        <f>AND(Sheet1!N2024,"AAAAAH/1PzM=")</f>
        <v>#VALUE!</v>
      </c>
      <c r="BA151" t="e">
        <f>AND(Sheet1!#REF!,"AAAAAH/1PzQ=")</f>
        <v>#REF!</v>
      </c>
      <c r="BB151" t="e">
        <f>AND(Sheet1!#REF!,"AAAAAH/1PzU=")</f>
        <v>#REF!</v>
      </c>
      <c r="BC151" t="e">
        <f>AND(Sheet1!#REF!,"AAAAAH/1PzY=")</f>
        <v>#REF!</v>
      </c>
      <c r="BD151" t="e">
        <f>AND(Sheet1!#REF!,"AAAAAH/1Pzc=")</f>
        <v>#REF!</v>
      </c>
      <c r="BE151">
        <f>IF(Sheet1!2025:2025,"AAAAAH/1Pzg=",0)</f>
        <v>0</v>
      </c>
      <c r="BF151" t="e">
        <f>AND(Sheet1!A2025,"AAAAAH/1Pzk=")</f>
        <v>#VALUE!</v>
      </c>
      <c r="BG151" t="e">
        <f>AND(Sheet1!B2025,"AAAAAH/1Pzo=")</f>
        <v>#VALUE!</v>
      </c>
      <c r="BH151" t="e">
        <f>AND(Sheet1!C2025,"AAAAAH/1Pzs=")</f>
        <v>#VALUE!</v>
      </c>
      <c r="BI151" t="e">
        <f>AND(Sheet1!D2025,"AAAAAH/1Pzw=")</f>
        <v>#VALUE!</v>
      </c>
      <c r="BJ151" t="e">
        <f>AND(Sheet1!E2025,"AAAAAH/1Pz0=")</f>
        <v>#VALUE!</v>
      </c>
      <c r="BK151" t="e">
        <f>AND(Sheet1!F2025,"AAAAAH/1Pz4=")</f>
        <v>#VALUE!</v>
      </c>
      <c r="BL151" t="e">
        <f>AND(Sheet1!G2025,"AAAAAH/1Pz8=")</f>
        <v>#VALUE!</v>
      </c>
      <c r="BM151" t="e">
        <f>AND(Sheet1!H2025,"AAAAAH/1P0A=")</f>
        <v>#VALUE!</v>
      </c>
      <c r="BN151" t="e">
        <f>AND(Sheet1!I2025,"AAAAAH/1P0E=")</f>
        <v>#VALUE!</v>
      </c>
      <c r="BO151" t="e">
        <f>AND(Sheet1!J2025,"AAAAAH/1P0I=")</f>
        <v>#VALUE!</v>
      </c>
      <c r="BP151" t="e">
        <f>AND(Sheet1!K2025,"AAAAAH/1P0M=")</f>
        <v>#VALUE!</v>
      </c>
      <c r="BQ151" t="e">
        <f>AND(Sheet1!L2025,"AAAAAH/1P0Q=")</f>
        <v>#VALUE!</v>
      </c>
      <c r="BR151" t="e">
        <f>AND(Sheet1!M2025,"AAAAAH/1P0U=")</f>
        <v>#VALUE!</v>
      </c>
      <c r="BS151" t="e">
        <f>AND(Sheet1!N2025,"AAAAAH/1P0Y=")</f>
        <v>#VALUE!</v>
      </c>
      <c r="BT151" t="e">
        <f>AND(Sheet1!#REF!,"AAAAAH/1P0c=")</f>
        <v>#REF!</v>
      </c>
      <c r="BU151" t="e">
        <f>AND(Sheet1!#REF!,"AAAAAH/1P0g=")</f>
        <v>#REF!</v>
      </c>
      <c r="BV151" t="e">
        <f>AND(Sheet1!#REF!,"AAAAAH/1P0k=")</f>
        <v>#REF!</v>
      </c>
      <c r="BW151" t="e">
        <f>AND(Sheet1!#REF!,"AAAAAH/1P0o=")</f>
        <v>#REF!</v>
      </c>
      <c r="BX151">
        <f>IF(Sheet1!2026:2026,"AAAAAH/1P0s=",0)</f>
        <v>0</v>
      </c>
      <c r="BY151" t="e">
        <f>AND(Sheet1!A2026,"AAAAAH/1P0w=")</f>
        <v>#VALUE!</v>
      </c>
      <c r="BZ151" t="e">
        <f>AND(Sheet1!B2026,"AAAAAH/1P00=")</f>
        <v>#VALUE!</v>
      </c>
      <c r="CA151" t="e">
        <f>AND(Sheet1!C2026,"AAAAAH/1P04=")</f>
        <v>#VALUE!</v>
      </c>
      <c r="CB151" t="e">
        <f>AND(Sheet1!D2026,"AAAAAH/1P08=")</f>
        <v>#VALUE!</v>
      </c>
      <c r="CC151" t="e">
        <f>AND(Sheet1!E2026,"AAAAAH/1P1A=")</f>
        <v>#VALUE!</v>
      </c>
      <c r="CD151" t="e">
        <f>AND(Sheet1!F2026,"AAAAAH/1P1E=")</f>
        <v>#VALUE!</v>
      </c>
      <c r="CE151" t="e">
        <f>AND(Sheet1!G2026,"AAAAAH/1P1I=")</f>
        <v>#VALUE!</v>
      </c>
      <c r="CF151" t="e">
        <f>AND(Sheet1!H2026,"AAAAAH/1P1M=")</f>
        <v>#VALUE!</v>
      </c>
      <c r="CG151" t="e">
        <f>AND(Sheet1!I2026,"AAAAAH/1P1Q=")</f>
        <v>#VALUE!</v>
      </c>
      <c r="CH151" t="e">
        <f>AND(Sheet1!J2026,"AAAAAH/1P1U=")</f>
        <v>#VALUE!</v>
      </c>
      <c r="CI151" t="e">
        <f>AND(Sheet1!K2026,"AAAAAH/1P1Y=")</f>
        <v>#VALUE!</v>
      </c>
      <c r="CJ151" t="e">
        <f>AND(Sheet1!L2026,"AAAAAH/1P1c=")</f>
        <v>#VALUE!</v>
      </c>
      <c r="CK151" t="e">
        <f>AND(Sheet1!M2026,"AAAAAH/1P1g=")</f>
        <v>#VALUE!</v>
      </c>
      <c r="CL151" t="e">
        <f>AND(Sheet1!N2026,"AAAAAH/1P1k=")</f>
        <v>#VALUE!</v>
      </c>
      <c r="CM151" t="e">
        <f>AND(Sheet1!#REF!,"AAAAAH/1P1o=")</f>
        <v>#REF!</v>
      </c>
      <c r="CN151" t="e">
        <f>AND(Sheet1!#REF!,"AAAAAH/1P1s=")</f>
        <v>#REF!</v>
      </c>
      <c r="CO151" t="e">
        <f>AND(Sheet1!#REF!,"AAAAAH/1P1w=")</f>
        <v>#REF!</v>
      </c>
      <c r="CP151" t="e">
        <f>AND(Sheet1!#REF!,"AAAAAH/1P10=")</f>
        <v>#REF!</v>
      </c>
      <c r="CQ151">
        <f>IF(Sheet1!2027:2027,"AAAAAH/1P14=",0)</f>
        <v>0</v>
      </c>
      <c r="CR151" t="e">
        <f>AND(Sheet1!A2027,"AAAAAH/1P18=")</f>
        <v>#VALUE!</v>
      </c>
      <c r="CS151" t="e">
        <f>AND(Sheet1!B2027,"AAAAAH/1P2A=")</f>
        <v>#VALUE!</v>
      </c>
      <c r="CT151" t="e">
        <f>AND(Sheet1!C2027,"AAAAAH/1P2E=")</f>
        <v>#VALUE!</v>
      </c>
      <c r="CU151" t="e">
        <f>AND(Sheet1!D2027,"AAAAAH/1P2I=")</f>
        <v>#VALUE!</v>
      </c>
      <c r="CV151" t="e">
        <f>AND(Sheet1!E2027,"AAAAAH/1P2M=")</f>
        <v>#VALUE!</v>
      </c>
      <c r="CW151" t="e">
        <f>AND(Sheet1!F2027,"AAAAAH/1P2Q=")</f>
        <v>#VALUE!</v>
      </c>
      <c r="CX151" t="e">
        <f>AND(Sheet1!G2027,"AAAAAH/1P2U=")</f>
        <v>#VALUE!</v>
      </c>
      <c r="CY151" t="e">
        <f>AND(Sheet1!H2027,"AAAAAH/1P2Y=")</f>
        <v>#VALUE!</v>
      </c>
      <c r="CZ151" t="e">
        <f>AND(Sheet1!I2027,"AAAAAH/1P2c=")</f>
        <v>#VALUE!</v>
      </c>
      <c r="DA151" t="e">
        <f>AND(Sheet1!J2027,"AAAAAH/1P2g=")</f>
        <v>#VALUE!</v>
      </c>
      <c r="DB151" t="e">
        <f>AND(Sheet1!K2027,"AAAAAH/1P2k=")</f>
        <v>#VALUE!</v>
      </c>
      <c r="DC151" t="e">
        <f>AND(Sheet1!L2027,"AAAAAH/1P2o=")</f>
        <v>#VALUE!</v>
      </c>
      <c r="DD151" t="e">
        <f>AND(Sheet1!M2027,"AAAAAH/1P2s=")</f>
        <v>#VALUE!</v>
      </c>
      <c r="DE151" t="e">
        <f>AND(Sheet1!N2027,"AAAAAH/1P2w=")</f>
        <v>#VALUE!</v>
      </c>
      <c r="DF151" t="e">
        <f>AND(Sheet1!#REF!,"AAAAAH/1P20=")</f>
        <v>#REF!</v>
      </c>
      <c r="DG151" t="e">
        <f>AND(Sheet1!#REF!,"AAAAAH/1P24=")</f>
        <v>#REF!</v>
      </c>
      <c r="DH151" t="e">
        <f>AND(Sheet1!#REF!,"AAAAAH/1P28=")</f>
        <v>#REF!</v>
      </c>
      <c r="DI151" t="e">
        <f>AND(Sheet1!#REF!,"AAAAAH/1P3A=")</f>
        <v>#REF!</v>
      </c>
      <c r="DJ151">
        <f>IF(Sheet1!2028:2028,"AAAAAH/1P3E=",0)</f>
        <v>0</v>
      </c>
      <c r="DK151" t="e">
        <f>AND(Sheet1!A2028,"AAAAAH/1P3I=")</f>
        <v>#VALUE!</v>
      </c>
      <c r="DL151" t="e">
        <f>AND(Sheet1!B2028,"AAAAAH/1P3M=")</f>
        <v>#VALUE!</v>
      </c>
      <c r="DM151" t="e">
        <f>AND(Sheet1!C2028,"AAAAAH/1P3Q=")</f>
        <v>#VALUE!</v>
      </c>
      <c r="DN151" t="e">
        <f>AND(Sheet1!D2028,"AAAAAH/1P3U=")</f>
        <v>#VALUE!</v>
      </c>
      <c r="DO151" t="e">
        <f>AND(Sheet1!E2028,"AAAAAH/1P3Y=")</f>
        <v>#VALUE!</v>
      </c>
      <c r="DP151" t="e">
        <f>AND(Sheet1!F2028,"AAAAAH/1P3c=")</f>
        <v>#VALUE!</v>
      </c>
      <c r="DQ151" t="e">
        <f>AND(Sheet1!G2028,"AAAAAH/1P3g=")</f>
        <v>#VALUE!</v>
      </c>
      <c r="DR151" t="e">
        <f>AND(Sheet1!H2028,"AAAAAH/1P3k=")</f>
        <v>#VALUE!</v>
      </c>
      <c r="DS151" t="e">
        <f>AND(Sheet1!I2028,"AAAAAH/1P3o=")</f>
        <v>#VALUE!</v>
      </c>
      <c r="DT151" t="e">
        <f>AND(Sheet1!J2028,"AAAAAH/1P3s=")</f>
        <v>#VALUE!</v>
      </c>
      <c r="DU151" t="e">
        <f>AND(Sheet1!K2028,"AAAAAH/1P3w=")</f>
        <v>#VALUE!</v>
      </c>
      <c r="DV151" t="e">
        <f>AND(Sheet1!L2028,"AAAAAH/1P30=")</f>
        <v>#VALUE!</v>
      </c>
      <c r="DW151" t="e">
        <f>AND(Sheet1!M2028,"AAAAAH/1P34=")</f>
        <v>#VALUE!</v>
      </c>
      <c r="DX151" t="e">
        <f>AND(Sheet1!N2028,"AAAAAH/1P38=")</f>
        <v>#VALUE!</v>
      </c>
      <c r="DY151" t="e">
        <f>AND(Sheet1!#REF!,"AAAAAH/1P4A=")</f>
        <v>#REF!</v>
      </c>
      <c r="DZ151" t="e">
        <f>AND(Sheet1!#REF!,"AAAAAH/1P4E=")</f>
        <v>#REF!</v>
      </c>
      <c r="EA151" t="e">
        <f>AND(Sheet1!#REF!,"AAAAAH/1P4I=")</f>
        <v>#REF!</v>
      </c>
      <c r="EB151" t="e">
        <f>AND(Sheet1!#REF!,"AAAAAH/1P4M=")</f>
        <v>#REF!</v>
      </c>
      <c r="EC151">
        <f>IF(Sheet1!2029:2029,"AAAAAH/1P4Q=",0)</f>
        <v>0</v>
      </c>
      <c r="ED151" t="e">
        <f>AND(Sheet1!A2029,"AAAAAH/1P4U=")</f>
        <v>#VALUE!</v>
      </c>
      <c r="EE151" t="e">
        <f>AND(Sheet1!B2029,"AAAAAH/1P4Y=")</f>
        <v>#VALUE!</v>
      </c>
      <c r="EF151" t="e">
        <f>AND(Sheet1!C2029,"AAAAAH/1P4c=")</f>
        <v>#VALUE!</v>
      </c>
      <c r="EG151" t="e">
        <f>AND(Sheet1!D2029,"AAAAAH/1P4g=")</f>
        <v>#VALUE!</v>
      </c>
      <c r="EH151" t="e">
        <f>AND(Sheet1!E2029,"AAAAAH/1P4k=")</f>
        <v>#VALUE!</v>
      </c>
      <c r="EI151" t="e">
        <f>AND(Sheet1!F2029,"AAAAAH/1P4o=")</f>
        <v>#VALUE!</v>
      </c>
      <c r="EJ151" t="e">
        <f>AND(Sheet1!G2029,"AAAAAH/1P4s=")</f>
        <v>#VALUE!</v>
      </c>
      <c r="EK151" t="e">
        <f>AND(Sheet1!H2029,"AAAAAH/1P4w=")</f>
        <v>#VALUE!</v>
      </c>
      <c r="EL151" t="e">
        <f>AND(Sheet1!I2029,"AAAAAH/1P40=")</f>
        <v>#VALUE!</v>
      </c>
      <c r="EM151" t="e">
        <f>AND(Sheet1!J2029,"AAAAAH/1P44=")</f>
        <v>#VALUE!</v>
      </c>
      <c r="EN151" t="e">
        <f>AND(Sheet1!K2029,"AAAAAH/1P48=")</f>
        <v>#VALUE!</v>
      </c>
      <c r="EO151" t="e">
        <f>AND(Sheet1!L2029,"AAAAAH/1P5A=")</f>
        <v>#VALUE!</v>
      </c>
      <c r="EP151" t="e">
        <f>AND(Sheet1!M2029,"AAAAAH/1P5E=")</f>
        <v>#VALUE!</v>
      </c>
      <c r="EQ151" t="e">
        <f>AND(Sheet1!N2029,"AAAAAH/1P5I=")</f>
        <v>#VALUE!</v>
      </c>
      <c r="ER151" t="e">
        <f>AND(Sheet1!#REF!,"AAAAAH/1P5M=")</f>
        <v>#REF!</v>
      </c>
      <c r="ES151" t="e">
        <f>AND(Sheet1!#REF!,"AAAAAH/1P5Q=")</f>
        <v>#REF!</v>
      </c>
      <c r="ET151" t="e">
        <f>AND(Sheet1!#REF!,"AAAAAH/1P5U=")</f>
        <v>#REF!</v>
      </c>
      <c r="EU151" t="e">
        <f>AND(Sheet1!#REF!,"AAAAAH/1P5Y=")</f>
        <v>#REF!</v>
      </c>
      <c r="EV151">
        <f>IF(Sheet1!2030:2030,"AAAAAH/1P5c=",0)</f>
        <v>0</v>
      </c>
      <c r="EW151" t="e">
        <f>AND(Sheet1!A2030,"AAAAAH/1P5g=")</f>
        <v>#VALUE!</v>
      </c>
      <c r="EX151" t="e">
        <f>AND(Sheet1!B2030,"AAAAAH/1P5k=")</f>
        <v>#VALUE!</v>
      </c>
      <c r="EY151" t="e">
        <f>AND(Sheet1!C2030,"AAAAAH/1P5o=")</f>
        <v>#VALUE!</v>
      </c>
      <c r="EZ151" t="e">
        <f>AND(Sheet1!D2030,"AAAAAH/1P5s=")</f>
        <v>#VALUE!</v>
      </c>
      <c r="FA151" t="e">
        <f>AND(Sheet1!E2030,"AAAAAH/1P5w=")</f>
        <v>#VALUE!</v>
      </c>
      <c r="FB151" t="e">
        <f>AND(Sheet1!F2030,"AAAAAH/1P50=")</f>
        <v>#VALUE!</v>
      </c>
      <c r="FC151" t="e">
        <f>AND(Sheet1!G2030,"AAAAAH/1P54=")</f>
        <v>#VALUE!</v>
      </c>
      <c r="FD151" t="e">
        <f>AND(Sheet1!H2030,"AAAAAH/1P58=")</f>
        <v>#VALUE!</v>
      </c>
      <c r="FE151" t="e">
        <f>AND(Sheet1!I2030,"AAAAAH/1P6A=")</f>
        <v>#VALUE!</v>
      </c>
      <c r="FF151" t="e">
        <f>AND(Sheet1!J2030,"AAAAAH/1P6E=")</f>
        <v>#VALUE!</v>
      </c>
      <c r="FG151" t="e">
        <f>AND(Sheet1!K2030,"AAAAAH/1P6I=")</f>
        <v>#VALUE!</v>
      </c>
      <c r="FH151" t="e">
        <f>AND(Sheet1!L2030,"AAAAAH/1P6M=")</f>
        <v>#VALUE!</v>
      </c>
      <c r="FI151" t="e">
        <f>AND(Sheet1!M2030,"AAAAAH/1P6Q=")</f>
        <v>#VALUE!</v>
      </c>
      <c r="FJ151" t="e">
        <f>AND(Sheet1!N2030,"AAAAAH/1P6U=")</f>
        <v>#VALUE!</v>
      </c>
      <c r="FK151" t="e">
        <f>AND(Sheet1!#REF!,"AAAAAH/1P6Y=")</f>
        <v>#REF!</v>
      </c>
      <c r="FL151" t="e">
        <f>AND(Sheet1!#REF!,"AAAAAH/1P6c=")</f>
        <v>#REF!</v>
      </c>
      <c r="FM151" t="e">
        <f>AND(Sheet1!#REF!,"AAAAAH/1P6g=")</f>
        <v>#REF!</v>
      </c>
      <c r="FN151" t="e">
        <f>AND(Sheet1!#REF!,"AAAAAH/1P6k=")</f>
        <v>#REF!</v>
      </c>
      <c r="FO151">
        <f>IF(Sheet1!2031:2031,"AAAAAH/1P6o=",0)</f>
        <v>0</v>
      </c>
      <c r="FP151" t="e">
        <f>AND(Sheet1!A2031,"AAAAAH/1P6s=")</f>
        <v>#VALUE!</v>
      </c>
      <c r="FQ151" t="e">
        <f>AND(Sheet1!B2031,"AAAAAH/1P6w=")</f>
        <v>#VALUE!</v>
      </c>
      <c r="FR151" t="e">
        <f>AND(Sheet1!C2031,"AAAAAH/1P60=")</f>
        <v>#VALUE!</v>
      </c>
      <c r="FS151" t="e">
        <f>AND(Sheet1!D2031,"AAAAAH/1P64=")</f>
        <v>#VALUE!</v>
      </c>
      <c r="FT151" t="e">
        <f>AND(Sheet1!E2031,"AAAAAH/1P68=")</f>
        <v>#VALUE!</v>
      </c>
      <c r="FU151" t="e">
        <f>AND(Sheet1!F2031,"AAAAAH/1P7A=")</f>
        <v>#VALUE!</v>
      </c>
      <c r="FV151" t="e">
        <f>AND(Sheet1!G2031,"AAAAAH/1P7E=")</f>
        <v>#VALUE!</v>
      </c>
      <c r="FW151" t="e">
        <f>AND(Sheet1!H2031,"AAAAAH/1P7I=")</f>
        <v>#VALUE!</v>
      </c>
      <c r="FX151" t="e">
        <f>AND(Sheet1!I2031,"AAAAAH/1P7M=")</f>
        <v>#VALUE!</v>
      </c>
      <c r="FY151" t="e">
        <f>AND(Sheet1!J2031,"AAAAAH/1P7Q=")</f>
        <v>#VALUE!</v>
      </c>
      <c r="FZ151" t="e">
        <f>AND(Sheet1!K2031,"AAAAAH/1P7U=")</f>
        <v>#VALUE!</v>
      </c>
      <c r="GA151" t="e">
        <f>AND(Sheet1!L2031,"AAAAAH/1P7Y=")</f>
        <v>#VALUE!</v>
      </c>
      <c r="GB151" t="e">
        <f>AND(Sheet1!M2031,"AAAAAH/1P7c=")</f>
        <v>#VALUE!</v>
      </c>
      <c r="GC151" t="e">
        <f>AND(Sheet1!N2031,"AAAAAH/1P7g=")</f>
        <v>#VALUE!</v>
      </c>
      <c r="GD151" t="e">
        <f>AND(Sheet1!#REF!,"AAAAAH/1P7k=")</f>
        <v>#REF!</v>
      </c>
      <c r="GE151" t="e">
        <f>AND(Sheet1!#REF!,"AAAAAH/1P7o=")</f>
        <v>#REF!</v>
      </c>
      <c r="GF151" t="e">
        <f>AND(Sheet1!#REF!,"AAAAAH/1P7s=")</f>
        <v>#REF!</v>
      </c>
      <c r="GG151" t="e">
        <f>AND(Sheet1!#REF!,"AAAAAH/1P7w=")</f>
        <v>#REF!</v>
      </c>
      <c r="GH151">
        <f>IF(Sheet1!2032:2032,"AAAAAH/1P70=",0)</f>
        <v>0</v>
      </c>
      <c r="GI151" t="e">
        <f>AND(Sheet1!A2032,"AAAAAH/1P74=")</f>
        <v>#VALUE!</v>
      </c>
      <c r="GJ151" t="e">
        <f>AND(Sheet1!B2032,"AAAAAH/1P78=")</f>
        <v>#VALUE!</v>
      </c>
      <c r="GK151" t="e">
        <f>AND(Sheet1!C2032,"AAAAAH/1P8A=")</f>
        <v>#VALUE!</v>
      </c>
      <c r="GL151" t="e">
        <f>AND(Sheet1!D2032,"AAAAAH/1P8E=")</f>
        <v>#VALUE!</v>
      </c>
      <c r="GM151" t="e">
        <f>AND(Sheet1!E2032,"AAAAAH/1P8I=")</f>
        <v>#VALUE!</v>
      </c>
      <c r="GN151" t="e">
        <f>AND(Sheet1!F2032,"AAAAAH/1P8M=")</f>
        <v>#VALUE!</v>
      </c>
      <c r="GO151" t="e">
        <f>AND(Sheet1!G2032,"AAAAAH/1P8Q=")</f>
        <v>#VALUE!</v>
      </c>
      <c r="GP151" t="e">
        <f>AND(Sheet1!H2032,"AAAAAH/1P8U=")</f>
        <v>#VALUE!</v>
      </c>
      <c r="GQ151" t="e">
        <f>AND(Sheet1!I2032,"AAAAAH/1P8Y=")</f>
        <v>#VALUE!</v>
      </c>
      <c r="GR151" t="e">
        <f>AND(Sheet1!J2032,"AAAAAH/1P8c=")</f>
        <v>#VALUE!</v>
      </c>
      <c r="GS151" t="e">
        <f>AND(Sheet1!K2032,"AAAAAH/1P8g=")</f>
        <v>#VALUE!</v>
      </c>
      <c r="GT151" t="e">
        <f>AND(Sheet1!L2032,"AAAAAH/1P8k=")</f>
        <v>#VALUE!</v>
      </c>
      <c r="GU151" t="e">
        <f>AND(Sheet1!M2032,"AAAAAH/1P8o=")</f>
        <v>#VALUE!</v>
      </c>
      <c r="GV151" t="e">
        <f>AND(Sheet1!N2032,"AAAAAH/1P8s=")</f>
        <v>#VALUE!</v>
      </c>
      <c r="GW151" t="e">
        <f>AND(Sheet1!#REF!,"AAAAAH/1P8w=")</f>
        <v>#REF!</v>
      </c>
      <c r="GX151" t="e">
        <f>AND(Sheet1!#REF!,"AAAAAH/1P80=")</f>
        <v>#REF!</v>
      </c>
      <c r="GY151" t="e">
        <f>AND(Sheet1!#REF!,"AAAAAH/1P84=")</f>
        <v>#REF!</v>
      </c>
      <c r="GZ151" t="e">
        <f>AND(Sheet1!#REF!,"AAAAAH/1P88=")</f>
        <v>#REF!</v>
      </c>
      <c r="HA151">
        <f>IF(Sheet1!2033:2033,"AAAAAH/1P9A=",0)</f>
        <v>0</v>
      </c>
      <c r="HB151" t="e">
        <f>AND(Sheet1!A2033,"AAAAAH/1P9E=")</f>
        <v>#VALUE!</v>
      </c>
      <c r="HC151" t="e">
        <f>AND(Sheet1!B2033,"AAAAAH/1P9I=")</f>
        <v>#VALUE!</v>
      </c>
      <c r="HD151" t="e">
        <f>AND(Sheet1!C2033,"AAAAAH/1P9M=")</f>
        <v>#VALUE!</v>
      </c>
      <c r="HE151" t="e">
        <f>AND(Sheet1!D2033,"AAAAAH/1P9Q=")</f>
        <v>#VALUE!</v>
      </c>
      <c r="HF151" t="e">
        <f>AND(Sheet1!E2033,"AAAAAH/1P9U=")</f>
        <v>#VALUE!</v>
      </c>
      <c r="HG151" t="e">
        <f>AND(Sheet1!F2033,"AAAAAH/1P9Y=")</f>
        <v>#VALUE!</v>
      </c>
      <c r="HH151" t="e">
        <f>AND(Sheet1!G2033,"AAAAAH/1P9c=")</f>
        <v>#VALUE!</v>
      </c>
      <c r="HI151" t="e">
        <f>AND(Sheet1!H2033,"AAAAAH/1P9g=")</f>
        <v>#VALUE!</v>
      </c>
      <c r="HJ151" t="e">
        <f>AND(Sheet1!I2033,"AAAAAH/1P9k=")</f>
        <v>#VALUE!</v>
      </c>
      <c r="HK151" t="e">
        <f>AND(Sheet1!J2033,"AAAAAH/1P9o=")</f>
        <v>#VALUE!</v>
      </c>
      <c r="HL151" t="e">
        <f>AND(Sheet1!K2033,"AAAAAH/1P9s=")</f>
        <v>#VALUE!</v>
      </c>
      <c r="HM151" t="e">
        <f>AND(Sheet1!L2033,"AAAAAH/1P9w=")</f>
        <v>#VALUE!</v>
      </c>
      <c r="HN151" t="e">
        <f>AND(Sheet1!M2033,"AAAAAH/1P90=")</f>
        <v>#VALUE!</v>
      </c>
      <c r="HO151" t="e">
        <f>AND(Sheet1!N2033,"AAAAAH/1P94=")</f>
        <v>#VALUE!</v>
      </c>
      <c r="HP151" t="e">
        <f>AND(Sheet1!#REF!,"AAAAAH/1P98=")</f>
        <v>#REF!</v>
      </c>
      <c r="HQ151" t="e">
        <f>AND(Sheet1!#REF!,"AAAAAH/1P+A=")</f>
        <v>#REF!</v>
      </c>
      <c r="HR151" t="e">
        <f>AND(Sheet1!#REF!,"AAAAAH/1P+E=")</f>
        <v>#REF!</v>
      </c>
      <c r="HS151" t="e">
        <f>AND(Sheet1!#REF!,"AAAAAH/1P+I=")</f>
        <v>#REF!</v>
      </c>
      <c r="HT151">
        <f>IF(Sheet1!2034:2034,"AAAAAH/1P+M=",0)</f>
        <v>0</v>
      </c>
      <c r="HU151" t="e">
        <f>AND(Sheet1!A2034,"AAAAAH/1P+Q=")</f>
        <v>#VALUE!</v>
      </c>
      <c r="HV151" t="e">
        <f>AND(Sheet1!B2034,"AAAAAH/1P+U=")</f>
        <v>#VALUE!</v>
      </c>
      <c r="HW151" t="e">
        <f>AND(Sheet1!C2034,"AAAAAH/1P+Y=")</f>
        <v>#VALUE!</v>
      </c>
      <c r="HX151" t="e">
        <f>AND(Sheet1!D2034,"AAAAAH/1P+c=")</f>
        <v>#VALUE!</v>
      </c>
      <c r="HY151" t="e">
        <f>AND(Sheet1!E2034,"AAAAAH/1P+g=")</f>
        <v>#VALUE!</v>
      </c>
      <c r="HZ151" t="e">
        <f>AND(Sheet1!F2034,"AAAAAH/1P+k=")</f>
        <v>#VALUE!</v>
      </c>
      <c r="IA151" t="e">
        <f>AND(Sheet1!G2034,"AAAAAH/1P+o=")</f>
        <v>#VALUE!</v>
      </c>
      <c r="IB151" t="e">
        <f>AND(Sheet1!H2034,"AAAAAH/1P+s=")</f>
        <v>#VALUE!</v>
      </c>
      <c r="IC151" t="e">
        <f>AND(Sheet1!I2034,"AAAAAH/1P+w=")</f>
        <v>#VALUE!</v>
      </c>
      <c r="ID151" t="e">
        <f>AND(Sheet1!J2034,"AAAAAH/1P+0=")</f>
        <v>#VALUE!</v>
      </c>
      <c r="IE151" t="e">
        <f>AND(Sheet1!K2034,"AAAAAH/1P+4=")</f>
        <v>#VALUE!</v>
      </c>
      <c r="IF151" t="e">
        <f>AND(Sheet1!L2034,"AAAAAH/1P+8=")</f>
        <v>#VALUE!</v>
      </c>
      <c r="IG151" t="e">
        <f>AND(Sheet1!M2034,"AAAAAH/1P/A=")</f>
        <v>#VALUE!</v>
      </c>
      <c r="IH151" t="e">
        <f>AND(Sheet1!N2034,"AAAAAH/1P/E=")</f>
        <v>#VALUE!</v>
      </c>
      <c r="II151" t="e">
        <f>AND(Sheet1!#REF!,"AAAAAH/1P/I=")</f>
        <v>#REF!</v>
      </c>
      <c r="IJ151" t="e">
        <f>AND(Sheet1!#REF!,"AAAAAH/1P/M=")</f>
        <v>#REF!</v>
      </c>
      <c r="IK151" t="e">
        <f>AND(Sheet1!#REF!,"AAAAAH/1P/Q=")</f>
        <v>#REF!</v>
      </c>
      <c r="IL151" t="e">
        <f>AND(Sheet1!#REF!,"AAAAAH/1P/U=")</f>
        <v>#REF!</v>
      </c>
      <c r="IM151">
        <f>IF(Sheet1!2035:2035,"AAAAAH/1P/Y=",0)</f>
        <v>0</v>
      </c>
      <c r="IN151" t="e">
        <f>AND(Sheet1!A2035,"AAAAAH/1P/c=")</f>
        <v>#VALUE!</v>
      </c>
      <c r="IO151" t="e">
        <f>AND(Sheet1!B2035,"AAAAAH/1P/g=")</f>
        <v>#VALUE!</v>
      </c>
      <c r="IP151" t="e">
        <f>AND(Sheet1!C2035,"AAAAAH/1P/k=")</f>
        <v>#VALUE!</v>
      </c>
      <c r="IQ151" t="e">
        <f>AND(Sheet1!D2035,"AAAAAH/1P/o=")</f>
        <v>#VALUE!</v>
      </c>
      <c r="IR151" t="e">
        <f>AND(Sheet1!E2035,"AAAAAH/1P/s=")</f>
        <v>#VALUE!</v>
      </c>
      <c r="IS151" t="e">
        <f>AND(Sheet1!F2035,"AAAAAH/1P/w=")</f>
        <v>#VALUE!</v>
      </c>
      <c r="IT151" t="e">
        <f>AND(Sheet1!G2035,"AAAAAH/1P/0=")</f>
        <v>#VALUE!</v>
      </c>
      <c r="IU151" t="e">
        <f>AND(Sheet1!H2035,"AAAAAH/1P/4=")</f>
        <v>#VALUE!</v>
      </c>
      <c r="IV151" t="e">
        <f>AND(Sheet1!I2035,"AAAAAH/1P/8=")</f>
        <v>#VALUE!</v>
      </c>
    </row>
    <row r="152" spans="1:256" x14ac:dyDescent="0.2">
      <c r="A152" t="e">
        <f>AND(Sheet1!J2035,"AAAAAD/u/QA=")</f>
        <v>#VALUE!</v>
      </c>
      <c r="B152" t="e">
        <f>AND(Sheet1!K2035,"AAAAAD/u/QE=")</f>
        <v>#VALUE!</v>
      </c>
      <c r="C152" t="e">
        <f>AND(Sheet1!L2035,"AAAAAD/u/QI=")</f>
        <v>#VALUE!</v>
      </c>
      <c r="D152" t="e">
        <f>AND(Sheet1!M2035,"AAAAAD/u/QM=")</f>
        <v>#VALUE!</v>
      </c>
      <c r="E152" t="e">
        <f>AND(Sheet1!N2035,"AAAAAD/u/QQ=")</f>
        <v>#VALUE!</v>
      </c>
      <c r="F152" t="e">
        <f>AND(Sheet1!#REF!,"AAAAAD/u/QU=")</f>
        <v>#REF!</v>
      </c>
      <c r="G152" t="e">
        <f>AND(Sheet1!#REF!,"AAAAAD/u/QY=")</f>
        <v>#REF!</v>
      </c>
      <c r="H152" t="e">
        <f>AND(Sheet1!#REF!,"AAAAAD/u/Qc=")</f>
        <v>#REF!</v>
      </c>
      <c r="I152" t="e">
        <f>AND(Sheet1!#REF!,"AAAAAD/u/Qg=")</f>
        <v>#REF!</v>
      </c>
      <c r="J152" t="e">
        <f>IF(Sheet1!2036:2036,"AAAAAD/u/Qk=",0)</f>
        <v>#VALUE!</v>
      </c>
      <c r="K152" t="e">
        <f>AND(Sheet1!A2036,"AAAAAD/u/Qo=")</f>
        <v>#VALUE!</v>
      </c>
      <c r="L152" t="e">
        <f>AND(Sheet1!B2036,"AAAAAD/u/Qs=")</f>
        <v>#VALUE!</v>
      </c>
      <c r="M152" t="e">
        <f>AND(Sheet1!C2036,"AAAAAD/u/Qw=")</f>
        <v>#VALUE!</v>
      </c>
      <c r="N152" t="e">
        <f>AND(Sheet1!D2036,"AAAAAD/u/Q0=")</f>
        <v>#VALUE!</v>
      </c>
      <c r="O152" t="e">
        <f>AND(Sheet1!E2036,"AAAAAD/u/Q4=")</f>
        <v>#VALUE!</v>
      </c>
      <c r="P152" t="e">
        <f>AND(Sheet1!F2036,"AAAAAD/u/Q8=")</f>
        <v>#VALUE!</v>
      </c>
      <c r="Q152" t="e">
        <f>AND(Sheet1!G2036,"AAAAAD/u/RA=")</f>
        <v>#VALUE!</v>
      </c>
      <c r="R152" t="e">
        <f>AND(Sheet1!H2036,"AAAAAD/u/RE=")</f>
        <v>#VALUE!</v>
      </c>
      <c r="S152" t="e">
        <f>AND(Sheet1!I2036,"AAAAAD/u/RI=")</f>
        <v>#VALUE!</v>
      </c>
      <c r="T152" t="e">
        <f>AND(Sheet1!J2036,"AAAAAD/u/RM=")</f>
        <v>#VALUE!</v>
      </c>
      <c r="U152" t="e">
        <f>AND(Sheet1!K2036,"AAAAAD/u/RQ=")</f>
        <v>#VALUE!</v>
      </c>
      <c r="V152" t="e">
        <f>AND(Sheet1!L2036,"AAAAAD/u/RU=")</f>
        <v>#VALUE!</v>
      </c>
      <c r="W152" t="e">
        <f>AND(Sheet1!M2036,"AAAAAD/u/RY=")</f>
        <v>#VALUE!</v>
      </c>
      <c r="X152" t="e">
        <f>AND(Sheet1!N2036,"AAAAAD/u/Rc=")</f>
        <v>#VALUE!</v>
      </c>
      <c r="Y152" t="e">
        <f>AND(Sheet1!#REF!,"AAAAAD/u/Rg=")</f>
        <v>#REF!</v>
      </c>
      <c r="Z152" t="e">
        <f>AND(Sheet1!#REF!,"AAAAAD/u/Rk=")</f>
        <v>#REF!</v>
      </c>
      <c r="AA152" t="e">
        <f>AND(Sheet1!#REF!,"AAAAAD/u/Ro=")</f>
        <v>#REF!</v>
      </c>
      <c r="AB152" t="e">
        <f>AND(Sheet1!#REF!,"AAAAAD/u/Rs=")</f>
        <v>#REF!</v>
      </c>
      <c r="AC152">
        <f>IF(Sheet1!2037:2037,"AAAAAD/u/Rw=",0)</f>
        <v>0</v>
      </c>
      <c r="AD152" t="e">
        <f>AND(Sheet1!A2037,"AAAAAD/u/R0=")</f>
        <v>#VALUE!</v>
      </c>
      <c r="AE152" t="e">
        <f>AND(Sheet1!B2037,"AAAAAD/u/R4=")</f>
        <v>#VALUE!</v>
      </c>
      <c r="AF152" t="e">
        <f>AND(Sheet1!C2037,"AAAAAD/u/R8=")</f>
        <v>#VALUE!</v>
      </c>
      <c r="AG152" t="e">
        <f>AND(Sheet1!D2037,"AAAAAD/u/SA=")</f>
        <v>#VALUE!</v>
      </c>
      <c r="AH152" t="e">
        <f>AND(Sheet1!E2037,"AAAAAD/u/SE=")</f>
        <v>#VALUE!</v>
      </c>
      <c r="AI152" t="e">
        <f>AND(Sheet1!F2037,"AAAAAD/u/SI=")</f>
        <v>#VALUE!</v>
      </c>
      <c r="AJ152" t="e">
        <f>AND(Sheet1!G2037,"AAAAAD/u/SM=")</f>
        <v>#VALUE!</v>
      </c>
      <c r="AK152" t="e">
        <f>AND(Sheet1!H2037,"AAAAAD/u/SQ=")</f>
        <v>#VALUE!</v>
      </c>
      <c r="AL152" t="e">
        <f>AND(Sheet1!I2037,"AAAAAD/u/SU=")</f>
        <v>#VALUE!</v>
      </c>
      <c r="AM152" t="e">
        <f>AND(Sheet1!J2037,"AAAAAD/u/SY=")</f>
        <v>#VALUE!</v>
      </c>
      <c r="AN152" t="e">
        <f>AND(Sheet1!K2037,"AAAAAD/u/Sc=")</f>
        <v>#VALUE!</v>
      </c>
      <c r="AO152" t="e">
        <f>AND(Sheet1!L2037,"AAAAAD/u/Sg=")</f>
        <v>#VALUE!</v>
      </c>
      <c r="AP152" t="e">
        <f>AND(Sheet1!M2037,"AAAAAD/u/Sk=")</f>
        <v>#VALUE!</v>
      </c>
      <c r="AQ152" t="e">
        <f>AND(Sheet1!N2037,"AAAAAD/u/So=")</f>
        <v>#VALUE!</v>
      </c>
      <c r="AR152" t="e">
        <f>AND(Sheet1!#REF!,"AAAAAD/u/Ss=")</f>
        <v>#REF!</v>
      </c>
      <c r="AS152" t="e">
        <f>AND(Sheet1!#REF!,"AAAAAD/u/Sw=")</f>
        <v>#REF!</v>
      </c>
      <c r="AT152" t="e">
        <f>AND(Sheet1!#REF!,"AAAAAD/u/S0=")</f>
        <v>#REF!</v>
      </c>
      <c r="AU152" t="e">
        <f>AND(Sheet1!#REF!,"AAAAAD/u/S4=")</f>
        <v>#REF!</v>
      </c>
      <c r="AV152">
        <f>IF(Sheet1!2038:2038,"AAAAAD/u/S8=",0)</f>
        <v>0</v>
      </c>
      <c r="AW152" t="e">
        <f>AND(Sheet1!A2038,"AAAAAD/u/TA=")</f>
        <v>#VALUE!</v>
      </c>
      <c r="AX152" t="e">
        <f>AND(Sheet1!B2038,"AAAAAD/u/TE=")</f>
        <v>#VALUE!</v>
      </c>
      <c r="AY152" t="e">
        <f>AND(Sheet1!C2038,"AAAAAD/u/TI=")</f>
        <v>#VALUE!</v>
      </c>
      <c r="AZ152" t="e">
        <f>AND(Sheet1!D2038,"AAAAAD/u/TM=")</f>
        <v>#VALUE!</v>
      </c>
      <c r="BA152" t="e">
        <f>AND(Sheet1!E2038,"AAAAAD/u/TQ=")</f>
        <v>#VALUE!</v>
      </c>
      <c r="BB152" t="e">
        <f>AND(Sheet1!F2038,"AAAAAD/u/TU=")</f>
        <v>#VALUE!</v>
      </c>
      <c r="BC152" t="e">
        <f>AND(Sheet1!G2038,"AAAAAD/u/TY=")</f>
        <v>#VALUE!</v>
      </c>
      <c r="BD152" t="e">
        <f>AND(Sheet1!H2038,"AAAAAD/u/Tc=")</f>
        <v>#VALUE!</v>
      </c>
      <c r="BE152" t="e">
        <f>AND(Sheet1!I2038,"AAAAAD/u/Tg=")</f>
        <v>#VALUE!</v>
      </c>
      <c r="BF152" t="e">
        <f>AND(Sheet1!J2038,"AAAAAD/u/Tk=")</f>
        <v>#VALUE!</v>
      </c>
      <c r="BG152" t="e">
        <f>AND(Sheet1!K2038,"AAAAAD/u/To=")</f>
        <v>#VALUE!</v>
      </c>
      <c r="BH152" t="e">
        <f>AND(Sheet1!L2038,"AAAAAD/u/Ts=")</f>
        <v>#VALUE!</v>
      </c>
      <c r="BI152" t="e">
        <f>AND(Sheet1!M2038,"AAAAAD/u/Tw=")</f>
        <v>#VALUE!</v>
      </c>
      <c r="BJ152" t="e">
        <f>AND(Sheet1!N2038,"AAAAAD/u/T0=")</f>
        <v>#VALUE!</v>
      </c>
      <c r="BK152" t="e">
        <f>AND(Sheet1!#REF!,"AAAAAD/u/T4=")</f>
        <v>#REF!</v>
      </c>
      <c r="BL152" t="e">
        <f>AND(Sheet1!#REF!,"AAAAAD/u/T8=")</f>
        <v>#REF!</v>
      </c>
      <c r="BM152" t="e">
        <f>AND(Sheet1!#REF!,"AAAAAD/u/UA=")</f>
        <v>#REF!</v>
      </c>
      <c r="BN152" t="e">
        <f>AND(Sheet1!#REF!,"AAAAAD/u/UE=")</f>
        <v>#REF!</v>
      </c>
      <c r="BO152">
        <f>IF(Sheet1!2039:2039,"AAAAAD/u/UI=",0)</f>
        <v>0</v>
      </c>
      <c r="BP152" t="e">
        <f>AND(Sheet1!A2039,"AAAAAD/u/UM=")</f>
        <v>#VALUE!</v>
      </c>
      <c r="BQ152" t="e">
        <f>AND(Sheet1!B2039,"AAAAAD/u/UQ=")</f>
        <v>#VALUE!</v>
      </c>
      <c r="BR152" t="e">
        <f>AND(Sheet1!C2039,"AAAAAD/u/UU=")</f>
        <v>#VALUE!</v>
      </c>
      <c r="BS152" t="e">
        <f>AND(Sheet1!D2039,"AAAAAD/u/UY=")</f>
        <v>#VALUE!</v>
      </c>
      <c r="BT152" t="e">
        <f>AND(Sheet1!E2039,"AAAAAD/u/Uc=")</f>
        <v>#VALUE!</v>
      </c>
      <c r="BU152" t="e">
        <f>AND(Sheet1!F2039,"AAAAAD/u/Ug=")</f>
        <v>#VALUE!</v>
      </c>
      <c r="BV152" t="e">
        <f>AND(Sheet1!G2039,"AAAAAD/u/Uk=")</f>
        <v>#VALUE!</v>
      </c>
      <c r="BW152" t="e">
        <f>AND(Sheet1!H2039,"AAAAAD/u/Uo=")</f>
        <v>#VALUE!</v>
      </c>
      <c r="BX152" t="e">
        <f>AND(Sheet1!I2039,"AAAAAD/u/Us=")</f>
        <v>#VALUE!</v>
      </c>
      <c r="BY152" t="e">
        <f>AND(Sheet1!J2039,"AAAAAD/u/Uw=")</f>
        <v>#VALUE!</v>
      </c>
      <c r="BZ152" t="e">
        <f>AND(Sheet1!K2039,"AAAAAD/u/U0=")</f>
        <v>#VALUE!</v>
      </c>
      <c r="CA152" t="e">
        <f>AND(Sheet1!L2039,"AAAAAD/u/U4=")</f>
        <v>#VALUE!</v>
      </c>
      <c r="CB152" t="e">
        <f>AND(Sheet1!M2039,"AAAAAD/u/U8=")</f>
        <v>#VALUE!</v>
      </c>
      <c r="CC152" t="e">
        <f>AND(Sheet1!N2039,"AAAAAD/u/VA=")</f>
        <v>#VALUE!</v>
      </c>
      <c r="CD152" t="e">
        <f>AND(Sheet1!#REF!,"AAAAAD/u/VE=")</f>
        <v>#REF!</v>
      </c>
      <c r="CE152" t="e">
        <f>AND(Sheet1!#REF!,"AAAAAD/u/VI=")</f>
        <v>#REF!</v>
      </c>
      <c r="CF152" t="e">
        <f>AND(Sheet1!#REF!,"AAAAAD/u/VM=")</f>
        <v>#REF!</v>
      </c>
      <c r="CG152" t="e">
        <f>AND(Sheet1!#REF!,"AAAAAD/u/VQ=")</f>
        <v>#REF!</v>
      </c>
      <c r="CH152">
        <f>IF(Sheet1!2040:2040,"AAAAAD/u/VU=",0)</f>
        <v>0</v>
      </c>
      <c r="CI152" t="e">
        <f>AND(Sheet1!A2040,"AAAAAD/u/VY=")</f>
        <v>#VALUE!</v>
      </c>
      <c r="CJ152" t="e">
        <f>AND(Sheet1!B2040,"AAAAAD/u/Vc=")</f>
        <v>#VALUE!</v>
      </c>
      <c r="CK152" t="e">
        <f>AND(Sheet1!C2040,"AAAAAD/u/Vg=")</f>
        <v>#VALUE!</v>
      </c>
      <c r="CL152" t="e">
        <f>AND(Sheet1!D2040,"AAAAAD/u/Vk=")</f>
        <v>#VALUE!</v>
      </c>
      <c r="CM152" t="e">
        <f>AND(Sheet1!E2040,"AAAAAD/u/Vo=")</f>
        <v>#VALUE!</v>
      </c>
      <c r="CN152" t="e">
        <f>AND(Sheet1!F2040,"AAAAAD/u/Vs=")</f>
        <v>#VALUE!</v>
      </c>
      <c r="CO152" t="e">
        <f>AND(Sheet1!G2040,"AAAAAD/u/Vw=")</f>
        <v>#VALUE!</v>
      </c>
      <c r="CP152" t="e">
        <f>AND(Sheet1!H2040,"AAAAAD/u/V0=")</f>
        <v>#VALUE!</v>
      </c>
      <c r="CQ152" t="e">
        <f>AND(Sheet1!I2040,"AAAAAD/u/V4=")</f>
        <v>#VALUE!</v>
      </c>
      <c r="CR152" t="e">
        <f>AND(Sheet1!J2040,"AAAAAD/u/V8=")</f>
        <v>#VALUE!</v>
      </c>
      <c r="CS152" t="e">
        <f>AND(Sheet1!K2040,"AAAAAD/u/WA=")</f>
        <v>#VALUE!</v>
      </c>
      <c r="CT152" t="e">
        <f>AND(Sheet1!L2040,"AAAAAD/u/WE=")</f>
        <v>#VALUE!</v>
      </c>
      <c r="CU152" t="e">
        <f>AND(Sheet1!M2040,"AAAAAD/u/WI=")</f>
        <v>#VALUE!</v>
      </c>
      <c r="CV152" t="e">
        <f>AND(Sheet1!N2040,"AAAAAD/u/WM=")</f>
        <v>#VALUE!</v>
      </c>
      <c r="CW152" t="e">
        <f>AND(Sheet1!#REF!,"AAAAAD/u/WQ=")</f>
        <v>#REF!</v>
      </c>
      <c r="CX152" t="e">
        <f>AND(Sheet1!#REF!,"AAAAAD/u/WU=")</f>
        <v>#REF!</v>
      </c>
      <c r="CY152" t="e">
        <f>AND(Sheet1!#REF!,"AAAAAD/u/WY=")</f>
        <v>#REF!</v>
      </c>
      <c r="CZ152" t="e">
        <f>AND(Sheet1!#REF!,"AAAAAD/u/Wc=")</f>
        <v>#REF!</v>
      </c>
      <c r="DA152">
        <f>IF(Sheet1!2041:2041,"AAAAAD/u/Wg=",0)</f>
        <v>0</v>
      </c>
      <c r="DB152" t="e">
        <f>AND(Sheet1!A2041,"AAAAAD/u/Wk=")</f>
        <v>#VALUE!</v>
      </c>
      <c r="DC152" t="e">
        <f>AND(Sheet1!B2041,"AAAAAD/u/Wo=")</f>
        <v>#VALUE!</v>
      </c>
      <c r="DD152" t="e">
        <f>AND(Sheet1!C2041,"AAAAAD/u/Ws=")</f>
        <v>#VALUE!</v>
      </c>
      <c r="DE152" t="e">
        <f>AND(Sheet1!D2041,"AAAAAD/u/Ww=")</f>
        <v>#VALUE!</v>
      </c>
      <c r="DF152" t="e">
        <f>AND(Sheet1!E2041,"AAAAAD/u/W0=")</f>
        <v>#VALUE!</v>
      </c>
      <c r="DG152" t="e">
        <f>AND(Sheet1!F2041,"AAAAAD/u/W4=")</f>
        <v>#VALUE!</v>
      </c>
      <c r="DH152" t="e">
        <f>AND(Sheet1!G2041,"AAAAAD/u/W8=")</f>
        <v>#VALUE!</v>
      </c>
      <c r="DI152" t="e">
        <f>AND(Sheet1!H2041,"AAAAAD/u/XA=")</f>
        <v>#VALUE!</v>
      </c>
      <c r="DJ152" t="e">
        <f>AND(Sheet1!I2041,"AAAAAD/u/XE=")</f>
        <v>#VALUE!</v>
      </c>
      <c r="DK152" t="e">
        <f>AND(Sheet1!J2041,"AAAAAD/u/XI=")</f>
        <v>#VALUE!</v>
      </c>
      <c r="DL152" t="e">
        <f>AND(Sheet1!K2041,"AAAAAD/u/XM=")</f>
        <v>#VALUE!</v>
      </c>
      <c r="DM152" t="e">
        <f>AND(Sheet1!L2041,"AAAAAD/u/XQ=")</f>
        <v>#VALUE!</v>
      </c>
      <c r="DN152" t="e">
        <f>AND(Sheet1!M2041,"AAAAAD/u/XU=")</f>
        <v>#VALUE!</v>
      </c>
      <c r="DO152" t="e">
        <f>AND(Sheet1!N2041,"AAAAAD/u/XY=")</f>
        <v>#VALUE!</v>
      </c>
      <c r="DP152" t="e">
        <f>AND(Sheet1!#REF!,"AAAAAD/u/Xc=")</f>
        <v>#REF!</v>
      </c>
      <c r="DQ152" t="e">
        <f>AND(Sheet1!#REF!,"AAAAAD/u/Xg=")</f>
        <v>#REF!</v>
      </c>
      <c r="DR152" t="e">
        <f>AND(Sheet1!#REF!,"AAAAAD/u/Xk=")</f>
        <v>#REF!</v>
      </c>
      <c r="DS152" t="e">
        <f>AND(Sheet1!#REF!,"AAAAAD/u/Xo=")</f>
        <v>#REF!</v>
      </c>
      <c r="DT152">
        <f>IF(Sheet1!2042:2042,"AAAAAD/u/Xs=",0)</f>
        <v>0</v>
      </c>
      <c r="DU152" t="e">
        <f>AND(Sheet1!A2042,"AAAAAD/u/Xw=")</f>
        <v>#VALUE!</v>
      </c>
      <c r="DV152" t="e">
        <f>AND(Sheet1!B2042,"AAAAAD/u/X0=")</f>
        <v>#VALUE!</v>
      </c>
      <c r="DW152" t="e">
        <f>AND(Sheet1!C2042,"AAAAAD/u/X4=")</f>
        <v>#VALUE!</v>
      </c>
      <c r="DX152" t="e">
        <f>AND(Sheet1!D2042,"AAAAAD/u/X8=")</f>
        <v>#VALUE!</v>
      </c>
      <c r="DY152" t="e">
        <f>AND(Sheet1!E2042,"AAAAAD/u/YA=")</f>
        <v>#VALUE!</v>
      </c>
      <c r="DZ152" t="e">
        <f>AND(Sheet1!F2042,"AAAAAD/u/YE=")</f>
        <v>#VALUE!</v>
      </c>
      <c r="EA152" t="e">
        <f>AND(Sheet1!G2042,"AAAAAD/u/YI=")</f>
        <v>#VALUE!</v>
      </c>
      <c r="EB152" t="e">
        <f>AND(Sheet1!H2042,"AAAAAD/u/YM=")</f>
        <v>#VALUE!</v>
      </c>
      <c r="EC152" t="e">
        <f>AND(Sheet1!I2042,"AAAAAD/u/YQ=")</f>
        <v>#VALUE!</v>
      </c>
      <c r="ED152" t="e">
        <f>AND(Sheet1!J2042,"AAAAAD/u/YU=")</f>
        <v>#VALUE!</v>
      </c>
      <c r="EE152" t="e">
        <f>AND(Sheet1!K2042,"AAAAAD/u/YY=")</f>
        <v>#VALUE!</v>
      </c>
      <c r="EF152" t="e">
        <f>AND(Sheet1!L2042,"AAAAAD/u/Yc=")</f>
        <v>#VALUE!</v>
      </c>
      <c r="EG152" t="e">
        <f>AND(Sheet1!M2042,"AAAAAD/u/Yg=")</f>
        <v>#VALUE!</v>
      </c>
      <c r="EH152" t="e">
        <f>AND(Sheet1!N2042,"AAAAAD/u/Yk=")</f>
        <v>#VALUE!</v>
      </c>
      <c r="EI152" t="e">
        <f>AND(Sheet1!#REF!,"AAAAAD/u/Yo=")</f>
        <v>#REF!</v>
      </c>
      <c r="EJ152" t="e">
        <f>AND(Sheet1!#REF!,"AAAAAD/u/Ys=")</f>
        <v>#REF!</v>
      </c>
      <c r="EK152" t="e">
        <f>AND(Sheet1!#REF!,"AAAAAD/u/Yw=")</f>
        <v>#REF!</v>
      </c>
      <c r="EL152" t="e">
        <f>AND(Sheet1!#REF!,"AAAAAD/u/Y0=")</f>
        <v>#REF!</v>
      </c>
      <c r="EM152">
        <f>IF(Sheet1!2043:2043,"AAAAAD/u/Y4=",0)</f>
        <v>0</v>
      </c>
      <c r="EN152" t="e">
        <f>AND(Sheet1!A2043,"AAAAAD/u/Y8=")</f>
        <v>#VALUE!</v>
      </c>
      <c r="EO152" t="e">
        <f>AND(Sheet1!B2043,"AAAAAD/u/ZA=")</f>
        <v>#VALUE!</v>
      </c>
      <c r="EP152" t="e">
        <f>AND(Sheet1!C2043,"AAAAAD/u/ZE=")</f>
        <v>#VALUE!</v>
      </c>
      <c r="EQ152" t="e">
        <f>AND(Sheet1!D2043,"AAAAAD/u/ZI=")</f>
        <v>#VALUE!</v>
      </c>
      <c r="ER152" t="e">
        <f>AND(Sheet1!E2043,"AAAAAD/u/ZM=")</f>
        <v>#VALUE!</v>
      </c>
      <c r="ES152" t="e">
        <f>AND(Sheet1!F2043,"AAAAAD/u/ZQ=")</f>
        <v>#VALUE!</v>
      </c>
      <c r="ET152" t="e">
        <f>AND(Sheet1!G2043,"AAAAAD/u/ZU=")</f>
        <v>#VALUE!</v>
      </c>
      <c r="EU152" t="e">
        <f>AND(Sheet1!H2043,"AAAAAD/u/ZY=")</f>
        <v>#VALUE!</v>
      </c>
      <c r="EV152" t="e">
        <f>AND(Sheet1!I2043,"AAAAAD/u/Zc=")</f>
        <v>#VALUE!</v>
      </c>
      <c r="EW152" t="e">
        <f>AND(Sheet1!J2043,"AAAAAD/u/Zg=")</f>
        <v>#VALUE!</v>
      </c>
      <c r="EX152" t="e">
        <f>AND(Sheet1!K2043,"AAAAAD/u/Zk=")</f>
        <v>#VALUE!</v>
      </c>
      <c r="EY152" t="e">
        <f>AND(Sheet1!L2043,"AAAAAD/u/Zo=")</f>
        <v>#VALUE!</v>
      </c>
      <c r="EZ152" t="e">
        <f>AND(Sheet1!M2043,"AAAAAD/u/Zs=")</f>
        <v>#VALUE!</v>
      </c>
      <c r="FA152" t="e">
        <f>AND(Sheet1!N2043,"AAAAAD/u/Zw=")</f>
        <v>#VALUE!</v>
      </c>
      <c r="FB152" t="e">
        <f>AND(Sheet1!#REF!,"AAAAAD/u/Z0=")</f>
        <v>#REF!</v>
      </c>
      <c r="FC152" t="e">
        <f>AND(Sheet1!#REF!,"AAAAAD/u/Z4=")</f>
        <v>#REF!</v>
      </c>
      <c r="FD152" t="e">
        <f>AND(Sheet1!#REF!,"AAAAAD/u/Z8=")</f>
        <v>#REF!</v>
      </c>
      <c r="FE152" t="e">
        <f>AND(Sheet1!#REF!,"AAAAAD/u/aA=")</f>
        <v>#REF!</v>
      </c>
      <c r="FF152">
        <f>IF(Sheet1!2044:2044,"AAAAAD/u/aE=",0)</f>
        <v>0</v>
      </c>
      <c r="FG152" t="e">
        <f>AND(Sheet1!A2044,"AAAAAD/u/aI=")</f>
        <v>#VALUE!</v>
      </c>
      <c r="FH152" t="e">
        <f>AND(Sheet1!B2044,"AAAAAD/u/aM=")</f>
        <v>#VALUE!</v>
      </c>
      <c r="FI152" t="e">
        <f>AND(Sheet1!C2044,"AAAAAD/u/aQ=")</f>
        <v>#VALUE!</v>
      </c>
      <c r="FJ152" t="e">
        <f>AND(Sheet1!D2044,"AAAAAD/u/aU=")</f>
        <v>#VALUE!</v>
      </c>
      <c r="FK152" t="e">
        <f>AND(Sheet1!E2044,"AAAAAD/u/aY=")</f>
        <v>#VALUE!</v>
      </c>
      <c r="FL152" t="e">
        <f>AND(Sheet1!F2044,"AAAAAD/u/ac=")</f>
        <v>#VALUE!</v>
      </c>
      <c r="FM152" t="e">
        <f>AND(Sheet1!G2044,"AAAAAD/u/ag=")</f>
        <v>#VALUE!</v>
      </c>
      <c r="FN152" t="e">
        <f>AND(Sheet1!H2044,"AAAAAD/u/ak=")</f>
        <v>#VALUE!</v>
      </c>
      <c r="FO152" t="e">
        <f>AND(Sheet1!I2044,"AAAAAD/u/ao=")</f>
        <v>#VALUE!</v>
      </c>
      <c r="FP152" t="e">
        <f>AND(Sheet1!J2044,"AAAAAD/u/as=")</f>
        <v>#VALUE!</v>
      </c>
      <c r="FQ152" t="e">
        <f>AND(Sheet1!K2044,"AAAAAD/u/aw=")</f>
        <v>#VALUE!</v>
      </c>
      <c r="FR152" t="e">
        <f>AND(Sheet1!L2044,"AAAAAD/u/a0=")</f>
        <v>#VALUE!</v>
      </c>
      <c r="FS152" t="e">
        <f>AND(Sheet1!M2044,"AAAAAD/u/a4=")</f>
        <v>#VALUE!</v>
      </c>
      <c r="FT152" t="e">
        <f>AND(Sheet1!N2044,"AAAAAD/u/a8=")</f>
        <v>#VALUE!</v>
      </c>
      <c r="FU152" t="e">
        <f>AND(Sheet1!#REF!,"AAAAAD/u/bA=")</f>
        <v>#REF!</v>
      </c>
      <c r="FV152" t="e">
        <f>AND(Sheet1!#REF!,"AAAAAD/u/bE=")</f>
        <v>#REF!</v>
      </c>
      <c r="FW152" t="e">
        <f>AND(Sheet1!#REF!,"AAAAAD/u/bI=")</f>
        <v>#REF!</v>
      </c>
      <c r="FX152" t="e">
        <f>AND(Sheet1!#REF!,"AAAAAD/u/bM=")</f>
        <v>#REF!</v>
      </c>
      <c r="FY152">
        <f>IF(Sheet1!2045:2045,"AAAAAD/u/bQ=",0)</f>
        <v>0</v>
      </c>
      <c r="FZ152" t="e">
        <f>AND(Sheet1!A2045,"AAAAAD/u/bU=")</f>
        <v>#VALUE!</v>
      </c>
      <c r="GA152" t="e">
        <f>AND(Sheet1!B2045,"AAAAAD/u/bY=")</f>
        <v>#VALUE!</v>
      </c>
      <c r="GB152" t="e">
        <f>AND(Sheet1!C2045,"AAAAAD/u/bc=")</f>
        <v>#VALUE!</v>
      </c>
      <c r="GC152" t="e">
        <f>AND(Sheet1!D2045,"AAAAAD/u/bg=")</f>
        <v>#VALUE!</v>
      </c>
      <c r="GD152" t="e">
        <f>AND(Sheet1!E2045,"AAAAAD/u/bk=")</f>
        <v>#VALUE!</v>
      </c>
      <c r="GE152" t="e">
        <f>AND(Sheet1!F2045,"AAAAAD/u/bo=")</f>
        <v>#VALUE!</v>
      </c>
      <c r="GF152" t="e">
        <f>AND(Sheet1!G2045,"AAAAAD/u/bs=")</f>
        <v>#VALUE!</v>
      </c>
      <c r="GG152" t="e">
        <f>AND(Sheet1!H2045,"AAAAAD/u/bw=")</f>
        <v>#VALUE!</v>
      </c>
      <c r="GH152" t="e">
        <f>AND(Sheet1!I2045,"AAAAAD/u/b0=")</f>
        <v>#VALUE!</v>
      </c>
      <c r="GI152" t="e">
        <f>AND(Sheet1!J2045,"AAAAAD/u/b4=")</f>
        <v>#VALUE!</v>
      </c>
      <c r="GJ152" t="e">
        <f>AND(Sheet1!K2045,"AAAAAD/u/b8=")</f>
        <v>#VALUE!</v>
      </c>
      <c r="GK152" t="e">
        <f>AND(Sheet1!L2045,"AAAAAD/u/cA=")</f>
        <v>#VALUE!</v>
      </c>
      <c r="GL152" t="e">
        <f>AND(Sheet1!M2045,"AAAAAD/u/cE=")</f>
        <v>#VALUE!</v>
      </c>
      <c r="GM152" t="e">
        <f>AND(Sheet1!N2045,"AAAAAD/u/cI=")</f>
        <v>#VALUE!</v>
      </c>
      <c r="GN152" t="e">
        <f>AND(Sheet1!#REF!,"AAAAAD/u/cM=")</f>
        <v>#REF!</v>
      </c>
      <c r="GO152" t="e">
        <f>AND(Sheet1!#REF!,"AAAAAD/u/cQ=")</f>
        <v>#REF!</v>
      </c>
      <c r="GP152" t="e">
        <f>AND(Sheet1!#REF!,"AAAAAD/u/cU=")</f>
        <v>#REF!</v>
      </c>
      <c r="GQ152" t="e">
        <f>AND(Sheet1!#REF!,"AAAAAD/u/cY=")</f>
        <v>#REF!</v>
      </c>
      <c r="GR152">
        <f>IF(Sheet1!2046:2046,"AAAAAD/u/cc=",0)</f>
        <v>0</v>
      </c>
      <c r="GS152" t="e">
        <f>AND(Sheet1!A2046,"AAAAAD/u/cg=")</f>
        <v>#VALUE!</v>
      </c>
      <c r="GT152" t="e">
        <f>AND(Sheet1!B2046,"AAAAAD/u/ck=")</f>
        <v>#VALUE!</v>
      </c>
      <c r="GU152" t="e">
        <f>AND(Sheet1!C2046,"AAAAAD/u/co=")</f>
        <v>#VALUE!</v>
      </c>
      <c r="GV152" t="e">
        <f>AND(Sheet1!D2046,"AAAAAD/u/cs=")</f>
        <v>#VALUE!</v>
      </c>
      <c r="GW152" t="e">
        <f>AND(Sheet1!E2046,"AAAAAD/u/cw=")</f>
        <v>#VALUE!</v>
      </c>
      <c r="GX152" t="e">
        <f>AND(Sheet1!F2046,"AAAAAD/u/c0=")</f>
        <v>#VALUE!</v>
      </c>
      <c r="GY152" t="e">
        <f>AND(Sheet1!G2046,"AAAAAD/u/c4=")</f>
        <v>#VALUE!</v>
      </c>
      <c r="GZ152" t="e">
        <f>AND(Sheet1!H2046,"AAAAAD/u/c8=")</f>
        <v>#VALUE!</v>
      </c>
      <c r="HA152" t="e">
        <f>AND(Sheet1!I2046,"AAAAAD/u/dA=")</f>
        <v>#VALUE!</v>
      </c>
      <c r="HB152" t="e">
        <f>AND(Sheet1!J2046,"AAAAAD/u/dE=")</f>
        <v>#VALUE!</v>
      </c>
      <c r="HC152" t="e">
        <f>AND(Sheet1!K2046,"AAAAAD/u/dI=")</f>
        <v>#VALUE!</v>
      </c>
      <c r="HD152" t="e">
        <f>AND(Sheet1!L2046,"AAAAAD/u/dM=")</f>
        <v>#VALUE!</v>
      </c>
      <c r="HE152" t="e">
        <f>AND(Sheet1!M2046,"AAAAAD/u/dQ=")</f>
        <v>#VALUE!</v>
      </c>
      <c r="HF152" t="e">
        <f>AND(Sheet1!N2046,"AAAAAD/u/dU=")</f>
        <v>#VALUE!</v>
      </c>
      <c r="HG152" t="e">
        <f>AND(Sheet1!#REF!,"AAAAAD/u/dY=")</f>
        <v>#REF!</v>
      </c>
      <c r="HH152" t="e">
        <f>AND(Sheet1!#REF!,"AAAAAD/u/dc=")</f>
        <v>#REF!</v>
      </c>
      <c r="HI152" t="e">
        <f>AND(Sheet1!#REF!,"AAAAAD/u/dg=")</f>
        <v>#REF!</v>
      </c>
      <c r="HJ152" t="e">
        <f>AND(Sheet1!#REF!,"AAAAAD/u/dk=")</f>
        <v>#REF!</v>
      </c>
      <c r="HK152">
        <f>IF(Sheet1!2047:2047,"AAAAAD/u/do=",0)</f>
        <v>0</v>
      </c>
      <c r="HL152" t="e">
        <f>AND(Sheet1!A2047,"AAAAAD/u/ds=")</f>
        <v>#VALUE!</v>
      </c>
      <c r="HM152" t="e">
        <f>AND(Sheet1!B2047,"AAAAAD/u/dw=")</f>
        <v>#VALUE!</v>
      </c>
      <c r="HN152" t="e">
        <f>AND(Sheet1!C2047,"AAAAAD/u/d0=")</f>
        <v>#VALUE!</v>
      </c>
      <c r="HO152" t="e">
        <f>AND(Sheet1!D2047,"AAAAAD/u/d4=")</f>
        <v>#VALUE!</v>
      </c>
      <c r="HP152" t="e">
        <f>AND(Sheet1!E2047,"AAAAAD/u/d8=")</f>
        <v>#VALUE!</v>
      </c>
      <c r="HQ152" t="e">
        <f>AND(Sheet1!F2047,"AAAAAD/u/eA=")</f>
        <v>#VALUE!</v>
      </c>
      <c r="HR152" t="e">
        <f>AND(Sheet1!G2047,"AAAAAD/u/eE=")</f>
        <v>#VALUE!</v>
      </c>
      <c r="HS152" t="e">
        <f>AND(Sheet1!H2047,"AAAAAD/u/eI=")</f>
        <v>#VALUE!</v>
      </c>
      <c r="HT152" t="e">
        <f>AND(Sheet1!I2047,"AAAAAD/u/eM=")</f>
        <v>#VALUE!</v>
      </c>
      <c r="HU152" t="e">
        <f>AND(Sheet1!J2047,"AAAAAD/u/eQ=")</f>
        <v>#VALUE!</v>
      </c>
      <c r="HV152" t="e">
        <f>AND(Sheet1!K2047,"AAAAAD/u/eU=")</f>
        <v>#VALUE!</v>
      </c>
      <c r="HW152" t="e">
        <f>AND(Sheet1!L2047,"AAAAAD/u/eY=")</f>
        <v>#VALUE!</v>
      </c>
      <c r="HX152" t="e">
        <f>AND(Sheet1!M2047,"AAAAAD/u/ec=")</f>
        <v>#VALUE!</v>
      </c>
      <c r="HY152" t="e">
        <f>AND(Sheet1!N2047,"AAAAAD/u/eg=")</f>
        <v>#VALUE!</v>
      </c>
      <c r="HZ152" t="e">
        <f>AND(Sheet1!#REF!,"AAAAAD/u/ek=")</f>
        <v>#REF!</v>
      </c>
      <c r="IA152" t="e">
        <f>AND(Sheet1!#REF!,"AAAAAD/u/eo=")</f>
        <v>#REF!</v>
      </c>
      <c r="IB152" t="e">
        <f>AND(Sheet1!#REF!,"AAAAAD/u/es=")</f>
        <v>#REF!</v>
      </c>
      <c r="IC152" t="e">
        <f>AND(Sheet1!#REF!,"AAAAAD/u/ew=")</f>
        <v>#REF!</v>
      </c>
      <c r="ID152">
        <f>IF(Sheet1!2048:2048,"AAAAAD/u/e0=",0)</f>
        <v>0</v>
      </c>
      <c r="IE152" t="e">
        <f>AND(Sheet1!A2048,"AAAAAD/u/e4=")</f>
        <v>#VALUE!</v>
      </c>
      <c r="IF152" t="e">
        <f>AND(Sheet1!B2048,"AAAAAD/u/e8=")</f>
        <v>#VALUE!</v>
      </c>
      <c r="IG152" t="e">
        <f>AND(Sheet1!C2048,"AAAAAD/u/fA=")</f>
        <v>#VALUE!</v>
      </c>
      <c r="IH152" t="e">
        <f>AND(Sheet1!D2048,"AAAAAD/u/fE=")</f>
        <v>#VALUE!</v>
      </c>
      <c r="II152" t="e">
        <f>AND(Sheet1!E2048,"AAAAAD/u/fI=")</f>
        <v>#VALUE!</v>
      </c>
      <c r="IJ152" t="e">
        <f>AND(Sheet1!F2048,"AAAAAD/u/fM=")</f>
        <v>#VALUE!</v>
      </c>
      <c r="IK152" t="e">
        <f>AND(Sheet1!G2048,"AAAAAD/u/fQ=")</f>
        <v>#VALUE!</v>
      </c>
      <c r="IL152" t="e">
        <f>AND(Sheet1!H2048,"AAAAAD/u/fU=")</f>
        <v>#VALUE!</v>
      </c>
      <c r="IM152" t="e">
        <f>AND(Sheet1!I2048,"AAAAAD/u/fY=")</f>
        <v>#VALUE!</v>
      </c>
      <c r="IN152" t="e">
        <f>AND(Sheet1!J2048,"AAAAAD/u/fc=")</f>
        <v>#VALUE!</v>
      </c>
      <c r="IO152" t="e">
        <f>AND(Sheet1!K2048,"AAAAAD/u/fg=")</f>
        <v>#VALUE!</v>
      </c>
      <c r="IP152" t="e">
        <f>AND(Sheet1!L2048,"AAAAAD/u/fk=")</f>
        <v>#VALUE!</v>
      </c>
      <c r="IQ152" t="e">
        <f>AND(Sheet1!M2048,"AAAAAD/u/fo=")</f>
        <v>#VALUE!</v>
      </c>
      <c r="IR152" t="e">
        <f>AND(Sheet1!N2048,"AAAAAD/u/fs=")</f>
        <v>#VALUE!</v>
      </c>
      <c r="IS152" t="e">
        <f>AND(Sheet1!#REF!,"AAAAAD/u/fw=")</f>
        <v>#REF!</v>
      </c>
      <c r="IT152" t="e">
        <f>AND(Sheet1!#REF!,"AAAAAD/u/f0=")</f>
        <v>#REF!</v>
      </c>
      <c r="IU152" t="e">
        <f>AND(Sheet1!#REF!,"AAAAAD/u/f4=")</f>
        <v>#REF!</v>
      </c>
      <c r="IV152" t="e">
        <f>AND(Sheet1!#REF!,"AAAAAD/u/f8=")</f>
        <v>#REF!</v>
      </c>
    </row>
    <row r="153" spans="1:256" x14ac:dyDescent="0.2">
      <c r="A153" t="e">
        <f>IF(Sheet1!2049:2049,"AAAAAD357gA=",0)</f>
        <v>#VALUE!</v>
      </c>
      <c r="B153" t="e">
        <f>AND(Sheet1!A2049,"AAAAAD357gE=")</f>
        <v>#VALUE!</v>
      </c>
      <c r="C153" t="e">
        <f>AND(Sheet1!B2049,"AAAAAD357gI=")</f>
        <v>#VALUE!</v>
      </c>
      <c r="D153" t="e">
        <f>AND(Sheet1!C2049,"AAAAAD357gM=")</f>
        <v>#VALUE!</v>
      </c>
      <c r="E153" t="e">
        <f>AND(Sheet1!D2049,"AAAAAD357gQ=")</f>
        <v>#VALUE!</v>
      </c>
      <c r="F153" t="e">
        <f>AND(Sheet1!E2049,"AAAAAD357gU=")</f>
        <v>#VALUE!</v>
      </c>
      <c r="G153" t="e">
        <f>AND(Sheet1!F2049,"AAAAAD357gY=")</f>
        <v>#VALUE!</v>
      </c>
      <c r="H153" t="e">
        <f>AND(Sheet1!G2049,"AAAAAD357gc=")</f>
        <v>#VALUE!</v>
      </c>
      <c r="I153" t="e">
        <f>AND(Sheet1!H2049,"AAAAAD357gg=")</f>
        <v>#VALUE!</v>
      </c>
      <c r="J153" t="e">
        <f>AND(Sheet1!I2049,"AAAAAD357gk=")</f>
        <v>#VALUE!</v>
      </c>
      <c r="K153" t="e">
        <f>AND(Sheet1!J2049,"AAAAAD357go=")</f>
        <v>#VALUE!</v>
      </c>
      <c r="L153" t="e">
        <f>AND(Sheet1!K2049,"AAAAAD357gs=")</f>
        <v>#VALUE!</v>
      </c>
      <c r="M153" t="e">
        <f>AND(Sheet1!L2049,"AAAAAD357gw=")</f>
        <v>#VALUE!</v>
      </c>
      <c r="N153" t="e">
        <f>AND(Sheet1!M2049,"AAAAAD357g0=")</f>
        <v>#VALUE!</v>
      </c>
      <c r="O153" t="e">
        <f>AND(Sheet1!N2049,"AAAAAD357g4=")</f>
        <v>#VALUE!</v>
      </c>
      <c r="P153" t="e">
        <f>AND(Sheet1!#REF!,"AAAAAD357g8=")</f>
        <v>#REF!</v>
      </c>
      <c r="Q153" t="e">
        <f>AND(Sheet1!#REF!,"AAAAAD357hA=")</f>
        <v>#REF!</v>
      </c>
      <c r="R153" t="e">
        <f>AND(Sheet1!#REF!,"AAAAAD357hE=")</f>
        <v>#REF!</v>
      </c>
      <c r="S153" t="e">
        <f>AND(Sheet1!#REF!,"AAAAAD357hI=")</f>
        <v>#REF!</v>
      </c>
      <c r="T153">
        <f>IF(Sheet1!2050:2050,"AAAAAD357hM=",0)</f>
        <v>0</v>
      </c>
      <c r="U153" t="e">
        <f>AND(Sheet1!A2050,"AAAAAD357hQ=")</f>
        <v>#VALUE!</v>
      </c>
      <c r="V153" t="e">
        <f>AND(Sheet1!B2050,"AAAAAD357hU=")</f>
        <v>#VALUE!</v>
      </c>
      <c r="W153" t="e">
        <f>AND(Sheet1!C2050,"AAAAAD357hY=")</f>
        <v>#VALUE!</v>
      </c>
      <c r="X153" t="e">
        <f>AND(Sheet1!D2050,"AAAAAD357hc=")</f>
        <v>#VALUE!</v>
      </c>
      <c r="Y153" t="e">
        <f>AND(Sheet1!E2050,"AAAAAD357hg=")</f>
        <v>#VALUE!</v>
      </c>
      <c r="Z153" t="e">
        <f>AND(Sheet1!F2050,"AAAAAD357hk=")</f>
        <v>#VALUE!</v>
      </c>
      <c r="AA153" t="e">
        <f>AND(Sheet1!G2050,"AAAAAD357ho=")</f>
        <v>#VALUE!</v>
      </c>
      <c r="AB153" t="e">
        <f>AND(Sheet1!H2050,"AAAAAD357hs=")</f>
        <v>#VALUE!</v>
      </c>
      <c r="AC153" t="e">
        <f>AND(Sheet1!I2050,"AAAAAD357hw=")</f>
        <v>#VALUE!</v>
      </c>
      <c r="AD153" t="e">
        <f>AND(Sheet1!J2050,"AAAAAD357h0=")</f>
        <v>#VALUE!</v>
      </c>
      <c r="AE153" t="e">
        <f>AND(Sheet1!K2050,"AAAAAD357h4=")</f>
        <v>#VALUE!</v>
      </c>
      <c r="AF153" t="e">
        <f>AND(Sheet1!L2050,"AAAAAD357h8=")</f>
        <v>#VALUE!</v>
      </c>
      <c r="AG153" t="e">
        <f>AND(Sheet1!M2050,"AAAAAD357iA=")</f>
        <v>#VALUE!</v>
      </c>
      <c r="AH153" t="e">
        <f>AND(Sheet1!N2050,"AAAAAD357iE=")</f>
        <v>#VALUE!</v>
      </c>
      <c r="AI153" t="e">
        <f>AND(Sheet1!#REF!,"AAAAAD357iI=")</f>
        <v>#REF!</v>
      </c>
      <c r="AJ153" t="e">
        <f>AND(Sheet1!#REF!,"AAAAAD357iM=")</f>
        <v>#REF!</v>
      </c>
      <c r="AK153" t="e">
        <f>AND(Sheet1!#REF!,"AAAAAD357iQ=")</f>
        <v>#REF!</v>
      </c>
      <c r="AL153" t="e">
        <f>AND(Sheet1!#REF!,"AAAAAD357iU=")</f>
        <v>#REF!</v>
      </c>
      <c r="AM153">
        <f>IF(Sheet1!2051:2051,"AAAAAD357iY=",0)</f>
        <v>0</v>
      </c>
      <c r="AN153" t="e">
        <f>AND(Sheet1!A2051,"AAAAAD357ic=")</f>
        <v>#VALUE!</v>
      </c>
      <c r="AO153" t="e">
        <f>AND(Sheet1!B2051,"AAAAAD357ig=")</f>
        <v>#VALUE!</v>
      </c>
      <c r="AP153" t="e">
        <f>AND(Sheet1!C2051,"AAAAAD357ik=")</f>
        <v>#VALUE!</v>
      </c>
      <c r="AQ153" t="e">
        <f>AND(Sheet1!D2051,"AAAAAD357io=")</f>
        <v>#VALUE!</v>
      </c>
      <c r="AR153" t="e">
        <f>AND(Sheet1!E2051,"AAAAAD357is=")</f>
        <v>#VALUE!</v>
      </c>
      <c r="AS153" t="e">
        <f>AND(Sheet1!F2051,"AAAAAD357iw=")</f>
        <v>#VALUE!</v>
      </c>
      <c r="AT153" t="e">
        <f>AND(Sheet1!G2051,"AAAAAD357i0=")</f>
        <v>#VALUE!</v>
      </c>
      <c r="AU153" t="e">
        <f>AND(Sheet1!H2051,"AAAAAD357i4=")</f>
        <v>#VALUE!</v>
      </c>
      <c r="AV153" t="e">
        <f>AND(Sheet1!I2051,"AAAAAD357i8=")</f>
        <v>#VALUE!</v>
      </c>
      <c r="AW153" t="e">
        <f>AND(Sheet1!J2051,"AAAAAD357jA=")</f>
        <v>#VALUE!</v>
      </c>
      <c r="AX153" t="e">
        <f>AND(Sheet1!K2051,"AAAAAD357jE=")</f>
        <v>#VALUE!</v>
      </c>
      <c r="AY153" t="e">
        <f>AND(Sheet1!L2051,"AAAAAD357jI=")</f>
        <v>#VALUE!</v>
      </c>
      <c r="AZ153" t="e">
        <f>AND(Sheet1!M2051,"AAAAAD357jM=")</f>
        <v>#VALUE!</v>
      </c>
      <c r="BA153" t="e">
        <f>AND(Sheet1!N2051,"AAAAAD357jQ=")</f>
        <v>#VALUE!</v>
      </c>
      <c r="BB153" t="e">
        <f>AND(Sheet1!#REF!,"AAAAAD357jU=")</f>
        <v>#REF!</v>
      </c>
      <c r="BC153" t="e">
        <f>AND(Sheet1!#REF!,"AAAAAD357jY=")</f>
        <v>#REF!</v>
      </c>
      <c r="BD153" t="e">
        <f>AND(Sheet1!#REF!,"AAAAAD357jc=")</f>
        <v>#REF!</v>
      </c>
      <c r="BE153" t="e">
        <f>AND(Sheet1!#REF!,"AAAAAD357jg=")</f>
        <v>#REF!</v>
      </c>
      <c r="BF153">
        <f>IF(Sheet1!2052:2052,"AAAAAD357jk=",0)</f>
        <v>0</v>
      </c>
      <c r="BG153" t="e">
        <f>AND(Sheet1!A2052,"AAAAAD357jo=")</f>
        <v>#VALUE!</v>
      </c>
      <c r="BH153" t="e">
        <f>AND(Sheet1!B2052,"AAAAAD357js=")</f>
        <v>#VALUE!</v>
      </c>
      <c r="BI153" t="e">
        <f>AND(Sheet1!C2052,"AAAAAD357jw=")</f>
        <v>#VALUE!</v>
      </c>
      <c r="BJ153" t="e">
        <f>AND(Sheet1!D2052,"AAAAAD357j0=")</f>
        <v>#VALUE!</v>
      </c>
      <c r="BK153" t="e">
        <f>AND(Sheet1!E2052,"AAAAAD357j4=")</f>
        <v>#VALUE!</v>
      </c>
      <c r="BL153" t="e">
        <f>AND(Sheet1!F2052,"AAAAAD357j8=")</f>
        <v>#VALUE!</v>
      </c>
      <c r="BM153" t="e">
        <f>AND(Sheet1!G2052,"AAAAAD357kA=")</f>
        <v>#VALUE!</v>
      </c>
      <c r="BN153" t="e">
        <f>AND(Sheet1!H2052,"AAAAAD357kE=")</f>
        <v>#VALUE!</v>
      </c>
      <c r="BO153" t="e">
        <f>AND(Sheet1!I2052,"AAAAAD357kI=")</f>
        <v>#VALUE!</v>
      </c>
      <c r="BP153" t="e">
        <f>AND(Sheet1!J2052,"AAAAAD357kM=")</f>
        <v>#VALUE!</v>
      </c>
      <c r="BQ153" t="e">
        <f>AND(Sheet1!K2052,"AAAAAD357kQ=")</f>
        <v>#VALUE!</v>
      </c>
      <c r="BR153" t="e">
        <f>AND(Sheet1!L2052,"AAAAAD357kU=")</f>
        <v>#VALUE!</v>
      </c>
      <c r="BS153" t="e">
        <f>AND(Sheet1!M2052,"AAAAAD357kY=")</f>
        <v>#VALUE!</v>
      </c>
      <c r="BT153" t="e">
        <f>AND(Sheet1!N2052,"AAAAAD357kc=")</f>
        <v>#VALUE!</v>
      </c>
      <c r="BU153" t="e">
        <f>AND(Sheet1!#REF!,"AAAAAD357kg=")</f>
        <v>#REF!</v>
      </c>
      <c r="BV153" t="e">
        <f>AND(Sheet1!#REF!,"AAAAAD357kk=")</f>
        <v>#REF!</v>
      </c>
      <c r="BW153" t="e">
        <f>AND(Sheet1!#REF!,"AAAAAD357ko=")</f>
        <v>#REF!</v>
      </c>
      <c r="BX153" t="e">
        <f>AND(Sheet1!#REF!,"AAAAAD357ks=")</f>
        <v>#REF!</v>
      </c>
      <c r="BY153">
        <f>IF(Sheet1!2053:2053,"AAAAAD357kw=",0)</f>
        <v>0</v>
      </c>
      <c r="BZ153" t="e">
        <f>AND(Sheet1!A2053,"AAAAAD357k0=")</f>
        <v>#VALUE!</v>
      </c>
      <c r="CA153" t="e">
        <f>AND(Sheet1!B2053,"AAAAAD357k4=")</f>
        <v>#VALUE!</v>
      </c>
      <c r="CB153" t="e">
        <f>AND(Sheet1!C2053,"AAAAAD357k8=")</f>
        <v>#VALUE!</v>
      </c>
      <c r="CC153" t="e">
        <f>AND(Sheet1!D2053,"AAAAAD357lA=")</f>
        <v>#VALUE!</v>
      </c>
      <c r="CD153" t="e">
        <f>AND(Sheet1!E2053,"AAAAAD357lE=")</f>
        <v>#VALUE!</v>
      </c>
      <c r="CE153" t="e">
        <f>AND(Sheet1!F2053,"AAAAAD357lI=")</f>
        <v>#VALUE!</v>
      </c>
      <c r="CF153" t="e">
        <f>AND(Sheet1!G2053,"AAAAAD357lM=")</f>
        <v>#VALUE!</v>
      </c>
      <c r="CG153" t="e">
        <f>AND(Sheet1!H2053,"AAAAAD357lQ=")</f>
        <v>#VALUE!</v>
      </c>
      <c r="CH153" t="e">
        <f>AND(Sheet1!I2053,"AAAAAD357lU=")</f>
        <v>#VALUE!</v>
      </c>
      <c r="CI153" t="e">
        <f>AND(Sheet1!J2053,"AAAAAD357lY=")</f>
        <v>#VALUE!</v>
      </c>
      <c r="CJ153" t="e">
        <f>AND(Sheet1!K2053,"AAAAAD357lc=")</f>
        <v>#VALUE!</v>
      </c>
      <c r="CK153" t="e">
        <f>AND(Sheet1!L2053,"AAAAAD357lg=")</f>
        <v>#VALUE!</v>
      </c>
      <c r="CL153" t="e">
        <f>AND(Sheet1!M2053,"AAAAAD357lk=")</f>
        <v>#VALUE!</v>
      </c>
      <c r="CM153" t="e">
        <f>AND(Sheet1!N2053,"AAAAAD357lo=")</f>
        <v>#VALUE!</v>
      </c>
      <c r="CN153" t="e">
        <f>AND(Sheet1!#REF!,"AAAAAD357ls=")</f>
        <v>#REF!</v>
      </c>
      <c r="CO153" t="e">
        <f>AND(Sheet1!#REF!,"AAAAAD357lw=")</f>
        <v>#REF!</v>
      </c>
      <c r="CP153" t="e">
        <f>AND(Sheet1!#REF!,"AAAAAD357l0=")</f>
        <v>#REF!</v>
      </c>
      <c r="CQ153" t="e">
        <f>AND(Sheet1!#REF!,"AAAAAD357l4=")</f>
        <v>#REF!</v>
      </c>
      <c r="CR153">
        <f>IF(Sheet1!2054:2054,"AAAAAD357l8=",0)</f>
        <v>0</v>
      </c>
      <c r="CS153" t="e">
        <f>AND(Sheet1!A2054,"AAAAAD357mA=")</f>
        <v>#VALUE!</v>
      </c>
      <c r="CT153" t="e">
        <f>AND(Sheet1!B2054,"AAAAAD357mE=")</f>
        <v>#VALUE!</v>
      </c>
      <c r="CU153" t="e">
        <f>AND(Sheet1!C2054,"AAAAAD357mI=")</f>
        <v>#VALUE!</v>
      </c>
      <c r="CV153" t="e">
        <f>AND(Sheet1!D2054,"AAAAAD357mM=")</f>
        <v>#VALUE!</v>
      </c>
      <c r="CW153" t="e">
        <f>AND(Sheet1!E2054,"AAAAAD357mQ=")</f>
        <v>#VALUE!</v>
      </c>
      <c r="CX153" t="e">
        <f>AND(Sheet1!F2054,"AAAAAD357mU=")</f>
        <v>#VALUE!</v>
      </c>
      <c r="CY153" t="e">
        <f>AND(Sheet1!G2054,"AAAAAD357mY=")</f>
        <v>#VALUE!</v>
      </c>
      <c r="CZ153" t="e">
        <f>AND(Sheet1!H2054,"AAAAAD357mc=")</f>
        <v>#VALUE!</v>
      </c>
      <c r="DA153" t="e">
        <f>AND(Sheet1!I2054,"AAAAAD357mg=")</f>
        <v>#VALUE!</v>
      </c>
      <c r="DB153" t="e">
        <f>AND(Sheet1!J2054,"AAAAAD357mk=")</f>
        <v>#VALUE!</v>
      </c>
      <c r="DC153" t="e">
        <f>AND(Sheet1!K2054,"AAAAAD357mo=")</f>
        <v>#VALUE!</v>
      </c>
      <c r="DD153" t="e">
        <f>AND(Sheet1!L2054,"AAAAAD357ms=")</f>
        <v>#VALUE!</v>
      </c>
      <c r="DE153" t="e">
        <f>AND(Sheet1!M2054,"AAAAAD357mw=")</f>
        <v>#VALUE!</v>
      </c>
      <c r="DF153" t="e">
        <f>AND(Sheet1!N2054,"AAAAAD357m0=")</f>
        <v>#VALUE!</v>
      </c>
      <c r="DG153" t="e">
        <f>AND(Sheet1!#REF!,"AAAAAD357m4=")</f>
        <v>#REF!</v>
      </c>
      <c r="DH153" t="e">
        <f>AND(Sheet1!#REF!,"AAAAAD357m8=")</f>
        <v>#REF!</v>
      </c>
      <c r="DI153" t="e">
        <f>AND(Sheet1!#REF!,"AAAAAD357nA=")</f>
        <v>#REF!</v>
      </c>
      <c r="DJ153" t="e">
        <f>AND(Sheet1!#REF!,"AAAAAD357nE=")</f>
        <v>#REF!</v>
      </c>
      <c r="DK153">
        <f>IF(Sheet1!2055:2055,"AAAAAD357nI=",0)</f>
        <v>0</v>
      </c>
      <c r="DL153" t="e">
        <f>AND(Sheet1!A2055,"AAAAAD357nM=")</f>
        <v>#VALUE!</v>
      </c>
      <c r="DM153" t="e">
        <f>AND(Sheet1!B2055,"AAAAAD357nQ=")</f>
        <v>#VALUE!</v>
      </c>
      <c r="DN153" t="e">
        <f>AND(Sheet1!C2055,"AAAAAD357nU=")</f>
        <v>#VALUE!</v>
      </c>
      <c r="DO153" t="e">
        <f>AND(Sheet1!D2055,"AAAAAD357nY=")</f>
        <v>#VALUE!</v>
      </c>
      <c r="DP153" t="e">
        <f>AND(Sheet1!E2055,"AAAAAD357nc=")</f>
        <v>#VALUE!</v>
      </c>
      <c r="DQ153" t="e">
        <f>AND(Sheet1!F2055,"AAAAAD357ng=")</f>
        <v>#VALUE!</v>
      </c>
      <c r="DR153" t="e">
        <f>AND(Sheet1!G2055,"AAAAAD357nk=")</f>
        <v>#VALUE!</v>
      </c>
      <c r="DS153" t="e">
        <f>AND(Sheet1!H2055,"AAAAAD357no=")</f>
        <v>#VALUE!</v>
      </c>
      <c r="DT153" t="e">
        <f>AND(Sheet1!I2055,"AAAAAD357ns=")</f>
        <v>#VALUE!</v>
      </c>
      <c r="DU153" t="e">
        <f>AND(Sheet1!J2055,"AAAAAD357nw=")</f>
        <v>#VALUE!</v>
      </c>
      <c r="DV153" t="e">
        <f>AND(Sheet1!K2055,"AAAAAD357n0=")</f>
        <v>#VALUE!</v>
      </c>
      <c r="DW153" t="e">
        <f>AND(Sheet1!L2055,"AAAAAD357n4=")</f>
        <v>#VALUE!</v>
      </c>
      <c r="DX153" t="e">
        <f>AND(Sheet1!M2055,"AAAAAD357n8=")</f>
        <v>#VALUE!</v>
      </c>
      <c r="DY153" t="e">
        <f>AND(Sheet1!N2055,"AAAAAD357oA=")</f>
        <v>#VALUE!</v>
      </c>
      <c r="DZ153" t="e">
        <f>AND(Sheet1!#REF!,"AAAAAD357oE=")</f>
        <v>#REF!</v>
      </c>
      <c r="EA153" t="e">
        <f>AND(Sheet1!#REF!,"AAAAAD357oI=")</f>
        <v>#REF!</v>
      </c>
      <c r="EB153" t="e">
        <f>AND(Sheet1!#REF!,"AAAAAD357oM=")</f>
        <v>#REF!</v>
      </c>
      <c r="EC153" t="e">
        <f>AND(Sheet1!#REF!,"AAAAAD357oQ=")</f>
        <v>#REF!</v>
      </c>
      <c r="ED153">
        <f>IF(Sheet1!2056:2056,"AAAAAD357oU=",0)</f>
        <v>0</v>
      </c>
      <c r="EE153" t="e">
        <f>AND(Sheet1!A2056,"AAAAAD357oY=")</f>
        <v>#VALUE!</v>
      </c>
      <c r="EF153" t="e">
        <f>AND(Sheet1!B2056,"AAAAAD357oc=")</f>
        <v>#VALUE!</v>
      </c>
      <c r="EG153" t="e">
        <f>AND(Sheet1!C2056,"AAAAAD357og=")</f>
        <v>#VALUE!</v>
      </c>
      <c r="EH153" t="e">
        <f>AND(Sheet1!D2056,"AAAAAD357ok=")</f>
        <v>#VALUE!</v>
      </c>
      <c r="EI153" t="e">
        <f>AND(Sheet1!E2056,"AAAAAD357oo=")</f>
        <v>#VALUE!</v>
      </c>
      <c r="EJ153" t="e">
        <f>AND(Sheet1!F2056,"AAAAAD357os=")</f>
        <v>#VALUE!</v>
      </c>
      <c r="EK153" t="e">
        <f>AND(Sheet1!G2056,"AAAAAD357ow=")</f>
        <v>#VALUE!</v>
      </c>
      <c r="EL153" t="e">
        <f>AND(Sheet1!H2056,"AAAAAD357o0=")</f>
        <v>#VALUE!</v>
      </c>
      <c r="EM153" t="e">
        <f>AND(Sheet1!I2056,"AAAAAD357o4=")</f>
        <v>#VALUE!</v>
      </c>
      <c r="EN153" t="e">
        <f>AND(Sheet1!J2056,"AAAAAD357o8=")</f>
        <v>#VALUE!</v>
      </c>
      <c r="EO153" t="e">
        <f>AND(Sheet1!K2056,"AAAAAD357pA=")</f>
        <v>#VALUE!</v>
      </c>
      <c r="EP153" t="e">
        <f>AND(Sheet1!L2056,"AAAAAD357pE=")</f>
        <v>#VALUE!</v>
      </c>
      <c r="EQ153" t="e">
        <f>AND(Sheet1!M2056,"AAAAAD357pI=")</f>
        <v>#VALUE!</v>
      </c>
      <c r="ER153" t="e">
        <f>AND(Sheet1!N2056,"AAAAAD357pM=")</f>
        <v>#VALUE!</v>
      </c>
      <c r="ES153" t="e">
        <f>AND(Sheet1!#REF!,"AAAAAD357pQ=")</f>
        <v>#REF!</v>
      </c>
      <c r="ET153" t="e">
        <f>AND(Sheet1!#REF!,"AAAAAD357pU=")</f>
        <v>#REF!</v>
      </c>
      <c r="EU153" t="e">
        <f>AND(Sheet1!#REF!,"AAAAAD357pY=")</f>
        <v>#REF!</v>
      </c>
      <c r="EV153" t="e">
        <f>AND(Sheet1!#REF!,"AAAAAD357pc=")</f>
        <v>#REF!</v>
      </c>
      <c r="EW153">
        <f>IF(Sheet1!2057:2057,"AAAAAD357pg=",0)</f>
        <v>0</v>
      </c>
      <c r="EX153" t="e">
        <f>AND(Sheet1!A2057,"AAAAAD357pk=")</f>
        <v>#VALUE!</v>
      </c>
      <c r="EY153" t="e">
        <f>AND(Sheet1!B2057,"AAAAAD357po=")</f>
        <v>#VALUE!</v>
      </c>
      <c r="EZ153" t="e">
        <f>AND(Sheet1!C2057,"AAAAAD357ps=")</f>
        <v>#VALUE!</v>
      </c>
      <c r="FA153" t="e">
        <f>AND(Sheet1!D2057,"AAAAAD357pw=")</f>
        <v>#VALUE!</v>
      </c>
      <c r="FB153" t="e">
        <f>AND(Sheet1!E2057,"AAAAAD357p0=")</f>
        <v>#VALUE!</v>
      </c>
      <c r="FC153" t="e">
        <f>AND(Sheet1!F2057,"AAAAAD357p4=")</f>
        <v>#VALUE!</v>
      </c>
      <c r="FD153" t="e">
        <f>AND(Sheet1!G2057,"AAAAAD357p8=")</f>
        <v>#VALUE!</v>
      </c>
      <c r="FE153" t="e">
        <f>AND(Sheet1!H2057,"AAAAAD357qA=")</f>
        <v>#VALUE!</v>
      </c>
      <c r="FF153" t="e">
        <f>AND(Sheet1!I2057,"AAAAAD357qE=")</f>
        <v>#VALUE!</v>
      </c>
      <c r="FG153" t="e">
        <f>AND(Sheet1!J2057,"AAAAAD357qI=")</f>
        <v>#VALUE!</v>
      </c>
      <c r="FH153" t="e">
        <f>AND(Sheet1!K2057,"AAAAAD357qM=")</f>
        <v>#VALUE!</v>
      </c>
      <c r="FI153" t="e">
        <f>AND(Sheet1!L2057,"AAAAAD357qQ=")</f>
        <v>#VALUE!</v>
      </c>
      <c r="FJ153" t="e">
        <f>AND(Sheet1!M2057,"AAAAAD357qU=")</f>
        <v>#VALUE!</v>
      </c>
      <c r="FK153" t="e">
        <f>AND(Sheet1!N2057,"AAAAAD357qY=")</f>
        <v>#VALUE!</v>
      </c>
      <c r="FL153" t="e">
        <f>AND(Sheet1!#REF!,"AAAAAD357qc=")</f>
        <v>#REF!</v>
      </c>
      <c r="FM153" t="e">
        <f>AND(Sheet1!#REF!,"AAAAAD357qg=")</f>
        <v>#REF!</v>
      </c>
      <c r="FN153" t="e">
        <f>AND(Sheet1!#REF!,"AAAAAD357qk=")</f>
        <v>#REF!</v>
      </c>
      <c r="FO153" t="e">
        <f>AND(Sheet1!#REF!,"AAAAAD357qo=")</f>
        <v>#REF!</v>
      </c>
      <c r="FP153">
        <f>IF(Sheet1!2058:2058,"AAAAAD357qs=",0)</f>
        <v>0</v>
      </c>
      <c r="FQ153" t="e">
        <f>AND(Sheet1!A2058,"AAAAAD357qw=")</f>
        <v>#VALUE!</v>
      </c>
      <c r="FR153" t="e">
        <f>AND(Sheet1!B2058,"AAAAAD357q0=")</f>
        <v>#VALUE!</v>
      </c>
      <c r="FS153" t="e">
        <f>AND(Sheet1!C2058,"AAAAAD357q4=")</f>
        <v>#VALUE!</v>
      </c>
      <c r="FT153" t="e">
        <f>AND(Sheet1!D2058,"AAAAAD357q8=")</f>
        <v>#VALUE!</v>
      </c>
      <c r="FU153" t="e">
        <f>AND(Sheet1!E2058,"AAAAAD357rA=")</f>
        <v>#VALUE!</v>
      </c>
      <c r="FV153" t="e">
        <f>AND(Sheet1!F2058,"AAAAAD357rE=")</f>
        <v>#VALUE!</v>
      </c>
      <c r="FW153" t="e">
        <f>AND(Sheet1!G2058,"AAAAAD357rI=")</f>
        <v>#VALUE!</v>
      </c>
      <c r="FX153" t="e">
        <f>AND(Sheet1!H2058,"AAAAAD357rM=")</f>
        <v>#VALUE!</v>
      </c>
      <c r="FY153" t="e">
        <f>AND(Sheet1!I2058,"AAAAAD357rQ=")</f>
        <v>#VALUE!</v>
      </c>
      <c r="FZ153" t="e">
        <f>AND(Sheet1!J2058,"AAAAAD357rU=")</f>
        <v>#VALUE!</v>
      </c>
      <c r="GA153" t="e">
        <f>AND(Sheet1!K2058,"AAAAAD357rY=")</f>
        <v>#VALUE!</v>
      </c>
      <c r="GB153" t="e">
        <f>AND(Sheet1!L2058,"AAAAAD357rc=")</f>
        <v>#VALUE!</v>
      </c>
      <c r="GC153" t="e">
        <f>AND(Sheet1!M2058,"AAAAAD357rg=")</f>
        <v>#VALUE!</v>
      </c>
      <c r="GD153" t="e">
        <f>AND(Sheet1!N2058,"AAAAAD357rk=")</f>
        <v>#VALUE!</v>
      </c>
      <c r="GE153" t="e">
        <f>AND(Sheet1!#REF!,"AAAAAD357ro=")</f>
        <v>#REF!</v>
      </c>
      <c r="GF153" t="e">
        <f>AND(Sheet1!#REF!,"AAAAAD357rs=")</f>
        <v>#REF!</v>
      </c>
      <c r="GG153" t="e">
        <f>AND(Sheet1!#REF!,"AAAAAD357rw=")</f>
        <v>#REF!</v>
      </c>
      <c r="GH153" t="e">
        <f>AND(Sheet1!#REF!,"AAAAAD357r0=")</f>
        <v>#REF!</v>
      </c>
      <c r="GI153">
        <f>IF(Sheet1!2059:2059,"AAAAAD357r4=",0)</f>
        <v>0</v>
      </c>
      <c r="GJ153" t="e">
        <f>AND(Sheet1!A2059,"AAAAAD357r8=")</f>
        <v>#VALUE!</v>
      </c>
      <c r="GK153" t="e">
        <f>AND(Sheet1!B2059,"AAAAAD357sA=")</f>
        <v>#VALUE!</v>
      </c>
      <c r="GL153" t="e">
        <f>AND(Sheet1!C2059,"AAAAAD357sE=")</f>
        <v>#VALUE!</v>
      </c>
      <c r="GM153" t="e">
        <f>AND(Sheet1!D2059,"AAAAAD357sI=")</f>
        <v>#VALUE!</v>
      </c>
      <c r="GN153" t="e">
        <f>AND(Sheet1!E2059,"AAAAAD357sM=")</f>
        <v>#VALUE!</v>
      </c>
      <c r="GO153" t="e">
        <f>AND(Sheet1!F2059,"AAAAAD357sQ=")</f>
        <v>#VALUE!</v>
      </c>
      <c r="GP153" t="e">
        <f>AND(Sheet1!G2059,"AAAAAD357sU=")</f>
        <v>#VALUE!</v>
      </c>
      <c r="GQ153" t="e">
        <f>AND(Sheet1!H2059,"AAAAAD357sY=")</f>
        <v>#VALUE!</v>
      </c>
      <c r="GR153" t="e">
        <f>AND(Sheet1!I2059,"AAAAAD357sc=")</f>
        <v>#VALUE!</v>
      </c>
      <c r="GS153" t="e">
        <f>AND(Sheet1!J2059,"AAAAAD357sg=")</f>
        <v>#VALUE!</v>
      </c>
      <c r="GT153" t="e">
        <f>AND(Sheet1!K2059,"AAAAAD357sk=")</f>
        <v>#VALUE!</v>
      </c>
      <c r="GU153" t="e">
        <f>AND(Sheet1!L2059,"AAAAAD357so=")</f>
        <v>#VALUE!</v>
      </c>
      <c r="GV153" t="e">
        <f>AND(Sheet1!M2059,"AAAAAD357ss=")</f>
        <v>#VALUE!</v>
      </c>
      <c r="GW153" t="e">
        <f>AND(Sheet1!N2059,"AAAAAD357sw=")</f>
        <v>#VALUE!</v>
      </c>
      <c r="GX153" t="e">
        <f>AND(Sheet1!#REF!,"AAAAAD357s0=")</f>
        <v>#REF!</v>
      </c>
      <c r="GY153" t="e">
        <f>AND(Sheet1!#REF!,"AAAAAD357s4=")</f>
        <v>#REF!</v>
      </c>
      <c r="GZ153" t="e">
        <f>AND(Sheet1!#REF!,"AAAAAD357s8=")</f>
        <v>#REF!</v>
      </c>
      <c r="HA153" t="e">
        <f>AND(Sheet1!#REF!,"AAAAAD357tA=")</f>
        <v>#REF!</v>
      </c>
      <c r="HB153">
        <f>IF(Sheet1!2060:2060,"AAAAAD357tE=",0)</f>
        <v>0</v>
      </c>
      <c r="HC153" t="e">
        <f>AND(Sheet1!A2060,"AAAAAD357tI=")</f>
        <v>#VALUE!</v>
      </c>
      <c r="HD153" t="e">
        <f>AND(Sheet1!B2060,"AAAAAD357tM=")</f>
        <v>#VALUE!</v>
      </c>
      <c r="HE153" t="e">
        <f>AND(Sheet1!C2060,"AAAAAD357tQ=")</f>
        <v>#VALUE!</v>
      </c>
      <c r="HF153" t="e">
        <f>AND(Sheet1!D2060,"AAAAAD357tU=")</f>
        <v>#VALUE!</v>
      </c>
      <c r="HG153" t="e">
        <f>AND(Sheet1!E2060,"AAAAAD357tY=")</f>
        <v>#VALUE!</v>
      </c>
      <c r="HH153" t="e">
        <f>AND(Sheet1!F2060,"AAAAAD357tc=")</f>
        <v>#VALUE!</v>
      </c>
      <c r="HI153" t="e">
        <f>AND(Sheet1!G2060,"AAAAAD357tg=")</f>
        <v>#VALUE!</v>
      </c>
      <c r="HJ153" t="e">
        <f>AND(Sheet1!H2060,"AAAAAD357tk=")</f>
        <v>#VALUE!</v>
      </c>
      <c r="HK153" t="e">
        <f>AND(Sheet1!I2060,"AAAAAD357to=")</f>
        <v>#VALUE!</v>
      </c>
      <c r="HL153" t="e">
        <f>AND(Sheet1!J2060,"AAAAAD357ts=")</f>
        <v>#VALUE!</v>
      </c>
      <c r="HM153" t="e">
        <f>AND(Sheet1!K2060,"AAAAAD357tw=")</f>
        <v>#VALUE!</v>
      </c>
      <c r="HN153" t="e">
        <f>AND(Sheet1!L2060,"AAAAAD357t0=")</f>
        <v>#VALUE!</v>
      </c>
      <c r="HO153" t="e">
        <f>AND(Sheet1!M2060,"AAAAAD357t4=")</f>
        <v>#VALUE!</v>
      </c>
      <c r="HP153" t="e">
        <f>AND(Sheet1!N2060,"AAAAAD357t8=")</f>
        <v>#VALUE!</v>
      </c>
      <c r="HQ153" t="e">
        <f>AND(Sheet1!#REF!,"AAAAAD357uA=")</f>
        <v>#REF!</v>
      </c>
      <c r="HR153" t="e">
        <f>AND(Sheet1!#REF!,"AAAAAD357uE=")</f>
        <v>#REF!</v>
      </c>
      <c r="HS153" t="e">
        <f>AND(Sheet1!#REF!,"AAAAAD357uI=")</f>
        <v>#REF!</v>
      </c>
      <c r="HT153" t="e">
        <f>AND(Sheet1!#REF!,"AAAAAD357uM=")</f>
        <v>#REF!</v>
      </c>
      <c r="HU153">
        <f>IF(Sheet1!2061:2061,"AAAAAD357uQ=",0)</f>
        <v>0</v>
      </c>
      <c r="HV153" t="e">
        <f>AND(Sheet1!A2061,"AAAAAD357uU=")</f>
        <v>#VALUE!</v>
      </c>
      <c r="HW153" t="e">
        <f>AND(Sheet1!B2061,"AAAAAD357uY=")</f>
        <v>#VALUE!</v>
      </c>
      <c r="HX153" t="e">
        <f>AND(Sheet1!C2061,"AAAAAD357uc=")</f>
        <v>#VALUE!</v>
      </c>
      <c r="HY153" t="e">
        <f>AND(Sheet1!D2061,"AAAAAD357ug=")</f>
        <v>#VALUE!</v>
      </c>
      <c r="HZ153" t="e">
        <f>AND(Sheet1!E2061,"AAAAAD357uk=")</f>
        <v>#VALUE!</v>
      </c>
      <c r="IA153" t="e">
        <f>AND(Sheet1!F2061,"AAAAAD357uo=")</f>
        <v>#VALUE!</v>
      </c>
      <c r="IB153" t="e">
        <f>AND(Sheet1!G2061,"AAAAAD357us=")</f>
        <v>#VALUE!</v>
      </c>
      <c r="IC153" t="e">
        <f>AND(Sheet1!H2061,"AAAAAD357uw=")</f>
        <v>#VALUE!</v>
      </c>
      <c r="ID153" t="e">
        <f>AND(Sheet1!I2061,"AAAAAD357u0=")</f>
        <v>#VALUE!</v>
      </c>
      <c r="IE153" t="e">
        <f>AND(Sheet1!J2061,"AAAAAD357u4=")</f>
        <v>#VALUE!</v>
      </c>
      <c r="IF153" t="e">
        <f>AND(Sheet1!K2061,"AAAAAD357u8=")</f>
        <v>#VALUE!</v>
      </c>
      <c r="IG153" t="e">
        <f>AND(Sheet1!L2061,"AAAAAD357vA=")</f>
        <v>#VALUE!</v>
      </c>
      <c r="IH153" t="e">
        <f>AND(Sheet1!M2061,"AAAAAD357vE=")</f>
        <v>#VALUE!</v>
      </c>
      <c r="II153" t="e">
        <f>AND(Sheet1!N2061,"AAAAAD357vI=")</f>
        <v>#VALUE!</v>
      </c>
      <c r="IJ153" t="e">
        <f>AND(Sheet1!#REF!,"AAAAAD357vM=")</f>
        <v>#REF!</v>
      </c>
      <c r="IK153" t="e">
        <f>AND(Sheet1!#REF!,"AAAAAD357vQ=")</f>
        <v>#REF!</v>
      </c>
      <c r="IL153" t="e">
        <f>AND(Sheet1!#REF!,"AAAAAD357vU=")</f>
        <v>#REF!</v>
      </c>
      <c r="IM153" t="e">
        <f>AND(Sheet1!#REF!,"AAAAAD357vY=")</f>
        <v>#REF!</v>
      </c>
      <c r="IN153">
        <f>IF(Sheet1!2062:2062,"AAAAAD357vc=",0)</f>
        <v>0</v>
      </c>
      <c r="IO153" t="e">
        <f>AND(Sheet1!A2062,"AAAAAD357vg=")</f>
        <v>#VALUE!</v>
      </c>
      <c r="IP153" t="e">
        <f>AND(Sheet1!B2062,"AAAAAD357vk=")</f>
        <v>#VALUE!</v>
      </c>
      <c r="IQ153" t="e">
        <f>AND(Sheet1!C2062,"AAAAAD357vo=")</f>
        <v>#VALUE!</v>
      </c>
      <c r="IR153" t="e">
        <f>AND(Sheet1!D2062,"AAAAAD357vs=")</f>
        <v>#VALUE!</v>
      </c>
      <c r="IS153" t="e">
        <f>AND(Sheet1!E2062,"AAAAAD357vw=")</f>
        <v>#VALUE!</v>
      </c>
      <c r="IT153" t="e">
        <f>AND(Sheet1!F2062,"AAAAAD357v0=")</f>
        <v>#VALUE!</v>
      </c>
      <c r="IU153" t="e">
        <f>AND(Sheet1!G2062,"AAAAAD357v4=")</f>
        <v>#VALUE!</v>
      </c>
      <c r="IV153" t="e">
        <f>AND(Sheet1!H2062,"AAAAAD357v8=")</f>
        <v>#VALUE!</v>
      </c>
    </row>
    <row r="154" spans="1:256" x14ac:dyDescent="0.2">
      <c r="A154" t="e">
        <f>AND(Sheet1!I2062,"AAAAAHc8egA=")</f>
        <v>#VALUE!</v>
      </c>
      <c r="B154" t="e">
        <f>AND(Sheet1!J2062,"AAAAAHc8egE=")</f>
        <v>#VALUE!</v>
      </c>
      <c r="C154" t="e">
        <f>AND(Sheet1!K2062,"AAAAAHc8egI=")</f>
        <v>#VALUE!</v>
      </c>
      <c r="D154" t="e">
        <f>AND(Sheet1!L2062,"AAAAAHc8egM=")</f>
        <v>#VALUE!</v>
      </c>
      <c r="E154" t="e">
        <f>AND(Sheet1!M2062,"AAAAAHc8egQ=")</f>
        <v>#VALUE!</v>
      </c>
      <c r="F154" t="e">
        <f>AND(Sheet1!N2062,"AAAAAHc8egU=")</f>
        <v>#VALUE!</v>
      </c>
      <c r="G154" t="e">
        <f>AND(Sheet1!#REF!,"AAAAAHc8egY=")</f>
        <v>#REF!</v>
      </c>
      <c r="H154" t="e">
        <f>AND(Sheet1!#REF!,"AAAAAHc8egc=")</f>
        <v>#REF!</v>
      </c>
      <c r="I154" t="e">
        <f>AND(Sheet1!#REF!,"AAAAAHc8egg=")</f>
        <v>#REF!</v>
      </c>
      <c r="J154" t="e">
        <f>AND(Sheet1!#REF!,"AAAAAHc8egk=")</f>
        <v>#REF!</v>
      </c>
      <c r="K154" t="e">
        <f>IF(Sheet1!2063:2063,"AAAAAHc8ego=",0)</f>
        <v>#VALUE!</v>
      </c>
      <c r="L154" t="e">
        <f>AND(Sheet1!A2063,"AAAAAHc8egs=")</f>
        <v>#VALUE!</v>
      </c>
      <c r="M154" t="e">
        <f>AND(Sheet1!B2063,"AAAAAHc8egw=")</f>
        <v>#VALUE!</v>
      </c>
      <c r="N154" t="e">
        <f>AND(Sheet1!C2063,"AAAAAHc8eg0=")</f>
        <v>#VALUE!</v>
      </c>
      <c r="O154" t="e">
        <f>AND(Sheet1!D2063,"AAAAAHc8eg4=")</f>
        <v>#VALUE!</v>
      </c>
      <c r="P154" t="e">
        <f>AND(Sheet1!E2063,"AAAAAHc8eg8=")</f>
        <v>#VALUE!</v>
      </c>
      <c r="Q154" t="e">
        <f>AND(Sheet1!F2063,"AAAAAHc8ehA=")</f>
        <v>#VALUE!</v>
      </c>
      <c r="R154" t="e">
        <f>AND(Sheet1!G2063,"AAAAAHc8ehE=")</f>
        <v>#VALUE!</v>
      </c>
      <c r="S154" t="e">
        <f>AND(Sheet1!H2063,"AAAAAHc8ehI=")</f>
        <v>#VALUE!</v>
      </c>
      <c r="T154" t="e">
        <f>AND(Sheet1!I2063,"AAAAAHc8ehM=")</f>
        <v>#VALUE!</v>
      </c>
      <c r="U154" t="e">
        <f>AND(Sheet1!J2063,"AAAAAHc8ehQ=")</f>
        <v>#VALUE!</v>
      </c>
      <c r="V154" t="e">
        <f>AND(Sheet1!K2063,"AAAAAHc8ehU=")</f>
        <v>#VALUE!</v>
      </c>
      <c r="W154" t="e">
        <f>AND(Sheet1!L2063,"AAAAAHc8ehY=")</f>
        <v>#VALUE!</v>
      </c>
      <c r="X154" t="e">
        <f>AND(Sheet1!M2063,"AAAAAHc8ehc=")</f>
        <v>#VALUE!</v>
      </c>
      <c r="Y154" t="e">
        <f>AND(Sheet1!N2063,"AAAAAHc8ehg=")</f>
        <v>#VALUE!</v>
      </c>
      <c r="Z154" t="e">
        <f>AND(Sheet1!#REF!,"AAAAAHc8ehk=")</f>
        <v>#REF!</v>
      </c>
      <c r="AA154" t="e">
        <f>AND(Sheet1!#REF!,"AAAAAHc8eho=")</f>
        <v>#REF!</v>
      </c>
      <c r="AB154" t="e">
        <f>AND(Sheet1!#REF!,"AAAAAHc8ehs=")</f>
        <v>#REF!</v>
      </c>
      <c r="AC154" t="e">
        <f>AND(Sheet1!#REF!,"AAAAAHc8ehw=")</f>
        <v>#REF!</v>
      </c>
      <c r="AD154">
        <f>IF(Sheet1!2064:2064,"AAAAAHc8eh0=",0)</f>
        <v>0</v>
      </c>
      <c r="AE154" t="e">
        <f>AND(Sheet1!A2064,"AAAAAHc8eh4=")</f>
        <v>#VALUE!</v>
      </c>
      <c r="AF154" t="e">
        <f>AND(Sheet1!B2064,"AAAAAHc8eh8=")</f>
        <v>#VALUE!</v>
      </c>
      <c r="AG154" t="e">
        <f>AND(Sheet1!C2064,"AAAAAHc8eiA=")</f>
        <v>#VALUE!</v>
      </c>
      <c r="AH154" t="e">
        <f>AND(Sheet1!D2064,"AAAAAHc8eiE=")</f>
        <v>#VALUE!</v>
      </c>
      <c r="AI154" t="e">
        <f>AND(Sheet1!E2064,"AAAAAHc8eiI=")</f>
        <v>#VALUE!</v>
      </c>
      <c r="AJ154" t="e">
        <f>AND(Sheet1!F2064,"AAAAAHc8eiM=")</f>
        <v>#VALUE!</v>
      </c>
      <c r="AK154" t="e">
        <f>AND(Sheet1!G2064,"AAAAAHc8eiQ=")</f>
        <v>#VALUE!</v>
      </c>
      <c r="AL154" t="e">
        <f>AND(Sheet1!H2064,"AAAAAHc8eiU=")</f>
        <v>#VALUE!</v>
      </c>
      <c r="AM154" t="e">
        <f>AND(Sheet1!I2064,"AAAAAHc8eiY=")</f>
        <v>#VALUE!</v>
      </c>
      <c r="AN154" t="e">
        <f>AND(Sheet1!J2064,"AAAAAHc8eic=")</f>
        <v>#VALUE!</v>
      </c>
      <c r="AO154" t="e">
        <f>AND(Sheet1!K2064,"AAAAAHc8eig=")</f>
        <v>#VALUE!</v>
      </c>
      <c r="AP154" t="e">
        <f>AND(Sheet1!L2064,"AAAAAHc8eik=")</f>
        <v>#VALUE!</v>
      </c>
      <c r="AQ154" t="e">
        <f>AND(Sheet1!M2064,"AAAAAHc8eio=")</f>
        <v>#VALUE!</v>
      </c>
      <c r="AR154" t="e">
        <f>AND(Sheet1!N2064,"AAAAAHc8eis=")</f>
        <v>#VALUE!</v>
      </c>
      <c r="AS154" t="e">
        <f>AND(Sheet1!#REF!,"AAAAAHc8eiw=")</f>
        <v>#REF!</v>
      </c>
      <c r="AT154" t="e">
        <f>AND(Sheet1!#REF!,"AAAAAHc8ei0=")</f>
        <v>#REF!</v>
      </c>
      <c r="AU154" t="e">
        <f>AND(Sheet1!#REF!,"AAAAAHc8ei4=")</f>
        <v>#REF!</v>
      </c>
      <c r="AV154" t="e">
        <f>AND(Sheet1!#REF!,"AAAAAHc8ei8=")</f>
        <v>#REF!</v>
      </c>
      <c r="AW154">
        <f>IF(Sheet1!2065:2065,"AAAAAHc8ejA=",0)</f>
        <v>0</v>
      </c>
      <c r="AX154" t="e">
        <f>AND(Sheet1!A2065,"AAAAAHc8ejE=")</f>
        <v>#VALUE!</v>
      </c>
      <c r="AY154" t="e">
        <f>AND(Sheet1!B2065,"AAAAAHc8ejI=")</f>
        <v>#VALUE!</v>
      </c>
      <c r="AZ154" t="e">
        <f>AND(Sheet1!C2065,"AAAAAHc8ejM=")</f>
        <v>#VALUE!</v>
      </c>
      <c r="BA154" t="e">
        <f>AND(Sheet1!D2065,"AAAAAHc8ejQ=")</f>
        <v>#VALUE!</v>
      </c>
      <c r="BB154" t="e">
        <f>AND(Sheet1!E2065,"AAAAAHc8ejU=")</f>
        <v>#VALUE!</v>
      </c>
      <c r="BC154" t="e">
        <f>AND(Sheet1!F2065,"AAAAAHc8ejY=")</f>
        <v>#VALUE!</v>
      </c>
      <c r="BD154" t="e">
        <f>AND(Sheet1!G2065,"AAAAAHc8ejc=")</f>
        <v>#VALUE!</v>
      </c>
      <c r="BE154" t="e">
        <f>AND(Sheet1!H2065,"AAAAAHc8ejg=")</f>
        <v>#VALUE!</v>
      </c>
      <c r="BF154" t="e">
        <f>AND(Sheet1!I2065,"AAAAAHc8ejk=")</f>
        <v>#VALUE!</v>
      </c>
      <c r="BG154" t="e">
        <f>AND(Sheet1!J2065,"AAAAAHc8ejo=")</f>
        <v>#VALUE!</v>
      </c>
      <c r="BH154" t="e">
        <f>AND(Sheet1!K2065,"AAAAAHc8ejs=")</f>
        <v>#VALUE!</v>
      </c>
      <c r="BI154" t="e">
        <f>AND(Sheet1!L2065,"AAAAAHc8ejw=")</f>
        <v>#VALUE!</v>
      </c>
      <c r="BJ154" t="e">
        <f>AND(Sheet1!M2065,"AAAAAHc8ej0=")</f>
        <v>#VALUE!</v>
      </c>
      <c r="BK154" t="e">
        <f>AND(Sheet1!N2065,"AAAAAHc8ej4=")</f>
        <v>#VALUE!</v>
      </c>
      <c r="BL154" t="e">
        <f>AND(Sheet1!#REF!,"AAAAAHc8ej8=")</f>
        <v>#REF!</v>
      </c>
      <c r="BM154" t="e">
        <f>AND(Sheet1!#REF!,"AAAAAHc8ekA=")</f>
        <v>#REF!</v>
      </c>
      <c r="BN154" t="e">
        <f>AND(Sheet1!#REF!,"AAAAAHc8ekE=")</f>
        <v>#REF!</v>
      </c>
      <c r="BO154" t="e">
        <f>AND(Sheet1!#REF!,"AAAAAHc8ekI=")</f>
        <v>#REF!</v>
      </c>
      <c r="BP154">
        <f>IF(Sheet1!2066:2066,"AAAAAHc8ekM=",0)</f>
        <v>0</v>
      </c>
      <c r="BQ154" t="e">
        <f>AND(Sheet1!A2066,"AAAAAHc8ekQ=")</f>
        <v>#VALUE!</v>
      </c>
      <c r="BR154" t="e">
        <f>AND(Sheet1!B2066,"AAAAAHc8ekU=")</f>
        <v>#VALUE!</v>
      </c>
      <c r="BS154" t="e">
        <f>AND(Sheet1!C2066,"AAAAAHc8ekY=")</f>
        <v>#VALUE!</v>
      </c>
      <c r="BT154" t="e">
        <f>AND(Sheet1!D2066,"AAAAAHc8ekc=")</f>
        <v>#VALUE!</v>
      </c>
      <c r="BU154" t="e">
        <f>AND(Sheet1!E2066,"AAAAAHc8ekg=")</f>
        <v>#VALUE!</v>
      </c>
      <c r="BV154" t="e">
        <f>AND(Sheet1!F2066,"AAAAAHc8ekk=")</f>
        <v>#VALUE!</v>
      </c>
      <c r="BW154" t="e">
        <f>AND(Sheet1!G2066,"AAAAAHc8eko=")</f>
        <v>#VALUE!</v>
      </c>
      <c r="BX154" t="e">
        <f>AND(Sheet1!H2066,"AAAAAHc8eks=")</f>
        <v>#VALUE!</v>
      </c>
      <c r="BY154" t="e">
        <f>AND(Sheet1!I2066,"AAAAAHc8ekw=")</f>
        <v>#VALUE!</v>
      </c>
      <c r="BZ154" t="e">
        <f>AND(Sheet1!J2066,"AAAAAHc8ek0=")</f>
        <v>#VALUE!</v>
      </c>
      <c r="CA154" t="e">
        <f>AND(Sheet1!K2066,"AAAAAHc8ek4=")</f>
        <v>#VALUE!</v>
      </c>
      <c r="CB154" t="e">
        <f>AND(Sheet1!L2066,"AAAAAHc8ek8=")</f>
        <v>#VALUE!</v>
      </c>
      <c r="CC154" t="e">
        <f>AND(Sheet1!M2066,"AAAAAHc8elA=")</f>
        <v>#VALUE!</v>
      </c>
      <c r="CD154" t="e">
        <f>AND(Sheet1!N2066,"AAAAAHc8elE=")</f>
        <v>#VALUE!</v>
      </c>
      <c r="CE154" t="e">
        <f>AND(Sheet1!#REF!,"AAAAAHc8elI=")</f>
        <v>#REF!</v>
      </c>
      <c r="CF154" t="e">
        <f>AND(Sheet1!#REF!,"AAAAAHc8elM=")</f>
        <v>#REF!</v>
      </c>
      <c r="CG154" t="e">
        <f>AND(Sheet1!#REF!,"AAAAAHc8elQ=")</f>
        <v>#REF!</v>
      </c>
      <c r="CH154" t="e">
        <f>AND(Sheet1!#REF!,"AAAAAHc8elU=")</f>
        <v>#REF!</v>
      </c>
      <c r="CI154">
        <f>IF(Sheet1!2067:2067,"AAAAAHc8elY=",0)</f>
        <v>0</v>
      </c>
      <c r="CJ154" t="e">
        <f>AND(Sheet1!A2067,"AAAAAHc8elc=")</f>
        <v>#VALUE!</v>
      </c>
      <c r="CK154" t="e">
        <f>AND(Sheet1!B2067,"AAAAAHc8elg=")</f>
        <v>#VALUE!</v>
      </c>
      <c r="CL154" t="e">
        <f>AND(Sheet1!C2067,"AAAAAHc8elk=")</f>
        <v>#VALUE!</v>
      </c>
      <c r="CM154" t="e">
        <f>AND(Sheet1!D2067,"AAAAAHc8elo=")</f>
        <v>#VALUE!</v>
      </c>
      <c r="CN154" t="e">
        <f>AND(Sheet1!E2067,"AAAAAHc8els=")</f>
        <v>#VALUE!</v>
      </c>
      <c r="CO154" t="e">
        <f>AND(Sheet1!F2067,"AAAAAHc8elw=")</f>
        <v>#VALUE!</v>
      </c>
      <c r="CP154" t="e">
        <f>AND(Sheet1!G2067,"AAAAAHc8el0=")</f>
        <v>#VALUE!</v>
      </c>
      <c r="CQ154" t="e">
        <f>AND(Sheet1!H2067,"AAAAAHc8el4=")</f>
        <v>#VALUE!</v>
      </c>
      <c r="CR154" t="e">
        <f>AND(Sheet1!I2067,"AAAAAHc8el8=")</f>
        <v>#VALUE!</v>
      </c>
      <c r="CS154" t="e">
        <f>AND(Sheet1!J2067,"AAAAAHc8emA=")</f>
        <v>#VALUE!</v>
      </c>
      <c r="CT154" t="e">
        <f>AND(Sheet1!K2067,"AAAAAHc8emE=")</f>
        <v>#VALUE!</v>
      </c>
      <c r="CU154" t="e">
        <f>AND(Sheet1!L2067,"AAAAAHc8emI=")</f>
        <v>#VALUE!</v>
      </c>
      <c r="CV154" t="e">
        <f>AND(Sheet1!M2067,"AAAAAHc8emM=")</f>
        <v>#VALUE!</v>
      </c>
      <c r="CW154" t="e">
        <f>AND(Sheet1!N2067,"AAAAAHc8emQ=")</f>
        <v>#VALUE!</v>
      </c>
      <c r="CX154" t="e">
        <f>AND(Sheet1!#REF!,"AAAAAHc8emU=")</f>
        <v>#REF!</v>
      </c>
      <c r="CY154" t="e">
        <f>AND(Sheet1!#REF!,"AAAAAHc8emY=")</f>
        <v>#REF!</v>
      </c>
      <c r="CZ154" t="e">
        <f>AND(Sheet1!#REF!,"AAAAAHc8emc=")</f>
        <v>#REF!</v>
      </c>
      <c r="DA154" t="e">
        <f>AND(Sheet1!#REF!,"AAAAAHc8emg=")</f>
        <v>#REF!</v>
      </c>
      <c r="DB154">
        <f>IF(Sheet1!2068:2068,"AAAAAHc8emk=",0)</f>
        <v>0</v>
      </c>
      <c r="DC154" t="e">
        <f>AND(Sheet1!A2068,"AAAAAHc8emo=")</f>
        <v>#VALUE!</v>
      </c>
      <c r="DD154" t="e">
        <f>AND(Sheet1!B2068,"AAAAAHc8ems=")</f>
        <v>#VALUE!</v>
      </c>
      <c r="DE154" t="e">
        <f>AND(Sheet1!C2068,"AAAAAHc8emw=")</f>
        <v>#VALUE!</v>
      </c>
      <c r="DF154" t="e">
        <f>AND(Sheet1!D2068,"AAAAAHc8em0=")</f>
        <v>#VALUE!</v>
      </c>
      <c r="DG154" t="e">
        <f>AND(Sheet1!E2068,"AAAAAHc8em4=")</f>
        <v>#VALUE!</v>
      </c>
      <c r="DH154" t="e">
        <f>AND(Sheet1!F2068,"AAAAAHc8em8=")</f>
        <v>#VALUE!</v>
      </c>
      <c r="DI154" t="e">
        <f>AND(Sheet1!G2068,"AAAAAHc8enA=")</f>
        <v>#VALUE!</v>
      </c>
      <c r="DJ154" t="e">
        <f>AND(Sheet1!H2068,"AAAAAHc8enE=")</f>
        <v>#VALUE!</v>
      </c>
      <c r="DK154" t="e">
        <f>AND(Sheet1!I2068,"AAAAAHc8enI=")</f>
        <v>#VALUE!</v>
      </c>
      <c r="DL154" t="e">
        <f>AND(Sheet1!J2068,"AAAAAHc8enM=")</f>
        <v>#VALUE!</v>
      </c>
      <c r="DM154" t="e">
        <f>AND(Sheet1!K2068,"AAAAAHc8enQ=")</f>
        <v>#VALUE!</v>
      </c>
      <c r="DN154" t="e">
        <f>AND(Sheet1!L2068,"AAAAAHc8enU=")</f>
        <v>#VALUE!</v>
      </c>
      <c r="DO154" t="e">
        <f>AND(Sheet1!M2068,"AAAAAHc8enY=")</f>
        <v>#VALUE!</v>
      </c>
      <c r="DP154" t="e">
        <f>AND(Sheet1!N2068,"AAAAAHc8enc=")</f>
        <v>#VALUE!</v>
      </c>
      <c r="DQ154" t="e">
        <f>AND(Sheet1!#REF!,"AAAAAHc8eng=")</f>
        <v>#REF!</v>
      </c>
      <c r="DR154" t="e">
        <f>AND(Sheet1!#REF!,"AAAAAHc8enk=")</f>
        <v>#REF!</v>
      </c>
      <c r="DS154" t="e">
        <f>AND(Sheet1!#REF!,"AAAAAHc8eno=")</f>
        <v>#REF!</v>
      </c>
      <c r="DT154" t="e">
        <f>AND(Sheet1!#REF!,"AAAAAHc8ens=")</f>
        <v>#REF!</v>
      </c>
      <c r="DU154">
        <f>IF(Sheet1!2069:2069,"AAAAAHc8enw=",0)</f>
        <v>0</v>
      </c>
      <c r="DV154" t="e">
        <f>AND(Sheet1!A2069,"AAAAAHc8en0=")</f>
        <v>#VALUE!</v>
      </c>
      <c r="DW154" t="e">
        <f>AND(Sheet1!B2069,"AAAAAHc8en4=")</f>
        <v>#VALUE!</v>
      </c>
      <c r="DX154" t="e">
        <f>AND(Sheet1!C2069,"AAAAAHc8en8=")</f>
        <v>#VALUE!</v>
      </c>
      <c r="DY154" t="e">
        <f>AND(Sheet1!D2069,"AAAAAHc8eoA=")</f>
        <v>#VALUE!</v>
      </c>
      <c r="DZ154" t="e">
        <f>AND(Sheet1!E2069,"AAAAAHc8eoE=")</f>
        <v>#VALUE!</v>
      </c>
      <c r="EA154" t="e">
        <f>AND(Sheet1!F2069,"AAAAAHc8eoI=")</f>
        <v>#VALUE!</v>
      </c>
      <c r="EB154" t="e">
        <f>AND(Sheet1!G2069,"AAAAAHc8eoM=")</f>
        <v>#VALUE!</v>
      </c>
      <c r="EC154" t="e">
        <f>AND(Sheet1!H2069,"AAAAAHc8eoQ=")</f>
        <v>#VALUE!</v>
      </c>
      <c r="ED154" t="e">
        <f>AND(Sheet1!I2069,"AAAAAHc8eoU=")</f>
        <v>#VALUE!</v>
      </c>
      <c r="EE154" t="e">
        <f>AND(Sheet1!J2069,"AAAAAHc8eoY=")</f>
        <v>#VALUE!</v>
      </c>
      <c r="EF154" t="e">
        <f>AND(Sheet1!K2069,"AAAAAHc8eoc=")</f>
        <v>#VALUE!</v>
      </c>
      <c r="EG154" t="e">
        <f>AND(Sheet1!L2069,"AAAAAHc8eog=")</f>
        <v>#VALUE!</v>
      </c>
      <c r="EH154" t="e">
        <f>AND(Sheet1!M2069,"AAAAAHc8eok=")</f>
        <v>#VALUE!</v>
      </c>
      <c r="EI154" t="e">
        <f>AND(Sheet1!N2069,"AAAAAHc8eoo=")</f>
        <v>#VALUE!</v>
      </c>
      <c r="EJ154" t="e">
        <f>AND(Sheet1!#REF!,"AAAAAHc8eos=")</f>
        <v>#REF!</v>
      </c>
      <c r="EK154" t="e">
        <f>AND(Sheet1!#REF!,"AAAAAHc8eow=")</f>
        <v>#REF!</v>
      </c>
      <c r="EL154" t="e">
        <f>AND(Sheet1!#REF!,"AAAAAHc8eo0=")</f>
        <v>#REF!</v>
      </c>
      <c r="EM154" t="e">
        <f>AND(Sheet1!#REF!,"AAAAAHc8eo4=")</f>
        <v>#REF!</v>
      </c>
      <c r="EN154">
        <f>IF(Sheet1!2070:2070,"AAAAAHc8eo8=",0)</f>
        <v>0</v>
      </c>
      <c r="EO154" t="e">
        <f>AND(Sheet1!A2070,"AAAAAHc8epA=")</f>
        <v>#VALUE!</v>
      </c>
      <c r="EP154" t="e">
        <f>AND(Sheet1!B2070,"AAAAAHc8epE=")</f>
        <v>#VALUE!</v>
      </c>
      <c r="EQ154" t="e">
        <f>AND(Sheet1!C2070,"AAAAAHc8epI=")</f>
        <v>#VALUE!</v>
      </c>
      <c r="ER154" t="e">
        <f>AND(Sheet1!D2070,"AAAAAHc8epM=")</f>
        <v>#VALUE!</v>
      </c>
      <c r="ES154" t="e">
        <f>AND(Sheet1!E2070,"AAAAAHc8epQ=")</f>
        <v>#VALUE!</v>
      </c>
      <c r="ET154" t="e">
        <f>AND(Sheet1!F2070,"AAAAAHc8epU=")</f>
        <v>#VALUE!</v>
      </c>
      <c r="EU154" t="e">
        <f>AND(Sheet1!G2070,"AAAAAHc8epY=")</f>
        <v>#VALUE!</v>
      </c>
      <c r="EV154" t="e">
        <f>AND(Sheet1!H2070,"AAAAAHc8epc=")</f>
        <v>#VALUE!</v>
      </c>
      <c r="EW154" t="e">
        <f>AND(Sheet1!I2070,"AAAAAHc8epg=")</f>
        <v>#VALUE!</v>
      </c>
      <c r="EX154" t="e">
        <f>AND(Sheet1!J2070,"AAAAAHc8epk=")</f>
        <v>#VALUE!</v>
      </c>
      <c r="EY154" t="e">
        <f>AND(Sheet1!K2070,"AAAAAHc8epo=")</f>
        <v>#VALUE!</v>
      </c>
      <c r="EZ154" t="e">
        <f>AND(Sheet1!L2070,"AAAAAHc8eps=")</f>
        <v>#VALUE!</v>
      </c>
      <c r="FA154" t="e">
        <f>AND(Sheet1!M2070,"AAAAAHc8epw=")</f>
        <v>#VALUE!</v>
      </c>
      <c r="FB154" t="e">
        <f>AND(Sheet1!N2070,"AAAAAHc8ep0=")</f>
        <v>#VALUE!</v>
      </c>
      <c r="FC154" t="e">
        <f>AND(Sheet1!#REF!,"AAAAAHc8ep4=")</f>
        <v>#REF!</v>
      </c>
      <c r="FD154" t="e">
        <f>AND(Sheet1!#REF!,"AAAAAHc8ep8=")</f>
        <v>#REF!</v>
      </c>
      <c r="FE154" t="e">
        <f>AND(Sheet1!#REF!,"AAAAAHc8eqA=")</f>
        <v>#REF!</v>
      </c>
      <c r="FF154" t="e">
        <f>AND(Sheet1!#REF!,"AAAAAHc8eqE=")</f>
        <v>#REF!</v>
      </c>
      <c r="FG154">
        <f>IF(Sheet1!2071:2071,"AAAAAHc8eqI=",0)</f>
        <v>0</v>
      </c>
      <c r="FH154" t="e">
        <f>AND(Sheet1!A2071,"AAAAAHc8eqM=")</f>
        <v>#VALUE!</v>
      </c>
      <c r="FI154" t="e">
        <f>AND(Sheet1!B2071,"AAAAAHc8eqQ=")</f>
        <v>#VALUE!</v>
      </c>
      <c r="FJ154" t="e">
        <f>AND(Sheet1!C2071,"AAAAAHc8eqU=")</f>
        <v>#VALUE!</v>
      </c>
      <c r="FK154" t="e">
        <f>AND(Sheet1!D2071,"AAAAAHc8eqY=")</f>
        <v>#VALUE!</v>
      </c>
      <c r="FL154" t="e">
        <f>AND(Sheet1!E2071,"AAAAAHc8eqc=")</f>
        <v>#VALUE!</v>
      </c>
      <c r="FM154" t="e">
        <f>AND(Sheet1!F2071,"AAAAAHc8eqg=")</f>
        <v>#VALUE!</v>
      </c>
      <c r="FN154" t="e">
        <f>AND(Sheet1!G2071,"AAAAAHc8eqk=")</f>
        <v>#VALUE!</v>
      </c>
      <c r="FO154" t="e">
        <f>AND(Sheet1!H2071,"AAAAAHc8eqo=")</f>
        <v>#VALUE!</v>
      </c>
      <c r="FP154" t="e">
        <f>AND(Sheet1!I2071,"AAAAAHc8eqs=")</f>
        <v>#VALUE!</v>
      </c>
      <c r="FQ154" t="e">
        <f>AND(Sheet1!J2071,"AAAAAHc8eqw=")</f>
        <v>#VALUE!</v>
      </c>
      <c r="FR154" t="e">
        <f>AND(Sheet1!K2071,"AAAAAHc8eq0=")</f>
        <v>#VALUE!</v>
      </c>
      <c r="FS154" t="e">
        <f>AND(Sheet1!L2071,"AAAAAHc8eq4=")</f>
        <v>#VALUE!</v>
      </c>
      <c r="FT154" t="e">
        <f>AND(Sheet1!M2071,"AAAAAHc8eq8=")</f>
        <v>#VALUE!</v>
      </c>
      <c r="FU154" t="e">
        <f>AND(Sheet1!N2071,"AAAAAHc8erA=")</f>
        <v>#VALUE!</v>
      </c>
      <c r="FV154" t="e">
        <f>AND(Sheet1!#REF!,"AAAAAHc8erE=")</f>
        <v>#REF!</v>
      </c>
      <c r="FW154" t="e">
        <f>AND(Sheet1!#REF!,"AAAAAHc8erI=")</f>
        <v>#REF!</v>
      </c>
      <c r="FX154" t="e">
        <f>AND(Sheet1!#REF!,"AAAAAHc8erM=")</f>
        <v>#REF!</v>
      </c>
      <c r="FY154" t="e">
        <f>AND(Sheet1!#REF!,"AAAAAHc8erQ=")</f>
        <v>#REF!</v>
      </c>
      <c r="FZ154">
        <f>IF(Sheet1!2072:2072,"AAAAAHc8erU=",0)</f>
        <v>0</v>
      </c>
      <c r="GA154" t="e">
        <f>AND(Sheet1!A2072,"AAAAAHc8erY=")</f>
        <v>#VALUE!</v>
      </c>
      <c r="GB154" t="e">
        <f>AND(Sheet1!B2072,"AAAAAHc8erc=")</f>
        <v>#VALUE!</v>
      </c>
      <c r="GC154" t="e">
        <f>AND(Sheet1!C2072,"AAAAAHc8erg=")</f>
        <v>#VALUE!</v>
      </c>
      <c r="GD154" t="e">
        <f>AND(Sheet1!D2072,"AAAAAHc8erk=")</f>
        <v>#VALUE!</v>
      </c>
      <c r="GE154" t="e">
        <f>AND(Sheet1!E2072,"AAAAAHc8ero=")</f>
        <v>#VALUE!</v>
      </c>
      <c r="GF154" t="e">
        <f>AND(Sheet1!F2072,"AAAAAHc8ers=")</f>
        <v>#VALUE!</v>
      </c>
      <c r="GG154" t="e">
        <f>AND(Sheet1!G2072,"AAAAAHc8erw=")</f>
        <v>#VALUE!</v>
      </c>
      <c r="GH154" t="e">
        <f>AND(Sheet1!H2072,"AAAAAHc8er0=")</f>
        <v>#VALUE!</v>
      </c>
      <c r="GI154" t="e">
        <f>AND(Sheet1!I2072,"AAAAAHc8er4=")</f>
        <v>#VALUE!</v>
      </c>
      <c r="GJ154" t="e">
        <f>AND(Sheet1!J2072,"AAAAAHc8er8=")</f>
        <v>#VALUE!</v>
      </c>
      <c r="GK154" t="e">
        <f>AND(Sheet1!K2072,"AAAAAHc8esA=")</f>
        <v>#VALUE!</v>
      </c>
      <c r="GL154" t="e">
        <f>AND(Sheet1!L2072,"AAAAAHc8esE=")</f>
        <v>#VALUE!</v>
      </c>
      <c r="GM154" t="e">
        <f>AND(Sheet1!M2072,"AAAAAHc8esI=")</f>
        <v>#VALUE!</v>
      </c>
      <c r="GN154" t="e">
        <f>AND(Sheet1!N2072,"AAAAAHc8esM=")</f>
        <v>#VALUE!</v>
      </c>
      <c r="GO154" t="e">
        <f>AND(Sheet1!#REF!,"AAAAAHc8esQ=")</f>
        <v>#REF!</v>
      </c>
      <c r="GP154" t="e">
        <f>AND(Sheet1!#REF!,"AAAAAHc8esU=")</f>
        <v>#REF!</v>
      </c>
      <c r="GQ154" t="e">
        <f>AND(Sheet1!#REF!,"AAAAAHc8esY=")</f>
        <v>#REF!</v>
      </c>
      <c r="GR154" t="e">
        <f>AND(Sheet1!#REF!,"AAAAAHc8esc=")</f>
        <v>#REF!</v>
      </c>
      <c r="GS154">
        <f>IF(Sheet1!2073:2073,"AAAAAHc8esg=",0)</f>
        <v>0</v>
      </c>
      <c r="GT154" t="e">
        <f>AND(Sheet1!A2073,"AAAAAHc8esk=")</f>
        <v>#VALUE!</v>
      </c>
      <c r="GU154" t="e">
        <f>AND(Sheet1!B2073,"AAAAAHc8eso=")</f>
        <v>#VALUE!</v>
      </c>
      <c r="GV154" t="e">
        <f>AND(Sheet1!C2073,"AAAAAHc8ess=")</f>
        <v>#VALUE!</v>
      </c>
      <c r="GW154" t="e">
        <f>AND(Sheet1!D2073,"AAAAAHc8esw=")</f>
        <v>#VALUE!</v>
      </c>
      <c r="GX154" t="e">
        <f>AND(Sheet1!E2073,"AAAAAHc8es0=")</f>
        <v>#VALUE!</v>
      </c>
      <c r="GY154" t="e">
        <f>AND(Sheet1!F2073,"AAAAAHc8es4=")</f>
        <v>#VALUE!</v>
      </c>
      <c r="GZ154" t="e">
        <f>AND(Sheet1!G2073,"AAAAAHc8es8=")</f>
        <v>#VALUE!</v>
      </c>
      <c r="HA154" t="e">
        <f>AND(Sheet1!H2073,"AAAAAHc8etA=")</f>
        <v>#VALUE!</v>
      </c>
      <c r="HB154" t="e">
        <f>AND(Sheet1!I2073,"AAAAAHc8etE=")</f>
        <v>#VALUE!</v>
      </c>
      <c r="HC154" t="e">
        <f>AND(Sheet1!J2073,"AAAAAHc8etI=")</f>
        <v>#VALUE!</v>
      </c>
      <c r="HD154" t="e">
        <f>AND(Sheet1!K2073,"AAAAAHc8etM=")</f>
        <v>#VALUE!</v>
      </c>
      <c r="HE154" t="e">
        <f>AND(Sheet1!L2073,"AAAAAHc8etQ=")</f>
        <v>#VALUE!</v>
      </c>
      <c r="HF154" t="e">
        <f>AND(Sheet1!M2073,"AAAAAHc8etU=")</f>
        <v>#VALUE!</v>
      </c>
      <c r="HG154" t="e">
        <f>AND(Sheet1!N2073,"AAAAAHc8etY=")</f>
        <v>#VALUE!</v>
      </c>
      <c r="HH154" t="e">
        <f>AND(Sheet1!#REF!,"AAAAAHc8etc=")</f>
        <v>#REF!</v>
      </c>
      <c r="HI154" t="e">
        <f>AND(Sheet1!#REF!,"AAAAAHc8etg=")</f>
        <v>#REF!</v>
      </c>
      <c r="HJ154" t="e">
        <f>AND(Sheet1!#REF!,"AAAAAHc8etk=")</f>
        <v>#REF!</v>
      </c>
      <c r="HK154" t="e">
        <f>AND(Sheet1!#REF!,"AAAAAHc8eto=")</f>
        <v>#REF!</v>
      </c>
      <c r="HL154">
        <f>IF(Sheet1!2074:2074,"AAAAAHc8ets=",0)</f>
        <v>0</v>
      </c>
      <c r="HM154" t="e">
        <f>AND(Sheet1!A2074,"AAAAAHc8etw=")</f>
        <v>#VALUE!</v>
      </c>
      <c r="HN154" t="e">
        <f>AND(Sheet1!B2074,"AAAAAHc8et0=")</f>
        <v>#VALUE!</v>
      </c>
      <c r="HO154" t="e">
        <f>AND(Sheet1!C2074,"AAAAAHc8et4=")</f>
        <v>#VALUE!</v>
      </c>
      <c r="HP154" t="e">
        <f>AND(Sheet1!D2074,"AAAAAHc8et8=")</f>
        <v>#VALUE!</v>
      </c>
      <c r="HQ154" t="e">
        <f>AND(Sheet1!E2074,"AAAAAHc8euA=")</f>
        <v>#VALUE!</v>
      </c>
      <c r="HR154" t="e">
        <f>AND(Sheet1!F2074,"AAAAAHc8euE=")</f>
        <v>#VALUE!</v>
      </c>
      <c r="HS154" t="e">
        <f>AND(Sheet1!G2074,"AAAAAHc8euI=")</f>
        <v>#VALUE!</v>
      </c>
      <c r="HT154" t="e">
        <f>AND(Sheet1!H2074,"AAAAAHc8euM=")</f>
        <v>#VALUE!</v>
      </c>
      <c r="HU154" t="e">
        <f>AND(Sheet1!I2074,"AAAAAHc8euQ=")</f>
        <v>#VALUE!</v>
      </c>
      <c r="HV154" t="e">
        <f>AND(Sheet1!J2074,"AAAAAHc8euU=")</f>
        <v>#VALUE!</v>
      </c>
      <c r="HW154" t="e">
        <f>AND(Sheet1!K2074,"AAAAAHc8euY=")</f>
        <v>#VALUE!</v>
      </c>
      <c r="HX154" t="e">
        <f>AND(Sheet1!L2074,"AAAAAHc8euc=")</f>
        <v>#VALUE!</v>
      </c>
      <c r="HY154" t="e">
        <f>AND(Sheet1!M2074,"AAAAAHc8eug=")</f>
        <v>#VALUE!</v>
      </c>
      <c r="HZ154" t="e">
        <f>AND(Sheet1!N2074,"AAAAAHc8euk=")</f>
        <v>#VALUE!</v>
      </c>
      <c r="IA154" t="e">
        <f>AND(Sheet1!#REF!,"AAAAAHc8euo=")</f>
        <v>#REF!</v>
      </c>
      <c r="IB154" t="e">
        <f>AND(Sheet1!#REF!,"AAAAAHc8eus=")</f>
        <v>#REF!</v>
      </c>
      <c r="IC154" t="e">
        <f>AND(Sheet1!#REF!,"AAAAAHc8euw=")</f>
        <v>#REF!</v>
      </c>
      <c r="ID154" t="e">
        <f>AND(Sheet1!#REF!,"AAAAAHc8eu0=")</f>
        <v>#REF!</v>
      </c>
      <c r="IE154">
        <f>IF(Sheet1!2075:2075,"AAAAAHc8eu4=",0)</f>
        <v>0</v>
      </c>
      <c r="IF154" t="e">
        <f>AND(Sheet1!A2075,"AAAAAHc8eu8=")</f>
        <v>#VALUE!</v>
      </c>
      <c r="IG154" t="e">
        <f>AND(Sheet1!B2075,"AAAAAHc8evA=")</f>
        <v>#VALUE!</v>
      </c>
      <c r="IH154" t="e">
        <f>AND(Sheet1!C2075,"AAAAAHc8evE=")</f>
        <v>#VALUE!</v>
      </c>
      <c r="II154" t="e">
        <f>AND(Sheet1!D2075,"AAAAAHc8evI=")</f>
        <v>#VALUE!</v>
      </c>
      <c r="IJ154" t="e">
        <f>AND(Sheet1!E2075,"AAAAAHc8evM=")</f>
        <v>#VALUE!</v>
      </c>
      <c r="IK154" t="e">
        <f>AND(Sheet1!F2075,"AAAAAHc8evQ=")</f>
        <v>#VALUE!</v>
      </c>
      <c r="IL154" t="e">
        <f>AND(Sheet1!G2075,"AAAAAHc8evU=")</f>
        <v>#VALUE!</v>
      </c>
      <c r="IM154" t="e">
        <f>AND(Sheet1!H2075,"AAAAAHc8evY=")</f>
        <v>#VALUE!</v>
      </c>
      <c r="IN154" t="e">
        <f>AND(Sheet1!I2075,"AAAAAHc8evc=")</f>
        <v>#VALUE!</v>
      </c>
      <c r="IO154" t="e">
        <f>AND(Sheet1!J2075,"AAAAAHc8evg=")</f>
        <v>#VALUE!</v>
      </c>
      <c r="IP154" t="e">
        <f>AND(Sheet1!K2075,"AAAAAHc8evk=")</f>
        <v>#VALUE!</v>
      </c>
      <c r="IQ154" t="e">
        <f>AND(Sheet1!L2075,"AAAAAHc8evo=")</f>
        <v>#VALUE!</v>
      </c>
      <c r="IR154" t="e">
        <f>AND(Sheet1!M2075,"AAAAAHc8evs=")</f>
        <v>#VALUE!</v>
      </c>
      <c r="IS154" t="e">
        <f>AND(Sheet1!N2075,"AAAAAHc8evw=")</f>
        <v>#VALUE!</v>
      </c>
      <c r="IT154" t="e">
        <f>AND(Sheet1!#REF!,"AAAAAHc8ev0=")</f>
        <v>#REF!</v>
      </c>
      <c r="IU154" t="e">
        <f>AND(Sheet1!#REF!,"AAAAAHc8ev4=")</f>
        <v>#REF!</v>
      </c>
      <c r="IV154" t="e">
        <f>AND(Sheet1!#REF!,"AAAAAHc8ev8=")</f>
        <v>#REF!</v>
      </c>
    </row>
    <row r="155" spans="1:256" x14ac:dyDescent="0.2">
      <c r="A155" t="e">
        <f>AND(Sheet1!#REF!,"AAAAAB71+QA=")</f>
        <v>#REF!</v>
      </c>
      <c r="B155" t="e">
        <f>IF(Sheet1!2076:2076,"AAAAAB71+QE=",0)</f>
        <v>#VALUE!</v>
      </c>
      <c r="C155" t="e">
        <f>AND(Sheet1!A2076,"AAAAAB71+QI=")</f>
        <v>#VALUE!</v>
      </c>
      <c r="D155" t="e">
        <f>AND(Sheet1!B2076,"AAAAAB71+QM=")</f>
        <v>#VALUE!</v>
      </c>
      <c r="E155" t="e">
        <f>AND(Sheet1!C2076,"AAAAAB71+QQ=")</f>
        <v>#VALUE!</v>
      </c>
      <c r="F155" t="e">
        <f>AND(Sheet1!D2076,"AAAAAB71+QU=")</f>
        <v>#VALUE!</v>
      </c>
      <c r="G155" t="e">
        <f>AND(Sheet1!E2076,"AAAAAB71+QY=")</f>
        <v>#VALUE!</v>
      </c>
      <c r="H155" t="e">
        <f>AND(Sheet1!F2076,"AAAAAB71+Qc=")</f>
        <v>#VALUE!</v>
      </c>
      <c r="I155" t="e">
        <f>AND(Sheet1!G2076,"AAAAAB71+Qg=")</f>
        <v>#VALUE!</v>
      </c>
      <c r="J155" t="e">
        <f>AND(Sheet1!H2076,"AAAAAB71+Qk=")</f>
        <v>#VALUE!</v>
      </c>
      <c r="K155" t="e">
        <f>AND(Sheet1!I2076,"AAAAAB71+Qo=")</f>
        <v>#VALUE!</v>
      </c>
      <c r="L155" t="e">
        <f>AND(Sheet1!J2076,"AAAAAB71+Qs=")</f>
        <v>#VALUE!</v>
      </c>
      <c r="M155" t="e">
        <f>AND(Sheet1!K2076,"AAAAAB71+Qw=")</f>
        <v>#VALUE!</v>
      </c>
      <c r="N155" t="e">
        <f>AND(Sheet1!L2076,"AAAAAB71+Q0=")</f>
        <v>#VALUE!</v>
      </c>
      <c r="O155" t="e">
        <f>AND(Sheet1!M2076,"AAAAAB71+Q4=")</f>
        <v>#VALUE!</v>
      </c>
      <c r="P155" t="e">
        <f>AND(Sheet1!N2076,"AAAAAB71+Q8=")</f>
        <v>#VALUE!</v>
      </c>
      <c r="Q155" t="e">
        <f>AND(Sheet1!#REF!,"AAAAAB71+RA=")</f>
        <v>#REF!</v>
      </c>
      <c r="R155" t="e">
        <f>AND(Sheet1!#REF!,"AAAAAB71+RE=")</f>
        <v>#REF!</v>
      </c>
      <c r="S155" t="e">
        <f>AND(Sheet1!#REF!,"AAAAAB71+RI=")</f>
        <v>#REF!</v>
      </c>
      <c r="T155" t="e">
        <f>AND(Sheet1!#REF!,"AAAAAB71+RM=")</f>
        <v>#REF!</v>
      </c>
      <c r="U155">
        <f>IF(Sheet1!2077:2077,"AAAAAB71+RQ=",0)</f>
        <v>0</v>
      </c>
      <c r="V155" t="e">
        <f>AND(Sheet1!A2077,"AAAAAB71+RU=")</f>
        <v>#VALUE!</v>
      </c>
      <c r="W155" t="e">
        <f>AND(Sheet1!B2077,"AAAAAB71+RY=")</f>
        <v>#VALUE!</v>
      </c>
      <c r="X155" t="e">
        <f>AND(Sheet1!C2077,"AAAAAB71+Rc=")</f>
        <v>#VALUE!</v>
      </c>
      <c r="Y155" t="e">
        <f>AND(Sheet1!D2077,"AAAAAB71+Rg=")</f>
        <v>#VALUE!</v>
      </c>
      <c r="Z155" t="e">
        <f>AND(Sheet1!E2077,"AAAAAB71+Rk=")</f>
        <v>#VALUE!</v>
      </c>
      <c r="AA155" t="e">
        <f>AND(Sheet1!F2077,"AAAAAB71+Ro=")</f>
        <v>#VALUE!</v>
      </c>
      <c r="AB155" t="e">
        <f>AND(Sheet1!G2077,"AAAAAB71+Rs=")</f>
        <v>#VALUE!</v>
      </c>
      <c r="AC155" t="e">
        <f>AND(Sheet1!H2077,"AAAAAB71+Rw=")</f>
        <v>#VALUE!</v>
      </c>
      <c r="AD155" t="e">
        <f>AND(Sheet1!I2077,"AAAAAB71+R0=")</f>
        <v>#VALUE!</v>
      </c>
      <c r="AE155" t="e">
        <f>AND(Sheet1!J2077,"AAAAAB71+R4=")</f>
        <v>#VALUE!</v>
      </c>
      <c r="AF155" t="e">
        <f>AND(Sheet1!K2077,"AAAAAB71+R8=")</f>
        <v>#VALUE!</v>
      </c>
      <c r="AG155" t="e">
        <f>AND(Sheet1!L2077,"AAAAAB71+SA=")</f>
        <v>#VALUE!</v>
      </c>
      <c r="AH155" t="e">
        <f>AND(Sheet1!M2077,"AAAAAB71+SE=")</f>
        <v>#VALUE!</v>
      </c>
      <c r="AI155" t="e">
        <f>AND(Sheet1!N2077,"AAAAAB71+SI=")</f>
        <v>#VALUE!</v>
      </c>
      <c r="AJ155" t="e">
        <f>AND(Sheet1!#REF!,"AAAAAB71+SM=")</f>
        <v>#REF!</v>
      </c>
      <c r="AK155" t="e">
        <f>AND(Sheet1!#REF!,"AAAAAB71+SQ=")</f>
        <v>#REF!</v>
      </c>
      <c r="AL155" t="e">
        <f>AND(Sheet1!#REF!,"AAAAAB71+SU=")</f>
        <v>#REF!</v>
      </c>
      <c r="AM155" t="e">
        <f>AND(Sheet1!#REF!,"AAAAAB71+SY=")</f>
        <v>#REF!</v>
      </c>
      <c r="AN155">
        <f>IF(Sheet1!2078:2078,"AAAAAB71+Sc=",0)</f>
        <v>0</v>
      </c>
      <c r="AO155" t="e">
        <f>AND(Sheet1!A2078,"AAAAAB71+Sg=")</f>
        <v>#VALUE!</v>
      </c>
      <c r="AP155" t="e">
        <f>AND(Sheet1!B2078,"AAAAAB71+Sk=")</f>
        <v>#VALUE!</v>
      </c>
      <c r="AQ155" t="e">
        <f>AND(Sheet1!C2078,"AAAAAB71+So=")</f>
        <v>#VALUE!</v>
      </c>
      <c r="AR155" t="e">
        <f>AND(Sheet1!D2078,"AAAAAB71+Ss=")</f>
        <v>#VALUE!</v>
      </c>
      <c r="AS155" t="e">
        <f>AND(Sheet1!E2078,"AAAAAB71+Sw=")</f>
        <v>#VALUE!</v>
      </c>
      <c r="AT155" t="e">
        <f>AND(Sheet1!F2078,"AAAAAB71+S0=")</f>
        <v>#VALUE!</v>
      </c>
      <c r="AU155" t="e">
        <f>AND(Sheet1!G2078,"AAAAAB71+S4=")</f>
        <v>#VALUE!</v>
      </c>
      <c r="AV155" t="e">
        <f>AND(Sheet1!H2078,"AAAAAB71+S8=")</f>
        <v>#VALUE!</v>
      </c>
      <c r="AW155" t="e">
        <f>AND(Sheet1!I2078,"AAAAAB71+TA=")</f>
        <v>#VALUE!</v>
      </c>
      <c r="AX155" t="e">
        <f>AND(Sheet1!J2078,"AAAAAB71+TE=")</f>
        <v>#VALUE!</v>
      </c>
      <c r="AY155" t="e">
        <f>AND(Sheet1!K2078,"AAAAAB71+TI=")</f>
        <v>#VALUE!</v>
      </c>
      <c r="AZ155" t="e">
        <f>AND(Sheet1!L2078,"AAAAAB71+TM=")</f>
        <v>#VALUE!</v>
      </c>
      <c r="BA155" t="e">
        <f>AND(Sheet1!M2078,"AAAAAB71+TQ=")</f>
        <v>#VALUE!</v>
      </c>
      <c r="BB155" t="e">
        <f>AND(Sheet1!N2078,"AAAAAB71+TU=")</f>
        <v>#VALUE!</v>
      </c>
      <c r="BC155" t="e">
        <f>AND(Sheet1!#REF!,"AAAAAB71+TY=")</f>
        <v>#REF!</v>
      </c>
      <c r="BD155" t="e">
        <f>AND(Sheet1!#REF!,"AAAAAB71+Tc=")</f>
        <v>#REF!</v>
      </c>
      <c r="BE155" t="e">
        <f>AND(Sheet1!#REF!,"AAAAAB71+Tg=")</f>
        <v>#REF!</v>
      </c>
      <c r="BF155" t="e">
        <f>AND(Sheet1!#REF!,"AAAAAB71+Tk=")</f>
        <v>#REF!</v>
      </c>
      <c r="BG155">
        <f>IF(Sheet1!2079:2079,"AAAAAB71+To=",0)</f>
        <v>0</v>
      </c>
      <c r="BH155" t="e">
        <f>AND(Sheet1!A2079,"AAAAAB71+Ts=")</f>
        <v>#VALUE!</v>
      </c>
      <c r="BI155" t="e">
        <f>AND(Sheet1!B2079,"AAAAAB71+Tw=")</f>
        <v>#VALUE!</v>
      </c>
      <c r="BJ155" t="e">
        <f>AND(Sheet1!C2079,"AAAAAB71+T0=")</f>
        <v>#VALUE!</v>
      </c>
      <c r="BK155" t="e">
        <f>AND(Sheet1!D2079,"AAAAAB71+T4=")</f>
        <v>#VALUE!</v>
      </c>
      <c r="BL155" t="e">
        <f>AND(Sheet1!E2079,"AAAAAB71+T8=")</f>
        <v>#VALUE!</v>
      </c>
      <c r="BM155" t="e">
        <f>AND(Sheet1!F2079,"AAAAAB71+UA=")</f>
        <v>#VALUE!</v>
      </c>
      <c r="BN155" t="e">
        <f>AND(Sheet1!G2079,"AAAAAB71+UE=")</f>
        <v>#VALUE!</v>
      </c>
      <c r="BO155" t="e">
        <f>AND(Sheet1!H2079,"AAAAAB71+UI=")</f>
        <v>#VALUE!</v>
      </c>
      <c r="BP155" t="e">
        <f>AND(Sheet1!I2079,"AAAAAB71+UM=")</f>
        <v>#VALUE!</v>
      </c>
      <c r="BQ155" t="e">
        <f>AND(Sheet1!J2079,"AAAAAB71+UQ=")</f>
        <v>#VALUE!</v>
      </c>
      <c r="BR155" t="e">
        <f>AND(Sheet1!K2079,"AAAAAB71+UU=")</f>
        <v>#VALUE!</v>
      </c>
      <c r="BS155" t="e">
        <f>AND(Sheet1!L2079,"AAAAAB71+UY=")</f>
        <v>#VALUE!</v>
      </c>
      <c r="BT155" t="e">
        <f>AND(Sheet1!M2079,"AAAAAB71+Uc=")</f>
        <v>#VALUE!</v>
      </c>
      <c r="BU155" t="e">
        <f>AND(Sheet1!N2079,"AAAAAB71+Ug=")</f>
        <v>#VALUE!</v>
      </c>
      <c r="BV155" t="e">
        <f>AND(Sheet1!#REF!,"AAAAAB71+Uk=")</f>
        <v>#REF!</v>
      </c>
      <c r="BW155" t="e">
        <f>AND(Sheet1!#REF!,"AAAAAB71+Uo=")</f>
        <v>#REF!</v>
      </c>
      <c r="BX155" t="e">
        <f>AND(Sheet1!#REF!,"AAAAAB71+Us=")</f>
        <v>#REF!</v>
      </c>
      <c r="BY155" t="e">
        <f>AND(Sheet1!#REF!,"AAAAAB71+Uw=")</f>
        <v>#REF!</v>
      </c>
      <c r="BZ155">
        <f>IF(Sheet1!2080:2080,"AAAAAB71+U0=",0)</f>
        <v>0</v>
      </c>
      <c r="CA155" t="e">
        <f>AND(Sheet1!A2080,"AAAAAB71+U4=")</f>
        <v>#VALUE!</v>
      </c>
      <c r="CB155" t="e">
        <f>AND(Sheet1!B2080,"AAAAAB71+U8=")</f>
        <v>#VALUE!</v>
      </c>
      <c r="CC155" t="e">
        <f>AND(Sheet1!C2080,"AAAAAB71+VA=")</f>
        <v>#VALUE!</v>
      </c>
      <c r="CD155" t="e">
        <f>AND(Sheet1!D2080,"AAAAAB71+VE=")</f>
        <v>#VALUE!</v>
      </c>
      <c r="CE155" t="e">
        <f>AND(Sheet1!E2080,"AAAAAB71+VI=")</f>
        <v>#VALUE!</v>
      </c>
      <c r="CF155" t="e">
        <f>AND(Sheet1!F2080,"AAAAAB71+VM=")</f>
        <v>#VALUE!</v>
      </c>
      <c r="CG155" t="e">
        <f>AND(Sheet1!G2080,"AAAAAB71+VQ=")</f>
        <v>#VALUE!</v>
      </c>
      <c r="CH155" t="e">
        <f>AND(Sheet1!H2080,"AAAAAB71+VU=")</f>
        <v>#VALUE!</v>
      </c>
      <c r="CI155" t="e">
        <f>AND(Sheet1!I2080,"AAAAAB71+VY=")</f>
        <v>#VALUE!</v>
      </c>
      <c r="CJ155" t="e">
        <f>AND(Sheet1!J2080,"AAAAAB71+Vc=")</f>
        <v>#VALUE!</v>
      </c>
      <c r="CK155" t="e">
        <f>AND(Sheet1!K2080,"AAAAAB71+Vg=")</f>
        <v>#VALUE!</v>
      </c>
      <c r="CL155" t="e">
        <f>AND(Sheet1!L2080,"AAAAAB71+Vk=")</f>
        <v>#VALUE!</v>
      </c>
      <c r="CM155" t="e">
        <f>AND(Sheet1!M2080,"AAAAAB71+Vo=")</f>
        <v>#VALUE!</v>
      </c>
      <c r="CN155" t="e">
        <f>AND(Sheet1!N2080,"AAAAAB71+Vs=")</f>
        <v>#VALUE!</v>
      </c>
      <c r="CO155" t="e">
        <f>AND(Sheet1!#REF!,"AAAAAB71+Vw=")</f>
        <v>#REF!</v>
      </c>
      <c r="CP155" t="e">
        <f>AND(Sheet1!#REF!,"AAAAAB71+V0=")</f>
        <v>#REF!</v>
      </c>
      <c r="CQ155" t="e">
        <f>AND(Sheet1!#REF!,"AAAAAB71+V4=")</f>
        <v>#REF!</v>
      </c>
      <c r="CR155" t="e">
        <f>AND(Sheet1!#REF!,"AAAAAB71+V8=")</f>
        <v>#REF!</v>
      </c>
      <c r="CS155">
        <f>IF(Sheet1!2081:2081,"AAAAAB71+WA=",0)</f>
        <v>0</v>
      </c>
      <c r="CT155" t="e">
        <f>AND(Sheet1!A2081,"AAAAAB71+WE=")</f>
        <v>#VALUE!</v>
      </c>
      <c r="CU155" t="e">
        <f>AND(Sheet1!B2081,"AAAAAB71+WI=")</f>
        <v>#VALUE!</v>
      </c>
      <c r="CV155" t="e">
        <f>AND(Sheet1!C2081,"AAAAAB71+WM=")</f>
        <v>#VALUE!</v>
      </c>
      <c r="CW155" t="e">
        <f>AND(Sheet1!D2081,"AAAAAB71+WQ=")</f>
        <v>#VALUE!</v>
      </c>
      <c r="CX155" t="e">
        <f>AND(Sheet1!E2081,"AAAAAB71+WU=")</f>
        <v>#VALUE!</v>
      </c>
      <c r="CY155" t="e">
        <f>AND(Sheet1!F2081,"AAAAAB71+WY=")</f>
        <v>#VALUE!</v>
      </c>
      <c r="CZ155" t="e">
        <f>AND(Sheet1!G2081,"AAAAAB71+Wc=")</f>
        <v>#VALUE!</v>
      </c>
      <c r="DA155" t="e">
        <f>AND(Sheet1!H2081,"AAAAAB71+Wg=")</f>
        <v>#VALUE!</v>
      </c>
      <c r="DB155" t="e">
        <f>AND(Sheet1!I2081,"AAAAAB71+Wk=")</f>
        <v>#VALUE!</v>
      </c>
      <c r="DC155" t="e">
        <f>AND(Sheet1!J2081,"AAAAAB71+Wo=")</f>
        <v>#VALUE!</v>
      </c>
      <c r="DD155" t="e">
        <f>AND(Sheet1!K2081,"AAAAAB71+Ws=")</f>
        <v>#VALUE!</v>
      </c>
      <c r="DE155" t="e">
        <f>AND(Sheet1!L2081,"AAAAAB71+Ww=")</f>
        <v>#VALUE!</v>
      </c>
      <c r="DF155" t="e">
        <f>AND(Sheet1!M2081,"AAAAAB71+W0=")</f>
        <v>#VALUE!</v>
      </c>
      <c r="DG155" t="e">
        <f>AND(Sheet1!N2081,"AAAAAB71+W4=")</f>
        <v>#VALUE!</v>
      </c>
      <c r="DH155" t="e">
        <f>AND(Sheet1!#REF!,"AAAAAB71+W8=")</f>
        <v>#REF!</v>
      </c>
      <c r="DI155" t="e">
        <f>AND(Sheet1!#REF!,"AAAAAB71+XA=")</f>
        <v>#REF!</v>
      </c>
      <c r="DJ155" t="e">
        <f>AND(Sheet1!#REF!,"AAAAAB71+XE=")</f>
        <v>#REF!</v>
      </c>
      <c r="DK155" t="e">
        <f>AND(Sheet1!#REF!,"AAAAAB71+XI=")</f>
        <v>#REF!</v>
      </c>
      <c r="DL155">
        <f>IF(Sheet1!2082:2082,"AAAAAB71+XM=",0)</f>
        <v>0</v>
      </c>
      <c r="DM155" t="e">
        <f>AND(Sheet1!A2082,"AAAAAB71+XQ=")</f>
        <v>#VALUE!</v>
      </c>
      <c r="DN155" t="e">
        <f>AND(Sheet1!B2082,"AAAAAB71+XU=")</f>
        <v>#VALUE!</v>
      </c>
      <c r="DO155" t="e">
        <f>AND(Sheet1!C2082,"AAAAAB71+XY=")</f>
        <v>#VALUE!</v>
      </c>
      <c r="DP155" t="e">
        <f>AND(Sheet1!D2082,"AAAAAB71+Xc=")</f>
        <v>#VALUE!</v>
      </c>
      <c r="DQ155" t="e">
        <f>AND(Sheet1!E2082,"AAAAAB71+Xg=")</f>
        <v>#VALUE!</v>
      </c>
      <c r="DR155" t="e">
        <f>AND(Sheet1!F2082,"AAAAAB71+Xk=")</f>
        <v>#VALUE!</v>
      </c>
      <c r="DS155" t="e">
        <f>AND(Sheet1!G2082,"AAAAAB71+Xo=")</f>
        <v>#VALUE!</v>
      </c>
      <c r="DT155" t="e">
        <f>AND(Sheet1!H2082,"AAAAAB71+Xs=")</f>
        <v>#VALUE!</v>
      </c>
      <c r="DU155" t="e">
        <f>AND(Sheet1!I2082,"AAAAAB71+Xw=")</f>
        <v>#VALUE!</v>
      </c>
      <c r="DV155" t="e">
        <f>AND(Sheet1!J2082,"AAAAAB71+X0=")</f>
        <v>#VALUE!</v>
      </c>
      <c r="DW155" t="e">
        <f>AND(Sheet1!K2082,"AAAAAB71+X4=")</f>
        <v>#VALUE!</v>
      </c>
      <c r="DX155" t="e">
        <f>AND(Sheet1!L2082,"AAAAAB71+X8=")</f>
        <v>#VALUE!</v>
      </c>
      <c r="DY155" t="e">
        <f>AND(Sheet1!M2082,"AAAAAB71+YA=")</f>
        <v>#VALUE!</v>
      </c>
      <c r="DZ155" t="e">
        <f>AND(Sheet1!N2082,"AAAAAB71+YE=")</f>
        <v>#VALUE!</v>
      </c>
      <c r="EA155" t="e">
        <f>AND(Sheet1!#REF!,"AAAAAB71+YI=")</f>
        <v>#REF!</v>
      </c>
      <c r="EB155" t="e">
        <f>AND(Sheet1!#REF!,"AAAAAB71+YM=")</f>
        <v>#REF!</v>
      </c>
      <c r="EC155" t="e">
        <f>AND(Sheet1!#REF!,"AAAAAB71+YQ=")</f>
        <v>#REF!</v>
      </c>
      <c r="ED155" t="e">
        <f>AND(Sheet1!#REF!,"AAAAAB71+YU=")</f>
        <v>#REF!</v>
      </c>
      <c r="EE155">
        <f>IF(Sheet1!2083:2083,"AAAAAB71+YY=",0)</f>
        <v>0</v>
      </c>
      <c r="EF155" t="e">
        <f>AND(Sheet1!A2083,"AAAAAB71+Yc=")</f>
        <v>#VALUE!</v>
      </c>
      <c r="EG155" t="e">
        <f>AND(Sheet1!B2083,"AAAAAB71+Yg=")</f>
        <v>#VALUE!</v>
      </c>
      <c r="EH155" t="e">
        <f>AND(Sheet1!C2083,"AAAAAB71+Yk=")</f>
        <v>#VALUE!</v>
      </c>
      <c r="EI155" t="e">
        <f>AND(Sheet1!D2083,"AAAAAB71+Yo=")</f>
        <v>#VALUE!</v>
      </c>
      <c r="EJ155" t="e">
        <f>AND(Sheet1!E2083,"AAAAAB71+Ys=")</f>
        <v>#VALUE!</v>
      </c>
      <c r="EK155" t="e">
        <f>AND(Sheet1!F2083,"AAAAAB71+Yw=")</f>
        <v>#VALUE!</v>
      </c>
      <c r="EL155" t="e">
        <f>AND(Sheet1!G2083,"AAAAAB71+Y0=")</f>
        <v>#VALUE!</v>
      </c>
      <c r="EM155" t="e">
        <f>AND(Sheet1!H2083,"AAAAAB71+Y4=")</f>
        <v>#VALUE!</v>
      </c>
      <c r="EN155" t="e">
        <f>AND(Sheet1!I2083,"AAAAAB71+Y8=")</f>
        <v>#VALUE!</v>
      </c>
      <c r="EO155" t="e">
        <f>AND(Sheet1!J2083,"AAAAAB71+ZA=")</f>
        <v>#VALUE!</v>
      </c>
      <c r="EP155" t="e">
        <f>AND(Sheet1!K2083,"AAAAAB71+ZE=")</f>
        <v>#VALUE!</v>
      </c>
      <c r="EQ155" t="e">
        <f>AND(Sheet1!L2083,"AAAAAB71+ZI=")</f>
        <v>#VALUE!</v>
      </c>
      <c r="ER155" t="e">
        <f>AND(Sheet1!M2083,"AAAAAB71+ZM=")</f>
        <v>#VALUE!</v>
      </c>
      <c r="ES155" t="e">
        <f>AND(Sheet1!N2083,"AAAAAB71+ZQ=")</f>
        <v>#VALUE!</v>
      </c>
      <c r="ET155" t="e">
        <f>AND(Sheet1!#REF!,"AAAAAB71+ZU=")</f>
        <v>#REF!</v>
      </c>
      <c r="EU155" t="e">
        <f>AND(Sheet1!#REF!,"AAAAAB71+ZY=")</f>
        <v>#REF!</v>
      </c>
      <c r="EV155" t="e">
        <f>AND(Sheet1!#REF!,"AAAAAB71+Zc=")</f>
        <v>#REF!</v>
      </c>
      <c r="EW155" t="e">
        <f>AND(Sheet1!#REF!,"AAAAAB71+Zg=")</f>
        <v>#REF!</v>
      </c>
      <c r="EX155">
        <f>IF(Sheet1!2084:2084,"AAAAAB71+Zk=",0)</f>
        <v>0</v>
      </c>
      <c r="EY155" t="e">
        <f>AND(Sheet1!A2084,"AAAAAB71+Zo=")</f>
        <v>#VALUE!</v>
      </c>
      <c r="EZ155" t="e">
        <f>AND(Sheet1!B2084,"AAAAAB71+Zs=")</f>
        <v>#VALUE!</v>
      </c>
      <c r="FA155" t="e">
        <f>AND(Sheet1!C2084,"AAAAAB71+Zw=")</f>
        <v>#VALUE!</v>
      </c>
      <c r="FB155" t="e">
        <f>AND(Sheet1!D2084,"AAAAAB71+Z0=")</f>
        <v>#VALUE!</v>
      </c>
      <c r="FC155" t="e">
        <f>AND(Sheet1!E2084,"AAAAAB71+Z4=")</f>
        <v>#VALUE!</v>
      </c>
      <c r="FD155" t="e">
        <f>AND(Sheet1!F2084,"AAAAAB71+Z8=")</f>
        <v>#VALUE!</v>
      </c>
      <c r="FE155" t="e">
        <f>AND(Sheet1!G2084,"AAAAAB71+aA=")</f>
        <v>#VALUE!</v>
      </c>
      <c r="FF155" t="e">
        <f>AND(Sheet1!H2084,"AAAAAB71+aE=")</f>
        <v>#VALUE!</v>
      </c>
      <c r="FG155" t="e">
        <f>AND(Sheet1!I2084,"AAAAAB71+aI=")</f>
        <v>#VALUE!</v>
      </c>
      <c r="FH155" t="e">
        <f>AND(Sheet1!J2084,"AAAAAB71+aM=")</f>
        <v>#VALUE!</v>
      </c>
      <c r="FI155" t="e">
        <f>AND(Sheet1!K2084,"AAAAAB71+aQ=")</f>
        <v>#VALUE!</v>
      </c>
      <c r="FJ155" t="e">
        <f>AND(Sheet1!L2084,"AAAAAB71+aU=")</f>
        <v>#VALUE!</v>
      </c>
      <c r="FK155" t="e">
        <f>AND(Sheet1!M2084,"AAAAAB71+aY=")</f>
        <v>#VALUE!</v>
      </c>
      <c r="FL155" t="e">
        <f>AND(Sheet1!N2084,"AAAAAB71+ac=")</f>
        <v>#VALUE!</v>
      </c>
      <c r="FM155" t="e">
        <f>AND(Sheet1!#REF!,"AAAAAB71+ag=")</f>
        <v>#REF!</v>
      </c>
      <c r="FN155" t="e">
        <f>AND(Sheet1!#REF!,"AAAAAB71+ak=")</f>
        <v>#REF!</v>
      </c>
      <c r="FO155" t="e">
        <f>AND(Sheet1!#REF!,"AAAAAB71+ao=")</f>
        <v>#REF!</v>
      </c>
      <c r="FP155" t="e">
        <f>AND(Sheet1!#REF!,"AAAAAB71+as=")</f>
        <v>#REF!</v>
      </c>
      <c r="FQ155">
        <f>IF(Sheet1!2085:2085,"AAAAAB71+aw=",0)</f>
        <v>0</v>
      </c>
      <c r="FR155" t="e">
        <f>AND(Sheet1!A2085,"AAAAAB71+a0=")</f>
        <v>#VALUE!</v>
      </c>
      <c r="FS155" t="e">
        <f>AND(Sheet1!B2085,"AAAAAB71+a4=")</f>
        <v>#VALUE!</v>
      </c>
      <c r="FT155" t="e">
        <f>AND(Sheet1!C2085,"AAAAAB71+a8=")</f>
        <v>#VALUE!</v>
      </c>
      <c r="FU155" t="e">
        <f>AND(Sheet1!D2085,"AAAAAB71+bA=")</f>
        <v>#VALUE!</v>
      </c>
      <c r="FV155" t="e">
        <f>AND(Sheet1!E2085,"AAAAAB71+bE=")</f>
        <v>#VALUE!</v>
      </c>
      <c r="FW155" t="e">
        <f>AND(Sheet1!F2085,"AAAAAB71+bI=")</f>
        <v>#VALUE!</v>
      </c>
      <c r="FX155" t="e">
        <f>AND(Sheet1!G2085,"AAAAAB71+bM=")</f>
        <v>#VALUE!</v>
      </c>
      <c r="FY155" t="e">
        <f>AND(Sheet1!H2085,"AAAAAB71+bQ=")</f>
        <v>#VALUE!</v>
      </c>
      <c r="FZ155" t="e">
        <f>AND(Sheet1!I2085,"AAAAAB71+bU=")</f>
        <v>#VALUE!</v>
      </c>
      <c r="GA155" t="e">
        <f>AND(Sheet1!J2085,"AAAAAB71+bY=")</f>
        <v>#VALUE!</v>
      </c>
      <c r="GB155" t="e">
        <f>AND(Sheet1!K2085,"AAAAAB71+bc=")</f>
        <v>#VALUE!</v>
      </c>
      <c r="GC155" t="e">
        <f>AND(Sheet1!L2085,"AAAAAB71+bg=")</f>
        <v>#VALUE!</v>
      </c>
      <c r="GD155" t="e">
        <f>AND(Sheet1!M2085,"AAAAAB71+bk=")</f>
        <v>#VALUE!</v>
      </c>
      <c r="GE155" t="e">
        <f>AND(Sheet1!N2085,"AAAAAB71+bo=")</f>
        <v>#VALUE!</v>
      </c>
      <c r="GF155" t="e">
        <f>AND(Sheet1!#REF!,"AAAAAB71+bs=")</f>
        <v>#REF!</v>
      </c>
      <c r="GG155" t="e">
        <f>AND(Sheet1!#REF!,"AAAAAB71+bw=")</f>
        <v>#REF!</v>
      </c>
      <c r="GH155" t="e">
        <f>AND(Sheet1!#REF!,"AAAAAB71+b0=")</f>
        <v>#REF!</v>
      </c>
      <c r="GI155" t="e">
        <f>AND(Sheet1!#REF!,"AAAAAB71+b4=")</f>
        <v>#REF!</v>
      </c>
      <c r="GJ155">
        <f>IF(Sheet1!2086:2086,"AAAAAB71+b8=",0)</f>
        <v>0</v>
      </c>
      <c r="GK155" t="e">
        <f>AND(Sheet1!A2086,"AAAAAB71+cA=")</f>
        <v>#VALUE!</v>
      </c>
      <c r="GL155" t="e">
        <f>AND(Sheet1!B2086,"AAAAAB71+cE=")</f>
        <v>#VALUE!</v>
      </c>
      <c r="GM155" t="e">
        <f>AND(Sheet1!C2086,"AAAAAB71+cI=")</f>
        <v>#VALUE!</v>
      </c>
      <c r="GN155" t="e">
        <f>AND(Sheet1!D2086,"AAAAAB71+cM=")</f>
        <v>#VALUE!</v>
      </c>
      <c r="GO155" t="e">
        <f>AND(Sheet1!E2086,"AAAAAB71+cQ=")</f>
        <v>#VALUE!</v>
      </c>
      <c r="GP155" t="e">
        <f>AND(Sheet1!F2086,"AAAAAB71+cU=")</f>
        <v>#VALUE!</v>
      </c>
      <c r="GQ155" t="e">
        <f>AND(Sheet1!G2086,"AAAAAB71+cY=")</f>
        <v>#VALUE!</v>
      </c>
      <c r="GR155" t="e">
        <f>AND(Sheet1!H2086,"AAAAAB71+cc=")</f>
        <v>#VALUE!</v>
      </c>
      <c r="GS155" t="e">
        <f>AND(Sheet1!I2086,"AAAAAB71+cg=")</f>
        <v>#VALUE!</v>
      </c>
      <c r="GT155" t="e">
        <f>AND(Sheet1!J2086,"AAAAAB71+ck=")</f>
        <v>#VALUE!</v>
      </c>
      <c r="GU155" t="e">
        <f>AND(Sheet1!K2086,"AAAAAB71+co=")</f>
        <v>#VALUE!</v>
      </c>
      <c r="GV155" t="e">
        <f>AND(Sheet1!L2086,"AAAAAB71+cs=")</f>
        <v>#VALUE!</v>
      </c>
      <c r="GW155" t="e">
        <f>AND(Sheet1!M2086,"AAAAAB71+cw=")</f>
        <v>#VALUE!</v>
      </c>
      <c r="GX155" t="e">
        <f>AND(Sheet1!N2086,"AAAAAB71+c0=")</f>
        <v>#VALUE!</v>
      </c>
      <c r="GY155" t="e">
        <f>AND(Sheet1!#REF!,"AAAAAB71+c4=")</f>
        <v>#REF!</v>
      </c>
      <c r="GZ155" t="e">
        <f>AND(Sheet1!#REF!,"AAAAAB71+c8=")</f>
        <v>#REF!</v>
      </c>
      <c r="HA155" t="e">
        <f>AND(Sheet1!#REF!,"AAAAAB71+dA=")</f>
        <v>#REF!</v>
      </c>
      <c r="HB155" t="e">
        <f>AND(Sheet1!#REF!,"AAAAAB71+dE=")</f>
        <v>#REF!</v>
      </c>
      <c r="HC155">
        <f>IF(Sheet1!2087:2087,"AAAAAB71+dI=",0)</f>
        <v>0</v>
      </c>
      <c r="HD155" t="e">
        <f>AND(Sheet1!A2087,"AAAAAB71+dM=")</f>
        <v>#VALUE!</v>
      </c>
      <c r="HE155" t="e">
        <f>AND(Sheet1!B2087,"AAAAAB71+dQ=")</f>
        <v>#VALUE!</v>
      </c>
      <c r="HF155" t="e">
        <f>AND(Sheet1!C2087,"AAAAAB71+dU=")</f>
        <v>#VALUE!</v>
      </c>
      <c r="HG155" t="e">
        <f>AND(Sheet1!D2087,"AAAAAB71+dY=")</f>
        <v>#VALUE!</v>
      </c>
      <c r="HH155" t="e">
        <f>AND(Sheet1!E2087,"AAAAAB71+dc=")</f>
        <v>#VALUE!</v>
      </c>
      <c r="HI155" t="e">
        <f>AND(Sheet1!F2087,"AAAAAB71+dg=")</f>
        <v>#VALUE!</v>
      </c>
      <c r="HJ155" t="e">
        <f>AND(Sheet1!G2087,"AAAAAB71+dk=")</f>
        <v>#VALUE!</v>
      </c>
      <c r="HK155" t="e">
        <f>AND(Sheet1!H2087,"AAAAAB71+do=")</f>
        <v>#VALUE!</v>
      </c>
      <c r="HL155" t="e">
        <f>AND(Sheet1!I2087,"AAAAAB71+ds=")</f>
        <v>#VALUE!</v>
      </c>
      <c r="HM155" t="e">
        <f>AND(Sheet1!J2087,"AAAAAB71+dw=")</f>
        <v>#VALUE!</v>
      </c>
      <c r="HN155" t="e">
        <f>AND(Sheet1!K2087,"AAAAAB71+d0=")</f>
        <v>#VALUE!</v>
      </c>
      <c r="HO155" t="e">
        <f>AND(Sheet1!L2087,"AAAAAB71+d4=")</f>
        <v>#VALUE!</v>
      </c>
      <c r="HP155" t="e">
        <f>AND(Sheet1!M2087,"AAAAAB71+d8=")</f>
        <v>#VALUE!</v>
      </c>
      <c r="HQ155" t="e">
        <f>AND(Sheet1!N2087,"AAAAAB71+eA=")</f>
        <v>#VALUE!</v>
      </c>
      <c r="HR155" t="e">
        <f>AND(Sheet1!#REF!,"AAAAAB71+eE=")</f>
        <v>#REF!</v>
      </c>
      <c r="HS155" t="e">
        <f>AND(Sheet1!#REF!,"AAAAAB71+eI=")</f>
        <v>#REF!</v>
      </c>
      <c r="HT155" t="e">
        <f>AND(Sheet1!#REF!,"AAAAAB71+eM=")</f>
        <v>#REF!</v>
      </c>
      <c r="HU155" t="e">
        <f>AND(Sheet1!#REF!,"AAAAAB71+eQ=")</f>
        <v>#REF!</v>
      </c>
      <c r="HV155">
        <f>IF(Sheet1!2088:2088,"AAAAAB71+eU=",0)</f>
        <v>0</v>
      </c>
      <c r="HW155" t="e">
        <f>AND(Sheet1!A2088,"AAAAAB71+eY=")</f>
        <v>#VALUE!</v>
      </c>
      <c r="HX155" t="e">
        <f>AND(Sheet1!B2088,"AAAAAB71+ec=")</f>
        <v>#VALUE!</v>
      </c>
      <c r="HY155" t="e">
        <f>AND(Sheet1!C2088,"AAAAAB71+eg=")</f>
        <v>#VALUE!</v>
      </c>
      <c r="HZ155" t="e">
        <f>AND(Sheet1!D2088,"AAAAAB71+ek=")</f>
        <v>#VALUE!</v>
      </c>
      <c r="IA155" t="e">
        <f>AND(Sheet1!E2088,"AAAAAB71+eo=")</f>
        <v>#VALUE!</v>
      </c>
      <c r="IB155" t="e">
        <f>AND(Sheet1!F2088,"AAAAAB71+es=")</f>
        <v>#VALUE!</v>
      </c>
      <c r="IC155" t="e">
        <f>AND(Sheet1!G2088,"AAAAAB71+ew=")</f>
        <v>#VALUE!</v>
      </c>
      <c r="ID155" t="e">
        <f>AND(Sheet1!H2088,"AAAAAB71+e0=")</f>
        <v>#VALUE!</v>
      </c>
      <c r="IE155" t="e">
        <f>AND(Sheet1!I2088,"AAAAAB71+e4=")</f>
        <v>#VALUE!</v>
      </c>
      <c r="IF155" t="e">
        <f>AND(Sheet1!J2088,"AAAAAB71+e8=")</f>
        <v>#VALUE!</v>
      </c>
      <c r="IG155" t="e">
        <f>AND(Sheet1!K2088,"AAAAAB71+fA=")</f>
        <v>#VALUE!</v>
      </c>
      <c r="IH155" t="e">
        <f>AND(Sheet1!L2088,"AAAAAB71+fE=")</f>
        <v>#VALUE!</v>
      </c>
      <c r="II155" t="e">
        <f>AND(Sheet1!M2088,"AAAAAB71+fI=")</f>
        <v>#VALUE!</v>
      </c>
      <c r="IJ155" t="e">
        <f>AND(Sheet1!N2088,"AAAAAB71+fM=")</f>
        <v>#VALUE!</v>
      </c>
      <c r="IK155" t="e">
        <f>AND(Sheet1!#REF!,"AAAAAB71+fQ=")</f>
        <v>#REF!</v>
      </c>
      <c r="IL155" t="e">
        <f>AND(Sheet1!#REF!,"AAAAAB71+fU=")</f>
        <v>#REF!</v>
      </c>
      <c r="IM155" t="e">
        <f>AND(Sheet1!#REF!,"AAAAAB71+fY=")</f>
        <v>#REF!</v>
      </c>
      <c r="IN155" t="e">
        <f>AND(Sheet1!#REF!,"AAAAAB71+fc=")</f>
        <v>#REF!</v>
      </c>
      <c r="IO155">
        <f>IF(Sheet1!2089:2089,"AAAAAB71+fg=",0)</f>
        <v>0</v>
      </c>
      <c r="IP155" t="e">
        <f>AND(Sheet1!A2089,"AAAAAB71+fk=")</f>
        <v>#VALUE!</v>
      </c>
      <c r="IQ155" t="e">
        <f>AND(Sheet1!B2089,"AAAAAB71+fo=")</f>
        <v>#VALUE!</v>
      </c>
      <c r="IR155" t="e">
        <f>AND(Sheet1!C2089,"AAAAAB71+fs=")</f>
        <v>#VALUE!</v>
      </c>
      <c r="IS155" t="e">
        <f>AND(Sheet1!D2089,"AAAAAB71+fw=")</f>
        <v>#VALUE!</v>
      </c>
      <c r="IT155" t="e">
        <f>AND(Sheet1!E2089,"AAAAAB71+f0=")</f>
        <v>#VALUE!</v>
      </c>
      <c r="IU155" t="e">
        <f>AND(Sheet1!F2089,"AAAAAB71+f4=")</f>
        <v>#VALUE!</v>
      </c>
      <c r="IV155" t="e">
        <f>AND(Sheet1!G2089,"AAAAAB71+f8=")</f>
        <v>#VALUE!</v>
      </c>
    </row>
    <row r="156" spans="1:256" x14ac:dyDescent="0.2">
      <c r="A156" t="e">
        <f>AND(Sheet1!H2089,"AAAAAD/u4wA=")</f>
        <v>#VALUE!</v>
      </c>
      <c r="B156" t="e">
        <f>AND(Sheet1!I2089,"AAAAAD/u4wE=")</f>
        <v>#VALUE!</v>
      </c>
      <c r="C156" t="e">
        <f>AND(Sheet1!J2089,"AAAAAD/u4wI=")</f>
        <v>#VALUE!</v>
      </c>
      <c r="D156" t="e">
        <f>AND(Sheet1!K2089,"AAAAAD/u4wM=")</f>
        <v>#VALUE!</v>
      </c>
      <c r="E156" t="e">
        <f>AND(Sheet1!L2089,"AAAAAD/u4wQ=")</f>
        <v>#VALUE!</v>
      </c>
      <c r="F156" t="e">
        <f>AND(Sheet1!M2089,"AAAAAD/u4wU=")</f>
        <v>#VALUE!</v>
      </c>
      <c r="G156" t="e">
        <f>AND(Sheet1!N2089,"AAAAAD/u4wY=")</f>
        <v>#VALUE!</v>
      </c>
      <c r="H156" t="e">
        <f>AND(Sheet1!#REF!,"AAAAAD/u4wc=")</f>
        <v>#REF!</v>
      </c>
      <c r="I156" t="e">
        <f>AND(Sheet1!#REF!,"AAAAAD/u4wg=")</f>
        <v>#REF!</v>
      </c>
      <c r="J156" t="e">
        <f>AND(Sheet1!#REF!,"AAAAAD/u4wk=")</f>
        <v>#REF!</v>
      </c>
      <c r="K156" t="e">
        <f>AND(Sheet1!#REF!,"AAAAAD/u4wo=")</f>
        <v>#REF!</v>
      </c>
      <c r="L156">
        <f>IF(Sheet1!2090:2090,"AAAAAD/u4ws=",0)</f>
        <v>0</v>
      </c>
      <c r="M156" t="e">
        <f>AND(Sheet1!A2090,"AAAAAD/u4ww=")</f>
        <v>#VALUE!</v>
      </c>
      <c r="N156" t="e">
        <f>AND(Sheet1!B2090,"AAAAAD/u4w0=")</f>
        <v>#VALUE!</v>
      </c>
      <c r="O156" t="e">
        <f>AND(Sheet1!C2090,"AAAAAD/u4w4=")</f>
        <v>#VALUE!</v>
      </c>
      <c r="P156" t="e">
        <f>AND(Sheet1!D2090,"AAAAAD/u4w8=")</f>
        <v>#VALUE!</v>
      </c>
      <c r="Q156" t="e">
        <f>AND(Sheet1!E2090,"AAAAAD/u4xA=")</f>
        <v>#VALUE!</v>
      </c>
      <c r="R156" t="e">
        <f>AND(Sheet1!F2090,"AAAAAD/u4xE=")</f>
        <v>#VALUE!</v>
      </c>
      <c r="S156" t="e">
        <f>AND(Sheet1!G2090,"AAAAAD/u4xI=")</f>
        <v>#VALUE!</v>
      </c>
      <c r="T156" t="e">
        <f>AND(Sheet1!H2090,"AAAAAD/u4xM=")</f>
        <v>#VALUE!</v>
      </c>
      <c r="U156" t="e">
        <f>AND(Sheet1!I2090,"AAAAAD/u4xQ=")</f>
        <v>#VALUE!</v>
      </c>
      <c r="V156" t="e">
        <f>AND(Sheet1!J2090,"AAAAAD/u4xU=")</f>
        <v>#VALUE!</v>
      </c>
      <c r="W156" t="e">
        <f>AND(Sheet1!K2090,"AAAAAD/u4xY=")</f>
        <v>#VALUE!</v>
      </c>
      <c r="X156" t="e">
        <f>AND(Sheet1!L2090,"AAAAAD/u4xc=")</f>
        <v>#VALUE!</v>
      </c>
      <c r="Y156" t="e">
        <f>AND(Sheet1!M2090,"AAAAAD/u4xg=")</f>
        <v>#VALUE!</v>
      </c>
      <c r="Z156" t="e">
        <f>AND(Sheet1!N2090,"AAAAAD/u4xk=")</f>
        <v>#VALUE!</v>
      </c>
      <c r="AA156" t="e">
        <f>AND(Sheet1!#REF!,"AAAAAD/u4xo=")</f>
        <v>#REF!</v>
      </c>
      <c r="AB156" t="e">
        <f>AND(Sheet1!#REF!,"AAAAAD/u4xs=")</f>
        <v>#REF!</v>
      </c>
      <c r="AC156" t="e">
        <f>AND(Sheet1!#REF!,"AAAAAD/u4xw=")</f>
        <v>#REF!</v>
      </c>
      <c r="AD156" t="e">
        <f>AND(Sheet1!#REF!,"AAAAAD/u4x0=")</f>
        <v>#REF!</v>
      </c>
      <c r="AE156">
        <f>IF(Sheet1!2091:2091,"AAAAAD/u4x4=",0)</f>
        <v>0</v>
      </c>
      <c r="AF156" t="e">
        <f>AND(Sheet1!A2091,"AAAAAD/u4x8=")</f>
        <v>#VALUE!</v>
      </c>
      <c r="AG156" t="e">
        <f>AND(Sheet1!B2091,"AAAAAD/u4yA=")</f>
        <v>#VALUE!</v>
      </c>
      <c r="AH156" t="e">
        <f>AND(Sheet1!C2091,"AAAAAD/u4yE=")</f>
        <v>#VALUE!</v>
      </c>
      <c r="AI156" t="e">
        <f>AND(Sheet1!D2091,"AAAAAD/u4yI=")</f>
        <v>#VALUE!</v>
      </c>
      <c r="AJ156" t="e">
        <f>AND(Sheet1!E2091,"AAAAAD/u4yM=")</f>
        <v>#VALUE!</v>
      </c>
      <c r="AK156" t="e">
        <f>AND(Sheet1!F2091,"AAAAAD/u4yQ=")</f>
        <v>#VALUE!</v>
      </c>
      <c r="AL156" t="e">
        <f>AND(Sheet1!G2091,"AAAAAD/u4yU=")</f>
        <v>#VALUE!</v>
      </c>
      <c r="AM156" t="e">
        <f>AND(Sheet1!H2091,"AAAAAD/u4yY=")</f>
        <v>#VALUE!</v>
      </c>
      <c r="AN156" t="e">
        <f>AND(Sheet1!I2091,"AAAAAD/u4yc=")</f>
        <v>#VALUE!</v>
      </c>
      <c r="AO156" t="e">
        <f>AND(Sheet1!J2091,"AAAAAD/u4yg=")</f>
        <v>#VALUE!</v>
      </c>
      <c r="AP156" t="e">
        <f>AND(Sheet1!K2091,"AAAAAD/u4yk=")</f>
        <v>#VALUE!</v>
      </c>
      <c r="AQ156" t="e">
        <f>AND(Sheet1!L2091,"AAAAAD/u4yo=")</f>
        <v>#VALUE!</v>
      </c>
      <c r="AR156" t="e">
        <f>AND(Sheet1!M2091,"AAAAAD/u4ys=")</f>
        <v>#VALUE!</v>
      </c>
      <c r="AS156" t="e">
        <f>AND(Sheet1!N2091,"AAAAAD/u4yw=")</f>
        <v>#VALUE!</v>
      </c>
      <c r="AT156" t="e">
        <f>AND(Sheet1!#REF!,"AAAAAD/u4y0=")</f>
        <v>#REF!</v>
      </c>
      <c r="AU156" t="e">
        <f>AND(Sheet1!#REF!,"AAAAAD/u4y4=")</f>
        <v>#REF!</v>
      </c>
      <c r="AV156" t="e">
        <f>AND(Sheet1!#REF!,"AAAAAD/u4y8=")</f>
        <v>#REF!</v>
      </c>
      <c r="AW156" t="e">
        <f>AND(Sheet1!#REF!,"AAAAAD/u4zA=")</f>
        <v>#REF!</v>
      </c>
      <c r="AX156">
        <f>IF(Sheet1!2092:2092,"AAAAAD/u4zE=",0)</f>
        <v>0</v>
      </c>
      <c r="AY156" t="e">
        <f>AND(Sheet1!A2092,"AAAAAD/u4zI=")</f>
        <v>#VALUE!</v>
      </c>
      <c r="AZ156" t="e">
        <f>AND(Sheet1!B2092,"AAAAAD/u4zM=")</f>
        <v>#VALUE!</v>
      </c>
      <c r="BA156" t="e">
        <f>AND(Sheet1!C2092,"AAAAAD/u4zQ=")</f>
        <v>#VALUE!</v>
      </c>
      <c r="BB156" t="e">
        <f>AND(Sheet1!D2092,"AAAAAD/u4zU=")</f>
        <v>#VALUE!</v>
      </c>
      <c r="BC156" t="e">
        <f>AND(Sheet1!E2092,"AAAAAD/u4zY=")</f>
        <v>#VALUE!</v>
      </c>
      <c r="BD156" t="e">
        <f>AND(Sheet1!F2092,"AAAAAD/u4zc=")</f>
        <v>#VALUE!</v>
      </c>
      <c r="BE156" t="e">
        <f>AND(Sheet1!G2092,"AAAAAD/u4zg=")</f>
        <v>#VALUE!</v>
      </c>
      <c r="BF156" t="e">
        <f>AND(Sheet1!H2092,"AAAAAD/u4zk=")</f>
        <v>#VALUE!</v>
      </c>
      <c r="BG156" t="e">
        <f>AND(Sheet1!I2092,"AAAAAD/u4zo=")</f>
        <v>#VALUE!</v>
      </c>
      <c r="BH156" t="e">
        <f>AND(Sheet1!J2092,"AAAAAD/u4zs=")</f>
        <v>#VALUE!</v>
      </c>
      <c r="BI156" t="e">
        <f>AND(Sheet1!K2092,"AAAAAD/u4zw=")</f>
        <v>#VALUE!</v>
      </c>
      <c r="BJ156" t="e">
        <f>AND(Sheet1!L2092,"AAAAAD/u4z0=")</f>
        <v>#VALUE!</v>
      </c>
      <c r="BK156" t="e">
        <f>AND(Sheet1!M2092,"AAAAAD/u4z4=")</f>
        <v>#VALUE!</v>
      </c>
      <c r="BL156" t="e">
        <f>AND(Sheet1!N2092,"AAAAAD/u4z8=")</f>
        <v>#VALUE!</v>
      </c>
      <c r="BM156" t="e">
        <f>AND(Sheet1!#REF!,"AAAAAD/u40A=")</f>
        <v>#REF!</v>
      </c>
      <c r="BN156" t="e">
        <f>AND(Sheet1!#REF!,"AAAAAD/u40E=")</f>
        <v>#REF!</v>
      </c>
      <c r="BO156" t="e">
        <f>AND(Sheet1!#REF!,"AAAAAD/u40I=")</f>
        <v>#REF!</v>
      </c>
      <c r="BP156" t="e">
        <f>AND(Sheet1!#REF!,"AAAAAD/u40M=")</f>
        <v>#REF!</v>
      </c>
      <c r="BQ156">
        <f>IF(Sheet1!2093:2093,"AAAAAD/u40Q=",0)</f>
        <v>0</v>
      </c>
      <c r="BR156" t="e">
        <f>AND(Sheet1!A2093,"AAAAAD/u40U=")</f>
        <v>#VALUE!</v>
      </c>
      <c r="BS156" t="e">
        <f>AND(Sheet1!B2093,"AAAAAD/u40Y=")</f>
        <v>#VALUE!</v>
      </c>
      <c r="BT156" t="e">
        <f>AND(Sheet1!C2093,"AAAAAD/u40c=")</f>
        <v>#VALUE!</v>
      </c>
      <c r="BU156" t="e">
        <f>AND(Sheet1!D2093,"AAAAAD/u40g=")</f>
        <v>#VALUE!</v>
      </c>
      <c r="BV156" t="e">
        <f>AND(Sheet1!E2093,"AAAAAD/u40k=")</f>
        <v>#VALUE!</v>
      </c>
      <c r="BW156" t="e">
        <f>AND(Sheet1!F2093,"AAAAAD/u40o=")</f>
        <v>#VALUE!</v>
      </c>
      <c r="BX156" t="e">
        <f>AND(Sheet1!G2093,"AAAAAD/u40s=")</f>
        <v>#VALUE!</v>
      </c>
      <c r="BY156" t="e">
        <f>AND(Sheet1!H2093,"AAAAAD/u40w=")</f>
        <v>#VALUE!</v>
      </c>
      <c r="BZ156" t="e">
        <f>AND(Sheet1!I2093,"AAAAAD/u400=")</f>
        <v>#VALUE!</v>
      </c>
      <c r="CA156" t="e">
        <f>AND(Sheet1!J2093,"AAAAAD/u404=")</f>
        <v>#VALUE!</v>
      </c>
      <c r="CB156" t="e">
        <f>AND(Sheet1!K2093,"AAAAAD/u408=")</f>
        <v>#VALUE!</v>
      </c>
      <c r="CC156" t="e">
        <f>AND(Sheet1!L2093,"AAAAAD/u41A=")</f>
        <v>#VALUE!</v>
      </c>
      <c r="CD156" t="e">
        <f>AND(Sheet1!M2093,"AAAAAD/u41E=")</f>
        <v>#VALUE!</v>
      </c>
      <c r="CE156" t="e">
        <f>AND(Sheet1!N2093,"AAAAAD/u41I=")</f>
        <v>#VALUE!</v>
      </c>
      <c r="CF156" t="e">
        <f>AND(Sheet1!#REF!,"AAAAAD/u41M=")</f>
        <v>#REF!</v>
      </c>
      <c r="CG156" t="e">
        <f>AND(Sheet1!#REF!,"AAAAAD/u41Q=")</f>
        <v>#REF!</v>
      </c>
      <c r="CH156" t="e">
        <f>AND(Sheet1!#REF!,"AAAAAD/u41U=")</f>
        <v>#REF!</v>
      </c>
      <c r="CI156" t="e">
        <f>AND(Sheet1!#REF!,"AAAAAD/u41Y=")</f>
        <v>#REF!</v>
      </c>
      <c r="CJ156">
        <f>IF(Sheet1!2094:2094,"AAAAAD/u41c=",0)</f>
        <v>0</v>
      </c>
      <c r="CK156" t="e">
        <f>AND(Sheet1!A2094,"AAAAAD/u41g=")</f>
        <v>#VALUE!</v>
      </c>
      <c r="CL156" t="e">
        <f>AND(Sheet1!B2094,"AAAAAD/u41k=")</f>
        <v>#VALUE!</v>
      </c>
      <c r="CM156" t="e">
        <f>AND(Sheet1!C2094,"AAAAAD/u41o=")</f>
        <v>#VALUE!</v>
      </c>
      <c r="CN156" t="e">
        <f>AND(Sheet1!D2094,"AAAAAD/u41s=")</f>
        <v>#VALUE!</v>
      </c>
      <c r="CO156" t="e">
        <f>AND(Sheet1!E2094,"AAAAAD/u41w=")</f>
        <v>#VALUE!</v>
      </c>
      <c r="CP156" t="e">
        <f>AND(Sheet1!F2094,"AAAAAD/u410=")</f>
        <v>#VALUE!</v>
      </c>
      <c r="CQ156" t="e">
        <f>AND(Sheet1!G2094,"AAAAAD/u414=")</f>
        <v>#VALUE!</v>
      </c>
      <c r="CR156" t="e">
        <f>AND(Sheet1!H2094,"AAAAAD/u418=")</f>
        <v>#VALUE!</v>
      </c>
      <c r="CS156" t="e">
        <f>AND(Sheet1!I2094,"AAAAAD/u42A=")</f>
        <v>#VALUE!</v>
      </c>
      <c r="CT156" t="e">
        <f>AND(Sheet1!J2094,"AAAAAD/u42E=")</f>
        <v>#VALUE!</v>
      </c>
      <c r="CU156" t="e">
        <f>AND(Sheet1!K2094,"AAAAAD/u42I=")</f>
        <v>#VALUE!</v>
      </c>
      <c r="CV156" t="e">
        <f>AND(Sheet1!L2094,"AAAAAD/u42M=")</f>
        <v>#VALUE!</v>
      </c>
      <c r="CW156" t="e">
        <f>AND(Sheet1!M2094,"AAAAAD/u42Q=")</f>
        <v>#VALUE!</v>
      </c>
      <c r="CX156" t="e">
        <f>AND(Sheet1!N2094,"AAAAAD/u42U=")</f>
        <v>#VALUE!</v>
      </c>
      <c r="CY156" t="e">
        <f>AND(Sheet1!#REF!,"AAAAAD/u42Y=")</f>
        <v>#REF!</v>
      </c>
      <c r="CZ156" t="e">
        <f>AND(Sheet1!#REF!,"AAAAAD/u42c=")</f>
        <v>#REF!</v>
      </c>
      <c r="DA156" t="e">
        <f>AND(Sheet1!#REF!,"AAAAAD/u42g=")</f>
        <v>#REF!</v>
      </c>
      <c r="DB156" t="e">
        <f>AND(Sheet1!#REF!,"AAAAAD/u42k=")</f>
        <v>#REF!</v>
      </c>
      <c r="DC156">
        <f>IF(Sheet1!2095:2095,"AAAAAD/u42o=",0)</f>
        <v>0</v>
      </c>
      <c r="DD156" t="e">
        <f>AND(Sheet1!A2095,"AAAAAD/u42s=")</f>
        <v>#VALUE!</v>
      </c>
      <c r="DE156" t="e">
        <f>AND(Sheet1!B2095,"AAAAAD/u42w=")</f>
        <v>#VALUE!</v>
      </c>
      <c r="DF156" t="e">
        <f>AND(Sheet1!C2095,"AAAAAD/u420=")</f>
        <v>#VALUE!</v>
      </c>
      <c r="DG156" t="e">
        <f>AND(Sheet1!D2095,"AAAAAD/u424=")</f>
        <v>#VALUE!</v>
      </c>
      <c r="DH156" t="e">
        <f>AND(Sheet1!E2095,"AAAAAD/u428=")</f>
        <v>#VALUE!</v>
      </c>
      <c r="DI156" t="e">
        <f>AND(Sheet1!F2095,"AAAAAD/u43A=")</f>
        <v>#VALUE!</v>
      </c>
      <c r="DJ156" t="e">
        <f>AND(Sheet1!G2095,"AAAAAD/u43E=")</f>
        <v>#VALUE!</v>
      </c>
      <c r="DK156" t="e">
        <f>AND(Sheet1!H2095,"AAAAAD/u43I=")</f>
        <v>#VALUE!</v>
      </c>
      <c r="DL156" t="e">
        <f>AND(Sheet1!I2095,"AAAAAD/u43M=")</f>
        <v>#VALUE!</v>
      </c>
      <c r="DM156" t="e">
        <f>AND(Sheet1!J2095,"AAAAAD/u43Q=")</f>
        <v>#VALUE!</v>
      </c>
      <c r="DN156" t="e">
        <f>AND(Sheet1!K2095,"AAAAAD/u43U=")</f>
        <v>#VALUE!</v>
      </c>
      <c r="DO156" t="e">
        <f>AND(Sheet1!L2095,"AAAAAD/u43Y=")</f>
        <v>#VALUE!</v>
      </c>
      <c r="DP156" t="e">
        <f>AND(Sheet1!M2095,"AAAAAD/u43c=")</f>
        <v>#VALUE!</v>
      </c>
      <c r="DQ156" t="e">
        <f>AND(Sheet1!N2095,"AAAAAD/u43g=")</f>
        <v>#VALUE!</v>
      </c>
      <c r="DR156" t="e">
        <f>AND(Sheet1!#REF!,"AAAAAD/u43k=")</f>
        <v>#REF!</v>
      </c>
      <c r="DS156" t="e">
        <f>AND(Sheet1!#REF!,"AAAAAD/u43o=")</f>
        <v>#REF!</v>
      </c>
      <c r="DT156" t="e">
        <f>AND(Sheet1!#REF!,"AAAAAD/u43s=")</f>
        <v>#REF!</v>
      </c>
      <c r="DU156" t="e">
        <f>AND(Sheet1!#REF!,"AAAAAD/u43w=")</f>
        <v>#REF!</v>
      </c>
      <c r="DV156">
        <f>IF(Sheet1!2096:2096,"AAAAAD/u430=",0)</f>
        <v>0</v>
      </c>
      <c r="DW156" t="e">
        <f>AND(Sheet1!A2096,"AAAAAD/u434=")</f>
        <v>#VALUE!</v>
      </c>
      <c r="DX156" t="e">
        <f>AND(Sheet1!B2096,"AAAAAD/u438=")</f>
        <v>#VALUE!</v>
      </c>
      <c r="DY156" t="e">
        <f>AND(Sheet1!C2096,"AAAAAD/u44A=")</f>
        <v>#VALUE!</v>
      </c>
      <c r="DZ156" t="e">
        <f>AND(Sheet1!D2096,"AAAAAD/u44E=")</f>
        <v>#VALUE!</v>
      </c>
      <c r="EA156" t="e">
        <f>AND(Sheet1!E2096,"AAAAAD/u44I=")</f>
        <v>#VALUE!</v>
      </c>
      <c r="EB156" t="e">
        <f>AND(Sheet1!F2096,"AAAAAD/u44M=")</f>
        <v>#VALUE!</v>
      </c>
      <c r="EC156" t="e">
        <f>AND(Sheet1!G2096,"AAAAAD/u44Q=")</f>
        <v>#VALUE!</v>
      </c>
      <c r="ED156" t="e">
        <f>AND(Sheet1!H2096,"AAAAAD/u44U=")</f>
        <v>#VALUE!</v>
      </c>
      <c r="EE156" t="e">
        <f>AND(Sheet1!I2096,"AAAAAD/u44Y=")</f>
        <v>#VALUE!</v>
      </c>
      <c r="EF156" t="e">
        <f>AND(Sheet1!J2096,"AAAAAD/u44c=")</f>
        <v>#VALUE!</v>
      </c>
      <c r="EG156" t="e">
        <f>AND(Sheet1!K2096,"AAAAAD/u44g=")</f>
        <v>#VALUE!</v>
      </c>
      <c r="EH156" t="e">
        <f>AND(Sheet1!L2096,"AAAAAD/u44k=")</f>
        <v>#VALUE!</v>
      </c>
      <c r="EI156" t="e">
        <f>AND(Sheet1!M2096,"AAAAAD/u44o=")</f>
        <v>#VALUE!</v>
      </c>
      <c r="EJ156" t="e">
        <f>AND(Sheet1!N2096,"AAAAAD/u44s=")</f>
        <v>#VALUE!</v>
      </c>
      <c r="EK156" t="e">
        <f>AND(Sheet1!#REF!,"AAAAAD/u44w=")</f>
        <v>#REF!</v>
      </c>
      <c r="EL156" t="e">
        <f>AND(Sheet1!#REF!,"AAAAAD/u440=")</f>
        <v>#REF!</v>
      </c>
      <c r="EM156" t="e">
        <f>AND(Sheet1!#REF!,"AAAAAD/u444=")</f>
        <v>#REF!</v>
      </c>
      <c r="EN156" t="e">
        <f>AND(Sheet1!#REF!,"AAAAAD/u448=")</f>
        <v>#REF!</v>
      </c>
      <c r="EO156">
        <f>IF(Sheet1!2097:2097,"AAAAAD/u45A=",0)</f>
        <v>0</v>
      </c>
      <c r="EP156" t="e">
        <f>AND(Sheet1!A2097,"AAAAAD/u45E=")</f>
        <v>#VALUE!</v>
      </c>
      <c r="EQ156" t="e">
        <f>AND(Sheet1!B2097,"AAAAAD/u45I=")</f>
        <v>#VALUE!</v>
      </c>
      <c r="ER156" t="e">
        <f>AND(Sheet1!C2097,"AAAAAD/u45M=")</f>
        <v>#VALUE!</v>
      </c>
      <c r="ES156" t="e">
        <f>AND(Sheet1!D2097,"AAAAAD/u45Q=")</f>
        <v>#VALUE!</v>
      </c>
      <c r="ET156" t="e">
        <f>AND(Sheet1!E2097,"AAAAAD/u45U=")</f>
        <v>#VALUE!</v>
      </c>
      <c r="EU156" t="e">
        <f>AND(Sheet1!F2097,"AAAAAD/u45Y=")</f>
        <v>#VALUE!</v>
      </c>
      <c r="EV156" t="e">
        <f>AND(Sheet1!G2097,"AAAAAD/u45c=")</f>
        <v>#VALUE!</v>
      </c>
      <c r="EW156" t="e">
        <f>AND(Sheet1!H2097,"AAAAAD/u45g=")</f>
        <v>#VALUE!</v>
      </c>
      <c r="EX156" t="e">
        <f>AND(Sheet1!I2097,"AAAAAD/u45k=")</f>
        <v>#VALUE!</v>
      </c>
      <c r="EY156" t="e">
        <f>AND(Sheet1!J2097,"AAAAAD/u45o=")</f>
        <v>#VALUE!</v>
      </c>
      <c r="EZ156" t="e">
        <f>AND(Sheet1!K2097,"AAAAAD/u45s=")</f>
        <v>#VALUE!</v>
      </c>
      <c r="FA156" t="e">
        <f>AND(Sheet1!L2097,"AAAAAD/u45w=")</f>
        <v>#VALUE!</v>
      </c>
      <c r="FB156" t="e">
        <f>AND(Sheet1!M2097,"AAAAAD/u450=")</f>
        <v>#VALUE!</v>
      </c>
      <c r="FC156" t="e">
        <f>AND(Sheet1!N2097,"AAAAAD/u454=")</f>
        <v>#VALUE!</v>
      </c>
      <c r="FD156" t="e">
        <f>AND(Sheet1!#REF!,"AAAAAD/u458=")</f>
        <v>#REF!</v>
      </c>
      <c r="FE156" t="e">
        <f>AND(Sheet1!#REF!,"AAAAAD/u46A=")</f>
        <v>#REF!</v>
      </c>
      <c r="FF156" t="e">
        <f>AND(Sheet1!#REF!,"AAAAAD/u46E=")</f>
        <v>#REF!</v>
      </c>
      <c r="FG156" t="e">
        <f>AND(Sheet1!#REF!,"AAAAAD/u46I=")</f>
        <v>#REF!</v>
      </c>
      <c r="FH156">
        <f>IF(Sheet1!2098:2098,"AAAAAD/u46M=",0)</f>
        <v>0</v>
      </c>
      <c r="FI156" t="e">
        <f>AND(Sheet1!A2098,"AAAAAD/u46Q=")</f>
        <v>#VALUE!</v>
      </c>
      <c r="FJ156" t="e">
        <f>AND(Sheet1!B2098,"AAAAAD/u46U=")</f>
        <v>#VALUE!</v>
      </c>
      <c r="FK156" t="e">
        <f>AND(Sheet1!C2098,"AAAAAD/u46Y=")</f>
        <v>#VALUE!</v>
      </c>
      <c r="FL156" t="e">
        <f>AND(Sheet1!D2098,"AAAAAD/u46c=")</f>
        <v>#VALUE!</v>
      </c>
      <c r="FM156" t="e">
        <f>AND(Sheet1!E2098,"AAAAAD/u46g=")</f>
        <v>#VALUE!</v>
      </c>
      <c r="FN156" t="e">
        <f>AND(Sheet1!F2098,"AAAAAD/u46k=")</f>
        <v>#VALUE!</v>
      </c>
      <c r="FO156" t="e">
        <f>AND(Sheet1!G2098,"AAAAAD/u46o=")</f>
        <v>#VALUE!</v>
      </c>
      <c r="FP156" t="e">
        <f>AND(Sheet1!H2098,"AAAAAD/u46s=")</f>
        <v>#VALUE!</v>
      </c>
      <c r="FQ156" t="e">
        <f>AND(Sheet1!I2098,"AAAAAD/u46w=")</f>
        <v>#VALUE!</v>
      </c>
      <c r="FR156" t="e">
        <f>AND(Sheet1!J2098,"AAAAAD/u460=")</f>
        <v>#VALUE!</v>
      </c>
      <c r="FS156" t="e">
        <f>AND(Sheet1!K2098,"AAAAAD/u464=")</f>
        <v>#VALUE!</v>
      </c>
      <c r="FT156" t="e">
        <f>AND(Sheet1!L2098,"AAAAAD/u468=")</f>
        <v>#VALUE!</v>
      </c>
      <c r="FU156" t="e">
        <f>AND(Sheet1!M2098,"AAAAAD/u47A=")</f>
        <v>#VALUE!</v>
      </c>
      <c r="FV156" t="e">
        <f>AND(Sheet1!N2098,"AAAAAD/u47E=")</f>
        <v>#VALUE!</v>
      </c>
      <c r="FW156" t="e">
        <f>AND(Sheet1!#REF!,"AAAAAD/u47I=")</f>
        <v>#REF!</v>
      </c>
      <c r="FX156" t="e">
        <f>AND(Sheet1!#REF!,"AAAAAD/u47M=")</f>
        <v>#REF!</v>
      </c>
      <c r="FY156" t="e">
        <f>AND(Sheet1!#REF!,"AAAAAD/u47Q=")</f>
        <v>#REF!</v>
      </c>
      <c r="FZ156" t="e">
        <f>AND(Sheet1!#REF!,"AAAAAD/u47U=")</f>
        <v>#REF!</v>
      </c>
      <c r="GA156">
        <f>IF(Sheet1!2099:2099,"AAAAAD/u47Y=",0)</f>
        <v>0</v>
      </c>
      <c r="GB156" t="e">
        <f>AND(Sheet1!A2099,"AAAAAD/u47c=")</f>
        <v>#VALUE!</v>
      </c>
      <c r="GC156" t="e">
        <f>AND(Sheet1!B2099,"AAAAAD/u47g=")</f>
        <v>#VALUE!</v>
      </c>
      <c r="GD156" t="e">
        <f>AND(Sheet1!C2099,"AAAAAD/u47k=")</f>
        <v>#VALUE!</v>
      </c>
      <c r="GE156" t="e">
        <f>AND(Sheet1!D2099,"AAAAAD/u47o=")</f>
        <v>#VALUE!</v>
      </c>
      <c r="GF156" t="e">
        <f>AND(Sheet1!E2099,"AAAAAD/u47s=")</f>
        <v>#VALUE!</v>
      </c>
      <c r="GG156" t="e">
        <f>AND(Sheet1!F2099,"AAAAAD/u47w=")</f>
        <v>#VALUE!</v>
      </c>
      <c r="GH156" t="e">
        <f>AND(Sheet1!G2099,"AAAAAD/u470=")</f>
        <v>#VALUE!</v>
      </c>
      <c r="GI156" t="e">
        <f>AND(Sheet1!H2099,"AAAAAD/u474=")</f>
        <v>#VALUE!</v>
      </c>
      <c r="GJ156" t="e">
        <f>AND(Sheet1!I2099,"AAAAAD/u478=")</f>
        <v>#VALUE!</v>
      </c>
      <c r="GK156" t="e">
        <f>AND(Sheet1!J2099,"AAAAAD/u48A=")</f>
        <v>#VALUE!</v>
      </c>
      <c r="GL156" t="e">
        <f>AND(Sheet1!K2099,"AAAAAD/u48E=")</f>
        <v>#VALUE!</v>
      </c>
      <c r="GM156" t="e">
        <f>AND(Sheet1!L2099,"AAAAAD/u48I=")</f>
        <v>#VALUE!</v>
      </c>
      <c r="GN156" t="e">
        <f>AND(Sheet1!M2099,"AAAAAD/u48M=")</f>
        <v>#VALUE!</v>
      </c>
      <c r="GO156" t="e">
        <f>AND(Sheet1!N2099,"AAAAAD/u48Q=")</f>
        <v>#VALUE!</v>
      </c>
      <c r="GP156" t="e">
        <f>AND(Sheet1!#REF!,"AAAAAD/u48U=")</f>
        <v>#REF!</v>
      </c>
      <c r="GQ156" t="e">
        <f>AND(Sheet1!#REF!,"AAAAAD/u48Y=")</f>
        <v>#REF!</v>
      </c>
      <c r="GR156" t="e">
        <f>AND(Sheet1!#REF!,"AAAAAD/u48c=")</f>
        <v>#REF!</v>
      </c>
      <c r="GS156" t="e">
        <f>AND(Sheet1!#REF!,"AAAAAD/u48g=")</f>
        <v>#REF!</v>
      </c>
      <c r="GT156">
        <f>IF(Sheet1!2100:2100,"AAAAAD/u48k=",0)</f>
        <v>0</v>
      </c>
      <c r="GU156" t="e">
        <f>AND(Sheet1!A2100,"AAAAAD/u48o=")</f>
        <v>#VALUE!</v>
      </c>
      <c r="GV156" t="e">
        <f>AND(Sheet1!B2100,"AAAAAD/u48s=")</f>
        <v>#VALUE!</v>
      </c>
      <c r="GW156" t="e">
        <f>AND(Sheet1!C2100,"AAAAAD/u48w=")</f>
        <v>#VALUE!</v>
      </c>
      <c r="GX156" t="e">
        <f>AND(Sheet1!D2100,"AAAAAD/u480=")</f>
        <v>#VALUE!</v>
      </c>
      <c r="GY156" t="e">
        <f>AND(Sheet1!E2100,"AAAAAD/u484=")</f>
        <v>#VALUE!</v>
      </c>
      <c r="GZ156" t="e">
        <f>AND(Sheet1!F2100,"AAAAAD/u488=")</f>
        <v>#VALUE!</v>
      </c>
      <c r="HA156" t="e">
        <f>AND(Sheet1!G2100,"AAAAAD/u49A=")</f>
        <v>#VALUE!</v>
      </c>
      <c r="HB156" t="e">
        <f>AND(Sheet1!H2100,"AAAAAD/u49E=")</f>
        <v>#VALUE!</v>
      </c>
      <c r="HC156" t="e">
        <f>AND(Sheet1!I2100,"AAAAAD/u49I=")</f>
        <v>#VALUE!</v>
      </c>
      <c r="HD156" t="e">
        <f>AND(Sheet1!J2100,"AAAAAD/u49M=")</f>
        <v>#VALUE!</v>
      </c>
      <c r="HE156" t="e">
        <f>AND(Sheet1!K2100,"AAAAAD/u49Q=")</f>
        <v>#VALUE!</v>
      </c>
      <c r="HF156" t="e">
        <f>AND(Sheet1!L2100,"AAAAAD/u49U=")</f>
        <v>#VALUE!</v>
      </c>
      <c r="HG156" t="e">
        <f>AND(Sheet1!M2100,"AAAAAD/u49Y=")</f>
        <v>#VALUE!</v>
      </c>
      <c r="HH156" t="e">
        <f>AND(Sheet1!N2100,"AAAAAD/u49c=")</f>
        <v>#VALUE!</v>
      </c>
      <c r="HI156" t="e">
        <f>AND(Sheet1!#REF!,"AAAAAD/u49g=")</f>
        <v>#REF!</v>
      </c>
      <c r="HJ156" t="e">
        <f>AND(Sheet1!#REF!,"AAAAAD/u49k=")</f>
        <v>#REF!</v>
      </c>
      <c r="HK156" t="e">
        <f>AND(Sheet1!#REF!,"AAAAAD/u49o=")</f>
        <v>#REF!</v>
      </c>
      <c r="HL156" t="e">
        <f>AND(Sheet1!#REF!,"AAAAAD/u49s=")</f>
        <v>#REF!</v>
      </c>
      <c r="HM156">
        <f>IF(Sheet1!2101:2101,"AAAAAD/u49w=",0)</f>
        <v>0</v>
      </c>
      <c r="HN156" t="e">
        <f>AND(Sheet1!A2101,"AAAAAD/u490=")</f>
        <v>#VALUE!</v>
      </c>
      <c r="HO156" t="e">
        <f>AND(Sheet1!B2101,"AAAAAD/u494=")</f>
        <v>#VALUE!</v>
      </c>
      <c r="HP156" t="e">
        <f>AND(Sheet1!C2101,"AAAAAD/u498=")</f>
        <v>#VALUE!</v>
      </c>
      <c r="HQ156" t="e">
        <f>AND(Sheet1!D2101,"AAAAAD/u4+A=")</f>
        <v>#VALUE!</v>
      </c>
      <c r="HR156" t="e">
        <f>AND(Sheet1!E2101,"AAAAAD/u4+E=")</f>
        <v>#VALUE!</v>
      </c>
      <c r="HS156" t="e">
        <f>AND(Sheet1!F2101,"AAAAAD/u4+I=")</f>
        <v>#VALUE!</v>
      </c>
      <c r="HT156" t="e">
        <f>AND(Sheet1!G2101,"AAAAAD/u4+M=")</f>
        <v>#VALUE!</v>
      </c>
      <c r="HU156" t="e">
        <f>AND(Sheet1!H2101,"AAAAAD/u4+Q=")</f>
        <v>#VALUE!</v>
      </c>
      <c r="HV156" t="e">
        <f>AND(Sheet1!I2101,"AAAAAD/u4+U=")</f>
        <v>#VALUE!</v>
      </c>
      <c r="HW156" t="e">
        <f>AND(Sheet1!J2101,"AAAAAD/u4+Y=")</f>
        <v>#VALUE!</v>
      </c>
      <c r="HX156" t="e">
        <f>AND(Sheet1!K2101,"AAAAAD/u4+c=")</f>
        <v>#VALUE!</v>
      </c>
      <c r="HY156" t="e">
        <f>AND(Sheet1!L2101,"AAAAAD/u4+g=")</f>
        <v>#VALUE!</v>
      </c>
      <c r="HZ156" t="e">
        <f>AND(Sheet1!M2101,"AAAAAD/u4+k=")</f>
        <v>#VALUE!</v>
      </c>
      <c r="IA156" t="e">
        <f>AND(Sheet1!N2101,"AAAAAD/u4+o=")</f>
        <v>#VALUE!</v>
      </c>
      <c r="IB156" t="e">
        <f>AND(Sheet1!#REF!,"AAAAAD/u4+s=")</f>
        <v>#REF!</v>
      </c>
      <c r="IC156" t="e">
        <f>AND(Sheet1!#REF!,"AAAAAD/u4+w=")</f>
        <v>#REF!</v>
      </c>
      <c r="ID156" t="e">
        <f>AND(Sheet1!#REF!,"AAAAAD/u4+0=")</f>
        <v>#REF!</v>
      </c>
      <c r="IE156" t="e">
        <f>AND(Sheet1!#REF!,"AAAAAD/u4+4=")</f>
        <v>#REF!</v>
      </c>
      <c r="IF156">
        <f>IF(Sheet1!2102:2102,"AAAAAD/u4+8=",0)</f>
        <v>0</v>
      </c>
      <c r="IG156" t="e">
        <f>AND(Sheet1!A2102,"AAAAAD/u4/A=")</f>
        <v>#VALUE!</v>
      </c>
      <c r="IH156" t="e">
        <f>AND(Sheet1!B2102,"AAAAAD/u4/E=")</f>
        <v>#VALUE!</v>
      </c>
      <c r="II156" t="e">
        <f>AND(Sheet1!C2102,"AAAAAD/u4/I=")</f>
        <v>#VALUE!</v>
      </c>
      <c r="IJ156" t="e">
        <f>AND(Sheet1!D2102,"AAAAAD/u4/M=")</f>
        <v>#VALUE!</v>
      </c>
      <c r="IK156" t="e">
        <f>AND(Sheet1!E2102,"AAAAAD/u4/Q=")</f>
        <v>#VALUE!</v>
      </c>
      <c r="IL156" t="e">
        <f>AND(Sheet1!F2102,"AAAAAD/u4/U=")</f>
        <v>#VALUE!</v>
      </c>
      <c r="IM156" t="e">
        <f>AND(Sheet1!G2102,"AAAAAD/u4/Y=")</f>
        <v>#VALUE!</v>
      </c>
      <c r="IN156" t="e">
        <f>AND(Sheet1!H2102,"AAAAAD/u4/c=")</f>
        <v>#VALUE!</v>
      </c>
      <c r="IO156" t="e">
        <f>AND(Sheet1!I2102,"AAAAAD/u4/g=")</f>
        <v>#VALUE!</v>
      </c>
      <c r="IP156" t="e">
        <f>AND(Sheet1!J2102,"AAAAAD/u4/k=")</f>
        <v>#VALUE!</v>
      </c>
      <c r="IQ156" t="e">
        <f>AND(Sheet1!K2102,"AAAAAD/u4/o=")</f>
        <v>#VALUE!</v>
      </c>
      <c r="IR156" t="e">
        <f>AND(Sheet1!L2102,"AAAAAD/u4/s=")</f>
        <v>#VALUE!</v>
      </c>
      <c r="IS156" t="e">
        <f>AND(Sheet1!M2102,"AAAAAD/u4/w=")</f>
        <v>#VALUE!</v>
      </c>
      <c r="IT156" t="e">
        <f>AND(Sheet1!N2102,"AAAAAD/u4/0=")</f>
        <v>#VALUE!</v>
      </c>
      <c r="IU156" t="e">
        <f>AND(Sheet1!#REF!,"AAAAAD/u4/4=")</f>
        <v>#REF!</v>
      </c>
      <c r="IV156" t="e">
        <f>AND(Sheet1!#REF!,"AAAAAD/u4/8=")</f>
        <v>#REF!</v>
      </c>
    </row>
    <row r="157" spans="1:256" x14ac:dyDescent="0.2">
      <c r="A157" t="e">
        <f>AND(Sheet1!#REF!,"AAAAAH++7wA=")</f>
        <v>#REF!</v>
      </c>
      <c r="B157" t="e">
        <f>AND(Sheet1!#REF!,"AAAAAH++7wE=")</f>
        <v>#REF!</v>
      </c>
      <c r="C157" t="e">
        <f>IF(Sheet1!2103:2103,"AAAAAH++7wI=",0)</f>
        <v>#VALUE!</v>
      </c>
      <c r="D157" t="e">
        <f>AND(Sheet1!A2103,"AAAAAH++7wM=")</f>
        <v>#VALUE!</v>
      </c>
      <c r="E157" t="e">
        <f>AND(Sheet1!B2103,"AAAAAH++7wQ=")</f>
        <v>#VALUE!</v>
      </c>
      <c r="F157" t="e">
        <f>AND(Sheet1!C2103,"AAAAAH++7wU=")</f>
        <v>#VALUE!</v>
      </c>
      <c r="G157" t="e">
        <f>AND(Sheet1!D2103,"AAAAAH++7wY=")</f>
        <v>#VALUE!</v>
      </c>
      <c r="H157" t="e">
        <f>AND(Sheet1!E2103,"AAAAAH++7wc=")</f>
        <v>#VALUE!</v>
      </c>
      <c r="I157" t="e">
        <f>AND(Sheet1!F2103,"AAAAAH++7wg=")</f>
        <v>#VALUE!</v>
      </c>
      <c r="J157" t="e">
        <f>AND(Sheet1!G2103,"AAAAAH++7wk=")</f>
        <v>#VALUE!</v>
      </c>
      <c r="K157" t="e">
        <f>AND(Sheet1!H2103,"AAAAAH++7wo=")</f>
        <v>#VALUE!</v>
      </c>
      <c r="L157" t="e">
        <f>AND(Sheet1!I2103,"AAAAAH++7ws=")</f>
        <v>#VALUE!</v>
      </c>
      <c r="M157" t="e">
        <f>AND(Sheet1!J2103,"AAAAAH++7ww=")</f>
        <v>#VALUE!</v>
      </c>
      <c r="N157" t="e">
        <f>AND(Sheet1!K2103,"AAAAAH++7w0=")</f>
        <v>#VALUE!</v>
      </c>
      <c r="O157" t="e">
        <f>AND(Sheet1!L2103,"AAAAAH++7w4=")</f>
        <v>#VALUE!</v>
      </c>
      <c r="P157" t="e">
        <f>AND(Sheet1!M2103,"AAAAAH++7w8=")</f>
        <v>#VALUE!</v>
      </c>
      <c r="Q157" t="e">
        <f>AND(Sheet1!N2103,"AAAAAH++7xA=")</f>
        <v>#VALUE!</v>
      </c>
      <c r="R157" t="e">
        <f>AND(Sheet1!#REF!,"AAAAAH++7xE=")</f>
        <v>#REF!</v>
      </c>
      <c r="S157" t="e">
        <f>AND(Sheet1!#REF!,"AAAAAH++7xI=")</f>
        <v>#REF!</v>
      </c>
      <c r="T157" t="e">
        <f>AND(Sheet1!#REF!,"AAAAAH++7xM=")</f>
        <v>#REF!</v>
      </c>
      <c r="U157" t="e">
        <f>AND(Sheet1!#REF!,"AAAAAH++7xQ=")</f>
        <v>#REF!</v>
      </c>
      <c r="V157">
        <f>IF(Sheet1!2104:2104,"AAAAAH++7xU=",0)</f>
        <v>0</v>
      </c>
      <c r="W157" t="e">
        <f>AND(Sheet1!A2104,"AAAAAH++7xY=")</f>
        <v>#VALUE!</v>
      </c>
      <c r="X157" t="e">
        <f>AND(Sheet1!B2104,"AAAAAH++7xc=")</f>
        <v>#VALUE!</v>
      </c>
      <c r="Y157" t="e">
        <f>AND(Sheet1!C2104,"AAAAAH++7xg=")</f>
        <v>#VALUE!</v>
      </c>
      <c r="Z157" t="e">
        <f>AND(Sheet1!D2104,"AAAAAH++7xk=")</f>
        <v>#VALUE!</v>
      </c>
      <c r="AA157" t="e">
        <f>AND(Sheet1!E2104,"AAAAAH++7xo=")</f>
        <v>#VALUE!</v>
      </c>
      <c r="AB157" t="e">
        <f>AND(Sheet1!F2104,"AAAAAH++7xs=")</f>
        <v>#VALUE!</v>
      </c>
      <c r="AC157" t="e">
        <f>AND(Sheet1!G2104,"AAAAAH++7xw=")</f>
        <v>#VALUE!</v>
      </c>
      <c r="AD157" t="e">
        <f>AND(Sheet1!H2104,"AAAAAH++7x0=")</f>
        <v>#VALUE!</v>
      </c>
      <c r="AE157" t="e">
        <f>AND(Sheet1!I2104,"AAAAAH++7x4=")</f>
        <v>#VALUE!</v>
      </c>
      <c r="AF157" t="e">
        <f>AND(Sheet1!J2104,"AAAAAH++7x8=")</f>
        <v>#VALUE!</v>
      </c>
      <c r="AG157" t="e">
        <f>AND(Sheet1!K2104,"AAAAAH++7yA=")</f>
        <v>#VALUE!</v>
      </c>
      <c r="AH157" t="e">
        <f>AND(Sheet1!L2104,"AAAAAH++7yE=")</f>
        <v>#VALUE!</v>
      </c>
      <c r="AI157" t="e">
        <f>AND(Sheet1!M2104,"AAAAAH++7yI=")</f>
        <v>#VALUE!</v>
      </c>
      <c r="AJ157" t="e">
        <f>AND(Sheet1!N2104,"AAAAAH++7yM=")</f>
        <v>#VALUE!</v>
      </c>
      <c r="AK157" t="e">
        <f>AND(Sheet1!#REF!,"AAAAAH++7yQ=")</f>
        <v>#REF!</v>
      </c>
      <c r="AL157" t="e">
        <f>AND(Sheet1!#REF!,"AAAAAH++7yU=")</f>
        <v>#REF!</v>
      </c>
      <c r="AM157" t="e">
        <f>AND(Sheet1!#REF!,"AAAAAH++7yY=")</f>
        <v>#REF!</v>
      </c>
      <c r="AN157" t="e">
        <f>AND(Sheet1!#REF!,"AAAAAH++7yc=")</f>
        <v>#REF!</v>
      </c>
      <c r="AO157">
        <f>IF(Sheet1!2105:2105,"AAAAAH++7yg=",0)</f>
        <v>0</v>
      </c>
      <c r="AP157" t="e">
        <f>AND(Sheet1!A2105,"AAAAAH++7yk=")</f>
        <v>#VALUE!</v>
      </c>
      <c r="AQ157" t="e">
        <f>AND(Sheet1!B2105,"AAAAAH++7yo=")</f>
        <v>#VALUE!</v>
      </c>
      <c r="AR157" t="e">
        <f>AND(Sheet1!C2105,"AAAAAH++7ys=")</f>
        <v>#VALUE!</v>
      </c>
      <c r="AS157" t="e">
        <f>AND(Sheet1!D2105,"AAAAAH++7yw=")</f>
        <v>#VALUE!</v>
      </c>
      <c r="AT157" t="e">
        <f>AND(Sheet1!E2105,"AAAAAH++7y0=")</f>
        <v>#VALUE!</v>
      </c>
      <c r="AU157" t="e">
        <f>AND(Sheet1!F2105,"AAAAAH++7y4=")</f>
        <v>#VALUE!</v>
      </c>
      <c r="AV157" t="e">
        <f>AND(Sheet1!G2105,"AAAAAH++7y8=")</f>
        <v>#VALUE!</v>
      </c>
      <c r="AW157" t="e">
        <f>AND(Sheet1!H2105,"AAAAAH++7zA=")</f>
        <v>#VALUE!</v>
      </c>
      <c r="AX157" t="e">
        <f>AND(Sheet1!I2105,"AAAAAH++7zE=")</f>
        <v>#VALUE!</v>
      </c>
      <c r="AY157" t="e">
        <f>AND(Sheet1!J2105,"AAAAAH++7zI=")</f>
        <v>#VALUE!</v>
      </c>
      <c r="AZ157" t="e">
        <f>AND(Sheet1!K2105,"AAAAAH++7zM=")</f>
        <v>#VALUE!</v>
      </c>
      <c r="BA157" t="e">
        <f>AND(Sheet1!L2105,"AAAAAH++7zQ=")</f>
        <v>#VALUE!</v>
      </c>
      <c r="BB157" t="e">
        <f>AND(Sheet1!M2105,"AAAAAH++7zU=")</f>
        <v>#VALUE!</v>
      </c>
      <c r="BC157" t="e">
        <f>AND(Sheet1!N2105,"AAAAAH++7zY=")</f>
        <v>#VALUE!</v>
      </c>
      <c r="BD157" t="e">
        <f>AND(Sheet1!#REF!,"AAAAAH++7zc=")</f>
        <v>#REF!</v>
      </c>
      <c r="BE157" t="e">
        <f>AND(Sheet1!#REF!,"AAAAAH++7zg=")</f>
        <v>#REF!</v>
      </c>
      <c r="BF157" t="e">
        <f>AND(Sheet1!#REF!,"AAAAAH++7zk=")</f>
        <v>#REF!</v>
      </c>
      <c r="BG157" t="e">
        <f>AND(Sheet1!#REF!,"AAAAAH++7zo=")</f>
        <v>#REF!</v>
      </c>
      <c r="BH157">
        <f>IF(Sheet1!2106:2106,"AAAAAH++7zs=",0)</f>
        <v>0</v>
      </c>
      <c r="BI157" t="e">
        <f>AND(Sheet1!A2106,"AAAAAH++7zw=")</f>
        <v>#VALUE!</v>
      </c>
      <c r="BJ157" t="e">
        <f>AND(Sheet1!B2106,"AAAAAH++7z0=")</f>
        <v>#VALUE!</v>
      </c>
      <c r="BK157" t="e">
        <f>AND(Sheet1!C2106,"AAAAAH++7z4=")</f>
        <v>#VALUE!</v>
      </c>
      <c r="BL157" t="e">
        <f>AND(Sheet1!D2106,"AAAAAH++7z8=")</f>
        <v>#VALUE!</v>
      </c>
      <c r="BM157" t="e">
        <f>AND(Sheet1!E2106,"AAAAAH++70A=")</f>
        <v>#VALUE!</v>
      </c>
      <c r="BN157" t="e">
        <f>AND(Sheet1!F2106,"AAAAAH++70E=")</f>
        <v>#VALUE!</v>
      </c>
      <c r="BO157" t="e">
        <f>AND(Sheet1!G2106,"AAAAAH++70I=")</f>
        <v>#VALUE!</v>
      </c>
      <c r="BP157" t="e">
        <f>AND(Sheet1!H2106,"AAAAAH++70M=")</f>
        <v>#VALUE!</v>
      </c>
      <c r="BQ157" t="e">
        <f>AND(Sheet1!I2106,"AAAAAH++70Q=")</f>
        <v>#VALUE!</v>
      </c>
      <c r="BR157" t="e">
        <f>AND(Sheet1!J2106,"AAAAAH++70U=")</f>
        <v>#VALUE!</v>
      </c>
      <c r="BS157" t="e">
        <f>AND(Sheet1!K2106,"AAAAAH++70Y=")</f>
        <v>#VALUE!</v>
      </c>
      <c r="BT157" t="e">
        <f>AND(Sheet1!L2106,"AAAAAH++70c=")</f>
        <v>#VALUE!</v>
      </c>
      <c r="BU157" t="e">
        <f>AND(Sheet1!M2106,"AAAAAH++70g=")</f>
        <v>#VALUE!</v>
      </c>
      <c r="BV157" t="e">
        <f>AND(Sheet1!N2106,"AAAAAH++70k=")</f>
        <v>#VALUE!</v>
      </c>
      <c r="BW157" t="e">
        <f>AND(Sheet1!#REF!,"AAAAAH++70o=")</f>
        <v>#REF!</v>
      </c>
      <c r="BX157" t="e">
        <f>AND(Sheet1!#REF!,"AAAAAH++70s=")</f>
        <v>#REF!</v>
      </c>
      <c r="BY157" t="e">
        <f>AND(Sheet1!#REF!,"AAAAAH++70w=")</f>
        <v>#REF!</v>
      </c>
      <c r="BZ157" t="e">
        <f>AND(Sheet1!#REF!,"AAAAAH++700=")</f>
        <v>#REF!</v>
      </c>
      <c r="CA157">
        <f>IF(Sheet1!2107:2107,"AAAAAH++704=",0)</f>
        <v>0</v>
      </c>
      <c r="CB157" t="e">
        <f>AND(Sheet1!A2107,"AAAAAH++708=")</f>
        <v>#VALUE!</v>
      </c>
      <c r="CC157" t="e">
        <f>AND(Sheet1!B2107,"AAAAAH++71A=")</f>
        <v>#VALUE!</v>
      </c>
      <c r="CD157" t="e">
        <f>AND(Sheet1!C2107,"AAAAAH++71E=")</f>
        <v>#VALUE!</v>
      </c>
      <c r="CE157" t="e">
        <f>AND(Sheet1!D2107,"AAAAAH++71I=")</f>
        <v>#VALUE!</v>
      </c>
      <c r="CF157" t="e">
        <f>AND(Sheet1!E2107,"AAAAAH++71M=")</f>
        <v>#VALUE!</v>
      </c>
      <c r="CG157" t="e">
        <f>AND(Sheet1!F2107,"AAAAAH++71Q=")</f>
        <v>#VALUE!</v>
      </c>
      <c r="CH157" t="e">
        <f>AND(Sheet1!G2107,"AAAAAH++71U=")</f>
        <v>#VALUE!</v>
      </c>
      <c r="CI157" t="e">
        <f>AND(Sheet1!H2107,"AAAAAH++71Y=")</f>
        <v>#VALUE!</v>
      </c>
      <c r="CJ157" t="e">
        <f>AND(Sheet1!I2107,"AAAAAH++71c=")</f>
        <v>#VALUE!</v>
      </c>
      <c r="CK157" t="e">
        <f>AND(Sheet1!J2107,"AAAAAH++71g=")</f>
        <v>#VALUE!</v>
      </c>
      <c r="CL157" t="e">
        <f>AND(Sheet1!K2107,"AAAAAH++71k=")</f>
        <v>#VALUE!</v>
      </c>
      <c r="CM157" t="e">
        <f>AND(Sheet1!L2107,"AAAAAH++71o=")</f>
        <v>#VALUE!</v>
      </c>
      <c r="CN157" t="e">
        <f>AND(Sheet1!M2107,"AAAAAH++71s=")</f>
        <v>#VALUE!</v>
      </c>
      <c r="CO157" t="e">
        <f>AND(Sheet1!N2107,"AAAAAH++71w=")</f>
        <v>#VALUE!</v>
      </c>
      <c r="CP157" t="e">
        <f>AND(Sheet1!#REF!,"AAAAAH++710=")</f>
        <v>#REF!</v>
      </c>
      <c r="CQ157" t="e">
        <f>AND(Sheet1!#REF!,"AAAAAH++714=")</f>
        <v>#REF!</v>
      </c>
      <c r="CR157" t="e">
        <f>AND(Sheet1!#REF!,"AAAAAH++718=")</f>
        <v>#REF!</v>
      </c>
      <c r="CS157" t="e">
        <f>AND(Sheet1!#REF!,"AAAAAH++72A=")</f>
        <v>#REF!</v>
      </c>
      <c r="CT157">
        <f>IF(Sheet1!2108:2108,"AAAAAH++72E=",0)</f>
        <v>0</v>
      </c>
      <c r="CU157" t="e">
        <f>AND(Sheet1!A2108,"AAAAAH++72I=")</f>
        <v>#VALUE!</v>
      </c>
      <c r="CV157" t="e">
        <f>AND(Sheet1!B2108,"AAAAAH++72M=")</f>
        <v>#VALUE!</v>
      </c>
      <c r="CW157" t="e">
        <f>AND(Sheet1!C2108,"AAAAAH++72Q=")</f>
        <v>#VALUE!</v>
      </c>
      <c r="CX157" t="e">
        <f>AND(Sheet1!D2108,"AAAAAH++72U=")</f>
        <v>#VALUE!</v>
      </c>
      <c r="CY157" t="e">
        <f>AND(Sheet1!E2108,"AAAAAH++72Y=")</f>
        <v>#VALUE!</v>
      </c>
      <c r="CZ157" t="e">
        <f>AND(Sheet1!F2108,"AAAAAH++72c=")</f>
        <v>#VALUE!</v>
      </c>
      <c r="DA157" t="e">
        <f>AND(Sheet1!G2108,"AAAAAH++72g=")</f>
        <v>#VALUE!</v>
      </c>
      <c r="DB157" t="e">
        <f>AND(Sheet1!H2108,"AAAAAH++72k=")</f>
        <v>#VALUE!</v>
      </c>
      <c r="DC157" t="e">
        <f>AND(Sheet1!I2108,"AAAAAH++72o=")</f>
        <v>#VALUE!</v>
      </c>
      <c r="DD157" t="e">
        <f>AND(Sheet1!J2108,"AAAAAH++72s=")</f>
        <v>#VALUE!</v>
      </c>
      <c r="DE157" t="e">
        <f>AND(Sheet1!K2108,"AAAAAH++72w=")</f>
        <v>#VALUE!</v>
      </c>
      <c r="DF157" t="e">
        <f>AND(Sheet1!L2108,"AAAAAH++720=")</f>
        <v>#VALUE!</v>
      </c>
      <c r="DG157" t="e">
        <f>AND(Sheet1!M2108,"AAAAAH++724=")</f>
        <v>#VALUE!</v>
      </c>
      <c r="DH157" t="e">
        <f>AND(Sheet1!N2108,"AAAAAH++728=")</f>
        <v>#VALUE!</v>
      </c>
      <c r="DI157" t="e">
        <f>AND(Sheet1!#REF!,"AAAAAH++73A=")</f>
        <v>#REF!</v>
      </c>
      <c r="DJ157" t="e">
        <f>AND(Sheet1!#REF!,"AAAAAH++73E=")</f>
        <v>#REF!</v>
      </c>
      <c r="DK157" t="e">
        <f>AND(Sheet1!#REF!,"AAAAAH++73I=")</f>
        <v>#REF!</v>
      </c>
      <c r="DL157" t="e">
        <f>AND(Sheet1!#REF!,"AAAAAH++73M=")</f>
        <v>#REF!</v>
      </c>
      <c r="DM157">
        <f>IF(Sheet1!2109:2109,"AAAAAH++73Q=",0)</f>
        <v>0</v>
      </c>
      <c r="DN157" t="e">
        <f>AND(Sheet1!A2109,"AAAAAH++73U=")</f>
        <v>#VALUE!</v>
      </c>
      <c r="DO157" t="e">
        <f>AND(Sheet1!B2109,"AAAAAH++73Y=")</f>
        <v>#VALUE!</v>
      </c>
      <c r="DP157" t="e">
        <f>AND(Sheet1!C2109,"AAAAAH++73c=")</f>
        <v>#VALUE!</v>
      </c>
      <c r="DQ157" t="e">
        <f>AND(Sheet1!D2109,"AAAAAH++73g=")</f>
        <v>#VALUE!</v>
      </c>
      <c r="DR157" t="e">
        <f>AND(Sheet1!E2109,"AAAAAH++73k=")</f>
        <v>#VALUE!</v>
      </c>
      <c r="DS157" t="e">
        <f>AND(Sheet1!F2109,"AAAAAH++73o=")</f>
        <v>#VALUE!</v>
      </c>
      <c r="DT157" t="e">
        <f>AND(Sheet1!G2109,"AAAAAH++73s=")</f>
        <v>#VALUE!</v>
      </c>
      <c r="DU157" t="e">
        <f>AND(Sheet1!H2109,"AAAAAH++73w=")</f>
        <v>#VALUE!</v>
      </c>
      <c r="DV157" t="e">
        <f>AND(Sheet1!I2109,"AAAAAH++730=")</f>
        <v>#VALUE!</v>
      </c>
      <c r="DW157" t="e">
        <f>AND(Sheet1!J2109,"AAAAAH++734=")</f>
        <v>#VALUE!</v>
      </c>
      <c r="DX157" t="e">
        <f>AND(Sheet1!K2109,"AAAAAH++738=")</f>
        <v>#VALUE!</v>
      </c>
      <c r="DY157" t="e">
        <f>AND(Sheet1!L2109,"AAAAAH++74A=")</f>
        <v>#VALUE!</v>
      </c>
      <c r="DZ157" t="e">
        <f>AND(Sheet1!M2109,"AAAAAH++74E=")</f>
        <v>#VALUE!</v>
      </c>
      <c r="EA157" t="e">
        <f>AND(Sheet1!N2109,"AAAAAH++74I=")</f>
        <v>#VALUE!</v>
      </c>
      <c r="EB157" t="e">
        <f>AND(Sheet1!#REF!,"AAAAAH++74M=")</f>
        <v>#REF!</v>
      </c>
      <c r="EC157" t="e">
        <f>AND(Sheet1!#REF!,"AAAAAH++74Q=")</f>
        <v>#REF!</v>
      </c>
      <c r="ED157" t="e">
        <f>AND(Sheet1!#REF!,"AAAAAH++74U=")</f>
        <v>#REF!</v>
      </c>
      <c r="EE157" t="e">
        <f>AND(Sheet1!#REF!,"AAAAAH++74Y=")</f>
        <v>#REF!</v>
      </c>
      <c r="EF157">
        <f>IF(Sheet1!2110:2110,"AAAAAH++74c=",0)</f>
        <v>0</v>
      </c>
      <c r="EG157" t="e">
        <f>AND(Sheet1!A2110,"AAAAAH++74g=")</f>
        <v>#VALUE!</v>
      </c>
      <c r="EH157" t="e">
        <f>AND(Sheet1!B2110,"AAAAAH++74k=")</f>
        <v>#VALUE!</v>
      </c>
      <c r="EI157" t="e">
        <f>AND(Sheet1!C2110,"AAAAAH++74o=")</f>
        <v>#VALUE!</v>
      </c>
      <c r="EJ157" t="e">
        <f>AND(Sheet1!D2110,"AAAAAH++74s=")</f>
        <v>#VALUE!</v>
      </c>
      <c r="EK157" t="e">
        <f>AND(Sheet1!E2110,"AAAAAH++74w=")</f>
        <v>#VALUE!</v>
      </c>
      <c r="EL157" t="e">
        <f>AND(Sheet1!F2110,"AAAAAH++740=")</f>
        <v>#VALUE!</v>
      </c>
      <c r="EM157" t="e">
        <f>AND(Sheet1!G2110,"AAAAAH++744=")</f>
        <v>#VALUE!</v>
      </c>
      <c r="EN157" t="e">
        <f>AND(Sheet1!H2110,"AAAAAH++748=")</f>
        <v>#VALUE!</v>
      </c>
      <c r="EO157" t="e">
        <f>AND(Sheet1!I2110,"AAAAAH++75A=")</f>
        <v>#VALUE!</v>
      </c>
      <c r="EP157" t="e">
        <f>AND(Sheet1!J2110,"AAAAAH++75E=")</f>
        <v>#VALUE!</v>
      </c>
      <c r="EQ157" t="e">
        <f>AND(Sheet1!K2110,"AAAAAH++75I=")</f>
        <v>#VALUE!</v>
      </c>
      <c r="ER157" t="e">
        <f>AND(Sheet1!L2110,"AAAAAH++75M=")</f>
        <v>#VALUE!</v>
      </c>
      <c r="ES157" t="e">
        <f>AND(Sheet1!M2110,"AAAAAH++75Q=")</f>
        <v>#VALUE!</v>
      </c>
      <c r="ET157" t="e">
        <f>AND(Sheet1!N2110,"AAAAAH++75U=")</f>
        <v>#VALUE!</v>
      </c>
      <c r="EU157" t="e">
        <f>AND(Sheet1!#REF!,"AAAAAH++75Y=")</f>
        <v>#REF!</v>
      </c>
      <c r="EV157" t="e">
        <f>AND(Sheet1!#REF!,"AAAAAH++75c=")</f>
        <v>#REF!</v>
      </c>
      <c r="EW157" t="e">
        <f>AND(Sheet1!#REF!,"AAAAAH++75g=")</f>
        <v>#REF!</v>
      </c>
      <c r="EX157" t="e">
        <f>AND(Sheet1!#REF!,"AAAAAH++75k=")</f>
        <v>#REF!</v>
      </c>
      <c r="EY157">
        <f>IF(Sheet1!2111:2111,"AAAAAH++75o=",0)</f>
        <v>0</v>
      </c>
      <c r="EZ157" t="e">
        <f>AND(Sheet1!A2111,"AAAAAH++75s=")</f>
        <v>#VALUE!</v>
      </c>
      <c r="FA157" t="e">
        <f>AND(Sheet1!B2111,"AAAAAH++75w=")</f>
        <v>#VALUE!</v>
      </c>
      <c r="FB157" t="e">
        <f>AND(Sheet1!C2111,"AAAAAH++750=")</f>
        <v>#VALUE!</v>
      </c>
      <c r="FC157" t="e">
        <f>AND(Sheet1!D2111,"AAAAAH++754=")</f>
        <v>#VALUE!</v>
      </c>
      <c r="FD157" t="e">
        <f>AND(Sheet1!E2111,"AAAAAH++758=")</f>
        <v>#VALUE!</v>
      </c>
      <c r="FE157" t="e">
        <f>AND(Sheet1!F2111,"AAAAAH++76A=")</f>
        <v>#VALUE!</v>
      </c>
      <c r="FF157" t="e">
        <f>AND(Sheet1!G2111,"AAAAAH++76E=")</f>
        <v>#VALUE!</v>
      </c>
      <c r="FG157" t="e">
        <f>AND(Sheet1!H2111,"AAAAAH++76I=")</f>
        <v>#VALUE!</v>
      </c>
      <c r="FH157" t="e">
        <f>AND(Sheet1!I2111,"AAAAAH++76M=")</f>
        <v>#VALUE!</v>
      </c>
      <c r="FI157" t="e">
        <f>AND(Sheet1!J2111,"AAAAAH++76Q=")</f>
        <v>#VALUE!</v>
      </c>
      <c r="FJ157" t="e">
        <f>AND(Sheet1!K2111,"AAAAAH++76U=")</f>
        <v>#VALUE!</v>
      </c>
      <c r="FK157" t="e">
        <f>AND(Sheet1!L2111,"AAAAAH++76Y=")</f>
        <v>#VALUE!</v>
      </c>
      <c r="FL157" t="e">
        <f>AND(Sheet1!M2111,"AAAAAH++76c=")</f>
        <v>#VALUE!</v>
      </c>
      <c r="FM157" t="e">
        <f>AND(Sheet1!N2111,"AAAAAH++76g=")</f>
        <v>#VALUE!</v>
      </c>
      <c r="FN157" t="e">
        <f>AND(Sheet1!#REF!,"AAAAAH++76k=")</f>
        <v>#REF!</v>
      </c>
      <c r="FO157" t="e">
        <f>AND(Sheet1!#REF!,"AAAAAH++76o=")</f>
        <v>#REF!</v>
      </c>
      <c r="FP157" t="e">
        <f>AND(Sheet1!#REF!,"AAAAAH++76s=")</f>
        <v>#REF!</v>
      </c>
      <c r="FQ157" t="e">
        <f>AND(Sheet1!#REF!,"AAAAAH++76w=")</f>
        <v>#REF!</v>
      </c>
      <c r="FR157">
        <f>IF(Sheet1!2112:2112,"AAAAAH++760=",0)</f>
        <v>0</v>
      </c>
      <c r="FS157" t="e">
        <f>AND(Sheet1!A2112,"AAAAAH++764=")</f>
        <v>#VALUE!</v>
      </c>
      <c r="FT157" t="e">
        <f>AND(Sheet1!B2112,"AAAAAH++768=")</f>
        <v>#VALUE!</v>
      </c>
      <c r="FU157" t="e">
        <f>AND(Sheet1!C2112,"AAAAAH++77A=")</f>
        <v>#VALUE!</v>
      </c>
      <c r="FV157" t="e">
        <f>AND(Sheet1!D2112,"AAAAAH++77E=")</f>
        <v>#VALUE!</v>
      </c>
      <c r="FW157" t="e">
        <f>AND(Sheet1!E2112,"AAAAAH++77I=")</f>
        <v>#VALUE!</v>
      </c>
      <c r="FX157" t="e">
        <f>AND(Sheet1!F2112,"AAAAAH++77M=")</f>
        <v>#VALUE!</v>
      </c>
      <c r="FY157" t="e">
        <f>AND(Sheet1!G2112,"AAAAAH++77Q=")</f>
        <v>#VALUE!</v>
      </c>
      <c r="FZ157" t="e">
        <f>AND(Sheet1!H2112,"AAAAAH++77U=")</f>
        <v>#VALUE!</v>
      </c>
      <c r="GA157" t="e">
        <f>AND(Sheet1!I2112,"AAAAAH++77Y=")</f>
        <v>#VALUE!</v>
      </c>
      <c r="GB157" t="e">
        <f>AND(Sheet1!J2112,"AAAAAH++77c=")</f>
        <v>#VALUE!</v>
      </c>
      <c r="GC157" t="e">
        <f>AND(Sheet1!K2112,"AAAAAH++77g=")</f>
        <v>#VALUE!</v>
      </c>
      <c r="GD157" t="e">
        <f>AND(Sheet1!L2112,"AAAAAH++77k=")</f>
        <v>#VALUE!</v>
      </c>
      <c r="GE157" t="e">
        <f>AND(Sheet1!M2112,"AAAAAH++77o=")</f>
        <v>#VALUE!</v>
      </c>
      <c r="GF157" t="e">
        <f>AND(Sheet1!N2112,"AAAAAH++77s=")</f>
        <v>#VALUE!</v>
      </c>
      <c r="GG157" t="e">
        <f>AND(Sheet1!#REF!,"AAAAAH++77w=")</f>
        <v>#REF!</v>
      </c>
      <c r="GH157" t="e">
        <f>AND(Sheet1!#REF!,"AAAAAH++770=")</f>
        <v>#REF!</v>
      </c>
      <c r="GI157" t="e">
        <f>AND(Sheet1!#REF!,"AAAAAH++774=")</f>
        <v>#REF!</v>
      </c>
      <c r="GJ157" t="e">
        <f>AND(Sheet1!#REF!,"AAAAAH++778=")</f>
        <v>#REF!</v>
      </c>
      <c r="GK157">
        <f>IF(Sheet1!2113:2113,"AAAAAH++78A=",0)</f>
        <v>0</v>
      </c>
      <c r="GL157" t="e">
        <f>AND(Sheet1!A2113,"AAAAAH++78E=")</f>
        <v>#VALUE!</v>
      </c>
      <c r="GM157" t="e">
        <f>AND(Sheet1!B2113,"AAAAAH++78I=")</f>
        <v>#VALUE!</v>
      </c>
      <c r="GN157" t="e">
        <f>AND(Sheet1!C2113,"AAAAAH++78M=")</f>
        <v>#VALUE!</v>
      </c>
      <c r="GO157" t="e">
        <f>AND(Sheet1!D2113,"AAAAAH++78Q=")</f>
        <v>#VALUE!</v>
      </c>
      <c r="GP157" t="e">
        <f>AND(Sheet1!E2113,"AAAAAH++78U=")</f>
        <v>#VALUE!</v>
      </c>
      <c r="GQ157" t="e">
        <f>AND(Sheet1!F2113,"AAAAAH++78Y=")</f>
        <v>#VALUE!</v>
      </c>
      <c r="GR157" t="e">
        <f>AND(Sheet1!G2113,"AAAAAH++78c=")</f>
        <v>#VALUE!</v>
      </c>
      <c r="GS157" t="e">
        <f>AND(Sheet1!H2113,"AAAAAH++78g=")</f>
        <v>#VALUE!</v>
      </c>
      <c r="GT157" t="e">
        <f>AND(Sheet1!I2113,"AAAAAH++78k=")</f>
        <v>#VALUE!</v>
      </c>
      <c r="GU157" t="e">
        <f>AND(Sheet1!J2113,"AAAAAH++78o=")</f>
        <v>#VALUE!</v>
      </c>
      <c r="GV157" t="e">
        <f>AND(Sheet1!K2113,"AAAAAH++78s=")</f>
        <v>#VALUE!</v>
      </c>
      <c r="GW157" t="e">
        <f>AND(Sheet1!L2113,"AAAAAH++78w=")</f>
        <v>#VALUE!</v>
      </c>
      <c r="GX157" t="e">
        <f>AND(Sheet1!M2113,"AAAAAH++780=")</f>
        <v>#VALUE!</v>
      </c>
      <c r="GY157" t="e">
        <f>AND(Sheet1!N2113,"AAAAAH++784=")</f>
        <v>#VALUE!</v>
      </c>
      <c r="GZ157" t="e">
        <f>AND(Sheet1!#REF!,"AAAAAH++788=")</f>
        <v>#REF!</v>
      </c>
      <c r="HA157" t="e">
        <f>AND(Sheet1!#REF!,"AAAAAH++79A=")</f>
        <v>#REF!</v>
      </c>
      <c r="HB157" t="e">
        <f>AND(Sheet1!#REF!,"AAAAAH++79E=")</f>
        <v>#REF!</v>
      </c>
      <c r="HC157" t="e">
        <f>AND(Sheet1!#REF!,"AAAAAH++79I=")</f>
        <v>#REF!</v>
      </c>
      <c r="HD157">
        <f>IF(Sheet1!2114:2114,"AAAAAH++79M=",0)</f>
        <v>0</v>
      </c>
      <c r="HE157" t="e">
        <f>AND(Sheet1!A2114,"AAAAAH++79Q=")</f>
        <v>#VALUE!</v>
      </c>
      <c r="HF157" t="e">
        <f>AND(Sheet1!B2114,"AAAAAH++79U=")</f>
        <v>#VALUE!</v>
      </c>
      <c r="HG157" t="e">
        <f>AND(Sheet1!C2114,"AAAAAH++79Y=")</f>
        <v>#VALUE!</v>
      </c>
      <c r="HH157" t="e">
        <f>AND(Sheet1!D2114,"AAAAAH++79c=")</f>
        <v>#VALUE!</v>
      </c>
      <c r="HI157" t="e">
        <f>AND(Sheet1!E2114,"AAAAAH++79g=")</f>
        <v>#VALUE!</v>
      </c>
      <c r="HJ157" t="e">
        <f>AND(Sheet1!F2114,"AAAAAH++79k=")</f>
        <v>#VALUE!</v>
      </c>
      <c r="HK157" t="e">
        <f>AND(Sheet1!G2114,"AAAAAH++79o=")</f>
        <v>#VALUE!</v>
      </c>
      <c r="HL157" t="e">
        <f>AND(Sheet1!H2114,"AAAAAH++79s=")</f>
        <v>#VALUE!</v>
      </c>
      <c r="HM157" t="e">
        <f>AND(Sheet1!I2114,"AAAAAH++79w=")</f>
        <v>#VALUE!</v>
      </c>
      <c r="HN157" t="e">
        <f>AND(Sheet1!J2114,"AAAAAH++790=")</f>
        <v>#VALUE!</v>
      </c>
      <c r="HO157" t="e">
        <f>AND(Sheet1!K2114,"AAAAAH++794=")</f>
        <v>#VALUE!</v>
      </c>
      <c r="HP157" t="e">
        <f>AND(Sheet1!L2114,"AAAAAH++798=")</f>
        <v>#VALUE!</v>
      </c>
      <c r="HQ157" t="e">
        <f>AND(Sheet1!M2114,"AAAAAH++7+A=")</f>
        <v>#VALUE!</v>
      </c>
      <c r="HR157" t="e">
        <f>AND(Sheet1!N2114,"AAAAAH++7+E=")</f>
        <v>#VALUE!</v>
      </c>
      <c r="HS157" t="e">
        <f>AND(Sheet1!#REF!,"AAAAAH++7+I=")</f>
        <v>#REF!</v>
      </c>
      <c r="HT157" t="e">
        <f>AND(Sheet1!#REF!,"AAAAAH++7+M=")</f>
        <v>#REF!</v>
      </c>
      <c r="HU157" t="e">
        <f>AND(Sheet1!#REF!,"AAAAAH++7+Q=")</f>
        <v>#REF!</v>
      </c>
      <c r="HV157" t="e">
        <f>AND(Sheet1!#REF!,"AAAAAH++7+U=")</f>
        <v>#REF!</v>
      </c>
      <c r="HW157">
        <f>IF(Sheet1!2115:2115,"AAAAAH++7+Y=",0)</f>
        <v>0</v>
      </c>
      <c r="HX157" t="e">
        <f>AND(Sheet1!A2115,"AAAAAH++7+c=")</f>
        <v>#VALUE!</v>
      </c>
      <c r="HY157" t="e">
        <f>AND(Sheet1!B2115,"AAAAAH++7+g=")</f>
        <v>#VALUE!</v>
      </c>
      <c r="HZ157" t="e">
        <f>AND(Sheet1!C2115,"AAAAAH++7+k=")</f>
        <v>#VALUE!</v>
      </c>
      <c r="IA157" t="e">
        <f>AND(Sheet1!D2115,"AAAAAH++7+o=")</f>
        <v>#VALUE!</v>
      </c>
      <c r="IB157" t="e">
        <f>AND(Sheet1!E2115,"AAAAAH++7+s=")</f>
        <v>#VALUE!</v>
      </c>
      <c r="IC157" t="e">
        <f>AND(Sheet1!F2115,"AAAAAH++7+w=")</f>
        <v>#VALUE!</v>
      </c>
      <c r="ID157" t="e">
        <f>AND(Sheet1!G2115,"AAAAAH++7+0=")</f>
        <v>#VALUE!</v>
      </c>
      <c r="IE157" t="e">
        <f>AND(Sheet1!H2115,"AAAAAH++7+4=")</f>
        <v>#VALUE!</v>
      </c>
      <c r="IF157" t="e">
        <f>AND(Sheet1!I2115,"AAAAAH++7+8=")</f>
        <v>#VALUE!</v>
      </c>
      <c r="IG157" t="e">
        <f>AND(Sheet1!J2115,"AAAAAH++7/A=")</f>
        <v>#VALUE!</v>
      </c>
      <c r="IH157" t="e">
        <f>AND(Sheet1!K2115,"AAAAAH++7/E=")</f>
        <v>#VALUE!</v>
      </c>
      <c r="II157" t="e">
        <f>AND(Sheet1!L2115,"AAAAAH++7/I=")</f>
        <v>#VALUE!</v>
      </c>
      <c r="IJ157" t="e">
        <f>AND(Sheet1!M2115,"AAAAAH++7/M=")</f>
        <v>#VALUE!</v>
      </c>
      <c r="IK157" t="e">
        <f>AND(Sheet1!N2115,"AAAAAH++7/Q=")</f>
        <v>#VALUE!</v>
      </c>
      <c r="IL157" t="e">
        <f>AND(Sheet1!#REF!,"AAAAAH++7/U=")</f>
        <v>#REF!</v>
      </c>
      <c r="IM157" t="e">
        <f>AND(Sheet1!#REF!,"AAAAAH++7/Y=")</f>
        <v>#REF!</v>
      </c>
      <c r="IN157" t="e">
        <f>AND(Sheet1!#REF!,"AAAAAH++7/c=")</f>
        <v>#REF!</v>
      </c>
      <c r="IO157" t="e">
        <f>AND(Sheet1!#REF!,"AAAAAH++7/g=")</f>
        <v>#REF!</v>
      </c>
      <c r="IP157">
        <f>IF(Sheet1!2116:2116,"AAAAAH++7/k=",0)</f>
        <v>0</v>
      </c>
      <c r="IQ157" t="e">
        <f>AND(Sheet1!A2116,"AAAAAH++7/o=")</f>
        <v>#VALUE!</v>
      </c>
      <c r="IR157" t="e">
        <f>AND(Sheet1!B2116,"AAAAAH++7/s=")</f>
        <v>#VALUE!</v>
      </c>
      <c r="IS157" t="e">
        <f>AND(Sheet1!C2116,"AAAAAH++7/w=")</f>
        <v>#VALUE!</v>
      </c>
      <c r="IT157" t="e">
        <f>AND(Sheet1!D2116,"AAAAAH++7/0=")</f>
        <v>#VALUE!</v>
      </c>
      <c r="IU157" t="e">
        <f>AND(Sheet1!E2116,"AAAAAH++7/4=")</f>
        <v>#VALUE!</v>
      </c>
      <c r="IV157" t="e">
        <f>AND(Sheet1!F2116,"AAAAAH++7/8=")</f>
        <v>#VALUE!</v>
      </c>
    </row>
    <row r="158" spans="1:256" x14ac:dyDescent="0.2">
      <c r="A158" t="e">
        <f>AND(Sheet1!G2116,"AAAAAHj+fwA=")</f>
        <v>#VALUE!</v>
      </c>
      <c r="B158" t="e">
        <f>AND(Sheet1!H2116,"AAAAAHj+fwE=")</f>
        <v>#VALUE!</v>
      </c>
      <c r="C158" t="e">
        <f>AND(Sheet1!I2116,"AAAAAHj+fwI=")</f>
        <v>#VALUE!</v>
      </c>
      <c r="D158" t="e">
        <f>AND(Sheet1!J2116,"AAAAAHj+fwM=")</f>
        <v>#VALUE!</v>
      </c>
      <c r="E158" t="e">
        <f>AND(Sheet1!K2116,"AAAAAHj+fwQ=")</f>
        <v>#VALUE!</v>
      </c>
      <c r="F158" t="e">
        <f>AND(Sheet1!L2116,"AAAAAHj+fwU=")</f>
        <v>#VALUE!</v>
      </c>
      <c r="G158" t="e">
        <f>AND(Sheet1!M2116,"AAAAAHj+fwY=")</f>
        <v>#VALUE!</v>
      </c>
      <c r="H158" t="e">
        <f>AND(Sheet1!N2116,"AAAAAHj+fwc=")</f>
        <v>#VALUE!</v>
      </c>
      <c r="I158" t="e">
        <f>AND(Sheet1!#REF!,"AAAAAHj+fwg=")</f>
        <v>#REF!</v>
      </c>
      <c r="J158" t="e">
        <f>AND(Sheet1!#REF!,"AAAAAHj+fwk=")</f>
        <v>#REF!</v>
      </c>
      <c r="K158" t="e">
        <f>AND(Sheet1!#REF!,"AAAAAHj+fwo=")</f>
        <v>#REF!</v>
      </c>
      <c r="L158" t="e">
        <f>AND(Sheet1!#REF!,"AAAAAHj+fws=")</f>
        <v>#REF!</v>
      </c>
      <c r="M158" t="str">
        <f>IF(Sheet1!2117:2117,"AAAAAHj+fww=",0)</f>
        <v>AAAAAHj+fww=</v>
      </c>
      <c r="N158" t="e">
        <f>AND(Sheet1!A2117,"AAAAAHj+fw0=")</f>
        <v>#VALUE!</v>
      </c>
      <c r="O158" t="e">
        <f>AND(Sheet1!B2117,"AAAAAHj+fw4=")</f>
        <v>#VALUE!</v>
      </c>
      <c r="P158" t="e">
        <f>AND(Sheet1!C2117,"AAAAAHj+fw8=")</f>
        <v>#VALUE!</v>
      </c>
      <c r="Q158" t="e">
        <f>AND(Sheet1!D2117,"AAAAAHj+fxA=")</f>
        <v>#VALUE!</v>
      </c>
      <c r="R158" t="e">
        <f>AND(Sheet1!E2117,"AAAAAHj+fxE=")</f>
        <v>#VALUE!</v>
      </c>
      <c r="S158" t="e">
        <f>AND(Sheet1!F2117,"AAAAAHj+fxI=")</f>
        <v>#VALUE!</v>
      </c>
      <c r="T158" t="e">
        <f>AND(Sheet1!G2117,"AAAAAHj+fxM=")</f>
        <v>#VALUE!</v>
      </c>
      <c r="U158" t="e">
        <f>AND(Sheet1!H2117,"AAAAAHj+fxQ=")</f>
        <v>#VALUE!</v>
      </c>
      <c r="V158" t="e">
        <f>AND(Sheet1!I2117,"AAAAAHj+fxU=")</f>
        <v>#VALUE!</v>
      </c>
      <c r="W158" t="e">
        <f>AND(Sheet1!J2117,"AAAAAHj+fxY=")</f>
        <v>#VALUE!</v>
      </c>
      <c r="X158" t="e">
        <f>AND(Sheet1!K2117,"AAAAAHj+fxc=")</f>
        <v>#VALUE!</v>
      </c>
      <c r="Y158" t="e">
        <f>AND(Sheet1!L2117,"AAAAAHj+fxg=")</f>
        <v>#VALUE!</v>
      </c>
      <c r="Z158" t="e">
        <f>AND(Sheet1!M2117,"AAAAAHj+fxk=")</f>
        <v>#VALUE!</v>
      </c>
      <c r="AA158" t="e">
        <f>AND(Sheet1!N2117,"AAAAAHj+fxo=")</f>
        <v>#VALUE!</v>
      </c>
      <c r="AB158" t="e">
        <f>AND(Sheet1!#REF!,"AAAAAHj+fxs=")</f>
        <v>#REF!</v>
      </c>
      <c r="AC158" t="e">
        <f>AND(Sheet1!#REF!,"AAAAAHj+fxw=")</f>
        <v>#REF!</v>
      </c>
      <c r="AD158" t="e">
        <f>AND(Sheet1!#REF!,"AAAAAHj+fx0=")</f>
        <v>#REF!</v>
      </c>
      <c r="AE158" t="e">
        <f>AND(Sheet1!#REF!,"AAAAAHj+fx4=")</f>
        <v>#REF!</v>
      </c>
      <c r="AF158">
        <f>IF(Sheet1!2118:2118,"AAAAAHj+fx8=",0)</f>
        <v>0</v>
      </c>
      <c r="AG158" t="e">
        <f>AND(Sheet1!A2118,"AAAAAHj+fyA=")</f>
        <v>#VALUE!</v>
      </c>
      <c r="AH158" t="e">
        <f>AND(Sheet1!B2118,"AAAAAHj+fyE=")</f>
        <v>#VALUE!</v>
      </c>
      <c r="AI158" t="e">
        <f>AND(Sheet1!C2118,"AAAAAHj+fyI=")</f>
        <v>#VALUE!</v>
      </c>
      <c r="AJ158" t="e">
        <f>AND(Sheet1!D2118,"AAAAAHj+fyM=")</f>
        <v>#VALUE!</v>
      </c>
      <c r="AK158" t="e">
        <f>AND(Sheet1!E2118,"AAAAAHj+fyQ=")</f>
        <v>#VALUE!</v>
      </c>
      <c r="AL158" t="e">
        <f>AND(Sheet1!F2118,"AAAAAHj+fyU=")</f>
        <v>#VALUE!</v>
      </c>
      <c r="AM158" t="e">
        <f>AND(Sheet1!G2118,"AAAAAHj+fyY=")</f>
        <v>#VALUE!</v>
      </c>
      <c r="AN158" t="e">
        <f>AND(Sheet1!H2118,"AAAAAHj+fyc=")</f>
        <v>#VALUE!</v>
      </c>
      <c r="AO158" t="e">
        <f>AND(Sheet1!I2118,"AAAAAHj+fyg=")</f>
        <v>#VALUE!</v>
      </c>
      <c r="AP158" t="e">
        <f>AND(Sheet1!J2118,"AAAAAHj+fyk=")</f>
        <v>#VALUE!</v>
      </c>
      <c r="AQ158" t="e">
        <f>AND(Sheet1!K2118,"AAAAAHj+fyo=")</f>
        <v>#VALUE!</v>
      </c>
      <c r="AR158" t="e">
        <f>AND(Sheet1!L2118,"AAAAAHj+fys=")</f>
        <v>#VALUE!</v>
      </c>
      <c r="AS158" t="e">
        <f>AND(Sheet1!M2118,"AAAAAHj+fyw=")</f>
        <v>#VALUE!</v>
      </c>
      <c r="AT158" t="e">
        <f>AND(Sheet1!N2118,"AAAAAHj+fy0=")</f>
        <v>#VALUE!</v>
      </c>
      <c r="AU158" t="e">
        <f>AND(Sheet1!#REF!,"AAAAAHj+fy4=")</f>
        <v>#REF!</v>
      </c>
      <c r="AV158" t="e">
        <f>AND(Sheet1!#REF!,"AAAAAHj+fy8=")</f>
        <v>#REF!</v>
      </c>
      <c r="AW158" t="e">
        <f>AND(Sheet1!#REF!,"AAAAAHj+fzA=")</f>
        <v>#REF!</v>
      </c>
      <c r="AX158" t="e">
        <f>AND(Sheet1!#REF!,"AAAAAHj+fzE=")</f>
        <v>#REF!</v>
      </c>
      <c r="AY158">
        <f>IF(Sheet1!2119:2119,"AAAAAHj+fzI=",0)</f>
        <v>0</v>
      </c>
      <c r="AZ158" t="e">
        <f>AND(Sheet1!A2119,"AAAAAHj+fzM=")</f>
        <v>#VALUE!</v>
      </c>
      <c r="BA158" t="e">
        <f>AND(Sheet1!B2119,"AAAAAHj+fzQ=")</f>
        <v>#VALUE!</v>
      </c>
      <c r="BB158" t="e">
        <f>AND(Sheet1!C2119,"AAAAAHj+fzU=")</f>
        <v>#VALUE!</v>
      </c>
      <c r="BC158" t="e">
        <f>AND(Sheet1!D2119,"AAAAAHj+fzY=")</f>
        <v>#VALUE!</v>
      </c>
      <c r="BD158" t="e">
        <f>AND(Sheet1!E2119,"AAAAAHj+fzc=")</f>
        <v>#VALUE!</v>
      </c>
      <c r="BE158" t="e">
        <f>AND(Sheet1!F2119,"AAAAAHj+fzg=")</f>
        <v>#VALUE!</v>
      </c>
      <c r="BF158" t="e">
        <f>AND(Sheet1!G2119,"AAAAAHj+fzk=")</f>
        <v>#VALUE!</v>
      </c>
      <c r="BG158" t="e">
        <f>AND(Sheet1!H2119,"AAAAAHj+fzo=")</f>
        <v>#VALUE!</v>
      </c>
      <c r="BH158" t="e">
        <f>AND(Sheet1!I2119,"AAAAAHj+fzs=")</f>
        <v>#VALUE!</v>
      </c>
      <c r="BI158" t="e">
        <f>AND(Sheet1!J2119,"AAAAAHj+fzw=")</f>
        <v>#VALUE!</v>
      </c>
      <c r="BJ158" t="e">
        <f>AND(Sheet1!K2119,"AAAAAHj+fz0=")</f>
        <v>#VALUE!</v>
      </c>
      <c r="BK158" t="e">
        <f>AND(Sheet1!L2119,"AAAAAHj+fz4=")</f>
        <v>#VALUE!</v>
      </c>
      <c r="BL158" t="e">
        <f>AND(Sheet1!M2119,"AAAAAHj+fz8=")</f>
        <v>#VALUE!</v>
      </c>
      <c r="BM158" t="e">
        <f>AND(Sheet1!N2119,"AAAAAHj+f0A=")</f>
        <v>#VALUE!</v>
      </c>
      <c r="BN158" t="e">
        <f>AND(Sheet1!#REF!,"AAAAAHj+f0E=")</f>
        <v>#REF!</v>
      </c>
      <c r="BO158" t="e">
        <f>AND(Sheet1!#REF!,"AAAAAHj+f0I=")</f>
        <v>#REF!</v>
      </c>
      <c r="BP158" t="e">
        <f>AND(Sheet1!#REF!,"AAAAAHj+f0M=")</f>
        <v>#REF!</v>
      </c>
      <c r="BQ158" t="e">
        <f>AND(Sheet1!#REF!,"AAAAAHj+f0Q=")</f>
        <v>#REF!</v>
      </c>
      <c r="BR158">
        <f>IF(Sheet1!2120:2120,"AAAAAHj+f0U=",0)</f>
        <v>0</v>
      </c>
      <c r="BS158" t="e">
        <f>AND(Sheet1!A2120,"AAAAAHj+f0Y=")</f>
        <v>#VALUE!</v>
      </c>
      <c r="BT158" t="e">
        <f>AND(Sheet1!B2120,"AAAAAHj+f0c=")</f>
        <v>#VALUE!</v>
      </c>
      <c r="BU158" t="e">
        <f>AND(Sheet1!C2120,"AAAAAHj+f0g=")</f>
        <v>#VALUE!</v>
      </c>
      <c r="BV158" t="e">
        <f>AND(Sheet1!D2120,"AAAAAHj+f0k=")</f>
        <v>#VALUE!</v>
      </c>
      <c r="BW158" t="e">
        <f>AND(Sheet1!E2120,"AAAAAHj+f0o=")</f>
        <v>#VALUE!</v>
      </c>
      <c r="BX158" t="e">
        <f>AND(Sheet1!F2120,"AAAAAHj+f0s=")</f>
        <v>#VALUE!</v>
      </c>
      <c r="BY158" t="e">
        <f>AND(Sheet1!G2120,"AAAAAHj+f0w=")</f>
        <v>#VALUE!</v>
      </c>
      <c r="BZ158" t="e">
        <f>AND(Sheet1!H2120,"AAAAAHj+f00=")</f>
        <v>#VALUE!</v>
      </c>
      <c r="CA158" t="e">
        <f>AND(Sheet1!I2120,"AAAAAHj+f04=")</f>
        <v>#VALUE!</v>
      </c>
      <c r="CB158" t="e">
        <f>AND(Sheet1!J2120,"AAAAAHj+f08=")</f>
        <v>#VALUE!</v>
      </c>
      <c r="CC158" t="e">
        <f>AND(Sheet1!K2120,"AAAAAHj+f1A=")</f>
        <v>#VALUE!</v>
      </c>
      <c r="CD158" t="e">
        <f>AND(Sheet1!L2120,"AAAAAHj+f1E=")</f>
        <v>#VALUE!</v>
      </c>
      <c r="CE158" t="e">
        <f>AND(Sheet1!M2120,"AAAAAHj+f1I=")</f>
        <v>#VALUE!</v>
      </c>
      <c r="CF158" t="e">
        <f>AND(Sheet1!N2120,"AAAAAHj+f1M=")</f>
        <v>#VALUE!</v>
      </c>
      <c r="CG158" t="e">
        <f>AND(Sheet1!#REF!,"AAAAAHj+f1Q=")</f>
        <v>#REF!</v>
      </c>
      <c r="CH158" t="e">
        <f>AND(Sheet1!#REF!,"AAAAAHj+f1U=")</f>
        <v>#REF!</v>
      </c>
      <c r="CI158" t="e">
        <f>AND(Sheet1!#REF!,"AAAAAHj+f1Y=")</f>
        <v>#REF!</v>
      </c>
      <c r="CJ158" t="e">
        <f>AND(Sheet1!#REF!,"AAAAAHj+f1c=")</f>
        <v>#REF!</v>
      </c>
      <c r="CK158">
        <f>IF(Sheet1!2121:2121,"AAAAAHj+f1g=",0)</f>
        <v>0</v>
      </c>
      <c r="CL158" t="e">
        <f>AND(Sheet1!A2121,"AAAAAHj+f1k=")</f>
        <v>#VALUE!</v>
      </c>
      <c r="CM158" t="e">
        <f>AND(Sheet1!B2121,"AAAAAHj+f1o=")</f>
        <v>#VALUE!</v>
      </c>
      <c r="CN158" t="e">
        <f>AND(Sheet1!C2121,"AAAAAHj+f1s=")</f>
        <v>#VALUE!</v>
      </c>
      <c r="CO158" t="e">
        <f>AND(Sheet1!D2121,"AAAAAHj+f1w=")</f>
        <v>#VALUE!</v>
      </c>
      <c r="CP158" t="e">
        <f>AND(Sheet1!E2121,"AAAAAHj+f10=")</f>
        <v>#VALUE!</v>
      </c>
      <c r="CQ158" t="e">
        <f>AND(Sheet1!F2121,"AAAAAHj+f14=")</f>
        <v>#VALUE!</v>
      </c>
      <c r="CR158" t="e">
        <f>AND(Sheet1!G2121,"AAAAAHj+f18=")</f>
        <v>#VALUE!</v>
      </c>
      <c r="CS158" t="e">
        <f>AND(Sheet1!H2121,"AAAAAHj+f2A=")</f>
        <v>#VALUE!</v>
      </c>
      <c r="CT158" t="e">
        <f>AND(Sheet1!I2121,"AAAAAHj+f2E=")</f>
        <v>#VALUE!</v>
      </c>
      <c r="CU158" t="e">
        <f>AND(Sheet1!J2121,"AAAAAHj+f2I=")</f>
        <v>#VALUE!</v>
      </c>
      <c r="CV158" t="e">
        <f>AND(Sheet1!K2121,"AAAAAHj+f2M=")</f>
        <v>#VALUE!</v>
      </c>
      <c r="CW158" t="e">
        <f>AND(Sheet1!L2121,"AAAAAHj+f2Q=")</f>
        <v>#VALUE!</v>
      </c>
      <c r="CX158" t="e">
        <f>AND(Sheet1!M2121,"AAAAAHj+f2U=")</f>
        <v>#VALUE!</v>
      </c>
      <c r="CY158" t="e">
        <f>AND(Sheet1!N2121,"AAAAAHj+f2Y=")</f>
        <v>#VALUE!</v>
      </c>
      <c r="CZ158" t="e">
        <f>AND(Sheet1!#REF!,"AAAAAHj+f2c=")</f>
        <v>#REF!</v>
      </c>
      <c r="DA158" t="e">
        <f>AND(Sheet1!#REF!,"AAAAAHj+f2g=")</f>
        <v>#REF!</v>
      </c>
      <c r="DB158" t="e">
        <f>AND(Sheet1!#REF!,"AAAAAHj+f2k=")</f>
        <v>#REF!</v>
      </c>
      <c r="DC158" t="e">
        <f>AND(Sheet1!#REF!,"AAAAAHj+f2o=")</f>
        <v>#REF!</v>
      </c>
      <c r="DD158">
        <f>IF(Sheet1!2122:2122,"AAAAAHj+f2s=",0)</f>
        <v>0</v>
      </c>
      <c r="DE158" t="e">
        <f>AND(Sheet1!A2122,"AAAAAHj+f2w=")</f>
        <v>#VALUE!</v>
      </c>
      <c r="DF158" t="e">
        <f>AND(Sheet1!B2122,"AAAAAHj+f20=")</f>
        <v>#VALUE!</v>
      </c>
      <c r="DG158" t="e">
        <f>AND(Sheet1!C2122,"AAAAAHj+f24=")</f>
        <v>#VALUE!</v>
      </c>
      <c r="DH158" t="e">
        <f>AND(Sheet1!D2122,"AAAAAHj+f28=")</f>
        <v>#VALUE!</v>
      </c>
      <c r="DI158" t="e">
        <f>AND(Sheet1!E2122,"AAAAAHj+f3A=")</f>
        <v>#VALUE!</v>
      </c>
      <c r="DJ158" t="e">
        <f>AND(Sheet1!F2122,"AAAAAHj+f3E=")</f>
        <v>#VALUE!</v>
      </c>
      <c r="DK158" t="e">
        <f>AND(Sheet1!G2122,"AAAAAHj+f3I=")</f>
        <v>#VALUE!</v>
      </c>
      <c r="DL158" t="e">
        <f>AND(Sheet1!H2122,"AAAAAHj+f3M=")</f>
        <v>#VALUE!</v>
      </c>
      <c r="DM158" t="e">
        <f>AND(Sheet1!I2122,"AAAAAHj+f3Q=")</f>
        <v>#VALUE!</v>
      </c>
      <c r="DN158" t="e">
        <f>AND(Sheet1!J2122,"AAAAAHj+f3U=")</f>
        <v>#VALUE!</v>
      </c>
      <c r="DO158" t="e">
        <f>AND(Sheet1!K2122,"AAAAAHj+f3Y=")</f>
        <v>#VALUE!</v>
      </c>
      <c r="DP158" t="e">
        <f>AND(Sheet1!L2122,"AAAAAHj+f3c=")</f>
        <v>#VALUE!</v>
      </c>
      <c r="DQ158" t="e">
        <f>AND(Sheet1!M2122,"AAAAAHj+f3g=")</f>
        <v>#VALUE!</v>
      </c>
      <c r="DR158" t="e">
        <f>AND(Sheet1!N2122,"AAAAAHj+f3k=")</f>
        <v>#VALUE!</v>
      </c>
      <c r="DS158" t="e">
        <f>AND(Sheet1!#REF!,"AAAAAHj+f3o=")</f>
        <v>#REF!</v>
      </c>
      <c r="DT158" t="e">
        <f>AND(Sheet1!#REF!,"AAAAAHj+f3s=")</f>
        <v>#REF!</v>
      </c>
      <c r="DU158" t="e">
        <f>AND(Sheet1!#REF!,"AAAAAHj+f3w=")</f>
        <v>#REF!</v>
      </c>
      <c r="DV158" t="e">
        <f>AND(Sheet1!#REF!,"AAAAAHj+f30=")</f>
        <v>#REF!</v>
      </c>
      <c r="DW158">
        <f>IF(Sheet1!2123:2123,"AAAAAHj+f34=",0)</f>
        <v>0</v>
      </c>
      <c r="DX158" t="e">
        <f>AND(Sheet1!A2123,"AAAAAHj+f38=")</f>
        <v>#VALUE!</v>
      </c>
      <c r="DY158" t="e">
        <f>AND(Sheet1!B2123,"AAAAAHj+f4A=")</f>
        <v>#VALUE!</v>
      </c>
      <c r="DZ158" t="e">
        <f>AND(Sheet1!C2123,"AAAAAHj+f4E=")</f>
        <v>#VALUE!</v>
      </c>
      <c r="EA158" t="e">
        <f>AND(Sheet1!D2123,"AAAAAHj+f4I=")</f>
        <v>#VALUE!</v>
      </c>
      <c r="EB158" t="e">
        <f>AND(Sheet1!E2123,"AAAAAHj+f4M=")</f>
        <v>#VALUE!</v>
      </c>
      <c r="EC158" t="e">
        <f>AND(Sheet1!F2123,"AAAAAHj+f4Q=")</f>
        <v>#VALUE!</v>
      </c>
      <c r="ED158" t="e">
        <f>AND(Sheet1!G2123,"AAAAAHj+f4U=")</f>
        <v>#VALUE!</v>
      </c>
      <c r="EE158" t="e">
        <f>AND(Sheet1!H2123,"AAAAAHj+f4Y=")</f>
        <v>#VALUE!</v>
      </c>
      <c r="EF158" t="e">
        <f>AND(Sheet1!I2123,"AAAAAHj+f4c=")</f>
        <v>#VALUE!</v>
      </c>
      <c r="EG158" t="e">
        <f>AND(Sheet1!J2123,"AAAAAHj+f4g=")</f>
        <v>#VALUE!</v>
      </c>
      <c r="EH158" t="e">
        <f>AND(Sheet1!K2123,"AAAAAHj+f4k=")</f>
        <v>#VALUE!</v>
      </c>
      <c r="EI158" t="e">
        <f>AND(Sheet1!L2123,"AAAAAHj+f4o=")</f>
        <v>#VALUE!</v>
      </c>
      <c r="EJ158" t="e">
        <f>AND(Sheet1!M2123,"AAAAAHj+f4s=")</f>
        <v>#VALUE!</v>
      </c>
      <c r="EK158" t="e">
        <f>AND(Sheet1!N2123,"AAAAAHj+f4w=")</f>
        <v>#VALUE!</v>
      </c>
      <c r="EL158" t="e">
        <f>AND(Sheet1!#REF!,"AAAAAHj+f40=")</f>
        <v>#REF!</v>
      </c>
      <c r="EM158" t="e">
        <f>AND(Sheet1!#REF!,"AAAAAHj+f44=")</f>
        <v>#REF!</v>
      </c>
      <c r="EN158" t="e">
        <f>AND(Sheet1!#REF!,"AAAAAHj+f48=")</f>
        <v>#REF!</v>
      </c>
      <c r="EO158" t="e">
        <f>AND(Sheet1!#REF!,"AAAAAHj+f5A=")</f>
        <v>#REF!</v>
      </c>
      <c r="EP158">
        <f>IF(Sheet1!2124:2124,"AAAAAHj+f5E=",0)</f>
        <v>0</v>
      </c>
      <c r="EQ158" t="e">
        <f>AND(Sheet1!A2124,"AAAAAHj+f5I=")</f>
        <v>#VALUE!</v>
      </c>
      <c r="ER158" t="e">
        <f>AND(Sheet1!B2124,"AAAAAHj+f5M=")</f>
        <v>#VALUE!</v>
      </c>
      <c r="ES158" t="e">
        <f>AND(Sheet1!C2124,"AAAAAHj+f5Q=")</f>
        <v>#VALUE!</v>
      </c>
      <c r="ET158" t="e">
        <f>AND(Sheet1!D2124,"AAAAAHj+f5U=")</f>
        <v>#VALUE!</v>
      </c>
      <c r="EU158" t="e">
        <f>AND(Sheet1!E2124,"AAAAAHj+f5Y=")</f>
        <v>#VALUE!</v>
      </c>
      <c r="EV158" t="e">
        <f>AND(Sheet1!F2124,"AAAAAHj+f5c=")</f>
        <v>#VALUE!</v>
      </c>
      <c r="EW158" t="e">
        <f>AND(Sheet1!G2124,"AAAAAHj+f5g=")</f>
        <v>#VALUE!</v>
      </c>
      <c r="EX158" t="e">
        <f>AND(Sheet1!H2124,"AAAAAHj+f5k=")</f>
        <v>#VALUE!</v>
      </c>
      <c r="EY158" t="e">
        <f>AND(Sheet1!I2124,"AAAAAHj+f5o=")</f>
        <v>#VALUE!</v>
      </c>
      <c r="EZ158" t="e">
        <f>AND(Sheet1!J2124,"AAAAAHj+f5s=")</f>
        <v>#VALUE!</v>
      </c>
      <c r="FA158" t="e">
        <f>AND(Sheet1!K2124,"AAAAAHj+f5w=")</f>
        <v>#VALUE!</v>
      </c>
      <c r="FB158" t="e">
        <f>AND(Sheet1!L2124,"AAAAAHj+f50=")</f>
        <v>#VALUE!</v>
      </c>
      <c r="FC158" t="e">
        <f>AND(Sheet1!M2124,"AAAAAHj+f54=")</f>
        <v>#VALUE!</v>
      </c>
      <c r="FD158" t="e">
        <f>AND(Sheet1!N2124,"AAAAAHj+f58=")</f>
        <v>#VALUE!</v>
      </c>
      <c r="FE158" t="e">
        <f>AND(Sheet1!#REF!,"AAAAAHj+f6A=")</f>
        <v>#REF!</v>
      </c>
      <c r="FF158" t="e">
        <f>AND(Sheet1!#REF!,"AAAAAHj+f6E=")</f>
        <v>#REF!</v>
      </c>
      <c r="FG158" t="e">
        <f>AND(Sheet1!#REF!,"AAAAAHj+f6I=")</f>
        <v>#REF!</v>
      </c>
      <c r="FH158" t="e">
        <f>AND(Sheet1!#REF!,"AAAAAHj+f6M=")</f>
        <v>#REF!</v>
      </c>
      <c r="FI158">
        <f>IF(Sheet1!2125:2125,"AAAAAHj+f6Q=",0)</f>
        <v>0</v>
      </c>
      <c r="FJ158" t="e">
        <f>AND(Sheet1!A2125,"AAAAAHj+f6U=")</f>
        <v>#VALUE!</v>
      </c>
      <c r="FK158" t="e">
        <f>AND(Sheet1!B2125,"AAAAAHj+f6Y=")</f>
        <v>#VALUE!</v>
      </c>
      <c r="FL158" t="e">
        <f>AND(Sheet1!C2125,"AAAAAHj+f6c=")</f>
        <v>#VALUE!</v>
      </c>
      <c r="FM158" t="e">
        <f>AND(Sheet1!D2125,"AAAAAHj+f6g=")</f>
        <v>#VALUE!</v>
      </c>
      <c r="FN158" t="e">
        <f>AND(Sheet1!E2125,"AAAAAHj+f6k=")</f>
        <v>#VALUE!</v>
      </c>
      <c r="FO158" t="e">
        <f>AND(Sheet1!F2125,"AAAAAHj+f6o=")</f>
        <v>#VALUE!</v>
      </c>
      <c r="FP158" t="e">
        <f>AND(Sheet1!G2125,"AAAAAHj+f6s=")</f>
        <v>#VALUE!</v>
      </c>
      <c r="FQ158" t="e">
        <f>AND(Sheet1!H2125,"AAAAAHj+f6w=")</f>
        <v>#VALUE!</v>
      </c>
      <c r="FR158" t="e">
        <f>AND(Sheet1!I2125,"AAAAAHj+f60=")</f>
        <v>#VALUE!</v>
      </c>
      <c r="FS158" t="e">
        <f>AND(Sheet1!J2125,"AAAAAHj+f64=")</f>
        <v>#VALUE!</v>
      </c>
      <c r="FT158" t="e">
        <f>AND(Sheet1!K2125,"AAAAAHj+f68=")</f>
        <v>#VALUE!</v>
      </c>
      <c r="FU158" t="e">
        <f>AND(Sheet1!L2125,"AAAAAHj+f7A=")</f>
        <v>#VALUE!</v>
      </c>
      <c r="FV158" t="e">
        <f>AND(Sheet1!M2125,"AAAAAHj+f7E=")</f>
        <v>#VALUE!</v>
      </c>
      <c r="FW158" t="e">
        <f>AND(Sheet1!N2125,"AAAAAHj+f7I=")</f>
        <v>#VALUE!</v>
      </c>
      <c r="FX158" t="e">
        <f>AND(Sheet1!#REF!,"AAAAAHj+f7M=")</f>
        <v>#REF!</v>
      </c>
      <c r="FY158" t="e">
        <f>AND(Sheet1!#REF!,"AAAAAHj+f7Q=")</f>
        <v>#REF!</v>
      </c>
      <c r="FZ158" t="e">
        <f>AND(Sheet1!#REF!,"AAAAAHj+f7U=")</f>
        <v>#REF!</v>
      </c>
      <c r="GA158" t="e">
        <f>AND(Sheet1!#REF!,"AAAAAHj+f7Y=")</f>
        <v>#REF!</v>
      </c>
      <c r="GB158">
        <f>IF(Sheet1!2126:2126,"AAAAAHj+f7c=",0)</f>
        <v>0</v>
      </c>
      <c r="GC158" t="e">
        <f>AND(Sheet1!A2126,"AAAAAHj+f7g=")</f>
        <v>#VALUE!</v>
      </c>
      <c r="GD158" t="e">
        <f>AND(Sheet1!B2126,"AAAAAHj+f7k=")</f>
        <v>#VALUE!</v>
      </c>
      <c r="GE158" t="e">
        <f>AND(Sheet1!C2126,"AAAAAHj+f7o=")</f>
        <v>#VALUE!</v>
      </c>
      <c r="GF158" t="e">
        <f>AND(Sheet1!D2126,"AAAAAHj+f7s=")</f>
        <v>#VALUE!</v>
      </c>
      <c r="GG158" t="e">
        <f>AND(Sheet1!E2126,"AAAAAHj+f7w=")</f>
        <v>#VALUE!</v>
      </c>
      <c r="GH158" t="e">
        <f>AND(Sheet1!F2126,"AAAAAHj+f70=")</f>
        <v>#VALUE!</v>
      </c>
      <c r="GI158" t="e">
        <f>AND(Sheet1!G2126,"AAAAAHj+f74=")</f>
        <v>#VALUE!</v>
      </c>
      <c r="GJ158" t="e">
        <f>AND(Sheet1!H2126,"AAAAAHj+f78=")</f>
        <v>#VALUE!</v>
      </c>
      <c r="GK158" t="e">
        <f>AND(Sheet1!I2126,"AAAAAHj+f8A=")</f>
        <v>#VALUE!</v>
      </c>
      <c r="GL158" t="e">
        <f>AND(Sheet1!J2126,"AAAAAHj+f8E=")</f>
        <v>#VALUE!</v>
      </c>
      <c r="GM158" t="e">
        <f>AND(Sheet1!K2126,"AAAAAHj+f8I=")</f>
        <v>#VALUE!</v>
      </c>
      <c r="GN158" t="e">
        <f>AND(Sheet1!L2126,"AAAAAHj+f8M=")</f>
        <v>#VALUE!</v>
      </c>
      <c r="GO158" t="e">
        <f>AND(Sheet1!M2126,"AAAAAHj+f8Q=")</f>
        <v>#VALUE!</v>
      </c>
      <c r="GP158" t="e">
        <f>AND(Sheet1!N2126,"AAAAAHj+f8U=")</f>
        <v>#VALUE!</v>
      </c>
      <c r="GQ158" t="e">
        <f>AND(Sheet1!#REF!,"AAAAAHj+f8Y=")</f>
        <v>#REF!</v>
      </c>
      <c r="GR158" t="e">
        <f>AND(Sheet1!#REF!,"AAAAAHj+f8c=")</f>
        <v>#REF!</v>
      </c>
      <c r="GS158" t="e">
        <f>AND(Sheet1!#REF!,"AAAAAHj+f8g=")</f>
        <v>#REF!</v>
      </c>
      <c r="GT158" t="e">
        <f>AND(Sheet1!#REF!,"AAAAAHj+f8k=")</f>
        <v>#REF!</v>
      </c>
      <c r="GU158">
        <f>IF(Sheet1!2127:2127,"AAAAAHj+f8o=",0)</f>
        <v>0</v>
      </c>
      <c r="GV158" t="e">
        <f>AND(Sheet1!A2127,"AAAAAHj+f8s=")</f>
        <v>#VALUE!</v>
      </c>
      <c r="GW158" t="e">
        <f>AND(Sheet1!B2127,"AAAAAHj+f8w=")</f>
        <v>#VALUE!</v>
      </c>
      <c r="GX158" t="e">
        <f>AND(Sheet1!C2127,"AAAAAHj+f80=")</f>
        <v>#VALUE!</v>
      </c>
      <c r="GY158" t="e">
        <f>AND(Sheet1!D2127,"AAAAAHj+f84=")</f>
        <v>#VALUE!</v>
      </c>
      <c r="GZ158" t="e">
        <f>AND(Sheet1!E2127,"AAAAAHj+f88=")</f>
        <v>#VALUE!</v>
      </c>
      <c r="HA158" t="e">
        <f>AND(Sheet1!F2127,"AAAAAHj+f9A=")</f>
        <v>#VALUE!</v>
      </c>
      <c r="HB158" t="e">
        <f>AND(Sheet1!G2127,"AAAAAHj+f9E=")</f>
        <v>#VALUE!</v>
      </c>
      <c r="HC158" t="e">
        <f>AND(Sheet1!H2127,"AAAAAHj+f9I=")</f>
        <v>#VALUE!</v>
      </c>
      <c r="HD158" t="e">
        <f>AND(Sheet1!I2127,"AAAAAHj+f9M=")</f>
        <v>#VALUE!</v>
      </c>
      <c r="HE158" t="e">
        <f>AND(Sheet1!J2127,"AAAAAHj+f9Q=")</f>
        <v>#VALUE!</v>
      </c>
      <c r="HF158" t="e">
        <f>AND(Sheet1!K2127,"AAAAAHj+f9U=")</f>
        <v>#VALUE!</v>
      </c>
      <c r="HG158" t="e">
        <f>AND(Sheet1!L2127,"AAAAAHj+f9Y=")</f>
        <v>#VALUE!</v>
      </c>
      <c r="HH158" t="e">
        <f>AND(Sheet1!M2127,"AAAAAHj+f9c=")</f>
        <v>#VALUE!</v>
      </c>
      <c r="HI158" t="e">
        <f>AND(Sheet1!N2127,"AAAAAHj+f9g=")</f>
        <v>#VALUE!</v>
      </c>
      <c r="HJ158" t="e">
        <f>AND(Sheet1!#REF!,"AAAAAHj+f9k=")</f>
        <v>#REF!</v>
      </c>
      <c r="HK158" t="e">
        <f>AND(Sheet1!#REF!,"AAAAAHj+f9o=")</f>
        <v>#REF!</v>
      </c>
      <c r="HL158" t="e">
        <f>AND(Sheet1!#REF!,"AAAAAHj+f9s=")</f>
        <v>#REF!</v>
      </c>
      <c r="HM158" t="e">
        <f>AND(Sheet1!#REF!,"AAAAAHj+f9w=")</f>
        <v>#REF!</v>
      </c>
      <c r="HN158">
        <f>IF(Sheet1!2128:2128,"AAAAAHj+f90=",0)</f>
        <v>0</v>
      </c>
      <c r="HO158" t="e">
        <f>AND(Sheet1!A2128,"AAAAAHj+f94=")</f>
        <v>#VALUE!</v>
      </c>
      <c r="HP158" t="e">
        <f>AND(Sheet1!B2128,"AAAAAHj+f98=")</f>
        <v>#VALUE!</v>
      </c>
      <c r="HQ158" t="e">
        <f>AND(Sheet1!C2128,"AAAAAHj+f+A=")</f>
        <v>#VALUE!</v>
      </c>
      <c r="HR158" t="e">
        <f>AND(Sheet1!D2128,"AAAAAHj+f+E=")</f>
        <v>#VALUE!</v>
      </c>
      <c r="HS158" t="e">
        <f>AND(Sheet1!E2128,"AAAAAHj+f+I=")</f>
        <v>#VALUE!</v>
      </c>
      <c r="HT158" t="e">
        <f>AND(Sheet1!F2128,"AAAAAHj+f+M=")</f>
        <v>#VALUE!</v>
      </c>
      <c r="HU158" t="e">
        <f>AND(Sheet1!G2128,"AAAAAHj+f+Q=")</f>
        <v>#VALUE!</v>
      </c>
      <c r="HV158" t="e">
        <f>AND(Sheet1!H2128,"AAAAAHj+f+U=")</f>
        <v>#VALUE!</v>
      </c>
      <c r="HW158" t="e">
        <f>AND(Sheet1!I2128,"AAAAAHj+f+Y=")</f>
        <v>#VALUE!</v>
      </c>
      <c r="HX158" t="e">
        <f>AND(Sheet1!J2128,"AAAAAHj+f+c=")</f>
        <v>#VALUE!</v>
      </c>
      <c r="HY158" t="e">
        <f>AND(Sheet1!K2128,"AAAAAHj+f+g=")</f>
        <v>#VALUE!</v>
      </c>
      <c r="HZ158" t="e">
        <f>AND(Sheet1!L2128,"AAAAAHj+f+k=")</f>
        <v>#VALUE!</v>
      </c>
      <c r="IA158" t="e">
        <f>AND(Sheet1!M2128,"AAAAAHj+f+o=")</f>
        <v>#VALUE!</v>
      </c>
      <c r="IB158" t="e">
        <f>AND(Sheet1!N2128,"AAAAAHj+f+s=")</f>
        <v>#VALUE!</v>
      </c>
      <c r="IC158" t="e">
        <f>AND(Sheet1!#REF!,"AAAAAHj+f+w=")</f>
        <v>#REF!</v>
      </c>
      <c r="ID158" t="e">
        <f>AND(Sheet1!#REF!,"AAAAAHj+f+0=")</f>
        <v>#REF!</v>
      </c>
      <c r="IE158" t="e">
        <f>AND(Sheet1!#REF!,"AAAAAHj+f+4=")</f>
        <v>#REF!</v>
      </c>
      <c r="IF158" t="e">
        <f>AND(Sheet1!#REF!,"AAAAAHj+f+8=")</f>
        <v>#REF!</v>
      </c>
      <c r="IG158">
        <f>IF(Sheet1!2129:2129,"AAAAAHj+f/A=",0)</f>
        <v>0</v>
      </c>
      <c r="IH158" t="e">
        <f>AND(Sheet1!A2129,"AAAAAHj+f/E=")</f>
        <v>#VALUE!</v>
      </c>
      <c r="II158" t="e">
        <f>AND(Sheet1!B2129,"AAAAAHj+f/I=")</f>
        <v>#VALUE!</v>
      </c>
      <c r="IJ158" t="e">
        <f>AND(Sheet1!C2129,"AAAAAHj+f/M=")</f>
        <v>#VALUE!</v>
      </c>
      <c r="IK158" t="e">
        <f>AND(Sheet1!D2129,"AAAAAHj+f/Q=")</f>
        <v>#VALUE!</v>
      </c>
      <c r="IL158" t="e">
        <f>AND(Sheet1!E2129,"AAAAAHj+f/U=")</f>
        <v>#VALUE!</v>
      </c>
      <c r="IM158" t="e">
        <f>AND(Sheet1!F2129,"AAAAAHj+f/Y=")</f>
        <v>#VALUE!</v>
      </c>
      <c r="IN158" t="e">
        <f>AND(Sheet1!G2129,"AAAAAHj+f/c=")</f>
        <v>#VALUE!</v>
      </c>
      <c r="IO158" t="e">
        <f>AND(Sheet1!H2129,"AAAAAHj+f/g=")</f>
        <v>#VALUE!</v>
      </c>
      <c r="IP158" t="e">
        <f>AND(Sheet1!I2129,"AAAAAHj+f/k=")</f>
        <v>#VALUE!</v>
      </c>
      <c r="IQ158" t="e">
        <f>AND(Sheet1!J2129,"AAAAAHj+f/o=")</f>
        <v>#VALUE!</v>
      </c>
      <c r="IR158" t="e">
        <f>AND(Sheet1!K2129,"AAAAAHj+f/s=")</f>
        <v>#VALUE!</v>
      </c>
      <c r="IS158" t="e">
        <f>AND(Sheet1!L2129,"AAAAAHj+f/w=")</f>
        <v>#VALUE!</v>
      </c>
      <c r="IT158" t="e">
        <f>AND(Sheet1!M2129,"AAAAAHj+f/0=")</f>
        <v>#VALUE!</v>
      </c>
      <c r="IU158" t="e">
        <f>AND(Sheet1!N2129,"AAAAAHj+f/4=")</f>
        <v>#VALUE!</v>
      </c>
      <c r="IV158" t="e">
        <f>AND(Sheet1!#REF!,"AAAAAHj+f/8=")</f>
        <v>#REF!</v>
      </c>
    </row>
    <row r="159" spans="1:256" x14ac:dyDescent="0.2">
      <c r="A159" t="e">
        <f>AND(Sheet1!#REF!,"AAAAAH9z3wA=")</f>
        <v>#REF!</v>
      </c>
      <c r="B159" t="e">
        <f>AND(Sheet1!#REF!,"AAAAAH9z3wE=")</f>
        <v>#REF!</v>
      </c>
      <c r="C159" t="e">
        <f>AND(Sheet1!#REF!,"AAAAAH9z3wI=")</f>
        <v>#REF!</v>
      </c>
      <c r="D159" t="e">
        <f>IF(Sheet1!2130:2130,"AAAAAH9z3wM=",0)</f>
        <v>#VALUE!</v>
      </c>
      <c r="E159" t="e">
        <f>AND(Sheet1!A2130,"AAAAAH9z3wQ=")</f>
        <v>#VALUE!</v>
      </c>
      <c r="F159" t="e">
        <f>AND(Sheet1!B2130,"AAAAAH9z3wU=")</f>
        <v>#VALUE!</v>
      </c>
      <c r="G159" t="e">
        <f>AND(Sheet1!C2130,"AAAAAH9z3wY=")</f>
        <v>#VALUE!</v>
      </c>
      <c r="H159" t="e">
        <f>AND(Sheet1!D2130,"AAAAAH9z3wc=")</f>
        <v>#VALUE!</v>
      </c>
      <c r="I159" t="e">
        <f>AND(Sheet1!E2130,"AAAAAH9z3wg=")</f>
        <v>#VALUE!</v>
      </c>
      <c r="J159" t="e">
        <f>AND(Sheet1!F2130,"AAAAAH9z3wk=")</f>
        <v>#VALUE!</v>
      </c>
      <c r="K159" t="e">
        <f>AND(Sheet1!G2130,"AAAAAH9z3wo=")</f>
        <v>#VALUE!</v>
      </c>
      <c r="L159" t="e">
        <f>AND(Sheet1!H2130,"AAAAAH9z3ws=")</f>
        <v>#VALUE!</v>
      </c>
      <c r="M159" t="e">
        <f>AND(Sheet1!I2130,"AAAAAH9z3ww=")</f>
        <v>#VALUE!</v>
      </c>
      <c r="N159" t="e">
        <f>AND(Sheet1!J2130,"AAAAAH9z3w0=")</f>
        <v>#VALUE!</v>
      </c>
      <c r="O159" t="e">
        <f>AND(Sheet1!K2130,"AAAAAH9z3w4=")</f>
        <v>#VALUE!</v>
      </c>
      <c r="P159" t="e">
        <f>AND(Sheet1!L2130,"AAAAAH9z3w8=")</f>
        <v>#VALUE!</v>
      </c>
      <c r="Q159" t="e">
        <f>AND(Sheet1!M2130,"AAAAAH9z3xA=")</f>
        <v>#VALUE!</v>
      </c>
      <c r="R159" t="e">
        <f>AND(Sheet1!N2130,"AAAAAH9z3xE=")</f>
        <v>#VALUE!</v>
      </c>
      <c r="S159" t="e">
        <f>AND(Sheet1!#REF!,"AAAAAH9z3xI=")</f>
        <v>#REF!</v>
      </c>
      <c r="T159" t="e">
        <f>AND(Sheet1!#REF!,"AAAAAH9z3xM=")</f>
        <v>#REF!</v>
      </c>
      <c r="U159" t="e">
        <f>AND(Sheet1!#REF!,"AAAAAH9z3xQ=")</f>
        <v>#REF!</v>
      </c>
      <c r="V159" t="e">
        <f>AND(Sheet1!#REF!,"AAAAAH9z3xU=")</f>
        <v>#REF!</v>
      </c>
      <c r="W159">
        <f>IF(Sheet1!2131:2131,"AAAAAH9z3xY=",0)</f>
        <v>0</v>
      </c>
      <c r="X159" t="e">
        <f>AND(Sheet1!A2131,"AAAAAH9z3xc=")</f>
        <v>#VALUE!</v>
      </c>
      <c r="Y159" t="e">
        <f>AND(Sheet1!B2131,"AAAAAH9z3xg=")</f>
        <v>#VALUE!</v>
      </c>
      <c r="Z159" t="e">
        <f>AND(Sheet1!C2131,"AAAAAH9z3xk=")</f>
        <v>#VALUE!</v>
      </c>
      <c r="AA159" t="e">
        <f>AND(Sheet1!D2131,"AAAAAH9z3xo=")</f>
        <v>#VALUE!</v>
      </c>
      <c r="AB159" t="e">
        <f>AND(Sheet1!E2131,"AAAAAH9z3xs=")</f>
        <v>#VALUE!</v>
      </c>
      <c r="AC159" t="e">
        <f>AND(Sheet1!F2131,"AAAAAH9z3xw=")</f>
        <v>#VALUE!</v>
      </c>
      <c r="AD159" t="e">
        <f>AND(Sheet1!G2131,"AAAAAH9z3x0=")</f>
        <v>#VALUE!</v>
      </c>
      <c r="AE159" t="e">
        <f>AND(Sheet1!H2131,"AAAAAH9z3x4=")</f>
        <v>#VALUE!</v>
      </c>
      <c r="AF159" t="e">
        <f>AND(Sheet1!I2131,"AAAAAH9z3x8=")</f>
        <v>#VALUE!</v>
      </c>
      <c r="AG159" t="e">
        <f>AND(Sheet1!J2131,"AAAAAH9z3yA=")</f>
        <v>#VALUE!</v>
      </c>
      <c r="AH159" t="e">
        <f>AND(Sheet1!K2131,"AAAAAH9z3yE=")</f>
        <v>#VALUE!</v>
      </c>
      <c r="AI159" t="e">
        <f>AND(Sheet1!L2131,"AAAAAH9z3yI=")</f>
        <v>#VALUE!</v>
      </c>
      <c r="AJ159" t="e">
        <f>AND(Sheet1!M2131,"AAAAAH9z3yM=")</f>
        <v>#VALUE!</v>
      </c>
      <c r="AK159" t="e">
        <f>AND(Sheet1!N2131,"AAAAAH9z3yQ=")</f>
        <v>#VALUE!</v>
      </c>
      <c r="AL159" t="e">
        <f>AND(Sheet1!#REF!,"AAAAAH9z3yU=")</f>
        <v>#REF!</v>
      </c>
      <c r="AM159" t="e">
        <f>AND(Sheet1!#REF!,"AAAAAH9z3yY=")</f>
        <v>#REF!</v>
      </c>
      <c r="AN159" t="e">
        <f>AND(Sheet1!#REF!,"AAAAAH9z3yc=")</f>
        <v>#REF!</v>
      </c>
      <c r="AO159" t="e">
        <f>AND(Sheet1!#REF!,"AAAAAH9z3yg=")</f>
        <v>#REF!</v>
      </c>
      <c r="AP159">
        <f>IF(Sheet1!2132:2132,"AAAAAH9z3yk=",0)</f>
        <v>0</v>
      </c>
      <c r="AQ159" t="e">
        <f>AND(Sheet1!A2132,"AAAAAH9z3yo=")</f>
        <v>#VALUE!</v>
      </c>
      <c r="AR159" t="e">
        <f>AND(Sheet1!B2132,"AAAAAH9z3ys=")</f>
        <v>#VALUE!</v>
      </c>
      <c r="AS159" t="e">
        <f>AND(Sheet1!C2132,"AAAAAH9z3yw=")</f>
        <v>#VALUE!</v>
      </c>
      <c r="AT159" t="e">
        <f>AND(Sheet1!D2132,"AAAAAH9z3y0=")</f>
        <v>#VALUE!</v>
      </c>
      <c r="AU159" t="e">
        <f>AND(Sheet1!E2132,"AAAAAH9z3y4=")</f>
        <v>#VALUE!</v>
      </c>
      <c r="AV159" t="e">
        <f>AND(Sheet1!F2132,"AAAAAH9z3y8=")</f>
        <v>#VALUE!</v>
      </c>
      <c r="AW159" t="e">
        <f>AND(Sheet1!G2132,"AAAAAH9z3zA=")</f>
        <v>#VALUE!</v>
      </c>
      <c r="AX159" t="e">
        <f>AND(Sheet1!H2132,"AAAAAH9z3zE=")</f>
        <v>#VALUE!</v>
      </c>
      <c r="AY159" t="e">
        <f>AND(Sheet1!I2132,"AAAAAH9z3zI=")</f>
        <v>#VALUE!</v>
      </c>
      <c r="AZ159" t="e">
        <f>AND(Sheet1!J2132,"AAAAAH9z3zM=")</f>
        <v>#VALUE!</v>
      </c>
      <c r="BA159" t="e">
        <f>AND(Sheet1!K2132,"AAAAAH9z3zQ=")</f>
        <v>#VALUE!</v>
      </c>
      <c r="BB159" t="e">
        <f>AND(Sheet1!L2132,"AAAAAH9z3zU=")</f>
        <v>#VALUE!</v>
      </c>
      <c r="BC159" t="e">
        <f>AND(Sheet1!M2132,"AAAAAH9z3zY=")</f>
        <v>#VALUE!</v>
      </c>
      <c r="BD159" t="e">
        <f>AND(Sheet1!N2132,"AAAAAH9z3zc=")</f>
        <v>#VALUE!</v>
      </c>
      <c r="BE159" t="e">
        <f>AND(Sheet1!#REF!,"AAAAAH9z3zg=")</f>
        <v>#REF!</v>
      </c>
      <c r="BF159" t="e">
        <f>AND(Sheet1!#REF!,"AAAAAH9z3zk=")</f>
        <v>#REF!</v>
      </c>
      <c r="BG159" t="e">
        <f>AND(Sheet1!#REF!,"AAAAAH9z3zo=")</f>
        <v>#REF!</v>
      </c>
      <c r="BH159" t="e">
        <f>AND(Sheet1!#REF!,"AAAAAH9z3zs=")</f>
        <v>#REF!</v>
      </c>
      <c r="BI159">
        <f>IF(Sheet1!2133:2133,"AAAAAH9z3zw=",0)</f>
        <v>0</v>
      </c>
      <c r="BJ159" t="e">
        <f>AND(Sheet1!A2133,"AAAAAH9z3z0=")</f>
        <v>#VALUE!</v>
      </c>
      <c r="BK159" t="e">
        <f>AND(Sheet1!B2133,"AAAAAH9z3z4=")</f>
        <v>#VALUE!</v>
      </c>
      <c r="BL159" t="e">
        <f>AND(Sheet1!C2133,"AAAAAH9z3z8=")</f>
        <v>#VALUE!</v>
      </c>
      <c r="BM159" t="e">
        <f>AND(Sheet1!D2133,"AAAAAH9z30A=")</f>
        <v>#VALUE!</v>
      </c>
      <c r="BN159" t="e">
        <f>AND(Sheet1!E2133,"AAAAAH9z30E=")</f>
        <v>#VALUE!</v>
      </c>
      <c r="BO159" t="e">
        <f>AND(Sheet1!F2133,"AAAAAH9z30I=")</f>
        <v>#VALUE!</v>
      </c>
      <c r="BP159" t="e">
        <f>AND(Sheet1!G2133,"AAAAAH9z30M=")</f>
        <v>#VALUE!</v>
      </c>
      <c r="BQ159" t="e">
        <f>AND(Sheet1!H2133,"AAAAAH9z30Q=")</f>
        <v>#VALUE!</v>
      </c>
      <c r="BR159" t="e">
        <f>AND(Sheet1!I2133,"AAAAAH9z30U=")</f>
        <v>#VALUE!</v>
      </c>
      <c r="BS159" t="e">
        <f>AND(Sheet1!J2133,"AAAAAH9z30Y=")</f>
        <v>#VALUE!</v>
      </c>
      <c r="BT159" t="e">
        <f>AND(Sheet1!K2133,"AAAAAH9z30c=")</f>
        <v>#VALUE!</v>
      </c>
      <c r="BU159" t="e">
        <f>AND(Sheet1!L2133,"AAAAAH9z30g=")</f>
        <v>#VALUE!</v>
      </c>
      <c r="BV159" t="e">
        <f>AND(Sheet1!M2133,"AAAAAH9z30k=")</f>
        <v>#VALUE!</v>
      </c>
      <c r="BW159" t="e">
        <f>AND(Sheet1!N2133,"AAAAAH9z30o=")</f>
        <v>#VALUE!</v>
      </c>
      <c r="BX159" t="e">
        <f>AND(Sheet1!#REF!,"AAAAAH9z30s=")</f>
        <v>#REF!</v>
      </c>
      <c r="BY159" t="e">
        <f>AND(Sheet1!#REF!,"AAAAAH9z30w=")</f>
        <v>#REF!</v>
      </c>
      <c r="BZ159" t="e">
        <f>AND(Sheet1!#REF!,"AAAAAH9z300=")</f>
        <v>#REF!</v>
      </c>
      <c r="CA159" t="e">
        <f>AND(Sheet1!#REF!,"AAAAAH9z304=")</f>
        <v>#REF!</v>
      </c>
      <c r="CB159">
        <f>IF(Sheet1!2134:2134,"AAAAAH9z308=",0)</f>
        <v>0</v>
      </c>
      <c r="CC159" t="e">
        <f>AND(Sheet1!A2134,"AAAAAH9z31A=")</f>
        <v>#VALUE!</v>
      </c>
      <c r="CD159" t="e">
        <f>AND(Sheet1!B2134,"AAAAAH9z31E=")</f>
        <v>#VALUE!</v>
      </c>
      <c r="CE159" t="e">
        <f>AND(Sheet1!C2134,"AAAAAH9z31I=")</f>
        <v>#VALUE!</v>
      </c>
      <c r="CF159" t="e">
        <f>AND(Sheet1!D2134,"AAAAAH9z31M=")</f>
        <v>#VALUE!</v>
      </c>
      <c r="CG159" t="e">
        <f>AND(Sheet1!E2134,"AAAAAH9z31Q=")</f>
        <v>#VALUE!</v>
      </c>
      <c r="CH159" t="e">
        <f>AND(Sheet1!F2134,"AAAAAH9z31U=")</f>
        <v>#VALUE!</v>
      </c>
      <c r="CI159" t="e">
        <f>AND(Sheet1!G2134,"AAAAAH9z31Y=")</f>
        <v>#VALUE!</v>
      </c>
      <c r="CJ159" t="e">
        <f>AND(Sheet1!H2134,"AAAAAH9z31c=")</f>
        <v>#VALUE!</v>
      </c>
      <c r="CK159" t="e">
        <f>AND(Sheet1!I2134,"AAAAAH9z31g=")</f>
        <v>#VALUE!</v>
      </c>
      <c r="CL159" t="e">
        <f>AND(Sheet1!J2134,"AAAAAH9z31k=")</f>
        <v>#VALUE!</v>
      </c>
      <c r="CM159" t="e">
        <f>AND(Sheet1!K2134,"AAAAAH9z31o=")</f>
        <v>#VALUE!</v>
      </c>
      <c r="CN159" t="e">
        <f>AND(Sheet1!L2134,"AAAAAH9z31s=")</f>
        <v>#VALUE!</v>
      </c>
      <c r="CO159" t="e">
        <f>AND(Sheet1!M2134,"AAAAAH9z31w=")</f>
        <v>#VALUE!</v>
      </c>
      <c r="CP159" t="e">
        <f>AND(Sheet1!N2134,"AAAAAH9z310=")</f>
        <v>#VALUE!</v>
      </c>
      <c r="CQ159" t="e">
        <f>AND(Sheet1!#REF!,"AAAAAH9z314=")</f>
        <v>#REF!</v>
      </c>
      <c r="CR159" t="e">
        <f>AND(Sheet1!#REF!,"AAAAAH9z318=")</f>
        <v>#REF!</v>
      </c>
      <c r="CS159" t="e">
        <f>AND(Sheet1!#REF!,"AAAAAH9z32A=")</f>
        <v>#REF!</v>
      </c>
      <c r="CT159" t="e">
        <f>AND(Sheet1!#REF!,"AAAAAH9z32E=")</f>
        <v>#REF!</v>
      </c>
      <c r="CU159">
        <f>IF(Sheet1!2135:2135,"AAAAAH9z32I=",0)</f>
        <v>0</v>
      </c>
      <c r="CV159" t="e">
        <f>AND(Sheet1!A2135,"AAAAAH9z32M=")</f>
        <v>#VALUE!</v>
      </c>
      <c r="CW159" t="e">
        <f>AND(Sheet1!B2135,"AAAAAH9z32Q=")</f>
        <v>#VALUE!</v>
      </c>
      <c r="CX159" t="e">
        <f>AND(Sheet1!C2135,"AAAAAH9z32U=")</f>
        <v>#VALUE!</v>
      </c>
      <c r="CY159" t="e">
        <f>AND(Sheet1!D2135,"AAAAAH9z32Y=")</f>
        <v>#VALUE!</v>
      </c>
      <c r="CZ159" t="e">
        <f>AND(Sheet1!E2135,"AAAAAH9z32c=")</f>
        <v>#VALUE!</v>
      </c>
      <c r="DA159" t="e">
        <f>AND(Sheet1!F2135,"AAAAAH9z32g=")</f>
        <v>#VALUE!</v>
      </c>
      <c r="DB159" t="e">
        <f>AND(Sheet1!G2135,"AAAAAH9z32k=")</f>
        <v>#VALUE!</v>
      </c>
      <c r="DC159" t="e">
        <f>AND(Sheet1!H2135,"AAAAAH9z32o=")</f>
        <v>#VALUE!</v>
      </c>
      <c r="DD159" t="e">
        <f>AND(Sheet1!I2135,"AAAAAH9z32s=")</f>
        <v>#VALUE!</v>
      </c>
      <c r="DE159" t="e">
        <f>AND(Sheet1!J2135,"AAAAAH9z32w=")</f>
        <v>#VALUE!</v>
      </c>
      <c r="DF159" t="e">
        <f>AND(Sheet1!K2135,"AAAAAH9z320=")</f>
        <v>#VALUE!</v>
      </c>
      <c r="DG159" t="e">
        <f>AND(Sheet1!L2135,"AAAAAH9z324=")</f>
        <v>#VALUE!</v>
      </c>
      <c r="DH159" t="e">
        <f>AND(Sheet1!M2135,"AAAAAH9z328=")</f>
        <v>#VALUE!</v>
      </c>
      <c r="DI159" t="e">
        <f>AND(Sheet1!N2135,"AAAAAH9z33A=")</f>
        <v>#VALUE!</v>
      </c>
      <c r="DJ159" t="e">
        <f>AND(Sheet1!#REF!,"AAAAAH9z33E=")</f>
        <v>#REF!</v>
      </c>
      <c r="DK159" t="e">
        <f>AND(Sheet1!#REF!,"AAAAAH9z33I=")</f>
        <v>#REF!</v>
      </c>
      <c r="DL159" t="e">
        <f>AND(Sheet1!#REF!,"AAAAAH9z33M=")</f>
        <v>#REF!</v>
      </c>
      <c r="DM159" t="e">
        <f>AND(Sheet1!#REF!,"AAAAAH9z33Q=")</f>
        <v>#REF!</v>
      </c>
      <c r="DN159">
        <f>IF(Sheet1!2136:2136,"AAAAAH9z33U=",0)</f>
        <v>0</v>
      </c>
      <c r="DO159" t="e">
        <f>AND(Sheet1!A2136,"AAAAAH9z33Y=")</f>
        <v>#VALUE!</v>
      </c>
      <c r="DP159" t="e">
        <f>AND(Sheet1!B2136,"AAAAAH9z33c=")</f>
        <v>#VALUE!</v>
      </c>
      <c r="DQ159" t="e">
        <f>AND(Sheet1!C2136,"AAAAAH9z33g=")</f>
        <v>#VALUE!</v>
      </c>
      <c r="DR159" t="e">
        <f>AND(Sheet1!D2136,"AAAAAH9z33k=")</f>
        <v>#VALUE!</v>
      </c>
      <c r="DS159" t="e">
        <f>AND(Sheet1!E2136,"AAAAAH9z33o=")</f>
        <v>#VALUE!</v>
      </c>
      <c r="DT159" t="e">
        <f>AND(Sheet1!F2136,"AAAAAH9z33s=")</f>
        <v>#VALUE!</v>
      </c>
      <c r="DU159" t="e">
        <f>AND(Sheet1!G2136,"AAAAAH9z33w=")</f>
        <v>#VALUE!</v>
      </c>
      <c r="DV159" t="e">
        <f>AND(Sheet1!H2136,"AAAAAH9z330=")</f>
        <v>#VALUE!</v>
      </c>
      <c r="DW159" t="e">
        <f>AND(Sheet1!I2136,"AAAAAH9z334=")</f>
        <v>#VALUE!</v>
      </c>
      <c r="DX159" t="e">
        <f>AND(Sheet1!J2136,"AAAAAH9z338=")</f>
        <v>#VALUE!</v>
      </c>
      <c r="DY159" t="e">
        <f>AND(Sheet1!K2136,"AAAAAH9z34A=")</f>
        <v>#VALUE!</v>
      </c>
      <c r="DZ159" t="e">
        <f>AND(Sheet1!L2136,"AAAAAH9z34E=")</f>
        <v>#VALUE!</v>
      </c>
      <c r="EA159" t="e">
        <f>AND(Sheet1!M2136,"AAAAAH9z34I=")</f>
        <v>#VALUE!</v>
      </c>
      <c r="EB159" t="e">
        <f>AND(Sheet1!N2136,"AAAAAH9z34M=")</f>
        <v>#VALUE!</v>
      </c>
      <c r="EC159" t="e">
        <f>AND(Sheet1!#REF!,"AAAAAH9z34Q=")</f>
        <v>#REF!</v>
      </c>
      <c r="ED159" t="e">
        <f>AND(Sheet1!#REF!,"AAAAAH9z34U=")</f>
        <v>#REF!</v>
      </c>
      <c r="EE159" t="e">
        <f>AND(Sheet1!#REF!,"AAAAAH9z34Y=")</f>
        <v>#REF!</v>
      </c>
      <c r="EF159" t="e">
        <f>AND(Sheet1!#REF!,"AAAAAH9z34c=")</f>
        <v>#REF!</v>
      </c>
      <c r="EG159">
        <f>IF(Sheet1!2137:2137,"AAAAAH9z34g=",0)</f>
        <v>0</v>
      </c>
      <c r="EH159" t="e">
        <f>AND(Sheet1!A2137,"AAAAAH9z34k=")</f>
        <v>#VALUE!</v>
      </c>
      <c r="EI159" t="e">
        <f>AND(Sheet1!B2137,"AAAAAH9z34o=")</f>
        <v>#VALUE!</v>
      </c>
      <c r="EJ159" t="e">
        <f>AND(Sheet1!C2137,"AAAAAH9z34s=")</f>
        <v>#VALUE!</v>
      </c>
      <c r="EK159" t="e">
        <f>AND(Sheet1!D2137,"AAAAAH9z34w=")</f>
        <v>#VALUE!</v>
      </c>
      <c r="EL159" t="e">
        <f>AND(Sheet1!E2137,"AAAAAH9z340=")</f>
        <v>#VALUE!</v>
      </c>
      <c r="EM159" t="e">
        <f>AND(Sheet1!F2137,"AAAAAH9z344=")</f>
        <v>#VALUE!</v>
      </c>
      <c r="EN159" t="e">
        <f>AND(Sheet1!G2137,"AAAAAH9z348=")</f>
        <v>#VALUE!</v>
      </c>
      <c r="EO159" t="e">
        <f>AND(Sheet1!H2137,"AAAAAH9z35A=")</f>
        <v>#VALUE!</v>
      </c>
      <c r="EP159" t="e">
        <f>AND(Sheet1!I2137,"AAAAAH9z35E=")</f>
        <v>#VALUE!</v>
      </c>
      <c r="EQ159" t="e">
        <f>AND(Sheet1!J2137,"AAAAAH9z35I=")</f>
        <v>#VALUE!</v>
      </c>
      <c r="ER159" t="e">
        <f>AND(Sheet1!K2137,"AAAAAH9z35M=")</f>
        <v>#VALUE!</v>
      </c>
      <c r="ES159" t="e">
        <f>AND(Sheet1!L2137,"AAAAAH9z35Q=")</f>
        <v>#VALUE!</v>
      </c>
      <c r="ET159" t="e">
        <f>AND(Sheet1!M2137,"AAAAAH9z35U=")</f>
        <v>#VALUE!</v>
      </c>
      <c r="EU159" t="e">
        <f>AND(Sheet1!N2137,"AAAAAH9z35Y=")</f>
        <v>#VALUE!</v>
      </c>
      <c r="EV159" t="e">
        <f>AND(Sheet1!#REF!,"AAAAAH9z35c=")</f>
        <v>#REF!</v>
      </c>
      <c r="EW159" t="e">
        <f>AND(Sheet1!#REF!,"AAAAAH9z35g=")</f>
        <v>#REF!</v>
      </c>
      <c r="EX159" t="e">
        <f>AND(Sheet1!#REF!,"AAAAAH9z35k=")</f>
        <v>#REF!</v>
      </c>
      <c r="EY159" t="e">
        <f>AND(Sheet1!#REF!,"AAAAAH9z35o=")</f>
        <v>#REF!</v>
      </c>
      <c r="EZ159">
        <f>IF(Sheet1!2138:2138,"AAAAAH9z35s=",0)</f>
        <v>0</v>
      </c>
      <c r="FA159" t="e">
        <f>AND(Sheet1!A2138,"AAAAAH9z35w=")</f>
        <v>#VALUE!</v>
      </c>
      <c r="FB159" t="e">
        <f>AND(Sheet1!B2138,"AAAAAH9z350=")</f>
        <v>#VALUE!</v>
      </c>
      <c r="FC159" t="e">
        <f>AND(Sheet1!C2138,"AAAAAH9z354=")</f>
        <v>#VALUE!</v>
      </c>
      <c r="FD159" t="e">
        <f>AND(Sheet1!D2138,"AAAAAH9z358=")</f>
        <v>#VALUE!</v>
      </c>
      <c r="FE159" t="e">
        <f>AND(Sheet1!E2138,"AAAAAH9z36A=")</f>
        <v>#VALUE!</v>
      </c>
      <c r="FF159" t="e">
        <f>AND(Sheet1!F2138,"AAAAAH9z36E=")</f>
        <v>#VALUE!</v>
      </c>
      <c r="FG159" t="e">
        <f>AND(Sheet1!G2138,"AAAAAH9z36I=")</f>
        <v>#VALUE!</v>
      </c>
      <c r="FH159" t="e">
        <f>AND(Sheet1!H2138,"AAAAAH9z36M=")</f>
        <v>#VALUE!</v>
      </c>
      <c r="FI159" t="e">
        <f>AND(Sheet1!I2138,"AAAAAH9z36Q=")</f>
        <v>#VALUE!</v>
      </c>
      <c r="FJ159" t="e">
        <f>AND(Sheet1!J2138,"AAAAAH9z36U=")</f>
        <v>#VALUE!</v>
      </c>
      <c r="FK159" t="e">
        <f>AND(Sheet1!K2138,"AAAAAH9z36Y=")</f>
        <v>#VALUE!</v>
      </c>
      <c r="FL159" t="e">
        <f>AND(Sheet1!L2138,"AAAAAH9z36c=")</f>
        <v>#VALUE!</v>
      </c>
      <c r="FM159" t="e">
        <f>AND(Sheet1!M2138,"AAAAAH9z36g=")</f>
        <v>#VALUE!</v>
      </c>
      <c r="FN159" t="e">
        <f>AND(Sheet1!N2138,"AAAAAH9z36k=")</f>
        <v>#VALUE!</v>
      </c>
      <c r="FO159" t="e">
        <f>AND(Sheet1!#REF!,"AAAAAH9z36o=")</f>
        <v>#REF!</v>
      </c>
      <c r="FP159" t="e">
        <f>AND(Sheet1!#REF!,"AAAAAH9z36s=")</f>
        <v>#REF!</v>
      </c>
      <c r="FQ159" t="e">
        <f>AND(Sheet1!#REF!,"AAAAAH9z36w=")</f>
        <v>#REF!</v>
      </c>
      <c r="FR159" t="e">
        <f>AND(Sheet1!#REF!,"AAAAAH9z360=")</f>
        <v>#REF!</v>
      </c>
      <c r="FS159">
        <f>IF(Sheet1!2139:2139,"AAAAAH9z364=",0)</f>
        <v>0</v>
      </c>
      <c r="FT159" t="e">
        <f>AND(Sheet1!A2139,"AAAAAH9z368=")</f>
        <v>#VALUE!</v>
      </c>
      <c r="FU159" t="e">
        <f>AND(Sheet1!B2139,"AAAAAH9z37A=")</f>
        <v>#VALUE!</v>
      </c>
      <c r="FV159" t="e">
        <f>AND(Sheet1!C2139,"AAAAAH9z37E=")</f>
        <v>#VALUE!</v>
      </c>
      <c r="FW159" t="e">
        <f>AND(Sheet1!D2139,"AAAAAH9z37I=")</f>
        <v>#VALUE!</v>
      </c>
      <c r="FX159" t="e">
        <f>AND(Sheet1!E2139,"AAAAAH9z37M=")</f>
        <v>#VALUE!</v>
      </c>
      <c r="FY159" t="e">
        <f>AND(Sheet1!F2139,"AAAAAH9z37Q=")</f>
        <v>#VALUE!</v>
      </c>
      <c r="FZ159" t="e">
        <f>AND(Sheet1!G2139,"AAAAAH9z37U=")</f>
        <v>#VALUE!</v>
      </c>
      <c r="GA159" t="e">
        <f>AND(Sheet1!H2139,"AAAAAH9z37Y=")</f>
        <v>#VALUE!</v>
      </c>
      <c r="GB159" t="e">
        <f>AND(Sheet1!I2139,"AAAAAH9z37c=")</f>
        <v>#VALUE!</v>
      </c>
      <c r="GC159" t="e">
        <f>AND(Sheet1!J2139,"AAAAAH9z37g=")</f>
        <v>#VALUE!</v>
      </c>
      <c r="GD159" t="e">
        <f>AND(Sheet1!K2139,"AAAAAH9z37k=")</f>
        <v>#VALUE!</v>
      </c>
      <c r="GE159" t="e">
        <f>AND(Sheet1!L2139,"AAAAAH9z37o=")</f>
        <v>#VALUE!</v>
      </c>
      <c r="GF159" t="e">
        <f>AND(Sheet1!M2139,"AAAAAH9z37s=")</f>
        <v>#VALUE!</v>
      </c>
      <c r="GG159" t="e">
        <f>AND(Sheet1!N2139,"AAAAAH9z37w=")</f>
        <v>#VALUE!</v>
      </c>
      <c r="GH159" t="e">
        <f>AND(Sheet1!#REF!,"AAAAAH9z370=")</f>
        <v>#REF!</v>
      </c>
      <c r="GI159" t="e">
        <f>AND(Sheet1!#REF!,"AAAAAH9z374=")</f>
        <v>#REF!</v>
      </c>
      <c r="GJ159" t="e">
        <f>AND(Sheet1!#REF!,"AAAAAH9z378=")</f>
        <v>#REF!</v>
      </c>
      <c r="GK159" t="e">
        <f>AND(Sheet1!#REF!,"AAAAAH9z38A=")</f>
        <v>#REF!</v>
      </c>
      <c r="GL159">
        <f>IF(Sheet1!2140:2140,"AAAAAH9z38E=",0)</f>
        <v>0</v>
      </c>
      <c r="GM159" t="e">
        <f>AND(Sheet1!A2140,"AAAAAH9z38I=")</f>
        <v>#VALUE!</v>
      </c>
      <c r="GN159" t="e">
        <f>AND(Sheet1!B2140,"AAAAAH9z38M=")</f>
        <v>#VALUE!</v>
      </c>
      <c r="GO159" t="e">
        <f>AND(Sheet1!C2140,"AAAAAH9z38Q=")</f>
        <v>#VALUE!</v>
      </c>
      <c r="GP159" t="e">
        <f>AND(Sheet1!D2140,"AAAAAH9z38U=")</f>
        <v>#VALUE!</v>
      </c>
      <c r="GQ159" t="e">
        <f>AND(Sheet1!E2140,"AAAAAH9z38Y=")</f>
        <v>#VALUE!</v>
      </c>
      <c r="GR159" t="e">
        <f>AND(Sheet1!F2140,"AAAAAH9z38c=")</f>
        <v>#VALUE!</v>
      </c>
      <c r="GS159" t="e">
        <f>AND(Sheet1!G2140,"AAAAAH9z38g=")</f>
        <v>#VALUE!</v>
      </c>
      <c r="GT159" t="e">
        <f>AND(Sheet1!H2140,"AAAAAH9z38k=")</f>
        <v>#VALUE!</v>
      </c>
      <c r="GU159" t="e">
        <f>AND(Sheet1!I2140,"AAAAAH9z38o=")</f>
        <v>#VALUE!</v>
      </c>
      <c r="GV159" t="e">
        <f>AND(Sheet1!J2140,"AAAAAH9z38s=")</f>
        <v>#VALUE!</v>
      </c>
      <c r="GW159" t="e">
        <f>AND(Sheet1!K2140,"AAAAAH9z38w=")</f>
        <v>#VALUE!</v>
      </c>
      <c r="GX159" t="e">
        <f>AND(Sheet1!L2140,"AAAAAH9z380=")</f>
        <v>#VALUE!</v>
      </c>
      <c r="GY159" t="e">
        <f>AND(Sheet1!M2140,"AAAAAH9z384=")</f>
        <v>#VALUE!</v>
      </c>
      <c r="GZ159" t="e">
        <f>AND(Sheet1!N2140,"AAAAAH9z388=")</f>
        <v>#VALUE!</v>
      </c>
      <c r="HA159" t="e">
        <f>AND(Sheet1!#REF!,"AAAAAH9z39A=")</f>
        <v>#REF!</v>
      </c>
      <c r="HB159" t="e">
        <f>AND(Sheet1!#REF!,"AAAAAH9z39E=")</f>
        <v>#REF!</v>
      </c>
      <c r="HC159" t="e">
        <f>AND(Sheet1!#REF!,"AAAAAH9z39I=")</f>
        <v>#REF!</v>
      </c>
      <c r="HD159" t="e">
        <f>AND(Sheet1!#REF!,"AAAAAH9z39M=")</f>
        <v>#REF!</v>
      </c>
      <c r="HE159">
        <f>IF(Sheet1!2141:2141,"AAAAAH9z39Q=",0)</f>
        <v>0</v>
      </c>
      <c r="HF159" t="e">
        <f>AND(Sheet1!A2141,"AAAAAH9z39U=")</f>
        <v>#VALUE!</v>
      </c>
      <c r="HG159" t="e">
        <f>AND(Sheet1!B2141,"AAAAAH9z39Y=")</f>
        <v>#VALUE!</v>
      </c>
      <c r="HH159" t="e">
        <f>AND(Sheet1!C2141,"AAAAAH9z39c=")</f>
        <v>#VALUE!</v>
      </c>
      <c r="HI159" t="e">
        <f>AND(Sheet1!D2141,"AAAAAH9z39g=")</f>
        <v>#VALUE!</v>
      </c>
      <c r="HJ159" t="e">
        <f>AND(Sheet1!E2141,"AAAAAH9z39k=")</f>
        <v>#VALUE!</v>
      </c>
      <c r="HK159" t="e">
        <f>AND(Sheet1!F2141,"AAAAAH9z39o=")</f>
        <v>#VALUE!</v>
      </c>
      <c r="HL159" t="e">
        <f>AND(Sheet1!G2141,"AAAAAH9z39s=")</f>
        <v>#VALUE!</v>
      </c>
      <c r="HM159" t="e">
        <f>AND(Sheet1!H2141,"AAAAAH9z39w=")</f>
        <v>#VALUE!</v>
      </c>
      <c r="HN159" t="e">
        <f>AND(Sheet1!I2141,"AAAAAH9z390=")</f>
        <v>#VALUE!</v>
      </c>
      <c r="HO159" t="e">
        <f>AND(Sheet1!J2141,"AAAAAH9z394=")</f>
        <v>#VALUE!</v>
      </c>
      <c r="HP159" t="e">
        <f>AND(Sheet1!K2141,"AAAAAH9z398=")</f>
        <v>#VALUE!</v>
      </c>
      <c r="HQ159" t="e">
        <f>AND(Sheet1!L2141,"AAAAAH9z3+A=")</f>
        <v>#VALUE!</v>
      </c>
      <c r="HR159" t="e">
        <f>AND(Sheet1!M2141,"AAAAAH9z3+E=")</f>
        <v>#VALUE!</v>
      </c>
      <c r="HS159" t="e">
        <f>AND(Sheet1!N2141,"AAAAAH9z3+I=")</f>
        <v>#VALUE!</v>
      </c>
      <c r="HT159" t="e">
        <f>AND(Sheet1!#REF!,"AAAAAH9z3+M=")</f>
        <v>#REF!</v>
      </c>
      <c r="HU159" t="e">
        <f>AND(Sheet1!#REF!,"AAAAAH9z3+Q=")</f>
        <v>#REF!</v>
      </c>
      <c r="HV159" t="e">
        <f>AND(Sheet1!#REF!,"AAAAAH9z3+U=")</f>
        <v>#REF!</v>
      </c>
      <c r="HW159" t="e">
        <f>AND(Sheet1!#REF!,"AAAAAH9z3+Y=")</f>
        <v>#REF!</v>
      </c>
      <c r="HX159">
        <f>IF(Sheet1!2142:2142,"AAAAAH9z3+c=",0)</f>
        <v>0</v>
      </c>
      <c r="HY159" t="e">
        <f>AND(Sheet1!A2142,"AAAAAH9z3+g=")</f>
        <v>#VALUE!</v>
      </c>
      <c r="HZ159" t="e">
        <f>AND(Sheet1!B2142,"AAAAAH9z3+k=")</f>
        <v>#VALUE!</v>
      </c>
      <c r="IA159" t="e">
        <f>AND(Sheet1!C2142,"AAAAAH9z3+o=")</f>
        <v>#VALUE!</v>
      </c>
      <c r="IB159" t="e">
        <f>AND(Sheet1!D2142,"AAAAAH9z3+s=")</f>
        <v>#VALUE!</v>
      </c>
      <c r="IC159" t="e">
        <f>AND(Sheet1!E2142,"AAAAAH9z3+w=")</f>
        <v>#VALUE!</v>
      </c>
      <c r="ID159" t="e">
        <f>AND(Sheet1!F2142,"AAAAAH9z3+0=")</f>
        <v>#VALUE!</v>
      </c>
      <c r="IE159" t="e">
        <f>AND(Sheet1!G2142,"AAAAAH9z3+4=")</f>
        <v>#VALUE!</v>
      </c>
      <c r="IF159" t="e">
        <f>AND(Sheet1!H2142,"AAAAAH9z3+8=")</f>
        <v>#VALUE!</v>
      </c>
      <c r="IG159" t="e">
        <f>AND(Sheet1!I2142,"AAAAAH9z3/A=")</f>
        <v>#VALUE!</v>
      </c>
      <c r="IH159" t="e">
        <f>AND(Sheet1!J2142,"AAAAAH9z3/E=")</f>
        <v>#VALUE!</v>
      </c>
      <c r="II159" t="e">
        <f>AND(Sheet1!K2142,"AAAAAH9z3/I=")</f>
        <v>#VALUE!</v>
      </c>
      <c r="IJ159" t="e">
        <f>AND(Sheet1!L2142,"AAAAAH9z3/M=")</f>
        <v>#VALUE!</v>
      </c>
      <c r="IK159" t="e">
        <f>AND(Sheet1!M2142,"AAAAAH9z3/Q=")</f>
        <v>#VALUE!</v>
      </c>
      <c r="IL159" t="e">
        <f>AND(Sheet1!N2142,"AAAAAH9z3/U=")</f>
        <v>#VALUE!</v>
      </c>
      <c r="IM159" t="e">
        <f>AND(Sheet1!#REF!,"AAAAAH9z3/Y=")</f>
        <v>#REF!</v>
      </c>
      <c r="IN159" t="e">
        <f>AND(Sheet1!#REF!,"AAAAAH9z3/c=")</f>
        <v>#REF!</v>
      </c>
      <c r="IO159" t="e">
        <f>AND(Sheet1!#REF!,"AAAAAH9z3/g=")</f>
        <v>#REF!</v>
      </c>
      <c r="IP159" t="e">
        <f>AND(Sheet1!#REF!,"AAAAAH9z3/k=")</f>
        <v>#REF!</v>
      </c>
      <c r="IQ159">
        <f>IF(Sheet1!2143:2143,"AAAAAH9z3/o=",0)</f>
        <v>0</v>
      </c>
      <c r="IR159" t="e">
        <f>AND(Sheet1!A2143,"AAAAAH9z3/s=")</f>
        <v>#VALUE!</v>
      </c>
      <c r="IS159" t="e">
        <f>AND(Sheet1!B2143,"AAAAAH9z3/w=")</f>
        <v>#VALUE!</v>
      </c>
      <c r="IT159" t="e">
        <f>AND(Sheet1!C2143,"AAAAAH9z3/0=")</f>
        <v>#VALUE!</v>
      </c>
      <c r="IU159" t="e">
        <f>AND(Sheet1!D2143,"AAAAAH9z3/4=")</f>
        <v>#VALUE!</v>
      </c>
      <c r="IV159" t="e">
        <f>AND(Sheet1!E2143,"AAAAAH9z3/8=")</f>
        <v>#VALUE!</v>
      </c>
    </row>
    <row r="160" spans="1:256" x14ac:dyDescent="0.2">
      <c r="A160" t="e">
        <f>AND(Sheet1!F2143,"AAAAAH7vewA=")</f>
        <v>#VALUE!</v>
      </c>
      <c r="B160" t="e">
        <f>AND(Sheet1!G2143,"AAAAAH7vewE=")</f>
        <v>#VALUE!</v>
      </c>
      <c r="C160" t="e">
        <f>AND(Sheet1!H2143,"AAAAAH7vewI=")</f>
        <v>#VALUE!</v>
      </c>
      <c r="D160" t="e">
        <f>AND(Sheet1!I2143,"AAAAAH7vewM=")</f>
        <v>#VALUE!</v>
      </c>
      <c r="E160" t="e">
        <f>AND(Sheet1!J2143,"AAAAAH7vewQ=")</f>
        <v>#VALUE!</v>
      </c>
      <c r="F160" t="e">
        <f>AND(Sheet1!K2143,"AAAAAH7vewU=")</f>
        <v>#VALUE!</v>
      </c>
      <c r="G160" t="e">
        <f>AND(Sheet1!L2143,"AAAAAH7vewY=")</f>
        <v>#VALUE!</v>
      </c>
      <c r="H160" t="e">
        <f>AND(Sheet1!M2143,"AAAAAH7vewc=")</f>
        <v>#VALUE!</v>
      </c>
      <c r="I160" t="e">
        <f>AND(Sheet1!N2143,"AAAAAH7vewg=")</f>
        <v>#VALUE!</v>
      </c>
      <c r="J160" t="e">
        <f>AND(Sheet1!#REF!,"AAAAAH7vewk=")</f>
        <v>#REF!</v>
      </c>
      <c r="K160" t="e">
        <f>AND(Sheet1!#REF!,"AAAAAH7vewo=")</f>
        <v>#REF!</v>
      </c>
      <c r="L160" t="e">
        <f>AND(Sheet1!#REF!,"AAAAAH7vews=")</f>
        <v>#REF!</v>
      </c>
      <c r="M160" t="e">
        <f>AND(Sheet1!#REF!,"AAAAAH7veww=")</f>
        <v>#REF!</v>
      </c>
      <c r="N160" t="e">
        <f>IF(Sheet1!2144:2144,"AAAAAH7vew0=",0)</f>
        <v>#VALUE!</v>
      </c>
      <c r="O160" t="e">
        <f>AND(Sheet1!A2144,"AAAAAH7vew4=")</f>
        <v>#VALUE!</v>
      </c>
      <c r="P160" t="e">
        <f>AND(Sheet1!B2144,"AAAAAH7vew8=")</f>
        <v>#VALUE!</v>
      </c>
      <c r="Q160" t="e">
        <f>AND(Sheet1!C2144,"AAAAAH7vexA=")</f>
        <v>#VALUE!</v>
      </c>
      <c r="R160" t="e">
        <f>AND(Sheet1!D2144,"AAAAAH7vexE=")</f>
        <v>#VALUE!</v>
      </c>
      <c r="S160" t="e">
        <f>AND(Sheet1!E2144,"AAAAAH7vexI=")</f>
        <v>#VALUE!</v>
      </c>
      <c r="T160" t="e">
        <f>AND(Sheet1!F2144,"AAAAAH7vexM=")</f>
        <v>#VALUE!</v>
      </c>
      <c r="U160" t="e">
        <f>AND(Sheet1!G2144,"AAAAAH7vexQ=")</f>
        <v>#VALUE!</v>
      </c>
      <c r="V160" t="e">
        <f>AND(Sheet1!H2144,"AAAAAH7vexU=")</f>
        <v>#VALUE!</v>
      </c>
      <c r="W160" t="e">
        <f>AND(Sheet1!I2144,"AAAAAH7vexY=")</f>
        <v>#VALUE!</v>
      </c>
      <c r="X160" t="e">
        <f>AND(Sheet1!J2144,"AAAAAH7vexc=")</f>
        <v>#VALUE!</v>
      </c>
      <c r="Y160" t="e">
        <f>AND(Sheet1!K2144,"AAAAAH7vexg=")</f>
        <v>#VALUE!</v>
      </c>
      <c r="Z160" t="e">
        <f>AND(Sheet1!L2144,"AAAAAH7vexk=")</f>
        <v>#VALUE!</v>
      </c>
      <c r="AA160" t="e">
        <f>AND(Sheet1!M2144,"AAAAAH7vexo=")</f>
        <v>#VALUE!</v>
      </c>
      <c r="AB160" t="e">
        <f>AND(Sheet1!N2144,"AAAAAH7vexs=")</f>
        <v>#VALUE!</v>
      </c>
      <c r="AC160" t="e">
        <f>AND(Sheet1!#REF!,"AAAAAH7vexw=")</f>
        <v>#REF!</v>
      </c>
      <c r="AD160" t="e">
        <f>AND(Sheet1!#REF!,"AAAAAH7vex0=")</f>
        <v>#REF!</v>
      </c>
      <c r="AE160" t="e">
        <f>AND(Sheet1!#REF!,"AAAAAH7vex4=")</f>
        <v>#REF!</v>
      </c>
      <c r="AF160" t="e">
        <f>AND(Sheet1!#REF!,"AAAAAH7vex8=")</f>
        <v>#REF!</v>
      </c>
      <c r="AG160">
        <f>IF(Sheet1!2145:2145,"AAAAAH7veyA=",0)</f>
        <v>0</v>
      </c>
      <c r="AH160" t="e">
        <f>AND(Sheet1!A2145,"AAAAAH7veyE=")</f>
        <v>#VALUE!</v>
      </c>
      <c r="AI160" t="e">
        <f>AND(Sheet1!B2145,"AAAAAH7veyI=")</f>
        <v>#VALUE!</v>
      </c>
      <c r="AJ160" t="e">
        <f>AND(Sheet1!C2145,"AAAAAH7veyM=")</f>
        <v>#VALUE!</v>
      </c>
      <c r="AK160" t="e">
        <f>AND(Sheet1!D2145,"AAAAAH7veyQ=")</f>
        <v>#VALUE!</v>
      </c>
      <c r="AL160" t="e">
        <f>AND(Sheet1!E2145,"AAAAAH7veyU=")</f>
        <v>#VALUE!</v>
      </c>
      <c r="AM160" t="e">
        <f>AND(Sheet1!F2145,"AAAAAH7veyY=")</f>
        <v>#VALUE!</v>
      </c>
      <c r="AN160" t="e">
        <f>AND(Sheet1!G2145,"AAAAAH7veyc=")</f>
        <v>#VALUE!</v>
      </c>
      <c r="AO160" t="e">
        <f>AND(Sheet1!H2145,"AAAAAH7veyg=")</f>
        <v>#VALUE!</v>
      </c>
      <c r="AP160" t="e">
        <f>AND(Sheet1!I2145,"AAAAAH7veyk=")</f>
        <v>#VALUE!</v>
      </c>
      <c r="AQ160" t="e">
        <f>AND(Sheet1!J2145,"AAAAAH7veyo=")</f>
        <v>#VALUE!</v>
      </c>
      <c r="AR160" t="e">
        <f>AND(Sheet1!K2145,"AAAAAH7veys=")</f>
        <v>#VALUE!</v>
      </c>
      <c r="AS160" t="e">
        <f>AND(Sheet1!L2145,"AAAAAH7veyw=")</f>
        <v>#VALUE!</v>
      </c>
      <c r="AT160" t="e">
        <f>AND(Sheet1!M2145,"AAAAAH7vey0=")</f>
        <v>#VALUE!</v>
      </c>
      <c r="AU160" t="e">
        <f>AND(Sheet1!N2145,"AAAAAH7vey4=")</f>
        <v>#VALUE!</v>
      </c>
      <c r="AV160" t="e">
        <f>AND(Sheet1!#REF!,"AAAAAH7vey8=")</f>
        <v>#REF!</v>
      </c>
      <c r="AW160" t="e">
        <f>AND(Sheet1!#REF!,"AAAAAH7vezA=")</f>
        <v>#REF!</v>
      </c>
      <c r="AX160" t="e">
        <f>AND(Sheet1!#REF!,"AAAAAH7vezE=")</f>
        <v>#REF!</v>
      </c>
      <c r="AY160" t="e">
        <f>AND(Sheet1!#REF!,"AAAAAH7vezI=")</f>
        <v>#REF!</v>
      </c>
      <c r="AZ160">
        <f>IF(Sheet1!2146:2146,"AAAAAH7vezM=",0)</f>
        <v>0</v>
      </c>
      <c r="BA160" t="e">
        <f>AND(Sheet1!A2146,"AAAAAH7vezQ=")</f>
        <v>#VALUE!</v>
      </c>
      <c r="BB160" t="e">
        <f>AND(Sheet1!B2146,"AAAAAH7vezU=")</f>
        <v>#VALUE!</v>
      </c>
      <c r="BC160" t="e">
        <f>AND(Sheet1!C2146,"AAAAAH7vezY=")</f>
        <v>#VALUE!</v>
      </c>
      <c r="BD160" t="e">
        <f>AND(Sheet1!D2146,"AAAAAH7vezc=")</f>
        <v>#VALUE!</v>
      </c>
      <c r="BE160" t="e">
        <f>AND(Sheet1!E2146,"AAAAAH7vezg=")</f>
        <v>#VALUE!</v>
      </c>
      <c r="BF160" t="e">
        <f>AND(Sheet1!F2146,"AAAAAH7vezk=")</f>
        <v>#VALUE!</v>
      </c>
      <c r="BG160" t="e">
        <f>AND(Sheet1!G2146,"AAAAAH7vezo=")</f>
        <v>#VALUE!</v>
      </c>
      <c r="BH160" t="e">
        <f>AND(Sheet1!H2146,"AAAAAH7vezs=")</f>
        <v>#VALUE!</v>
      </c>
      <c r="BI160" t="e">
        <f>AND(Sheet1!I2146,"AAAAAH7vezw=")</f>
        <v>#VALUE!</v>
      </c>
      <c r="BJ160" t="e">
        <f>AND(Sheet1!J2146,"AAAAAH7vez0=")</f>
        <v>#VALUE!</v>
      </c>
      <c r="BK160" t="e">
        <f>AND(Sheet1!K2146,"AAAAAH7vez4=")</f>
        <v>#VALUE!</v>
      </c>
      <c r="BL160" t="e">
        <f>AND(Sheet1!L2146,"AAAAAH7vez8=")</f>
        <v>#VALUE!</v>
      </c>
      <c r="BM160" t="e">
        <f>AND(Sheet1!M2146,"AAAAAH7ve0A=")</f>
        <v>#VALUE!</v>
      </c>
      <c r="BN160" t="e">
        <f>AND(Sheet1!N2146,"AAAAAH7ve0E=")</f>
        <v>#VALUE!</v>
      </c>
      <c r="BO160" t="e">
        <f>AND(Sheet1!#REF!,"AAAAAH7ve0I=")</f>
        <v>#REF!</v>
      </c>
      <c r="BP160" t="e">
        <f>AND(Sheet1!#REF!,"AAAAAH7ve0M=")</f>
        <v>#REF!</v>
      </c>
      <c r="BQ160" t="e">
        <f>AND(Sheet1!#REF!,"AAAAAH7ve0Q=")</f>
        <v>#REF!</v>
      </c>
      <c r="BR160" t="e">
        <f>AND(Sheet1!#REF!,"AAAAAH7ve0U=")</f>
        <v>#REF!</v>
      </c>
      <c r="BS160">
        <f>IF(Sheet1!2147:2147,"AAAAAH7ve0Y=",0)</f>
        <v>0</v>
      </c>
      <c r="BT160" t="e">
        <f>AND(Sheet1!A2147,"AAAAAH7ve0c=")</f>
        <v>#VALUE!</v>
      </c>
      <c r="BU160" t="e">
        <f>AND(Sheet1!B2147,"AAAAAH7ve0g=")</f>
        <v>#VALUE!</v>
      </c>
      <c r="BV160" t="e">
        <f>AND(Sheet1!C2147,"AAAAAH7ve0k=")</f>
        <v>#VALUE!</v>
      </c>
      <c r="BW160" t="e">
        <f>AND(Sheet1!D2147,"AAAAAH7ve0o=")</f>
        <v>#VALUE!</v>
      </c>
      <c r="BX160" t="e">
        <f>AND(Sheet1!E2147,"AAAAAH7ve0s=")</f>
        <v>#VALUE!</v>
      </c>
      <c r="BY160" t="e">
        <f>AND(Sheet1!F2147,"AAAAAH7ve0w=")</f>
        <v>#VALUE!</v>
      </c>
      <c r="BZ160" t="e">
        <f>AND(Sheet1!G2147,"AAAAAH7ve00=")</f>
        <v>#VALUE!</v>
      </c>
      <c r="CA160" t="e">
        <f>AND(Sheet1!H2147,"AAAAAH7ve04=")</f>
        <v>#VALUE!</v>
      </c>
      <c r="CB160" t="e">
        <f>AND(Sheet1!I2147,"AAAAAH7ve08=")</f>
        <v>#VALUE!</v>
      </c>
      <c r="CC160" t="e">
        <f>AND(Sheet1!J2147,"AAAAAH7ve1A=")</f>
        <v>#VALUE!</v>
      </c>
      <c r="CD160" t="e">
        <f>AND(Sheet1!K2147,"AAAAAH7ve1E=")</f>
        <v>#VALUE!</v>
      </c>
      <c r="CE160" t="e">
        <f>AND(Sheet1!L2147,"AAAAAH7ve1I=")</f>
        <v>#VALUE!</v>
      </c>
      <c r="CF160" t="e">
        <f>AND(Sheet1!M2147,"AAAAAH7ve1M=")</f>
        <v>#VALUE!</v>
      </c>
      <c r="CG160" t="e">
        <f>AND(Sheet1!N2147,"AAAAAH7ve1Q=")</f>
        <v>#VALUE!</v>
      </c>
      <c r="CH160" t="e">
        <f>AND(Sheet1!#REF!,"AAAAAH7ve1U=")</f>
        <v>#REF!</v>
      </c>
      <c r="CI160" t="e">
        <f>AND(Sheet1!#REF!,"AAAAAH7ve1Y=")</f>
        <v>#REF!</v>
      </c>
      <c r="CJ160" t="e">
        <f>AND(Sheet1!#REF!,"AAAAAH7ve1c=")</f>
        <v>#REF!</v>
      </c>
      <c r="CK160" t="e">
        <f>AND(Sheet1!#REF!,"AAAAAH7ve1g=")</f>
        <v>#REF!</v>
      </c>
      <c r="CL160">
        <f>IF(Sheet1!2148:2148,"AAAAAH7ve1k=",0)</f>
        <v>0</v>
      </c>
      <c r="CM160" t="e">
        <f>AND(Sheet1!A2148,"AAAAAH7ve1o=")</f>
        <v>#VALUE!</v>
      </c>
      <c r="CN160" t="e">
        <f>AND(Sheet1!B2148,"AAAAAH7ve1s=")</f>
        <v>#VALUE!</v>
      </c>
      <c r="CO160" t="e">
        <f>AND(Sheet1!C2148,"AAAAAH7ve1w=")</f>
        <v>#VALUE!</v>
      </c>
      <c r="CP160" t="e">
        <f>AND(Sheet1!D2148,"AAAAAH7ve10=")</f>
        <v>#VALUE!</v>
      </c>
      <c r="CQ160" t="e">
        <f>AND(Sheet1!E2148,"AAAAAH7ve14=")</f>
        <v>#VALUE!</v>
      </c>
      <c r="CR160" t="e">
        <f>AND(Sheet1!F2148,"AAAAAH7ve18=")</f>
        <v>#VALUE!</v>
      </c>
      <c r="CS160" t="e">
        <f>AND(Sheet1!G2148,"AAAAAH7ve2A=")</f>
        <v>#VALUE!</v>
      </c>
      <c r="CT160" t="e">
        <f>AND(Sheet1!H2148,"AAAAAH7ve2E=")</f>
        <v>#VALUE!</v>
      </c>
      <c r="CU160" t="e">
        <f>AND(Sheet1!I2148,"AAAAAH7ve2I=")</f>
        <v>#VALUE!</v>
      </c>
      <c r="CV160" t="e">
        <f>AND(Sheet1!J2148,"AAAAAH7ve2M=")</f>
        <v>#VALUE!</v>
      </c>
      <c r="CW160" t="e">
        <f>AND(Sheet1!K2148,"AAAAAH7ve2Q=")</f>
        <v>#VALUE!</v>
      </c>
      <c r="CX160" t="e">
        <f>AND(Sheet1!L2148,"AAAAAH7ve2U=")</f>
        <v>#VALUE!</v>
      </c>
      <c r="CY160" t="e">
        <f>AND(Sheet1!M2148,"AAAAAH7ve2Y=")</f>
        <v>#VALUE!</v>
      </c>
      <c r="CZ160" t="e">
        <f>AND(Sheet1!N2148,"AAAAAH7ve2c=")</f>
        <v>#VALUE!</v>
      </c>
      <c r="DA160" t="e">
        <f>AND(Sheet1!#REF!,"AAAAAH7ve2g=")</f>
        <v>#REF!</v>
      </c>
      <c r="DB160" t="e">
        <f>AND(Sheet1!#REF!,"AAAAAH7ve2k=")</f>
        <v>#REF!</v>
      </c>
      <c r="DC160" t="e">
        <f>AND(Sheet1!#REF!,"AAAAAH7ve2o=")</f>
        <v>#REF!</v>
      </c>
      <c r="DD160" t="e">
        <f>AND(Sheet1!#REF!,"AAAAAH7ve2s=")</f>
        <v>#REF!</v>
      </c>
      <c r="DE160">
        <f>IF(Sheet1!2149:2149,"AAAAAH7ve2w=",0)</f>
        <v>0</v>
      </c>
      <c r="DF160" t="e">
        <f>AND(Sheet1!A2149,"AAAAAH7ve20=")</f>
        <v>#VALUE!</v>
      </c>
      <c r="DG160" t="e">
        <f>AND(Sheet1!B2149,"AAAAAH7ve24=")</f>
        <v>#VALUE!</v>
      </c>
      <c r="DH160" t="e">
        <f>AND(Sheet1!C2149,"AAAAAH7ve28=")</f>
        <v>#VALUE!</v>
      </c>
      <c r="DI160" t="e">
        <f>AND(Sheet1!D2149,"AAAAAH7ve3A=")</f>
        <v>#VALUE!</v>
      </c>
      <c r="DJ160" t="e">
        <f>AND(Sheet1!E2149,"AAAAAH7ve3E=")</f>
        <v>#VALUE!</v>
      </c>
      <c r="DK160" t="e">
        <f>AND(Sheet1!F2149,"AAAAAH7ve3I=")</f>
        <v>#VALUE!</v>
      </c>
      <c r="DL160" t="e">
        <f>AND(Sheet1!G2149,"AAAAAH7ve3M=")</f>
        <v>#VALUE!</v>
      </c>
      <c r="DM160" t="e">
        <f>AND(Sheet1!H2149,"AAAAAH7ve3Q=")</f>
        <v>#VALUE!</v>
      </c>
      <c r="DN160" t="e">
        <f>AND(Sheet1!I2149,"AAAAAH7ve3U=")</f>
        <v>#VALUE!</v>
      </c>
      <c r="DO160" t="e">
        <f>AND(Sheet1!J2149,"AAAAAH7ve3Y=")</f>
        <v>#VALUE!</v>
      </c>
      <c r="DP160" t="e">
        <f>AND(Sheet1!K2149,"AAAAAH7ve3c=")</f>
        <v>#VALUE!</v>
      </c>
      <c r="DQ160" t="e">
        <f>AND(Sheet1!L2149,"AAAAAH7ve3g=")</f>
        <v>#VALUE!</v>
      </c>
      <c r="DR160" t="e">
        <f>AND(Sheet1!M2149,"AAAAAH7ve3k=")</f>
        <v>#VALUE!</v>
      </c>
      <c r="DS160" t="e">
        <f>AND(Sheet1!N2149,"AAAAAH7ve3o=")</f>
        <v>#VALUE!</v>
      </c>
      <c r="DT160" t="e">
        <f>AND(Sheet1!#REF!,"AAAAAH7ve3s=")</f>
        <v>#REF!</v>
      </c>
      <c r="DU160" t="e">
        <f>AND(Sheet1!#REF!,"AAAAAH7ve3w=")</f>
        <v>#REF!</v>
      </c>
      <c r="DV160" t="e">
        <f>AND(Sheet1!#REF!,"AAAAAH7ve30=")</f>
        <v>#REF!</v>
      </c>
      <c r="DW160" t="e">
        <f>AND(Sheet1!#REF!,"AAAAAH7ve34=")</f>
        <v>#REF!</v>
      </c>
      <c r="DX160">
        <f>IF(Sheet1!2150:2150,"AAAAAH7ve38=",0)</f>
        <v>0</v>
      </c>
      <c r="DY160" t="e">
        <f>AND(Sheet1!A2150,"AAAAAH7ve4A=")</f>
        <v>#VALUE!</v>
      </c>
      <c r="DZ160" t="e">
        <f>AND(Sheet1!B2150,"AAAAAH7ve4E=")</f>
        <v>#VALUE!</v>
      </c>
      <c r="EA160" t="e">
        <f>AND(Sheet1!C2150,"AAAAAH7ve4I=")</f>
        <v>#VALUE!</v>
      </c>
      <c r="EB160" t="e">
        <f>AND(Sheet1!D2150,"AAAAAH7ve4M=")</f>
        <v>#VALUE!</v>
      </c>
      <c r="EC160" t="e">
        <f>AND(Sheet1!E2150,"AAAAAH7ve4Q=")</f>
        <v>#VALUE!</v>
      </c>
      <c r="ED160" t="e">
        <f>AND(Sheet1!F2150,"AAAAAH7ve4U=")</f>
        <v>#VALUE!</v>
      </c>
      <c r="EE160" t="e">
        <f>AND(Sheet1!G2150,"AAAAAH7ve4Y=")</f>
        <v>#VALUE!</v>
      </c>
      <c r="EF160" t="e">
        <f>AND(Sheet1!H2150,"AAAAAH7ve4c=")</f>
        <v>#VALUE!</v>
      </c>
      <c r="EG160" t="e">
        <f>AND(Sheet1!I2150,"AAAAAH7ve4g=")</f>
        <v>#VALUE!</v>
      </c>
      <c r="EH160" t="e">
        <f>AND(Sheet1!J2150,"AAAAAH7ve4k=")</f>
        <v>#VALUE!</v>
      </c>
      <c r="EI160" t="e">
        <f>AND(Sheet1!K2150,"AAAAAH7ve4o=")</f>
        <v>#VALUE!</v>
      </c>
      <c r="EJ160" t="e">
        <f>AND(Sheet1!L2150,"AAAAAH7ve4s=")</f>
        <v>#VALUE!</v>
      </c>
      <c r="EK160" t="e">
        <f>AND(Sheet1!M2150,"AAAAAH7ve4w=")</f>
        <v>#VALUE!</v>
      </c>
      <c r="EL160" t="e">
        <f>AND(Sheet1!N2150,"AAAAAH7ve40=")</f>
        <v>#VALUE!</v>
      </c>
      <c r="EM160" t="e">
        <f>AND(Sheet1!#REF!,"AAAAAH7ve44=")</f>
        <v>#REF!</v>
      </c>
      <c r="EN160" t="e">
        <f>AND(Sheet1!#REF!,"AAAAAH7ve48=")</f>
        <v>#REF!</v>
      </c>
      <c r="EO160" t="e">
        <f>AND(Sheet1!#REF!,"AAAAAH7ve5A=")</f>
        <v>#REF!</v>
      </c>
      <c r="EP160" t="e">
        <f>AND(Sheet1!#REF!,"AAAAAH7ve5E=")</f>
        <v>#REF!</v>
      </c>
      <c r="EQ160">
        <f>IF(Sheet1!2151:2151,"AAAAAH7ve5I=",0)</f>
        <v>0</v>
      </c>
      <c r="ER160" t="e">
        <f>AND(Sheet1!A2151,"AAAAAH7ve5M=")</f>
        <v>#VALUE!</v>
      </c>
      <c r="ES160" t="e">
        <f>AND(Sheet1!B2151,"AAAAAH7ve5Q=")</f>
        <v>#VALUE!</v>
      </c>
      <c r="ET160" t="e">
        <f>AND(Sheet1!C2151,"AAAAAH7ve5U=")</f>
        <v>#VALUE!</v>
      </c>
      <c r="EU160" t="e">
        <f>AND(Sheet1!D2151,"AAAAAH7ve5Y=")</f>
        <v>#VALUE!</v>
      </c>
      <c r="EV160" t="e">
        <f>AND(Sheet1!E2151,"AAAAAH7ve5c=")</f>
        <v>#VALUE!</v>
      </c>
      <c r="EW160" t="e">
        <f>AND(Sheet1!F2151,"AAAAAH7ve5g=")</f>
        <v>#VALUE!</v>
      </c>
      <c r="EX160" t="e">
        <f>AND(Sheet1!G2151,"AAAAAH7ve5k=")</f>
        <v>#VALUE!</v>
      </c>
      <c r="EY160" t="e">
        <f>AND(Sheet1!H2151,"AAAAAH7ve5o=")</f>
        <v>#VALUE!</v>
      </c>
      <c r="EZ160" t="e">
        <f>AND(Sheet1!I2151,"AAAAAH7ve5s=")</f>
        <v>#VALUE!</v>
      </c>
      <c r="FA160" t="e">
        <f>AND(Sheet1!J2151,"AAAAAH7ve5w=")</f>
        <v>#VALUE!</v>
      </c>
      <c r="FB160" t="e">
        <f>AND(Sheet1!K2151,"AAAAAH7ve50=")</f>
        <v>#VALUE!</v>
      </c>
      <c r="FC160" t="e">
        <f>AND(Sheet1!L2151,"AAAAAH7ve54=")</f>
        <v>#VALUE!</v>
      </c>
      <c r="FD160" t="e">
        <f>AND(Sheet1!M2151,"AAAAAH7ve58=")</f>
        <v>#VALUE!</v>
      </c>
      <c r="FE160" t="e">
        <f>AND(Sheet1!N2151,"AAAAAH7ve6A=")</f>
        <v>#VALUE!</v>
      </c>
      <c r="FF160" t="e">
        <f>AND(Sheet1!#REF!,"AAAAAH7ve6E=")</f>
        <v>#REF!</v>
      </c>
      <c r="FG160" t="e">
        <f>AND(Sheet1!#REF!,"AAAAAH7ve6I=")</f>
        <v>#REF!</v>
      </c>
      <c r="FH160" t="e">
        <f>AND(Sheet1!#REF!,"AAAAAH7ve6M=")</f>
        <v>#REF!</v>
      </c>
      <c r="FI160" t="e">
        <f>AND(Sheet1!#REF!,"AAAAAH7ve6Q=")</f>
        <v>#REF!</v>
      </c>
      <c r="FJ160">
        <f>IF(Sheet1!2152:2152,"AAAAAH7ve6U=",0)</f>
        <v>0</v>
      </c>
      <c r="FK160" t="e">
        <f>AND(Sheet1!A2152,"AAAAAH7ve6Y=")</f>
        <v>#VALUE!</v>
      </c>
      <c r="FL160" t="e">
        <f>AND(Sheet1!B2152,"AAAAAH7ve6c=")</f>
        <v>#VALUE!</v>
      </c>
      <c r="FM160" t="e">
        <f>AND(Sheet1!C2152,"AAAAAH7ve6g=")</f>
        <v>#VALUE!</v>
      </c>
      <c r="FN160" t="e">
        <f>AND(Sheet1!D2152,"AAAAAH7ve6k=")</f>
        <v>#VALUE!</v>
      </c>
      <c r="FO160" t="e">
        <f>AND(Sheet1!E2152,"AAAAAH7ve6o=")</f>
        <v>#VALUE!</v>
      </c>
      <c r="FP160" t="e">
        <f>AND(Sheet1!F2152,"AAAAAH7ve6s=")</f>
        <v>#VALUE!</v>
      </c>
      <c r="FQ160" t="e">
        <f>AND(Sheet1!G2152,"AAAAAH7ve6w=")</f>
        <v>#VALUE!</v>
      </c>
      <c r="FR160" t="e">
        <f>AND(Sheet1!H2152,"AAAAAH7ve60=")</f>
        <v>#VALUE!</v>
      </c>
      <c r="FS160" t="e">
        <f>AND(Sheet1!I2152,"AAAAAH7ve64=")</f>
        <v>#VALUE!</v>
      </c>
      <c r="FT160" t="e">
        <f>AND(Sheet1!J2152,"AAAAAH7ve68=")</f>
        <v>#VALUE!</v>
      </c>
      <c r="FU160" t="e">
        <f>AND(Sheet1!K2152,"AAAAAH7ve7A=")</f>
        <v>#VALUE!</v>
      </c>
      <c r="FV160" t="e">
        <f>AND(Sheet1!L2152,"AAAAAH7ve7E=")</f>
        <v>#VALUE!</v>
      </c>
      <c r="FW160" t="e">
        <f>AND(Sheet1!M2152,"AAAAAH7ve7I=")</f>
        <v>#VALUE!</v>
      </c>
      <c r="FX160" t="e">
        <f>AND(Sheet1!N2152,"AAAAAH7ve7M=")</f>
        <v>#VALUE!</v>
      </c>
      <c r="FY160" t="e">
        <f>AND(Sheet1!#REF!,"AAAAAH7ve7Q=")</f>
        <v>#REF!</v>
      </c>
      <c r="FZ160" t="e">
        <f>AND(Sheet1!#REF!,"AAAAAH7ve7U=")</f>
        <v>#REF!</v>
      </c>
      <c r="GA160" t="e">
        <f>AND(Sheet1!#REF!,"AAAAAH7ve7Y=")</f>
        <v>#REF!</v>
      </c>
      <c r="GB160" t="e">
        <f>AND(Sheet1!#REF!,"AAAAAH7ve7c=")</f>
        <v>#REF!</v>
      </c>
      <c r="GC160">
        <f>IF(Sheet1!2153:2153,"AAAAAH7ve7g=",0)</f>
        <v>0</v>
      </c>
      <c r="GD160" t="e">
        <f>AND(Sheet1!A2153,"AAAAAH7ve7k=")</f>
        <v>#VALUE!</v>
      </c>
      <c r="GE160" t="e">
        <f>AND(Sheet1!B2153,"AAAAAH7ve7o=")</f>
        <v>#VALUE!</v>
      </c>
      <c r="GF160" t="e">
        <f>AND(Sheet1!C2153,"AAAAAH7ve7s=")</f>
        <v>#VALUE!</v>
      </c>
      <c r="GG160" t="e">
        <f>AND(Sheet1!D2153,"AAAAAH7ve7w=")</f>
        <v>#VALUE!</v>
      </c>
      <c r="GH160" t="e">
        <f>AND(Sheet1!E2153,"AAAAAH7ve70=")</f>
        <v>#VALUE!</v>
      </c>
      <c r="GI160" t="e">
        <f>AND(Sheet1!F2153,"AAAAAH7ve74=")</f>
        <v>#VALUE!</v>
      </c>
      <c r="GJ160" t="e">
        <f>AND(Sheet1!G2153,"AAAAAH7ve78=")</f>
        <v>#VALUE!</v>
      </c>
      <c r="GK160" t="e">
        <f>AND(Sheet1!H2153,"AAAAAH7ve8A=")</f>
        <v>#VALUE!</v>
      </c>
      <c r="GL160" t="e">
        <f>AND(Sheet1!I2153,"AAAAAH7ve8E=")</f>
        <v>#VALUE!</v>
      </c>
      <c r="GM160" t="e">
        <f>AND(Sheet1!J2153,"AAAAAH7ve8I=")</f>
        <v>#VALUE!</v>
      </c>
      <c r="GN160" t="e">
        <f>AND(Sheet1!K2153,"AAAAAH7ve8M=")</f>
        <v>#VALUE!</v>
      </c>
      <c r="GO160" t="e">
        <f>AND(Sheet1!L2153,"AAAAAH7ve8Q=")</f>
        <v>#VALUE!</v>
      </c>
      <c r="GP160" t="e">
        <f>AND(Sheet1!M2153,"AAAAAH7ve8U=")</f>
        <v>#VALUE!</v>
      </c>
      <c r="GQ160" t="e">
        <f>AND(Sheet1!N2153,"AAAAAH7ve8Y=")</f>
        <v>#VALUE!</v>
      </c>
      <c r="GR160" t="e">
        <f>AND(Sheet1!#REF!,"AAAAAH7ve8c=")</f>
        <v>#REF!</v>
      </c>
      <c r="GS160" t="e">
        <f>AND(Sheet1!#REF!,"AAAAAH7ve8g=")</f>
        <v>#REF!</v>
      </c>
      <c r="GT160" t="e">
        <f>AND(Sheet1!#REF!,"AAAAAH7ve8k=")</f>
        <v>#REF!</v>
      </c>
      <c r="GU160" t="e">
        <f>AND(Sheet1!#REF!,"AAAAAH7ve8o=")</f>
        <v>#REF!</v>
      </c>
      <c r="GV160">
        <f>IF(Sheet1!2154:2154,"AAAAAH7ve8s=",0)</f>
        <v>0</v>
      </c>
      <c r="GW160" t="e">
        <f>AND(Sheet1!A2154,"AAAAAH7ve8w=")</f>
        <v>#VALUE!</v>
      </c>
      <c r="GX160" t="e">
        <f>AND(Sheet1!B2154,"AAAAAH7ve80=")</f>
        <v>#VALUE!</v>
      </c>
      <c r="GY160" t="e">
        <f>AND(Sheet1!C2154,"AAAAAH7ve84=")</f>
        <v>#VALUE!</v>
      </c>
      <c r="GZ160" t="e">
        <f>AND(Sheet1!D2154,"AAAAAH7ve88=")</f>
        <v>#VALUE!</v>
      </c>
      <c r="HA160" t="e">
        <f>AND(Sheet1!E2154,"AAAAAH7ve9A=")</f>
        <v>#VALUE!</v>
      </c>
      <c r="HB160" t="e">
        <f>AND(Sheet1!F2154,"AAAAAH7ve9E=")</f>
        <v>#VALUE!</v>
      </c>
      <c r="HC160" t="e">
        <f>AND(Sheet1!G2154,"AAAAAH7ve9I=")</f>
        <v>#VALUE!</v>
      </c>
      <c r="HD160" t="e">
        <f>AND(Sheet1!H2154,"AAAAAH7ve9M=")</f>
        <v>#VALUE!</v>
      </c>
      <c r="HE160" t="e">
        <f>AND(Sheet1!I2154,"AAAAAH7ve9Q=")</f>
        <v>#VALUE!</v>
      </c>
      <c r="HF160" t="e">
        <f>AND(Sheet1!J2154,"AAAAAH7ve9U=")</f>
        <v>#VALUE!</v>
      </c>
      <c r="HG160" t="e">
        <f>AND(Sheet1!K2154,"AAAAAH7ve9Y=")</f>
        <v>#VALUE!</v>
      </c>
      <c r="HH160" t="e">
        <f>AND(Sheet1!L2154,"AAAAAH7ve9c=")</f>
        <v>#VALUE!</v>
      </c>
      <c r="HI160" t="e">
        <f>AND(Sheet1!M2154,"AAAAAH7ve9g=")</f>
        <v>#VALUE!</v>
      </c>
      <c r="HJ160" t="e">
        <f>AND(Sheet1!N2154,"AAAAAH7ve9k=")</f>
        <v>#VALUE!</v>
      </c>
      <c r="HK160" t="e">
        <f>AND(Sheet1!#REF!,"AAAAAH7ve9o=")</f>
        <v>#REF!</v>
      </c>
      <c r="HL160" t="e">
        <f>AND(Sheet1!#REF!,"AAAAAH7ve9s=")</f>
        <v>#REF!</v>
      </c>
      <c r="HM160" t="e">
        <f>AND(Sheet1!#REF!,"AAAAAH7ve9w=")</f>
        <v>#REF!</v>
      </c>
      <c r="HN160" t="e">
        <f>AND(Sheet1!#REF!,"AAAAAH7ve90=")</f>
        <v>#REF!</v>
      </c>
      <c r="HO160">
        <f>IF(Sheet1!2155:2155,"AAAAAH7ve94=",0)</f>
        <v>0</v>
      </c>
      <c r="HP160" t="e">
        <f>AND(Sheet1!A2155,"AAAAAH7ve98=")</f>
        <v>#VALUE!</v>
      </c>
      <c r="HQ160" t="e">
        <f>AND(Sheet1!B2155,"AAAAAH7ve+A=")</f>
        <v>#VALUE!</v>
      </c>
      <c r="HR160" t="e">
        <f>AND(Sheet1!C2155,"AAAAAH7ve+E=")</f>
        <v>#VALUE!</v>
      </c>
      <c r="HS160" t="e">
        <f>AND(Sheet1!D2155,"AAAAAH7ve+I=")</f>
        <v>#VALUE!</v>
      </c>
      <c r="HT160" t="e">
        <f>AND(Sheet1!E2155,"AAAAAH7ve+M=")</f>
        <v>#VALUE!</v>
      </c>
      <c r="HU160" t="e">
        <f>AND(Sheet1!F2155,"AAAAAH7ve+Q=")</f>
        <v>#VALUE!</v>
      </c>
      <c r="HV160" t="e">
        <f>AND(Sheet1!G2155,"AAAAAH7ve+U=")</f>
        <v>#VALUE!</v>
      </c>
      <c r="HW160" t="e">
        <f>AND(Sheet1!H2155,"AAAAAH7ve+Y=")</f>
        <v>#VALUE!</v>
      </c>
      <c r="HX160" t="e">
        <f>AND(Sheet1!I2155,"AAAAAH7ve+c=")</f>
        <v>#VALUE!</v>
      </c>
      <c r="HY160" t="e">
        <f>AND(Sheet1!J2155,"AAAAAH7ve+g=")</f>
        <v>#VALUE!</v>
      </c>
      <c r="HZ160" t="e">
        <f>AND(Sheet1!K2155,"AAAAAH7ve+k=")</f>
        <v>#VALUE!</v>
      </c>
      <c r="IA160" t="e">
        <f>AND(Sheet1!L2155,"AAAAAH7ve+o=")</f>
        <v>#VALUE!</v>
      </c>
      <c r="IB160" t="e">
        <f>AND(Sheet1!M2155,"AAAAAH7ve+s=")</f>
        <v>#VALUE!</v>
      </c>
      <c r="IC160" t="e">
        <f>AND(Sheet1!N2155,"AAAAAH7ve+w=")</f>
        <v>#VALUE!</v>
      </c>
      <c r="ID160" t="e">
        <f>AND(Sheet1!#REF!,"AAAAAH7ve+0=")</f>
        <v>#REF!</v>
      </c>
      <c r="IE160" t="e">
        <f>AND(Sheet1!#REF!,"AAAAAH7ve+4=")</f>
        <v>#REF!</v>
      </c>
      <c r="IF160" t="e">
        <f>AND(Sheet1!#REF!,"AAAAAH7ve+8=")</f>
        <v>#REF!</v>
      </c>
      <c r="IG160" t="e">
        <f>AND(Sheet1!#REF!,"AAAAAH7ve/A=")</f>
        <v>#REF!</v>
      </c>
      <c r="IH160">
        <f>IF(Sheet1!2156:2156,"AAAAAH7ve/E=",0)</f>
        <v>0</v>
      </c>
      <c r="II160" t="e">
        <f>AND(Sheet1!A2156,"AAAAAH7ve/I=")</f>
        <v>#VALUE!</v>
      </c>
      <c r="IJ160" t="e">
        <f>AND(Sheet1!B2156,"AAAAAH7ve/M=")</f>
        <v>#VALUE!</v>
      </c>
      <c r="IK160" t="e">
        <f>AND(Sheet1!C2156,"AAAAAH7ve/Q=")</f>
        <v>#VALUE!</v>
      </c>
      <c r="IL160" t="e">
        <f>AND(Sheet1!D2156,"AAAAAH7ve/U=")</f>
        <v>#VALUE!</v>
      </c>
      <c r="IM160" t="e">
        <f>AND(Sheet1!E2156,"AAAAAH7ve/Y=")</f>
        <v>#VALUE!</v>
      </c>
      <c r="IN160" t="e">
        <f>AND(Sheet1!F2156,"AAAAAH7ve/c=")</f>
        <v>#VALUE!</v>
      </c>
      <c r="IO160" t="e">
        <f>AND(Sheet1!G2156,"AAAAAH7ve/g=")</f>
        <v>#VALUE!</v>
      </c>
      <c r="IP160" t="e">
        <f>AND(Sheet1!H2156,"AAAAAH7ve/k=")</f>
        <v>#VALUE!</v>
      </c>
      <c r="IQ160" t="e">
        <f>AND(Sheet1!I2156,"AAAAAH7ve/o=")</f>
        <v>#VALUE!</v>
      </c>
      <c r="IR160" t="e">
        <f>AND(Sheet1!J2156,"AAAAAH7ve/s=")</f>
        <v>#VALUE!</v>
      </c>
      <c r="IS160" t="e">
        <f>AND(Sheet1!K2156,"AAAAAH7ve/w=")</f>
        <v>#VALUE!</v>
      </c>
      <c r="IT160" t="e">
        <f>AND(Sheet1!L2156,"AAAAAH7ve/0=")</f>
        <v>#VALUE!</v>
      </c>
      <c r="IU160" t="e">
        <f>AND(Sheet1!M2156,"AAAAAH7ve/4=")</f>
        <v>#VALUE!</v>
      </c>
      <c r="IV160" t="e">
        <f>AND(Sheet1!N2156,"AAAAAH7ve/8=")</f>
        <v>#VALUE!</v>
      </c>
    </row>
    <row r="161" spans="1:256" x14ac:dyDescent="0.2">
      <c r="A161" t="e">
        <f>AND(Sheet1!#REF!,"AAAAAEz1zQA=")</f>
        <v>#REF!</v>
      </c>
      <c r="B161" t="e">
        <f>AND(Sheet1!#REF!,"AAAAAEz1zQE=")</f>
        <v>#REF!</v>
      </c>
      <c r="C161" t="e">
        <f>AND(Sheet1!#REF!,"AAAAAEz1zQI=")</f>
        <v>#REF!</v>
      </c>
      <c r="D161" t="e">
        <f>AND(Sheet1!#REF!,"AAAAAEz1zQM=")</f>
        <v>#REF!</v>
      </c>
      <c r="E161" t="e">
        <f>IF(Sheet1!2157:2157,"AAAAAEz1zQQ=",0)</f>
        <v>#VALUE!</v>
      </c>
      <c r="F161" t="e">
        <f>AND(Sheet1!A2157,"AAAAAEz1zQU=")</f>
        <v>#VALUE!</v>
      </c>
      <c r="G161" t="e">
        <f>AND(Sheet1!B2157,"AAAAAEz1zQY=")</f>
        <v>#VALUE!</v>
      </c>
      <c r="H161" t="e">
        <f>AND(Sheet1!C2157,"AAAAAEz1zQc=")</f>
        <v>#VALUE!</v>
      </c>
      <c r="I161" t="e">
        <f>AND(Sheet1!D2157,"AAAAAEz1zQg=")</f>
        <v>#VALUE!</v>
      </c>
      <c r="J161" t="e">
        <f>AND(Sheet1!E2157,"AAAAAEz1zQk=")</f>
        <v>#VALUE!</v>
      </c>
      <c r="K161" t="e">
        <f>AND(Sheet1!F2157,"AAAAAEz1zQo=")</f>
        <v>#VALUE!</v>
      </c>
      <c r="L161" t="e">
        <f>AND(Sheet1!G2157,"AAAAAEz1zQs=")</f>
        <v>#VALUE!</v>
      </c>
      <c r="M161" t="e">
        <f>AND(Sheet1!H2157,"AAAAAEz1zQw=")</f>
        <v>#VALUE!</v>
      </c>
      <c r="N161" t="e">
        <f>AND(Sheet1!I2157,"AAAAAEz1zQ0=")</f>
        <v>#VALUE!</v>
      </c>
      <c r="O161" t="e">
        <f>AND(Sheet1!J2157,"AAAAAEz1zQ4=")</f>
        <v>#VALUE!</v>
      </c>
      <c r="P161" t="e">
        <f>AND(Sheet1!K2157,"AAAAAEz1zQ8=")</f>
        <v>#VALUE!</v>
      </c>
      <c r="Q161" t="e">
        <f>AND(Sheet1!L2157,"AAAAAEz1zRA=")</f>
        <v>#VALUE!</v>
      </c>
      <c r="R161" t="e">
        <f>AND(Sheet1!M2157,"AAAAAEz1zRE=")</f>
        <v>#VALUE!</v>
      </c>
      <c r="S161" t="e">
        <f>AND(Sheet1!N2157,"AAAAAEz1zRI=")</f>
        <v>#VALUE!</v>
      </c>
      <c r="T161" t="e">
        <f>AND(Sheet1!#REF!,"AAAAAEz1zRM=")</f>
        <v>#REF!</v>
      </c>
      <c r="U161" t="e">
        <f>AND(Sheet1!#REF!,"AAAAAEz1zRQ=")</f>
        <v>#REF!</v>
      </c>
      <c r="V161" t="e">
        <f>AND(Sheet1!#REF!,"AAAAAEz1zRU=")</f>
        <v>#REF!</v>
      </c>
      <c r="W161" t="e">
        <f>AND(Sheet1!#REF!,"AAAAAEz1zRY=")</f>
        <v>#REF!</v>
      </c>
      <c r="X161">
        <f>IF(Sheet1!2158:2158,"AAAAAEz1zRc=",0)</f>
        <v>0</v>
      </c>
      <c r="Y161" t="e">
        <f>AND(Sheet1!A2158,"AAAAAEz1zRg=")</f>
        <v>#VALUE!</v>
      </c>
      <c r="Z161" t="e">
        <f>AND(Sheet1!B2158,"AAAAAEz1zRk=")</f>
        <v>#VALUE!</v>
      </c>
      <c r="AA161" t="e">
        <f>AND(Sheet1!C2158,"AAAAAEz1zRo=")</f>
        <v>#VALUE!</v>
      </c>
      <c r="AB161" t="e">
        <f>AND(Sheet1!D2158,"AAAAAEz1zRs=")</f>
        <v>#VALUE!</v>
      </c>
      <c r="AC161" t="e">
        <f>AND(Sheet1!E2158,"AAAAAEz1zRw=")</f>
        <v>#VALUE!</v>
      </c>
      <c r="AD161" t="e">
        <f>AND(Sheet1!F2158,"AAAAAEz1zR0=")</f>
        <v>#VALUE!</v>
      </c>
      <c r="AE161" t="e">
        <f>AND(Sheet1!G2158,"AAAAAEz1zR4=")</f>
        <v>#VALUE!</v>
      </c>
      <c r="AF161" t="e">
        <f>AND(Sheet1!H2158,"AAAAAEz1zR8=")</f>
        <v>#VALUE!</v>
      </c>
      <c r="AG161" t="e">
        <f>AND(Sheet1!I2158,"AAAAAEz1zSA=")</f>
        <v>#VALUE!</v>
      </c>
      <c r="AH161" t="e">
        <f>AND(Sheet1!J2158,"AAAAAEz1zSE=")</f>
        <v>#VALUE!</v>
      </c>
      <c r="AI161" t="e">
        <f>AND(Sheet1!K2158,"AAAAAEz1zSI=")</f>
        <v>#VALUE!</v>
      </c>
      <c r="AJ161" t="e">
        <f>AND(Sheet1!L2158,"AAAAAEz1zSM=")</f>
        <v>#VALUE!</v>
      </c>
      <c r="AK161" t="e">
        <f>AND(Sheet1!M2158,"AAAAAEz1zSQ=")</f>
        <v>#VALUE!</v>
      </c>
      <c r="AL161" t="e">
        <f>AND(Sheet1!N2158,"AAAAAEz1zSU=")</f>
        <v>#VALUE!</v>
      </c>
      <c r="AM161" t="e">
        <f>AND(Sheet1!#REF!,"AAAAAEz1zSY=")</f>
        <v>#REF!</v>
      </c>
      <c r="AN161" t="e">
        <f>AND(Sheet1!#REF!,"AAAAAEz1zSc=")</f>
        <v>#REF!</v>
      </c>
      <c r="AO161" t="e">
        <f>AND(Sheet1!#REF!,"AAAAAEz1zSg=")</f>
        <v>#REF!</v>
      </c>
      <c r="AP161" t="e">
        <f>AND(Sheet1!#REF!,"AAAAAEz1zSk=")</f>
        <v>#REF!</v>
      </c>
      <c r="AQ161">
        <f>IF(Sheet1!2159:2159,"AAAAAEz1zSo=",0)</f>
        <v>0</v>
      </c>
      <c r="AR161" t="e">
        <f>AND(Sheet1!A2159,"AAAAAEz1zSs=")</f>
        <v>#VALUE!</v>
      </c>
      <c r="AS161" t="e">
        <f>AND(Sheet1!B2159,"AAAAAEz1zSw=")</f>
        <v>#VALUE!</v>
      </c>
      <c r="AT161" t="e">
        <f>AND(Sheet1!C2159,"AAAAAEz1zS0=")</f>
        <v>#VALUE!</v>
      </c>
      <c r="AU161" t="e">
        <f>AND(Sheet1!D2159,"AAAAAEz1zS4=")</f>
        <v>#VALUE!</v>
      </c>
      <c r="AV161" t="e">
        <f>AND(Sheet1!E2159,"AAAAAEz1zS8=")</f>
        <v>#VALUE!</v>
      </c>
      <c r="AW161" t="e">
        <f>AND(Sheet1!F2159,"AAAAAEz1zTA=")</f>
        <v>#VALUE!</v>
      </c>
      <c r="AX161" t="e">
        <f>AND(Sheet1!G2159,"AAAAAEz1zTE=")</f>
        <v>#VALUE!</v>
      </c>
      <c r="AY161" t="e">
        <f>AND(Sheet1!H2159,"AAAAAEz1zTI=")</f>
        <v>#VALUE!</v>
      </c>
      <c r="AZ161" t="e">
        <f>AND(Sheet1!I2159,"AAAAAEz1zTM=")</f>
        <v>#VALUE!</v>
      </c>
      <c r="BA161" t="e">
        <f>AND(Sheet1!J2159,"AAAAAEz1zTQ=")</f>
        <v>#VALUE!</v>
      </c>
      <c r="BB161" t="e">
        <f>AND(Sheet1!K2159,"AAAAAEz1zTU=")</f>
        <v>#VALUE!</v>
      </c>
      <c r="BC161" t="e">
        <f>AND(Sheet1!L2159,"AAAAAEz1zTY=")</f>
        <v>#VALUE!</v>
      </c>
      <c r="BD161" t="e">
        <f>AND(Sheet1!M2159,"AAAAAEz1zTc=")</f>
        <v>#VALUE!</v>
      </c>
      <c r="BE161" t="e">
        <f>AND(Sheet1!N2159,"AAAAAEz1zTg=")</f>
        <v>#VALUE!</v>
      </c>
      <c r="BF161" t="e">
        <f>AND(Sheet1!#REF!,"AAAAAEz1zTk=")</f>
        <v>#REF!</v>
      </c>
      <c r="BG161" t="e">
        <f>AND(Sheet1!#REF!,"AAAAAEz1zTo=")</f>
        <v>#REF!</v>
      </c>
      <c r="BH161" t="e">
        <f>AND(Sheet1!#REF!,"AAAAAEz1zTs=")</f>
        <v>#REF!</v>
      </c>
      <c r="BI161" t="e">
        <f>AND(Sheet1!#REF!,"AAAAAEz1zTw=")</f>
        <v>#REF!</v>
      </c>
      <c r="BJ161">
        <f>IF(Sheet1!2160:2160,"AAAAAEz1zT0=",0)</f>
        <v>0</v>
      </c>
      <c r="BK161" t="e">
        <f>AND(Sheet1!A2160,"AAAAAEz1zT4=")</f>
        <v>#VALUE!</v>
      </c>
      <c r="BL161" t="e">
        <f>AND(Sheet1!B2160,"AAAAAEz1zT8=")</f>
        <v>#VALUE!</v>
      </c>
      <c r="BM161" t="e">
        <f>AND(Sheet1!C2160,"AAAAAEz1zUA=")</f>
        <v>#VALUE!</v>
      </c>
      <c r="BN161" t="e">
        <f>AND(Sheet1!D2160,"AAAAAEz1zUE=")</f>
        <v>#VALUE!</v>
      </c>
      <c r="BO161" t="e">
        <f>AND(Sheet1!E2160,"AAAAAEz1zUI=")</f>
        <v>#VALUE!</v>
      </c>
      <c r="BP161" t="e">
        <f>AND(Sheet1!F2160,"AAAAAEz1zUM=")</f>
        <v>#VALUE!</v>
      </c>
      <c r="BQ161" t="e">
        <f>AND(Sheet1!G2160,"AAAAAEz1zUQ=")</f>
        <v>#VALUE!</v>
      </c>
      <c r="BR161" t="e">
        <f>AND(Sheet1!H2160,"AAAAAEz1zUU=")</f>
        <v>#VALUE!</v>
      </c>
      <c r="BS161" t="e">
        <f>AND(Sheet1!I2160,"AAAAAEz1zUY=")</f>
        <v>#VALUE!</v>
      </c>
      <c r="BT161" t="e">
        <f>AND(Sheet1!J2160,"AAAAAEz1zUc=")</f>
        <v>#VALUE!</v>
      </c>
      <c r="BU161" t="e">
        <f>AND(Sheet1!K2160,"AAAAAEz1zUg=")</f>
        <v>#VALUE!</v>
      </c>
      <c r="BV161" t="e">
        <f>AND(Sheet1!L2160,"AAAAAEz1zUk=")</f>
        <v>#VALUE!</v>
      </c>
      <c r="BW161" t="e">
        <f>AND(Sheet1!M2160,"AAAAAEz1zUo=")</f>
        <v>#VALUE!</v>
      </c>
      <c r="BX161" t="e">
        <f>AND(Sheet1!N2160,"AAAAAEz1zUs=")</f>
        <v>#VALUE!</v>
      </c>
      <c r="BY161" t="e">
        <f>AND(Sheet1!#REF!,"AAAAAEz1zUw=")</f>
        <v>#REF!</v>
      </c>
      <c r="BZ161" t="e">
        <f>AND(Sheet1!#REF!,"AAAAAEz1zU0=")</f>
        <v>#REF!</v>
      </c>
      <c r="CA161" t="e">
        <f>AND(Sheet1!#REF!,"AAAAAEz1zU4=")</f>
        <v>#REF!</v>
      </c>
      <c r="CB161" t="e">
        <f>AND(Sheet1!#REF!,"AAAAAEz1zU8=")</f>
        <v>#REF!</v>
      </c>
      <c r="CC161">
        <f>IF(Sheet1!2161:2161,"AAAAAEz1zVA=",0)</f>
        <v>0</v>
      </c>
      <c r="CD161" t="e">
        <f>AND(Sheet1!A2161,"AAAAAEz1zVE=")</f>
        <v>#VALUE!</v>
      </c>
      <c r="CE161" t="e">
        <f>AND(Sheet1!B2161,"AAAAAEz1zVI=")</f>
        <v>#VALUE!</v>
      </c>
      <c r="CF161" t="e">
        <f>AND(Sheet1!C2161,"AAAAAEz1zVM=")</f>
        <v>#VALUE!</v>
      </c>
      <c r="CG161" t="e">
        <f>AND(Sheet1!D2161,"AAAAAEz1zVQ=")</f>
        <v>#VALUE!</v>
      </c>
      <c r="CH161" t="e">
        <f>AND(Sheet1!E2161,"AAAAAEz1zVU=")</f>
        <v>#VALUE!</v>
      </c>
      <c r="CI161" t="e">
        <f>AND(Sheet1!F2161,"AAAAAEz1zVY=")</f>
        <v>#VALUE!</v>
      </c>
      <c r="CJ161" t="e">
        <f>AND(Sheet1!G2161,"AAAAAEz1zVc=")</f>
        <v>#VALUE!</v>
      </c>
      <c r="CK161" t="e">
        <f>AND(Sheet1!H2161,"AAAAAEz1zVg=")</f>
        <v>#VALUE!</v>
      </c>
      <c r="CL161" t="e">
        <f>AND(Sheet1!I2161,"AAAAAEz1zVk=")</f>
        <v>#VALUE!</v>
      </c>
      <c r="CM161" t="e">
        <f>AND(Sheet1!J2161,"AAAAAEz1zVo=")</f>
        <v>#VALUE!</v>
      </c>
      <c r="CN161" t="e">
        <f>AND(Sheet1!K2161,"AAAAAEz1zVs=")</f>
        <v>#VALUE!</v>
      </c>
      <c r="CO161" t="e">
        <f>AND(Sheet1!L2161,"AAAAAEz1zVw=")</f>
        <v>#VALUE!</v>
      </c>
      <c r="CP161" t="e">
        <f>AND(Sheet1!M2161,"AAAAAEz1zV0=")</f>
        <v>#VALUE!</v>
      </c>
      <c r="CQ161" t="e">
        <f>AND(Sheet1!N2161,"AAAAAEz1zV4=")</f>
        <v>#VALUE!</v>
      </c>
      <c r="CR161" t="e">
        <f>AND(Sheet1!#REF!,"AAAAAEz1zV8=")</f>
        <v>#REF!</v>
      </c>
      <c r="CS161" t="e">
        <f>AND(Sheet1!#REF!,"AAAAAEz1zWA=")</f>
        <v>#REF!</v>
      </c>
      <c r="CT161" t="e">
        <f>AND(Sheet1!#REF!,"AAAAAEz1zWE=")</f>
        <v>#REF!</v>
      </c>
      <c r="CU161" t="e">
        <f>AND(Sheet1!#REF!,"AAAAAEz1zWI=")</f>
        <v>#REF!</v>
      </c>
      <c r="CV161">
        <f>IF(Sheet1!2162:2162,"AAAAAEz1zWM=",0)</f>
        <v>0</v>
      </c>
      <c r="CW161" t="e">
        <f>AND(Sheet1!A2162,"AAAAAEz1zWQ=")</f>
        <v>#VALUE!</v>
      </c>
      <c r="CX161" t="e">
        <f>AND(Sheet1!B2162,"AAAAAEz1zWU=")</f>
        <v>#VALUE!</v>
      </c>
      <c r="CY161" t="e">
        <f>AND(Sheet1!C2162,"AAAAAEz1zWY=")</f>
        <v>#VALUE!</v>
      </c>
      <c r="CZ161" t="e">
        <f>AND(Sheet1!D2162,"AAAAAEz1zWc=")</f>
        <v>#VALUE!</v>
      </c>
      <c r="DA161" t="e">
        <f>AND(Sheet1!E2162,"AAAAAEz1zWg=")</f>
        <v>#VALUE!</v>
      </c>
      <c r="DB161" t="e">
        <f>AND(Sheet1!F2162,"AAAAAEz1zWk=")</f>
        <v>#VALUE!</v>
      </c>
      <c r="DC161" t="e">
        <f>AND(Sheet1!G2162,"AAAAAEz1zWo=")</f>
        <v>#VALUE!</v>
      </c>
      <c r="DD161" t="e">
        <f>AND(Sheet1!H2162,"AAAAAEz1zWs=")</f>
        <v>#VALUE!</v>
      </c>
      <c r="DE161" t="e">
        <f>AND(Sheet1!I2162,"AAAAAEz1zWw=")</f>
        <v>#VALUE!</v>
      </c>
      <c r="DF161" t="e">
        <f>AND(Sheet1!J2162,"AAAAAEz1zW0=")</f>
        <v>#VALUE!</v>
      </c>
      <c r="DG161" t="e">
        <f>AND(Sheet1!K2162,"AAAAAEz1zW4=")</f>
        <v>#VALUE!</v>
      </c>
      <c r="DH161" t="e">
        <f>AND(Sheet1!L2162,"AAAAAEz1zW8=")</f>
        <v>#VALUE!</v>
      </c>
      <c r="DI161" t="e">
        <f>AND(Sheet1!M2162,"AAAAAEz1zXA=")</f>
        <v>#VALUE!</v>
      </c>
      <c r="DJ161" t="e">
        <f>AND(Sheet1!N2162,"AAAAAEz1zXE=")</f>
        <v>#VALUE!</v>
      </c>
      <c r="DK161" t="e">
        <f>AND(Sheet1!#REF!,"AAAAAEz1zXI=")</f>
        <v>#REF!</v>
      </c>
      <c r="DL161" t="e">
        <f>AND(Sheet1!#REF!,"AAAAAEz1zXM=")</f>
        <v>#REF!</v>
      </c>
      <c r="DM161" t="e">
        <f>AND(Sheet1!#REF!,"AAAAAEz1zXQ=")</f>
        <v>#REF!</v>
      </c>
      <c r="DN161" t="e">
        <f>AND(Sheet1!#REF!,"AAAAAEz1zXU=")</f>
        <v>#REF!</v>
      </c>
      <c r="DO161">
        <f>IF(Sheet1!2163:2163,"AAAAAEz1zXY=",0)</f>
        <v>0</v>
      </c>
      <c r="DP161" t="e">
        <f>AND(Sheet1!A2163,"AAAAAEz1zXc=")</f>
        <v>#VALUE!</v>
      </c>
      <c r="DQ161" t="e">
        <f>AND(Sheet1!B2163,"AAAAAEz1zXg=")</f>
        <v>#VALUE!</v>
      </c>
      <c r="DR161" t="e">
        <f>AND(Sheet1!C2163,"AAAAAEz1zXk=")</f>
        <v>#VALUE!</v>
      </c>
      <c r="DS161" t="e">
        <f>AND(Sheet1!D2163,"AAAAAEz1zXo=")</f>
        <v>#VALUE!</v>
      </c>
      <c r="DT161" t="e">
        <f>AND(Sheet1!E2163,"AAAAAEz1zXs=")</f>
        <v>#VALUE!</v>
      </c>
      <c r="DU161" t="e">
        <f>AND(Sheet1!F2163,"AAAAAEz1zXw=")</f>
        <v>#VALUE!</v>
      </c>
      <c r="DV161" t="e">
        <f>AND(Sheet1!G2163,"AAAAAEz1zX0=")</f>
        <v>#VALUE!</v>
      </c>
      <c r="DW161" t="e">
        <f>AND(Sheet1!H2163,"AAAAAEz1zX4=")</f>
        <v>#VALUE!</v>
      </c>
      <c r="DX161" t="e">
        <f>AND(Sheet1!I2163,"AAAAAEz1zX8=")</f>
        <v>#VALUE!</v>
      </c>
      <c r="DY161" t="e">
        <f>AND(Sheet1!J2163,"AAAAAEz1zYA=")</f>
        <v>#VALUE!</v>
      </c>
      <c r="DZ161" t="e">
        <f>AND(Sheet1!K2163,"AAAAAEz1zYE=")</f>
        <v>#VALUE!</v>
      </c>
      <c r="EA161" t="e">
        <f>AND(Sheet1!L2163,"AAAAAEz1zYI=")</f>
        <v>#VALUE!</v>
      </c>
      <c r="EB161" t="e">
        <f>AND(Sheet1!M2163,"AAAAAEz1zYM=")</f>
        <v>#VALUE!</v>
      </c>
      <c r="EC161" t="e">
        <f>AND(Sheet1!N2163,"AAAAAEz1zYQ=")</f>
        <v>#VALUE!</v>
      </c>
      <c r="ED161" t="e">
        <f>AND(Sheet1!#REF!,"AAAAAEz1zYU=")</f>
        <v>#REF!</v>
      </c>
      <c r="EE161" t="e">
        <f>AND(Sheet1!#REF!,"AAAAAEz1zYY=")</f>
        <v>#REF!</v>
      </c>
      <c r="EF161" t="e">
        <f>AND(Sheet1!#REF!,"AAAAAEz1zYc=")</f>
        <v>#REF!</v>
      </c>
      <c r="EG161" t="e">
        <f>AND(Sheet1!#REF!,"AAAAAEz1zYg=")</f>
        <v>#REF!</v>
      </c>
      <c r="EH161">
        <f>IF(Sheet1!2164:2164,"AAAAAEz1zYk=",0)</f>
        <v>0</v>
      </c>
      <c r="EI161" t="e">
        <f>AND(Sheet1!A2164,"AAAAAEz1zYo=")</f>
        <v>#VALUE!</v>
      </c>
      <c r="EJ161" t="e">
        <f>AND(Sheet1!B2164,"AAAAAEz1zYs=")</f>
        <v>#VALUE!</v>
      </c>
      <c r="EK161" t="e">
        <f>AND(Sheet1!C2164,"AAAAAEz1zYw=")</f>
        <v>#VALUE!</v>
      </c>
      <c r="EL161" t="e">
        <f>AND(Sheet1!D2164,"AAAAAEz1zY0=")</f>
        <v>#VALUE!</v>
      </c>
      <c r="EM161" t="e">
        <f>AND(Sheet1!E2164,"AAAAAEz1zY4=")</f>
        <v>#VALUE!</v>
      </c>
      <c r="EN161" t="e">
        <f>AND(Sheet1!F2164,"AAAAAEz1zY8=")</f>
        <v>#VALUE!</v>
      </c>
      <c r="EO161" t="e">
        <f>AND(Sheet1!G2164,"AAAAAEz1zZA=")</f>
        <v>#VALUE!</v>
      </c>
      <c r="EP161" t="e">
        <f>AND(Sheet1!H2164,"AAAAAEz1zZE=")</f>
        <v>#VALUE!</v>
      </c>
      <c r="EQ161" t="e">
        <f>AND(Sheet1!I2164,"AAAAAEz1zZI=")</f>
        <v>#VALUE!</v>
      </c>
      <c r="ER161" t="e">
        <f>AND(Sheet1!J2164,"AAAAAEz1zZM=")</f>
        <v>#VALUE!</v>
      </c>
      <c r="ES161" t="e">
        <f>AND(Sheet1!K2164,"AAAAAEz1zZQ=")</f>
        <v>#VALUE!</v>
      </c>
      <c r="ET161" t="e">
        <f>AND(Sheet1!L2164,"AAAAAEz1zZU=")</f>
        <v>#VALUE!</v>
      </c>
      <c r="EU161" t="e">
        <f>AND(Sheet1!M2164,"AAAAAEz1zZY=")</f>
        <v>#VALUE!</v>
      </c>
      <c r="EV161" t="e">
        <f>AND(Sheet1!N2164,"AAAAAEz1zZc=")</f>
        <v>#VALUE!</v>
      </c>
      <c r="EW161" t="e">
        <f>AND(Sheet1!#REF!,"AAAAAEz1zZg=")</f>
        <v>#REF!</v>
      </c>
      <c r="EX161" t="e">
        <f>AND(Sheet1!#REF!,"AAAAAEz1zZk=")</f>
        <v>#REF!</v>
      </c>
      <c r="EY161" t="e">
        <f>AND(Sheet1!#REF!,"AAAAAEz1zZo=")</f>
        <v>#REF!</v>
      </c>
      <c r="EZ161" t="e">
        <f>AND(Sheet1!#REF!,"AAAAAEz1zZs=")</f>
        <v>#REF!</v>
      </c>
      <c r="FA161">
        <f>IF(Sheet1!2165:2165,"AAAAAEz1zZw=",0)</f>
        <v>0</v>
      </c>
      <c r="FB161" t="e">
        <f>AND(Sheet1!A2165,"AAAAAEz1zZ0=")</f>
        <v>#VALUE!</v>
      </c>
      <c r="FC161" t="e">
        <f>AND(Sheet1!B2165,"AAAAAEz1zZ4=")</f>
        <v>#VALUE!</v>
      </c>
      <c r="FD161" t="e">
        <f>AND(Sheet1!C2165,"AAAAAEz1zZ8=")</f>
        <v>#VALUE!</v>
      </c>
      <c r="FE161" t="e">
        <f>AND(Sheet1!D2165,"AAAAAEz1zaA=")</f>
        <v>#VALUE!</v>
      </c>
      <c r="FF161" t="e">
        <f>AND(Sheet1!E2165,"AAAAAEz1zaE=")</f>
        <v>#VALUE!</v>
      </c>
      <c r="FG161" t="e">
        <f>AND(Sheet1!F2165,"AAAAAEz1zaI=")</f>
        <v>#VALUE!</v>
      </c>
      <c r="FH161" t="e">
        <f>AND(Sheet1!G2165,"AAAAAEz1zaM=")</f>
        <v>#VALUE!</v>
      </c>
      <c r="FI161" t="e">
        <f>AND(Sheet1!H2165,"AAAAAEz1zaQ=")</f>
        <v>#VALUE!</v>
      </c>
      <c r="FJ161" t="e">
        <f>AND(Sheet1!I2165,"AAAAAEz1zaU=")</f>
        <v>#VALUE!</v>
      </c>
      <c r="FK161" t="e">
        <f>AND(Sheet1!J2165,"AAAAAEz1zaY=")</f>
        <v>#VALUE!</v>
      </c>
      <c r="FL161" t="e">
        <f>AND(Sheet1!K2165,"AAAAAEz1zac=")</f>
        <v>#VALUE!</v>
      </c>
      <c r="FM161" t="e">
        <f>AND(Sheet1!L2165,"AAAAAEz1zag=")</f>
        <v>#VALUE!</v>
      </c>
      <c r="FN161" t="e">
        <f>AND(Sheet1!M2165,"AAAAAEz1zak=")</f>
        <v>#VALUE!</v>
      </c>
      <c r="FO161" t="e">
        <f>AND(Sheet1!N2165,"AAAAAEz1zao=")</f>
        <v>#VALUE!</v>
      </c>
      <c r="FP161" t="e">
        <f>AND(Sheet1!#REF!,"AAAAAEz1zas=")</f>
        <v>#REF!</v>
      </c>
      <c r="FQ161" t="e">
        <f>AND(Sheet1!#REF!,"AAAAAEz1zaw=")</f>
        <v>#REF!</v>
      </c>
      <c r="FR161" t="e">
        <f>AND(Sheet1!#REF!,"AAAAAEz1za0=")</f>
        <v>#REF!</v>
      </c>
      <c r="FS161" t="e">
        <f>AND(Sheet1!#REF!,"AAAAAEz1za4=")</f>
        <v>#REF!</v>
      </c>
      <c r="FT161">
        <f>IF(Sheet1!2166:2166,"AAAAAEz1za8=",0)</f>
        <v>0</v>
      </c>
      <c r="FU161" t="e">
        <f>AND(Sheet1!A2166,"AAAAAEz1zbA=")</f>
        <v>#VALUE!</v>
      </c>
      <c r="FV161" t="e">
        <f>AND(Sheet1!B2166,"AAAAAEz1zbE=")</f>
        <v>#VALUE!</v>
      </c>
      <c r="FW161" t="e">
        <f>AND(Sheet1!C2166,"AAAAAEz1zbI=")</f>
        <v>#VALUE!</v>
      </c>
      <c r="FX161" t="e">
        <f>AND(Sheet1!D2166,"AAAAAEz1zbM=")</f>
        <v>#VALUE!</v>
      </c>
      <c r="FY161" t="e">
        <f>AND(Sheet1!E2166,"AAAAAEz1zbQ=")</f>
        <v>#VALUE!</v>
      </c>
      <c r="FZ161" t="e">
        <f>AND(Sheet1!F2166,"AAAAAEz1zbU=")</f>
        <v>#VALUE!</v>
      </c>
      <c r="GA161" t="e">
        <f>AND(Sheet1!G2166,"AAAAAEz1zbY=")</f>
        <v>#VALUE!</v>
      </c>
      <c r="GB161" t="e">
        <f>AND(Sheet1!H2166,"AAAAAEz1zbc=")</f>
        <v>#VALUE!</v>
      </c>
      <c r="GC161" t="e">
        <f>AND(Sheet1!I2166,"AAAAAEz1zbg=")</f>
        <v>#VALUE!</v>
      </c>
      <c r="GD161" t="e">
        <f>AND(Sheet1!J2166,"AAAAAEz1zbk=")</f>
        <v>#VALUE!</v>
      </c>
      <c r="GE161" t="e">
        <f>AND(Sheet1!K2166,"AAAAAEz1zbo=")</f>
        <v>#VALUE!</v>
      </c>
      <c r="GF161" t="e">
        <f>AND(Sheet1!L2166,"AAAAAEz1zbs=")</f>
        <v>#VALUE!</v>
      </c>
      <c r="GG161" t="e">
        <f>AND(Sheet1!M2166,"AAAAAEz1zbw=")</f>
        <v>#VALUE!</v>
      </c>
      <c r="GH161" t="e">
        <f>AND(Sheet1!N2166,"AAAAAEz1zb0=")</f>
        <v>#VALUE!</v>
      </c>
      <c r="GI161" t="e">
        <f>AND(Sheet1!#REF!,"AAAAAEz1zb4=")</f>
        <v>#REF!</v>
      </c>
      <c r="GJ161" t="e">
        <f>AND(Sheet1!#REF!,"AAAAAEz1zb8=")</f>
        <v>#REF!</v>
      </c>
      <c r="GK161" t="e">
        <f>AND(Sheet1!#REF!,"AAAAAEz1zcA=")</f>
        <v>#REF!</v>
      </c>
      <c r="GL161" t="e">
        <f>AND(Sheet1!#REF!,"AAAAAEz1zcE=")</f>
        <v>#REF!</v>
      </c>
      <c r="GM161">
        <f>IF(Sheet1!2167:2167,"AAAAAEz1zcI=",0)</f>
        <v>0</v>
      </c>
      <c r="GN161" t="e">
        <f>AND(Sheet1!A2167,"AAAAAEz1zcM=")</f>
        <v>#VALUE!</v>
      </c>
      <c r="GO161" t="e">
        <f>AND(Sheet1!B2167,"AAAAAEz1zcQ=")</f>
        <v>#VALUE!</v>
      </c>
      <c r="GP161" t="e">
        <f>AND(Sheet1!C2167,"AAAAAEz1zcU=")</f>
        <v>#VALUE!</v>
      </c>
      <c r="GQ161" t="e">
        <f>AND(Sheet1!D2167,"AAAAAEz1zcY=")</f>
        <v>#VALUE!</v>
      </c>
      <c r="GR161" t="e">
        <f>AND(Sheet1!E2167,"AAAAAEz1zcc=")</f>
        <v>#VALUE!</v>
      </c>
      <c r="GS161" t="e">
        <f>AND(Sheet1!F2167,"AAAAAEz1zcg=")</f>
        <v>#VALUE!</v>
      </c>
      <c r="GT161" t="e">
        <f>AND(Sheet1!G2167,"AAAAAEz1zck=")</f>
        <v>#VALUE!</v>
      </c>
      <c r="GU161" t="e">
        <f>AND(Sheet1!H2167,"AAAAAEz1zco=")</f>
        <v>#VALUE!</v>
      </c>
      <c r="GV161" t="e">
        <f>AND(Sheet1!I2167,"AAAAAEz1zcs=")</f>
        <v>#VALUE!</v>
      </c>
      <c r="GW161" t="e">
        <f>AND(Sheet1!J2167,"AAAAAEz1zcw=")</f>
        <v>#VALUE!</v>
      </c>
      <c r="GX161" t="e">
        <f>AND(Sheet1!K2167,"AAAAAEz1zc0=")</f>
        <v>#VALUE!</v>
      </c>
      <c r="GY161" t="e">
        <f>AND(Sheet1!L2167,"AAAAAEz1zc4=")</f>
        <v>#VALUE!</v>
      </c>
      <c r="GZ161" t="e">
        <f>AND(Sheet1!M2167,"AAAAAEz1zc8=")</f>
        <v>#VALUE!</v>
      </c>
      <c r="HA161" t="e">
        <f>AND(Sheet1!N2167,"AAAAAEz1zdA=")</f>
        <v>#VALUE!</v>
      </c>
      <c r="HB161" t="e">
        <f>AND(Sheet1!#REF!,"AAAAAEz1zdE=")</f>
        <v>#REF!</v>
      </c>
      <c r="HC161" t="e">
        <f>AND(Sheet1!#REF!,"AAAAAEz1zdI=")</f>
        <v>#REF!</v>
      </c>
      <c r="HD161" t="e">
        <f>AND(Sheet1!#REF!,"AAAAAEz1zdM=")</f>
        <v>#REF!</v>
      </c>
      <c r="HE161" t="e">
        <f>AND(Sheet1!#REF!,"AAAAAEz1zdQ=")</f>
        <v>#REF!</v>
      </c>
      <c r="HF161">
        <f>IF(Sheet1!2168:2168,"AAAAAEz1zdU=",0)</f>
        <v>0</v>
      </c>
      <c r="HG161" t="e">
        <f>AND(Sheet1!A2168,"AAAAAEz1zdY=")</f>
        <v>#VALUE!</v>
      </c>
      <c r="HH161" t="e">
        <f>AND(Sheet1!B2168,"AAAAAEz1zdc=")</f>
        <v>#VALUE!</v>
      </c>
      <c r="HI161" t="e">
        <f>AND(Sheet1!C2168,"AAAAAEz1zdg=")</f>
        <v>#VALUE!</v>
      </c>
      <c r="HJ161" t="e">
        <f>AND(Sheet1!D2168,"AAAAAEz1zdk=")</f>
        <v>#VALUE!</v>
      </c>
      <c r="HK161" t="e">
        <f>AND(Sheet1!E2168,"AAAAAEz1zdo=")</f>
        <v>#VALUE!</v>
      </c>
      <c r="HL161" t="e">
        <f>AND(Sheet1!F2168,"AAAAAEz1zds=")</f>
        <v>#VALUE!</v>
      </c>
      <c r="HM161" t="e">
        <f>AND(Sheet1!G2168,"AAAAAEz1zdw=")</f>
        <v>#VALUE!</v>
      </c>
      <c r="HN161" t="e">
        <f>AND(Sheet1!H2168,"AAAAAEz1zd0=")</f>
        <v>#VALUE!</v>
      </c>
      <c r="HO161" t="e">
        <f>AND(Sheet1!I2168,"AAAAAEz1zd4=")</f>
        <v>#VALUE!</v>
      </c>
      <c r="HP161" t="e">
        <f>AND(Sheet1!J2168,"AAAAAEz1zd8=")</f>
        <v>#VALUE!</v>
      </c>
      <c r="HQ161" t="e">
        <f>AND(Sheet1!K2168,"AAAAAEz1zeA=")</f>
        <v>#VALUE!</v>
      </c>
      <c r="HR161" t="e">
        <f>AND(Sheet1!L2168,"AAAAAEz1zeE=")</f>
        <v>#VALUE!</v>
      </c>
      <c r="HS161" t="e">
        <f>AND(Sheet1!M2168,"AAAAAEz1zeI=")</f>
        <v>#VALUE!</v>
      </c>
      <c r="HT161" t="e">
        <f>AND(Sheet1!N2168,"AAAAAEz1zeM=")</f>
        <v>#VALUE!</v>
      </c>
      <c r="HU161" t="e">
        <f>AND(Sheet1!#REF!,"AAAAAEz1zeQ=")</f>
        <v>#REF!</v>
      </c>
      <c r="HV161" t="e">
        <f>AND(Sheet1!#REF!,"AAAAAEz1zeU=")</f>
        <v>#REF!</v>
      </c>
      <c r="HW161" t="e">
        <f>AND(Sheet1!#REF!,"AAAAAEz1zeY=")</f>
        <v>#REF!</v>
      </c>
      <c r="HX161" t="e">
        <f>AND(Sheet1!#REF!,"AAAAAEz1zec=")</f>
        <v>#REF!</v>
      </c>
      <c r="HY161">
        <f>IF(Sheet1!2169:2169,"AAAAAEz1zeg=",0)</f>
        <v>0</v>
      </c>
      <c r="HZ161" t="e">
        <f>AND(Sheet1!A2169,"AAAAAEz1zek=")</f>
        <v>#VALUE!</v>
      </c>
      <c r="IA161" t="e">
        <f>AND(Sheet1!B2169,"AAAAAEz1zeo=")</f>
        <v>#VALUE!</v>
      </c>
      <c r="IB161" t="e">
        <f>AND(Sheet1!C2169,"AAAAAEz1zes=")</f>
        <v>#VALUE!</v>
      </c>
      <c r="IC161" t="e">
        <f>AND(Sheet1!D2169,"AAAAAEz1zew=")</f>
        <v>#VALUE!</v>
      </c>
      <c r="ID161" t="e">
        <f>AND(Sheet1!E2169,"AAAAAEz1ze0=")</f>
        <v>#VALUE!</v>
      </c>
      <c r="IE161" t="e">
        <f>AND(Sheet1!F2169,"AAAAAEz1ze4=")</f>
        <v>#VALUE!</v>
      </c>
      <c r="IF161" t="e">
        <f>AND(Sheet1!G2169,"AAAAAEz1ze8=")</f>
        <v>#VALUE!</v>
      </c>
      <c r="IG161" t="e">
        <f>AND(Sheet1!H2169,"AAAAAEz1zfA=")</f>
        <v>#VALUE!</v>
      </c>
      <c r="IH161" t="e">
        <f>AND(Sheet1!I2169,"AAAAAEz1zfE=")</f>
        <v>#VALUE!</v>
      </c>
      <c r="II161" t="e">
        <f>AND(Sheet1!J2169,"AAAAAEz1zfI=")</f>
        <v>#VALUE!</v>
      </c>
      <c r="IJ161" t="e">
        <f>AND(Sheet1!K2169,"AAAAAEz1zfM=")</f>
        <v>#VALUE!</v>
      </c>
      <c r="IK161" t="e">
        <f>AND(Sheet1!L2169,"AAAAAEz1zfQ=")</f>
        <v>#VALUE!</v>
      </c>
      <c r="IL161" t="e">
        <f>AND(Sheet1!M2169,"AAAAAEz1zfU=")</f>
        <v>#VALUE!</v>
      </c>
      <c r="IM161" t="e">
        <f>AND(Sheet1!N2169,"AAAAAEz1zfY=")</f>
        <v>#VALUE!</v>
      </c>
      <c r="IN161" t="e">
        <f>AND(Sheet1!#REF!,"AAAAAEz1zfc=")</f>
        <v>#REF!</v>
      </c>
      <c r="IO161" t="e">
        <f>AND(Sheet1!#REF!,"AAAAAEz1zfg=")</f>
        <v>#REF!</v>
      </c>
      <c r="IP161" t="e">
        <f>AND(Sheet1!#REF!,"AAAAAEz1zfk=")</f>
        <v>#REF!</v>
      </c>
      <c r="IQ161" t="e">
        <f>AND(Sheet1!#REF!,"AAAAAEz1zfo=")</f>
        <v>#REF!</v>
      </c>
      <c r="IR161">
        <f>IF(Sheet1!2170:2170,"AAAAAEz1zfs=",0)</f>
        <v>0</v>
      </c>
      <c r="IS161" t="e">
        <f>AND(Sheet1!A2170,"AAAAAEz1zfw=")</f>
        <v>#VALUE!</v>
      </c>
      <c r="IT161" t="e">
        <f>AND(Sheet1!B2170,"AAAAAEz1zf0=")</f>
        <v>#VALUE!</v>
      </c>
      <c r="IU161" t="e">
        <f>AND(Sheet1!C2170,"AAAAAEz1zf4=")</f>
        <v>#VALUE!</v>
      </c>
      <c r="IV161" t="e">
        <f>AND(Sheet1!D2170,"AAAAAEz1zf8=")</f>
        <v>#VALUE!</v>
      </c>
    </row>
    <row r="162" spans="1:256" x14ac:dyDescent="0.2">
      <c r="A162" t="e">
        <f>AND(Sheet1!E2170,"AAAAAE9n/gA=")</f>
        <v>#VALUE!</v>
      </c>
      <c r="B162" t="e">
        <f>AND(Sheet1!F2170,"AAAAAE9n/gE=")</f>
        <v>#VALUE!</v>
      </c>
      <c r="C162" t="e">
        <f>AND(Sheet1!G2170,"AAAAAE9n/gI=")</f>
        <v>#VALUE!</v>
      </c>
      <c r="D162" t="e">
        <f>AND(Sheet1!H2170,"AAAAAE9n/gM=")</f>
        <v>#VALUE!</v>
      </c>
      <c r="E162" t="e">
        <f>AND(Sheet1!I2170,"AAAAAE9n/gQ=")</f>
        <v>#VALUE!</v>
      </c>
      <c r="F162" t="e">
        <f>AND(Sheet1!J2170,"AAAAAE9n/gU=")</f>
        <v>#VALUE!</v>
      </c>
      <c r="G162" t="e">
        <f>AND(Sheet1!K2170,"AAAAAE9n/gY=")</f>
        <v>#VALUE!</v>
      </c>
      <c r="H162" t="e">
        <f>AND(Sheet1!L2170,"AAAAAE9n/gc=")</f>
        <v>#VALUE!</v>
      </c>
      <c r="I162" t="e">
        <f>AND(Sheet1!M2170,"AAAAAE9n/gg=")</f>
        <v>#VALUE!</v>
      </c>
      <c r="J162" t="e">
        <f>AND(Sheet1!N2170,"AAAAAE9n/gk=")</f>
        <v>#VALUE!</v>
      </c>
      <c r="K162" t="e">
        <f>AND(Sheet1!#REF!,"AAAAAE9n/go=")</f>
        <v>#REF!</v>
      </c>
      <c r="L162" t="e">
        <f>AND(Sheet1!#REF!,"AAAAAE9n/gs=")</f>
        <v>#REF!</v>
      </c>
      <c r="M162" t="e">
        <f>AND(Sheet1!#REF!,"AAAAAE9n/gw=")</f>
        <v>#REF!</v>
      </c>
      <c r="N162" t="e">
        <f>AND(Sheet1!#REF!,"AAAAAE9n/g0=")</f>
        <v>#REF!</v>
      </c>
      <c r="O162">
        <f>IF(Sheet1!2171:2171,"AAAAAE9n/g4=",0)</f>
        <v>0</v>
      </c>
      <c r="P162" t="e">
        <f>AND(Sheet1!A2171,"AAAAAE9n/g8=")</f>
        <v>#VALUE!</v>
      </c>
      <c r="Q162" t="e">
        <f>AND(Sheet1!B2171,"AAAAAE9n/hA=")</f>
        <v>#VALUE!</v>
      </c>
      <c r="R162" t="e">
        <f>AND(Sheet1!C2171,"AAAAAE9n/hE=")</f>
        <v>#VALUE!</v>
      </c>
      <c r="S162" t="e">
        <f>AND(Sheet1!D2171,"AAAAAE9n/hI=")</f>
        <v>#VALUE!</v>
      </c>
      <c r="T162" t="e">
        <f>AND(Sheet1!E2171,"AAAAAE9n/hM=")</f>
        <v>#VALUE!</v>
      </c>
      <c r="U162" t="e">
        <f>AND(Sheet1!F2171,"AAAAAE9n/hQ=")</f>
        <v>#VALUE!</v>
      </c>
      <c r="V162" t="e">
        <f>AND(Sheet1!G2171,"AAAAAE9n/hU=")</f>
        <v>#VALUE!</v>
      </c>
      <c r="W162" t="e">
        <f>AND(Sheet1!H2171,"AAAAAE9n/hY=")</f>
        <v>#VALUE!</v>
      </c>
      <c r="X162" t="e">
        <f>AND(Sheet1!I2171,"AAAAAE9n/hc=")</f>
        <v>#VALUE!</v>
      </c>
      <c r="Y162" t="e">
        <f>AND(Sheet1!J2171,"AAAAAE9n/hg=")</f>
        <v>#VALUE!</v>
      </c>
      <c r="Z162" t="e">
        <f>AND(Sheet1!K2171,"AAAAAE9n/hk=")</f>
        <v>#VALUE!</v>
      </c>
      <c r="AA162" t="e">
        <f>AND(Sheet1!L2171,"AAAAAE9n/ho=")</f>
        <v>#VALUE!</v>
      </c>
      <c r="AB162" t="e">
        <f>AND(Sheet1!M2171,"AAAAAE9n/hs=")</f>
        <v>#VALUE!</v>
      </c>
      <c r="AC162" t="e">
        <f>AND(Sheet1!N2171,"AAAAAE9n/hw=")</f>
        <v>#VALUE!</v>
      </c>
      <c r="AD162" t="e">
        <f>AND(Sheet1!#REF!,"AAAAAE9n/h0=")</f>
        <v>#REF!</v>
      </c>
      <c r="AE162" t="e">
        <f>AND(Sheet1!#REF!,"AAAAAE9n/h4=")</f>
        <v>#REF!</v>
      </c>
      <c r="AF162" t="e">
        <f>AND(Sheet1!#REF!,"AAAAAE9n/h8=")</f>
        <v>#REF!</v>
      </c>
      <c r="AG162" t="e">
        <f>AND(Sheet1!#REF!,"AAAAAE9n/iA=")</f>
        <v>#REF!</v>
      </c>
      <c r="AH162">
        <f>IF(Sheet1!2172:2172,"AAAAAE9n/iE=",0)</f>
        <v>0</v>
      </c>
      <c r="AI162" t="e">
        <f>AND(Sheet1!A2172,"AAAAAE9n/iI=")</f>
        <v>#VALUE!</v>
      </c>
      <c r="AJ162" t="e">
        <f>AND(Sheet1!B2172,"AAAAAE9n/iM=")</f>
        <v>#VALUE!</v>
      </c>
      <c r="AK162" t="e">
        <f>AND(Sheet1!C2172,"AAAAAE9n/iQ=")</f>
        <v>#VALUE!</v>
      </c>
      <c r="AL162" t="e">
        <f>AND(Sheet1!D2172,"AAAAAE9n/iU=")</f>
        <v>#VALUE!</v>
      </c>
      <c r="AM162" t="e">
        <f>AND(Sheet1!E2172,"AAAAAE9n/iY=")</f>
        <v>#VALUE!</v>
      </c>
      <c r="AN162" t="e">
        <f>AND(Sheet1!F2172,"AAAAAE9n/ic=")</f>
        <v>#VALUE!</v>
      </c>
      <c r="AO162" t="e">
        <f>AND(Sheet1!G2172,"AAAAAE9n/ig=")</f>
        <v>#VALUE!</v>
      </c>
      <c r="AP162" t="e">
        <f>AND(Sheet1!H2172,"AAAAAE9n/ik=")</f>
        <v>#VALUE!</v>
      </c>
      <c r="AQ162" t="e">
        <f>AND(Sheet1!I2172,"AAAAAE9n/io=")</f>
        <v>#VALUE!</v>
      </c>
      <c r="AR162" t="e">
        <f>AND(Sheet1!J2172,"AAAAAE9n/is=")</f>
        <v>#VALUE!</v>
      </c>
      <c r="AS162" t="e">
        <f>AND(Sheet1!K2172,"AAAAAE9n/iw=")</f>
        <v>#VALUE!</v>
      </c>
      <c r="AT162" t="e">
        <f>AND(Sheet1!L2172,"AAAAAE9n/i0=")</f>
        <v>#VALUE!</v>
      </c>
      <c r="AU162" t="e">
        <f>AND(Sheet1!M2172,"AAAAAE9n/i4=")</f>
        <v>#VALUE!</v>
      </c>
      <c r="AV162" t="e">
        <f>AND(Sheet1!N2172,"AAAAAE9n/i8=")</f>
        <v>#VALUE!</v>
      </c>
      <c r="AW162" t="e">
        <f>AND(Sheet1!#REF!,"AAAAAE9n/jA=")</f>
        <v>#REF!</v>
      </c>
      <c r="AX162" t="e">
        <f>AND(Sheet1!#REF!,"AAAAAE9n/jE=")</f>
        <v>#REF!</v>
      </c>
      <c r="AY162" t="e">
        <f>AND(Sheet1!#REF!,"AAAAAE9n/jI=")</f>
        <v>#REF!</v>
      </c>
      <c r="AZ162" t="e">
        <f>AND(Sheet1!#REF!,"AAAAAE9n/jM=")</f>
        <v>#REF!</v>
      </c>
      <c r="BA162">
        <f>IF(Sheet1!2173:2173,"AAAAAE9n/jQ=",0)</f>
        <v>0</v>
      </c>
      <c r="BB162" t="e">
        <f>AND(Sheet1!A2173,"AAAAAE9n/jU=")</f>
        <v>#VALUE!</v>
      </c>
      <c r="BC162" t="e">
        <f>AND(Sheet1!B2173,"AAAAAE9n/jY=")</f>
        <v>#VALUE!</v>
      </c>
      <c r="BD162" t="e">
        <f>AND(Sheet1!C2173,"AAAAAE9n/jc=")</f>
        <v>#VALUE!</v>
      </c>
      <c r="BE162" t="e">
        <f>AND(Sheet1!D2173,"AAAAAE9n/jg=")</f>
        <v>#VALUE!</v>
      </c>
      <c r="BF162" t="e">
        <f>AND(Sheet1!E2173,"AAAAAE9n/jk=")</f>
        <v>#VALUE!</v>
      </c>
      <c r="BG162" t="e">
        <f>AND(Sheet1!F2173,"AAAAAE9n/jo=")</f>
        <v>#VALUE!</v>
      </c>
      <c r="BH162" t="e">
        <f>AND(Sheet1!G2173,"AAAAAE9n/js=")</f>
        <v>#VALUE!</v>
      </c>
      <c r="BI162" t="e">
        <f>AND(Sheet1!H2173,"AAAAAE9n/jw=")</f>
        <v>#VALUE!</v>
      </c>
      <c r="BJ162" t="e">
        <f>AND(Sheet1!I2173,"AAAAAE9n/j0=")</f>
        <v>#VALUE!</v>
      </c>
      <c r="BK162" t="e">
        <f>AND(Sheet1!J2173,"AAAAAE9n/j4=")</f>
        <v>#VALUE!</v>
      </c>
      <c r="BL162" t="e">
        <f>AND(Sheet1!K2173,"AAAAAE9n/j8=")</f>
        <v>#VALUE!</v>
      </c>
      <c r="BM162" t="e">
        <f>AND(Sheet1!L2173,"AAAAAE9n/kA=")</f>
        <v>#VALUE!</v>
      </c>
      <c r="BN162" t="e">
        <f>AND(Sheet1!M2173,"AAAAAE9n/kE=")</f>
        <v>#VALUE!</v>
      </c>
      <c r="BO162" t="e">
        <f>AND(Sheet1!N2173,"AAAAAE9n/kI=")</f>
        <v>#VALUE!</v>
      </c>
      <c r="BP162" t="e">
        <f>AND(Sheet1!#REF!,"AAAAAE9n/kM=")</f>
        <v>#REF!</v>
      </c>
      <c r="BQ162" t="e">
        <f>AND(Sheet1!#REF!,"AAAAAE9n/kQ=")</f>
        <v>#REF!</v>
      </c>
      <c r="BR162" t="e">
        <f>AND(Sheet1!#REF!,"AAAAAE9n/kU=")</f>
        <v>#REF!</v>
      </c>
      <c r="BS162" t="e">
        <f>AND(Sheet1!#REF!,"AAAAAE9n/kY=")</f>
        <v>#REF!</v>
      </c>
      <c r="BT162">
        <f>IF(Sheet1!2174:2174,"AAAAAE9n/kc=",0)</f>
        <v>0</v>
      </c>
      <c r="BU162" t="e">
        <f>AND(Sheet1!A2174,"AAAAAE9n/kg=")</f>
        <v>#VALUE!</v>
      </c>
      <c r="BV162" t="e">
        <f>AND(Sheet1!B2174,"AAAAAE9n/kk=")</f>
        <v>#VALUE!</v>
      </c>
      <c r="BW162" t="e">
        <f>AND(Sheet1!C2174,"AAAAAE9n/ko=")</f>
        <v>#VALUE!</v>
      </c>
      <c r="BX162" t="e">
        <f>AND(Sheet1!D2174,"AAAAAE9n/ks=")</f>
        <v>#VALUE!</v>
      </c>
      <c r="BY162" t="e">
        <f>AND(Sheet1!E2174,"AAAAAE9n/kw=")</f>
        <v>#VALUE!</v>
      </c>
      <c r="BZ162" t="e">
        <f>AND(Sheet1!F2174,"AAAAAE9n/k0=")</f>
        <v>#VALUE!</v>
      </c>
      <c r="CA162" t="e">
        <f>AND(Sheet1!G2174,"AAAAAE9n/k4=")</f>
        <v>#VALUE!</v>
      </c>
      <c r="CB162" t="e">
        <f>AND(Sheet1!H2174,"AAAAAE9n/k8=")</f>
        <v>#VALUE!</v>
      </c>
      <c r="CC162" t="e">
        <f>AND(Sheet1!I2174,"AAAAAE9n/lA=")</f>
        <v>#VALUE!</v>
      </c>
      <c r="CD162" t="e">
        <f>AND(Sheet1!J2174,"AAAAAE9n/lE=")</f>
        <v>#VALUE!</v>
      </c>
      <c r="CE162" t="e">
        <f>AND(Sheet1!K2174,"AAAAAE9n/lI=")</f>
        <v>#VALUE!</v>
      </c>
      <c r="CF162" t="e">
        <f>AND(Sheet1!L2174,"AAAAAE9n/lM=")</f>
        <v>#VALUE!</v>
      </c>
      <c r="CG162" t="e">
        <f>AND(Sheet1!M2174,"AAAAAE9n/lQ=")</f>
        <v>#VALUE!</v>
      </c>
      <c r="CH162" t="e">
        <f>AND(Sheet1!N2174,"AAAAAE9n/lU=")</f>
        <v>#VALUE!</v>
      </c>
      <c r="CI162" t="e">
        <f>AND(Sheet1!#REF!,"AAAAAE9n/lY=")</f>
        <v>#REF!</v>
      </c>
      <c r="CJ162" t="e">
        <f>AND(Sheet1!#REF!,"AAAAAE9n/lc=")</f>
        <v>#REF!</v>
      </c>
      <c r="CK162" t="e">
        <f>AND(Sheet1!#REF!,"AAAAAE9n/lg=")</f>
        <v>#REF!</v>
      </c>
      <c r="CL162" t="e">
        <f>AND(Sheet1!#REF!,"AAAAAE9n/lk=")</f>
        <v>#REF!</v>
      </c>
      <c r="CM162">
        <f>IF(Sheet1!2175:2175,"AAAAAE9n/lo=",0)</f>
        <v>0</v>
      </c>
      <c r="CN162" t="e">
        <f>AND(Sheet1!A2175,"AAAAAE9n/ls=")</f>
        <v>#VALUE!</v>
      </c>
      <c r="CO162" t="e">
        <f>AND(Sheet1!B2175,"AAAAAE9n/lw=")</f>
        <v>#VALUE!</v>
      </c>
      <c r="CP162" t="e">
        <f>AND(Sheet1!C2175,"AAAAAE9n/l0=")</f>
        <v>#VALUE!</v>
      </c>
      <c r="CQ162" t="e">
        <f>AND(Sheet1!D2175,"AAAAAE9n/l4=")</f>
        <v>#VALUE!</v>
      </c>
      <c r="CR162" t="e">
        <f>AND(Sheet1!E2175,"AAAAAE9n/l8=")</f>
        <v>#VALUE!</v>
      </c>
      <c r="CS162" t="e">
        <f>AND(Sheet1!F2175,"AAAAAE9n/mA=")</f>
        <v>#VALUE!</v>
      </c>
      <c r="CT162" t="e">
        <f>AND(Sheet1!G2175,"AAAAAE9n/mE=")</f>
        <v>#VALUE!</v>
      </c>
      <c r="CU162" t="e">
        <f>AND(Sheet1!H2175,"AAAAAE9n/mI=")</f>
        <v>#VALUE!</v>
      </c>
      <c r="CV162" t="e">
        <f>AND(Sheet1!I2175,"AAAAAE9n/mM=")</f>
        <v>#VALUE!</v>
      </c>
      <c r="CW162" t="e">
        <f>AND(Sheet1!J2175,"AAAAAE9n/mQ=")</f>
        <v>#VALUE!</v>
      </c>
      <c r="CX162" t="e">
        <f>AND(Sheet1!K2175,"AAAAAE9n/mU=")</f>
        <v>#VALUE!</v>
      </c>
      <c r="CY162" t="e">
        <f>AND(Sheet1!L2175,"AAAAAE9n/mY=")</f>
        <v>#VALUE!</v>
      </c>
      <c r="CZ162" t="e">
        <f>AND(Sheet1!M2175,"AAAAAE9n/mc=")</f>
        <v>#VALUE!</v>
      </c>
      <c r="DA162" t="e">
        <f>AND(Sheet1!N2175,"AAAAAE9n/mg=")</f>
        <v>#VALUE!</v>
      </c>
      <c r="DB162" t="e">
        <f>AND(Sheet1!#REF!,"AAAAAE9n/mk=")</f>
        <v>#REF!</v>
      </c>
      <c r="DC162" t="e">
        <f>AND(Sheet1!#REF!,"AAAAAE9n/mo=")</f>
        <v>#REF!</v>
      </c>
      <c r="DD162" t="e">
        <f>AND(Sheet1!#REF!,"AAAAAE9n/ms=")</f>
        <v>#REF!</v>
      </c>
      <c r="DE162" t="e">
        <f>AND(Sheet1!#REF!,"AAAAAE9n/mw=")</f>
        <v>#REF!</v>
      </c>
      <c r="DF162">
        <f>IF(Sheet1!2176:2176,"AAAAAE9n/m0=",0)</f>
        <v>0</v>
      </c>
      <c r="DG162" t="e">
        <f>AND(Sheet1!A2176,"AAAAAE9n/m4=")</f>
        <v>#VALUE!</v>
      </c>
      <c r="DH162" t="e">
        <f>AND(Sheet1!B2176,"AAAAAE9n/m8=")</f>
        <v>#VALUE!</v>
      </c>
      <c r="DI162" t="e">
        <f>AND(Sheet1!C2176,"AAAAAE9n/nA=")</f>
        <v>#VALUE!</v>
      </c>
      <c r="DJ162" t="e">
        <f>AND(Sheet1!D2176,"AAAAAE9n/nE=")</f>
        <v>#VALUE!</v>
      </c>
      <c r="DK162" t="e">
        <f>AND(Sheet1!E2176,"AAAAAE9n/nI=")</f>
        <v>#VALUE!</v>
      </c>
      <c r="DL162" t="e">
        <f>AND(Sheet1!F2176,"AAAAAE9n/nM=")</f>
        <v>#VALUE!</v>
      </c>
      <c r="DM162" t="e">
        <f>AND(Sheet1!G2176,"AAAAAE9n/nQ=")</f>
        <v>#VALUE!</v>
      </c>
      <c r="DN162" t="e">
        <f>AND(Sheet1!H2176,"AAAAAE9n/nU=")</f>
        <v>#VALUE!</v>
      </c>
      <c r="DO162" t="e">
        <f>AND(Sheet1!I2176,"AAAAAE9n/nY=")</f>
        <v>#VALUE!</v>
      </c>
      <c r="DP162" t="e">
        <f>AND(Sheet1!J2176,"AAAAAE9n/nc=")</f>
        <v>#VALUE!</v>
      </c>
      <c r="DQ162" t="e">
        <f>AND(Sheet1!K2176,"AAAAAE9n/ng=")</f>
        <v>#VALUE!</v>
      </c>
      <c r="DR162" t="e">
        <f>AND(Sheet1!L2176,"AAAAAE9n/nk=")</f>
        <v>#VALUE!</v>
      </c>
      <c r="DS162" t="e">
        <f>AND(Sheet1!M2176,"AAAAAE9n/no=")</f>
        <v>#VALUE!</v>
      </c>
      <c r="DT162" t="e">
        <f>AND(Sheet1!N2176,"AAAAAE9n/ns=")</f>
        <v>#VALUE!</v>
      </c>
      <c r="DU162" t="e">
        <f>AND(Sheet1!#REF!,"AAAAAE9n/nw=")</f>
        <v>#REF!</v>
      </c>
      <c r="DV162" t="e">
        <f>AND(Sheet1!#REF!,"AAAAAE9n/n0=")</f>
        <v>#REF!</v>
      </c>
      <c r="DW162" t="e">
        <f>AND(Sheet1!#REF!,"AAAAAE9n/n4=")</f>
        <v>#REF!</v>
      </c>
      <c r="DX162" t="e">
        <f>AND(Sheet1!#REF!,"AAAAAE9n/n8=")</f>
        <v>#REF!</v>
      </c>
      <c r="DY162">
        <f>IF(Sheet1!2177:2177,"AAAAAE9n/oA=",0)</f>
        <v>0</v>
      </c>
      <c r="DZ162" t="e">
        <f>AND(Sheet1!A2177,"AAAAAE9n/oE=")</f>
        <v>#VALUE!</v>
      </c>
      <c r="EA162" t="e">
        <f>AND(Sheet1!B2177,"AAAAAE9n/oI=")</f>
        <v>#VALUE!</v>
      </c>
      <c r="EB162" t="e">
        <f>AND(Sheet1!C2177,"AAAAAE9n/oM=")</f>
        <v>#VALUE!</v>
      </c>
      <c r="EC162" t="e">
        <f>AND(Sheet1!D2177,"AAAAAE9n/oQ=")</f>
        <v>#VALUE!</v>
      </c>
      <c r="ED162" t="e">
        <f>AND(Sheet1!E2177,"AAAAAE9n/oU=")</f>
        <v>#VALUE!</v>
      </c>
      <c r="EE162" t="e">
        <f>AND(Sheet1!F2177,"AAAAAE9n/oY=")</f>
        <v>#VALUE!</v>
      </c>
      <c r="EF162" t="e">
        <f>AND(Sheet1!G2177,"AAAAAE9n/oc=")</f>
        <v>#VALUE!</v>
      </c>
      <c r="EG162" t="e">
        <f>AND(Sheet1!H2177,"AAAAAE9n/og=")</f>
        <v>#VALUE!</v>
      </c>
      <c r="EH162" t="e">
        <f>AND(Sheet1!I2177,"AAAAAE9n/ok=")</f>
        <v>#VALUE!</v>
      </c>
      <c r="EI162" t="e">
        <f>AND(Sheet1!J2177,"AAAAAE9n/oo=")</f>
        <v>#VALUE!</v>
      </c>
      <c r="EJ162" t="e">
        <f>AND(Sheet1!K2177,"AAAAAE9n/os=")</f>
        <v>#VALUE!</v>
      </c>
      <c r="EK162" t="e">
        <f>AND(Sheet1!L2177,"AAAAAE9n/ow=")</f>
        <v>#VALUE!</v>
      </c>
      <c r="EL162" t="e">
        <f>AND(Sheet1!M2177,"AAAAAE9n/o0=")</f>
        <v>#VALUE!</v>
      </c>
      <c r="EM162" t="e">
        <f>AND(Sheet1!N2177,"AAAAAE9n/o4=")</f>
        <v>#VALUE!</v>
      </c>
      <c r="EN162" t="e">
        <f>AND(Sheet1!#REF!,"AAAAAE9n/o8=")</f>
        <v>#REF!</v>
      </c>
      <c r="EO162" t="e">
        <f>AND(Sheet1!#REF!,"AAAAAE9n/pA=")</f>
        <v>#REF!</v>
      </c>
      <c r="EP162" t="e">
        <f>AND(Sheet1!#REF!,"AAAAAE9n/pE=")</f>
        <v>#REF!</v>
      </c>
      <c r="EQ162" t="e">
        <f>AND(Sheet1!#REF!,"AAAAAE9n/pI=")</f>
        <v>#REF!</v>
      </c>
      <c r="ER162">
        <f>IF(Sheet1!2178:2178,"AAAAAE9n/pM=",0)</f>
        <v>0</v>
      </c>
      <c r="ES162" t="e">
        <f>AND(Sheet1!A2178,"AAAAAE9n/pQ=")</f>
        <v>#VALUE!</v>
      </c>
      <c r="ET162" t="e">
        <f>AND(Sheet1!B2178,"AAAAAE9n/pU=")</f>
        <v>#VALUE!</v>
      </c>
      <c r="EU162" t="e">
        <f>AND(Sheet1!C2178,"AAAAAE9n/pY=")</f>
        <v>#VALUE!</v>
      </c>
      <c r="EV162" t="e">
        <f>AND(Sheet1!D2178,"AAAAAE9n/pc=")</f>
        <v>#VALUE!</v>
      </c>
      <c r="EW162" t="e">
        <f>AND(Sheet1!E2178,"AAAAAE9n/pg=")</f>
        <v>#VALUE!</v>
      </c>
      <c r="EX162" t="e">
        <f>AND(Sheet1!F2178,"AAAAAE9n/pk=")</f>
        <v>#VALUE!</v>
      </c>
      <c r="EY162" t="e">
        <f>AND(Sheet1!G2178,"AAAAAE9n/po=")</f>
        <v>#VALUE!</v>
      </c>
      <c r="EZ162" t="e">
        <f>AND(Sheet1!H2178,"AAAAAE9n/ps=")</f>
        <v>#VALUE!</v>
      </c>
      <c r="FA162" t="e">
        <f>AND(Sheet1!I2178,"AAAAAE9n/pw=")</f>
        <v>#VALUE!</v>
      </c>
      <c r="FB162" t="e">
        <f>AND(Sheet1!J2178,"AAAAAE9n/p0=")</f>
        <v>#VALUE!</v>
      </c>
      <c r="FC162" t="e">
        <f>AND(Sheet1!K2178,"AAAAAE9n/p4=")</f>
        <v>#VALUE!</v>
      </c>
      <c r="FD162" t="e">
        <f>AND(Sheet1!L2178,"AAAAAE9n/p8=")</f>
        <v>#VALUE!</v>
      </c>
      <c r="FE162" t="e">
        <f>AND(Sheet1!M2178,"AAAAAE9n/qA=")</f>
        <v>#VALUE!</v>
      </c>
      <c r="FF162" t="e">
        <f>AND(Sheet1!N2178,"AAAAAE9n/qE=")</f>
        <v>#VALUE!</v>
      </c>
      <c r="FG162" t="e">
        <f>AND(Sheet1!#REF!,"AAAAAE9n/qI=")</f>
        <v>#REF!</v>
      </c>
      <c r="FH162" t="e">
        <f>AND(Sheet1!#REF!,"AAAAAE9n/qM=")</f>
        <v>#REF!</v>
      </c>
      <c r="FI162" t="e">
        <f>AND(Sheet1!#REF!,"AAAAAE9n/qQ=")</f>
        <v>#REF!</v>
      </c>
      <c r="FJ162" t="e">
        <f>AND(Sheet1!#REF!,"AAAAAE9n/qU=")</f>
        <v>#REF!</v>
      </c>
      <c r="FK162">
        <f>IF(Sheet1!2179:2179,"AAAAAE9n/qY=",0)</f>
        <v>0</v>
      </c>
      <c r="FL162" t="e">
        <f>AND(Sheet1!A2179,"AAAAAE9n/qc=")</f>
        <v>#VALUE!</v>
      </c>
      <c r="FM162" t="e">
        <f>AND(Sheet1!B2179,"AAAAAE9n/qg=")</f>
        <v>#VALUE!</v>
      </c>
      <c r="FN162" t="e">
        <f>AND(Sheet1!C2179,"AAAAAE9n/qk=")</f>
        <v>#VALUE!</v>
      </c>
      <c r="FO162" t="e">
        <f>AND(Sheet1!D2179,"AAAAAE9n/qo=")</f>
        <v>#VALUE!</v>
      </c>
      <c r="FP162" t="e">
        <f>AND(Sheet1!E2179,"AAAAAE9n/qs=")</f>
        <v>#VALUE!</v>
      </c>
      <c r="FQ162" t="e">
        <f>AND(Sheet1!F2179,"AAAAAE9n/qw=")</f>
        <v>#VALUE!</v>
      </c>
      <c r="FR162" t="e">
        <f>AND(Sheet1!G2179,"AAAAAE9n/q0=")</f>
        <v>#VALUE!</v>
      </c>
      <c r="FS162" t="e">
        <f>AND(Sheet1!H2179,"AAAAAE9n/q4=")</f>
        <v>#VALUE!</v>
      </c>
      <c r="FT162" t="e">
        <f>AND(Sheet1!I2179,"AAAAAE9n/q8=")</f>
        <v>#VALUE!</v>
      </c>
      <c r="FU162" t="e">
        <f>AND(Sheet1!J2179,"AAAAAE9n/rA=")</f>
        <v>#VALUE!</v>
      </c>
      <c r="FV162" t="e">
        <f>AND(Sheet1!K2179,"AAAAAE9n/rE=")</f>
        <v>#VALUE!</v>
      </c>
      <c r="FW162" t="e">
        <f>AND(Sheet1!L2179,"AAAAAE9n/rI=")</f>
        <v>#VALUE!</v>
      </c>
      <c r="FX162" t="e">
        <f>AND(Sheet1!M2179,"AAAAAE9n/rM=")</f>
        <v>#VALUE!</v>
      </c>
      <c r="FY162" t="e">
        <f>AND(Sheet1!N2179,"AAAAAE9n/rQ=")</f>
        <v>#VALUE!</v>
      </c>
      <c r="FZ162" t="e">
        <f>AND(Sheet1!#REF!,"AAAAAE9n/rU=")</f>
        <v>#REF!</v>
      </c>
      <c r="GA162" t="e">
        <f>AND(Sheet1!#REF!,"AAAAAE9n/rY=")</f>
        <v>#REF!</v>
      </c>
      <c r="GB162" t="e">
        <f>AND(Sheet1!#REF!,"AAAAAE9n/rc=")</f>
        <v>#REF!</v>
      </c>
      <c r="GC162" t="e">
        <f>AND(Sheet1!#REF!,"AAAAAE9n/rg=")</f>
        <v>#REF!</v>
      </c>
      <c r="GD162">
        <f>IF(Sheet1!2180:2180,"AAAAAE9n/rk=",0)</f>
        <v>0</v>
      </c>
      <c r="GE162" t="e">
        <f>AND(Sheet1!A2180,"AAAAAE9n/ro=")</f>
        <v>#VALUE!</v>
      </c>
      <c r="GF162" t="e">
        <f>AND(Sheet1!B2180,"AAAAAE9n/rs=")</f>
        <v>#VALUE!</v>
      </c>
      <c r="GG162" t="e">
        <f>AND(Sheet1!C2180,"AAAAAE9n/rw=")</f>
        <v>#VALUE!</v>
      </c>
      <c r="GH162" t="e">
        <f>AND(Sheet1!D2180,"AAAAAE9n/r0=")</f>
        <v>#VALUE!</v>
      </c>
      <c r="GI162" t="e">
        <f>AND(Sheet1!E2180,"AAAAAE9n/r4=")</f>
        <v>#VALUE!</v>
      </c>
      <c r="GJ162" t="e">
        <f>AND(Sheet1!F2180,"AAAAAE9n/r8=")</f>
        <v>#VALUE!</v>
      </c>
      <c r="GK162" t="e">
        <f>AND(Sheet1!G2180,"AAAAAE9n/sA=")</f>
        <v>#VALUE!</v>
      </c>
      <c r="GL162" t="e">
        <f>AND(Sheet1!H2180,"AAAAAE9n/sE=")</f>
        <v>#VALUE!</v>
      </c>
      <c r="GM162" t="e">
        <f>AND(Sheet1!I2180,"AAAAAE9n/sI=")</f>
        <v>#VALUE!</v>
      </c>
      <c r="GN162" t="e">
        <f>AND(Sheet1!J2180,"AAAAAE9n/sM=")</f>
        <v>#VALUE!</v>
      </c>
      <c r="GO162" t="e">
        <f>AND(Sheet1!K2180,"AAAAAE9n/sQ=")</f>
        <v>#VALUE!</v>
      </c>
      <c r="GP162" t="e">
        <f>AND(Sheet1!L2180,"AAAAAE9n/sU=")</f>
        <v>#VALUE!</v>
      </c>
      <c r="GQ162" t="e">
        <f>AND(Sheet1!M2180,"AAAAAE9n/sY=")</f>
        <v>#VALUE!</v>
      </c>
      <c r="GR162" t="e">
        <f>AND(Sheet1!N2180,"AAAAAE9n/sc=")</f>
        <v>#VALUE!</v>
      </c>
      <c r="GS162" t="e">
        <f>AND(Sheet1!#REF!,"AAAAAE9n/sg=")</f>
        <v>#REF!</v>
      </c>
      <c r="GT162" t="e">
        <f>AND(Sheet1!#REF!,"AAAAAE9n/sk=")</f>
        <v>#REF!</v>
      </c>
      <c r="GU162" t="e">
        <f>AND(Sheet1!#REF!,"AAAAAE9n/so=")</f>
        <v>#REF!</v>
      </c>
      <c r="GV162" t="e">
        <f>AND(Sheet1!#REF!,"AAAAAE9n/ss=")</f>
        <v>#REF!</v>
      </c>
      <c r="GW162">
        <f>IF(Sheet1!2181:2181,"AAAAAE9n/sw=",0)</f>
        <v>0</v>
      </c>
      <c r="GX162" t="e">
        <f>AND(Sheet1!A2181,"AAAAAE9n/s0=")</f>
        <v>#VALUE!</v>
      </c>
      <c r="GY162" t="e">
        <f>AND(Sheet1!B2181,"AAAAAE9n/s4=")</f>
        <v>#VALUE!</v>
      </c>
      <c r="GZ162" t="e">
        <f>AND(Sheet1!C2181,"AAAAAE9n/s8=")</f>
        <v>#VALUE!</v>
      </c>
      <c r="HA162" t="e">
        <f>AND(Sheet1!D2181,"AAAAAE9n/tA=")</f>
        <v>#VALUE!</v>
      </c>
      <c r="HB162" t="e">
        <f>AND(Sheet1!E2181,"AAAAAE9n/tE=")</f>
        <v>#VALUE!</v>
      </c>
      <c r="HC162" t="e">
        <f>AND(Sheet1!F2181,"AAAAAE9n/tI=")</f>
        <v>#VALUE!</v>
      </c>
      <c r="HD162" t="e">
        <f>AND(Sheet1!G2181,"AAAAAE9n/tM=")</f>
        <v>#VALUE!</v>
      </c>
      <c r="HE162" t="e">
        <f>AND(Sheet1!H2181,"AAAAAE9n/tQ=")</f>
        <v>#VALUE!</v>
      </c>
      <c r="HF162" t="e">
        <f>AND(Sheet1!I2181,"AAAAAE9n/tU=")</f>
        <v>#VALUE!</v>
      </c>
      <c r="HG162" t="e">
        <f>AND(Sheet1!J2181,"AAAAAE9n/tY=")</f>
        <v>#VALUE!</v>
      </c>
      <c r="HH162" t="e">
        <f>AND(Sheet1!K2181,"AAAAAE9n/tc=")</f>
        <v>#VALUE!</v>
      </c>
      <c r="HI162" t="e">
        <f>AND(Sheet1!L2181,"AAAAAE9n/tg=")</f>
        <v>#VALUE!</v>
      </c>
      <c r="HJ162" t="e">
        <f>AND(Sheet1!M2181,"AAAAAE9n/tk=")</f>
        <v>#VALUE!</v>
      </c>
      <c r="HK162" t="e">
        <f>AND(Sheet1!N2181,"AAAAAE9n/to=")</f>
        <v>#VALUE!</v>
      </c>
      <c r="HL162" t="e">
        <f>AND(Sheet1!#REF!,"AAAAAE9n/ts=")</f>
        <v>#REF!</v>
      </c>
      <c r="HM162" t="e">
        <f>AND(Sheet1!#REF!,"AAAAAE9n/tw=")</f>
        <v>#REF!</v>
      </c>
      <c r="HN162" t="e">
        <f>AND(Sheet1!#REF!,"AAAAAE9n/t0=")</f>
        <v>#REF!</v>
      </c>
      <c r="HO162" t="e">
        <f>AND(Sheet1!#REF!,"AAAAAE9n/t4=")</f>
        <v>#REF!</v>
      </c>
      <c r="HP162">
        <f>IF(Sheet1!2182:2182,"AAAAAE9n/t8=",0)</f>
        <v>0</v>
      </c>
      <c r="HQ162" t="e">
        <f>AND(Sheet1!A2182,"AAAAAE9n/uA=")</f>
        <v>#VALUE!</v>
      </c>
      <c r="HR162" t="e">
        <f>AND(Sheet1!B2182,"AAAAAE9n/uE=")</f>
        <v>#VALUE!</v>
      </c>
      <c r="HS162" t="e">
        <f>AND(Sheet1!C2182,"AAAAAE9n/uI=")</f>
        <v>#VALUE!</v>
      </c>
      <c r="HT162" t="e">
        <f>AND(Sheet1!D2182,"AAAAAE9n/uM=")</f>
        <v>#VALUE!</v>
      </c>
      <c r="HU162" t="e">
        <f>AND(Sheet1!E2182,"AAAAAE9n/uQ=")</f>
        <v>#VALUE!</v>
      </c>
      <c r="HV162" t="e">
        <f>AND(Sheet1!F2182,"AAAAAE9n/uU=")</f>
        <v>#VALUE!</v>
      </c>
      <c r="HW162" t="e">
        <f>AND(Sheet1!G2182,"AAAAAE9n/uY=")</f>
        <v>#VALUE!</v>
      </c>
      <c r="HX162" t="e">
        <f>AND(Sheet1!H2182,"AAAAAE9n/uc=")</f>
        <v>#VALUE!</v>
      </c>
      <c r="HY162" t="e">
        <f>AND(Sheet1!I2182,"AAAAAE9n/ug=")</f>
        <v>#VALUE!</v>
      </c>
      <c r="HZ162" t="e">
        <f>AND(Sheet1!J2182,"AAAAAE9n/uk=")</f>
        <v>#VALUE!</v>
      </c>
      <c r="IA162" t="e">
        <f>AND(Sheet1!K2182,"AAAAAE9n/uo=")</f>
        <v>#VALUE!</v>
      </c>
      <c r="IB162" t="e">
        <f>AND(Sheet1!L2182,"AAAAAE9n/us=")</f>
        <v>#VALUE!</v>
      </c>
      <c r="IC162" t="e">
        <f>AND(Sheet1!M2182,"AAAAAE9n/uw=")</f>
        <v>#VALUE!</v>
      </c>
      <c r="ID162" t="e">
        <f>AND(Sheet1!N2182,"AAAAAE9n/u0=")</f>
        <v>#VALUE!</v>
      </c>
      <c r="IE162" t="e">
        <f>AND(Sheet1!#REF!,"AAAAAE9n/u4=")</f>
        <v>#REF!</v>
      </c>
      <c r="IF162" t="e">
        <f>AND(Sheet1!#REF!,"AAAAAE9n/u8=")</f>
        <v>#REF!</v>
      </c>
      <c r="IG162" t="e">
        <f>AND(Sheet1!#REF!,"AAAAAE9n/vA=")</f>
        <v>#REF!</v>
      </c>
      <c r="IH162" t="e">
        <f>AND(Sheet1!#REF!,"AAAAAE9n/vE=")</f>
        <v>#REF!</v>
      </c>
      <c r="II162">
        <f>IF(Sheet1!2183:2183,"AAAAAE9n/vI=",0)</f>
        <v>0</v>
      </c>
      <c r="IJ162" t="e">
        <f>AND(Sheet1!A2183,"AAAAAE9n/vM=")</f>
        <v>#VALUE!</v>
      </c>
      <c r="IK162" t="e">
        <f>AND(Sheet1!B2183,"AAAAAE9n/vQ=")</f>
        <v>#VALUE!</v>
      </c>
      <c r="IL162" t="e">
        <f>AND(Sheet1!C2183,"AAAAAE9n/vU=")</f>
        <v>#VALUE!</v>
      </c>
      <c r="IM162" t="e">
        <f>AND(Sheet1!D2183,"AAAAAE9n/vY=")</f>
        <v>#VALUE!</v>
      </c>
      <c r="IN162" t="e">
        <f>AND(Sheet1!E2183,"AAAAAE9n/vc=")</f>
        <v>#VALUE!</v>
      </c>
      <c r="IO162" t="e">
        <f>AND(Sheet1!F2183,"AAAAAE9n/vg=")</f>
        <v>#VALUE!</v>
      </c>
      <c r="IP162" t="e">
        <f>AND(Sheet1!G2183,"AAAAAE9n/vk=")</f>
        <v>#VALUE!</v>
      </c>
      <c r="IQ162" t="e">
        <f>AND(Sheet1!H2183,"AAAAAE9n/vo=")</f>
        <v>#VALUE!</v>
      </c>
      <c r="IR162" t="e">
        <f>AND(Sheet1!I2183,"AAAAAE9n/vs=")</f>
        <v>#VALUE!</v>
      </c>
      <c r="IS162" t="e">
        <f>AND(Sheet1!J2183,"AAAAAE9n/vw=")</f>
        <v>#VALUE!</v>
      </c>
      <c r="IT162" t="e">
        <f>AND(Sheet1!K2183,"AAAAAE9n/v0=")</f>
        <v>#VALUE!</v>
      </c>
      <c r="IU162" t="e">
        <f>AND(Sheet1!L2183,"AAAAAE9n/v4=")</f>
        <v>#VALUE!</v>
      </c>
      <c r="IV162" t="e">
        <f>AND(Sheet1!M2183,"AAAAAE9n/v8=")</f>
        <v>#VALUE!</v>
      </c>
    </row>
    <row r="163" spans="1:256" x14ac:dyDescent="0.2">
      <c r="A163" t="e">
        <f>AND(Sheet1!N2183,"AAAAAAf/dwA=")</f>
        <v>#VALUE!</v>
      </c>
      <c r="B163" t="e">
        <f>AND(Sheet1!#REF!,"AAAAAAf/dwE=")</f>
        <v>#REF!</v>
      </c>
      <c r="C163" t="e">
        <f>AND(Sheet1!#REF!,"AAAAAAf/dwI=")</f>
        <v>#REF!</v>
      </c>
      <c r="D163" t="e">
        <f>AND(Sheet1!#REF!,"AAAAAAf/dwM=")</f>
        <v>#REF!</v>
      </c>
      <c r="E163" t="e">
        <f>AND(Sheet1!#REF!,"AAAAAAf/dwQ=")</f>
        <v>#REF!</v>
      </c>
      <c r="F163" t="e">
        <f>IF(Sheet1!2184:2184,"AAAAAAf/dwU=",0)</f>
        <v>#VALUE!</v>
      </c>
      <c r="G163" t="e">
        <f>AND(Sheet1!A2184,"AAAAAAf/dwY=")</f>
        <v>#VALUE!</v>
      </c>
      <c r="H163" t="e">
        <f>AND(Sheet1!B2184,"AAAAAAf/dwc=")</f>
        <v>#VALUE!</v>
      </c>
      <c r="I163" t="e">
        <f>AND(Sheet1!C2184,"AAAAAAf/dwg=")</f>
        <v>#VALUE!</v>
      </c>
      <c r="J163" t="e">
        <f>AND(Sheet1!D2184,"AAAAAAf/dwk=")</f>
        <v>#VALUE!</v>
      </c>
      <c r="K163" t="e">
        <f>AND(Sheet1!E2184,"AAAAAAf/dwo=")</f>
        <v>#VALUE!</v>
      </c>
      <c r="L163" t="e">
        <f>AND(Sheet1!F2184,"AAAAAAf/dws=")</f>
        <v>#VALUE!</v>
      </c>
      <c r="M163" t="e">
        <f>AND(Sheet1!G2184,"AAAAAAf/dww=")</f>
        <v>#VALUE!</v>
      </c>
      <c r="N163" t="e">
        <f>AND(Sheet1!H2184,"AAAAAAf/dw0=")</f>
        <v>#VALUE!</v>
      </c>
      <c r="O163" t="e">
        <f>AND(Sheet1!I2184,"AAAAAAf/dw4=")</f>
        <v>#VALUE!</v>
      </c>
      <c r="P163" t="e">
        <f>AND(Sheet1!J2184,"AAAAAAf/dw8=")</f>
        <v>#VALUE!</v>
      </c>
      <c r="Q163" t="e">
        <f>AND(Sheet1!K2184,"AAAAAAf/dxA=")</f>
        <v>#VALUE!</v>
      </c>
      <c r="R163" t="e">
        <f>AND(Sheet1!L2184,"AAAAAAf/dxE=")</f>
        <v>#VALUE!</v>
      </c>
      <c r="S163" t="e">
        <f>AND(Sheet1!M2184,"AAAAAAf/dxI=")</f>
        <v>#VALUE!</v>
      </c>
      <c r="T163" t="e">
        <f>AND(Sheet1!N2184,"AAAAAAf/dxM=")</f>
        <v>#VALUE!</v>
      </c>
      <c r="U163" t="e">
        <f>AND(Sheet1!#REF!,"AAAAAAf/dxQ=")</f>
        <v>#REF!</v>
      </c>
      <c r="V163" t="e">
        <f>AND(Sheet1!#REF!,"AAAAAAf/dxU=")</f>
        <v>#REF!</v>
      </c>
      <c r="W163" t="e">
        <f>AND(Sheet1!#REF!,"AAAAAAf/dxY=")</f>
        <v>#REF!</v>
      </c>
      <c r="X163" t="e">
        <f>AND(Sheet1!#REF!,"AAAAAAf/dxc=")</f>
        <v>#REF!</v>
      </c>
      <c r="Y163">
        <f>IF(Sheet1!2185:2185,"AAAAAAf/dxg=",0)</f>
        <v>0</v>
      </c>
      <c r="Z163" t="e">
        <f>AND(Sheet1!A2185,"AAAAAAf/dxk=")</f>
        <v>#VALUE!</v>
      </c>
      <c r="AA163" t="e">
        <f>AND(Sheet1!B2185,"AAAAAAf/dxo=")</f>
        <v>#VALUE!</v>
      </c>
      <c r="AB163" t="e">
        <f>AND(Sheet1!C2185,"AAAAAAf/dxs=")</f>
        <v>#VALUE!</v>
      </c>
      <c r="AC163" t="e">
        <f>AND(Sheet1!D2185,"AAAAAAf/dxw=")</f>
        <v>#VALUE!</v>
      </c>
      <c r="AD163" t="e">
        <f>AND(Sheet1!E2185,"AAAAAAf/dx0=")</f>
        <v>#VALUE!</v>
      </c>
      <c r="AE163" t="e">
        <f>AND(Sheet1!F2185,"AAAAAAf/dx4=")</f>
        <v>#VALUE!</v>
      </c>
      <c r="AF163" t="e">
        <f>AND(Sheet1!G2185,"AAAAAAf/dx8=")</f>
        <v>#VALUE!</v>
      </c>
      <c r="AG163" t="e">
        <f>AND(Sheet1!H2185,"AAAAAAf/dyA=")</f>
        <v>#VALUE!</v>
      </c>
      <c r="AH163" t="e">
        <f>AND(Sheet1!I2185,"AAAAAAf/dyE=")</f>
        <v>#VALUE!</v>
      </c>
      <c r="AI163" t="e">
        <f>AND(Sheet1!J2185,"AAAAAAf/dyI=")</f>
        <v>#VALUE!</v>
      </c>
      <c r="AJ163" t="e">
        <f>AND(Sheet1!K2185,"AAAAAAf/dyM=")</f>
        <v>#VALUE!</v>
      </c>
      <c r="AK163" t="e">
        <f>AND(Sheet1!L2185,"AAAAAAf/dyQ=")</f>
        <v>#VALUE!</v>
      </c>
      <c r="AL163" t="e">
        <f>AND(Sheet1!M2185,"AAAAAAf/dyU=")</f>
        <v>#VALUE!</v>
      </c>
      <c r="AM163" t="e">
        <f>AND(Sheet1!N2185,"AAAAAAf/dyY=")</f>
        <v>#VALUE!</v>
      </c>
      <c r="AN163" t="e">
        <f>AND(Sheet1!#REF!,"AAAAAAf/dyc=")</f>
        <v>#REF!</v>
      </c>
      <c r="AO163" t="e">
        <f>AND(Sheet1!#REF!,"AAAAAAf/dyg=")</f>
        <v>#REF!</v>
      </c>
      <c r="AP163" t="e">
        <f>AND(Sheet1!#REF!,"AAAAAAf/dyk=")</f>
        <v>#REF!</v>
      </c>
      <c r="AQ163" t="e">
        <f>AND(Sheet1!#REF!,"AAAAAAf/dyo=")</f>
        <v>#REF!</v>
      </c>
      <c r="AR163">
        <f>IF(Sheet1!2186:2186,"AAAAAAf/dys=",0)</f>
        <v>0</v>
      </c>
      <c r="AS163" t="e">
        <f>AND(Sheet1!A2186,"AAAAAAf/dyw=")</f>
        <v>#VALUE!</v>
      </c>
      <c r="AT163" t="e">
        <f>AND(Sheet1!B2186,"AAAAAAf/dy0=")</f>
        <v>#VALUE!</v>
      </c>
      <c r="AU163" t="e">
        <f>AND(Sheet1!C2186,"AAAAAAf/dy4=")</f>
        <v>#VALUE!</v>
      </c>
      <c r="AV163" t="e">
        <f>AND(Sheet1!D2186,"AAAAAAf/dy8=")</f>
        <v>#VALUE!</v>
      </c>
      <c r="AW163" t="e">
        <f>AND(Sheet1!E2186,"AAAAAAf/dzA=")</f>
        <v>#VALUE!</v>
      </c>
      <c r="AX163" t="e">
        <f>AND(Sheet1!F2186,"AAAAAAf/dzE=")</f>
        <v>#VALUE!</v>
      </c>
      <c r="AY163" t="e">
        <f>AND(Sheet1!G2186,"AAAAAAf/dzI=")</f>
        <v>#VALUE!</v>
      </c>
      <c r="AZ163" t="e">
        <f>AND(Sheet1!H2186,"AAAAAAf/dzM=")</f>
        <v>#VALUE!</v>
      </c>
      <c r="BA163" t="e">
        <f>AND(Sheet1!I2186,"AAAAAAf/dzQ=")</f>
        <v>#VALUE!</v>
      </c>
      <c r="BB163" t="e">
        <f>AND(Sheet1!J2186,"AAAAAAf/dzU=")</f>
        <v>#VALUE!</v>
      </c>
      <c r="BC163" t="e">
        <f>AND(Sheet1!K2186,"AAAAAAf/dzY=")</f>
        <v>#VALUE!</v>
      </c>
      <c r="BD163" t="e">
        <f>AND(Sheet1!L2186,"AAAAAAf/dzc=")</f>
        <v>#VALUE!</v>
      </c>
      <c r="BE163" t="e">
        <f>AND(Sheet1!M2186,"AAAAAAf/dzg=")</f>
        <v>#VALUE!</v>
      </c>
      <c r="BF163" t="e">
        <f>AND(Sheet1!N2186,"AAAAAAf/dzk=")</f>
        <v>#VALUE!</v>
      </c>
      <c r="BG163" t="e">
        <f>AND(Sheet1!#REF!,"AAAAAAf/dzo=")</f>
        <v>#REF!</v>
      </c>
      <c r="BH163" t="e">
        <f>AND(Sheet1!#REF!,"AAAAAAf/dzs=")</f>
        <v>#REF!</v>
      </c>
      <c r="BI163" t="e">
        <f>AND(Sheet1!#REF!,"AAAAAAf/dzw=")</f>
        <v>#REF!</v>
      </c>
      <c r="BJ163" t="e">
        <f>AND(Sheet1!#REF!,"AAAAAAf/dz0=")</f>
        <v>#REF!</v>
      </c>
      <c r="BK163">
        <f>IF(Sheet1!2187:2187,"AAAAAAf/dz4=",0)</f>
        <v>0</v>
      </c>
      <c r="BL163" t="e">
        <f>AND(Sheet1!A2187,"AAAAAAf/dz8=")</f>
        <v>#VALUE!</v>
      </c>
      <c r="BM163" t="e">
        <f>AND(Sheet1!B2187,"AAAAAAf/d0A=")</f>
        <v>#VALUE!</v>
      </c>
      <c r="BN163" t="e">
        <f>AND(Sheet1!C2187,"AAAAAAf/d0E=")</f>
        <v>#VALUE!</v>
      </c>
      <c r="BO163" t="e">
        <f>AND(Sheet1!D2187,"AAAAAAf/d0I=")</f>
        <v>#VALUE!</v>
      </c>
      <c r="BP163" t="e">
        <f>AND(Sheet1!E2187,"AAAAAAf/d0M=")</f>
        <v>#VALUE!</v>
      </c>
      <c r="BQ163" t="e">
        <f>AND(Sheet1!F2187,"AAAAAAf/d0Q=")</f>
        <v>#VALUE!</v>
      </c>
      <c r="BR163" t="e">
        <f>AND(Sheet1!G2187,"AAAAAAf/d0U=")</f>
        <v>#VALUE!</v>
      </c>
      <c r="BS163" t="e">
        <f>AND(Sheet1!H2187,"AAAAAAf/d0Y=")</f>
        <v>#VALUE!</v>
      </c>
      <c r="BT163" t="e">
        <f>AND(Sheet1!I2187,"AAAAAAf/d0c=")</f>
        <v>#VALUE!</v>
      </c>
      <c r="BU163" t="e">
        <f>AND(Sheet1!J2187,"AAAAAAf/d0g=")</f>
        <v>#VALUE!</v>
      </c>
      <c r="BV163" t="e">
        <f>AND(Sheet1!K2187,"AAAAAAf/d0k=")</f>
        <v>#VALUE!</v>
      </c>
      <c r="BW163" t="e">
        <f>AND(Sheet1!L2187,"AAAAAAf/d0o=")</f>
        <v>#VALUE!</v>
      </c>
      <c r="BX163" t="e">
        <f>AND(Sheet1!M2187,"AAAAAAf/d0s=")</f>
        <v>#VALUE!</v>
      </c>
      <c r="BY163" t="e">
        <f>AND(Sheet1!N2187,"AAAAAAf/d0w=")</f>
        <v>#VALUE!</v>
      </c>
      <c r="BZ163" t="e">
        <f>AND(Sheet1!#REF!,"AAAAAAf/d00=")</f>
        <v>#REF!</v>
      </c>
      <c r="CA163" t="e">
        <f>AND(Sheet1!#REF!,"AAAAAAf/d04=")</f>
        <v>#REF!</v>
      </c>
      <c r="CB163" t="e">
        <f>AND(Sheet1!#REF!,"AAAAAAf/d08=")</f>
        <v>#REF!</v>
      </c>
      <c r="CC163" t="e">
        <f>AND(Sheet1!#REF!,"AAAAAAf/d1A=")</f>
        <v>#REF!</v>
      </c>
      <c r="CD163">
        <f>IF(Sheet1!2188:2188,"AAAAAAf/d1E=",0)</f>
        <v>0</v>
      </c>
      <c r="CE163" t="e">
        <f>AND(Sheet1!A2188,"AAAAAAf/d1I=")</f>
        <v>#VALUE!</v>
      </c>
      <c r="CF163" t="e">
        <f>AND(Sheet1!B2188,"AAAAAAf/d1M=")</f>
        <v>#VALUE!</v>
      </c>
      <c r="CG163" t="e">
        <f>AND(Sheet1!C2188,"AAAAAAf/d1Q=")</f>
        <v>#VALUE!</v>
      </c>
      <c r="CH163" t="e">
        <f>AND(Sheet1!D2188,"AAAAAAf/d1U=")</f>
        <v>#VALUE!</v>
      </c>
      <c r="CI163" t="e">
        <f>AND(Sheet1!E2188,"AAAAAAf/d1Y=")</f>
        <v>#VALUE!</v>
      </c>
      <c r="CJ163" t="e">
        <f>AND(Sheet1!F2188,"AAAAAAf/d1c=")</f>
        <v>#VALUE!</v>
      </c>
      <c r="CK163" t="e">
        <f>AND(Sheet1!G2188,"AAAAAAf/d1g=")</f>
        <v>#VALUE!</v>
      </c>
      <c r="CL163" t="e">
        <f>AND(Sheet1!H2188,"AAAAAAf/d1k=")</f>
        <v>#VALUE!</v>
      </c>
      <c r="CM163" t="e">
        <f>AND(Sheet1!I2188,"AAAAAAf/d1o=")</f>
        <v>#VALUE!</v>
      </c>
      <c r="CN163" t="e">
        <f>AND(Sheet1!J2188,"AAAAAAf/d1s=")</f>
        <v>#VALUE!</v>
      </c>
      <c r="CO163" t="e">
        <f>AND(Sheet1!K2188,"AAAAAAf/d1w=")</f>
        <v>#VALUE!</v>
      </c>
      <c r="CP163" t="e">
        <f>AND(Sheet1!L2188,"AAAAAAf/d10=")</f>
        <v>#VALUE!</v>
      </c>
      <c r="CQ163" t="e">
        <f>AND(Sheet1!M2188,"AAAAAAf/d14=")</f>
        <v>#VALUE!</v>
      </c>
      <c r="CR163" t="e">
        <f>AND(Sheet1!N2188,"AAAAAAf/d18=")</f>
        <v>#VALUE!</v>
      </c>
      <c r="CS163" t="e">
        <f>AND(Sheet1!#REF!,"AAAAAAf/d2A=")</f>
        <v>#REF!</v>
      </c>
      <c r="CT163" t="e">
        <f>AND(Sheet1!#REF!,"AAAAAAf/d2E=")</f>
        <v>#REF!</v>
      </c>
      <c r="CU163" t="e">
        <f>AND(Sheet1!#REF!,"AAAAAAf/d2I=")</f>
        <v>#REF!</v>
      </c>
      <c r="CV163" t="e">
        <f>AND(Sheet1!#REF!,"AAAAAAf/d2M=")</f>
        <v>#REF!</v>
      </c>
      <c r="CW163">
        <f>IF(Sheet1!2189:2189,"AAAAAAf/d2Q=",0)</f>
        <v>0</v>
      </c>
      <c r="CX163" t="e">
        <f>AND(Sheet1!A2189,"AAAAAAf/d2U=")</f>
        <v>#VALUE!</v>
      </c>
      <c r="CY163" t="e">
        <f>AND(Sheet1!B2189,"AAAAAAf/d2Y=")</f>
        <v>#VALUE!</v>
      </c>
      <c r="CZ163" t="e">
        <f>AND(Sheet1!C2189,"AAAAAAf/d2c=")</f>
        <v>#VALUE!</v>
      </c>
      <c r="DA163" t="e">
        <f>AND(Sheet1!D2189,"AAAAAAf/d2g=")</f>
        <v>#VALUE!</v>
      </c>
      <c r="DB163" t="e">
        <f>AND(Sheet1!E2189,"AAAAAAf/d2k=")</f>
        <v>#VALUE!</v>
      </c>
      <c r="DC163" t="e">
        <f>AND(Sheet1!F2189,"AAAAAAf/d2o=")</f>
        <v>#VALUE!</v>
      </c>
      <c r="DD163" t="e">
        <f>AND(Sheet1!G2189,"AAAAAAf/d2s=")</f>
        <v>#VALUE!</v>
      </c>
      <c r="DE163" t="e">
        <f>AND(Sheet1!H2189,"AAAAAAf/d2w=")</f>
        <v>#VALUE!</v>
      </c>
      <c r="DF163" t="e">
        <f>AND(Sheet1!I2189,"AAAAAAf/d20=")</f>
        <v>#VALUE!</v>
      </c>
      <c r="DG163" t="e">
        <f>AND(Sheet1!J2189,"AAAAAAf/d24=")</f>
        <v>#VALUE!</v>
      </c>
      <c r="DH163" t="e">
        <f>AND(Sheet1!K2189,"AAAAAAf/d28=")</f>
        <v>#VALUE!</v>
      </c>
      <c r="DI163" t="e">
        <f>AND(Sheet1!L2189,"AAAAAAf/d3A=")</f>
        <v>#VALUE!</v>
      </c>
      <c r="DJ163" t="e">
        <f>AND(Sheet1!M2189,"AAAAAAf/d3E=")</f>
        <v>#VALUE!</v>
      </c>
      <c r="DK163" t="e">
        <f>AND(Sheet1!N2189,"AAAAAAf/d3I=")</f>
        <v>#VALUE!</v>
      </c>
      <c r="DL163" t="e">
        <f>AND(Sheet1!#REF!,"AAAAAAf/d3M=")</f>
        <v>#REF!</v>
      </c>
      <c r="DM163" t="e">
        <f>AND(Sheet1!#REF!,"AAAAAAf/d3Q=")</f>
        <v>#REF!</v>
      </c>
      <c r="DN163" t="e">
        <f>AND(Sheet1!#REF!,"AAAAAAf/d3U=")</f>
        <v>#REF!</v>
      </c>
      <c r="DO163" t="e">
        <f>AND(Sheet1!#REF!,"AAAAAAf/d3Y=")</f>
        <v>#REF!</v>
      </c>
      <c r="DP163">
        <f>IF(Sheet1!2190:2190,"AAAAAAf/d3c=",0)</f>
        <v>0</v>
      </c>
      <c r="DQ163" t="e">
        <f>AND(Sheet1!A2190,"AAAAAAf/d3g=")</f>
        <v>#VALUE!</v>
      </c>
      <c r="DR163" t="e">
        <f>AND(Sheet1!B2190,"AAAAAAf/d3k=")</f>
        <v>#VALUE!</v>
      </c>
      <c r="DS163" t="e">
        <f>AND(Sheet1!C2190,"AAAAAAf/d3o=")</f>
        <v>#VALUE!</v>
      </c>
      <c r="DT163" t="e">
        <f>AND(Sheet1!D2190,"AAAAAAf/d3s=")</f>
        <v>#VALUE!</v>
      </c>
      <c r="DU163" t="e">
        <f>AND(Sheet1!E2190,"AAAAAAf/d3w=")</f>
        <v>#VALUE!</v>
      </c>
      <c r="DV163" t="e">
        <f>AND(Sheet1!F2190,"AAAAAAf/d30=")</f>
        <v>#VALUE!</v>
      </c>
      <c r="DW163" t="e">
        <f>AND(Sheet1!G2190,"AAAAAAf/d34=")</f>
        <v>#VALUE!</v>
      </c>
      <c r="DX163" t="e">
        <f>AND(Sheet1!H2190,"AAAAAAf/d38=")</f>
        <v>#VALUE!</v>
      </c>
      <c r="DY163" t="e">
        <f>AND(Sheet1!I2190,"AAAAAAf/d4A=")</f>
        <v>#VALUE!</v>
      </c>
      <c r="DZ163" t="e">
        <f>AND(Sheet1!J2190,"AAAAAAf/d4E=")</f>
        <v>#VALUE!</v>
      </c>
      <c r="EA163" t="e">
        <f>AND(Sheet1!K2190,"AAAAAAf/d4I=")</f>
        <v>#VALUE!</v>
      </c>
      <c r="EB163" t="e">
        <f>AND(Sheet1!L2190,"AAAAAAf/d4M=")</f>
        <v>#VALUE!</v>
      </c>
      <c r="EC163" t="e">
        <f>AND(Sheet1!M2190,"AAAAAAf/d4Q=")</f>
        <v>#VALUE!</v>
      </c>
      <c r="ED163" t="e">
        <f>AND(Sheet1!N2190,"AAAAAAf/d4U=")</f>
        <v>#VALUE!</v>
      </c>
      <c r="EE163" t="e">
        <f>AND(Sheet1!#REF!,"AAAAAAf/d4Y=")</f>
        <v>#REF!</v>
      </c>
      <c r="EF163" t="e">
        <f>AND(Sheet1!#REF!,"AAAAAAf/d4c=")</f>
        <v>#REF!</v>
      </c>
      <c r="EG163" t="e">
        <f>AND(Sheet1!#REF!,"AAAAAAf/d4g=")</f>
        <v>#REF!</v>
      </c>
      <c r="EH163" t="e">
        <f>AND(Sheet1!#REF!,"AAAAAAf/d4k=")</f>
        <v>#REF!</v>
      </c>
      <c r="EI163">
        <f>IF(Sheet1!2191:2191,"AAAAAAf/d4o=",0)</f>
        <v>0</v>
      </c>
      <c r="EJ163" t="e">
        <f>AND(Sheet1!A2191,"AAAAAAf/d4s=")</f>
        <v>#VALUE!</v>
      </c>
      <c r="EK163" t="e">
        <f>AND(Sheet1!B2191,"AAAAAAf/d4w=")</f>
        <v>#VALUE!</v>
      </c>
      <c r="EL163" t="e">
        <f>AND(Sheet1!C2191,"AAAAAAf/d40=")</f>
        <v>#VALUE!</v>
      </c>
      <c r="EM163" t="e">
        <f>AND(Sheet1!D2191,"AAAAAAf/d44=")</f>
        <v>#VALUE!</v>
      </c>
      <c r="EN163" t="e">
        <f>AND(Sheet1!E2191,"AAAAAAf/d48=")</f>
        <v>#VALUE!</v>
      </c>
      <c r="EO163" t="e">
        <f>AND(Sheet1!F2191,"AAAAAAf/d5A=")</f>
        <v>#VALUE!</v>
      </c>
      <c r="EP163" t="e">
        <f>AND(Sheet1!G2191,"AAAAAAf/d5E=")</f>
        <v>#VALUE!</v>
      </c>
      <c r="EQ163" t="e">
        <f>AND(Sheet1!H2191,"AAAAAAf/d5I=")</f>
        <v>#VALUE!</v>
      </c>
      <c r="ER163" t="e">
        <f>AND(Sheet1!I2191,"AAAAAAf/d5M=")</f>
        <v>#VALUE!</v>
      </c>
      <c r="ES163" t="e">
        <f>AND(Sheet1!J2191,"AAAAAAf/d5Q=")</f>
        <v>#VALUE!</v>
      </c>
      <c r="ET163" t="e">
        <f>AND(Sheet1!K2191,"AAAAAAf/d5U=")</f>
        <v>#VALUE!</v>
      </c>
      <c r="EU163" t="e">
        <f>AND(Sheet1!L2191,"AAAAAAf/d5Y=")</f>
        <v>#VALUE!</v>
      </c>
      <c r="EV163" t="e">
        <f>AND(Sheet1!M2191,"AAAAAAf/d5c=")</f>
        <v>#VALUE!</v>
      </c>
      <c r="EW163" t="e">
        <f>AND(Sheet1!N2191,"AAAAAAf/d5g=")</f>
        <v>#VALUE!</v>
      </c>
      <c r="EX163" t="e">
        <f>AND(Sheet1!#REF!,"AAAAAAf/d5k=")</f>
        <v>#REF!</v>
      </c>
      <c r="EY163" t="e">
        <f>AND(Sheet1!#REF!,"AAAAAAf/d5o=")</f>
        <v>#REF!</v>
      </c>
      <c r="EZ163" t="e">
        <f>AND(Sheet1!#REF!,"AAAAAAf/d5s=")</f>
        <v>#REF!</v>
      </c>
      <c r="FA163" t="e">
        <f>AND(Sheet1!#REF!,"AAAAAAf/d5w=")</f>
        <v>#REF!</v>
      </c>
      <c r="FB163">
        <f>IF(Sheet1!2192:2192,"AAAAAAf/d50=",0)</f>
        <v>0</v>
      </c>
      <c r="FC163" t="e">
        <f>AND(Sheet1!A2192,"AAAAAAf/d54=")</f>
        <v>#VALUE!</v>
      </c>
      <c r="FD163" t="e">
        <f>AND(Sheet1!B2192,"AAAAAAf/d58=")</f>
        <v>#VALUE!</v>
      </c>
      <c r="FE163" t="e">
        <f>AND(Sheet1!C2192,"AAAAAAf/d6A=")</f>
        <v>#VALUE!</v>
      </c>
      <c r="FF163" t="e">
        <f>AND(Sheet1!D2192,"AAAAAAf/d6E=")</f>
        <v>#VALUE!</v>
      </c>
      <c r="FG163" t="e">
        <f>AND(Sheet1!E2192,"AAAAAAf/d6I=")</f>
        <v>#VALUE!</v>
      </c>
      <c r="FH163" t="e">
        <f>AND(Sheet1!F2192,"AAAAAAf/d6M=")</f>
        <v>#VALUE!</v>
      </c>
      <c r="FI163" t="e">
        <f>AND(Sheet1!G2192,"AAAAAAf/d6Q=")</f>
        <v>#VALUE!</v>
      </c>
      <c r="FJ163" t="e">
        <f>AND(Sheet1!H2192,"AAAAAAf/d6U=")</f>
        <v>#VALUE!</v>
      </c>
      <c r="FK163" t="e">
        <f>AND(Sheet1!I2192,"AAAAAAf/d6Y=")</f>
        <v>#VALUE!</v>
      </c>
      <c r="FL163" t="e">
        <f>AND(Sheet1!J2192,"AAAAAAf/d6c=")</f>
        <v>#VALUE!</v>
      </c>
      <c r="FM163" t="e">
        <f>AND(Sheet1!K2192,"AAAAAAf/d6g=")</f>
        <v>#VALUE!</v>
      </c>
      <c r="FN163" t="e">
        <f>AND(Sheet1!L2192,"AAAAAAf/d6k=")</f>
        <v>#VALUE!</v>
      </c>
      <c r="FO163" t="e">
        <f>AND(Sheet1!M2192,"AAAAAAf/d6o=")</f>
        <v>#VALUE!</v>
      </c>
      <c r="FP163" t="e">
        <f>AND(Sheet1!N2192,"AAAAAAf/d6s=")</f>
        <v>#VALUE!</v>
      </c>
      <c r="FQ163" t="e">
        <f>AND(Sheet1!#REF!,"AAAAAAf/d6w=")</f>
        <v>#REF!</v>
      </c>
      <c r="FR163" t="e">
        <f>AND(Sheet1!#REF!,"AAAAAAf/d60=")</f>
        <v>#REF!</v>
      </c>
      <c r="FS163" t="e">
        <f>AND(Sheet1!#REF!,"AAAAAAf/d64=")</f>
        <v>#REF!</v>
      </c>
      <c r="FT163" t="e">
        <f>AND(Sheet1!#REF!,"AAAAAAf/d68=")</f>
        <v>#REF!</v>
      </c>
      <c r="FU163">
        <f>IF(Sheet1!2193:2193,"AAAAAAf/d7A=",0)</f>
        <v>0</v>
      </c>
      <c r="FV163" t="e">
        <f>AND(Sheet1!A2193,"AAAAAAf/d7E=")</f>
        <v>#VALUE!</v>
      </c>
      <c r="FW163" t="e">
        <f>AND(Sheet1!B2193,"AAAAAAf/d7I=")</f>
        <v>#VALUE!</v>
      </c>
      <c r="FX163" t="e">
        <f>AND(Sheet1!C2193,"AAAAAAf/d7M=")</f>
        <v>#VALUE!</v>
      </c>
      <c r="FY163" t="e">
        <f>AND(Sheet1!D2193,"AAAAAAf/d7Q=")</f>
        <v>#VALUE!</v>
      </c>
      <c r="FZ163" t="e">
        <f>AND(Sheet1!E2193,"AAAAAAf/d7U=")</f>
        <v>#VALUE!</v>
      </c>
      <c r="GA163" t="e">
        <f>AND(Sheet1!F2193,"AAAAAAf/d7Y=")</f>
        <v>#VALUE!</v>
      </c>
      <c r="GB163" t="e">
        <f>AND(Sheet1!G2193,"AAAAAAf/d7c=")</f>
        <v>#VALUE!</v>
      </c>
      <c r="GC163" t="e">
        <f>AND(Sheet1!H2193,"AAAAAAf/d7g=")</f>
        <v>#VALUE!</v>
      </c>
      <c r="GD163" t="e">
        <f>AND(Sheet1!I2193,"AAAAAAf/d7k=")</f>
        <v>#VALUE!</v>
      </c>
      <c r="GE163" t="e">
        <f>AND(Sheet1!J2193,"AAAAAAf/d7o=")</f>
        <v>#VALUE!</v>
      </c>
      <c r="GF163" t="e">
        <f>AND(Sheet1!K2193,"AAAAAAf/d7s=")</f>
        <v>#VALUE!</v>
      </c>
      <c r="GG163" t="e">
        <f>AND(Sheet1!L2193,"AAAAAAf/d7w=")</f>
        <v>#VALUE!</v>
      </c>
      <c r="GH163" t="e">
        <f>AND(Sheet1!M2193,"AAAAAAf/d70=")</f>
        <v>#VALUE!</v>
      </c>
      <c r="GI163" t="e">
        <f>AND(Sheet1!N2193,"AAAAAAf/d74=")</f>
        <v>#VALUE!</v>
      </c>
      <c r="GJ163" t="e">
        <f>AND(Sheet1!#REF!,"AAAAAAf/d78=")</f>
        <v>#REF!</v>
      </c>
      <c r="GK163" t="e">
        <f>AND(Sheet1!#REF!,"AAAAAAf/d8A=")</f>
        <v>#REF!</v>
      </c>
      <c r="GL163" t="e">
        <f>AND(Sheet1!#REF!,"AAAAAAf/d8E=")</f>
        <v>#REF!</v>
      </c>
      <c r="GM163" t="e">
        <f>AND(Sheet1!#REF!,"AAAAAAf/d8I=")</f>
        <v>#REF!</v>
      </c>
      <c r="GN163">
        <f>IF(Sheet1!2194:2194,"AAAAAAf/d8M=",0)</f>
        <v>0</v>
      </c>
      <c r="GO163" t="e">
        <f>AND(Sheet1!A2194,"AAAAAAf/d8Q=")</f>
        <v>#VALUE!</v>
      </c>
      <c r="GP163" t="e">
        <f>AND(Sheet1!B2194,"AAAAAAf/d8U=")</f>
        <v>#VALUE!</v>
      </c>
      <c r="GQ163" t="e">
        <f>AND(Sheet1!C2194,"AAAAAAf/d8Y=")</f>
        <v>#VALUE!</v>
      </c>
      <c r="GR163" t="e">
        <f>AND(Sheet1!D2194,"AAAAAAf/d8c=")</f>
        <v>#VALUE!</v>
      </c>
      <c r="GS163" t="e">
        <f>AND(Sheet1!E2194,"AAAAAAf/d8g=")</f>
        <v>#VALUE!</v>
      </c>
      <c r="GT163" t="e">
        <f>AND(Sheet1!F2194,"AAAAAAf/d8k=")</f>
        <v>#VALUE!</v>
      </c>
      <c r="GU163" t="e">
        <f>AND(Sheet1!G2194,"AAAAAAf/d8o=")</f>
        <v>#VALUE!</v>
      </c>
      <c r="GV163" t="e">
        <f>AND(Sheet1!H2194,"AAAAAAf/d8s=")</f>
        <v>#VALUE!</v>
      </c>
      <c r="GW163" t="e">
        <f>AND(Sheet1!I2194,"AAAAAAf/d8w=")</f>
        <v>#VALUE!</v>
      </c>
      <c r="GX163" t="e">
        <f>AND(Sheet1!J2194,"AAAAAAf/d80=")</f>
        <v>#VALUE!</v>
      </c>
      <c r="GY163" t="e">
        <f>AND(Sheet1!K2194,"AAAAAAf/d84=")</f>
        <v>#VALUE!</v>
      </c>
      <c r="GZ163" t="e">
        <f>AND(Sheet1!L2194,"AAAAAAf/d88=")</f>
        <v>#VALUE!</v>
      </c>
      <c r="HA163" t="e">
        <f>AND(Sheet1!M2194,"AAAAAAf/d9A=")</f>
        <v>#VALUE!</v>
      </c>
      <c r="HB163" t="e">
        <f>AND(Sheet1!N2194,"AAAAAAf/d9E=")</f>
        <v>#VALUE!</v>
      </c>
      <c r="HC163" t="e">
        <f>AND(Sheet1!#REF!,"AAAAAAf/d9I=")</f>
        <v>#REF!</v>
      </c>
      <c r="HD163" t="e">
        <f>AND(Sheet1!#REF!,"AAAAAAf/d9M=")</f>
        <v>#REF!</v>
      </c>
      <c r="HE163" t="e">
        <f>AND(Sheet1!#REF!,"AAAAAAf/d9Q=")</f>
        <v>#REF!</v>
      </c>
      <c r="HF163" t="e">
        <f>AND(Sheet1!#REF!,"AAAAAAf/d9U=")</f>
        <v>#REF!</v>
      </c>
      <c r="HG163">
        <f>IF(Sheet1!2195:2195,"AAAAAAf/d9Y=",0)</f>
        <v>0</v>
      </c>
      <c r="HH163" t="e">
        <f>AND(Sheet1!A2195,"AAAAAAf/d9c=")</f>
        <v>#VALUE!</v>
      </c>
      <c r="HI163" t="e">
        <f>AND(Sheet1!B2195,"AAAAAAf/d9g=")</f>
        <v>#VALUE!</v>
      </c>
      <c r="HJ163" t="e">
        <f>AND(Sheet1!C2195,"AAAAAAf/d9k=")</f>
        <v>#VALUE!</v>
      </c>
      <c r="HK163" t="e">
        <f>AND(Sheet1!D2195,"AAAAAAf/d9o=")</f>
        <v>#VALUE!</v>
      </c>
      <c r="HL163" t="e">
        <f>AND(Sheet1!E2195,"AAAAAAf/d9s=")</f>
        <v>#VALUE!</v>
      </c>
      <c r="HM163" t="e">
        <f>AND(Sheet1!F2195,"AAAAAAf/d9w=")</f>
        <v>#VALUE!</v>
      </c>
      <c r="HN163" t="e">
        <f>AND(Sheet1!G2195,"AAAAAAf/d90=")</f>
        <v>#VALUE!</v>
      </c>
      <c r="HO163" t="e">
        <f>AND(Sheet1!H2195,"AAAAAAf/d94=")</f>
        <v>#VALUE!</v>
      </c>
      <c r="HP163" t="e">
        <f>AND(Sheet1!I2195,"AAAAAAf/d98=")</f>
        <v>#VALUE!</v>
      </c>
      <c r="HQ163" t="e">
        <f>AND(Sheet1!J2195,"AAAAAAf/d+A=")</f>
        <v>#VALUE!</v>
      </c>
      <c r="HR163" t="e">
        <f>AND(Sheet1!K2195,"AAAAAAf/d+E=")</f>
        <v>#VALUE!</v>
      </c>
      <c r="HS163" t="e">
        <f>AND(Sheet1!L2195,"AAAAAAf/d+I=")</f>
        <v>#VALUE!</v>
      </c>
      <c r="HT163" t="e">
        <f>AND(Sheet1!M2195,"AAAAAAf/d+M=")</f>
        <v>#VALUE!</v>
      </c>
      <c r="HU163" t="e">
        <f>AND(Sheet1!N2195,"AAAAAAf/d+Q=")</f>
        <v>#VALUE!</v>
      </c>
      <c r="HV163" t="e">
        <f>AND(Sheet1!#REF!,"AAAAAAf/d+U=")</f>
        <v>#REF!</v>
      </c>
      <c r="HW163" t="e">
        <f>AND(Sheet1!#REF!,"AAAAAAf/d+Y=")</f>
        <v>#REF!</v>
      </c>
      <c r="HX163" t="e">
        <f>AND(Sheet1!#REF!,"AAAAAAf/d+c=")</f>
        <v>#REF!</v>
      </c>
      <c r="HY163" t="e">
        <f>AND(Sheet1!#REF!,"AAAAAAf/d+g=")</f>
        <v>#REF!</v>
      </c>
      <c r="HZ163">
        <f>IF(Sheet1!2196:2196,"AAAAAAf/d+k=",0)</f>
        <v>0</v>
      </c>
      <c r="IA163" t="e">
        <f>AND(Sheet1!A2196,"AAAAAAf/d+o=")</f>
        <v>#VALUE!</v>
      </c>
      <c r="IB163" t="e">
        <f>AND(Sheet1!B2196,"AAAAAAf/d+s=")</f>
        <v>#VALUE!</v>
      </c>
      <c r="IC163" t="e">
        <f>AND(Sheet1!C2196,"AAAAAAf/d+w=")</f>
        <v>#VALUE!</v>
      </c>
      <c r="ID163" t="e">
        <f>AND(Sheet1!D2196,"AAAAAAf/d+0=")</f>
        <v>#VALUE!</v>
      </c>
      <c r="IE163" t="e">
        <f>AND(Sheet1!E2196,"AAAAAAf/d+4=")</f>
        <v>#VALUE!</v>
      </c>
      <c r="IF163" t="e">
        <f>AND(Sheet1!F2196,"AAAAAAf/d+8=")</f>
        <v>#VALUE!</v>
      </c>
      <c r="IG163" t="e">
        <f>AND(Sheet1!G2196,"AAAAAAf/d/A=")</f>
        <v>#VALUE!</v>
      </c>
      <c r="IH163" t="e">
        <f>AND(Sheet1!H2196,"AAAAAAf/d/E=")</f>
        <v>#VALUE!</v>
      </c>
      <c r="II163" t="e">
        <f>AND(Sheet1!I2196,"AAAAAAf/d/I=")</f>
        <v>#VALUE!</v>
      </c>
      <c r="IJ163" t="e">
        <f>AND(Sheet1!J2196,"AAAAAAf/d/M=")</f>
        <v>#VALUE!</v>
      </c>
      <c r="IK163" t="e">
        <f>AND(Sheet1!K2196,"AAAAAAf/d/Q=")</f>
        <v>#VALUE!</v>
      </c>
      <c r="IL163" t="e">
        <f>AND(Sheet1!L2196,"AAAAAAf/d/U=")</f>
        <v>#VALUE!</v>
      </c>
      <c r="IM163" t="e">
        <f>AND(Sheet1!M2196,"AAAAAAf/d/Y=")</f>
        <v>#VALUE!</v>
      </c>
      <c r="IN163" t="e">
        <f>AND(Sheet1!N2196,"AAAAAAf/d/c=")</f>
        <v>#VALUE!</v>
      </c>
      <c r="IO163" t="e">
        <f>AND(Sheet1!#REF!,"AAAAAAf/d/g=")</f>
        <v>#REF!</v>
      </c>
      <c r="IP163" t="e">
        <f>AND(Sheet1!#REF!,"AAAAAAf/d/k=")</f>
        <v>#REF!</v>
      </c>
      <c r="IQ163" t="e">
        <f>AND(Sheet1!#REF!,"AAAAAAf/d/o=")</f>
        <v>#REF!</v>
      </c>
      <c r="IR163" t="e">
        <f>AND(Sheet1!#REF!,"AAAAAAf/d/s=")</f>
        <v>#REF!</v>
      </c>
      <c r="IS163">
        <f>IF(Sheet1!2197:2197,"AAAAAAf/d/w=",0)</f>
        <v>0</v>
      </c>
      <c r="IT163" t="e">
        <f>AND(Sheet1!A2197,"AAAAAAf/d/0=")</f>
        <v>#VALUE!</v>
      </c>
      <c r="IU163" t="e">
        <f>AND(Sheet1!B2197,"AAAAAAf/d/4=")</f>
        <v>#VALUE!</v>
      </c>
      <c r="IV163" t="e">
        <f>AND(Sheet1!C2197,"AAAAAAf/d/8=")</f>
        <v>#VALUE!</v>
      </c>
    </row>
    <row r="164" spans="1:256" x14ac:dyDescent="0.2">
      <c r="A164" t="e">
        <f>AND(Sheet1!D2197,"AAAAAHcxbwA=")</f>
        <v>#VALUE!</v>
      </c>
      <c r="B164" t="e">
        <f>AND(Sheet1!E2197,"AAAAAHcxbwE=")</f>
        <v>#VALUE!</v>
      </c>
      <c r="C164" t="e">
        <f>AND(Sheet1!F2197,"AAAAAHcxbwI=")</f>
        <v>#VALUE!</v>
      </c>
      <c r="D164" t="e">
        <f>AND(Sheet1!G2197,"AAAAAHcxbwM=")</f>
        <v>#VALUE!</v>
      </c>
      <c r="E164" t="e">
        <f>AND(Sheet1!H2197,"AAAAAHcxbwQ=")</f>
        <v>#VALUE!</v>
      </c>
      <c r="F164" t="e">
        <f>AND(Sheet1!I2197,"AAAAAHcxbwU=")</f>
        <v>#VALUE!</v>
      </c>
      <c r="G164" t="e">
        <f>AND(Sheet1!J2197,"AAAAAHcxbwY=")</f>
        <v>#VALUE!</v>
      </c>
      <c r="H164" t="e">
        <f>AND(Sheet1!K2197,"AAAAAHcxbwc=")</f>
        <v>#VALUE!</v>
      </c>
      <c r="I164" t="e">
        <f>AND(Sheet1!L2197,"AAAAAHcxbwg=")</f>
        <v>#VALUE!</v>
      </c>
      <c r="J164" t="e">
        <f>AND(Sheet1!M2197,"AAAAAHcxbwk=")</f>
        <v>#VALUE!</v>
      </c>
      <c r="K164" t="e">
        <f>AND(Sheet1!N2197,"AAAAAHcxbwo=")</f>
        <v>#VALUE!</v>
      </c>
      <c r="L164" t="e">
        <f>AND(Sheet1!#REF!,"AAAAAHcxbws=")</f>
        <v>#REF!</v>
      </c>
      <c r="M164" t="e">
        <f>AND(Sheet1!#REF!,"AAAAAHcxbww=")</f>
        <v>#REF!</v>
      </c>
      <c r="N164" t="e">
        <f>AND(Sheet1!#REF!,"AAAAAHcxbw0=")</f>
        <v>#REF!</v>
      </c>
      <c r="O164" t="e">
        <f>AND(Sheet1!#REF!,"AAAAAHcxbw4=")</f>
        <v>#REF!</v>
      </c>
      <c r="P164">
        <f>IF(Sheet1!2198:2198,"AAAAAHcxbw8=",0)</f>
        <v>0</v>
      </c>
      <c r="Q164" t="e">
        <f>AND(Sheet1!A2198,"AAAAAHcxbxA=")</f>
        <v>#VALUE!</v>
      </c>
      <c r="R164" t="e">
        <f>AND(Sheet1!B2198,"AAAAAHcxbxE=")</f>
        <v>#VALUE!</v>
      </c>
      <c r="S164" t="e">
        <f>AND(Sheet1!C2198,"AAAAAHcxbxI=")</f>
        <v>#VALUE!</v>
      </c>
      <c r="T164" t="e">
        <f>AND(Sheet1!D2198,"AAAAAHcxbxM=")</f>
        <v>#VALUE!</v>
      </c>
      <c r="U164" t="e">
        <f>AND(Sheet1!E2198,"AAAAAHcxbxQ=")</f>
        <v>#VALUE!</v>
      </c>
      <c r="V164" t="e">
        <f>AND(Sheet1!F2198,"AAAAAHcxbxU=")</f>
        <v>#VALUE!</v>
      </c>
      <c r="W164" t="e">
        <f>AND(Sheet1!G2198,"AAAAAHcxbxY=")</f>
        <v>#VALUE!</v>
      </c>
      <c r="X164" t="e">
        <f>AND(Sheet1!H2198,"AAAAAHcxbxc=")</f>
        <v>#VALUE!</v>
      </c>
      <c r="Y164" t="e">
        <f>AND(Sheet1!I2198,"AAAAAHcxbxg=")</f>
        <v>#VALUE!</v>
      </c>
      <c r="Z164" t="e">
        <f>AND(Sheet1!J2198,"AAAAAHcxbxk=")</f>
        <v>#VALUE!</v>
      </c>
      <c r="AA164" t="e">
        <f>AND(Sheet1!K2198,"AAAAAHcxbxo=")</f>
        <v>#VALUE!</v>
      </c>
      <c r="AB164" t="e">
        <f>AND(Sheet1!L2198,"AAAAAHcxbxs=")</f>
        <v>#VALUE!</v>
      </c>
      <c r="AC164" t="e">
        <f>AND(Sheet1!M2198,"AAAAAHcxbxw=")</f>
        <v>#VALUE!</v>
      </c>
      <c r="AD164" t="e">
        <f>AND(Sheet1!N2198,"AAAAAHcxbx0=")</f>
        <v>#VALUE!</v>
      </c>
      <c r="AE164" t="e">
        <f>AND(Sheet1!#REF!,"AAAAAHcxbx4=")</f>
        <v>#REF!</v>
      </c>
      <c r="AF164" t="e">
        <f>AND(Sheet1!#REF!,"AAAAAHcxbx8=")</f>
        <v>#REF!</v>
      </c>
      <c r="AG164" t="e">
        <f>AND(Sheet1!#REF!,"AAAAAHcxbyA=")</f>
        <v>#REF!</v>
      </c>
      <c r="AH164" t="e">
        <f>AND(Sheet1!#REF!,"AAAAAHcxbyE=")</f>
        <v>#REF!</v>
      </c>
      <c r="AI164">
        <f>IF(Sheet1!2199:2199,"AAAAAHcxbyI=",0)</f>
        <v>0</v>
      </c>
      <c r="AJ164" t="e">
        <f>AND(Sheet1!A2199,"AAAAAHcxbyM=")</f>
        <v>#VALUE!</v>
      </c>
      <c r="AK164" t="e">
        <f>AND(Sheet1!B2199,"AAAAAHcxbyQ=")</f>
        <v>#VALUE!</v>
      </c>
      <c r="AL164" t="e">
        <f>AND(Sheet1!C2199,"AAAAAHcxbyU=")</f>
        <v>#VALUE!</v>
      </c>
      <c r="AM164" t="e">
        <f>AND(Sheet1!D2199,"AAAAAHcxbyY=")</f>
        <v>#VALUE!</v>
      </c>
      <c r="AN164" t="e">
        <f>AND(Sheet1!E2199,"AAAAAHcxbyc=")</f>
        <v>#VALUE!</v>
      </c>
      <c r="AO164" t="e">
        <f>AND(Sheet1!F2199,"AAAAAHcxbyg=")</f>
        <v>#VALUE!</v>
      </c>
      <c r="AP164" t="e">
        <f>AND(Sheet1!G2199,"AAAAAHcxbyk=")</f>
        <v>#VALUE!</v>
      </c>
      <c r="AQ164" t="e">
        <f>AND(Sheet1!H2199,"AAAAAHcxbyo=")</f>
        <v>#VALUE!</v>
      </c>
      <c r="AR164" t="e">
        <f>AND(Sheet1!I2199,"AAAAAHcxbys=")</f>
        <v>#VALUE!</v>
      </c>
      <c r="AS164" t="e">
        <f>AND(Sheet1!J2199,"AAAAAHcxbyw=")</f>
        <v>#VALUE!</v>
      </c>
      <c r="AT164" t="e">
        <f>AND(Sheet1!K2199,"AAAAAHcxby0=")</f>
        <v>#VALUE!</v>
      </c>
      <c r="AU164" t="e">
        <f>AND(Sheet1!L2199,"AAAAAHcxby4=")</f>
        <v>#VALUE!</v>
      </c>
      <c r="AV164" t="e">
        <f>AND(Sheet1!M2199,"AAAAAHcxby8=")</f>
        <v>#VALUE!</v>
      </c>
      <c r="AW164" t="e">
        <f>AND(Sheet1!N2199,"AAAAAHcxbzA=")</f>
        <v>#VALUE!</v>
      </c>
      <c r="AX164" t="e">
        <f>AND(Sheet1!#REF!,"AAAAAHcxbzE=")</f>
        <v>#REF!</v>
      </c>
      <c r="AY164" t="e">
        <f>AND(Sheet1!#REF!,"AAAAAHcxbzI=")</f>
        <v>#REF!</v>
      </c>
      <c r="AZ164" t="e">
        <f>AND(Sheet1!#REF!,"AAAAAHcxbzM=")</f>
        <v>#REF!</v>
      </c>
      <c r="BA164" t="e">
        <f>AND(Sheet1!#REF!,"AAAAAHcxbzQ=")</f>
        <v>#REF!</v>
      </c>
      <c r="BB164">
        <f>IF(Sheet1!2200:2200,"AAAAAHcxbzU=",0)</f>
        <v>0</v>
      </c>
      <c r="BC164" t="e">
        <f>AND(Sheet1!A2200,"AAAAAHcxbzY=")</f>
        <v>#VALUE!</v>
      </c>
      <c r="BD164" t="e">
        <f>AND(Sheet1!B2200,"AAAAAHcxbzc=")</f>
        <v>#VALUE!</v>
      </c>
      <c r="BE164" t="e">
        <f>AND(Sheet1!C2200,"AAAAAHcxbzg=")</f>
        <v>#VALUE!</v>
      </c>
      <c r="BF164" t="e">
        <f>AND(Sheet1!D2200,"AAAAAHcxbzk=")</f>
        <v>#VALUE!</v>
      </c>
      <c r="BG164" t="e">
        <f>AND(Sheet1!E2200,"AAAAAHcxbzo=")</f>
        <v>#VALUE!</v>
      </c>
      <c r="BH164" t="e">
        <f>AND(Sheet1!F2200,"AAAAAHcxbzs=")</f>
        <v>#VALUE!</v>
      </c>
      <c r="BI164" t="e">
        <f>AND(Sheet1!G2200,"AAAAAHcxbzw=")</f>
        <v>#VALUE!</v>
      </c>
      <c r="BJ164" t="e">
        <f>AND(Sheet1!H2200,"AAAAAHcxbz0=")</f>
        <v>#VALUE!</v>
      </c>
      <c r="BK164" t="e">
        <f>AND(Sheet1!I2200,"AAAAAHcxbz4=")</f>
        <v>#VALUE!</v>
      </c>
      <c r="BL164" t="e">
        <f>AND(Sheet1!J2200,"AAAAAHcxbz8=")</f>
        <v>#VALUE!</v>
      </c>
      <c r="BM164" t="e">
        <f>AND(Sheet1!K2200,"AAAAAHcxb0A=")</f>
        <v>#VALUE!</v>
      </c>
      <c r="BN164" t="e">
        <f>AND(Sheet1!L2200,"AAAAAHcxb0E=")</f>
        <v>#VALUE!</v>
      </c>
      <c r="BO164" t="e">
        <f>AND(Sheet1!M2200,"AAAAAHcxb0I=")</f>
        <v>#VALUE!</v>
      </c>
      <c r="BP164" t="e">
        <f>AND(Sheet1!N2200,"AAAAAHcxb0M=")</f>
        <v>#VALUE!</v>
      </c>
      <c r="BQ164" t="e">
        <f>AND(Sheet1!#REF!,"AAAAAHcxb0Q=")</f>
        <v>#REF!</v>
      </c>
      <c r="BR164" t="e">
        <f>AND(Sheet1!#REF!,"AAAAAHcxb0U=")</f>
        <v>#REF!</v>
      </c>
      <c r="BS164" t="e">
        <f>AND(Sheet1!#REF!,"AAAAAHcxb0Y=")</f>
        <v>#REF!</v>
      </c>
      <c r="BT164" t="e">
        <f>AND(Sheet1!#REF!,"AAAAAHcxb0c=")</f>
        <v>#REF!</v>
      </c>
      <c r="BU164">
        <f>IF(Sheet1!2201:2201,"AAAAAHcxb0g=",0)</f>
        <v>0</v>
      </c>
      <c r="BV164" t="e">
        <f>AND(Sheet1!A2201,"AAAAAHcxb0k=")</f>
        <v>#VALUE!</v>
      </c>
      <c r="BW164" t="e">
        <f>AND(Sheet1!B2201,"AAAAAHcxb0o=")</f>
        <v>#VALUE!</v>
      </c>
      <c r="BX164" t="e">
        <f>AND(Sheet1!C2201,"AAAAAHcxb0s=")</f>
        <v>#VALUE!</v>
      </c>
      <c r="BY164" t="e">
        <f>AND(Sheet1!D2201,"AAAAAHcxb0w=")</f>
        <v>#VALUE!</v>
      </c>
      <c r="BZ164" t="e">
        <f>AND(Sheet1!E2201,"AAAAAHcxb00=")</f>
        <v>#VALUE!</v>
      </c>
      <c r="CA164" t="e">
        <f>AND(Sheet1!F2201,"AAAAAHcxb04=")</f>
        <v>#VALUE!</v>
      </c>
      <c r="CB164" t="e">
        <f>AND(Sheet1!G2201,"AAAAAHcxb08=")</f>
        <v>#VALUE!</v>
      </c>
      <c r="CC164" t="e">
        <f>AND(Sheet1!H2201,"AAAAAHcxb1A=")</f>
        <v>#VALUE!</v>
      </c>
      <c r="CD164" t="e">
        <f>AND(Sheet1!I2201,"AAAAAHcxb1E=")</f>
        <v>#VALUE!</v>
      </c>
      <c r="CE164" t="e">
        <f>AND(Sheet1!J2201,"AAAAAHcxb1I=")</f>
        <v>#VALUE!</v>
      </c>
      <c r="CF164" t="e">
        <f>AND(Sheet1!K2201,"AAAAAHcxb1M=")</f>
        <v>#VALUE!</v>
      </c>
      <c r="CG164" t="e">
        <f>AND(Sheet1!L2201,"AAAAAHcxb1Q=")</f>
        <v>#VALUE!</v>
      </c>
      <c r="CH164" t="e">
        <f>AND(Sheet1!M2201,"AAAAAHcxb1U=")</f>
        <v>#VALUE!</v>
      </c>
      <c r="CI164" t="e">
        <f>AND(Sheet1!N2201,"AAAAAHcxb1Y=")</f>
        <v>#VALUE!</v>
      </c>
      <c r="CJ164" t="e">
        <f>AND(Sheet1!#REF!,"AAAAAHcxb1c=")</f>
        <v>#REF!</v>
      </c>
      <c r="CK164" t="e">
        <f>AND(Sheet1!#REF!,"AAAAAHcxb1g=")</f>
        <v>#REF!</v>
      </c>
      <c r="CL164" t="e">
        <f>AND(Sheet1!#REF!,"AAAAAHcxb1k=")</f>
        <v>#REF!</v>
      </c>
      <c r="CM164" t="e">
        <f>AND(Sheet1!#REF!,"AAAAAHcxb1o=")</f>
        <v>#REF!</v>
      </c>
      <c r="CN164">
        <f>IF(Sheet1!2202:2202,"AAAAAHcxb1s=",0)</f>
        <v>0</v>
      </c>
      <c r="CO164" t="e">
        <f>AND(Sheet1!A2202,"AAAAAHcxb1w=")</f>
        <v>#VALUE!</v>
      </c>
      <c r="CP164" t="e">
        <f>AND(Sheet1!B2202,"AAAAAHcxb10=")</f>
        <v>#VALUE!</v>
      </c>
      <c r="CQ164" t="e">
        <f>AND(Sheet1!C2202,"AAAAAHcxb14=")</f>
        <v>#VALUE!</v>
      </c>
      <c r="CR164" t="e">
        <f>AND(Sheet1!D2202,"AAAAAHcxb18=")</f>
        <v>#VALUE!</v>
      </c>
      <c r="CS164" t="e">
        <f>AND(Sheet1!E2202,"AAAAAHcxb2A=")</f>
        <v>#VALUE!</v>
      </c>
      <c r="CT164" t="e">
        <f>AND(Sheet1!F2202,"AAAAAHcxb2E=")</f>
        <v>#VALUE!</v>
      </c>
      <c r="CU164" t="e">
        <f>AND(Sheet1!G2202,"AAAAAHcxb2I=")</f>
        <v>#VALUE!</v>
      </c>
      <c r="CV164" t="e">
        <f>AND(Sheet1!H2202,"AAAAAHcxb2M=")</f>
        <v>#VALUE!</v>
      </c>
      <c r="CW164" t="e">
        <f>AND(Sheet1!I2202,"AAAAAHcxb2Q=")</f>
        <v>#VALUE!</v>
      </c>
      <c r="CX164" t="e">
        <f>AND(Sheet1!J2202,"AAAAAHcxb2U=")</f>
        <v>#VALUE!</v>
      </c>
      <c r="CY164" t="e">
        <f>AND(Sheet1!K2202,"AAAAAHcxb2Y=")</f>
        <v>#VALUE!</v>
      </c>
      <c r="CZ164" t="e">
        <f>AND(Sheet1!L2202,"AAAAAHcxb2c=")</f>
        <v>#VALUE!</v>
      </c>
      <c r="DA164" t="e">
        <f>AND(Sheet1!M2202,"AAAAAHcxb2g=")</f>
        <v>#VALUE!</v>
      </c>
      <c r="DB164" t="e">
        <f>AND(Sheet1!N2202,"AAAAAHcxb2k=")</f>
        <v>#VALUE!</v>
      </c>
      <c r="DC164" t="e">
        <f>AND(Sheet1!#REF!,"AAAAAHcxb2o=")</f>
        <v>#REF!</v>
      </c>
      <c r="DD164" t="e">
        <f>AND(Sheet1!#REF!,"AAAAAHcxb2s=")</f>
        <v>#REF!</v>
      </c>
      <c r="DE164" t="e">
        <f>AND(Sheet1!#REF!,"AAAAAHcxb2w=")</f>
        <v>#REF!</v>
      </c>
      <c r="DF164" t="e">
        <f>AND(Sheet1!#REF!,"AAAAAHcxb20=")</f>
        <v>#REF!</v>
      </c>
      <c r="DG164">
        <f>IF(Sheet1!2203:2203,"AAAAAHcxb24=",0)</f>
        <v>0</v>
      </c>
      <c r="DH164" t="e">
        <f>AND(Sheet1!A2203,"AAAAAHcxb28=")</f>
        <v>#VALUE!</v>
      </c>
      <c r="DI164" t="e">
        <f>AND(Sheet1!B2203,"AAAAAHcxb3A=")</f>
        <v>#VALUE!</v>
      </c>
      <c r="DJ164" t="e">
        <f>AND(Sheet1!C2203,"AAAAAHcxb3E=")</f>
        <v>#VALUE!</v>
      </c>
      <c r="DK164" t="e">
        <f>AND(Sheet1!D2203,"AAAAAHcxb3I=")</f>
        <v>#VALUE!</v>
      </c>
      <c r="DL164" t="e">
        <f>AND(Sheet1!E2203,"AAAAAHcxb3M=")</f>
        <v>#VALUE!</v>
      </c>
      <c r="DM164" t="e">
        <f>AND(Sheet1!F2203,"AAAAAHcxb3Q=")</f>
        <v>#VALUE!</v>
      </c>
      <c r="DN164" t="e">
        <f>AND(Sheet1!G2203,"AAAAAHcxb3U=")</f>
        <v>#VALUE!</v>
      </c>
      <c r="DO164" t="e">
        <f>AND(Sheet1!H2203,"AAAAAHcxb3Y=")</f>
        <v>#VALUE!</v>
      </c>
      <c r="DP164" t="e">
        <f>AND(Sheet1!I2203,"AAAAAHcxb3c=")</f>
        <v>#VALUE!</v>
      </c>
      <c r="DQ164" t="e">
        <f>AND(Sheet1!J2203,"AAAAAHcxb3g=")</f>
        <v>#VALUE!</v>
      </c>
      <c r="DR164" t="e">
        <f>AND(Sheet1!K2203,"AAAAAHcxb3k=")</f>
        <v>#VALUE!</v>
      </c>
      <c r="DS164" t="e">
        <f>AND(Sheet1!L2203,"AAAAAHcxb3o=")</f>
        <v>#VALUE!</v>
      </c>
      <c r="DT164" t="e">
        <f>AND(Sheet1!M2203,"AAAAAHcxb3s=")</f>
        <v>#VALUE!</v>
      </c>
      <c r="DU164" t="e">
        <f>AND(Sheet1!N2203,"AAAAAHcxb3w=")</f>
        <v>#VALUE!</v>
      </c>
      <c r="DV164" t="e">
        <f>AND(Sheet1!#REF!,"AAAAAHcxb30=")</f>
        <v>#REF!</v>
      </c>
      <c r="DW164" t="e">
        <f>AND(Sheet1!#REF!,"AAAAAHcxb34=")</f>
        <v>#REF!</v>
      </c>
      <c r="DX164" t="e">
        <f>AND(Sheet1!#REF!,"AAAAAHcxb38=")</f>
        <v>#REF!</v>
      </c>
      <c r="DY164" t="e">
        <f>AND(Sheet1!#REF!,"AAAAAHcxb4A=")</f>
        <v>#REF!</v>
      </c>
      <c r="DZ164">
        <f>IF(Sheet1!2204:2204,"AAAAAHcxb4E=",0)</f>
        <v>0</v>
      </c>
      <c r="EA164" t="e">
        <f>AND(Sheet1!A2204,"AAAAAHcxb4I=")</f>
        <v>#VALUE!</v>
      </c>
      <c r="EB164" t="e">
        <f>AND(Sheet1!B2204,"AAAAAHcxb4M=")</f>
        <v>#VALUE!</v>
      </c>
      <c r="EC164" t="e">
        <f>AND(Sheet1!C2204,"AAAAAHcxb4Q=")</f>
        <v>#VALUE!</v>
      </c>
      <c r="ED164" t="e">
        <f>AND(Sheet1!D2204,"AAAAAHcxb4U=")</f>
        <v>#VALUE!</v>
      </c>
      <c r="EE164" t="e">
        <f>AND(Sheet1!E2204,"AAAAAHcxb4Y=")</f>
        <v>#VALUE!</v>
      </c>
      <c r="EF164" t="e">
        <f>AND(Sheet1!F2204,"AAAAAHcxb4c=")</f>
        <v>#VALUE!</v>
      </c>
      <c r="EG164" t="e">
        <f>AND(Sheet1!G2204,"AAAAAHcxb4g=")</f>
        <v>#VALUE!</v>
      </c>
      <c r="EH164" t="e">
        <f>AND(Sheet1!H2204,"AAAAAHcxb4k=")</f>
        <v>#VALUE!</v>
      </c>
      <c r="EI164" t="e">
        <f>AND(Sheet1!I2204,"AAAAAHcxb4o=")</f>
        <v>#VALUE!</v>
      </c>
      <c r="EJ164" t="e">
        <f>AND(Sheet1!J2204,"AAAAAHcxb4s=")</f>
        <v>#VALUE!</v>
      </c>
      <c r="EK164" t="e">
        <f>AND(Sheet1!K2204,"AAAAAHcxb4w=")</f>
        <v>#VALUE!</v>
      </c>
      <c r="EL164" t="e">
        <f>AND(Sheet1!L2204,"AAAAAHcxb40=")</f>
        <v>#VALUE!</v>
      </c>
      <c r="EM164" t="e">
        <f>AND(Sheet1!M2204,"AAAAAHcxb44=")</f>
        <v>#VALUE!</v>
      </c>
      <c r="EN164" t="e">
        <f>AND(Sheet1!N2204,"AAAAAHcxb48=")</f>
        <v>#VALUE!</v>
      </c>
      <c r="EO164" t="e">
        <f>AND(Sheet1!#REF!,"AAAAAHcxb5A=")</f>
        <v>#REF!</v>
      </c>
      <c r="EP164" t="e">
        <f>AND(Sheet1!#REF!,"AAAAAHcxb5E=")</f>
        <v>#REF!</v>
      </c>
      <c r="EQ164" t="e">
        <f>AND(Sheet1!#REF!,"AAAAAHcxb5I=")</f>
        <v>#REF!</v>
      </c>
      <c r="ER164" t="e">
        <f>AND(Sheet1!#REF!,"AAAAAHcxb5M=")</f>
        <v>#REF!</v>
      </c>
      <c r="ES164">
        <f>IF(Sheet1!2205:2205,"AAAAAHcxb5Q=",0)</f>
        <v>0</v>
      </c>
      <c r="ET164" t="e">
        <f>AND(Sheet1!A2205,"AAAAAHcxb5U=")</f>
        <v>#VALUE!</v>
      </c>
      <c r="EU164" t="e">
        <f>AND(Sheet1!B2205,"AAAAAHcxb5Y=")</f>
        <v>#VALUE!</v>
      </c>
      <c r="EV164" t="e">
        <f>AND(Sheet1!C2205,"AAAAAHcxb5c=")</f>
        <v>#VALUE!</v>
      </c>
      <c r="EW164" t="e">
        <f>AND(Sheet1!D2205,"AAAAAHcxb5g=")</f>
        <v>#VALUE!</v>
      </c>
      <c r="EX164" t="e">
        <f>AND(Sheet1!E2205,"AAAAAHcxb5k=")</f>
        <v>#VALUE!</v>
      </c>
      <c r="EY164" t="e">
        <f>AND(Sheet1!F2205,"AAAAAHcxb5o=")</f>
        <v>#VALUE!</v>
      </c>
      <c r="EZ164" t="e">
        <f>AND(Sheet1!G2205,"AAAAAHcxb5s=")</f>
        <v>#VALUE!</v>
      </c>
      <c r="FA164" t="e">
        <f>AND(Sheet1!H2205,"AAAAAHcxb5w=")</f>
        <v>#VALUE!</v>
      </c>
      <c r="FB164" t="e">
        <f>AND(Sheet1!I2205,"AAAAAHcxb50=")</f>
        <v>#VALUE!</v>
      </c>
      <c r="FC164" t="e">
        <f>AND(Sheet1!J2205,"AAAAAHcxb54=")</f>
        <v>#VALUE!</v>
      </c>
      <c r="FD164" t="e">
        <f>AND(Sheet1!K2205,"AAAAAHcxb58=")</f>
        <v>#VALUE!</v>
      </c>
      <c r="FE164" t="e">
        <f>AND(Sheet1!L2205,"AAAAAHcxb6A=")</f>
        <v>#VALUE!</v>
      </c>
      <c r="FF164" t="e">
        <f>AND(Sheet1!M2205,"AAAAAHcxb6E=")</f>
        <v>#VALUE!</v>
      </c>
      <c r="FG164" t="e">
        <f>AND(Sheet1!N2205,"AAAAAHcxb6I=")</f>
        <v>#VALUE!</v>
      </c>
      <c r="FH164" t="e">
        <f>AND(Sheet1!#REF!,"AAAAAHcxb6M=")</f>
        <v>#REF!</v>
      </c>
      <c r="FI164" t="e">
        <f>AND(Sheet1!#REF!,"AAAAAHcxb6Q=")</f>
        <v>#REF!</v>
      </c>
      <c r="FJ164" t="e">
        <f>AND(Sheet1!#REF!,"AAAAAHcxb6U=")</f>
        <v>#REF!</v>
      </c>
      <c r="FK164" t="e">
        <f>AND(Sheet1!#REF!,"AAAAAHcxb6Y=")</f>
        <v>#REF!</v>
      </c>
      <c r="FL164">
        <f>IF(Sheet1!2206:2206,"AAAAAHcxb6c=",0)</f>
        <v>0</v>
      </c>
      <c r="FM164" t="e">
        <f>AND(Sheet1!A2206,"AAAAAHcxb6g=")</f>
        <v>#VALUE!</v>
      </c>
      <c r="FN164" t="e">
        <f>AND(Sheet1!B2206,"AAAAAHcxb6k=")</f>
        <v>#VALUE!</v>
      </c>
      <c r="FO164" t="e">
        <f>AND(Sheet1!C2206,"AAAAAHcxb6o=")</f>
        <v>#VALUE!</v>
      </c>
      <c r="FP164" t="e">
        <f>AND(Sheet1!D2206,"AAAAAHcxb6s=")</f>
        <v>#VALUE!</v>
      </c>
      <c r="FQ164" t="e">
        <f>AND(Sheet1!E2206,"AAAAAHcxb6w=")</f>
        <v>#VALUE!</v>
      </c>
      <c r="FR164" t="e">
        <f>AND(Sheet1!F2206,"AAAAAHcxb60=")</f>
        <v>#VALUE!</v>
      </c>
      <c r="FS164" t="e">
        <f>AND(Sheet1!G2206,"AAAAAHcxb64=")</f>
        <v>#VALUE!</v>
      </c>
      <c r="FT164" t="e">
        <f>AND(Sheet1!H2206,"AAAAAHcxb68=")</f>
        <v>#VALUE!</v>
      </c>
      <c r="FU164" t="e">
        <f>AND(Sheet1!I2206,"AAAAAHcxb7A=")</f>
        <v>#VALUE!</v>
      </c>
      <c r="FV164" t="e">
        <f>AND(Sheet1!J2206,"AAAAAHcxb7E=")</f>
        <v>#VALUE!</v>
      </c>
      <c r="FW164" t="e">
        <f>AND(Sheet1!K2206,"AAAAAHcxb7I=")</f>
        <v>#VALUE!</v>
      </c>
      <c r="FX164" t="e">
        <f>AND(Sheet1!L2206,"AAAAAHcxb7M=")</f>
        <v>#VALUE!</v>
      </c>
      <c r="FY164" t="e">
        <f>AND(Sheet1!M2206,"AAAAAHcxb7Q=")</f>
        <v>#VALUE!</v>
      </c>
      <c r="FZ164" t="e">
        <f>AND(Sheet1!N2206,"AAAAAHcxb7U=")</f>
        <v>#VALUE!</v>
      </c>
      <c r="GA164" t="e">
        <f>AND(Sheet1!#REF!,"AAAAAHcxb7Y=")</f>
        <v>#REF!</v>
      </c>
      <c r="GB164" t="e">
        <f>AND(Sheet1!#REF!,"AAAAAHcxb7c=")</f>
        <v>#REF!</v>
      </c>
      <c r="GC164" t="e">
        <f>AND(Sheet1!#REF!,"AAAAAHcxb7g=")</f>
        <v>#REF!</v>
      </c>
      <c r="GD164" t="e">
        <f>AND(Sheet1!#REF!,"AAAAAHcxb7k=")</f>
        <v>#REF!</v>
      </c>
      <c r="GE164">
        <f>IF(Sheet1!2207:2207,"AAAAAHcxb7o=",0)</f>
        <v>0</v>
      </c>
      <c r="GF164" t="e">
        <f>AND(Sheet1!A2207,"AAAAAHcxb7s=")</f>
        <v>#VALUE!</v>
      </c>
      <c r="GG164" t="e">
        <f>AND(Sheet1!B2207,"AAAAAHcxb7w=")</f>
        <v>#VALUE!</v>
      </c>
      <c r="GH164" t="e">
        <f>AND(Sheet1!C2207,"AAAAAHcxb70=")</f>
        <v>#VALUE!</v>
      </c>
      <c r="GI164" t="e">
        <f>AND(Sheet1!D2207,"AAAAAHcxb74=")</f>
        <v>#VALUE!</v>
      </c>
      <c r="GJ164" t="e">
        <f>AND(Sheet1!E2207,"AAAAAHcxb78=")</f>
        <v>#VALUE!</v>
      </c>
      <c r="GK164" t="e">
        <f>AND(Sheet1!F2207,"AAAAAHcxb8A=")</f>
        <v>#VALUE!</v>
      </c>
      <c r="GL164" t="e">
        <f>AND(Sheet1!G2207,"AAAAAHcxb8E=")</f>
        <v>#VALUE!</v>
      </c>
      <c r="GM164" t="e">
        <f>AND(Sheet1!H2207,"AAAAAHcxb8I=")</f>
        <v>#VALUE!</v>
      </c>
      <c r="GN164" t="e">
        <f>AND(Sheet1!I2207,"AAAAAHcxb8M=")</f>
        <v>#VALUE!</v>
      </c>
      <c r="GO164" t="e">
        <f>AND(Sheet1!J2207,"AAAAAHcxb8Q=")</f>
        <v>#VALUE!</v>
      </c>
      <c r="GP164" t="e">
        <f>AND(Sheet1!K2207,"AAAAAHcxb8U=")</f>
        <v>#VALUE!</v>
      </c>
      <c r="GQ164" t="e">
        <f>AND(Sheet1!L2207,"AAAAAHcxb8Y=")</f>
        <v>#VALUE!</v>
      </c>
      <c r="GR164" t="e">
        <f>AND(Sheet1!M2207,"AAAAAHcxb8c=")</f>
        <v>#VALUE!</v>
      </c>
      <c r="GS164" t="e">
        <f>AND(Sheet1!N2207,"AAAAAHcxb8g=")</f>
        <v>#VALUE!</v>
      </c>
      <c r="GT164" t="e">
        <f>AND(Sheet1!#REF!,"AAAAAHcxb8k=")</f>
        <v>#REF!</v>
      </c>
      <c r="GU164" t="e">
        <f>AND(Sheet1!#REF!,"AAAAAHcxb8o=")</f>
        <v>#REF!</v>
      </c>
      <c r="GV164" t="e">
        <f>AND(Sheet1!#REF!,"AAAAAHcxb8s=")</f>
        <v>#REF!</v>
      </c>
      <c r="GW164" t="e">
        <f>AND(Sheet1!#REF!,"AAAAAHcxb8w=")</f>
        <v>#REF!</v>
      </c>
      <c r="GX164">
        <f>IF(Sheet1!2208:2208,"AAAAAHcxb80=",0)</f>
        <v>0</v>
      </c>
      <c r="GY164" t="e">
        <f>AND(Sheet1!A2208,"AAAAAHcxb84=")</f>
        <v>#VALUE!</v>
      </c>
      <c r="GZ164" t="e">
        <f>AND(Sheet1!B2208,"AAAAAHcxb88=")</f>
        <v>#VALUE!</v>
      </c>
      <c r="HA164" t="e">
        <f>AND(Sheet1!C2208,"AAAAAHcxb9A=")</f>
        <v>#VALUE!</v>
      </c>
      <c r="HB164" t="e">
        <f>AND(Sheet1!D2208,"AAAAAHcxb9E=")</f>
        <v>#VALUE!</v>
      </c>
      <c r="HC164" t="e">
        <f>AND(Sheet1!E2208,"AAAAAHcxb9I=")</f>
        <v>#VALUE!</v>
      </c>
      <c r="HD164" t="e">
        <f>AND(Sheet1!F2208,"AAAAAHcxb9M=")</f>
        <v>#VALUE!</v>
      </c>
      <c r="HE164" t="e">
        <f>AND(Sheet1!G2208,"AAAAAHcxb9Q=")</f>
        <v>#VALUE!</v>
      </c>
      <c r="HF164" t="e">
        <f>AND(Sheet1!H2208,"AAAAAHcxb9U=")</f>
        <v>#VALUE!</v>
      </c>
      <c r="HG164" t="e">
        <f>AND(Sheet1!I2208,"AAAAAHcxb9Y=")</f>
        <v>#VALUE!</v>
      </c>
      <c r="HH164" t="e">
        <f>AND(Sheet1!J2208,"AAAAAHcxb9c=")</f>
        <v>#VALUE!</v>
      </c>
      <c r="HI164" t="e">
        <f>AND(Sheet1!K2208,"AAAAAHcxb9g=")</f>
        <v>#VALUE!</v>
      </c>
      <c r="HJ164" t="e">
        <f>AND(Sheet1!L2208,"AAAAAHcxb9k=")</f>
        <v>#VALUE!</v>
      </c>
      <c r="HK164" t="e">
        <f>AND(Sheet1!M2208,"AAAAAHcxb9o=")</f>
        <v>#VALUE!</v>
      </c>
      <c r="HL164" t="e">
        <f>AND(Sheet1!N2208,"AAAAAHcxb9s=")</f>
        <v>#VALUE!</v>
      </c>
      <c r="HM164" t="e">
        <f>AND(Sheet1!#REF!,"AAAAAHcxb9w=")</f>
        <v>#REF!</v>
      </c>
      <c r="HN164" t="e">
        <f>AND(Sheet1!#REF!,"AAAAAHcxb90=")</f>
        <v>#REF!</v>
      </c>
      <c r="HO164" t="e">
        <f>AND(Sheet1!#REF!,"AAAAAHcxb94=")</f>
        <v>#REF!</v>
      </c>
      <c r="HP164" t="e">
        <f>AND(Sheet1!#REF!,"AAAAAHcxb98=")</f>
        <v>#REF!</v>
      </c>
      <c r="HQ164">
        <f>IF(Sheet1!2209:2209,"AAAAAHcxb+A=",0)</f>
        <v>0</v>
      </c>
      <c r="HR164" t="e">
        <f>AND(Sheet1!A2209,"AAAAAHcxb+E=")</f>
        <v>#VALUE!</v>
      </c>
      <c r="HS164" t="e">
        <f>AND(Sheet1!B2209,"AAAAAHcxb+I=")</f>
        <v>#VALUE!</v>
      </c>
      <c r="HT164" t="e">
        <f>AND(Sheet1!C2209,"AAAAAHcxb+M=")</f>
        <v>#VALUE!</v>
      </c>
      <c r="HU164" t="e">
        <f>AND(Sheet1!D2209,"AAAAAHcxb+Q=")</f>
        <v>#VALUE!</v>
      </c>
      <c r="HV164" t="e">
        <f>AND(Sheet1!E2209,"AAAAAHcxb+U=")</f>
        <v>#VALUE!</v>
      </c>
      <c r="HW164" t="e">
        <f>AND(Sheet1!F2209,"AAAAAHcxb+Y=")</f>
        <v>#VALUE!</v>
      </c>
      <c r="HX164" t="e">
        <f>AND(Sheet1!G2209,"AAAAAHcxb+c=")</f>
        <v>#VALUE!</v>
      </c>
      <c r="HY164" t="e">
        <f>AND(Sheet1!H2209,"AAAAAHcxb+g=")</f>
        <v>#VALUE!</v>
      </c>
      <c r="HZ164" t="e">
        <f>AND(Sheet1!I2209,"AAAAAHcxb+k=")</f>
        <v>#VALUE!</v>
      </c>
      <c r="IA164" t="e">
        <f>AND(Sheet1!J2209,"AAAAAHcxb+o=")</f>
        <v>#VALUE!</v>
      </c>
      <c r="IB164" t="e">
        <f>AND(Sheet1!K2209,"AAAAAHcxb+s=")</f>
        <v>#VALUE!</v>
      </c>
      <c r="IC164" t="e">
        <f>AND(Sheet1!L2209,"AAAAAHcxb+w=")</f>
        <v>#VALUE!</v>
      </c>
      <c r="ID164" t="e">
        <f>AND(Sheet1!M2209,"AAAAAHcxb+0=")</f>
        <v>#VALUE!</v>
      </c>
      <c r="IE164" t="e">
        <f>AND(Sheet1!N2209,"AAAAAHcxb+4=")</f>
        <v>#VALUE!</v>
      </c>
      <c r="IF164" t="e">
        <f>AND(Sheet1!#REF!,"AAAAAHcxb+8=")</f>
        <v>#REF!</v>
      </c>
      <c r="IG164" t="e">
        <f>AND(Sheet1!#REF!,"AAAAAHcxb/A=")</f>
        <v>#REF!</v>
      </c>
      <c r="IH164" t="e">
        <f>AND(Sheet1!#REF!,"AAAAAHcxb/E=")</f>
        <v>#REF!</v>
      </c>
      <c r="II164" t="e">
        <f>AND(Sheet1!#REF!,"AAAAAHcxb/I=")</f>
        <v>#REF!</v>
      </c>
      <c r="IJ164">
        <f>IF(Sheet1!2210:2210,"AAAAAHcxb/M=",0)</f>
        <v>0</v>
      </c>
      <c r="IK164" t="e">
        <f>AND(Sheet1!A2210,"AAAAAHcxb/Q=")</f>
        <v>#VALUE!</v>
      </c>
      <c r="IL164" t="e">
        <f>AND(Sheet1!B2210,"AAAAAHcxb/U=")</f>
        <v>#VALUE!</v>
      </c>
      <c r="IM164" t="e">
        <f>AND(Sheet1!C2210,"AAAAAHcxb/Y=")</f>
        <v>#VALUE!</v>
      </c>
      <c r="IN164" t="e">
        <f>AND(Sheet1!D2210,"AAAAAHcxb/c=")</f>
        <v>#VALUE!</v>
      </c>
      <c r="IO164" t="e">
        <f>AND(Sheet1!E2210,"AAAAAHcxb/g=")</f>
        <v>#VALUE!</v>
      </c>
      <c r="IP164" t="e">
        <f>AND(Sheet1!F2210,"AAAAAHcxb/k=")</f>
        <v>#VALUE!</v>
      </c>
      <c r="IQ164" t="e">
        <f>AND(Sheet1!G2210,"AAAAAHcxb/o=")</f>
        <v>#VALUE!</v>
      </c>
      <c r="IR164" t="e">
        <f>AND(Sheet1!H2210,"AAAAAHcxb/s=")</f>
        <v>#VALUE!</v>
      </c>
      <c r="IS164" t="e">
        <f>AND(Sheet1!I2210,"AAAAAHcxb/w=")</f>
        <v>#VALUE!</v>
      </c>
      <c r="IT164" t="e">
        <f>AND(Sheet1!J2210,"AAAAAHcxb/0=")</f>
        <v>#VALUE!</v>
      </c>
      <c r="IU164" t="e">
        <f>AND(Sheet1!K2210,"AAAAAHcxb/4=")</f>
        <v>#VALUE!</v>
      </c>
      <c r="IV164" t="e">
        <f>AND(Sheet1!L2210,"AAAAAHcxb/8=")</f>
        <v>#VALUE!</v>
      </c>
    </row>
    <row r="165" spans="1:256" x14ac:dyDescent="0.2">
      <c r="A165" t="e">
        <f>AND(Sheet1!M2210,"AAAAAF///wA=")</f>
        <v>#VALUE!</v>
      </c>
      <c r="B165" t="e">
        <f>AND(Sheet1!N2210,"AAAAAF///wE=")</f>
        <v>#VALUE!</v>
      </c>
      <c r="C165" t="e">
        <f>AND(Sheet1!#REF!,"AAAAAF///wI=")</f>
        <v>#REF!</v>
      </c>
      <c r="D165" t="e">
        <f>AND(Sheet1!#REF!,"AAAAAF///wM=")</f>
        <v>#REF!</v>
      </c>
      <c r="E165" t="e">
        <f>AND(Sheet1!#REF!,"AAAAAF///wQ=")</f>
        <v>#REF!</v>
      </c>
      <c r="F165" t="e">
        <f>AND(Sheet1!#REF!,"AAAAAF///wU=")</f>
        <v>#REF!</v>
      </c>
      <c r="G165" t="str">
        <f>IF(Sheet1!2211:2211,"AAAAAF///wY=",0)</f>
        <v>AAAAAF///wY=</v>
      </c>
      <c r="H165" t="e">
        <f>AND(Sheet1!A2211,"AAAAAF///wc=")</f>
        <v>#VALUE!</v>
      </c>
      <c r="I165" t="e">
        <f>AND(Sheet1!B2211,"AAAAAF///wg=")</f>
        <v>#VALUE!</v>
      </c>
      <c r="J165" t="e">
        <f>AND(Sheet1!C2211,"AAAAAF///wk=")</f>
        <v>#VALUE!</v>
      </c>
      <c r="K165" t="e">
        <f>AND(Sheet1!D2211,"AAAAAF///wo=")</f>
        <v>#VALUE!</v>
      </c>
      <c r="L165" t="e">
        <f>AND(Sheet1!E2211,"AAAAAF///ws=")</f>
        <v>#VALUE!</v>
      </c>
      <c r="M165" t="e">
        <f>AND(Sheet1!F2211,"AAAAAF///ww=")</f>
        <v>#VALUE!</v>
      </c>
      <c r="N165" t="e">
        <f>AND(Sheet1!G2211,"AAAAAF///w0=")</f>
        <v>#VALUE!</v>
      </c>
      <c r="O165" t="e">
        <f>AND(Sheet1!H2211,"AAAAAF///w4=")</f>
        <v>#VALUE!</v>
      </c>
      <c r="P165" t="e">
        <f>AND(Sheet1!I2211,"AAAAAF///w8=")</f>
        <v>#VALUE!</v>
      </c>
      <c r="Q165" t="e">
        <f>AND(Sheet1!J2211,"AAAAAF///xA=")</f>
        <v>#VALUE!</v>
      </c>
      <c r="R165" t="e">
        <f>AND(Sheet1!K2211,"AAAAAF///xE=")</f>
        <v>#VALUE!</v>
      </c>
      <c r="S165" t="e">
        <f>AND(Sheet1!L2211,"AAAAAF///xI=")</f>
        <v>#VALUE!</v>
      </c>
      <c r="T165" t="e">
        <f>AND(Sheet1!M2211,"AAAAAF///xM=")</f>
        <v>#VALUE!</v>
      </c>
      <c r="U165" t="e">
        <f>AND(Sheet1!N2211,"AAAAAF///xQ=")</f>
        <v>#VALUE!</v>
      </c>
      <c r="V165" t="e">
        <f>AND(Sheet1!#REF!,"AAAAAF///xU=")</f>
        <v>#REF!</v>
      </c>
      <c r="W165" t="e">
        <f>AND(Sheet1!#REF!,"AAAAAF///xY=")</f>
        <v>#REF!</v>
      </c>
      <c r="X165" t="e">
        <f>AND(Sheet1!#REF!,"AAAAAF///xc=")</f>
        <v>#REF!</v>
      </c>
      <c r="Y165" t="e">
        <f>AND(Sheet1!#REF!,"AAAAAF///xg=")</f>
        <v>#REF!</v>
      </c>
      <c r="Z165">
        <f>IF(Sheet1!2212:2212,"AAAAAF///xk=",0)</f>
        <v>0</v>
      </c>
      <c r="AA165" t="e">
        <f>AND(Sheet1!A2212,"AAAAAF///xo=")</f>
        <v>#VALUE!</v>
      </c>
      <c r="AB165" t="e">
        <f>AND(Sheet1!B2212,"AAAAAF///xs=")</f>
        <v>#VALUE!</v>
      </c>
      <c r="AC165" t="e">
        <f>AND(Sheet1!C2212,"AAAAAF///xw=")</f>
        <v>#VALUE!</v>
      </c>
      <c r="AD165" t="e">
        <f>AND(Sheet1!D2212,"AAAAAF///x0=")</f>
        <v>#VALUE!</v>
      </c>
      <c r="AE165" t="e">
        <f>AND(Sheet1!E2212,"AAAAAF///x4=")</f>
        <v>#VALUE!</v>
      </c>
      <c r="AF165" t="e">
        <f>AND(Sheet1!F2212,"AAAAAF///x8=")</f>
        <v>#VALUE!</v>
      </c>
      <c r="AG165" t="e">
        <f>AND(Sheet1!G2212,"AAAAAF///yA=")</f>
        <v>#VALUE!</v>
      </c>
      <c r="AH165" t="e">
        <f>AND(Sheet1!H2212,"AAAAAF///yE=")</f>
        <v>#VALUE!</v>
      </c>
      <c r="AI165" t="e">
        <f>AND(Sheet1!I2212,"AAAAAF///yI=")</f>
        <v>#VALUE!</v>
      </c>
      <c r="AJ165" t="e">
        <f>AND(Sheet1!J2212,"AAAAAF///yM=")</f>
        <v>#VALUE!</v>
      </c>
      <c r="AK165" t="e">
        <f>AND(Sheet1!K2212,"AAAAAF///yQ=")</f>
        <v>#VALUE!</v>
      </c>
      <c r="AL165" t="e">
        <f>AND(Sheet1!L2212,"AAAAAF///yU=")</f>
        <v>#VALUE!</v>
      </c>
      <c r="AM165" t="e">
        <f>AND(Sheet1!M2212,"AAAAAF///yY=")</f>
        <v>#VALUE!</v>
      </c>
      <c r="AN165" t="e">
        <f>AND(Sheet1!N2212,"AAAAAF///yc=")</f>
        <v>#VALUE!</v>
      </c>
      <c r="AO165" t="e">
        <f>AND(Sheet1!#REF!,"AAAAAF///yg=")</f>
        <v>#REF!</v>
      </c>
      <c r="AP165" t="e">
        <f>AND(Sheet1!#REF!,"AAAAAF///yk=")</f>
        <v>#REF!</v>
      </c>
      <c r="AQ165" t="e">
        <f>AND(Sheet1!#REF!,"AAAAAF///yo=")</f>
        <v>#REF!</v>
      </c>
      <c r="AR165" t="e">
        <f>AND(Sheet1!#REF!,"AAAAAF///ys=")</f>
        <v>#REF!</v>
      </c>
      <c r="AS165">
        <f>IF(Sheet1!2213:2213,"AAAAAF///yw=",0)</f>
        <v>0</v>
      </c>
      <c r="AT165" t="e">
        <f>AND(Sheet1!A2213,"AAAAAF///y0=")</f>
        <v>#VALUE!</v>
      </c>
      <c r="AU165" t="e">
        <f>AND(Sheet1!B2213,"AAAAAF///y4=")</f>
        <v>#VALUE!</v>
      </c>
      <c r="AV165" t="e">
        <f>AND(Sheet1!C2213,"AAAAAF///y8=")</f>
        <v>#VALUE!</v>
      </c>
      <c r="AW165" t="e">
        <f>AND(Sheet1!D2213,"AAAAAF///zA=")</f>
        <v>#VALUE!</v>
      </c>
      <c r="AX165" t="e">
        <f>AND(Sheet1!E2213,"AAAAAF///zE=")</f>
        <v>#VALUE!</v>
      </c>
      <c r="AY165" t="e">
        <f>AND(Sheet1!F2213,"AAAAAF///zI=")</f>
        <v>#VALUE!</v>
      </c>
      <c r="AZ165" t="e">
        <f>AND(Sheet1!G2213,"AAAAAF///zM=")</f>
        <v>#VALUE!</v>
      </c>
      <c r="BA165" t="e">
        <f>AND(Sheet1!H2213,"AAAAAF///zQ=")</f>
        <v>#VALUE!</v>
      </c>
      <c r="BB165" t="e">
        <f>AND(Sheet1!I2213,"AAAAAF///zU=")</f>
        <v>#VALUE!</v>
      </c>
      <c r="BC165" t="e">
        <f>AND(Sheet1!J2213,"AAAAAF///zY=")</f>
        <v>#VALUE!</v>
      </c>
      <c r="BD165" t="e">
        <f>AND(Sheet1!K2213,"AAAAAF///zc=")</f>
        <v>#VALUE!</v>
      </c>
      <c r="BE165" t="e">
        <f>AND(Sheet1!L2213,"AAAAAF///zg=")</f>
        <v>#VALUE!</v>
      </c>
      <c r="BF165" t="e">
        <f>AND(Sheet1!M2213,"AAAAAF///zk=")</f>
        <v>#VALUE!</v>
      </c>
      <c r="BG165" t="e">
        <f>AND(Sheet1!N2213,"AAAAAF///zo=")</f>
        <v>#VALUE!</v>
      </c>
      <c r="BH165" t="e">
        <f>AND(Sheet1!#REF!,"AAAAAF///zs=")</f>
        <v>#REF!</v>
      </c>
      <c r="BI165" t="e">
        <f>AND(Sheet1!#REF!,"AAAAAF///zw=")</f>
        <v>#REF!</v>
      </c>
      <c r="BJ165" t="e">
        <f>AND(Sheet1!#REF!,"AAAAAF///z0=")</f>
        <v>#REF!</v>
      </c>
      <c r="BK165" t="e">
        <f>AND(Sheet1!#REF!,"AAAAAF///z4=")</f>
        <v>#REF!</v>
      </c>
      <c r="BL165">
        <f>IF(Sheet1!2214:2214,"AAAAAF///z8=",0)</f>
        <v>0</v>
      </c>
      <c r="BM165" t="e">
        <f>AND(Sheet1!A2214,"AAAAAF///0A=")</f>
        <v>#VALUE!</v>
      </c>
      <c r="BN165" t="e">
        <f>AND(Sheet1!B2214,"AAAAAF///0E=")</f>
        <v>#VALUE!</v>
      </c>
      <c r="BO165" t="e">
        <f>AND(Sheet1!C2214,"AAAAAF///0I=")</f>
        <v>#VALUE!</v>
      </c>
      <c r="BP165" t="e">
        <f>AND(Sheet1!D2214,"AAAAAF///0M=")</f>
        <v>#VALUE!</v>
      </c>
      <c r="BQ165" t="e">
        <f>AND(Sheet1!E2214,"AAAAAF///0Q=")</f>
        <v>#VALUE!</v>
      </c>
      <c r="BR165" t="e">
        <f>AND(Sheet1!F2214,"AAAAAF///0U=")</f>
        <v>#VALUE!</v>
      </c>
      <c r="BS165" t="e">
        <f>AND(Sheet1!G2214,"AAAAAF///0Y=")</f>
        <v>#VALUE!</v>
      </c>
      <c r="BT165" t="e">
        <f>AND(Sheet1!H2214,"AAAAAF///0c=")</f>
        <v>#VALUE!</v>
      </c>
      <c r="BU165" t="e">
        <f>AND(Sheet1!I2214,"AAAAAF///0g=")</f>
        <v>#VALUE!</v>
      </c>
      <c r="BV165" t="e">
        <f>AND(Sheet1!J2214,"AAAAAF///0k=")</f>
        <v>#VALUE!</v>
      </c>
      <c r="BW165" t="e">
        <f>AND(Sheet1!K2214,"AAAAAF///0o=")</f>
        <v>#VALUE!</v>
      </c>
      <c r="BX165" t="e">
        <f>AND(Sheet1!L2214,"AAAAAF///0s=")</f>
        <v>#VALUE!</v>
      </c>
      <c r="BY165" t="e">
        <f>AND(Sheet1!M2214,"AAAAAF///0w=")</f>
        <v>#VALUE!</v>
      </c>
      <c r="BZ165" t="e">
        <f>AND(Sheet1!N2214,"AAAAAF///00=")</f>
        <v>#VALUE!</v>
      </c>
      <c r="CA165" t="e">
        <f>AND(Sheet1!#REF!,"AAAAAF///04=")</f>
        <v>#REF!</v>
      </c>
      <c r="CB165" t="e">
        <f>AND(Sheet1!#REF!,"AAAAAF///08=")</f>
        <v>#REF!</v>
      </c>
      <c r="CC165" t="e">
        <f>AND(Sheet1!#REF!,"AAAAAF///1A=")</f>
        <v>#REF!</v>
      </c>
      <c r="CD165" t="e">
        <f>AND(Sheet1!#REF!,"AAAAAF///1E=")</f>
        <v>#REF!</v>
      </c>
      <c r="CE165">
        <f>IF(Sheet1!2215:2215,"AAAAAF///1I=",0)</f>
        <v>0</v>
      </c>
      <c r="CF165" t="e">
        <f>AND(Sheet1!A2215,"AAAAAF///1M=")</f>
        <v>#VALUE!</v>
      </c>
      <c r="CG165" t="e">
        <f>AND(Sheet1!B2215,"AAAAAF///1Q=")</f>
        <v>#VALUE!</v>
      </c>
      <c r="CH165" t="e">
        <f>AND(Sheet1!C2215,"AAAAAF///1U=")</f>
        <v>#VALUE!</v>
      </c>
      <c r="CI165" t="e">
        <f>AND(Sheet1!D2215,"AAAAAF///1Y=")</f>
        <v>#VALUE!</v>
      </c>
      <c r="CJ165" t="e">
        <f>AND(Sheet1!E2215,"AAAAAF///1c=")</f>
        <v>#VALUE!</v>
      </c>
      <c r="CK165" t="e">
        <f>AND(Sheet1!F2215,"AAAAAF///1g=")</f>
        <v>#VALUE!</v>
      </c>
      <c r="CL165" t="e">
        <f>AND(Sheet1!G2215,"AAAAAF///1k=")</f>
        <v>#VALUE!</v>
      </c>
      <c r="CM165" t="e">
        <f>AND(Sheet1!H2215,"AAAAAF///1o=")</f>
        <v>#VALUE!</v>
      </c>
      <c r="CN165" t="e">
        <f>AND(Sheet1!I2215,"AAAAAF///1s=")</f>
        <v>#VALUE!</v>
      </c>
      <c r="CO165" t="e">
        <f>AND(Sheet1!J2215,"AAAAAF///1w=")</f>
        <v>#VALUE!</v>
      </c>
      <c r="CP165" t="e">
        <f>AND(Sheet1!K2215,"AAAAAF///10=")</f>
        <v>#VALUE!</v>
      </c>
      <c r="CQ165" t="e">
        <f>AND(Sheet1!L2215,"AAAAAF///14=")</f>
        <v>#VALUE!</v>
      </c>
      <c r="CR165" t="e">
        <f>AND(Sheet1!M2215,"AAAAAF///18=")</f>
        <v>#VALUE!</v>
      </c>
      <c r="CS165" t="e">
        <f>AND(Sheet1!N2215,"AAAAAF///2A=")</f>
        <v>#VALUE!</v>
      </c>
      <c r="CT165" t="e">
        <f>AND(Sheet1!#REF!,"AAAAAF///2E=")</f>
        <v>#REF!</v>
      </c>
      <c r="CU165" t="e">
        <f>AND(Sheet1!#REF!,"AAAAAF///2I=")</f>
        <v>#REF!</v>
      </c>
      <c r="CV165" t="e">
        <f>AND(Sheet1!#REF!,"AAAAAF///2M=")</f>
        <v>#REF!</v>
      </c>
      <c r="CW165" t="e">
        <f>AND(Sheet1!#REF!,"AAAAAF///2Q=")</f>
        <v>#REF!</v>
      </c>
      <c r="CX165">
        <f>IF(Sheet1!2216:2216,"AAAAAF///2U=",0)</f>
        <v>0</v>
      </c>
      <c r="CY165" t="e">
        <f>AND(Sheet1!A2216,"AAAAAF///2Y=")</f>
        <v>#VALUE!</v>
      </c>
      <c r="CZ165" t="e">
        <f>AND(Sheet1!B2216,"AAAAAF///2c=")</f>
        <v>#VALUE!</v>
      </c>
      <c r="DA165" t="e">
        <f>AND(Sheet1!C2216,"AAAAAF///2g=")</f>
        <v>#VALUE!</v>
      </c>
      <c r="DB165" t="e">
        <f>AND(Sheet1!D2216,"AAAAAF///2k=")</f>
        <v>#VALUE!</v>
      </c>
      <c r="DC165" t="e">
        <f>AND(Sheet1!E2216,"AAAAAF///2o=")</f>
        <v>#VALUE!</v>
      </c>
      <c r="DD165" t="e">
        <f>AND(Sheet1!F2216,"AAAAAF///2s=")</f>
        <v>#VALUE!</v>
      </c>
      <c r="DE165" t="e">
        <f>AND(Sheet1!G2216,"AAAAAF///2w=")</f>
        <v>#VALUE!</v>
      </c>
      <c r="DF165" t="e">
        <f>AND(Sheet1!H2216,"AAAAAF///20=")</f>
        <v>#VALUE!</v>
      </c>
      <c r="DG165" t="e">
        <f>AND(Sheet1!I2216,"AAAAAF///24=")</f>
        <v>#VALUE!</v>
      </c>
      <c r="DH165" t="e">
        <f>AND(Sheet1!J2216,"AAAAAF///28=")</f>
        <v>#VALUE!</v>
      </c>
      <c r="DI165" t="e">
        <f>AND(Sheet1!K2216,"AAAAAF///3A=")</f>
        <v>#VALUE!</v>
      </c>
      <c r="DJ165" t="e">
        <f>AND(Sheet1!L2216,"AAAAAF///3E=")</f>
        <v>#VALUE!</v>
      </c>
      <c r="DK165" t="e">
        <f>AND(Sheet1!M2216,"AAAAAF///3I=")</f>
        <v>#VALUE!</v>
      </c>
      <c r="DL165" t="e">
        <f>AND(Sheet1!N2216,"AAAAAF///3M=")</f>
        <v>#VALUE!</v>
      </c>
      <c r="DM165" t="e">
        <f>AND(Sheet1!#REF!,"AAAAAF///3Q=")</f>
        <v>#REF!</v>
      </c>
      <c r="DN165" t="e">
        <f>AND(Sheet1!#REF!,"AAAAAF///3U=")</f>
        <v>#REF!</v>
      </c>
      <c r="DO165" t="e">
        <f>AND(Sheet1!#REF!,"AAAAAF///3Y=")</f>
        <v>#REF!</v>
      </c>
      <c r="DP165" t="e">
        <f>AND(Sheet1!#REF!,"AAAAAF///3c=")</f>
        <v>#REF!</v>
      </c>
      <c r="DQ165">
        <f>IF(Sheet1!2217:2217,"AAAAAF///3g=",0)</f>
        <v>0</v>
      </c>
      <c r="DR165" t="e">
        <f>AND(Sheet1!A2217,"AAAAAF///3k=")</f>
        <v>#VALUE!</v>
      </c>
      <c r="DS165" t="e">
        <f>AND(Sheet1!B2217,"AAAAAF///3o=")</f>
        <v>#VALUE!</v>
      </c>
      <c r="DT165" t="e">
        <f>AND(Sheet1!C2217,"AAAAAF///3s=")</f>
        <v>#VALUE!</v>
      </c>
      <c r="DU165" t="e">
        <f>AND(Sheet1!D2217,"AAAAAF///3w=")</f>
        <v>#VALUE!</v>
      </c>
      <c r="DV165" t="e">
        <f>AND(Sheet1!E2217,"AAAAAF///30=")</f>
        <v>#VALUE!</v>
      </c>
      <c r="DW165" t="e">
        <f>AND(Sheet1!F2217,"AAAAAF///34=")</f>
        <v>#VALUE!</v>
      </c>
      <c r="DX165" t="e">
        <f>AND(Sheet1!G2217,"AAAAAF///38=")</f>
        <v>#VALUE!</v>
      </c>
      <c r="DY165" t="e">
        <f>AND(Sheet1!H2217,"AAAAAF///4A=")</f>
        <v>#VALUE!</v>
      </c>
      <c r="DZ165" t="e">
        <f>AND(Sheet1!I2217,"AAAAAF///4E=")</f>
        <v>#VALUE!</v>
      </c>
      <c r="EA165" t="e">
        <f>AND(Sheet1!J2217,"AAAAAF///4I=")</f>
        <v>#VALUE!</v>
      </c>
      <c r="EB165" t="e">
        <f>AND(Sheet1!K2217,"AAAAAF///4M=")</f>
        <v>#VALUE!</v>
      </c>
      <c r="EC165" t="e">
        <f>AND(Sheet1!L2217,"AAAAAF///4Q=")</f>
        <v>#VALUE!</v>
      </c>
      <c r="ED165" t="e">
        <f>AND(Sheet1!M2217,"AAAAAF///4U=")</f>
        <v>#VALUE!</v>
      </c>
      <c r="EE165" t="e">
        <f>AND(Sheet1!N2217,"AAAAAF///4Y=")</f>
        <v>#VALUE!</v>
      </c>
      <c r="EF165" t="e">
        <f>AND(Sheet1!#REF!,"AAAAAF///4c=")</f>
        <v>#REF!</v>
      </c>
      <c r="EG165" t="e">
        <f>AND(Sheet1!#REF!,"AAAAAF///4g=")</f>
        <v>#REF!</v>
      </c>
      <c r="EH165" t="e">
        <f>AND(Sheet1!#REF!,"AAAAAF///4k=")</f>
        <v>#REF!</v>
      </c>
      <c r="EI165" t="e">
        <f>AND(Sheet1!#REF!,"AAAAAF///4o=")</f>
        <v>#REF!</v>
      </c>
      <c r="EJ165">
        <f>IF(Sheet1!2218:2218,"AAAAAF///4s=",0)</f>
        <v>0</v>
      </c>
      <c r="EK165" t="e">
        <f>AND(Sheet1!A2218,"AAAAAF///4w=")</f>
        <v>#VALUE!</v>
      </c>
      <c r="EL165" t="e">
        <f>AND(Sheet1!B2218,"AAAAAF///40=")</f>
        <v>#VALUE!</v>
      </c>
      <c r="EM165" t="e">
        <f>AND(Sheet1!C2218,"AAAAAF///44=")</f>
        <v>#VALUE!</v>
      </c>
      <c r="EN165" t="e">
        <f>AND(Sheet1!D2218,"AAAAAF///48=")</f>
        <v>#VALUE!</v>
      </c>
      <c r="EO165" t="e">
        <f>AND(Sheet1!E2218,"AAAAAF///5A=")</f>
        <v>#VALUE!</v>
      </c>
      <c r="EP165" t="e">
        <f>AND(Sheet1!F2218,"AAAAAF///5E=")</f>
        <v>#VALUE!</v>
      </c>
      <c r="EQ165" t="e">
        <f>AND(Sheet1!G2218,"AAAAAF///5I=")</f>
        <v>#VALUE!</v>
      </c>
      <c r="ER165" t="e">
        <f>AND(Sheet1!H2218,"AAAAAF///5M=")</f>
        <v>#VALUE!</v>
      </c>
      <c r="ES165" t="e">
        <f>AND(Sheet1!I2218,"AAAAAF///5Q=")</f>
        <v>#VALUE!</v>
      </c>
      <c r="ET165" t="e">
        <f>AND(Sheet1!J2218,"AAAAAF///5U=")</f>
        <v>#VALUE!</v>
      </c>
      <c r="EU165" t="e">
        <f>AND(Sheet1!K2218,"AAAAAF///5Y=")</f>
        <v>#VALUE!</v>
      </c>
      <c r="EV165" t="e">
        <f>AND(Sheet1!L2218,"AAAAAF///5c=")</f>
        <v>#VALUE!</v>
      </c>
      <c r="EW165" t="e">
        <f>AND(Sheet1!M2218,"AAAAAF///5g=")</f>
        <v>#VALUE!</v>
      </c>
      <c r="EX165" t="e">
        <f>AND(Sheet1!N2218,"AAAAAF///5k=")</f>
        <v>#VALUE!</v>
      </c>
      <c r="EY165" t="e">
        <f>AND(Sheet1!#REF!,"AAAAAF///5o=")</f>
        <v>#REF!</v>
      </c>
      <c r="EZ165" t="e">
        <f>AND(Sheet1!#REF!,"AAAAAF///5s=")</f>
        <v>#REF!</v>
      </c>
      <c r="FA165" t="e">
        <f>AND(Sheet1!#REF!,"AAAAAF///5w=")</f>
        <v>#REF!</v>
      </c>
      <c r="FB165" t="e">
        <f>AND(Sheet1!#REF!,"AAAAAF///50=")</f>
        <v>#REF!</v>
      </c>
      <c r="FC165">
        <f>IF(Sheet1!2219:2219,"AAAAAF///54=",0)</f>
        <v>0</v>
      </c>
      <c r="FD165" t="e">
        <f>AND(Sheet1!A2219,"AAAAAF///58=")</f>
        <v>#VALUE!</v>
      </c>
      <c r="FE165" t="e">
        <f>AND(Sheet1!B2219,"AAAAAF///6A=")</f>
        <v>#VALUE!</v>
      </c>
      <c r="FF165" t="e">
        <f>AND(Sheet1!C2219,"AAAAAF///6E=")</f>
        <v>#VALUE!</v>
      </c>
      <c r="FG165" t="e">
        <f>AND(Sheet1!D2219,"AAAAAF///6I=")</f>
        <v>#VALUE!</v>
      </c>
      <c r="FH165" t="e">
        <f>AND(Sheet1!E2219,"AAAAAF///6M=")</f>
        <v>#VALUE!</v>
      </c>
      <c r="FI165" t="e">
        <f>AND(Sheet1!F2219,"AAAAAF///6Q=")</f>
        <v>#VALUE!</v>
      </c>
      <c r="FJ165" t="e">
        <f>AND(Sheet1!G2219,"AAAAAF///6U=")</f>
        <v>#VALUE!</v>
      </c>
      <c r="FK165" t="e">
        <f>AND(Sheet1!H2219,"AAAAAF///6Y=")</f>
        <v>#VALUE!</v>
      </c>
      <c r="FL165" t="e">
        <f>AND(Sheet1!I2219,"AAAAAF///6c=")</f>
        <v>#VALUE!</v>
      </c>
      <c r="FM165" t="e">
        <f>AND(Sheet1!J2219,"AAAAAF///6g=")</f>
        <v>#VALUE!</v>
      </c>
      <c r="FN165" t="e">
        <f>AND(Sheet1!K2219,"AAAAAF///6k=")</f>
        <v>#VALUE!</v>
      </c>
      <c r="FO165" t="e">
        <f>AND(Sheet1!L2219,"AAAAAF///6o=")</f>
        <v>#VALUE!</v>
      </c>
      <c r="FP165" t="e">
        <f>AND(Sheet1!M2219,"AAAAAF///6s=")</f>
        <v>#VALUE!</v>
      </c>
      <c r="FQ165" t="e">
        <f>AND(Sheet1!N2219,"AAAAAF///6w=")</f>
        <v>#VALUE!</v>
      </c>
      <c r="FR165" t="e">
        <f>AND(Sheet1!#REF!,"AAAAAF///60=")</f>
        <v>#REF!</v>
      </c>
      <c r="FS165" t="e">
        <f>AND(Sheet1!#REF!,"AAAAAF///64=")</f>
        <v>#REF!</v>
      </c>
      <c r="FT165" t="e">
        <f>AND(Sheet1!#REF!,"AAAAAF///68=")</f>
        <v>#REF!</v>
      </c>
      <c r="FU165" t="e">
        <f>AND(Sheet1!#REF!,"AAAAAF///7A=")</f>
        <v>#REF!</v>
      </c>
      <c r="FV165">
        <f>IF(Sheet1!2220:2220,"AAAAAF///7E=",0)</f>
        <v>0</v>
      </c>
      <c r="FW165" t="e">
        <f>AND(Sheet1!A2220,"AAAAAF///7I=")</f>
        <v>#VALUE!</v>
      </c>
      <c r="FX165" t="e">
        <f>AND(Sheet1!B2220,"AAAAAF///7M=")</f>
        <v>#VALUE!</v>
      </c>
      <c r="FY165" t="e">
        <f>AND(Sheet1!C2220,"AAAAAF///7Q=")</f>
        <v>#VALUE!</v>
      </c>
      <c r="FZ165" t="e">
        <f>AND(Sheet1!D2220,"AAAAAF///7U=")</f>
        <v>#VALUE!</v>
      </c>
      <c r="GA165" t="e">
        <f>AND(Sheet1!E2220,"AAAAAF///7Y=")</f>
        <v>#VALUE!</v>
      </c>
      <c r="GB165" t="e">
        <f>AND(Sheet1!F2220,"AAAAAF///7c=")</f>
        <v>#VALUE!</v>
      </c>
      <c r="GC165" t="e">
        <f>AND(Sheet1!G2220,"AAAAAF///7g=")</f>
        <v>#VALUE!</v>
      </c>
      <c r="GD165" t="e">
        <f>AND(Sheet1!H2220,"AAAAAF///7k=")</f>
        <v>#VALUE!</v>
      </c>
      <c r="GE165" t="e">
        <f>AND(Sheet1!I2220,"AAAAAF///7o=")</f>
        <v>#VALUE!</v>
      </c>
      <c r="GF165" t="e">
        <f>AND(Sheet1!J2220,"AAAAAF///7s=")</f>
        <v>#VALUE!</v>
      </c>
      <c r="GG165" t="e">
        <f>AND(Sheet1!K2220,"AAAAAF///7w=")</f>
        <v>#VALUE!</v>
      </c>
      <c r="GH165" t="e">
        <f>AND(Sheet1!L2220,"AAAAAF///70=")</f>
        <v>#VALUE!</v>
      </c>
      <c r="GI165" t="e">
        <f>AND(Sheet1!M2220,"AAAAAF///74=")</f>
        <v>#VALUE!</v>
      </c>
      <c r="GJ165" t="e">
        <f>AND(Sheet1!N2220,"AAAAAF///78=")</f>
        <v>#VALUE!</v>
      </c>
      <c r="GK165" t="e">
        <f>AND(Sheet1!#REF!,"AAAAAF///8A=")</f>
        <v>#REF!</v>
      </c>
      <c r="GL165" t="e">
        <f>AND(Sheet1!#REF!,"AAAAAF///8E=")</f>
        <v>#REF!</v>
      </c>
      <c r="GM165" t="e">
        <f>AND(Sheet1!#REF!,"AAAAAF///8I=")</f>
        <v>#REF!</v>
      </c>
      <c r="GN165" t="e">
        <f>AND(Sheet1!#REF!,"AAAAAF///8M=")</f>
        <v>#REF!</v>
      </c>
      <c r="GO165">
        <f>IF(Sheet1!2221:2221,"AAAAAF///8Q=",0)</f>
        <v>0</v>
      </c>
      <c r="GP165" t="e">
        <f>AND(Sheet1!A2221,"AAAAAF///8U=")</f>
        <v>#VALUE!</v>
      </c>
      <c r="GQ165" t="e">
        <f>AND(Sheet1!B2221,"AAAAAF///8Y=")</f>
        <v>#VALUE!</v>
      </c>
      <c r="GR165" t="e">
        <f>AND(Sheet1!C2221,"AAAAAF///8c=")</f>
        <v>#VALUE!</v>
      </c>
      <c r="GS165" t="e">
        <f>AND(Sheet1!D2221,"AAAAAF///8g=")</f>
        <v>#VALUE!</v>
      </c>
      <c r="GT165" t="e">
        <f>AND(Sheet1!E2221,"AAAAAF///8k=")</f>
        <v>#VALUE!</v>
      </c>
      <c r="GU165" t="e">
        <f>AND(Sheet1!F2221,"AAAAAF///8o=")</f>
        <v>#VALUE!</v>
      </c>
      <c r="GV165" t="e">
        <f>AND(Sheet1!G2221,"AAAAAF///8s=")</f>
        <v>#VALUE!</v>
      </c>
      <c r="GW165" t="e">
        <f>AND(Sheet1!H2221,"AAAAAF///8w=")</f>
        <v>#VALUE!</v>
      </c>
      <c r="GX165" t="e">
        <f>AND(Sheet1!I2221,"AAAAAF///80=")</f>
        <v>#VALUE!</v>
      </c>
      <c r="GY165" t="e">
        <f>AND(Sheet1!J2221,"AAAAAF///84=")</f>
        <v>#VALUE!</v>
      </c>
      <c r="GZ165" t="e">
        <f>AND(Sheet1!K2221,"AAAAAF///88=")</f>
        <v>#VALUE!</v>
      </c>
      <c r="HA165" t="e">
        <f>AND(Sheet1!L2221,"AAAAAF///9A=")</f>
        <v>#VALUE!</v>
      </c>
      <c r="HB165" t="e">
        <f>AND(Sheet1!M2221,"AAAAAF///9E=")</f>
        <v>#VALUE!</v>
      </c>
      <c r="HC165" t="e">
        <f>AND(Sheet1!N2221,"AAAAAF///9I=")</f>
        <v>#VALUE!</v>
      </c>
      <c r="HD165" t="e">
        <f>AND(Sheet1!#REF!,"AAAAAF///9M=")</f>
        <v>#REF!</v>
      </c>
      <c r="HE165" t="e">
        <f>AND(Sheet1!#REF!,"AAAAAF///9Q=")</f>
        <v>#REF!</v>
      </c>
      <c r="HF165" t="e">
        <f>AND(Sheet1!#REF!,"AAAAAF///9U=")</f>
        <v>#REF!</v>
      </c>
      <c r="HG165" t="e">
        <f>AND(Sheet1!#REF!,"AAAAAF///9Y=")</f>
        <v>#REF!</v>
      </c>
      <c r="HH165">
        <f>IF(Sheet1!2222:2222,"AAAAAF///9c=",0)</f>
        <v>0</v>
      </c>
      <c r="HI165" t="e">
        <f>AND(Sheet1!A2222,"AAAAAF///9g=")</f>
        <v>#VALUE!</v>
      </c>
      <c r="HJ165" t="e">
        <f>AND(Sheet1!B2222,"AAAAAF///9k=")</f>
        <v>#VALUE!</v>
      </c>
      <c r="HK165" t="e">
        <f>AND(Sheet1!C2222,"AAAAAF///9o=")</f>
        <v>#VALUE!</v>
      </c>
      <c r="HL165" t="e">
        <f>AND(Sheet1!D2222,"AAAAAF///9s=")</f>
        <v>#VALUE!</v>
      </c>
      <c r="HM165" t="e">
        <f>AND(Sheet1!E2222,"AAAAAF///9w=")</f>
        <v>#VALUE!</v>
      </c>
      <c r="HN165" t="e">
        <f>AND(Sheet1!F2222,"AAAAAF///90=")</f>
        <v>#VALUE!</v>
      </c>
      <c r="HO165" t="e">
        <f>AND(Sheet1!G2222,"AAAAAF///94=")</f>
        <v>#VALUE!</v>
      </c>
      <c r="HP165" t="e">
        <f>AND(Sheet1!H2222,"AAAAAF///98=")</f>
        <v>#VALUE!</v>
      </c>
      <c r="HQ165" t="e">
        <f>AND(Sheet1!I2222,"AAAAAF///+A=")</f>
        <v>#VALUE!</v>
      </c>
      <c r="HR165" t="e">
        <f>AND(Sheet1!J2222,"AAAAAF///+E=")</f>
        <v>#VALUE!</v>
      </c>
      <c r="HS165" t="e">
        <f>AND(Sheet1!K2222,"AAAAAF///+I=")</f>
        <v>#VALUE!</v>
      </c>
      <c r="HT165" t="e">
        <f>AND(Sheet1!L2222,"AAAAAF///+M=")</f>
        <v>#VALUE!</v>
      </c>
      <c r="HU165" t="e">
        <f>AND(Sheet1!M2222,"AAAAAF///+Q=")</f>
        <v>#VALUE!</v>
      </c>
      <c r="HV165" t="e">
        <f>AND(Sheet1!N2222,"AAAAAF///+U=")</f>
        <v>#VALUE!</v>
      </c>
      <c r="HW165" t="e">
        <f>AND(Sheet1!#REF!,"AAAAAF///+Y=")</f>
        <v>#REF!</v>
      </c>
      <c r="HX165" t="e">
        <f>AND(Sheet1!#REF!,"AAAAAF///+c=")</f>
        <v>#REF!</v>
      </c>
      <c r="HY165" t="e">
        <f>AND(Sheet1!#REF!,"AAAAAF///+g=")</f>
        <v>#REF!</v>
      </c>
      <c r="HZ165" t="e">
        <f>AND(Sheet1!#REF!,"AAAAAF///+k=")</f>
        <v>#REF!</v>
      </c>
      <c r="IA165">
        <f>IF(Sheet1!2223:2223,"AAAAAF///+o=",0)</f>
        <v>0</v>
      </c>
      <c r="IB165" t="e">
        <f>AND(Sheet1!A2223,"AAAAAF///+s=")</f>
        <v>#VALUE!</v>
      </c>
      <c r="IC165" t="e">
        <f>AND(Sheet1!B2223,"AAAAAF///+w=")</f>
        <v>#VALUE!</v>
      </c>
      <c r="ID165" t="e">
        <f>AND(Sheet1!C2223,"AAAAAF///+0=")</f>
        <v>#VALUE!</v>
      </c>
      <c r="IE165" t="e">
        <f>AND(Sheet1!D2223,"AAAAAF///+4=")</f>
        <v>#VALUE!</v>
      </c>
      <c r="IF165" t="e">
        <f>AND(Sheet1!E2223,"AAAAAF///+8=")</f>
        <v>#VALUE!</v>
      </c>
      <c r="IG165" t="e">
        <f>AND(Sheet1!F2223,"AAAAAF////A=")</f>
        <v>#VALUE!</v>
      </c>
      <c r="IH165" t="e">
        <f>AND(Sheet1!G2223,"AAAAAF////E=")</f>
        <v>#VALUE!</v>
      </c>
      <c r="II165" t="e">
        <f>AND(Sheet1!H2223,"AAAAAF////I=")</f>
        <v>#VALUE!</v>
      </c>
      <c r="IJ165" t="e">
        <f>AND(Sheet1!I2223,"AAAAAF////M=")</f>
        <v>#VALUE!</v>
      </c>
      <c r="IK165" t="e">
        <f>AND(Sheet1!J2223,"AAAAAF////Q=")</f>
        <v>#VALUE!</v>
      </c>
      <c r="IL165" t="e">
        <f>AND(Sheet1!K2223,"AAAAAF////U=")</f>
        <v>#VALUE!</v>
      </c>
      <c r="IM165" t="e">
        <f>AND(Sheet1!L2223,"AAAAAF////Y=")</f>
        <v>#VALUE!</v>
      </c>
      <c r="IN165" t="e">
        <f>AND(Sheet1!M2223,"AAAAAF////c=")</f>
        <v>#VALUE!</v>
      </c>
      <c r="IO165" t="e">
        <f>AND(Sheet1!N2223,"AAAAAF////g=")</f>
        <v>#VALUE!</v>
      </c>
      <c r="IP165" t="e">
        <f>AND(Sheet1!#REF!,"AAAAAF////k=")</f>
        <v>#REF!</v>
      </c>
      <c r="IQ165" t="e">
        <f>AND(Sheet1!#REF!,"AAAAAF////o=")</f>
        <v>#REF!</v>
      </c>
      <c r="IR165" t="e">
        <f>AND(Sheet1!#REF!,"AAAAAF////s=")</f>
        <v>#REF!</v>
      </c>
      <c r="IS165" t="e">
        <f>AND(Sheet1!#REF!,"AAAAAF////w=")</f>
        <v>#REF!</v>
      </c>
      <c r="IT165">
        <f>IF(Sheet1!2224:2224,"AAAAAF////0=",0)</f>
        <v>0</v>
      </c>
      <c r="IU165" t="e">
        <f>AND(Sheet1!A2224,"AAAAAF////4=")</f>
        <v>#VALUE!</v>
      </c>
      <c r="IV165" t="e">
        <f>AND(Sheet1!B2224,"AAAAAF////8=")</f>
        <v>#VALUE!</v>
      </c>
    </row>
    <row r="166" spans="1:256" x14ac:dyDescent="0.2">
      <c r="A166" t="e">
        <f>AND(Sheet1!C2224,"AAAAABfzvAA=")</f>
        <v>#VALUE!</v>
      </c>
      <c r="B166" t="e">
        <f>AND(Sheet1!D2224,"AAAAABfzvAE=")</f>
        <v>#VALUE!</v>
      </c>
      <c r="C166" t="e">
        <f>AND(Sheet1!E2224,"AAAAABfzvAI=")</f>
        <v>#VALUE!</v>
      </c>
      <c r="D166" t="e">
        <f>AND(Sheet1!F2224,"AAAAABfzvAM=")</f>
        <v>#VALUE!</v>
      </c>
      <c r="E166" t="e">
        <f>AND(Sheet1!G2224,"AAAAABfzvAQ=")</f>
        <v>#VALUE!</v>
      </c>
      <c r="F166" t="e">
        <f>AND(Sheet1!H2224,"AAAAABfzvAU=")</f>
        <v>#VALUE!</v>
      </c>
      <c r="G166" t="e">
        <f>AND(Sheet1!I2224,"AAAAABfzvAY=")</f>
        <v>#VALUE!</v>
      </c>
      <c r="H166" t="e">
        <f>AND(Sheet1!J2224,"AAAAABfzvAc=")</f>
        <v>#VALUE!</v>
      </c>
      <c r="I166" t="e">
        <f>AND(Sheet1!K2224,"AAAAABfzvAg=")</f>
        <v>#VALUE!</v>
      </c>
      <c r="J166" t="e">
        <f>AND(Sheet1!L2224,"AAAAABfzvAk=")</f>
        <v>#VALUE!</v>
      </c>
      <c r="K166" t="e">
        <f>AND(Sheet1!M2224,"AAAAABfzvAo=")</f>
        <v>#VALUE!</v>
      </c>
      <c r="L166" t="e">
        <f>AND(Sheet1!N2224,"AAAAABfzvAs=")</f>
        <v>#VALUE!</v>
      </c>
      <c r="M166" t="e">
        <f>AND(Sheet1!#REF!,"AAAAABfzvAw=")</f>
        <v>#REF!</v>
      </c>
      <c r="N166" t="e">
        <f>AND(Sheet1!#REF!,"AAAAABfzvA0=")</f>
        <v>#REF!</v>
      </c>
      <c r="O166" t="e">
        <f>AND(Sheet1!#REF!,"AAAAABfzvA4=")</f>
        <v>#REF!</v>
      </c>
      <c r="P166" t="e">
        <f>AND(Sheet1!#REF!,"AAAAABfzvA8=")</f>
        <v>#REF!</v>
      </c>
      <c r="Q166">
        <f>IF(Sheet1!2225:2225,"AAAAABfzvBA=",0)</f>
        <v>0</v>
      </c>
      <c r="R166" t="e">
        <f>AND(Sheet1!A2225,"AAAAABfzvBE=")</f>
        <v>#VALUE!</v>
      </c>
      <c r="S166" t="e">
        <f>AND(Sheet1!B2225,"AAAAABfzvBI=")</f>
        <v>#VALUE!</v>
      </c>
      <c r="T166" t="e">
        <f>AND(Sheet1!C2225,"AAAAABfzvBM=")</f>
        <v>#VALUE!</v>
      </c>
      <c r="U166" t="e">
        <f>AND(Sheet1!D2225,"AAAAABfzvBQ=")</f>
        <v>#VALUE!</v>
      </c>
      <c r="V166" t="e">
        <f>AND(Sheet1!E2225,"AAAAABfzvBU=")</f>
        <v>#VALUE!</v>
      </c>
      <c r="W166" t="e">
        <f>AND(Sheet1!F2225,"AAAAABfzvBY=")</f>
        <v>#VALUE!</v>
      </c>
      <c r="X166" t="e">
        <f>AND(Sheet1!G2225,"AAAAABfzvBc=")</f>
        <v>#VALUE!</v>
      </c>
      <c r="Y166" t="e">
        <f>AND(Sheet1!H2225,"AAAAABfzvBg=")</f>
        <v>#VALUE!</v>
      </c>
      <c r="Z166" t="e">
        <f>AND(Sheet1!I2225,"AAAAABfzvBk=")</f>
        <v>#VALUE!</v>
      </c>
      <c r="AA166" t="e">
        <f>AND(Sheet1!J2225,"AAAAABfzvBo=")</f>
        <v>#VALUE!</v>
      </c>
      <c r="AB166" t="e">
        <f>AND(Sheet1!K2225,"AAAAABfzvBs=")</f>
        <v>#VALUE!</v>
      </c>
      <c r="AC166" t="e">
        <f>AND(Sheet1!L2225,"AAAAABfzvBw=")</f>
        <v>#VALUE!</v>
      </c>
      <c r="AD166" t="e">
        <f>AND(Sheet1!M2225,"AAAAABfzvB0=")</f>
        <v>#VALUE!</v>
      </c>
      <c r="AE166" t="e">
        <f>AND(Sheet1!N2225,"AAAAABfzvB4=")</f>
        <v>#VALUE!</v>
      </c>
      <c r="AF166" t="e">
        <f>AND(Sheet1!#REF!,"AAAAABfzvB8=")</f>
        <v>#REF!</v>
      </c>
      <c r="AG166" t="e">
        <f>AND(Sheet1!#REF!,"AAAAABfzvCA=")</f>
        <v>#REF!</v>
      </c>
      <c r="AH166" t="e">
        <f>AND(Sheet1!#REF!,"AAAAABfzvCE=")</f>
        <v>#REF!</v>
      </c>
      <c r="AI166" t="e">
        <f>AND(Sheet1!#REF!,"AAAAABfzvCI=")</f>
        <v>#REF!</v>
      </c>
      <c r="AJ166">
        <f>IF(Sheet1!2226:2226,"AAAAABfzvCM=",0)</f>
        <v>0</v>
      </c>
      <c r="AK166" t="e">
        <f>AND(Sheet1!A2226,"AAAAABfzvCQ=")</f>
        <v>#VALUE!</v>
      </c>
      <c r="AL166" t="e">
        <f>AND(Sheet1!B2226,"AAAAABfzvCU=")</f>
        <v>#VALUE!</v>
      </c>
      <c r="AM166" t="e">
        <f>AND(Sheet1!C2226,"AAAAABfzvCY=")</f>
        <v>#VALUE!</v>
      </c>
      <c r="AN166" t="e">
        <f>AND(Sheet1!D2226,"AAAAABfzvCc=")</f>
        <v>#VALUE!</v>
      </c>
      <c r="AO166" t="e">
        <f>AND(Sheet1!E2226,"AAAAABfzvCg=")</f>
        <v>#VALUE!</v>
      </c>
      <c r="AP166" t="e">
        <f>AND(Sheet1!F2226,"AAAAABfzvCk=")</f>
        <v>#VALUE!</v>
      </c>
      <c r="AQ166" t="e">
        <f>AND(Sheet1!G2226,"AAAAABfzvCo=")</f>
        <v>#VALUE!</v>
      </c>
      <c r="AR166" t="e">
        <f>AND(Sheet1!H2226,"AAAAABfzvCs=")</f>
        <v>#VALUE!</v>
      </c>
      <c r="AS166" t="e">
        <f>AND(Sheet1!I2226,"AAAAABfzvCw=")</f>
        <v>#VALUE!</v>
      </c>
      <c r="AT166" t="e">
        <f>AND(Sheet1!J2226,"AAAAABfzvC0=")</f>
        <v>#VALUE!</v>
      </c>
      <c r="AU166" t="e">
        <f>AND(Sheet1!K2226,"AAAAABfzvC4=")</f>
        <v>#VALUE!</v>
      </c>
      <c r="AV166" t="e">
        <f>AND(Sheet1!L2226,"AAAAABfzvC8=")</f>
        <v>#VALUE!</v>
      </c>
      <c r="AW166" t="e">
        <f>AND(Sheet1!M2226,"AAAAABfzvDA=")</f>
        <v>#VALUE!</v>
      </c>
      <c r="AX166" t="e">
        <f>AND(Sheet1!N2226,"AAAAABfzvDE=")</f>
        <v>#VALUE!</v>
      </c>
      <c r="AY166" t="e">
        <f>AND(Sheet1!#REF!,"AAAAABfzvDI=")</f>
        <v>#REF!</v>
      </c>
      <c r="AZ166" t="e">
        <f>AND(Sheet1!#REF!,"AAAAABfzvDM=")</f>
        <v>#REF!</v>
      </c>
      <c r="BA166" t="e">
        <f>AND(Sheet1!#REF!,"AAAAABfzvDQ=")</f>
        <v>#REF!</v>
      </c>
      <c r="BB166" t="e">
        <f>AND(Sheet1!#REF!,"AAAAABfzvDU=")</f>
        <v>#REF!</v>
      </c>
      <c r="BC166">
        <f>IF(Sheet1!2227:2227,"AAAAABfzvDY=",0)</f>
        <v>0</v>
      </c>
      <c r="BD166" t="e">
        <f>AND(Sheet1!A2227,"AAAAABfzvDc=")</f>
        <v>#VALUE!</v>
      </c>
      <c r="BE166" t="e">
        <f>AND(Sheet1!B2227,"AAAAABfzvDg=")</f>
        <v>#VALUE!</v>
      </c>
      <c r="BF166" t="e">
        <f>AND(Sheet1!C2227,"AAAAABfzvDk=")</f>
        <v>#VALUE!</v>
      </c>
      <c r="BG166" t="e">
        <f>AND(Sheet1!D2227,"AAAAABfzvDo=")</f>
        <v>#VALUE!</v>
      </c>
      <c r="BH166" t="e">
        <f>AND(Sheet1!E2227,"AAAAABfzvDs=")</f>
        <v>#VALUE!</v>
      </c>
      <c r="BI166" t="e">
        <f>AND(Sheet1!F2227,"AAAAABfzvDw=")</f>
        <v>#VALUE!</v>
      </c>
      <c r="BJ166" t="e">
        <f>AND(Sheet1!G2227,"AAAAABfzvD0=")</f>
        <v>#VALUE!</v>
      </c>
      <c r="BK166" t="e">
        <f>AND(Sheet1!H2227,"AAAAABfzvD4=")</f>
        <v>#VALUE!</v>
      </c>
      <c r="BL166" t="e">
        <f>AND(Sheet1!I2227,"AAAAABfzvD8=")</f>
        <v>#VALUE!</v>
      </c>
      <c r="BM166" t="e">
        <f>AND(Sheet1!J2227,"AAAAABfzvEA=")</f>
        <v>#VALUE!</v>
      </c>
      <c r="BN166" t="e">
        <f>AND(Sheet1!K2227,"AAAAABfzvEE=")</f>
        <v>#VALUE!</v>
      </c>
      <c r="BO166" t="e">
        <f>AND(Sheet1!L2227,"AAAAABfzvEI=")</f>
        <v>#VALUE!</v>
      </c>
      <c r="BP166" t="e">
        <f>AND(Sheet1!M2227,"AAAAABfzvEM=")</f>
        <v>#VALUE!</v>
      </c>
      <c r="BQ166" t="e">
        <f>AND(Sheet1!N2227,"AAAAABfzvEQ=")</f>
        <v>#VALUE!</v>
      </c>
      <c r="BR166" t="e">
        <f>AND(Sheet1!#REF!,"AAAAABfzvEU=")</f>
        <v>#REF!</v>
      </c>
      <c r="BS166" t="e">
        <f>AND(Sheet1!#REF!,"AAAAABfzvEY=")</f>
        <v>#REF!</v>
      </c>
      <c r="BT166" t="e">
        <f>AND(Sheet1!#REF!,"AAAAABfzvEc=")</f>
        <v>#REF!</v>
      </c>
      <c r="BU166" t="e">
        <f>AND(Sheet1!#REF!,"AAAAABfzvEg=")</f>
        <v>#REF!</v>
      </c>
      <c r="BV166">
        <f>IF(Sheet1!2228:2228,"AAAAABfzvEk=",0)</f>
        <v>0</v>
      </c>
      <c r="BW166" t="e">
        <f>AND(Sheet1!A2228,"AAAAABfzvEo=")</f>
        <v>#VALUE!</v>
      </c>
      <c r="BX166" t="e">
        <f>AND(Sheet1!B2228,"AAAAABfzvEs=")</f>
        <v>#VALUE!</v>
      </c>
      <c r="BY166" t="e">
        <f>AND(Sheet1!C2228,"AAAAABfzvEw=")</f>
        <v>#VALUE!</v>
      </c>
      <c r="BZ166" t="e">
        <f>AND(Sheet1!D2228,"AAAAABfzvE0=")</f>
        <v>#VALUE!</v>
      </c>
      <c r="CA166" t="e">
        <f>AND(Sheet1!E2228,"AAAAABfzvE4=")</f>
        <v>#VALUE!</v>
      </c>
      <c r="CB166" t="e">
        <f>AND(Sheet1!F2228,"AAAAABfzvE8=")</f>
        <v>#VALUE!</v>
      </c>
      <c r="CC166" t="e">
        <f>AND(Sheet1!G2228,"AAAAABfzvFA=")</f>
        <v>#VALUE!</v>
      </c>
      <c r="CD166" t="e">
        <f>AND(Sheet1!H2228,"AAAAABfzvFE=")</f>
        <v>#VALUE!</v>
      </c>
      <c r="CE166" t="e">
        <f>AND(Sheet1!I2228,"AAAAABfzvFI=")</f>
        <v>#VALUE!</v>
      </c>
      <c r="CF166" t="e">
        <f>AND(Sheet1!J2228,"AAAAABfzvFM=")</f>
        <v>#VALUE!</v>
      </c>
      <c r="CG166" t="e">
        <f>AND(Sheet1!K2228,"AAAAABfzvFQ=")</f>
        <v>#VALUE!</v>
      </c>
      <c r="CH166" t="e">
        <f>AND(Sheet1!L2228,"AAAAABfzvFU=")</f>
        <v>#VALUE!</v>
      </c>
      <c r="CI166" t="e">
        <f>AND(Sheet1!M2228,"AAAAABfzvFY=")</f>
        <v>#VALUE!</v>
      </c>
      <c r="CJ166" t="e">
        <f>AND(Sheet1!N2228,"AAAAABfzvFc=")</f>
        <v>#VALUE!</v>
      </c>
      <c r="CK166" t="e">
        <f>AND(Sheet1!#REF!,"AAAAABfzvFg=")</f>
        <v>#REF!</v>
      </c>
      <c r="CL166" t="e">
        <f>AND(Sheet1!#REF!,"AAAAABfzvFk=")</f>
        <v>#REF!</v>
      </c>
      <c r="CM166" t="e">
        <f>AND(Sheet1!#REF!,"AAAAABfzvFo=")</f>
        <v>#REF!</v>
      </c>
      <c r="CN166" t="e">
        <f>AND(Sheet1!#REF!,"AAAAABfzvFs=")</f>
        <v>#REF!</v>
      </c>
      <c r="CO166">
        <f>IF(Sheet1!2229:2229,"AAAAABfzvFw=",0)</f>
        <v>0</v>
      </c>
      <c r="CP166" t="e">
        <f>AND(Sheet1!A2229,"AAAAABfzvF0=")</f>
        <v>#VALUE!</v>
      </c>
      <c r="CQ166" t="e">
        <f>AND(Sheet1!B2229,"AAAAABfzvF4=")</f>
        <v>#VALUE!</v>
      </c>
      <c r="CR166" t="e">
        <f>AND(Sheet1!C2229,"AAAAABfzvF8=")</f>
        <v>#VALUE!</v>
      </c>
      <c r="CS166" t="e">
        <f>AND(Sheet1!D2229,"AAAAABfzvGA=")</f>
        <v>#VALUE!</v>
      </c>
      <c r="CT166" t="e">
        <f>AND(Sheet1!E2229,"AAAAABfzvGE=")</f>
        <v>#VALUE!</v>
      </c>
      <c r="CU166" t="e">
        <f>AND(Sheet1!F2229,"AAAAABfzvGI=")</f>
        <v>#VALUE!</v>
      </c>
      <c r="CV166" t="e">
        <f>AND(Sheet1!G2229,"AAAAABfzvGM=")</f>
        <v>#VALUE!</v>
      </c>
      <c r="CW166" t="e">
        <f>AND(Sheet1!H2229,"AAAAABfzvGQ=")</f>
        <v>#VALUE!</v>
      </c>
      <c r="CX166" t="e">
        <f>AND(Sheet1!I2229,"AAAAABfzvGU=")</f>
        <v>#VALUE!</v>
      </c>
      <c r="CY166" t="e">
        <f>AND(Sheet1!J2229,"AAAAABfzvGY=")</f>
        <v>#VALUE!</v>
      </c>
      <c r="CZ166" t="e">
        <f>AND(Sheet1!K2229,"AAAAABfzvGc=")</f>
        <v>#VALUE!</v>
      </c>
      <c r="DA166" t="e">
        <f>AND(Sheet1!L2229,"AAAAABfzvGg=")</f>
        <v>#VALUE!</v>
      </c>
      <c r="DB166" t="e">
        <f>AND(Sheet1!M2229,"AAAAABfzvGk=")</f>
        <v>#VALUE!</v>
      </c>
      <c r="DC166" t="e">
        <f>AND(Sheet1!N2229,"AAAAABfzvGo=")</f>
        <v>#VALUE!</v>
      </c>
      <c r="DD166" t="e">
        <f>AND(Sheet1!#REF!,"AAAAABfzvGs=")</f>
        <v>#REF!</v>
      </c>
      <c r="DE166" t="e">
        <f>AND(Sheet1!#REF!,"AAAAABfzvGw=")</f>
        <v>#REF!</v>
      </c>
      <c r="DF166" t="e">
        <f>AND(Sheet1!#REF!,"AAAAABfzvG0=")</f>
        <v>#REF!</v>
      </c>
      <c r="DG166" t="e">
        <f>AND(Sheet1!#REF!,"AAAAABfzvG4=")</f>
        <v>#REF!</v>
      </c>
      <c r="DH166">
        <f>IF(Sheet1!2230:2230,"AAAAABfzvG8=",0)</f>
        <v>0</v>
      </c>
      <c r="DI166" t="e">
        <f>AND(Sheet1!A2230,"AAAAABfzvHA=")</f>
        <v>#VALUE!</v>
      </c>
      <c r="DJ166" t="e">
        <f>AND(Sheet1!B2230,"AAAAABfzvHE=")</f>
        <v>#VALUE!</v>
      </c>
      <c r="DK166" t="e">
        <f>AND(Sheet1!C2230,"AAAAABfzvHI=")</f>
        <v>#VALUE!</v>
      </c>
      <c r="DL166" t="e">
        <f>AND(Sheet1!D2230,"AAAAABfzvHM=")</f>
        <v>#VALUE!</v>
      </c>
      <c r="DM166" t="e">
        <f>AND(Sheet1!E2230,"AAAAABfzvHQ=")</f>
        <v>#VALUE!</v>
      </c>
      <c r="DN166" t="e">
        <f>AND(Sheet1!F2230,"AAAAABfzvHU=")</f>
        <v>#VALUE!</v>
      </c>
      <c r="DO166" t="e">
        <f>AND(Sheet1!G2230,"AAAAABfzvHY=")</f>
        <v>#VALUE!</v>
      </c>
      <c r="DP166" t="e">
        <f>AND(Sheet1!H2230,"AAAAABfzvHc=")</f>
        <v>#VALUE!</v>
      </c>
      <c r="DQ166" t="e">
        <f>AND(Sheet1!I2230,"AAAAABfzvHg=")</f>
        <v>#VALUE!</v>
      </c>
      <c r="DR166" t="e">
        <f>AND(Sheet1!J2230,"AAAAABfzvHk=")</f>
        <v>#VALUE!</v>
      </c>
      <c r="DS166" t="e">
        <f>AND(Sheet1!K2230,"AAAAABfzvHo=")</f>
        <v>#VALUE!</v>
      </c>
      <c r="DT166" t="e">
        <f>AND(Sheet1!L2230,"AAAAABfzvHs=")</f>
        <v>#VALUE!</v>
      </c>
      <c r="DU166" t="e">
        <f>AND(Sheet1!M2230,"AAAAABfzvHw=")</f>
        <v>#VALUE!</v>
      </c>
      <c r="DV166" t="e">
        <f>AND(Sheet1!N2230,"AAAAABfzvH0=")</f>
        <v>#VALUE!</v>
      </c>
      <c r="DW166" t="e">
        <f>AND(Sheet1!#REF!,"AAAAABfzvH4=")</f>
        <v>#REF!</v>
      </c>
      <c r="DX166" t="e">
        <f>AND(Sheet1!#REF!,"AAAAABfzvH8=")</f>
        <v>#REF!</v>
      </c>
      <c r="DY166" t="e">
        <f>AND(Sheet1!#REF!,"AAAAABfzvIA=")</f>
        <v>#REF!</v>
      </c>
      <c r="DZ166" t="e">
        <f>AND(Sheet1!#REF!,"AAAAABfzvIE=")</f>
        <v>#REF!</v>
      </c>
      <c r="EA166">
        <f>IF(Sheet1!2231:2231,"AAAAABfzvII=",0)</f>
        <v>0</v>
      </c>
      <c r="EB166" t="e">
        <f>AND(Sheet1!A2231,"AAAAABfzvIM=")</f>
        <v>#VALUE!</v>
      </c>
      <c r="EC166" t="e">
        <f>AND(Sheet1!B2231,"AAAAABfzvIQ=")</f>
        <v>#VALUE!</v>
      </c>
      <c r="ED166" t="e">
        <f>AND(Sheet1!C2231,"AAAAABfzvIU=")</f>
        <v>#VALUE!</v>
      </c>
      <c r="EE166" t="e">
        <f>AND(Sheet1!D2231,"AAAAABfzvIY=")</f>
        <v>#VALUE!</v>
      </c>
      <c r="EF166" t="e">
        <f>AND(Sheet1!E2231,"AAAAABfzvIc=")</f>
        <v>#VALUE!</v>
      </c>
      <c r="EG166" t="e">
        <f>AND(Sheet1!F2231,"AAAAABfzvIg=")</f>
        <v>#VALUE!</v>
      </c>
      <c r="EH166" t="e">
        <f>AND(Sheet1!G2231,"AAAAABfzvIk=")</f>
        <v>#VALUE!</v>
      </c>
      <c r="EI166" t="e">
        <f>AND(Sheet1!H2231,"AAAAABfzvIo=")</f>
        <v>#VALUE!</v>
      </c>
      <c r="EJ166" t="e">
        <f>AND(Sheet1!I2231,"AAAAABfzvIs=")</f>
        <v>#VALUE!</v>
      </c>
      <c r="EK166" t="e">
        <f>AND(Sheet1!J2231,"AAAAABfzvIw=")</f>
        <v>#VALUE!</v>
      </c>
      <c r="EL166" t="e">
        <f>AND(Sheet1!K2231,"AAAAABfzvI0=")</f>
        <v>#VALUE!</v>
      </c>
      <c r="EM166" t="e">
        <f>AND(Sheet1!L2231,"AAAAABfzvI4=")</f>
        <v>#VALUE!</v>
      </c>
      <c r="EN166" t="e">
        <f>AND(Sheet1!M2231,"AAAAABfzvI8=")</f>
        <v>#VALUE!</v>
      </c>
      <c r="EO166" t="e">
        <f>AND(Sheet1!N2231,"AAAAABfzvJA=")</f>
        <v>#VALUE!</v>
      </c>
      <c r="EP166" t="e">
        <f>AND(Sheet1!#REF!,"AAAAABfzvJE=")</f>
        <v>#REF!</v>
      </c>
      <c r="EQ166" t="e">
        <f>AND(Sheet1!#REF!,"AAAAABfzvJI=")</f>
        <v>#REF!</v>
      </c>
      <c r="ER166" t="e">
        <f>AND(Sheet1!#REF!,"AAAAABfzvJM=")</f>
        <v>#REF!</v>
      </c>
      <c r="ES166" t="e">
        <f>AND(Sheet1!#REF!,"AAAAABfzvJQ=")</f>
        <v>#REF!</v>
      </c>
      <c r="ET166">
        <f>IF(Sheet1!2232:2232,"AAAAABfzvJU=",0)</f>
        <v>0</v>
      </c>
      <c r="EU166" t="e">
        <f>AND(Sheet1!A2232,"AAAAABfzvJY=")</f>
        <v>#VALUE!</v>
      </c>
      <c r="EV166" t="e">
        <f>AND(Sheet1!B2232,"AAAAABfzvJc=")</f>
        <v>#VALUE!</v>
      </c>
      <c r="EW166" t="e">
        <f>AND(Sheet1!C2232,"AAAAABfzvJg=")</f>
        <v>#VALUE!</v>
      </c>
      <c r="EX166" t="e">
        <f>AND(Sheet1!D2232,"AAAAABfzvJk=")</f>
        <v>#VALUE!</v>
      </c>
      <c r="EY166" t="e">
        <f>AND(Sheet1!E2232,"AAAAABfzvJo=")</f>
        <v>#VALUE!</v>
      </c>
      <c r="EZ166" t="e">
        <f>AND(Sheet1!F2232,"AAAAABfzvJs=")</f>
        <v>#VALUE!</v>
      </c>
      <c r="FA166" t="e">
        <f>AND(Sheet1!G2232,"AAAAABfzvJw=")</f>
        <v>#VALUE!</v>
      </c>
      <c r="FB166" t="e">
        <f>AND(Sheet1!H2232,"AAAAABfzvJ0=")</f>
        <v>#VALUE!</v>
      </c>
      <c r="FC166" t="e">
        <f>AND(Sheet1!I2232,"AAAAABfzvJ4=")</f>
        <v>#VALUE!</v>
      </c>
      <c r="FD166" t="e">
        <f>AND(Sheet1!J2232,"AAAAABfzvJ8=")</f>
        <v>#VALUE!</v>
      </c>
      <c r="FE166" t="e">
        <f>AND(Sheet1!K2232,"AAAAABfzvKA=")</f>
        <v>#VALUE!</v>
      </c>
      <c r="FF166" t="e">
        <f>AND(Sheet1!L2232,"AAAAABfzvKE=")</f>
        <v>#VALUE!</v>
      </c>
      <c r="FG166" t="e">
        <f>AND(Sheet1!M2232,"AAAAABfzvKI=")</f>
        <v>#VALUE!</v>
      </c>
      <c r="FH166" t="e">
        <f>AND(Sheet1!N2232,"AAAAABfzvKM=")</f>
        <v>#VALUE!</v>
      </c>
      <c r="FI166" t="e">
        <f>AND(Sheet1!#REF!,"AAAAABfzvKQ=")</f>
        <v>#REF!</v>
      </c>
      <c r="FJ166" t="e">
        <f>AND(Sheet1!#REF!,"AAAAABfzvKU=")</f>
        <v>#REF!</v>
      </c>
      <c r="FK166" t="e">
        <f>AND(Sheet1!#REF!,"AAAAABfzvKY=")</f>
        <v>#REF!</v>
      </c>
      <c r="FL166" t="e">
        <f>AND(Sheet1!#REF!,"AAAAABfzvKc=")</f>
        <v>#REF!</v>
      </c>
      <c r="FM166">
        <f>IF(Sheet1!2233:2233,"AAAAABfzvKg=",0)</f>
        <v>0</v>
      </c>
      <c r="FN166" t="e">
        <f>AND(Sheet1!A2233,"AAAAABfzvKk=")</f>
        <v>#VALUE!</v>
      </c>
      <c r="FO166" t="e">
        <f>AND(Sheet1!B2233,"AAAAABfzvKo=")</f>
        <v>#VALUE!</v>
      </c>
      <c r="FP166" t="e">
        <f>AND(Sheet1!C2233,"AAAAABfzvKs=")</f>
        <v>#VALUE!</v>
      </c>
      <c r="FQ166" t="e">
        <f>AND(Sheet1!D2233,"AAAAABfzvKw=")</f>
        <v>#VALUE!</v>
      </c>
      <c r="FR166" t="e">
        <f>AND(Sheet1!E2233,"AAAAABfzvK0=")</f>
        <v>#VALUE!</v>
      </c>
      <c r="FS166" t="e">
        <f>AND(Sheet1!F2233,"AAAAABfzvK4=")</f>
        <v>#VALUE!</v>
      </c>
      <c r="FT166" t="e">
        <f>AND(Sheet1!G2233,"AAAAABfzvK8=")</f>
        <v>#VALUE!</v>
      </c>
      <c r="FU166" t="e">
        <f>AND(Sheet1!H2233,"AAAAABfzvLA=")</f>
        <v>#VALUE!</v>
      </c>
      <c r="FV166" t="e">
        <f>AND(Sheet1!I2233,"AAAAABfzvLE=")</f>
        <v>#VALUE!</v>
      </c>
      <c r="FW166" t="e">
        <f>AND(Sheet1!J2233,"AAAAABfzvLI=")</f>
        <v>#VALUE!</v>
      </c>
      <c r="FX166" t="e">
        <f>AND(Sheet1!K2233,"AAAAABfzvLM=")</f>
        <v>#VALUE!</v>
      </c>
      <c r="FY166" t="e">
        <f>AND(Sheet1!L2233,"AAAAABfzvLQ=")</f>
        <v>#VALUE!</v>
      </c>
      <c r="FZ166" t="e">
        <f>AND(Sheet1!M2233,"AAAAABfzvLU=")</f>
        <v>#VALUE!</v>
      </c>
      <c r="GA166" t="e">
        <f>AND(Sheet1!N2233,"AAAAABfzvLY=")</f>
        <v>#VALUE!</v>
      </c>
      <c r="GB166" t="e">
        <f>AND(Sheet1!#REF!,"AAAAABfzvLc=")</f>
        <v>#REF!</v>
      </c>
      <c r="GC166" t="e">
        <f>AND(Sheet1!#REF!,"AAAAABfzvLg=")</f>
        <v>#REF!</v>
      </c>
      <c r="GD166" t="e">
        <f>AND(Sheet1!#REF!,"AAAAABfzvLk=")</f>
        <v>#REF!</v>
      </c>
      <c r="GE166" t="e">
        <f>AND(Sheet1!#REF!,"AAAAABfzvLo=")</f>
        <v>#REF!</v>
      </c>
      <c r="GF166">
        <f>IF(Sheet1!2234:2234,"AAAAABfzvLs=",0)</f>
        <v>0</v>
      </c>
      <c r="GG166" t="e">
        <f>AND(Sheet1!A2234,"AAAAABfzvLw=")</f>
        <v>#VALUE!</v>
      </c>
      <c r="GH166" t="e">
        <f>AND(Sheet1!B2234,"AAAAABfzvL0=")</f>
        <v>#VALUE!</v>
      </c>
      <c r="GI166" t="e">
        <f>AND(Sheet1!C2234,"AAAAABfzvL4=")</f>
        <v>#VALUE!</v>
      </c>
      <c r="GJ166" t="e">
        <f>AND(Sheet1!D2234,"AAAAABfzvL8=")</f>
        <v>#VALUE!</v>
      </c>
      <c r="GK166" t="e">
        <f>AND(Sheet1!E2234,"AAAAABfzvMA=")</f>
        <v>#VALUE!</v>
      </c>
      <c r="GL166" t="e">
        <f>AND(Sheet1!F2234,"AAAAABfzvME=")</f>
        <v>#VALUE!</v>
      </c>
      <c r="GM166" t="e">
        <f>AND(Sheet1!G2234,"AAAAABfzvMI=")</f>
        <v>#VALUE!</v>
      </c>
      <c r="GN166" t="e">
        <f>AND(Sheet1!H2234,"AAAAABfzvMM=")</f>
        <v>#VALUE!</v>
      </c>
      <c r="GO166" t="e">
        <f>AND(Sheet1!I2234,"AAAAABfzvMQ=")</f>
        <v>#VALUE!</v>
      </c>
      <c r="GP166" t="e">
        <f>AND(Sheet1!J2234,"AAAAABfzvMU=")</f>
        <v>#VALUE!</v>
      </c>
      <c r="GQ166" t="e">
        <f>AND(Sheet1!K2234,"AAAAABfzvMY=")</f>
        <v>#VALUE!</v>
      </c>
      <c r="GR166" t="e">
        <f>AND(Sheet1!L2234,"AAAAABfzvMc=")</f>
        <v>#VALUE!</v>
      </c>
      <c r="GS166" t="e">
        <f>AND(Sheet1!M2234,"AAAAABfzvMg=")</f>
        <v>#VALUE!</v>
      </c>
      <c r="GT166" t="e">
        <f>AND(Sheet1!N2234,"AAAAABfzvMk=")</f>
        <v>#VALUE!</v>
      </c>
      <c r="GU166" t="e">
        <f>AND(Sheet1!#REF!,"AAAAABfzvMo=")</f>
        <v>#REF!</v>
      </c>
      <c r="GV166" t="e">
        <f>AND(Sheet1!#REF!,"AAAAABfzvMs=")</f>
        <v>#REF!</v>
      </c>
      <c r="GW166" t="e">
        <f>AND(Sheet1!#REF!,"AAAAABfzvMw=")</f>
        <v>#REF!</v>
      </c>
      <c r="GX166" t="e">
        <f>AND(Sheet1!#REF!,"AAAAABfzvM0=")</f>
        <v>#REF!</v>
      </c>
      <c r="GY166">
        <f>IF(Sheet1!2235:2235,"AAAAABfzvM4=",0)</f>
        <v>0</v>
      </c>
      <c r="GZ166" t="e">
        <f>AND(Sheet1!A2235,"AAAAABfzvM8=")</f>
        <v>#VALUE!</v>
      </c>
      <c r="HA166" t="e">
        <f>AND(Sheet1!B2235,"AAAAABfzvNA=")</f>
        <v>#VALUE!</v>
      </c>
      <c r="HB166" t="e">
        <f>AND(Sheet1!C2235,"AAAAABfzvNE=")</f>
        <v>#VALUE!</v>
      </c>
      <c r="HC166" t="e">
        <f>AND(Sheet1!D2235,"AAAAABfzvNI=")</f>
        <v>#VALUE!</v>
      </c>
      <c r="HD166" t="e">
        <f>AND(Sheet1!E2235,"AAAAABfzvNM=")</f>
        <v>#VALUE!</v>
      </c>
      <c r="HE166" t="e">
        <f>AND(Sheet1!F2235,"AAAAABfzvNQ=")</f>
        <v>#VALUE!</v>
      </c>
      <c r="HF166" t="e">
        <f>AND(Sheet1!G2235,"AAAAABfzvNU=")</f>
        <v>#VALUE!</v>
      </c>
      <c r="HG166" t="e">
        <f>AND(Sheet1!H2235,"AAAAABfzvNY=")</f>
        <v>#VALUE!</v>
      </c>
      <c r="HH166" t="e">
        <f>AND(Sheet1!I2235,"AAAAABfzvNc=")</f>
        <v>#VALUE!</v>
      </c>
      <c r="HI166" t="e">
        <f>AND(Sheet1!J2235,"AAAAABfzvNg=")</f>
        <v>#VALUE!</v>
      </c>
      <c r="HJ166" t="e">
        <f>AND(Sheet1!K2235,"AAAAABfzvNk=")</f>
        <v>#VALUE!</v>
      </c>
      <c r="HK166" t="e">
        <f>AND(Sheet1!L2235,"AAAAABfzvNo=")</f>
        <v>#VALUE!</v>
      </c>
      <c r="HL166" t="e">
        <f>AND(Sheet1!M2235,"AAAAABfzvNs=")</f>
        <v>#VALUE!</v>
      </c>
      <c r="HM166" t="e">
        <f>AND(Sheet1!N2235,"AAAAABfzvNw=")</f>
        <v>#VALUE!</v>
      </c>
      <c r="HN166" t="e">
        <f>AND(Sheet1!#REF!,"AAAAABfzvN0=")</f>
        <v>#REF!</v>
      </c>
      <c r="HO166" t="e">
        <f>AND(Sheet1!#REF!,"AAAAABfzvN4=")</f>
        <v>#REF!</v>
      </c>
      <c r="HP166" t="e">
        <f>AND(Sheet1!#REF!,"AAAAABfzvN8=")</f>
        <v>#REF!</v>
      </c>
      <c r="HQ166" t="e">
        <f>AND(Sheet1!#REF!,"AAAAABfzvOA=")</f>
        <v>#REF!</v>
      </c>
      <c r="HR166">
        <f>IF(Sheet1!2236:2236,"AAAAABfzvOE=",0)</f>
        <v>0</v>
      </c>
      <c r="HS166" t="e">
        <f>AND(Sheet1!A2236,"AAAAABfzvOI=")</f>
        <v>#VALUE!</v>
      </c>
      <c r="HT166" t="e">
        <f>AND(Sheet1!B2236,"AAAAABfzvOM=")</f>
        <v>#VALUE!</v>
      </c>
      <c r="HU166" t="e">
        <f>AND(Sheet1!C2236,"AAAAABfzvOQ=")</f>
        <v>#VALUE!</v>
      </c>
      <c r="HV166" t="e">
        <f>AND(Sheet1!D2236,"AAAAABfzvOU=")</f>
        <v>#VALUE!</v>
      </c>
      <c r="HW166" t="e">
        <f>AND(Sheet1!E2236,"AAAAABfzvOY=")</f>
        <v>#VALUE!</v>
      </c>
      <c r="HX166" t="e">
        <f>AND(Sheet1!F2236,"AAAAABfzvOc=")</f>
        <v>#VALUE!</v>
      </c>
      <c r="HY166" t="e">
        <f>AND(Sheet1!G2236,"AAAAABfzvOg=")</f>
        <v>#VALUE!</v>
      </c>
      <c r="HZ166" t="e">
        <f>AND(Sheet1!H2236,"AAAAABfzvOk=")</f>
        <v>#VALUE!</v>
      </c>
      <c r="IA166" t="e">
        <f>AND(Sheet1!I2236,"AAAAABfzvOo=")</f>
        <v>#VALUE!</v>
      </c>
      <c r="IB166" t="e">
        <f>AND(Sheet1!J2236,"AAAAABfzvOs=")</f>
        <v>#VALUE!</v>
      </c>
      <c r="IC166" t="e">
        <f>AND(Sheet1!K2236,"AAAAABfzvOw=")</f>
        <v>#VALUE!</v>
      </c>
      <c r="ID166" t="e">
        <f>AND(Sheet1!L2236,"AAAAABfzvO0=")</f>
        <v>#VALUE!</v>
      </c>
      <c r="IE166" t="e">
        <f>AND(Sheet1!M2236,"AAAAABfzvO4=")</f>
        <v>#VALUE!</v>
      </c>
      <c r="IF166" t="e">
        <f>AND(Sheet1!N2236,"AAAAABfzvO8=")</f>
        <v>#VALUE!</v>
      </c>
      <c r="IG166" t="e">
        <f>AND(Sheet1!#REF!,"AAAAABfzvPA=")</f>
        <v>#REF!</v>
      </c>
      <c r="IH166" t="e">
        <f>AND(Sheet1!#REF!,"AAAAABfzvPE=")</f>
        <v>#REF!</v>
      </c>
      <c r="II166" t="e">
        <f>AND(Sheet1!#REF!,"AAAAABfzvPI=")</f>
        <v>#REF!</v>
      </c>
      <c r="IJ166" t="e">
        <f>AND(Sheet1!#REF!,"AAAAABfzvPM=")</f>
        <v>#REF!</v>
      </c>
      <c r="IK166">
        <f>IF(Sheet1!2237:2237,"AAAAABfzvPQ=",0)</f>
        <v>0</v>
      </c>
      <c r="IL166" t="e">
        <f>AND(Sheet1!A2237,"AAAAABfzvPU=")</f>
        <v>#VALUE!</v>
      </c>
      <c r="IM166" t="e">
        <f>AND(Sheet1!B2237,"AAAAABfzvPY=")</f>
        <v>#VALUE!</v>
      </c>
      <c r="IN166" t="e">
        <f>AND(Sheet1!C2237,"AAAAABfzvPc=")</f>
        <v>#VALUE!</v>
      </c>
      <c r="IO166" t="e">
        <f>AND(Sheet1!D2237,"AAAAABfzvPg=")</f>
        <v>#VALUE!</v>
      </c>
      <c r="IP166" t="e">
        <f>AND(Sheet1!E2237,"AAAAABfzvPk=")</f>
        <v>#VALUE!</v>
      </c>
      <c r="IQ166" t="e">
        <f>AND(Sheet1!F2237,"AAAAABfzvPo=")</f>
        <v>#VALUE!</v>
      </c>
      <c r="IR166" t="e">
        <f>AND(Sheet1!G2237,"AAAAABfzvPs=")</f>
        <v>#VALUE!</v>
      </c>
      <c r="IS166" t="e">
        <f>AND(Sheet1!H2237,"AAAAABfzvPw=")</f>
        <v>#VALUE!</v>
      </c>
      <c r="IT166" t="e">
        <f>AND(Sheet1!I2237,"AAAAABfzvP0=")</f>
        <v>#VALUE!</v>
      </c>
      <c r="IU166" t="e">
        <f>AND(Sheet1!J2237,"AAAAABfzvP4=")</f>
        <v>#VALUE!</v>
      </c>
      <c r="IV166" t="e">
        <f>AND(Sheet1!K2237,"AAAAABfzvP8=")</f>
        <v>#VALUE!</v>
      </c>
    </row>
    <row r="167" spans="1:256" x14ac:dyDescent="0.2">
      <c r="A167" t="e">
        <f>AND(Sheet1!L2237,"AAAAAD+/9wA=")</f>
        <v>#VALUE!</v>
      </c>
      <c r="B167" t="e">
        <f>AND(Sheet1!M2237,"AAAAAD+/9wE=")</f>
        <v>#VALUE!</v>
      </c>
      <c r="C167" t="e">
        <f>AND(Sheet1!N2237,"AAAAAD+/9wI=")</f>
        <v>#VALUE!</v>
      </c>
      <c r="D167" t="e">
        <f>AND(Sheet1!#REF!,"AAAAAD+/9wM=")</f>
        <v>#REF!</v>
      </c>
      <c r="E167" t="e">
        <f>AND(Sheet1!#REF!,"AAAAAD+/9wQ=")</f>
        <v>#REF!</v>
      </c>
      <c r="F167" t="e">
        <f>AND(Sheet1!#REF!,"AAAAAD+/9wU=")</f>
        <v>#REF!</v>
      </c>
      <c r="G167" t="e">
        <f>AND(Sheet1!#REF!,"AAAAAD+/9wY=")</f>
        <v>#REF!</v>
      </c>
      <c r="H167">
        <f>IF(Sheet1!2238:2238,"AAAAAD+/9wc=",0)</f>
        <v>0</v>
      </c>
      <c r="I167" t="e">
        <f>AND(Sheet1!A2238,"AAAAAD+/9wg=")</f>
        <v>#VALUE!</v>
      </c>
      <c r="J167" t="e">
        <f>AND(Sheet1!B2238,"AAAAAD+/9wk=")</f>
        <v>#VALUE!</v>
      </c>
      <c r="K167" t="e">
        <f>AND(Sheet1!C2238,"AAAAAD+/9wo=")</f>
        <v>#VALUE!</v>
      </c>
      <c r="L167" t="e">
        <f>AND(Sheet1!D2238,"AAAAAD+/9ws=")</f>
        <v>#VALUE!</v>
      </c>
      <c r="M167" t="e">
        <f>AND(Sheet1!E2238,"AAAAAD+/9ww=")</f>
        <v>#VALUE!</v>
      </c>
      <c r="N167" t="e">
        <f>AND(Sheet1!F2238,"AAAAAD+/9w0=")</f>
        <v>#VALUE!</v>
      </c>
      <c r="O167" t="e">
        <f>AND(Sheet1!G2238,"AAAAAD+/9w4=")</f>
        <v>#VALUE!</v>
      </c>
      <c r="P167" t="e">
        <f>AND(Sheet1!H2238,"AAAAAD+/9w8=")</f>
        <v>#VALUE!</v>
      </c>
      <c r="Q167" t="e">
        <f>AND(Sheet1!I2238,"AAAAAD+/9xA=")</f>
        <v>#VALUE!</v>
      </c>
      <c r="R167" t="e">
        <f>AND(Sheet1!J2238,"AAAAAD+/9xE=")</f>
        <v>#VALUE!</v>
      </c>
      <c r="S167" t="e">
        <f>AND(Sheet1!K2238,"AAAAAD+/9xI=")</f>
        <v>#VALUE!</v>
      </c>
      <c r="T167" t="e">
        <f>AND(Sheet1!L2238,"AAAAAD+/9xM=")</f>
        <v>#VALUE!</v>
      </c>
      <c r="U167" t="e">
        <f>AND(Sheet1!M2238,"AAAAAD+/9xQ=")</f>
        <v>#VALUE!</v>
      </c>
      <c r="V167" t="e">
        <f>AND(Sheet1!N2238,"AAAAAD+/9xU=")</f>
        <v>#VALUE!</v>
      </c>
      <c r="W167" t="e">
        <f>AND(Sheet1!#REF!,"AAAAAD+/9xY=")</f>
        <v>#REF!</v>
      </c>
      <c r="X167" t="e">
        <f>AND(Sheet1!#REF!,"AAAAAD+/9xc=")</f>
        <v>#REF!</v>
      </c>
      <c r="Y167" t="e">
        <f>AND(Sheet1!#REF!,"AAAAAD+/9xg=")</f>
        <v>#REF!</v>
      </c>
      <c r="Z167" t="e">
        <f>AND(Sheet1!#REF!,"AAAAAD+/9xk=")</f>
        <v>#REF!</v>
      </c>
      <c r="AA167">
        <f>IF(Sheet1!2239:2239,"AAAAAD+/9xo=",0)</f>
        <v>0</v>
      </c>
      <c r="AB167" t="e">
        <f>AND(Sheet1!A2239,"AAAAAD+/9xs=")</f>
        <v>#VALUE!</v>
      </c>
      <c r="AC167" t="e">
        <f>AND(Sheet1!B2239,"AAAAAD+/9xw=")</f>
        <v>#VALUE!</v>
      </c>
      <c r="AD167" t="e">
        <f>AND(Sheet1!C2239,"AAAAAD+/9x0=")</f>
        <v>#VALUE!</v>
      </c>
      <c r="AE167" t="e">
        <f>AND(Sheet1!D2239,"AAAAAD+/9x4=")</f>
        <v>#VALUE!</v>
      </c>
      <c r="AF167" t="e">
        <f>AND(Sheet1!E2239,"AAAAAD+/9x8=")</f>
        <v>#VALUE!</v>
      </c>
      <c r="AG167" t="e">
        <f>AND(Sheet1!F2239,"AAAAAD+/9yA=")</f>
        <v>#VALUE!</v>
      </c>
      <c r="AH167" t="e">
        <f>AND(Sheet1!G2239,"AAAAAD+/9yE=")</f>
        <v>#VALUE!</v>
      </c>
      <c r="AI167" t="e">
        <f>AND(Sheet1!H2239,"AAAAAD+/9yI=")</f>
        <v>#VALUE!</v>
      </c>
      <c r="AJ167" t="e">
        <f>AND(Sheet1!I2239,"AAAAAD+/9yM=")</f>
        <v>#VALUE!</v>
      </c>
      <c r="AK167" t="e">
        <f>AND(Sheet1!J2239,"AAAAAD+/9yQ=")</f>
        <v>#VALUE!</v>
      </c>
      <c r="AL167" t="e">
        <f>AND(Sheet1!K2239,"AAAAAD+/9yU=")</f>
        <v>#VALUE!</v>
      </c>
      <c r="AM167" t="e">
        <f>AND(Sheet1!L2239,"AAAAAD+/9yY=")</f>
        <v>#VALUE!</v>
      </c>
      <c r="AN167" t="e">
        <f>AND(Sheet1!M2239,"AAAAAD+/9yc=")</f>
        <v>#VALUE!</v>
      </c>
      <c r="AO167" t="e">
        <f>AND(Sheet1!N2239,"AAAAAD+/9yg=")</f>
        <v>#VALUE!</v>
      </c>
      <c r="AP167" t="e">
        <f>AND(Sheet1!#REF!,"AAAAAD+/9yk=")</f>
        <v>#REF!</v>
      </c>
      <c r="AQ167" t="e">
        <f>AND(Sheet1!#REF!,"AAAAAD+/9yo=")</f>
        <v>#REF!</v>
      </c>
      <c r="AR167" t="e">
        <f>AND(Sheet1!#REF!,"AAAAAD+/9ys=")</f>
        <v>#REF!</v>
      </c>
      <c r="AS167" t="e">
        <f>AND(Sheet1!#REF!,"AAAAAD+/9yw=")</f>
        <v>#REF!</v>
      </c>
      <c r="AT167">
        <f>IF(Sheet1!2240:2240,"AAAAAD+/9y0=",0)</f>
        <v>0</v>
      </c>
      <c r="AU167" t="e">
        <f>AND(Sheet1!A2240,"AAAAAD+/9y4=")</f>
        <v>#VALUE!</v>
      </c>
      <c r="AV167" t="e">
        <f>AND(Sheet1!B2240,"AAAAAD+/9y8=")</f>
        <v>#VALUE!</v>
      </c>
      <c r="AW167" t="e">
        <f>AND(Sheet1!C2240,"AAAAAD+/9zA=")</f>
        <v>#VALUE!</v>
      </c>
      <c r="AX167" t="e">
        <f>AND(Sheet1!D2240,"AAAAAD+/9zE=")</f>
        <v>#VALUE!</v>
      </c>
      <c r="AY167" t="e">
        <f>AND(Sheet1!E2240,"AAAAAD+/9zI=")</f>
        <v>#VALUE!</v>
      </c>
      <c r="AZ167" t="e">
        <f>AND(Sheet1!F2240,"AAAAAD+/9zM=")</f>
        <v>#VALUE!</v>
      </c>
      <c r="BA167" t="e">
        <f>AND(Sheet1!G2240,"AAAAAD+/9zQ=")</f>
        <v>#VALUE!</v>
      </c>
      <c r="BB167" t="e">
        <f>AND(Sheet1!H2240,"AAAAAD+/9zU=")</f>
        <v>#VALUE!</v>
      </c>
      <c r="BC167" t="e">
        <f>AND(Sheet1!I2240,"AAAAAD+/9zY=")</f>
        <v>#VALUE!</v>
      </c>
      <c r="BD167" t="e">
        <f>AND(Sheet1!J2240,"AAAAAD+/9zc=")</f>
        <v>#VALUE!</v>
      </c>
      <c r="BE167" t="e">
        <f>AND(Sheet1!K2240,"AAAAAD+/9zg=")</f>
        <v>#VALUE!</v>
      </c>
      <c r="BF167" t="e">
        <f>AND(Sheet1!L2240,"AAAAAD+/9zk=")</f>
        <v>#VALUE!</v>
      </c>
      <c r="BG167" t="e">
        <f>AND(Sheet1!M2240,"AAAAAD+/9zo=")</f>
        <v>#VALUE!</v>
      </c>
      <c r="BH167" t="e">
        <f>AND(Sheet1!N2240,"AAAAAD+/9zs=")</f>
        <v>#VALUE!</v>
      </c>
      <c r="BI167" t="e">
        <f>AND(Sheet1!#REF!,"AAAAAD+/9zw=")</f>
        <v>#REF!</v>
      </c>
      <c r="BJ167" t="e">
        <f>AND(Sheet1!#REF!,"AAAAAD+/9z0=")</f>
        <v>#REF!</v>
      </c>
      <c r="BK167" t="e">
        <f>AND(Sheet1!#REF!,"AAAAAD+/9z4=")</f>
        <v>#REF!</v>
      </c>
      <c r="BL167" t="e">
        <f>AND(Sheet1!#REF!,"AAAAAD+/9z8=")</f>
        <v>#REF!</v>
      </c>
      <c r="BM167">
        <f>IF(Sheet1!2241:2241,"AAAAAD+/90A=",0)</f>
        <v>0</v>
      </c>
      <c r="BN167" t="e">
        <f>AND(Sheet1!A2241,"AAAAAD+/90E=")</f>
        <v>#VALUE!</v>
      </c>
      <c r="BO167" t="e">
        <f>AND(Sheet1!B2241,"AAAAAD+/90I=")</f>
        <v>#VALUE!</v>
      </c>
      <c r="BP167" t="e">
        <f>AND(Sheet1!C2241,"AAAAAD+/90M=")</f>
        <v>#VALUE!</v>
      </c>
      <c r="BQ167" t="e">
        <f>AND(Sheet1!D2241,"AAAAAD+/90Q=")</f>
        <v>#VALUE!</v>
      </c>
      <c r="BR167" t="e">
        <f>AND(Sheet1!E2241,"AAAAAD+/90U=")</f>
        <v>#VALUE!</v>
      </c>
      <c r="BS167" t="e">
        <f>AND(Sheet1!F2241,"AAAAAD+/90Y=")</f>
        <v>#VALUE!</v>
      </c>
      <c r="BT167" t="e">
        <f>AND(Sheet1!G2241,"AAAAAD+/90c=")</f>
        <v>#VALUE!</v>
      </c>
      <c r="BU167" t="e">
        <f>AND(Sheet1!H2241,"AAAAAD+/90g=")</f>
        <v>#VALUE!</v>
      </c>
      <c r="BV167" t="e">
        <f>AND(Sheet1!I2241,"AAAAAD+/90k=")</f>
        <v>#VALUE!</v>
      </c>
      <c r="BW167" t="e">
        <f>AND(Sheet1!J2241,"AAAAAD+/90o=")</f>
        <v>#VALUE!</v>
      </c>
      <c r="BX167" t="e">
        <f>AND(Sheet1!K2241,"AAAAAD+/90s=")</f>
        <v>#VALUE!</v>
      </c>
      <c r="BY167" t="e">
        <f>AND(Sheet1!L2241,"AAAAAD+/90w=")</f>
        <v>#VALUE!</v>
      </c>
      <c r="BZ167" t="e">
        <f>AND(Sheet1!M2241,"AAAAAD+/900=")</f>
        <v>#VALUE!</v>
      </c>
      <c r="CA167" t="e">
        <f>AND(Sheet1!N2241,"AAAAAD+/904=")</f>
        <v>#VALUE!</v>
      </c>
      <c r="CB167" t="e">
        <f>AND(Sheet1!#REF!,"AAAAAD+/908=")</f>
        <v>#REF!</v>
      </c>
      <c r="CC167" t="e">
        <f>AND(Sheet1!#REF!,"AAAAAD+/91A=")</f>
        <v>#REF!</v>
      </c>
      <c r="CD167" t="e">
        <f>AND(Sheet1!#REF!,"AAAAAD+/91E=")</f>
        <v>#REF!</v>
      </c>
      <c r="CE167" t="e">
        <f>AND(Sheet1!#REF!,"AAAAAD+/91I=")</f>
        <v>#REF!</v>
      </c>
      <c r="CF167">
        <f>IF(Sheet1!2242:2242,"AAAAAD+/91M=",0)</f>
        <v>0</v>
      </c>
      <c r="CG167" t="e">
        <f>AND(Sheet1!A2242,"AAAAAD+/91Q=")</f>
        <v>#VALUE!</v>
      </c>
      <c r="CH167" t="e">
        <f>AND(Sheet1!B2242,"AAAAAD+/91U=")</f>
        <v>#VALUE!</v>
      </c>
      <c r="CI167" t="e">
        <f>AND(Sheet1!C2242,"AAAAAD+/91Y=")</f>
        <v>#VALUE!</v>
      </c>
      <c r="CJ167" t="e">
        <f>AND(Sheet1!D2242,"AAAAAD+/91c=")</f>
        <v>#VALUE!</v>
      </c>
      <c r="CK167" t="e">
        <f>AND(Sheet1!E2242,"AAAAAD+/91g=")</f>
        <v>#VALUE!</v>
      </c>
      <c r="CL167" t="e">
        <f>AND(Sheet1!F2242,"AAAAAD+/91k=")</f>
        <v>#VALUE!</v>
      </c>
      <c r="CM167" t="e">
        <f>AND(Sheet1!G2242,"AAAAAD+/91o=")</f>
        <v>#VALUE!</v>
      </c>
      <c r="CN167" t="e">
        <f>AND(Sheet1!H2242,"AAAAAD+/91s=")</f>
        <v>#VALUE!</v>
      </c>
      <c r="CO167" t="e">
        <f>AND(Sheet1!I2242,"AAAAAD+/91w=")</f>
        <v>#VALUE!</v>
      </c>
      <c r="CP167" t="e">
        <f>AND(Sheet1!J2242,"AAAAAD+/910=")</f>
        <v>#VALUE!</v>
      </c>
      <c r="CQ167" t="e">
        <f>AND(Sheet1!K2242,"AAAAAD+/914=")</f>
        <v>#VALUE!</v>
      </c>
      <c r="CR167" t="e">
        <f>AND(Sheet1!L2242,"AAAAAD+/918=")</f>
        <v>#VALUE!</v>
      </c>
      <c r="CS167" t="e">
        <f>AND(Sheet1!M2242,"AAAAAD+/92A=")</f>
        <v>#VALUE!</v>
      </c>
      <c r="CT167" t="e">
        <f>AND(Sheet1!N2242,"AAAAAD+/92E=")</f>
        <v>#VALUE!</v>
      </c>
      <c r="CU167" t="e">
        <f>AND(Sheet1!#REF!,"AAAAAD+/92I=")</f>
        <v>#REF!</v>
      </c>
      <c r="CV167" t="e">
        <f>AND(Sheet1!#REF!,"AAAAAD+/92M=")</f>
        <v>#REF!</v>
      </c>
      <c r="CW167" t="e">
        <f>AND(Sheet1!#REF!,"AAAAAD+/92Q=")</f>
        <v>#REF!</v>
      </c>
      <c r="CX167" t="e">
        <f>AND(Sheet1!#REF!,"AAAAAD+/92U=")</f>
        <v>#REF!</v>
      </c>
      <c r="CY167">
        <f>IF(Sheet1!2243:2243,"AAAAAD+/92Y=",0)</f>
        <v>0</v>
      </c>
      <c r="CZ167" t="e">
        <f>AND(Sheet1!A2243,"AAAAAD+/92c=")</f>
        <v>#VALUE!</v>
      </c>
      <c r="DA167" t="e">
        <f>AND(Sheet1!B2243,"AAAAAD+/92g=")</f>
        <v>#VALUE!</v>
      </c>
      <c r="DB167" t="e">
        <f>AND(Sheet1!C2243,"AAAAAD+/92k=")</f>
        <v>#VALUE!</v>
      </c>
      <c r="DC167" t="e">
        <f>AND(Sheet1!D2243,"AAAAAD+/92o=")</f>
        <v>#VALUE!</v>
      </c>
      <c r="DD167" t="e">
        <f>AND(Sheet1!E2243,"AAAAAD+/92s=")</f>
        <v>#VALUE!</v>
      </c>
      <c r="DE167" t="e">
        <f>AND(Sheet1!F2243,"AAAAAD+/92w=")</f>
        <v>#VALUE!</v>
      </c>
      <c r="DF167" t="e">
        <f>AND(Sheet1!G2243,"AAAAAD+/920=")</f>
        <v>#VALUE!</v>
      </c>
      <c r="DG167" t="e">
        <f>AND(Sheet1!H2243,"AAAAAD+/924=")</f>
        <v>#VALUE!</v>
      </c>
      <c r="DH167" t="e">
        <f>AND(Sheet1!I2243,"AAAAAD+/928=")</f>
        <v>#VALUE!</v>
      </c>
      <c r="DI167" t="e">
        <f>AND(Sheet1!J2243,"AAAAAD+/93A=")</f>
        <v>#VALUE!</v>
      </c>
      <c r="DJ167" t="e">
        <f>AND(Sheet1!K2243,"AAAAAD+/93E=")</f>
        <v>#VALUE!</v>
      </c>
      <c r="DK167" t="e">
        <f>AND(Sheet1!L2243,"AAAAAD+/93I=")</f>
        <v>#VALUE!</v>
      </c>
      <c r="DL167" t="e">
        <f>AND(Sheet1!M2243,"AAAAAD+/93M=")</f>
        <v>#VALUE!</v>
      </c>
      <c r="DM167" t="e">
        <f>AND(Sheet1!N2243,"AAAAAD+/93Q=")</f>
        <v>#VALUE!</v>
      </c>
      <c r="DN167" t="e">
        <f>AND(Sheet1!#REF!,"AAAAAD+/93U=")</f>
        <v>#REF!</v>
      </c>
      <c r="DO167" t="e">
        <f>AND(Sheet1!#REF!,"AAAAAD+/93Y=")</f>
        <v>#REF!</v>
      </c>
      <c r="DP167" t="e">
        <f>AND(Sheet1!#REF!,"AAAAAD+/93c=")</f>
        <v>#REF!</v>
      </c>
      <c r="DQ167" t="e">
        <f>AND(Sheet1!#REF!,"AAAAAD+/93g=")</f>
        <v>#REF!</v>
      </c>
      <c r="DR167">
        <f>IF(Sheet1!2244:2244,"AAAAAD+/93k=",0)</f>
        <v>0</v>
      </c>
      <c r="DS167" t="e">
        <f>AND(Sheet1!A2244,"AAAAAD+/93o=")</f>
        <v>#VALUE!</v>
      </c>
      <c r="DT167" t="e">
        <f>AND(Sheet1!B2244,"AAAAAD+/93s=")</f>
        <v>#VALUE!</v>
      </c>
      <c r="DU167" t="e">
        <f>AND(Sheet1!C2244,"AAAAAD+/93w=")</f>
        <v>#VALUE!</v>
      </c>
      <c r="DV167" t="e">
        <f>AND(Sheet1!D2244,"AAAAAD+/930=")</f>
        <v>#VALUE!</v>
      </c>
      <c r="DW167" t="e">
        <f>AND(Sheet1!E2244,"AAAAAD+/934=")</f>
        <v>#VALUE!</v>
      </c>
      <c r="DX167" t="e">
        <f>AND(Sheet1!F2244,"AAAAAD+/938=")</f>
        <v>#VALUE!</v>
      </c>
      <c r="DY167" t="e">
        <f>AND(Sheet1!G2244,"AAAAAD+/94A=")</f>
        <v>#VALUE!</v>
      </c>
      <c r="DZ167" t="e">
        <f>AND(Sheet1!H2244,"AAAAAD+/94E=")</f>
        <v>#VALUE!</v>
      </c>
      <c r="EA167" t="e">
        <f>AND(Sheet1!I2244,"AAAAAD+/94I=")</f>
        <v>#VALUE!</v>
      </c>
      <c r="EB167" t="e">
        <f>AND(Sheet1!J2244,"AAAAAD+/94M=")</f>
        <v>#VALUE!</v>
      </c>
      <c r="EC167" t="e">
        <f>AND(Sheet1!K2244,"AAAAAD+/94Q=")</f>
        <v>#VALUE!</v>
      </c>
      <c r="ED167" t="e">
        <f>AND(Sheet1!L2244,"AAAAAD+/94U=")</f>
        <v>#VALUE!</v>
      </c>
      <c r="EE167" t="e">
        <f>AND(Sheet1!M2244,"AAAAAD+/94Y=")</f>
        <v>#VALUE!</v>
      </c>
      <c r="EF167" t="e">
        <f>AND(Sheet1!N2244,"AAAAAD+/94c=")</f>
        <v>#VALUE!</v>
      </c>
      <c r="EG167" t="e">
        <f>AND(Sheet1!#REF!,"AAAAAD+/94g=")</f>
        <v>#REF!</v>
      </c>
      <c r="EH167" t="e">
        <f>AND(Sheet1!#REF!,"AAAAAD+/94k=")</f>
        <v>#REF!</v>
      </c>
      <c r="EI167" t="e">
        <f>AND(Sheet1!#REF!,"AAAAAD+/94o=")</f>
        <v>#REF!</v>
      </c>
      <c r="EJ167" t="e">
        <f>AND(Sheet1!#REF!,"AAAAAD+/94s=")</f>
        <v>#REF!</v>
      </c>
      <c r="EK167">
        <f>IF(Sheet1!2245:2245,"AAAAAD+/94w=",0)</f>
        <v>0</v>
      </c>
      <c r="EL167" t="e">
        <f>AND(Sheet1!A2245,"AAAAAD+/940=")</f>
        <v>#VALUE!</v>
      </c>
      <c r="EM167" t="e">
        <f>AND(Sheet1!B2245,"AAAAAD+/944=")</f>
        <v>#VALUE!</v>
      </c>
      <c r="EN167" t="e">
        <f>AND(Sheet1!C2245,"AAAAAD+/948=")</f>
        <v>#VALUE!</v>
      </c>
      <c r="EO167" t="e">
        <f>AND(Sheet1!D2245,"AAAAAD+/95A=")</f>
        <v>#VALUE!</v>
      </c>
      <c r="EP167" t="e">
        <f>AND(Sheet1!E2245,"AAAAAD+/95E=")</f>
        <v>#VALUE!</v>
      </c>
      <c r="EQ167" t="e">
        <f>AND(Sheet1!F2245,"AAAAAD+/95I=")</f>
        <v>#VALUE!</v>
      </c>
      <c r="ER167" t="e">
        <f>AND(Sheet1!G2245,"AAAAAD+/95M=")</f>
        <v>#VALUE!</v>
      </c>
      <c r="ES167" t="e">
        <f>AND(Sheet1!H2245,"AAAAAD+/95Q=")</f>
        <v>#VALUE!</v>
      </c>
      <c r="ET167" t="e">
        <f>AND(Sheet1!I2245,"AAAAAD+/95U=")</f>
        <v>#VALUE!</v>
      </c>
      <c r="EU167" t="e">
        <f>AND(Sheet1!J2245,"AAAAAD+/95Y=")</f>
        <v>#VALUE!</v>
      </c>
      <c r="EV167" t="e">
        <f>AND(Sheet1!K2245,"AAAAAD+/95c=")</f>
        <v>#VALUE!</v>
      </c>
      <c r="EW167" t="e">
        <f>AND(Sheet1!L2245,"AAAAAD+/95g=")</f>
        <v>#VALUE!</v>
      </c>
      <c r="EX167" t="e">
        <f>AND(Sheet1!M2245,"AAAAAD+/95k=")</f>
        <v>#VALUE!</v>
      </c>
      <c r="EY167" t="e">
        <f>AND(Sheet1!N2245,"AAAAAD+/95o=")</f>
        <v>#VALUE!</v>
      </c>
      <c r="EZ167" t="e">
        <f>AND(Sheet1!#REF!,"AAAAAD+/95s=")</f>
        <v>#REF!</v>
      </c>
      <c r="FA167" t="e">
        <f>AND(Sheet1!#REF!,"AAAAAD+/95w=")</f>
        <v>#REF!</v>
      </c>
      <c r="FB167" t="e">
        <f>AND(Sheet1!#REF!,"AAAAAD+/950=")</f>
        <v>#REF!</v>
      </c>
      <c r="FC167" t="e">
        <f>AND(Sheet1!#REF!,"AAAAAD+/954=")</f>
        <v>#REF!</v>
      </c>
      <c r="FD167">
        <f>IF(Sheet1!2246:2246,"AAAAAD+/958=",0)</f>
        <v>0</v>
      </c>
      <c r="FE167" t="e">
        <f>AND(Sheet1!A2246,"AAAAAD+/96A=")</f>
        <v>#VALUE!</v>
      </c>
      <c r="FF167" t="e">
        <f>AND(Sheet1!B2246,"AAAAAD+/96E=")</f>
        <v>#VALUE!</v>
      </c>
      <c r="FG167" t="e">
        <f>AND(Sheet1!C2246,"AAAAAD+/96I=")</f>
        <v>#VALUE!</v>
      </c>
      <c r="FH167" t="e">
        <f>AND(Sheet1!D2246,"AAAAAD+/96M=")</f>
        <v>#VALUE!</v>
      </c>
      <c r="FI167" t="e">
        <f>AND(Sheet1!E2246,"AAAAAD+/96Q=")</f>
        <v>#VALUE!</v>
      </c>
      <c r="FJ167" t="e">
        <f>AND(Sheet1!F2246,"AAAAAD+/96U=")</f>
        <v>#VALUE!</v>
      </c>
      <c r="FK167" t="e">
        <f>AND(Sheet1!G2246,"AAAAAD+/96Y=")</f>
        <v>#VALUE!</v>
      </c>
      <c r="FL167" t="e">
        <f>AND(Sheet1!H2246,"AAAAAD+/96c=")</f>
        <v>#VALUE!</v>
      </c>
      <c r="FM167" t="e">
        <f>AND(Sheet1!I2246,"AAAAAD+/96g=")</f>
        <v>#VALUE!</v>
      </c>
      <c r="FN167" t="e">
        <f>AND(Sheet1!J2246,"AAAAAD+/96k=")</f>
        <v>#VALUE!</v>
      </c>
      <c r="FO167" t="e">
        <f>AND(Sheet1!K2246,"AAAAAD+/96o=")</f>
        <v>#VALUE!</v>
      </c>
      <c r="FP167" t="e">
        <f>AND(Sheet1!L2246,"AAAAAD+/96s=")</f>
        <v>#VALUE!</v>
      </c>
      <c r="FQ167" t="e">
        <f>AND(Sheet1!M2246,"AAAAAD+/96w=")</f>
        <v>#VALUE!</v>
      </c>
      <c r="FR167" t="e">
        <f>AND(Sheet1!N2246,"AAAAAD+/960=")</f>
        <v>#VALUE!</v>
      </c>
      <c r="FS167" t="e">
        <f>AND(Sheet1!#REF!,"AAAAAD+/964=")</f>
        <v>#REF!</v>
      </c>
      <c r="FT167" t="e">
        <f>AND(Sheet1!#REF!,"AAAAAD+/968=")</f>
        <v>#REF!</v>
      </c>
      <c r="FU167" t="e">
        <f>AND(Sheet1!#REF!,"AAAAAD+/97A=")</f>
        <v>#REF!</v>
      </c>
      <c r="FV167" t="e">
        <f>AND(Sheet1!#REF!,"AAAAAD+/97E=")</f>
        <v>#REF!</v>
      </c>
      <c r="FW167">
        <f>IF(Sheet1!2247:2247,"AAAAAD+/97I=",0)</f>
        <v>0</v>
      </c>
      <c r="FX167" t="e">
        <f>AND(Sheet1!A2247,"AAAAAD+/97M=")</f>
        <v>#VALUE!</v>
      </c>
      <c r="FY167" t="e">
        <f>AND(Sheet1!B2247,"AAAAAD+/97Q=")</f>
        <v>#VALUE!</v>
      </c>
      <c r="FZ167" t="e">
        <f>AND(Sheet1!C2247,"AAAAAD+/97U=")</f>
        <v>#VALUE!</v>
      </c>
      <c r="GA167" t="e">
        <f>AND(Sheet1!D2247,"AAAAAD+/97Y=")</f>
        <v>#VALUE!</v>
      </c>
      <c r="GB167" t="e">
        <f>AND(Sheet1!E2247,"AAAAAD+/97c=")</f>
        <v>#VALUE!</v>
      </c>
      <c r="GC167" t="e">
        <f>AND(Sheet1!F2247,"AAAAAD+/97g=")</f>
        <v>#VALUE!</v>
      </c>
      <c r="GD167" t="e">
        <f>AND(Sheet1!G2247,"AAAAAD+/97k=")</f>
        <v>#VALUE!</v>
      </c>
      <c r="GE167" t="e">
        <f>AND(Sheet1!H2247,"AAAAAD+/97o=")</f>
        <v>#VALUE!</v>
      </c>
      <c r="GF167" t="e">
        <f>AND(Sheet1!I2247,"AAAAAD+/97s=")</f>
        <v>#VALUE!</v>
      </c>
      <c r="GG167" t="e">
        <f>AND(Sheet1!J2247,"AAAAAD+/97w=")</f>
        <v>#VALUE!</v>
      </c>
      <c r="GH167" t="e">
        <f>AND(Sheet1!K2247,"AAAAAD+/970=")</f>
        <v>#VALUE!</v>
      </c>
      <c r="GI167" t="e">
        <f>AND(Sheet1!L2247,"AAAAAD+/974=")</f>
        <v>#VALUE!</v>
      </c>
      <c r="GJ167" t="e">
        <f>AND(Sheet1!M2247,"AAAAAD+/978=")</f>
        <v>#VALUE!</v>
      </c>
      <c r="GK167" t="e">
        <f>AND(Sheet1!N2247,"AAAAAD+/98A=")</f>
        <v>#VALUE!</v>
      </c>
      <c r="GL167" t="e">
        <f>AND(Sheet1!#REF!,"AAAAAD+/98E=")</f>
        <v>#REF!</v>
      </c>
      <c r="GM167" t="e">
        <f>AND(Sheet1!#REF!,"AAAAAD+/98I=")</f>
        <v>#REF!</v>
      </c>
      <c r="GN167" t="e">
        <f>AND(Sheet1!#REF!,"AAAAAD+/98M=")</f>
        <v>#REF!</v>
      </c>
      <c r="GO167" t="e">
        <f>AND(Sheet1!#REF!,"AAAAAD+/98Q=")</f>
        <v>#REF!</v>
      </c>
      <c r="GP167">
        <f>IF(Sheet1!2248:2248,"AAAAAD+/98U=",0)</f>
        <v>0</v>
      </c>
      <c r="GQ167" t="e">
        <f>AND(Sheet1!A2248,"AAAAAD+/98Y=")</f>
        <v>#VALUE!</v>
      </c>
      <c r="GR167" t="e">
        <f>AND(Sheet1!B2248,"AAAAAD+/98c=")</f>
        <v>#VALUE!</v>
      </c>
      <c r="GS167" t="e">
        <f>AND(Sheet1!C2248,"AAAAAD+/98g=")</f>
        <v>#VALUE!</v>
      </c>
      <c r="GT167" t="e">
        <f>AND(Sheet1!D2248,"AAAAAD+/98k=")</f>
        <v>#VALUE!</v>
      </c>
      <c r="GU167" t="e">
        <f>AND(Sheet1!E2248,"AAAAAD+/98o=")</f>
        <v>#VALUE!</v>
      </c>
      <c r="GV167" t="e">
        <f>AND(Sheet1!F2248,"AAAAAD+/98s=")</f>
        <v>#VALUE!</v>
      </c>
      <c r="GW167" t="e">
        <f>AND(Sheet1!G2248,"AAAAAD+/98w=")</f>
        <v>#VALUE!</v>
      </c>
      <c r="GX167" t="e">
        <f>AND(Sheet1!H2248,"AAAAAD+/980=")</f>
        <v>#VALUE!</v>
      </c>
      <c r="GY167" t="e">
        <f>AND(Sheet1!I2248,"AAAAAD+/984=")</f>
        <v>#VALUE!</v>
      </c>
      <c r="GZ167" t="e">
        <f>AND(Sheet1!J2248,"AAAAAD+/988=")</f>
        <v>#VALUE!</v>
      </c>
      <c r="HA167" t="e">
        <f>AND(Sheet1!K2248,"AAAAAD+/99A=")</f>
        <v>#VALUE!</v>
      </c>
      <c r="HB167" t="e">
        <f>AND(Sheet1!L2248,"AAAAAD+/99E=")</f>
        <v>#VALUE!</v>
      </c>
      <c r="HC167" t="e">
        <f>AND(Sheet1!M2248,"AAAAAD+/99I=")</f>
        <v>#VALUE!</v>
      </c>
      <c r="HD167" t="e">
        <f>AND(Sheet1!N2248,"AAAAAD+/99M=")</f>
        <v>#VALUE!</v>
      </c>
      <c r="HE167" t="e">
        <f>AND(Sheet1!#REF!,"AAAAAD+/99Q=")</f>
        <v>#REF!</v>
      </c>
      <c r="HF167" t="e">
        <f>AND(Sheet1!#REF!,"AAAAAD+/99U=")</f>
        <v>#REF!</v>
      </c>
      <c r="HG167" t="e">
        <f>AND(Sheet1!#REF!,"AAAAAD+/99Y=")</f>
        <v>#REF!</v>
      </c>
      <c r="HH167" t="e">
        <f>AND(Sheet1!#REF!,"AAAAAD+/99c=")</f>
        <v>#REF!</v>
      </c>
      <c r="HI167">
        <f>IF(Sheet1!2249:2249,"AAAAAD+/99g=",0)</f>
        <v>0</v>
      </c>
      <c r="HJ167" t="e">
        <f>AND(Sheet1!A2249,"AAAAAD+/99k=")</f>
        <v>#VALUE!</v>
      </c>
      <c r="HK167" t="e">
        <f>AND(Sheet1!B2249,"AAAAAD+/99o=")</f>
        <v>#VALUE!</v>
      </c>
      <c r="HL167" t="e">
        <f>AND(Sheet1!C2249,"AAAAAD+/99s=")</f>
        <v>#VALUE!</v>
      </c>
      <c r="HM167" t="e">
        <f>AND(Sheet1!D2249,"AAAAAD+/99w=")</f>
        <v>#VALUE!</v>
      </c>
      <c r="HN167" t="e">
        <f>AND(Sheet1!E2249,"AAAAAD+/990=")</f>
        <v>#VALUE!</v>
      </c>
      <c r="HO167" t="e">
        <f>AND(Sheet1!F2249,"AAAAAD+/994=")</f>
        <v>#VALUE!</v>
      </c>
      <c r="HP167" t="e">
        <f>AND(Sheet1!G2249,"AAAAAD+/998=")</f>
        <v>#VALUE!</v>
      </c>
      <c r="HQ167" t="e">
        <f>AND(Sheet1!H2249,"AAAAAD+/9+A=")</f>
        <v>#VALUE!</v>
      </c>
      <c r="HR167" t="e">
        <f>AND(Sheet1!I2249,"AAAAAD+/9+E=")</f>
        <v>#VALUE!</v>
      </c>
      <c r="HS167" t="e">
        <f>AND(Sheet1!J2249,"AAAAAD+/9+I=")</f>
        <v>#VALUE!</v>
      </c>
      <c r="HT167" t="e">
        <f>AND(Sheet1!K2249,"AAAAAD+/9+M=")</f>
        <v>#VALUE!</v>
      </c>
      <c r="HU167" t="e">
        <f>AND(Sheet1!L2249,"AAAAAD+/9+Q=")</f>
        <v>#VALUE!</v>
      </c>
      <c r="HV167" t="e">
        <f>AND(Sheet1!M2249,"AAAAAD+/9+U=")</f>
        <v>#VALUE!</v>
      </c>
      <c r="HW167" t="e">
        <f>AND(Sheet1!N2249,"AAAAAD+/9+Y=")</f>
        <v>#VALUE!</v>
      </c>
      <c r="HX167" t="e">
        <f>AND(Sheet1!#REF!,"AAAAAD+/9+c=")</f>
        <v>#REF!</v>
      </c>
      <c r="HY167" t="e">
        <f>AND(Sheet1!#REF!,"AAAAAD+/9+g=")</f>
        <v>#REF!</v>
      </c>
      <c r="HZ167" t="e">
        <f>AND(Sheet1!#REF!,"AAAAAD+/9+k=")</f>
        <v>#REF!</v>
      </c>
      <c r="IA167" t="e">
        <f>AND(Sheet1!#REF!,"AAAAAD+/9+o=")</f>
        <v>#REF!</v>
      </c>
      <c r="IB167">
        <f>IF(Sheet1!2250:2250,"AAAAAD+/9+s=",0)</f>
        <v>0</v>
      </c>
      <c r="IC167" t="e">
        <f>AND(Sheet1!A2250,"AAAAAD+/9+w=")</f>
        <v>#VALUE!</v>
      </c>
      <c r="ID167" t="e">
        <f>AND(Sheet1!B2250,"AAAAAD+/9+0=")</f>
        <v>#VALUE!</v>
      </c>
      <c r="IE167" t="e">
        <f>AND(Sheet1!C2250,"AAAAAD+/9+4=")</f>
        <v>#VALUE!</v>
      </c>
      <c r="IF167" t="e">
        <f>AND(Sheet1!D2250,"AAAAAD+/9+8=")</f>
        <v>#VALUE!</v>
      </c>
      <c r="IG167" t="e">
        <f>AND(Sheet1!E2250,"AAAAAD+/9/A=")</f>
        <v>#VALUE!</v>
      </c>
      <c r="IH167" t="e">
        <f>AND(Sheet1!F2250,"AAAAAD+/9/E=")</f>
        <v>#VALUE!</v>
      </c>
      <c r="II167" t="e">
        <f>AND(Sheet1!G2250,"AAAAAD+/9/I=")</f>
        <v>#VALUE!</v>
      </c>
      <c r="IJ167" t="e">
        <f>AND(Sheet1!H2250,"AAAAAD+/9/M=")</f>
        <v>#VALUE!</v>
      </c>
      <c r="IK167" t="e">
        <f>AND(Sheet1!I2250,"AAAAAD+/9/Q=")</f>
        <v>#VALUE!</v>
      </c>
      <c r="IL167" t="e">
        <f>AND(Sheet1!J2250,"AAAAAD+/9/U=")</f>
        <v>#VALUE!</v>
      </c>
      <c r="IM167" t="e">
        <f>AND(Sheet1!K2250,"AAAAAD+/9/Y=")</f>
        <v>#VALUE!</v>
      </c>
      <c r="IN167" t="e">
        <f>AND(Sheet1!L2250,"AAAAAD+/9/c=")</f>
        <v>#VALUE!</v>
      </c>
      <c r="IO167" t="e">
        <f>AND(Sheet1!M2250,"AAAAAD+/9/g=")</f>
        <v>#VALUE!</v>
      </c>
      <c r="IP167" t="e">
        <f>AND(Sheet1!N2250,"AAAAAD+/9/k=")</f>
        <v>#VALUE!</v>
      </c>
      <c r="IQ167" t="e">
        <f>AND(Sheet1!#REF!,"AAAAAD+/9/o=")</f>
        <v>#REF!</v>
      </c>
      <c r="IR167" t="e">
        <f>AND(Sheet1!#REF!,"AAAAAD+/9/s=")</f>
        <v>#REF!</v>
      </c>
      <c r="IS167" t="e">
        <f>AND(Sheet1!#REF!,"AAAAAD+/9/w=")</f>
        <v>#REF!</v>
      </c>
      <c r="IT167" t="e">
        <f>AND(Sheet1!#REF!,"AAAAAD+/9/0=")</f>
        <v>#REF!</v>
      </c>
      <c r="IU167">
        <f>IF(Sheet1!2251:2251,"AAAAAD+/9/4=",0)</f>
        <v>0</v>
      </c>
      <c r="IV167" t="e">
        <f>AND(Sheet1!A2251,"AAAAAD+/9/8=")</f>
        <v>#VALUE!</v>
      </c>
    </row>
    <row r="168" spans="1:256" x14ac:dyDescent="0.2">
      <c r="A168" t="e">
        <f>AND(Sheet1!B2251,"AAAAAE8XVAA=")</f>
        <v>#VALUE!</v>
      </c>
      <c r="B168" t="e">
        <f>AND(Sheet1!C2251,"AAAAAE8XVAE=")</f>
        <v>#VALUE!</v>
      </c>
      <c r="C168" t="e">
        <f>AND(Sheet1!D2251,"AAAAAE8XVAI=")</f>
        <v>#VALUE!</v>
      </c>
      <c r="D168" t="e">
        <f>AND(Sheet1!E2251,"AAAAAE8XVAM=")</f>
        <v>#VALUE!</v>
      </c>
      <c r="E168" t="e">
        <f>AND(Sheet1!F2251,"AAAAAE8XVAQ=")</f>
        <v>#VALUE!</v>
      </c>
      <c r="F168" t="e">
        <f>AND(Sheet1!G2251,"AAAAAE8XVAU=")</f>
        <v>#VALUE!</v>
      </c>
      <c r="G168" t="e">
        <f>AND(Sheet1!H2251,"AAAAAE8XVAY=")</f>
        <v>#VALUE!</v>
      </c>
      <c r="H168" t="e">
        <f>AND(Sheet1!I2251,"AAAAAE8XVAc=")</f>
        <v>#VALUE!</v>
      </c>
      <c r="I168" t="e">
        <f>AND(Sheet1!J2251,"AAAAAE8XVAg=")</f>
        <v>#VALUE!</v>
      </c>
      <c r="J168" t="e">
        <f>AND(Sheet1!K2251,"AAAAAE8XVAk=")</f>
        <v>#VALUE!</v>
      </c>
      <c r="K168" t="e">
        <f>AND(Sheet1!L2251,"AAAAAE8XVAo=")</f>
        <v>#VALUE!</v>
      </c>
      <c r="L168" t="e">
        <f>AND(Sheet1!M2251,"AAAAAE8XVAs=")</f>
        <v>#VALUE!</v>
      </c>
      <c r="M168" t="e">
        <f>AND(Sheet1!N2251,"AAAAAE8XVAw=")</f>
        <v>#VALUE!</v>
      </c>
      <c r="N168" t="e">
        <f>AND(Sheet1!#REF!,"AAAAAE8XVA0=")</f>
        <v>#REF!</v>
      </c>
      <c r="O168" t="e">
        <f>AND(Sheet1!#REF!,"AAAAAE8XVA4=")</f>
        <v>#REF!</v>
      </c>
      <c r="P168" t="e">
        <f>AND(Sheet1!#REF!,"AAAAAE8XVA8=")</f>
        <v>#REF!</v>
      </c>
      <c r="Q168" t="e">
        <f>AND(Sheet1!#REF!,"AAAAAE8XVBA=")</f>
        <v>#REF!</v>
      </c>
      <c r="R168">
        <f>IF(Sheet1!2252:2252,"AAAAAE8XVBE=",0)</f>
        <v>0</v>
      </c>
      <c r="S168" t="e">
        <f>AND(Sheet1!A2252,"AAAAAE8XVBI=")</f>
        <v>#VALUE!</v>
      </c>
      <c r="T168" t="e">
        <f>AND(Sheet1!B2252,"AAAAAE8XVBM=")</f>
        <v>#VALUE!</v>
      </c>
      <c r="U168" t="e">
        <f>AND(Sheet1!C2252,"AAAAAE8XVBQ=")</f>
        <v>#VALUE!</v>
      </c>
      <c r="V168" t="e">
        <f>AND(Sheet1!D2252,"AAAAAE8XVBU=")</f>
        <v>#VALUE!</v>
      </c>
      <c r="W168" t="e">
        <f>AND(Sheet1!E2252,"AAAAAE8XVBY=")</f>
        <v>#VALUE!</v>
      </c>
      <c r="X168" t="e">
        <f>AND(Sheet1!F2252,"AAAAAE8XVBc=")</f>
        <v>#VALUE!</v>
      </c>
      <c r="Y168" t="e">
        <f>AND(Sheet1!G2252,"AAAAAE8XVBg=")</f>
        <v>#VALUE!</v>
      </c>
      <c r="Z168" t="e">
        <f>AND(Sheet1!H2252,"AAAAAE8XVBk=")</f>
        <v>#VALUE!</v>
      </c>
      <c r="AA168" t="e">
        <f>AND(Sheet1!I2252,"AAAAAE8XVBo=")</f>
        <v>#VALUE!</v>
      </c>
      <c r="AB168" t="e">
        <f>AND(Sheet1!J2252,"AAAAAE8XVBs=")</f>
        <v>#VALUE!</v>
      </c>
      <c r="AC168" t="e">
        <f>AND(Sheet1!K2252,"AAAAAE8XVBw=")</f>
        <v>#VALUE!</v>
      </c>
      <c r="AD168" t="e">
        <f>AND(Sheet1!L2252,"AAAAAE8XVB0=")</f>
        <v>#VALUE!</v>
      </c>
      <c r="AE168" t="e">
        <f>AND(Sheet1!M2252,"AAAAAE8XVB4=")</f>
        <v>#VALUE!</v>
      </c>
      <c r="AF168" t="e">
        <f>AND(Sheet1!N2252,"AAAAAE8XVB8=")</f>
        <v>#VALUE!</v>
      </c>
      <c r="AG168" t="e">
        <f>AND(Sheet1!#REF!,"AAAAAE8XVCA=")</f>
        <v>#REF!</v>
      </c>
      <c r="AH168" t="e">
        <f>AND(Sheet1!#REF!,"AAAAAE8XVCE=")</f>
        <v>#REF!</v>
      </c>
      <c r="AI168" t="e">
        <f>AND(Sheet1!#REF!,"AAAAAE8XVCI=")</f>
        <v>#REF!</v>
      </c>
      <c r="AJ168" t="e">
        <f>AND(Sheet1!#REF!,"AAAAAE8XVCM=")</f>
        <v>#REF!</v>
      </c>
      <c r="AK168">
        <f>IF(Sheet1!2253:2253,"AAAAAE8XVCQ=",0)</f>
        <v>0</v>
      </c>
      <c r="AL168" t="e">
        <f>AND(Sheet1!A2253,"AAAAAE8XVCU=")</f>
        <v>#VALUE!</v>
      </c>
      <c r="AM168" t="e">
        <f>AND(Sheet1!B2253,"AAAAAE8XVCY=")</f>
        <v>#VALUE!</v>
      </c>
      <c r="AN168" t="e">
        <f>AND(Sheet1!C2253,"AAAAAE8XVCc=")</f>
        <v>#VALUE!</v>
      </c>
      <c r="AO168" t="e">
        <f>AND(Sheet1!D2253,"AAAAAE8XVCg=")</f>
        <v>#VALUE!</v>
      </c>
      <c r="AP168" t="e">
        <f>AND(Sheet1!E2253,"AAAAAE8XVCk=")</f>
        <v>#VALUE!</v>
      </c>
      <c r="AQ168" t="e">
        <f>AND(Sheet1!F2253,"AAAAAE8XVCo=")</f>
        <v>#VALUE!</v>
      </c>
      <c r="AR168" t="e">
        <f>AND(Sheet1!G2253,"AAAAAE8XVCs=")</f>
        <v>#VALUE!</v>
      </c>
      <c r="AS168" t="e">
        <f>AND(Sheet1!H2253,"AAAAAE8XVCw=")</f>
        <v>#VALUE!</v>
      </c>
      <c r="AT168" t="e">
        <f>AND(Sheet1!I2253,"AAAAAE8XVC0=")</f>
        <v>#VALUE!</v>
      </c>
      <c r="AU168" t="e">
        <f>AND(Sheet1!J2253,"AAAAAE8XVC4=")</f>
        <v>#VALUE!</v>
      </c>
      <c r="AV168" t="e">
        <f>AND(Sheet1!K2253,"AAAAAE8XVC8=")</f>
        <v>#VALUE!</v>
      </c>
      <c r="AW168" t="e">
        <f>AND(Sheet1!L2253,"AAAAAE8XVDA=")</f>
        <v>#VALUE!</v>
      </c>
      <c r="AX168" t="e">
        <f>AND(Sheet1!M2253,"AAAAAE8XVDE=")</f>
        <v>#VALUE!</v>
      </c>
      <c r="AY168" t="e">
        <f>AND(Sheet1!N2253,"AAAAAE8XVDI=")</f>
        <v>#VALUE!</v>
      </c>
      <c r="AZ168" t="e">
        <f>AND(Sheet1!#REF!,"AAAAAE8XVDM=")</f>
        <v>#REF!</v>
      </c>
      <c r="BA168" t="e">
        <f>AND(Sheet1!#REF!,"AAAAAE8XVDQ=")</f>
        <v>#REF!</v>
      </c>
      <c r="BB168" t="e">
        <f>AND(Sheet1!#REF!,"AAAAAE8XVDU=")</f>
        <v>#REF!</v>
      </c>
      <c r="BC168" t="e">
        <f>AND(Sheet1!#REF!,"AAAAAE8XVDY=")</f>
        <v>#REF!</v>
      </c>
      <c r="BD168">
        <f>IF(Sheet1!2254:2254,"AAAAAE8XVDc=",0)</f>
        <v>0</v>
      </c>
      <c r="BE168" t="e">
        <f>AND(Sheet1!A2254,"AAAAAE8XVDg=")</f>
        <v>#VALUE!</v>
      </c>
      <c r="BF168" t="e">
        <f>AND(Sheet1!B2254,"AAAAAE8XVDk=")</f>
        <v>#VALUE!</v>
      </c>
      <c r="BG168" t="e">
        <f>AND(Sheet1!C2254,"AAAAAE8XVDo=")</f>
        <v>#VALUE!</v>
      </c>
      <c r="BH168" t="e">
        <f>AND(Sheet1!D2254,"AAAAAE8XVDs=")</f>
        <v>#VALUE!</v>
      </c>
      <c r="BI168" t="e">
        <f>AND(Sheet1!E2254,"AAAAAE8XVDw=")</f>
        <v>#VALUE!</v>
      </c>
      <c r="BJ168" t="e">
        <f>AND(Sheet1!F2254,"AAAAAE8XVD0=")</f>
        <v>#VALUE!</v>
      </c>
      <c r="BK168" t="e">
        <f>AND(Sheet1!G2254,"AAAAAE8XVD4=")</f>
        <v>#VALUE!</v>
      </c>
      <c r="BL168" t="e">
        <f>AND(Sheet1!H2254,"AAAAAE8XVD8=")</f>
        <v>#VALUE!</v>
      </c>
      <c r="BM168" t="e">
        <f>AND(Sheet1!I2254,"AAAAAE8XVEA=")</f>
        <v>#VALUE!</v>
      </c>
      <c r="BN168" t="e">
        <f>AND(Sheet1!J2254,"AAAAAE8XVEE=")</f>
        <v>#VALUE!</v>
      </c>
      <c r="BO168" t="e">
        <f>AND(Sheet1!K2254,"AAAAAE8XVEI=")</f>
        <v>#VALUE!</v>
      </c>
      <c r="BP168" t="e">
        <f>AND(Sheet1!L2254,"AAAAAE8XVEM=")</f>
        <v>#VALUE!</v>
      </c>
      <c r="BQ168" t="e">
        <f>AND(Sheet1!M2254,"AAAAAE8XVEQ=")</f>
        <v>#VALUE!</v>
      </c>
      <c r="BR168" t="e">
        <f>AND(Sheet1!N2254,"AAAAAE8XVEU=")</f>
        <v>#VALUE!</v>
      </c>
      <c r="BS168" t="e">
        <f>AND(Sheet1!#REF!,"AAAAAE8XVEY=")</f>
        <v>#REF!</v>
      </c>
      <c r="BT168" t="e">
        <f>AND(Sheet1!#REF!,"AAAAAE8XVEc=")</f>
        <v>#REF!</v>
      </c>
      <c r="BU168" t="e">
        <f>AND(Sheet1!#REF!,"AAAAAE8XVEg=")</f>
        <v>#REF!</v>
      </c>
      <c r="BV168" t="e">
        <f>AND(Sheet1!#REF!,"AAAAAE8XVEk=")</f>
        <v>#REF!</v>
      </c>
      <c r="BW168">
        <f>IF(Sheet1!2255:2255,"AAAAAE8XVEo=",0)</f>
        <v>0</v>
      </c>
      <c r="BX168" t="e">
        <f>AND(Sheet1!A2255,"AAAAAE8XVEs=")</f>
        <v>#VALUE!</v>
      </c>
      <c r="BY168" t="e">
        <f>AND(Sheet1!B2255,"AAAAAE8XVEw=")</f>
        <v>#VALUE!</v>
      </c>
      <c r="BZ168" t="e">
        <f>AND(Sheet1!C2255,"AAAAAE8XVE0=")</f>
        <v>#VALUE!</v>
      </c>
      <c r="CA168" t="e">
        <f>AND(Sheet1!D2255,"AAAAAE8XVE4=")</f>
        <v>#VALUE!</v>
      </c>
      <c r="CB168" t="e">
        <f>AND(Sheet1!E2255,"AAAAAE8XVE8=")</f>
        <v>#VALUE!</v>
      </c>
      <c r="CC168" t="e">
        <f>AND(Sheet1!F2255,"AAAAAE8XVFA=")</f>
        <v>#VALUE!</v>
      </c>
      <c r="CD168" t="e">
        <f>AND(Sheet1!G2255,"AAAAAE8XVFE=")</f>
        <v>#VALUE!</v>
      </c>
      <c r="CE168" t="e">
        <f>AND(Sheet1!H2255,"AAAAAE8XVFI=")</f>
        <v>#VALUE!</v>
      </c>
      <c r="CF168" t="e">
        <f>AND(Sheet1!I2255,"AAAAAE8XVFM=")</f>
        <v>#VALUE!</v>
      </c>
      <c r="CG168" t="e">
        <f>AND(Sheet1!J2255,"AAAAAE8XVFQ=")</f>
        <v>#VALUE!</v>
      </c>
      <c r="CH168" t="e">
        <f>AND(Sheet1!K2255,"AAAAAE8XVFU=")</f>
        <v>#VALUE!</v>
      </c>
      <c r="CI168" t="e">
        <f>AND(Sheet1!L2255,"AAAAAE8XVFY=")</f>
        <v>#VALUE!</v>
      </c>
      <c r="CJ168" t="e">
        <f>AND(Sheet1!M2255,"AAAAAE8XVFc=")</f>
        <v>#VALUE!</v>
      </c>
      <c r="CK168" t="e">
        <f>AND(Sheet1!N2255,"AAAAAE8XVFg=")</f>
        <v>#VALUE!</v>
      </c>
      <c r="CL168" t="e">
        <f>AND(Sheet1!#REF!,"AAAAAE8XVFk=")</f>
        <v>#REF!</v>
      </c>
      <c r="CM168" t="e">
        <f>AND(Sheet1!#REF!,"AAAAAE8XVFo=")</f>
        <v>#REF!</v>
      </c>
      <c r="CN168" t="e">
        <f>AND(Sheet1!#REF!,"AAAAAE8XVFs=")</f>
        <v>#REF!</v>
      </c>
      <c r="CO168" t="e">
        <f>AND(Sheet1!#REF!,"AAAAAE8XVFw=")</f>
        <v>#REF!</v>
      </c>
      <c r="CP168">
        <f>IF(Sheet1!2256:2256,"AAAAAE8XVF0=",0)</f>
        <v>0</v>
      </c>
      <c r="CQ168" t="e">
        <f>AND(Sheet1!A2256,"AAAAAE8XVF4=")</f>
        <v>#VALUE!</v>
      </c>
      <c r="CR168" t="e">
        <f>AND(Sheet1!B2256,"AAAAAE8XVF8=")</f>
        <v>#VALUE!</v>
      </c>
      <c r="CS168" t="e">
        <f>AND(Sheet1!C2256,"AAAAAE8XVGA=")</f>
        <v>#VALUE!</v>
      </c>
      <c r="CT168" t="e">
        <f>AND(Sheet1!D2256,"AAAAAE8XVGE=")</f>
        <v>#VALUE!</v>
      </c>
      <c r="CU168" t="e">
        <f>AND(Sheet1!E2256,"AAAAAE8XVGI=")</f>
        <v>#VALUE!</v>
      </c>
      <c r="CV168" t="e">
        <f>AND(Sheet1!F2256,"AAAAAE8XVGM=")</f>
        <v>#VALUE!</v>
      </c>
      <c r="CW168" t="e">
        <f>AND(Sheet1!G2256,"AAAAAE8XVGQ=")</f>
        <v>#VALUE!</v>
      </c>
      <c r="CX168" t="e">
        <f>AND(Sheet1!H2256,"AAAAAE8XVGU=")</f>
        <v>#VALUE!</v>
      </c>
      <c r="CY168" t="e">
        <f>AND(Sheet1!I2256,"AAAAAE8XVGY=")</f>
        <v>#VALUE!</v>
      </c>
      <c r="CZ168" t="e">
        <f>AND(Sheet1!J2256,"AAAAAE8XVGc=")</f>
        <v>#VALUE!</v>
      </c>
      <c r="DA168" t="e">
        <f>AND(Sheet1!K2256,"AAAAAE8XVGg=")</f>
        <v>#VALUE!</v>
      </c>
      <c r="DB168" t="e">
        <f>AND(Sheet1!L2256,"AAAAAE8XVGk=")</f>
        <v>#VALUE!</v>
      </c>
      <c r="DC168" t="e">
        <f>AND(Sheet1!M2256,"AAAAAE8XVGo=")</f>
        <v>#VALUE!</v>
      </c>
      <c r="DD168" t="e">
        <f>AND(Sheet1!N2256,"AAAAAE8XVGs=")</f>
        <v>#VALUE!</v>
      </c>
      <c r="DE168" t="e">
        <f>AND(Sheet1!#REF!,"AAAAAE8XVGw=")</f>
        <v>#REF!</v>
      </c>
      <c r="DF168" t="e">
        <f>AND(Sheet1!#REF!,"AAAAAE8XVG0=")</f>
        <v>#REF!</v>
      </c>
      <c r="DG168" t="e">
        <f>AND(Sheet1!#REF!,"AAAAAE8XVG4=")</f>
        <v>#REF!</v>
      </c>
      <c r="DH168" t="e">
        <f>AND(Sheet1!#REF!,"AAAAAE8XVG8=")</f>
        <v>#REF!</v>
      </c>
      <c r="DI168">
        <f>IF(Sheet1!2257:2257,"AAAAAE8XVHA=",0)</f>
        <v>0</v>
      </c>
      <c r="DJ168" t="e">
        <f>AND(Sheet1!A2257,"AAAAAE8XVHE=")</f>
        <v>#VALUE!</v>
      </c>
      <c r="DK168" t="e">
        <f>AND(Sheet1!B2257,"AAAAAE8XVHI=")</f>
        <v>#VALUE!</v>
      </c>
      <c r="DL168" t="e">
        <f>AND(Sheet1!C2257,"AAAAAE8XVHM=")</f>
        <v>#VALUE!</v>
      </c>
      <c r="DM168" t="e">
        <f>AND(Sheet1!D2257,"AAAAAE8XVHQ=")</f>
        <v>#VALUE!</v>
      </c>
      <c r="DN168" t="e">
        <f>AND(Sheet1!E2257,"AAAAAE8XVHU=")</f>
        <v>#VALUE!</v>
      </c>
      <c r="DO168" t="e">
        <f>AND(Sheet1!F2257,"AAAAAE8XVHY=")</f>
        <v>#VALUE!</v>
      </c>
      <c r="DP168" t="e">
        <f>AND(Sheet1!G2257,"AAAAAE8XVHc=")</f>
        <v>#VALUE!</v>
      </c>
      <c r="DQ168" t="e">
        <f>AND(Sheet1!H2257,"AAAAAE8XVHg=")</f>
        <v>#VALUE!</v>
      </c>
      <c r="DR168" t="e">
        <f>AND(Sheet1!I2257,"AAAAAE8XVHk=")</f>
        <v>#VALUE!</v>
      </c>
      <c r="DS168" t="e">
        <f>AND(Sheet1!J2257,"AAAAAE8XVHo=")</f>
        <v>#VALUE!</v>
      </c>
      <c r="DT168" t="e">
        <f>AND(Sheet1!K2257,"AAAAAE8XVHs=")</f>
        <v>#VALUE!</v>
      </c>
      <c r="DU168" t="e">
        <f>AND(Sheet1!L2257,"AAAAAE8XVHw=")</f>
        <v>#VALUE!</v>
      </c>
      <c r="DV168" t="e">
        <f>AND(Sheet1!M2257,"AAAAAE8XVH0=")</f>
        <v>#VALUE!</v>
      </c>
      <c r="DW168" t="e">
        <f>AND(Sheet1!N2257,"AAAAAE8XVH4=")</f>
        <v>#VALUE!</v>
      </c>
      <c r="DX168" t="e">
        <f>AND(Sheet1!#REF!,"AAAAAE8XVH8=")</f>
        <v>#REF!</v>
      </c>
      <c r="DY168" t="e">
        <f>AND(Sheet1!#REF!,"AAAAAE8XVIA=")</f>
        <v>#REF!</v>
      </c>
      <c r="DZ168" t="e">
        <f>AND(Sheet1!#REF!,"AAAAAE8XVIE=")</f>
        <v>#REF!</v>
      </c>
      <c r="EA168" t="e">
        <f>AND(Sheet1!#REF!,"AAAAAE8XVII=")</f>
        <v>#REF!</v>
      </c>
      <c r="EB168">
        <f>IF(Sheet1!2258:2258,"AAAAAE8XVIM=",0)</f>
        <v>0</v>
      </c>
      <c r="EC168" t="e">
        <f>AND(Sheet1!A2258,"AAAAAE8XVIQ=")</f>
        <v>#VALUE!</v>
      </c>
      <c r="ED168" t="e">
        <f>AND(Sheet1!B2258,"AAAAAE8XVIU=")</f>
        <v>#VALUE!</v>
      </c>
      <c r="EE168" t="e">
        <f>AND(Sheet1!C2258,"AAAAAE8XVIY=")</f>
        <v>#VALUE!</v>
      </c>
      <c r="EF168" t="e">
        <f>AND(Sheet1!D2258,"AAAAAE8XVIc=")</f>
        <v>#VALUE!</v>
      </c>
      <c r="EG168" t="e">
        <f>AND(Sheet1!E2258,"AAAAAE8XVIg=")</f>
        <v>#VALUE!</v>
      </c>
      <c r="EH168" t="e">
        <f>AND(Sheet1!F2258,"AAAAAE8XVIk=")</f>
        <v>#VALUE!</v>
      </c>
      <c r="EI168" t="e">
        <f>AND(Sheet1!G2258,"AAAAAE8XVIo=")</f>
        <v>#VALUE!</v>
      </c>
      <c r="EJ168" t="e">
        <f>AND(Sheet1!H2258,"AAAAAE8XVIs=")</f>
        <v>#VALUE!</v>
      </c>
      <c r="EK168" t="e">
        <f>AND(Sheet1!I2258,"AAAAAE8XVIw=")</f>
        <v>#VALUE!</v>
      </c>
      <c r="EL168" t="e">
        <f>AND(Sheet1!J2258,"AAAAAE8XVI0=")</f>
        <v>#VALUE!</v>
      </c>
      <c r="EM168" t="e">
        <f>AND(Sheet1!K2258,"AAAAAE8XVI4=")</f>
        <v>#VALUE!</v>
      </c>
      <c r="EN168" t="e">
        <f>AND(Sheet1!L2258,"AAAAAE8XVI8=")</f>
        <v>#VALUE!</v>
      </c>
      <c r="EO168" t="e">
        <f>AND(Sheet1!M2258,"AAAAAE8XVJA=")</f>
        <v>#VALUE!</v>
      </c>
      <c r="EP168" t="e">
        <f>AND(Sheet1!N2258,"AAAAAE8XVJE=")</f>
        <v>#VALUE!</v>
      </c>
      <c r="EQ168" t="e">
        <f>AND(Sheet1!#REF!,"AAAAAE8XVJI=")</f>
        <v>#REF!</v>
      </c>
      <c r="ER168" t="e">
        <f>AND(Sheet1!#REF!,"AAAAAE8XVJM=")</f>
        <v>#REF!</v>
      </c>
      <c r="ES168" t="e">
        <f>AND(Sheet1!#REF!,"AAAAAE8XVJQ=")</f>
        <v>#REF!</v>
      </c>
      <c r="ET168" t="e">
        <f>AND(Sheet1!#REF!,"AAAAAE8XVJU=")</f>
        <v>#REF!</v>
      </c>
      <c r="EU168">
        <f>IF(Sheet1!2259:2259,"AAAAAE8XVJY=",0)</f>
        <v>0</v>
      </c>
      <c r="EV168" t="e">
        <f>AND(Sheet1!A2259,"AAAAAE8XVJc=")</f>
        <v>#VALUE!</v>
      </c>
      <c r="EW168" t="e">
        <f>AND(Sheet1!B2259,"AAAAAE8XVJg=")</f>
        <v>#VALUE!</v>
      </c>
      <c r="EX168" t="e">
        <f>AND(Sheet1!C2259,"AAAAAE8XVJk=")</f>
        <v>#VALUE!</v>
      </c>
      <c r="EY168" t="e">
        <f>AND(Sheet1!D2259,"AAAAAE8XVJo=")</f>
        <v>#VALUE!</v>
      </c>
      <c r="EZ168" t="e">
        <f>AND(Sheet1!E2259,"AAAAAE8XVJs=")</f>
        <v>#VALUE!</v>
      </c>
      <c r="FA168" t="e">
        <f>AND(Sheet1!F2259,"AAAAAE8XVJw=")</f>
        <v>#VALUE!</v>
      </c>
      <c r="FB168" t="e">
        <f>AND(Sheet1!G2259,"AAAAAE8XVJ0=")</f>
        <v>#VALUE!</v>
      </c>
      <c r="FC168" t="e">
        <f>AND(Sheet1!H2259,"AAAAAE8XVJ4=")</f>
        <v>#VALUE!</v>
      </c>
      <c r="FD168" t="e">
        <f>AND(Sheet1!I2259,"AAAAAE8XVJ8=")</f>
        <v>#VALUE!</v>
      </c>
      <c r="FE168" t="e">
        <f>AND(Sheet1!J2259,"AAAAAE8XVKA=")</f>
        <v>#VALUE!</v>
      </c>
      <c r="FF168" t="e">
        <f>AND(Sheet1!K2259,"AAAAAE8XVKE=")</f>
        <v>#VALUE!</v>
      </c>
      <c r="FG168" t="e">
        <f>AND(Sheet1!L2259,"AAAAAE8XVKI=")</f>
        <v>#VALUE!</v>
      </c>
      <c r="FH168" t="e">
        <f>AND(Sheet1!M2259,"AAAAAE8XVKM=")</f>
        <v>#VALUE!</v>
      </c>
      <c r="FI168" t="e">
        <f>AND(Sheet1!N2259,"AAAAAE8XVKQ=")</f>
        <v>#VALUE!</v>
      </c>
      <c r="FJ168" t="e">
        <f>AND(Sheet1!#REF!,"AAAAAE8XVKU=")</f>
        <v>#REF!</v>
      </c>
      <c r="FK168" t="e">
        <f>AND(Sheet1!#REF!,"AAAAAE8XVKY=")</f>
        <v>#REF!</v>
      </c>
      <c r="FL168" t="e">
        <f>AND(Sheet1!#REF!,"AAAAAE8XVKc=")</f>
        <v>#REF!</v>
      </c>
      <c r="FM168" t="e">
        <f>AND(Sheet1!#REF!,"AAAAAE8XVKg=")</f>
        <v>#REF!</v>
      </c>
      <c r="FN168">
        <f>IF(Sheet1!2260:2260,"AAAAAE8XVKk=",0)</f>
        <v>0</v>
      </c>
      <c r="FO168" t="e">
        <f>AND(Sheet1!A2260,"AAAAAE8XVKo=")</f>
        <v>#VALUE!</v>
      </c>
      <c r="FP168" t="e">
        <f>AND(Sheet1!B2260,"AAAAAE8XVKs=")</f>
        <v>#VALUE!</v>
      </c>
      <c r="FQ168" t="e">
        <f>AND(Sheet1!C2260,"AAAAAE8XVKw=")</f>
        <v>#VALUE!</v>
      </c>
      <c r="FR168" t="e">
        <f>AND(Sheet1!D2260,"AAAAAE8XVK0=")</f>
        <v>#VALUE!</v>
      </c>
      <c r="FS168" t="e">
        <f>AND(Sheet1!E2260,"AAAAAE8XVK4=")</f>
        <v>#VALUE!</v>
      </c>
      <c r="FT168" t="e">
        <f>AND(Sheet1!F2260,"AAAAAE8XVK8=")</f>
        <v>#VALUE!</v>
      </c>
      <c r="FU168" t="e">
        <f>AND(Sheet1!G2260,"AAAAAE8XVLA=")</f>
        <v>#VALUE!</v>
      </c>
      <c r="FV168" t="e">
        <f>AND(Sheet1!H2260,"AAAAAE8XVLE=")</f>
        <v>#VALUE!</v>
      </c>
      <c r="FW168" t="e">
        <f>AND(Sheet1!I2260,"AAAAAE8XVLI=")</f>
        <v>#VALUE!</v>
      </c>
      <c r="FX168" t="e">
        <f>AND(Sheet1!J2260,"AAAAAE8XVLM=")</f>
        <v>#VALUE!</v>
      </c>
      <c r="FY168" t="e">
        <f>AND(Sheet1!K2260,"AAAAAE8XVLQ=")</f>
        <v>#VALUE!</v>
      </c>
      <c r="FZ168" t="e">
        <f>AND(Sheet1!L2260,"AAAAAE8XVLU=")</f>
        <v>#VALUE!</v>
      </c>
      <c r="GA168" t="e">
        <f>AND(Sheet1!M2260,"AAAAAE8XVLY=")</f>
        <v>#VALUE!</v>
      </c>
      <c r="GB168" t="e">
        <f>AND(Sheet1!N2260,"AAAAAE8XVLc=")</f>
        <v>#VALUE!</v>
      </c>
      <c r="GC168" t="e">
        <f>AND(Sheet1!#REF!,"AAAAAE8XVLg=")</f>
        <v>#REF!</v>
      </c>
      <c r="GD168" t="e">
        <f>AND(Sheet1!#REF!,"AAAAAE8XVLk=")</f>
        <v>#REF!</v>
      </c>
      <c r="GE168" t="e">
        <f>AND(Sheet1!#REF!,"AAAAAE8XVLo=")</f>
        <v>#REF!</v>
      </c>
      <c r="GF168" t="e">
        <f>AND(Sheet1!#REF!,"AAAAAE8XVLs=")</f>
        <v>#REF!</v>
      </c>
      <c r="GG168">
        <f>IF(Sheet1!2261:2261,"AAAAAE8XVLw=",0)</f>
        <v>0</v>
      </c>
      <c r="GH168" t="e">
        <f>AND(Sheet1!A2261,"AAAAAE8XVL0=")</f>
        <v>#VALUE!</v>
      </c>
      <c r="GI168" t="e">
        <f>AND(Sheet1!B2261,"AAAAAE8XVL4=")</f>
        <v>#VALUE!</v>
      </c>
      <c r="GJ168" t="e">
        <f>AND(Sheet1!C2261,"AAAAAE8XVL8=")</f>
        <v>#VALUE!</v>
      </c>
      <c r="GK168" t="e">
        <f>AND(Sheet1!D2261,"AAAAAE8XVMA=")</f>
        <v>#VALUE!</v>
      </c>
      <c r="GL168" t="e">
        <f>AND(Sheet1!E2261,"AAAAAE8XVME=")</f>
        <v>#VALUE!</v>
      </c>
      <c r="GM168" t="e">
        <f>AND(Sheet1!F2261,"AAAAAE8XVMI=")</f>
        <v>#VALUE!</v>
      </c>
      <c r="GN168" t="e">
        <f>AND(Sheet1!G2261,"AAAAAE8XVMM=")</f>
        <v>#VALUE!</v>
      </c>
      <c r="GO168" t="e">
        <f>AND(Sheet1!H2261,"AAAAAE8XVMQ=")</f>
        <v>#VALUE!</v>
      </c>
      <c r="GP168" t="e">
        <f>AND(Sheet1!I2261,"AAAAAE8XVMU=")</f>
        <v>#VALUE!</v>
      </c>
      <c r="GQ168" t="e">
        <f>AND(Sheet1!J2261,"AAAAAE8XVMY=")</f>
        <v>#VALUE!</v>
      </c>
      <c r="GR168" t="e">
        <f>AND(Sheet1!K2261,"AAAAAE8XVMc=")</f>
        <v>#VALUE!</v>
      </c>
      <c r="GS168" t="e">
        <f>AND(Sheet1!L2261,"AAAAAE8XVMg=")</f>
        <v>#VALUE!</v>
      </c>
      <c r="GT168" t="e">
        <f>AND(Sheet1!M2261,"AAAAAE8XVMk=")</f>
        <v>#VALUE!</v>
      </c>
      <c r="GU168" t="e">
        <f>AND(Sheet1!N2261,"AAAAAE8XVMo=")</f>
        <v>#VALUE!</v>
      </c>
      <c r="GV168" t="e">
        <f>AND(Sheet1!#REF!,"AAAAAE8XVMs=")</f>
        <v>#REF!</v>
      </c>
      <c r="GW168" t="e">
        <f>AND(Sheet1!#REF!,"AAAAAE8XVMw=")</f>
        <v>#REF!</v>
      </c>
      <c r="GX168" t="e">
        <f>AND(Sheet1!#REF!,"AAAAAE8XVM0=")</f>
        <v>#REF!</v>
      </c>
      <c r="GY168" t="e">
        <f>AND(Sheet1!#REF!,"AAAAAE8XVM4=")</f>
        <v>#REF!</v>
      </c>
      <c r="GZ168">
        <f>IF(Sheet1!2262:2262,"AAAAAE8XVM8=",0)</f>
        <v>0</v>
      </c>
      <c r="HA168" t="e">
        <f>AND(Sheet1!A2262,"AAAAAE8XVNA=")</f>
        <v>#VALUE!</v>
      </c>
      <c r="HB168" t="e">
        <f>AND(Sheet1!B2262,"AAAAAE8XVNE=")</f>
        <v>#VALUE!</v>
      </c>
      <c r="HC168" t="e">
        <f>AND(Sheet1!C2262,"AAAAAE8XVNI=")</f>
        <v>#VALUE!</v>
      </c>
      <c r="HD168" t="e">
        <f>AND(Sheet1!D2262,"AAAAAE8XVNM=")</f>
        <v>#VALUE!</v>
      </c>
      <c r="HE168" t="e">
        <f>AND(Sheet1!E2262,"AAAAAE8XVNQ=")</f>
        <v>#VALUE!</v>
      </c>
      <c r="HF168" t="e">
        <f>AND(Sheet1!F2262,"AAAAAE8XVNU=")</f>
        <v>#VALUE!</v>
      </c>
      <c r="HG168" t="e">
        <f>AND(Sheet1!G2262,"AAAAAE8XVNY=")</f>
        <v>#VALUE!</v>
      </c>
      <c r="HH168" t="e">
        <f>AND(Sheet1!H2262,"AAAAAE8XVNc=")</f>
        <v>#VALUE!</v>
      </c>
      <c r="HI168" t="e">
        <f>AND(Sheet1!I2262,"AAAAAE8XVNg=")</f>
        <v>#VALUE!</v>
      </c>
      <c r="HJ168" t="e">
        <f>AND(Sheet1!J2262,"AAAAAE8XVNk=")</f>
        <v>#VALUE!</v>
      </c>
      <c r="HK168" t="e">
        <f>AND(Sheet1!K2262,"AAAAAE8XVNo=")</f>
        <v>#VALUE!</v>
      </c>
      <c r="HL168" t="e">
        <f>AND(Sheet1!L2262,"AAAAAE8XVNs=")</f>
        <v>#VALUE!</v>
      </c>
      <c r="HM168" t="e">
        <f>AND(Sheet1!M2262,"AAAAAE8XVNw=")</f>
        <v>#VALUE!</v>
      </c>
      <c r="HN168" t="e">
        <f>AND(Sheet1!N2262,"AAAAAE8XVN0=")</f>
        <v>#VALUE!</v>
      </c>
      <c r="HO168" t="e">
        <f>AND(Sheet1!#REF!,"AAAAAE8XVN4=")</f>
        <v>#REF!</v>
      </c>
      <c r="HP168" t="e">
        <f>AND(Sheet1!#REF!,"AAAAAE8XVN8=")</f>
        <v>#REF!</v>
      </c>
      <c r="HQ168" t="e">
        <f>AND(Sheet1!#REF!,"AAAAAE8XVOA=")</f>
        <v>#REF!</v>
      </c>
      <c r="HR168" t="e">
        <f>AND(Sheet1!#REF!,"AAAAAE8XVOE=")</f>
        <v>#REF!</v>
      </c>
      <c r="HS168">
        <f>IF(Sheet1!2263:2263,"AAAAAE8XVOI=",0)</f>
        <v>0</v>
      </c>
      <c r="HT168" t="e">
        <f>AND(Sheet1!A2263,"AAAAAE8XVOM=")</f>
        <v>#VALUE!</v>
      </c>
      <c r="HU168" t="e">
        <f>AND(Sheet1!B2263,"AAAAAE8XVOQ=")</f>
        <v>#VALUE!</v>
      </c>
      <c r="HV168" t="e">
        <f>AND(Sheet1!C2263,"AAAAAE8XVOU=")</f>
        <v>#VALUE!</v>
      </c>
      <c r="HW168" t="e">
        <f>AND(Sheet1!D2263,"AAAAAE8XVOY=")</f>
        <v>#VALUE!</v>
      </c>
      <c r="HX168" t="e">
        <f>AND(Sheet1!E2263,"AAAAAE8XVOc=")</f>
        <v>#VALUE!</v>
      </c>
      <c r="HY168" t="e">
        <f>AND(Sheet1!F2263,"AAAAAE8XVOg=")</f>
        <v>#VALUE!</v>
      </c>
      <c r="HZ168" t="e">
        <f>AND(Sheet1!G2263,"AAAAAE8XVOk=")</f>
        <v>#VALUE!</v>
      </c>
      <c r="IA168" t="e">
        <f>AND(Sheet1!H2263,"AAAAAE8XVOo=")</f>
        <v>#VALUE!</v>
      </c>
      <c r="IB168" t="e">
        <f>AND(Sheet1!I2263,"AAAAAE8XVOs=")</f>
        <v>#VALUE!</v>
      </c>
      <c r="IC168" t="e">
        <f>AND(Sheet1!J2263,"AAAAAE8XVOw=")</f>
        <v>#VALUE!</v>
      </c>
      <c r="ID168" t="e">
        <f>AND(Sheet1!K2263,"AAAAAE8XVO0=")</f>
        <v>#VALUE!</v>
      </c>
      <c r="IE168" t="e">
        <f>AND(Sheet1!L2263,"AAAAAE8XVO4=")</f>
        <v>#VALUE!</v>
      </c>
      <c r="IF168" t="e">
        <f>AND(Sheet1!M2263,"AAAAAE8XVO8=")</f>
        <v>#VALUE!</v>
      </c>
      <c r="IG168" t="e">
        <f>AND(Sheet1!N2263,"AAAAAE8XVPA=")</f>
        <v>#VALUE!</v>
      </c>
      <c r="IH168" t="e">
        <f>AND(Sheet1!#REF!,"AAAAAE8XVPE=")</f>
        <v>#REF!</v>
      </c>
      <c r="II168" t="e">
        <f>AND(Sheet1!#REF!,"AAAAAE8XVPI=")</f>
        <v>#REF!</v>
      </c>
      <c r="IJ168" t="e">
        <f>AND(Sheet1!#REF!,"AAAAAE8XVPM=")</f>
        <v>#REF!</v>
      </c>
      <c r="IK168" t="e">
        <f>AND(Sheet1!#REF!,"AAAAAE8XVPQ=")</f>
        <v>#REF!</v>
      </c>
      <c r="IL168">
        <f>IF(Sheet1!2264:2264,"AAAAAE8XVPU=",0)</f>
        <v>0</v>
      </c>
      <c r="IM168" t="e">
        <f>AND(Sheet1!A2264,"AAAAAE8XVPY=")</f>
        <v>#VALUE!</v>
      </c>
      <c r="IN168" t="e">
        <f>AND(Sheet1!B2264,"AAAAAE8XVPc=")</f>
        <v>#VALUE!</v>
      </c>
      <c r="IO168" t="e">
        <f>AND(Sheet1!C2264,"AAAAAE8XVPg=")</f>
        <v>#VALUE!</v>
      </c>
      <c r="IP168" t="e">
        <f>AND(Sheet1!D2264,"AAAAAE8XVPk=")</f>
        <v>#VALUE!</v>
      </c>
      <c r="IQ168" t="e">
        <f>AND(Sheet1!E2264,"AAAAAE8XVPo=")</f>
        <v>#VALUE!</v>
      </c>
      <c r="IR168" t="e">
        <f>AND(Sheet1!F2264,"AAAAAE8XVPs=")</f>
        <v>#VALUE!</v>
      </c>
      <c r="IS168" t="e">
        <f>AND(Sheet1!G2264,"AAAAAE8XVPw=")</f>
        <v>#VALUE!</v>
      </c>
      <c r="IT168" t="e">
        <f>AND(Sheet1!H2264,"AAAAAE8XVP0=")</f>
        <v>#VALUE!</v>
      </c>
      <c r="IU168" t="e">
        <f>AND(Sheet1!I2264,"AAAAAE8XVP4=")</f>
        <v>#VALUE!</v>
      </c>
      <c r="IV168" t="e">
        <f>AND(Sheet1!J2264,"AAAAAE8XVP8=")</f>
        <v>#VALUE!</v>
      </c>
    </row>
    <row r="169" spans="1:256" x14ac:dyDescent="0.2">
      <c r="A169" t="e">
        <f>AND(Sheet1!K2264,"AAAAAGsvswA=")</f>
        <v>#VALUE!</v>
      </c>
      <c r="B169" t="e">
        <f>AND(Sheet1!L2264,"AAAAAGsvswE=")</f>
        <v>#VALUE!</v>
      </c>
      <c r="C169" t="e">
        <f>AND(Sheet1!M2264,"AAAAAGsvswI=")</f>
        <v>#VALUE!</v>
      </c>
      <c r="D169" t="e">
        <f>AND(Sheet1!N2264,"AAAAAGsvswM=")</f>
        <v>#VALUE!</v>
      </c>
      <c r="E169" t="e">
        <f>AND(Sheet1!#REF!,"AAAAAGsvswQ=")</f>
        <v>#REF!</v>
      </c>
      <c r="F169" t="e">
        <f>AND(Sheet1!#REF!,"AAAAAGsvswU=")</f>
        <v>#REF!</v>
      </c>
      <c r="G169" t="e">
        <f>AND(Sheet1!#REF!,"AAAAAGsvswY=")</f>
        <v>#REF!</v>
      </c>
      <c r="H169" t="e">
        <f>AND(Sheet1!#REF!,"AAAAAGsvswc=")</f>
        <v>#REF!</v>
      </c>
      <c r="I169">
        <f>IF(Sheet1!2265:2265,"AAAAAGsvswg=",0)</f>
        <v>0</v>
      </c>
      <c r="J169" t="e">
        <f>AND(Sheet1!A2265,"AAAAAGsvswk=")</f>
        <v>#VALUE!</v>
      </c>
      <c r="K169" t="e">
        <f>AND(Sheet1!B2265,"AAAAAGsvswo=")</f>
        <v>#VALUE!</v>
      </c>
      <c r="L169" t="e">
        <f>AND(Sheet1!C2265,"AAAAAGsvsws=")</f>
        <v>#VALUE!</v>
      </c>
      <c r="M169" t="e">
        <f>AND(Sheet1!D2265,"AAAAAGsvsww=")</f>
        <v>#VALUE!</v>
      </c>
      <c r="N169" t="e">
        <f>AND(Sheet1!E2265,"AAAAAGsvsw0=")</f>
        <v>#VALUE!</v>
      </c>
      <c r="O169" t="e">
        <f>AND(Sheet1!F2265,"AAAAAGsvsw4=")</f>
        <v>#VALUE!</v>
      </c>
      <c r="P169" t="e">
        <f>AND(Sheet1!G2265,"AAAAAGsvsw8=")</f>
        <v>#VALUE!</v>
      </c>
      <c r="Q169" t="e">
        <f>AND(Sheet1!H2265,"AAAAAGsvsxA=")</f>
        <v>#VALUE!</v>
      </c>
      <c r="R169" t="e">
        <f>AND(Sheet1!I2265,"AAAAAGsvsxE=")</f>
        <v>#VALUE!</v>
      </c>
      <c r="S169" t="e">
        <f>AND(Sheet1!J2265,"AAAAAGsvsxI=")</f>
        <v>#VALUE!</v>
      </c>
      <c r="T169" t="e">
        <f>AND(Sheet1!K2265,"AAAAAGsvsxM=")</f>
        <v>#VALUE!</v>
      </c>
      <c r="U169" t="e">
        <f>AND(Sheet1!L2265,"AAAAAGsvsxQ=")</f>
        <v>#VALUE!</v>
      </c>
      <c r="V169" t="e">
        <f>AND(Sheet1!M2265,"AAAAAGsvsxU=")</f>
        <v>#VALUE!</v>
      </c>
      <c r="W169" t="e">
        <f>AND(Sheet1!N2265,"AAAAAGsvsxY=")</f>
        <v>#VALUE!</v>
      </c>
      <c r="X169" t="e">
        <f>AND(Sheet1!#REF!,"AAAAAGsvsxc=")</f>
        <v>#REF!</v>
      </c>
      <c r="Y169" t="e">
        <f>AND(Sheet1!#REF!,"AAAAAGsvsxg=")</f>
        <v>#REF!</v>
      </c>
      <c r="Z169" t="e">
        <f>AND(Sheet1!#REF!,"AAAAAGsvsxk=")</f>
        <v>#REF!</v>
      </c>
      <c r="AA169" t="e">
        <f>AND(Sheet1!#REF!,"AAAAAGsvsxo=")</f>
        <v>#REF!</v>
      </c>
      <c r="AB169">
        <f>IF(Sheet1!2266:2266,"AAAAAGsvsxs=",0)</f>
        <v>0</v>
      </c>
      <c r="AC169" t="e">
        <f>AND(Sheet1!A2266,"AAAAAGsvsxw=")</f>
        <v>#VALUE!</v>
      </c>
      <c r="AD169" t="e">
        <f>AND(Sheet1!B2266,"AAAAAGsvsx0=")</f>
        <v>#VALUE!</v>
      </c>
      <c r="AE169" t="e">
        <f>AND(Sheet1!C2266,"AAAAAGsvsx4=")</f>
        <v>#VALUE!</v>
      </c>
      <c r="AF169" t="e">
        <f>AND(Sheet1!D2266,"AAAAAGsvsx8=")</f>
        <v>#VALUE!</v>
      </c>
      <c r="AG169" t="e">
        <f>AND(Sheet1!E2266,"AAAAAGsvsyA=")</f>
        <v>#VALUE!</v>
      </c>
      <c r="AH169" t="e">
        <f>AND(Sheet1!F2266,"AAAAAGsvsyE=")</f>
        <v>#VALUE!</v>
      </c>
      <c r="AI169" t="e">
        <f>AND(Sheet1!G2266,"AAAAAGsvsyI=")</f>
        <v>#VALUE!</v>
      </c>
      <c r="AJ169" t="e">
        <f>AND(Sheet1!H2266,"AAAAAGsvsyM=")</f>
        <v>#VALUE!</v>
      </c>
      <c r="AK169" t="e">
        <f>AND(Sheet1!I2266,"AAAAAGsvsyQ=")</f>
        <v>#VALUE!</v>
      </c>
      <c r="AL169" t="e">
        <f>AND(Sheet1!J2266,"AAAAAGsvsyU=")</f>
        <v>#VALUE!</v>
      </c>
      <c r="AM169" t="e">
        <f>AND(Sheet1!K2266,"AAAAAGsvsyY=")</f>
        <v>#VALUE!</v>
      </c>
      <c r="AN169" t="e">
        <f>AND(Sheet1!L2266,"AAAAAGsvsyc=")</f>
        <v>#VALUE!</v>
      </c>
      <c r="AO169" t="e">
        <f>AND(Sheet1!M2266,"AAAAAGsvsyg=")</f>
        <v>#VALUE!</v>
      </c>
      <c r="AP169" t="e">
        <f>AND(Sheet1!N2266,"AAAAAGsvsyk=")</f>
        <v>#VALUE!</v>
      </c>
      <c r="AQ169" t="e">
        <f>AND(Sheet1!#REF!,"AAAAAGsvsyo=")</f>
        <v>#REF!</v>
      </c>
      <c r="AR169" t="e">
        <f>AND(Sheet1!#REF!,"AAAAAGsvsys=")</f>
        <v>#REF!</v>
      </c>
      <c r="AS169" t="e">
        <f>AND(Sheet1!#REF!,"AAAAAGsvsyw=")</f>
        <v>#REF!</v>
      </c>
      <c r="AT169" t="e">
        <f>AND(Sheet1!#REF!,"AAAAAGsvsy0=")</f>
        <v>#REF!</v>
      </c>
      <c r="AU169">
        <f>IF(Sheet1!2267:2267,"AAAAAGsvsy4=",0)</f>
        <v>0</v>
      </c>
      <c r="AV169" t="e">
        <f>AND(Sheet1!A2267,"AAAAAGsvsy8=")</f>
        <v>#VALUE!</v>
      </c>
      <c r="AW169" t="e">
        <f>AND(Sheet1!B2267,"AAAAAGsvszA=")</f>
        <v>#VALUE!</v>
      </c>
      <c r="AX169" t="e">
        <f>AND(Sheet1!C2267,"AAAAAGsvszE=")</f>
        <v>#VALUE!</v>
      </c>
      <c r="AY169" t="e">
        <f>AND(Sheet1!D2267,"AAAAAGsvszI=")</f>
        <v>#VALUE!</v>
      </c>
      <c r="AZ169" t="e">
        <f>AND(Sheet1!E2267,"AAAAAGsvszM=")</f>
        <v>#VALUE!</v>
      </c>
      <c r="BA169" t="e">
        <f>AND(Sheet1!F2267,"AAAAAGsvszQ=")</f>
        <v>#VALUE!</v>
      </c>
      <c r="BB169" t="e">
        <f>AND(Sheet1!G2267,"AAAAAGsvszU=")</f>
        <v>#VALUE!</v>
      </c>
      <c r="BC169" t="e">
        <f>AND(Sheet1!H2267,"AAAAAGsvszY=")</f>
        <v>#VALUE!</v>
      </c>
      <c r="BD169" t="e">
        <f>AND(Sheet1!I2267,"AAAAAGsvszc=")</f>
        <v>#VALUE!</v>
      </c>
      <c r="BE169" t="e">
        <f>AND(Sheet1!J2267,"AAAAAGsvszg=")</f>
        <v>#VALUE!</v>
      </c>
      <c r="BF169" t="e">
        <f>AND(Sheet1!K2267,"AAAAAGsvszk=")</f>
        <v>#VALUE!</v>
      </c>
      <c r="BG169" t="e">
        <f>AND(Sheet1!L2267,"AAAAAGsvszo=")</f>
        <v>#VALUE!</v>
      </c>
      <c r="BH169" t="e">
        <f>AND(Sheet1!M2267,"AAAAAGsvszs=")</f>
        <v>#VALUE!</v>
      </c>
      <c r="BI169" t="e">
        <f>AND(Sheet1!N2267,"AAAAAGsvszw=")</f>
        <v>#VALUE!</v>
      </c>
      <c r="BJ169" t="e">
        <f>AND(Sheet1!#REF!,"AAAAAGsvsz0=")</f>
        <v>#REF!</v>
      </c>
      <c r="BK169" t="e">
        <f>AND(Sheet1!#REF!,"AAAAAGsvsz4=")</f>
        <v>#REF!</v>
      </c>
      <c r="BL169" t="e">
        <f>AND(Sheet1!#REF!,"AAAAAGsvsz8=")</f>
        <v>#REF!</v>
      </c>
      <c r="BM169" t="e">
        <f>AND(Sheet1!#REF!,"AAAAAGsvs0A=")</f>
        <v>#REF!</v>
      </c>
      <c r="BN169">
        <f>IF(Sheet1!2268:2268,"AAAAAGsvs0E=",0)</f>
        <v>0</v>
      </c>
      <c r="BO169" t="e">
        <f>AND(Sheet1!A2268,"AAAAAGsvs0I=")</f>
        <v>#VALUE!</v>
      </c>
      <c r="BP169" t="e">
        <f>AND(Sheet1!B2268,"AAAAAGsvs0M=")</f>
        <v>#VALUE!</v>
      </c>
      <c r="BQ169" t="e">
        <f>AND(Sheet1!C2268,"AAAAAGsvs0Q=")</f>
        <v>#VALUE!</v>
      </c>
      <c r="BR169" t="e">
        <f>AND(Sheet1!D2268,"AAAAAGsvs0U=")</f>
        <v>#VALUE!</v>
      </c>
      <c r="BS169" t="e">
        <f>AND(Sheet1!E2268,"AAAAAGsvs0Y=")</f>
        <v>#VALUE!</v>
      </c>
      <c r="BT169" t="e">
        <f>AND(Sheet1!F2268,"AAAAAGsvs0c=")</f>
        <v>#VALUE!</v>
      </c>
      <c r="BU169" t="e">
        <f>AND(Sheet1!G2268,"AAAAAGsvs0g=")</f>
        <v>#VALUE!</v>
      </c>
      <c r="BV169" t="e">
        <f>AND(Sheet1!H2268,"AAAAAGsvs0k=")</f>
        <v>#VALUE!</v>
      </c>
      <c r="BW169" t="e">
        <f>AND(Sheet1!I2268,"AAAAAGsvs0o=")</f>
        <v>#VALUE!</v>
      </c>
      <c r="BX169" t="e">
        <f>AND(Sheet1!J2268,"AAAAAGsvs0s=")</f>
        <v>#VALUE!</v>
      </c>
      <c r="BY169" t="e">
        <f>AND(Sheet1!K2268,"AAAAAGsvs0w=")</f>
        <v>#VALUE!</v>
      </c>
      <c r="BZ169" t="e">
        <f>AND(Sheet1!L2268,"AAAAAGsvs00=")</f>
        <v>#VALUE!</v>
      </c>
      <c r="CA169" t="e">
        <f>AND(Sheet1!M2268,"AAAAAGsvs04=")</f>
        <v>#VALUE!</v>
      </c>
      <c r="CB169" t="e">
        <f>AND(Sheet1!N2268,"AAAAAGsvs08=")</f>
        <v>#VALUE!</v>
      </c>
      <c r="CC169" t="e">
        <f>AND(Sheet1!#REF!,"AAAAAGsvs1A=")</f>
        <v>#REF!</v>
      </c>
      <c r="CD169" t="e">
        <f>AND(Sheet1!#REF!,"AAAAAGsvs1E=")</f>
        <v>#REF!</v>
      </c>
      <c r="CE169" t="e">
        <f>AND(Sheet1!#REF!,"AAAAAGsvs1I=")</f>
        <v>#REF!</v>
      </c>
      <c r="CF169" t="e">
        <f>AND(Sheet1!#REF!,"AAAAAGsvs1M=")</f>
        <v>#REF!</v>
      </c>
      <c r="CG169">
        <f>IF(Sheet1!2269:2269,"AAAAAGsvs1Q=",0)</f>
        <v>0</v>
      </c>
      <c r="CH169" t="e">
        <f>AND(Sheet1!A2269,"AAAAAGsvs1U=")</f>
        <v>#VALUE!</v>
      </c>
      <c r="CI169" t="e">
        <f>AND(Sheet1!B2269,"AAAAAGsvs1Y=")</f>
        <v>#VALUE!</v>
      </c>
      <c r="CJ169" t="e">
        <f>AND(Sheet1!C2269,"AAAAAGsvs1c=")</f>
        <v>#VALUE!</v>
      </c>
      <c r="CK169" t="e">
        <f>AND(Sheet1!D2269,"AAAAAGsvs1g=")</f>
        <v>#VALUE!</v>
      </c>
      <c r="CL169" t="e">
        <f>AND(Sheet1!E2269,"AAAAAGsvs1k=")</f>
        <v>#VALUE!</v>
      </c>
      <c r="CM169" t="e">
        <f>AND(Sheet1!F2269,"AAAAAGsvs1o=")</f>
        <v>#VALUE!</v>
      </c>
      <c r="CN169" t="e">
        <f>AND(Sheet1!G2269,"AAAAAGsvs1s=")</f>
        <v>#VALUE!</v>
      </c>
      <c r="CO169" t="e">
        <f>AND(Sheet1!H2269,"AAAAAGsvs1w=")</f>
        <v>#VALUE!</v>
      </c>
      <c r="CP169" t="e">
        <f>AND(Sheet1!I2269,"AAAAAGsvs10=")</f>
        <v>#VALUE!</v>
      </c>
      <c r="CQ169" t="e">
        <f>AND(Sheet1!J2269,"AAAAAGsvs14=")</f>
        <v>#VALUE!</v>
      </c>
      <c r="CR169" t="e">
        <f>AND(Sheet1!K2269,"AAAAAGsvs18=")</f>
        <v>#VALUE!</v>
      </c>
      <c r="CS169" t="e">
        <f>AND(Sheet1!L2269,"AAAAAGsvs2A=")</f>
        <v>#VALUE!</v>
      </c>
      <c r="CT169" t="e">
        <f>AND(Sheet1!M2269,"AAAAAGsvs2E=")</f>
        <v>#VALUE!</v>
      </c>
      <c r="CU169" t="e">
        <f>AND(Sheet1!N2269,"AAAAAGsvs2I=")</f>
        <v>#VALUE!</v>
      </c>
      <c r="CV169" t="e">
        <f>AND(Sheet1!#REF!,"AAAAAGsvs2M=")</f>
        <v>#REF!</v>
      </c>
      <c r="CW169" t="e">
        <f>AND(Sheet1!#REF!,"AAAAAGsvs2Q=")</f>
        <v>#REF!</v>
      </c>
      <c r="CX169" t="e">
        <f>AND(Sheet1!#REF!,"AAAAAGsvs2U=")</f>
        <v>#REF!</v>
      </c>
      <c r="CY169" t="e">
        <f>AND(Sheet1!#REF!,"AAAAAGsvs2Y=")</f>
        <v>#REF!</v>
      </c>
      <c r="CZ169">
        <f>IF(Sheet1!2270:2270,"AAAAAGsvs2c=",0)</f>
        <v>0</v>
      </c>
      <c r="DA169" t="e">
        <f>AND(Sheet1!A2270,"AAAAAGsvs2g=")</f>
        <v>#VALUE!</v>
      </c>
      <c r="DB169" t="e">
        <f>AND(Sheet1!B2270,"AAAAAGsvs2k=")</f>
        <v>#VALUE!</v>
      </c>
      <c r="DC169" t="e">
        <f>AND(Sheet1!C2270,"AAAAAGsvs2o=")</f>
        <v>#VALUE!</v>
      </c>
      <c r="DD169" t="e">
        <f>AND(Sheet1!D2270,"AAAAAGsvs2s=")</f>
        <v>#VALUE!</v>
      </c>
      <c r="DE169" t="e">
        <f>AND(Sheet1!E2270,"AAAAAGsvs2w=")</f>
        <v>#VALUE!</v>
      </c>
      <c r="DF169" t="e">
        <f>AND(Sheet1!F2270,"AAAAAGsvs20=")</f>
        <v>#VALUE!</v>
      </c>
      <c r="DG169" t="e">
        <f>AND(Sheet1!G2270,"AAAAAGsvs24=")</f>
        <v>#VALUE!</v>
      </c>
      <c r="DH169" t="e">
        <f>AND(Sheet1!H2270,"AAAAAGsvs28=")</f>
        <v>#VALUE!</v>
      </c>
      <c r="DI169" t="e">
        <f>AND(Sheet1!I2270,"AAAAAGsvs3A=")</f>
        <v>#VALUE!</v>
      </c>
      <c r="DJ169" t="e">
        <f>AND(Sheet1!J2270,"AAAAAGsvs3E=")</f>
        <v>#VALUE!</v>
      </c>
      <c r="DK169" t="e">
        <f>AND(Sheet1!K2270,"AAAAAGsvs3I=")</f>
        <v>#VALUE!</v>
      </c>
      <c r="DL169" t="e">
        <f>AND(Sheet1!L2270,"AAAAAGsvs3M=")</f>
        <v>#VALUE!</v>
      </c>
      <c r="DM169" t="e">
        <f>AND(Sheet1!M2270,"AAAAAGsvs3Q=")</f>
        <v>#VALUE!</v>
      </c>
      <c r="DN169" t="e">
        <f>AND(Sheet1!N2270,"AAAAAGsvs3U=")</f>
        <v>#VALUE!</v>
      </c>
      <c r="DO169" t="e">
        <f>AND(Sheet1!#REF!,"AAAAAGsvs3Y=")</f>
        <v>#REF!</v>
      </c>
      <c r="DP169" t="e">
        <f>AND(Sheet1!#REF!,"AAAAAGsvs3c=")</f>
        <v>#REF!</v>
      </c>
      <c r="DQ169" t="e">
        <f>AND(Sheet1!#REF!,"AAAAAGsvs3g=")</f>
        <v>#REF!</v>
      </c>
      <c r="DR169" t="e">
        <f>AND(Sheet1!#REF!,"AAAAAGsvs3k=")</f>
        <v>#REF!</v>
      </c>
      <c r="DS169">
        <f>IF(Sheet1!2271:2271,"AAAAAGsvs3o=",0)</f>
        <v>0</v>
      </c>
      <c r="DT169" t="e">
        <f>AND(Sheet1!A2271,"AAAAAGsvs3s=")</f>
        <v>#VALUE!</v>
      </c>
      <c r="DU169" t="e">
        <f>AND(Sheet1!B2271,"AAAAAGsvs3w=")</f>
        <v>#VALUE!</v>
      </c>
      <c r="DV169" t="e">
        <f>AND(Sheet1!C2271,"AAAAAGsvs30=")</f>
        <v>#VALUE!</v>
      </c>
      <c r="DW169" t="e">
        <f>AND(Sheet1!D2271,"AAAAAGsvs34=")</f>
        <v>#VALUE!</v>
      </c>
      <c r="DX169" t="e">
        <f>AND(Sheet1!E2271,"AAAAAGsvs38=")</f>
        <v>#VALUE!</v>
      </c>
      <c r="DY169" t="e">
        <f>AND(Sheet1!F2271,"AAAAAGsvs4A=")</f>
        <v>#VALUE!</v>
      </c>
      <c r="DZ169" t="e">
        <f>AND(Sheet1!G2271,"AAAAAGsvs4E=")</f>
        <v>#VALUE!</v>
      </c>
      <c r="EA169" t="e">
        <f>AND(Sheet1!H2271,"AAAAAGsvs4I=")</f>
        <v>#VALUE!</v>
      </c>
      <c r="EB169" t="e">
        <f>AND(Sheet1!I2271,"AAAAAGsvs4M=")</f>
        <v>#VALUE!</v>
      </c>
      <c r="EC169" t="e">
        <f>AND(Sheet1!J2271,"AAAAAGsvs4Q=")</f>
        <v>#VALUE!</v>
      </c>
      <c r="ED169" t="e">
        <f>AND(Sheet1!K2271,"AAAAAGsvs4U=")</f>
        <v>#VALUE!</v>
      </c>
      <c r="EE169" t="e">
        <f>AND(Sheet1!L2271,"AAAAAGsvs4Y=")</f>
        <v>#VALUE!</v>
      </c>
      <c r="EF169" t="e">
        <f>AND(Sheet1!M2271,"AAAAAGsvs4c=")</f>
        <v>#VALUE!</v>
      </c>
      <c r="EG169" t="e">
        <f>AND(Sheet1!N2271,"AAAAAGsvs4g=")</f>
        <v>#VALUE!</v>
      </c>
      <c r="EH169" t="e">
        <f>AND(Sheet1!#REF!,"AAAAAGsvs4k=")</f>
        <v>#REF!</v>
      </c>
      <c r="EI169" t="e">
        <f>AND(Sheet1!#REF!,"AAAAAGsvs4o=")</f>
        <v>#REF!</v>
      </c>
      <c r="EJ169" t="e">
        <f>AND(Sheet1!#REF!,"AAAAAGsvs4s=")</f>
        <v>#REF!</v>
      </c>
      <c r="EK169" t="e">
        <f>AND(Sheet1!#REF!,"AAAAAGsvs4w=")</f>
        <v>#REF!</v>
      </c>
      <c r="EL169">
        <f>IF(Sheet1!2272:2272,"AAAAAGsvs40=",0)</f>
        <v>0</v>
      </c>
      <c r="EM169" t="e">
        <f>AND(Sheet1!A2272,"AAAAAGsvs44=")</f>
        <v>#VALUE!</v>
      </c>
      <c r="EN169" t="e">
        <f>AND(Sheet1!B2272,"AAAAAGsvs48=")</f>
        <v>#VALUE!</v>
      </c>
      <c r="EO169" t="e">
        <f>AND(Sheet1!C2272,"AAAAAGsvs5A=")</f>
        <v>#VALUE!</v>
      </c>
      <c r="EP169" t="e">
        <f>AND(Sheet1!D2272,"AAAAAGsvs5E=")</f>
        <v>#VALUE!</v>
      </c>
      <c r="EQ169" t="e">
        <f>AND(Sheet1!E2272,"AAAAAGsvs5I=")</f>
        <v>#VALUE!</v>
      </c>
      <c r="ER169" t="e">
        <f>AND(Sheet1!F2272,"AAAAAGsvs5M=")</f>
        <v>#VALUE!</v>
      </c>
      <c r="ES169" t="e">
        <f>AND(Sheet1!G2272,"AAAAAGsvs5Q=")</f>
        <v>#VALUE!</v>
      </c>
      <c r="ET169" t="e">
        <f>AND(Sheet1!H2272,"AAAAAGsvs5U=")</f>
        <v>#VALUE!</v>
      </c>
      <c r="EU169" t="e">
        <f>AND(Sheet1!I2272,"AAAAAGsvs5Y=")</f>
        <v>#VALUE!</v>
      </c>
      <c r="EV169" t="e">
        <f>AND(Sheet1!J2272,"AAAAAGsvs5c=")</f>
        <v>#VALUE!</v>
      </c>
      <c r="EW169" t="e">
        <f>AND(Sheet1!K2272,"AAAAAGsvs5g=")</f>
        <v>#VALUE!</v>
      </c>
      <c r="EX169" t="e">
        <f>AND(Sheet1!L2272,"AAAAAGsvs5k=")</f>
        <v>#VALUE!</v>
      </c>
      <c r="EY169" t="e">
        <f>AND(Sheet1!M2272,"AAAAAGsvs5o=")</f>
        <v>#VALUE!</v>
      </c>
      <c r="EZ169" t="e">
        <f>AND(Sheet1!N2272,"AAAAAGsvs5s=")</f>
        <v>#VALUE!</v>
      </c>
      <c r="FA169" t="e">
        <f>AND(Sheet1!#REF!,"AAAAAGsvs5w=")</f>
        <v>#REF!</v>
      </c>
      <c r="FB169" t="e">
        <f>AND(Sheet1!#REF!,"AAAAAGsvs50=")</f>
        <v>#REF!</v>
      </c>
      <c r="FC169" t="e">
        <f>AND(Sheet1!#REF!,"AAAAAGsvs54=")</f>
        <v>#REF!</v>
      </c>
      <c r="FD169" t="e">
        <f>AND(Sheet1!#REF!,"AAAAAGsvs58=")</f>
        <v>#REF!</v>
      </c>
      <c r="FE169">
        <f>IF(Sheet1!2273:2273,"AAAAAGsvs6A=",0)</f>
        <v>0</v>
      </c>
      <c r="FF169" t="e">
        <f>AND(Sheet1!A2273,"AAAAAGsvs6E=")</f>
        <v>#VALUE!</v>
      </c>
      <c r="FG169" t="e">
        <f>AND(Sheet1!B2273,"AAAAAGsvs6I=")</f>
        <v>#VALUE!</v>
      </c>
      <c r="FH169" t="e">
        <f>AND(Sheet1!C2273,"AAAAAGsvs6M=")</f>
        <v>#VALUE!</v>
      </c>
      <c r="FI169" t="e">
        <f>AND(Sheet1!D2273,"AAAAAGsvs6Q=")</f>
        <v>#VALUE!</v>
      </c>
      <c r="FJ169" t="e">
        <f>AND(Sheet1!E2273,"AAAAAGsvs6U=")</f>
        <v>#VALUE!</v>
      </c>
      <c r="FK169" t="e">
        <f>AND(Sheet1!F2273,"AAAAAGsvs6Y=")</f>
        <v>#VALUE!</v>
      </c>
      <c r="FL169" t="e">
        <f>AND(Sheet1!G2273,"AAAAAGsvs6c=")</f>
        <v>#VALUE!</v>
      </c>
      <c r="FM169" t="e">
        <f>AND(Sheet1!H2273,"AAAAAGsvs6g=")</f>
        <v>#VALUE!</v>
      </c>
      <c r="FN169" t="e">
        <f>AND(Sheet1!I2273,"AAAAAGsvs6k=")</f>
        <v>#VALUE!</v>
      </c>
      <c r="FO169" t="e">
        <f>AND(Sheet1!J2273,"AAAAAGsvs6o=")</f>
        <v>#VALUE!</v>
      </c>
      <c r="FP169" t="e">
        <f>AND(Sheet1!K2273,"AAAAAGsvs6s=")</f>
        <v>#VALUE!</v>
      </c>
      <c r="FQ169" t="e">
        <f>AND(Sheet1!L2273,"AAAAAGsvs6w=")</f>
        <v>#VALUE!</v>
      </c>
      <c r="FR169" t="e">
        <f>AND(Sheet1!M2273,"AAAAAGsvs60=")</f>
        <v>#VALUE!</v>
      </c>
      <c r="FS169" t="e">
        <f>AND(Sheet1!N2273,"AAAAAGsvs64=")</f>
        <v>#VALUE!</v>
      </c>
      <c r="FT169" t="e">
        <f>AND(Sheet1!#REF!,"AAAAAGsvs68=")</f>
        <v>#REF!</v>
      </c>
      <c r="FU169" t="e">
        <f>AND(Sheet1!#REF!,"AAAAAGsvs7A=")</f>
        <v>#REF!</v>
      </c>
      <c r="FV169" t="e">
        <f>AND(Sheet1!#REF!,"AAAAAGsvs7E=")</f>
        <v>#REF!</v>
      </c>
      <c r="FW169" t="e">
        <f>AND(Sheet1!#REF!,"AAAAAGsvs7I=")</f>
        <v>#REF!</v>
      </c>
      <c r="FX169">
        <f>IF(Sheet1!2274:2274,"AAAAAGsvs7M=",0)</f>
        <v>0</v>
      </c>
      <c r="FY169" t="e">
        <f>AND(Sheet1!A2274,"AAAAAGsvs7Q=")</f>
        <v>#VALUE!</v>
      </c>
      <c r="FZ169" t="e">
        <f>AND(Sheet1!B2274,"AAAAAGsvs7U=")</f>
        <v>#VALUE!</v>
      </c>
      <c r="GA169" t="e">
        <f>AND(Sheet1!C2274,"AAAAAGsvs7Y=")</f>
        <v>#VALUE!</v>
      </c>
      <c r="GB169" t="e">
        <f>AND(Sheet1!D2274,"AAAAAGsvs7c=")</f>
        <v>#VALUE!</v>
      </c>
      <c r="GC169" t="e">
        <f>AND(Sheet1!E2274,"AAAAAGsvs7g=")</f>
        <v>#VALUE!</v>
      </c>
      <c r="GD169" t="e">
        <f>AND(Sheet1!F2274,"AAAAAGsvs7k=")</f>
        <v>#VALUE!</v>
      </c>
      <c r="GE169" t="e">
        <f>AND(Sheet1!G2274,"AAAAAGsvs7o=")</f>
        <v>#VALUE!</v>
      </c>
      <c r="GF169" t="e">
        <f>AND(Sheet1!H2274,"AAAAAGsvs7s=")</f>
        <v>#VALUE!</v>
      </c>
      <c r="GG169" t="e">
        <f>AND(Sheet1!I2274,"AAAAAGsvs7w=")</f>
        <v>#VALUE!</v>
      </c>
      <c r="GH169" t="e">
        <f>AND(Sheet1!J2274,"AAAAAGsvs70=")</f>
        <v>#VALUE!</v>
      </c>
      <c r="GI169" t="e">
        <f>AND(Sheet1!K2274,"AAAAAGsvs74=")</f>
        <v>#VALUE!</v>
      </c>
      <c r="GJ169" t="e">
        <f>AND(Sheet1!L2274,"AAAAAGsvs78=")</f>
        <v>#VALUE!</v>
      </c>
      <c r="GK169" t="e">
        <f>AND(Sheet1!M2274,"AAAAAGsvs8A=")</f>
        <v>#VALUE!</v>
      </c>
      <c r="GL169" t="e">
        <f>AND(Sheet1!N2274,"AAAAAGsvs8E=")</f>
        <v>#VALUE!</v>
      </c>
      <c r="GM169" t="e">
        <f>AND(Sheet1!#REF!,"AAAAAGsvs8I=")</f>
        <v>#REF!</v>
      </c>
      <c r="GN169" t="e">
        <f>AND(Sheet1!#REF!,"AAAAAGsvs8M=")</f>
        <v>#REF!</v>
      </c>
      <c r="GO169" t="e">
        <f>AND(Sheet1!#REF!,"AAAAAGsvs8Q=")</f>
        <v>#REF!</v>
      </c>
      <c r="GP169" t="e">
        <f>AND(Sheet1!#REF!,"AAAAAGsvs8U=")</f>
        <v>#REF!</v>
      </c>
      <c r="GQ169">
        <f>IF(Sheet1!2275:2275,"AAAAAGsvs8Y=",0)</f>
        <v>0</v>
      </c>
      <c r="GR169" t="e">
        <f>AND(Sheet1!A2275,"AAAAAGsvs8c=")</f>
        <v>#VALUE!</v>
      </c>
      <c r="GS169" t="e">
        <f>AND(Sheet1!B2275,"AAAAAGsvs8g=")</f>
        <v>#VALUE!</v>
      </c>
      <c r="GT169" t="e">
        <f>AND(Sheet1!C2275,"AAAAAGsvs8k=")</f>
        <v>#VALUE!</v>
      </c>
      <c r="GU169" t="e">
        <f>AND(Sheet1!D2275,"AAAAAGsvs8o=")</f>
        <v>#VALUE!</v>
      </c>
      <c r="GV169" t="e">
        <f>AND(Sheet1!E2275,"AAAAAGsvs8s=")</f>
        <v>#VALUE!</v>
      </c>
      <c r="GW169" t="e">
        <f>AND(Sheet1!F2275,"AAAAAGsvs8w=")</f>
        <v>#VALUE!</v>
      </c>
      <c r="GX169" t="e">
        <f>AND(Sheet1!G2275,"AAAAAGsvs80=")</f>
        <v>#VALUE!</v>
      </c>
      <c r="GY169" t="e">
        <f>AND(Sheet1!H2275,"AAAAAGsvs84=")</f>
        <v>#VALUE!</v>
      </c>
      <c r="GZ169" t="e">
        <f>AND(Sheet1!I2275,"AAAAAGsvs88=")</f>
        <v>#VALUE!</v>
      </c>
      <c r="HA169" t="e">
        <f>AND(Sheet1!J2275,"AAAAAGsvs9A=")</f>
        <v>#VALUE!</v>
      </c>
      <c r="HB169" t="e">
        <f>AND(Sheet1!K2275,"AAAAAGsvs9E=")</f>
        <v>#VALUE!</v>
      </c>
      <c r="HC169" t="e">
        <f>AND(Sheet1!L2275,"AAAAAGsvs9I=")</f>
        <v>#VALUE!</v>
      </c>
      <c r="HD169" t="e">
        <f>AND(Sheet1!M2275,"AAAAAGsvs9M=")</f>
        <v>#VALUE!</v>
      </c>
      <c r="HE169" t="e">
        <f>AND(Sheet1!N2275,"AAAAAGsvs9Q=")</f>
        <v>#VALUE!</v>
      </c>
      <c r="HF169" t="e">
        <f>AND(Sheet1!#REF!,"AAAAAGsvs9U=")</f>
        <v>#REF!</v>
      </c>
      <c r="HG169" t="e">
        <f>AND(Sheet1!#REF!,"AAAAAGsvs9Y=")</f>
        <v>#REF!</v>
      </c>
      <c r="HH169" t="e">
        <f>AND(Sheet1!#REF!,"AAAAAGsvs9c=")</f>
        <v>#REF!</v>
      </c>
      <c r="HI169" t="e">
        <f>AND(Sheet1!#REF!,"AAAAAGsvs9g=")</f>
        <v>#REF!</v>
      </c>
      <c r="HJ169">
        <f>IF(Sheet1!2276:2276,"AAAAAGsvs9k=",0)</f>
        <v>0</v>
      </c>
      <c r="HK169" t="e">
        <f>AND(Sheet1!A2276,"AAAAAGsvs9o=")</f>
        <v>#VALUE!</v>
      </c>
      <c r="HL169" t="e">
        <f>AND(Sheet1!B2276,"AAAAAGsvs9s=")</f>
        <v>#VALUE!</v>
      </c>
      <c r="HM169" t="e">
        <f>AND(Sheet1!C2276,"AAAAAGsvs9w=")</f>
        <v>#VALUE!</v>
      </c>
      <c r="HN169" t="e">
        <f>AND(Sheet1!D2276,"AAAAAGsvs90=")</f>
        <v>#VALUE!</v>
      </c>
      <c r="HO169" t="e">
        <f>AND(Sheet1!E2276,"AAAAAGsvs94=")</f>
        <v>#VALUE!</v>
      </c>
      <c r="HP169" t="e">
        <f>AND(Sheet1!F2276,"AAAAAGsvs98=")</f>
        <v>#VALUE!</v>
      </c>
      <c r="HQ169" t="e">
        <f>AND(Sheet1!G2276,"AAAAAGsvs+A=")</f>
        <v>#VALUE!</v>
      </c>
      <c r="HR169" t="e">
        <f>AND(Sheet1!H2276,"AAAAAGsvs+E=")</f>
        <v>#VALUE!</v>
      </c>
      <c r="HS169" t="e">
        <f>AND(Sheet1!I2276,"AAAAAGsvs+I=")</f>
        <v>#VALUE!</v>
      </c>
      <c r="HT169" t="e">
        <f>AND(Sheet1!J2276,"AAAAAGsvs+M=")</f>
        <v>#VALUE!</v>
      </c>
      <c r="HU169" t="e">
        <f>AND(Sheet1!K2276,"AAAAAGsvs+Q=")</f>
        <v>#VALUE!</v>
      </c>
      <c r="HV169" t="e">
        <f>AND(Sheet1!L2276,"AAAAAGsvs+U=")</f>
        <v>#VALUE!</v>
      </c>
      <c r="HW169" t="e">
        <f>AND(Sheet1!M2276,"AAAAAGsvs+Y=")</f>
        <v>#VALUE!</v>
      </c>
      <c r="HX169" t="e">
        <f>AND(Sheet1!N2276,"AAAAAGsvs+c=")</f>
        <v>#VALUE!</v>
      </c>
      <c r="HY169" t="e">
        <f>AND(Sheet1!#REF!,"AAAAAGsvs+g=")</f>
        <v>#REF!</v>
      </c>
      <c r="HZ169" t="e">
        <f>AND(Sheet1!#REF!,"AAAAAGsvs+k=")</f>
        <v>#REF!</v>
      </c>
      <c r="IA169" t="e">
        <f>AND(Sheet1!#REF!,"AAAAAGsvs+o=")</f>
        <v>#REF!</v>
      </c>
      <c r="IB169" t="e">
        <f>AND(Sheet1!#REF!,"AAAAAGsvs+s=")</f>
        <v>#REF!</v>
      </c>
      <c r="IC169">
        <f>IF(Sheet1!2277:2277,"AAAAAGsvs+w=",0)</f>
        <v>0</v>
      </c>
      <c r="ID169" t="e">
        <f>AND(Sheet1!A2277,"AAAAAGsvs+0=")</f>
        <v>#VALUE!</v>
      </c>
      <c r="IE169" t="e">
        <f>AND(Sheet1!B2277,"AAAAAGsvs+4=")</f>
        <v>#VALUE!</v>
      </c>
      <c r="IF169" t="e">
        <f>AND(Sheet1!C2277,"AAAAAGsvs+8=")</f>
        <v>#VALUE!</v>
      </c>
      <c r="IG169" t="e">
        <f>AND(Sheet1!D2277,"AAAAAGsvs/A=")</f>
        <v>#VALUE!</v>
      </c>
      <c r="IH169" t="e">
        <f>AND(Sheet1!E2277,"AAAAAGsvs/E=")</f>
        <v>#VALUE!</v>
      </c>
      <c r="II169" t="e">
        <f>AND(Sheet1!F2277,"AAAAAGsvs/I=")</f>
        <v>#VALUE!</v>
      </c>
      <c r="IJ169" t="e">
        <f>AND(Sheet1!G2277,"AAAAAGsvs/M=")</f>
        <v>#VALUE!</v>
      </c>
      <c r="IK169" t="e">
        <f>AND(Sheet1!H2277,"AAAAAGsvs/Q=")</f>
        <v>#VALUE!</v>
      </c>
      <c r="IL169" t="e">
        <f>AND(Sheet1!I2277,"AAAAAGsvs/U=")</f>
        <v>#VALUE!</v>
      </c>
      <c r="IM169" t="e">
        <f>AND(Sheet1!J2277,"AAAAAGsvs/Y=")</f>
        <v>#VALUE!</v>
      </c>
      <c r="IN169" t="e">
        <f>AND(Sheet1!K2277,"AAAAAGsvs/c=")</f>
        <v>#VALUE!</v>
      </c>
      <c r="IO169" t="e">
        <f>AND(Sheet1!L2277,"AAAAAGsvs/g=")</f>
        <v>#VALUE!</v>
      </c>
      <c r="IP169" t="e">
        <f>AND(Sheet1!M2277,"AAAAAGsvs/k=")</f>
        <v>#VALUE!</v>
      </c>
      <c r="IQ169" t="e">
        <f>AND(Sheet1!N2277,"AAAAAGsvs/o=")</f>
        <v>#VALUE!</v>
      </c>
      <c r="IR169" t="e">
        <f>AND(Sheet1!#REF!,"AAAAAGsvs/s=")</f>
        <v>#REF!</v>
      </c>
      <c r="IS169" t="e">
        <f>AND(Sheet1!#REF!,"AAAAAGsvs/w=")</f>
        <v>#REF!</v>
      </c>
      <c r="IT169" t="e">
        <f>AND(Sheet1!#REF!,"AAAAAGsvs/0=")</f>
        <v>#REF!</v>
      </c>
      <c r="IU169" t="e">
        <f>AND(Sheet1!#REF!,"AAAAAGsvs/4=")</f>
        <v>#REF!</v>
      </c>
      <c r="IV169">
        <f>IF(Sheet1!2278:2278,"AAAAAGsvs/8=",0)</f>
        <v>0</v>
      </c>
    </row>
    <row r="170" spans="1:256" x14ac:dyDescent="0.2">
      <c r="A170" t="e">
        <f>AND(Sheet1!A2278,"AAAAAH+nYwA=")</f>
        <v>#VALUE!</v>
      </c>
      <c r="B170" t="e">
        <f>AND(Sheet1!B2278,"AAAAAH+nYwE=")</f>
        <v>#VALUE!</v>
      </c>
      <c r="C170" t="e">
        <f>AND(Sheet1!C2278,"AAAAAH+nYwI=")</f>
        <v>#VALUE!</v>
      </c>
      <c r="D170" t="e">
        <f>AND(Sheet1!D2278,"AAAAAH+nYwM=")</f>
        <v>#VALUE!</v>
      </c>
      <c r="E170" t="e">
        <f>AND(Sheet1!E2278,"AAAAAH+nYwQ=")</f>
        <v>#VALUE!</v>
      </c>
      <c r="F170" t="e">
        <f>AND(Sheet1!F2278,"AAAAAH+nYwU=")</f>
        <v>#VALUE!</v>
      </c>
      <c r="G170" t="e">
        <f>AND(Sheet1!G2278,"AAAAAH+nYwY=")</f>
        <v>#VALUE!</v>
      </c>
      <c r="H170" t="e">
        <f>AND(Sheet1!H2278,"AAAAAH+nYwc=")</f>
        <v>#VALUE!</v>
      </c>
      <c r="I170" t="e">
        <f>AND(Sheet1!I2278,"AAAAAH+nYwg=")</f>
        <v>#VALUE!</v>
      </c>
      <c r="J170" t="e">
        <f>AND(Sheet1!J2278,"AAAAAH+nYwk=")</f>
        <v>#VALUE!</v>
      </c>
      <c r="K170" t="e">
        <f>AND(Sheet1!K2278,"AAAAAH+nYwo=")</f>
        <v>#VALUE!</v>
      </c>
      <c r="L170" t="e">
        <f>AND(Sheet1!L2278,"AAAAAH+nYws=")</f>
        <v>#VALUE!</v>
      </c>
      <c r="M170" t="e">
        <f>AND(Sheet1!M2278,"AAAAAH+nYww=")</f>
        <v>#VALUE!</v>
      </c>
      <c r="N170" t="e">
        <f>AND(Sheet1!N2278,"AAAAAH+nYw0=")</f>
        <v>#VALUE!</v>
      </c>
      <c r="O170" t="e">
        <f>AND(Sheet1!#REF!,"AAAAAH+nYw4=")</f>
        <v>#REF!</v>
      </c>
      <c r="P170" t="e">
        <f>AND(Sheet1!#REF!,"AAAAAH+nYw8=")</f>
        <v>#REF!</v>
      </c>
      <c r="Q170" t="e">
        <f>AND(Sheet1!#REF!,"AAAAAH+nYxA=")</f>
        <v>#REF!</v>
      </c>
      <c r="R170" t="e">
        <f>AND(Sheet1!#REF!,"AAAAAH+nYxE=")</f>
        <v>#REF!</v>
      </c>
      <c r="S170">
        <f>IF(Sheet1!2279:2279,"AAAAAH+nYxI=",0)</f>
        <v>0</v>
      </c>
      <c r="T170" t="e">
        <f>AND(Sheet1!A2279,"AAAAAH+nYxM=")</f>
        <v>#VALUE!</v>
      </c>
      <c r="U170" t="e">
        <f>AND(Sheet1!B2279,"AAAAAH+nYxQ=")</f>
        <v>#VALUE!</v>
      </c>
      <c r="V170" t="e">
        <f>AND(Sheet1!C2279,"AAAAAH+nYxU=")</f>
        <v>#VALUE!</v>
      </c>
      <c r="W170" t="e">
        <f>AND(Sheet1!D2279,"AAAAAH+nYxY=")</f>
        <v>#VALUE!</v>
      </c>
      <c r="X170" t="e">
        <f>AND(Sheet1!E2279,"AAAAAH+nYxc=")</f>
        <v>#VALUE!</v>
      </c>
      <c r="Y170" t="e">
        <f>AND(Sheet1!F2279,"AAAAAH+nYxg=")</f>
        <v>#VALUE!</v>
      </c>
      <c r="Z170" t="e">
        <f>AND(Sheet1!G2279,"AAAAAH+nYxk=")</f>
        <v>#VALUE!</v>
      </c>
      <c r="AA170" t="e">
        <f>AND(Sheet1!H2279,"AAAAAH+nYxo=")</f>
        <v>#VALUE!</v>
      </c>
      <c r="AB170" t="e">
        <f>AND(Sheet1!I2279,"AAAAAH+nYxs=")</f>
        <v>#VALUE!</v>
      </c>
      <c r="AC170" t="e">
        <f>AND(Sheet1!J2279,"AAAAAH+nYxw=")</f>
        <v>#VALUE!</v>
      </c>
      <c r="AD170" t="e">
        <f>AND(Sheet1!K2279,"AAAAAH+nYx0=")</f>
        <v>#VALUE!</v>
      </c>
      <c r="AE170" t="e">
        <f>AND(Sheet1!L2279,"AAAAAH+nYx4=")</f>
        <v>#VALUE!</v>
      </c>
      <c r="AF170" t="e">
        <f>AND(Sheet1!M2279,"AAAAAH+nYx8=")</f>
        <v>#VALUE!</v>
      </c>
      <c r="AG170" t="e">
        <f>AND(Sheet1!N2279,"AAAAAH+nYyA=")</f>
        <v>#VALUE!</v>
      </c>
      <c r="AH170" t="e">
        <f>AND(Sheet1!#REF!,"AAAAAH+nYyE=")</f>
        <v>#REF!</v>
      </c>
      <c r="AI170" t="e">
        <f>AND(Sheet1!#REF!,"AAAAAH+nYyI=")</f>
        <v>#REF!</v>
      </c>
      <c r="AJ170" t="e">
        <f>AND(Sheet1!#REF!,"AAAAAH+nYyM=")</f>
        <v>#REF!</v>
      </c>
      <c r="AK170" t="e">
        <f>AND(Sheet1!#REF!,"AAAAAH+nYyQ=")</f>
        <v>#REF!</v>
      </c>
      <c r="AL170">
        <f>IF(Sheet1!2280:2280,"AAAAAH+nYyU=",0)</f>
        <v>0</v>
      </c>
      <c r="AM170" t="e">
        <f>AND(Sheet1!A2280,"AAAAAH+nYyY=")</f>
        <v>#VALUE!</v>
      </c>
      <c r="AN170" t="e">
        <f>AND(Sheet1!B2280,"AAAAAH+nYyc=")</f>
        <v>#VALUE!</v>
      </c>
      <c r="AO170" t="e">
        <f>AND(Sheet1!C2280,"AAAAAH+nYyg=")</f>
        <v>#VALUE!</v>
      </c>
      <c r="AP170" t="e">
        <f>AND(Sheet1!D2280,"AAAAAH+nYyk=")</f>
        <v>#VALUE!</v>
      </c>
      <c r="AQ170" t="e">
        <f>AND(Sheet1!E2280,"AAAAAH+nYyo=")</f>
        <v>#VALUE!</v>
      </c>
      <c r="AR170" t="e">
        <f>AND(Sheet1!F2280,"AAAAAH+nYys=")</f>
        <v>#VALUE!</v>
      </c>
      <c r="AS170" t="e">
        <f>AND(Sheet1!G2280,"AAAAAH+nYyw=")</f>
        <v>#VALUE!</v>
      </c>
      <c r="AT170" t="e">
        <f>AND(Sheet1!H2280,"AAAAAH+nYy0=")</f>
        <v>#VALUE!</v>
      </c>
      <c r="AU170" t="e">
        <f>AND(Sheet1!I2280,"AAAAAH+nYy4=")</f>
        <v>#VALUE!</v>
      </c>
      <c r="AV170" t="e">
        <f>AND(Sheet1!J2280,"AAAAAH+nYy8=")</f>
        <v>#VALUE!</v>
      </c>
      <c r="AW170" t="e">
        <f>AND(Sheet1!K2280,"AAAAAH+nYzA=")</f>
        <v>#VALUE!</v>
      </c>
      <c r="AX170" t="e">
        <f>AND(Sheet1!L2280,"AAAAAH+nYzE=")</f>
        <v>#VALUE!</v>
      </c>
      <c r="AY170" t="e">
        <f>AND(Sheet1!M2280,"AAAAAH+nYzI=")</f>
        <v>#VALUE!</v>
      </c>
      <c r="AZ170" t="e">
        <f>AND(Sheet1!N2280,"AAAAAH+nYzM=")</f>
        <v>#VALUE!</v>
      </c>
      <c r="BA170" t="e">
        <f>AND(Sheet1!#REF!,"AAAAAH+nYzQ=")</f>
        <v>#REF!</v>
      </c>
      <c r="BB170" t="e">
        <f>AND(Sheet1!#REF!,"AAAAAH+nYzU=")</f>
        <v>#REF!</v>
      </c>
      <c r="BC170" t="e">
        <f>AND(Sheet1!#REF!,"AAAAAH+nYzY=")</f>
        <v>#REF!</v>
      </c>
      <c r="BD170" t="e">
        <f>AND(Sheet1!#REF!,"AAAAAH+nYzc=")</f>
        <v>#REF!</v>
      </c>
      <c r="BE170">
        <f>IF(Sheet1!2281:2281,"AAAAAH+nYzg=",0)</f>
        <v>0</v>
      </c>
      <c r="BF170" t="e">
        <f>AND(Sheet1!A2281,"AAAAAH+nYzk=")</f>
        <v>#VALUE!</v>
      </c>
      <c r="BG170" t="e">
        <f>AND(Sheet1!B2281,"AAAAAH+nYzo=")</f>
        <v>#VALUE!</v>
      </c>
      <c r="BH170" t="e">
        <f>AND(Sheet1!C2281,"AAAAAH+nYzs=")</f>
        <v>#VALUE!</v>
      </c>
      <c r="BI170" t="e">
        <f>AND(Sheet1!D2281,"AAAAAH+nYzw=")</f>
        <v>#VALUE!</v>
      </c>
      <c r="BJ170" t="e">
        <f>AND(Sheet1!E2281,"AAAAAH+nYz0=")</f>
        <v>#VALUE!</v>
      </c>
      <c r="BK170" t="e">
        <f>AND(Sheet1!F2281,"AAAAAH+nYz4=")</f>
        <v>#VALUE!</v>
      </c>
      <c r="BL170" t="e">
        <f>AND(Sheet1!G2281,"AAAAAH+nYz8=")</f>
        <v>#VALUE!</v>
      </c>
      <c r="BM170" t="e">
        <f>AND(Sheet1!H2281,"AAAAAH+nY0A=")</f>
        <v>#VALUE!</v>
      </c>
      <c r="BN170" t="e">
        <f>AND(Sheet1!I2281,"AAAAAH+nY0E=")</f>
        <v>#VALUE!</v>
      </c>
      <c r="BO170" t="e">
        <f>AND(Sheet1!J2281,"AAAAAH+nY0I=")</f>
        <v>#VALUE!</v>
      </c>
      <c r="BP170" t="e">
        <f>AND(Sheet1!K2281,"AAAAAH+nY0M=")</f>
        <v>#VALUE!</v>
      </c>
      <c r="BQ170" t="e">
        <f>AND(Sheet1!L2281,"AAAAAH+nY0Q=")</f>
        <v>#VALUE!</v>
      </c>
      <c r="BR170" t="e">
        <f>AND(Sheet1!M2281,"AAAAAH+nY0U=")</f>
        <v>#VALUE!</v>
      </c>
      <c r="BS170" t="e">
        <f>AND(Sheet1!N2281,"AAAAAH+nY0Y=")</f>
        <v>#VALUE!</v>
      </c>
      <c r="BT170" t="e">
        <f>AND(Sheet1!#REF!,"AAAAAH+nY0c=")</f>
        <v>#REF!</v>
      </c>
      <c r="BU170" t="e">
        <f>AND(Sheet1!#REF!,"AAAAAH+nY0g=")</f>
        <v>#REF!</v>
      </c>
      <c r="BV170" t="e">
        <f>AND(Sheet1!#REF!,"AAAAAH+nY0k=")</f>
        <v>#REF!</v>
      </c>
      <c r="BW170" t="e">
        <f>AND(Sheet1!#REF!,"AAAAAH+nY0o=")</f>
        <v>#REF!</v>
      </c>
      <c r="BX170">
        <f>IF(Sheet1!2282:2282,"AAAAAH+nY0s=",0)</f>
        <v>0</v>
      </c>
      <c r="BY170" t="e">
        <f>AND(Sheet1!A2282,"AAAAAH+nY0w=")</f>
        <v>#VALUE!</v>
      </c>
      <c r="BZ170" t="e">
        <f>AND(Sheet1!B2282,"AAAAAH+nY00=")</f>
        <v>#VALUE!</v>
      </c>
      <c r="CA170" t="e">
        <f>AND(Sheet1!C2282,"AAAAAH+nY04=")</f>
        <v>#VALUE!</v>
      </c>
      <c r="CB170" t="e">
        <f>AND(Sheet1!D2282,"AAAAAH+nY08=")</f>
        <v>#VALUE!</v>
      </c>
      <c r="CC170" t="e">
        <f>AND(Sheet1!E2282,"AAAAAH+nY1A=")</f>
        <v>#VALUE!</v>
      </c>
      <c r="CD170" t="e">
        <f>AND(Sheet1!F2282,"AAAAAH+nY1E=")</f>
        <v>#VALUE!</v>
      </c>
      <c r="CE170" t="e">
        <f>AND(Sheet1!G2282,"AAAAAH+nY1I=")</f>
        <v>#VALUE!</v>
      </c>
      <c r="CF170" t="e">
        <f>AND(Sheet1!H2282,"AAAAAH+nY1M=")</f>
        <v>#VALUE!</v>
      </c>
      <c r="CG170" t="e">
        <f>AND(Sheet1!I2282,"AAAAAH+nY1Q=")</f>
        <v>#VALUE!</v>
      </c>
      <c r="CH170" t="e">
        <f>AND(Sheet1!J2282,"AAAAAH+nY1U=")</f>
        <v>#VALUE!</v>
      </c>
      <c r="CI170" t="e">
        <f>AND(Sheet1!K2282,"AAAAAH+nY1Y=")</f>
        <v>#VALUE!</v>
      </c>
      <c r="CJ170" t="e">
        <f>AND(Sheet1!L2282,"AAAAAH+nY1c=")</f>
        <v>#VALUE!</v>
      </c>
      <c r="CK170" t="e">
        <f>AND(Sheet1!M2282,"AAAAAH+nY1g=")</f>
        <v>#VALUE!</v>
      </c>
      <c r="CL170" t="e">
        <f>AND(Sheet1!N2282,"AAAAAH+nY1k=")</f>
        <v>#VALUE!</v>
      </c>
      <c r="CM170" t="e">
        <f>AND(Sheet1!#REF!,"AAAAAH+nY1o=")</f>
        <v>#REF!</v>
      </c>
      <c r="CN170" t="e">
        <f>AND(Sheet1!#REF!,"AAAAAH+nY1s=")</f>
        <v>#REF!</v>
      </c>
      <c r="CO170" t="e">
        <f>AND(Sheet1!#REF!,"AAAAAH+nY1w=")</f>
        <v>#REF!</v>
      </c>
      <c r="CP170" t="e">
        <f>AND(Sheet1!#REF!,"AAAAAH+nY10=")</f>
        <v>#REF!</v>
      </c>
      <c r="CQ170">
        <f>IF(Sheet1!2283:2283,"AAAAAH+nY14=",0)</f>
        <v>0</v>
      </c>
      <c r="CR170" t="e">
        <f>AND(Sheet1!A2283,"AAAAAH+nY18=")</f>
        <v>#VALUE!</v>
      </c>
      <c r="CS170" t="e">
        <f>AND(Sheet1!B2283,"AAAAAH+nY2A=")</f>
        <v>#VALUE!</v>
      </c>
      <c r="CT170" t="e">
        <f>AND(Sheet1!C2283,"AAAAAH+nY2E=")</f>
        <v>#VALUE!</v>
      </c>
      <c r="CU170" t="e">
        <f>AND(Sheet1!D2283,"AAAAAH+nY2I=")</f>
        <v>#VALUE!</v>
      </c>
      <c r="CV170" t="e">
        <f>AND(Sheet1!E2283,"AAAAAH+nY2M=")</f>
        <v>#VALUE!</v>
      </c>
      <c r="CW170" t="e">
        <f>AND(Sheet1!F2283,"AAAAAH+nY2Q=")</f>
        <v>#VALUE!</v>
      </c>
      <c r="CX170" t="e">
        <f>AND(Sheet1!G2283,"AAAAAH+nY2U=")</f>
        <v>#VALUE!</v>
      </c>
      <c r="CY170" t="e">
        <f>AND(Sheet1!H2283,"AAAAAH+nY2Y=")</f>
        <v>#VALUE!</v>
      </c>
      <c r="CZ170" t="e">
        <f>AND(Sheet1!I2283,"AAAAAH+nY2c=")</f>
        <v>#VALUE!</v>
      </c>
      <c r="DA170" t="e">
        <f>AND(Sheet1!J2283,"AAAAAH+nY2g=")</f>
        <v>#VALUE!</v>
      </c>
      <c r="DB170" t="e">
        <f>AND(Sheet1!K2283,"AAAAAH+nY2k=")</f>
        <v>#VALUE!</v>
      </c>
      <c r="DC170" t="e">
        <f>AND(Sheet1!L2283,"AAAAAH+nY2o=")</f>
        <v>#VALUE!</v>
      </c>
      <c r="DD170" t="e">
        <f>AND(Sheet1!M2283,"AAAAAH+nY2s=")</f>
        <v>#VALUE!</v>
      </c>
      <c r="DE170" t="e">
        <f>AND(Sheet1!N2283,"AAAAAH+nY2w=")</f>
        <v>#VALUE!</v>
      </c>
      <c r="DF170" t="e">
        <f>AND(Sheet1!#REF!,"AAAAAH+nY20=")</f>
        <v>#REF!</v>
      </c>
      <c r="DG170" t="e">
        <f>AND(Sheet1!#REF!,"AAAAAH+nY24=")</f>
        <v>#REF!</v>
      </c>
      <c r="DH170" t="e">
        <f>AND(Sheet1!#REF!,"AAAAAH+nY28=")</f>
        <v>#REF!</v>
      </c>
      <c r="DI170" t="e">
        <f>AND(Sheet1!#REF!,"AAAAAH+nY3A=")</f>
        <v>#REF!</v>
      </c>
      <c r="DJ170">
        <f>IF(Sheet1!2284:2284,"AAAAAH+nY3E=",0)</f>
        <v>0</v>
      </c>
      <c r="DK170" t="e">
        <f>AND(Sheet1!A2284,"AAAAAH+nY3I=")</f>
        <v>#VALUE!</v>
      </c>
      <c r="DL170" t="e">
        <f>AND(Sheet1!B2284,"AAAAAH+nY3M=")</f>
        <v>#VALUE!</v>
      </c>
      <c r="DM170" t="e">
        <f>AND(Sheet1!C2284,"AAAAAH+nY3Q=")</f>
        <v>#VALUE!</v>
      </c>
      <c r="DN170" t="e">
        <f>AND(Sheet1!D2284,"AAAAAH+nY3U=")</f>
        <v>#VALUE!</v>
      </c>
      <c r="DO170" t="e">
        <f>AND(Sheet1!E2284,"AAAAAH+nY3Y=")</f>
        <v>#VALUE!</v>
      </c>
      <c r="DP170" t="e">
        <f>AND(Sheet1!F2284,"AAAAAH+nY3c=")</f>
        <v>#VALUE!</v>
      </c>
      <c r="DQ170" t="e">
        <f>AND(Sheet1!G2284,"AAAAAH+nY3g=")</f>
        <v>#VALUE!</v>
      </c>
      <c r="DR170" t="e">
        <f>AND(Sheet1!H2284,"AAAAAH+nY3k=")</f>
        <v>#VALUE!</v>
      </c>
      <c r="DS170" t="e">
        <f>AND(Sheet1!I2284,"AAAAAH+nY3o=")</f>
        <v>#VALUE!</v>
      </c>
      <c r="DT170" t="e">
        <f>AND(Sheet1!J2284,"AAAAAH+nY3s=")</f>
        <v>#VALUE!</v>
      </c>
      <c r="DU170" t="e">
        <f>AND(Sheet1!K2284,"AAAAAH+nY3w=")</f>
        <v>#VALUE!</v>
      </c>
      <c r="DV170" t="e">
        <f>AND(Sheet1!L2284,"AAAAAH+nY30=")</f>
        <v>#VALUE!</v>
      </c>
      <c r="DW170" t="e">
        <f>AND(Sheet1!M2284,"AAAAAH+nY34=")</f>
        <v>#VALUE!</v>
      </c>
      <c r="DX170" t="e">
        <f>AND(Sheet1!N2284,"AAAAAH+nY38=")</f>
        <v>#VALUE!</v>
      </c>
      <c r="DY170" t="e">
        <f>AND(Sheet1!#REF!,"AAAAAH+nY4A=")</f>
        <v>#REF!</v>
      </c>
      <c r="DZ170" t="e">
        <f>AND(Sheet1!#REF!,"AAAAAH+nY4E=")</f>
        <v>#REF!</v>
      </c>
      <c r="EA170" t="e">
        <f>AND(Sheet1!#REF!,"AAAAAH+nY4I=")</f>
        <v>#REF!</v>
      </c>
      <c r="EB170" t="e">
        <f>AND(Sheet1!#REF!,"AAAAAH+nY4M=")</f>
        <v>#REF!</v>
      </c>
      <c r="EC170">
        <f>IF(Sheet1!2285:2285,"AAAAAH+nY4Q=",0)</f>
        <v>0</v>
      </c>
      <c r="ED170" t="e">
        <f>AND(Sheet1!A2285,"AAAAAH+nY4U=")</f>
        <v>#VALUE!</v>
      </c>
      <c r="EE170" t="e">
        <f>AND(Sheet1!B2285,"AAAAAH+nY4Y=")</f>
        <v>#VALUE!</v>
      </c>
      <c r="EF170" t="e">
        <f>AND(Sheet1!C2285,"AAAAAH+nY4c=")</f>
        <v>#VALUE!</v>
      </c>
      <c r="EG170" t="e">
        <f>AND(Sheet1!D2285,"AAAAAH+nY4g=")</f>
        <v>#VALUE!</v>
      </c>
      <c r="EH170" t="e">
        <f>AND(Sheet1!E2285,"AAAAAH+nY4k=")</f>
        <v>#VALUE!</v>
      </c>
      <c r="EI170" t="e">
        <f>AND(Sheet1!F2285,"AAAAAH+nY4o=")</f>
        <v>#VALUE!</v>
      </c>
      <c r="EJ170" t="e">
        <f>AND(Sheet1!G2285,"AAAAAH+nY4s=")</f>
        <v>#VALUE!</v>
      </c>
      <c r="EK170" t="e">
        <f>AND(Sheet1!H2285,"AAAAAH+nY4w=")</f>
        <v>#VALUE!</v>
      </c>
      <c r="EL170" t="e">
        <f>AND(Sheet1!I2285,"AAAAAH+nY40=")</f>
        <v>#VALUE!</v>
      </c>
      <c r="EM170" t="e">
        <f>AND(Sheet1!J2285,"AAAAAH+nY44=")</f>
        <v>#VALUE!</v>
      </c>
      <c r="EN170" t="e">
        <f>AND(Sheet1!K2285,"AAAAAH+nY48=")</f>
        <v>#VALUE!</v>
      </c>
      <c r="EO170" t="e">
        <f>AND(Sheet1!L2285,"AAAAAH+nY5A=")</f>
        <v>#VALUE!</v>
      </c>
      <c r="EP170" t="e">
        <f>AND(Sheet1!M2285,"AAAAAH+nY5E=")</f>
        <v>#VALUE!</v>
      </c>
      <c r="EQ170" t="e">
        <f>AND(Sheet1!N2285,"AAAAAH+nY5I=")</f>
        <v>#VALUE!</v>
      </c>
      <c r="ER170" t="e">
        <f>AND(Sheet1!#REF!,"AAAAAH+nY5M=")</f>
        <v>#REF!</v>
      </c>
      <c r="ES170" t="e">
        <f>AND(Sheet1!#REF!,"AAAAAH+nY5Q=")</f>
        <v>#REF!</v>
      </c>
      <c r="ET170" t="e">
        <f>AND(Sheet1!#REF!,"AAAAAH+nY5U=")</f>
        <v>#REF!</v>
      </c>
      <c r="EU170" t="e">
        <f>AND(Sheet1!#REF!,"AAAAAH+nY5Y=")</f>
        <v>#REF!</v>
      </c>
      <c r="EV170">
        <f>IF(Sheet1!2286:2286,"AAAAAH+nY5c=",0)</f>
        <v>0</v>
      </c>
      <c r="EW170" t="e">
        <f>AND(Sheet1!A2286,"AAAAAH+nY5g=")</f>
        <v>#VALUE!</v>
      </c>
      <c r="EX170" t="e">
        <f>AND(Sheet1!B2286,"AAAAAH+nY5k=")</f>
        <v>#VALUE!</v>
      </c>
      <c r="EY170" t="e">
        <f>AND(Sheet1!C2286,"AAAAAH+nY5o=")</f>
        <v>#VALUE!</v>
      </c>
      <c r="EZ170" t="e">
        <f>AND(Sheet1!D2286,"AAAAAH+nY5s=")</f>
        <v>#VALUE!</v>
      </c>
      <c r="FA170" t="e">
        <f>AND(Sheet1!E2286,"AAAAAH+nY5w=")</f>
        <v>#VALUE!</v>
      </c>
      <c r="FB170" t="e">
        <f>AND(Sheet1!F2286,"AAAAAH+nY50=")</f>
        <v>#VALUE!</v>
      </c>
      <c r="FC170" t="e">
        <f>AND(Sheet1!G2286,"AAAAAH+nY54=")</f>
        <v>#VALUE!</v>
      </c>
      <c r="FD170" t="e">
        <f>AND(Sheet1!H2286,"AAAAAH+nY58=")</f>
        <v>#VALUE!</v>
      </c>
      <c r="FE170" t="e">
        <f>AND(Sheet1!I2286,"AAAAAH+nY6A=")</f>
        <v>#VALUE!</v>
      </c>
      <c r="FF170" t="e">
        <f>AND(Sheet1!J2286,"AAAAAH+nY6E=")</f>
        <v>#VALUE!</v>
      </c>
      <c r="FG170" t="e">
        <f>AND(Sheet1!K2286,"AAAAAH+nY6I=")</f>
        <v>#VALUE!</v>
      </c>
      <c r="FH170" t="e">
        <f>AND(Sheet1!L2286,"AAAAAH+nY6M=")</f>
        <v>#VALUE!</v>
      </c>
      <c r="FI170" t="e">
        <f>AND(Sheet1!M2286,"AAAAAH+nY6Q=")</f>
        <v>#VALUE!</v>
      </c>
      <c r="FJ170" t="e">
        <f>AND(Sheet1!N2286,"AAAAAH+nY6U=")</f>
        <v>#VALUE!</v>
      </c>
      <c r="FK170" t="e">
        <f>AND(Sheet1!#REF!,"AAAAAH+nY6Y=")</f>
        <v>#REF!</v>
      </c>
      <c r="FL170" t="e">
        <f>AND(Sheet1!#REF!,"AAAAAH+nY6c=")</f>
        <v>#REF!</v>
      </c>
      <c r="FM170" t="e">
        <f>AND(Sheet1!#REF!,"AAAAAH+nY6g=")</f>
        <v>#REF!</v>
      </c>
      <c r="FN170" t="e">
        <f>AND(Sheet1!#REF!,"AAAAAH+nY6k=")</f>
        <v>#REF!</v>
      </c>
      <c r="FO170">
        <f>IF(Sheet1!2287:2287,"AAAAAH+nY6o=",0)</f>
        <v>0</v>
      </c>
      <c r="FP170" t="e">
        <f>AND(Sheet1!A2287,"AAAAAH+nY6s=")</f>
        <v>#VALUE!</v>
      </c>
      <c r="FQ170" t="e">
        <f>AND(Sheet1!B2287,"AAAAAH+nY6w=")</f>
        <v>#VALUE!</v>
      </c>
      <c r="FR170" t="e">
        <f>AND(Sheet1!C2287,"AAAAAH+nY60=")</f>
        <v>#VALUE!</v>
      </c>
      <c r="FS170" t="e">
        <f>AND(Sheet1!D2287,"AAAAAH+nY64=")</f>
        <v>#VALUE!</v>
      </c>
      <c r="FT170" t="e">
        <f>AND(Sheet1!E2287,"AAAAAH+nY68=")</f>
        <v>#VALUE!</v>
      </c>
      <c r="FU170" t="e">
        <f>AND(Sheet1!F2287,"AAAAAH+nY7A=")</f>
        <v>#VALUE!</v>
      </c>
      <c r="FV170" t="e">
        <f>AND(Sheet1!G2287,"AAAAAH+nY7E=")</f>
        <v>#VALUE!</v>
      </c>
      <c r="FW170" t="e">
        <f>AND(Sheet1!H2287,"AAAAAH+nY7I=")</f>
        <v>#VALUE!</v>
      </c>
      <c r="FX170" t="e">
        <f>AND(Sheet1!I2287,"AAAAAH+nY7M=")</f>
        <v>#VALUE!</v>
      </c>
      <c r="FY170" t="e">
        <f>AND(Sheet1!J2287,"AAAAAH+nY7Q=")</f>
        <v>#VALUE!</v>
      </c>
      <c r="FZ170" t="e">
        <f>AND(Sheet1!K2287,"AAAAAH+nY7U=")</f>
        <v>#VALUE!</v>
      </c>
      <c r="GA170" t="e">
        <f>AND(Sheet1!L2287,"AAAAAH+nY7Y=")</f>
        <v>#VALUE!</v>
      </c>
      <c r="GB170" t="e">
        <f>AND(Sheet1!M2287,"AAAAAH+nY7c=")</f>
        <v>#VALUE!</v>
      </c>
      <c r="GC170" t="e">
        <f>AND(Sheet1!N2287,"AAAAAH+nY7g=")</f>
        <v>#VALUE!</v>
      </c>
      <c r="GD170" t="e">
        <f>AND(Sheet1!#REF!,"AAAAAH+nY7k=")</f>
        <v>#REF!</v>
      </c>
      <c r="GE170" t="e">
        <f>AND(Sheet1!#REF!,"AAAAAH+nY7o=")</f>
        <v>#REF!</v>
      </c>
      <c r="GF170" t="e">
        <f>AND(Sheet1!#REF!,"AAAAAH+nY7s=")</f>
        <v>#REF!</v>
      </c>
      <c r="GG170" t="e">
        <f>AND(Sheet1!#REF!,"AAAAAH+nY7w=")</f>
        <v>#REF!</v>
      </c>
      <c r="GH170">
        <f>IF(Sheet1!2288:2288,"AAAAAH+nY70=",0)</f>
        <v>0</v>
      </c>
      <c r="GI170" t="e">
        <f>AND(Sheet1!A2288,"AAAAAH+nY74=")</f>
        <v>#VALUE!</v>
      </c>
      <c r="GJ170" t="e">
        <f>AND(Sheet1!B2288,"AAAAAH+nY78=")</f>
        <v>#VALUE!</v>
      </c>
      <c r="GK170" t="e">
        <f>AND(Sheet1!C2288,"AAAAAH+nY8A=")</f>
        <v>#VALUE!</v>
      </c>
      <c r="GL170" t="e">
        <f>AND(Sheet1!D2288,"AAAAAH+nY8E=")</f>
        <v>#VALUE!</v>
      </c>
      <c r="GM170" t="e">
        <f>AND(Sheet1!E2288,"AAAAAH+nY8I=")</f>
        <v>#VALUE!</v>
      </c>
      <c r="GN170" t="e">
        <f>AND(Sheet1!F2288,"AAAAAH+nY8M=")</f>
        <v>#VALUE!</v>
      </c>
      <c r="GO170" t="e">
        <f>AND(Sheet1!G2288,"AAAAAH+nY8Q=")</f>
        <v>#VALUE!</v>
      </c>
      <c r="GP170" t="e">
        <f>AND(Sheet1!H2288,"AAAAAH+nY8U=")</f>
        <v>#VALUE!</v>
      </c>
      <c r="GQ170" t="e">
        <f>AND(Sheet1!I2288,"AAAAAH+nY8Y=")</f>
        <v>#VALUE!</v>
      </c>
      <c r="GR170" t="e">
        <f>AND(Sheet1!J2288,"AAAAAH+nY8c=")</f>
        <v>#VALUE!</v>
      </c>
      <c r="GS170" t="e">
        <f>AND(Sheet1!K2288,"AAAAAH+nY8g=")</f>
        <v>#VALUE!</v>
      </c>
      <c r="GT170" t="e">
        <f>AND(Sheet1!L2288,"AAAAAH+nY8k=")</f>
        <v>#VALUE!</v>
      </c>
      <c r="GU170" t="e">
        <f>AND(Sheet1!M2288,"AAAAAH+nY8o=")</f>
        <v>#VALUE!</v>
      </c>
      <c r="GV170" t="e">
        <f>AND(Sheet1!N2288,"AAAAAH+nY8s=")</f>
        <v>#VALUE!</v>
      </c>
      <c r="GW170" t="e">
        <f>AND(Sheet1!#REF!,"AAAAAH+nY8w=")</f>
        <v>#REF!</v>
      </c>
      <c r="GX170" t="e">
        <f>AND(Sheet1!#REF!,"AAAAAH+nY80=")</f>
        <v>#REF!</v>
      </c>
      <c r="GY170" t="e">
        <f>AND(Sheet1!#REF!,"AAAAAH+nY84=")</f>
        <v>#REF!</v>
      </c>
      <c r="GZ170" t="e">
        <f>AND(Sheet1!#REF!,"AAAAAH+nY88=")</f>
        <v>#REF!</v>
      </c>
      <c r="HA170">
        <f>IF(Sheet1!2289:2289,"AAAAAH+nY9A=",0)</f>
        <v>0</v>
      </c>
      <c r="HB170" t="e">
        <f>AND(Sheet1!A2289,"AAAAAH+nY9E=")</f>
        <v>#VALUE!</v>
      </c>
      <c r="HC170" t="e">
        <f>AND(Sheet1!B2289,"AAAAAH+nY9I=")</f>
        <v>#VALUE!</v>
      </c>
      <c r="HD170" t="e">
        <f>AND(Sheet1!C2289,"AAAAAH+nY9M=")</f>
        <v>#VALUE!</v>
      </c>
      <c r="HE170" t="e">
        <f>AND(Sheet1!D2289,"AAAAAH+nY9Q=")</f>
        <v>#VALUE!</v>
      </c>
      <c r="HF170" t="e">
        <f>AND(Sheet1!E2289,"AAAAAH+nY9U=")</f>
        <v>#VALUE!</v>
      </c>
      <c r="HG170" t="e">
        <f>AND(Sheet1!F2289,"AAAAAH+nY9Y=")</f>
        <v>#VALUE!</v>
      </c>
      <c r="HH170" t="e">
        <f>AND(Sheet1!G2289,"AAAAAH+nY9c=")</f>
        <v>#VALUE!</v>
      </c>
      <c r="HI170" t="e">
        <f>AND(Sheet1!H2289,"AAAAAH+nY9g=")</f>
        <v>#VALUE!</v>
      </c>
      <c r="HJ170" t="e">
        <f>AND(Sheet1!I2289,"AAAAAH+nY9k=")</f>
        <v>#VALUE!</v>
      </c>
      <c r="HK170" t="e">
        <f>AND(Sheet1!J2289,"AAAAAH+nY9o=")</f>
        <v>#VALUE!</v>
      </c>
      <c r="HL170" t="e">
        <f>AND(Sheet1!K2289,"AAAAAH+nY9s=")</f>
        <v>#VALUE!</v>
      </c>
      <c r="HM170" t="e">
        <f>AND(Sheet1!L2289,"AAAAAH+nY9w=")</f>
        <v>#VALUE!</v>
      </c>
      <c r="HN170" t="e">
        <f>AND(Sheet1!M2289,"AAAAAH+nY90=")</f>
        <v>#VALUE!</v>
      </c>
      <c r="HO170" t="e">
        <f>AND(Sheet1!N2289,"AAAAAH+nY94=")</f>
        <v>#VALUE!</v>
      </c>
      <c r="HP170" t="e">
        <f>AND(Sheet1!#REF!,"AAAAAH+nY98=")</f>
        <v>#REF!</v>
      </c>
      <c r="HQ170" t="e">
        <f>AND(Sheet1!#REF!,"AAAAAH+nY+A=")</f>
        <v>#REF!</v>
      </c>
      <c r="HR170" t="e">
        <f>AND(Sheet1!#REF!,"AAAAAH+nY+E=")</f>
        <v>#REF!</v>
      </c>
      <c r="HS170" t="e">
        <f>AND(Sheet1!#REF!,"AAAAAH+nY+I=")</f>
        <v>#REF!</v>
      </c>
      <c r="HT170">
        <f>IF(Sheet1!2290:2290,"AAAAAH+nY+M=",0)</f>
        <v>0</v>
      </c>
      <c r="HU170" t="e">
        <f>AND(Sheet1!A2290,"AAAAAH+nY+Q=")</f>
        <v>#VALUE!</v>
      </c>
      <c r="HV170" t="e">
        <f>AND(Sheet1!B2290,"AAAAAH+nY+U=")</f>
        <v>#VALUE!</v>
      </c>
      <c r="HW170" t="e">
        <f>AND(Sheet1!C2290,"AAAAAH+nY+Y=")</f>
        <v>#VALUE!</v>
      </c>
      <c r="HX170" t="e">
        <f>AND(Sheet1!D2290,"AAAAAH+nY+c=")</f>
        <v>#VALUE!</v>
      </c>
      <c r="HY170" t="e">
        <f>AND(Sheet1!E2290,"AAAAAH+nY+g=")</f>
        <v>#VALUE!</v>
      </c>
      <c r="HZ170" t="e">
        <f>AND(Sheet1!F2290,"AAAAAH+nY+k=")</f>
        <v>#VALUE!</v>
      </c>
      <c r="IA170" t="e">
        <f>AND(Sheet1!G2290,"AAAAAH+nY+o=")</f>
        <v>#VALUE!</v>
      </c>
      <c r="IB170" t="e">
        <f>AND(Sheet1!H2290,"AAAAAH+nY+s=")</f>
        <v>#VALUE!</v>
      </c>
      <c r="IC170" t="e">
        <f>AND(Sheet1!I2290,"AAAAAH+nY+w=")</f>
        <v>#VALUE!</v>
      </c>
      <c r="ID170" t="e">
        <f>AND(Sheet1!J2290,"AAAAAH+nY+0=")</f>
        <v>#VALUE!</v>
      </c>
      <c r="IE170" t="e">
        <f>AND(Sheet1!K2290,"AAAAAH+nY+4=")</f>
        <v>#VALUE!</v>
      </c>
      <c r="IF170" t="e">
        <f>AND(Sheet1!L2290,"AAAAAH+nY+8=")</f>
        <v>#VALUE!</v>
      </c>
      <c r="IG170" t="e">
        <f>AND(Sheet1!M2290,"AAAAAH+nY/A=")</f>
        <v>#VALUE!</v>
      </c>
      <c r="IH170" t="e">
        <f>AND(Sheet1!N2290,"AAAAAH+nY/E=")</f>
        <v>#VALUE!</v>
      </c>
      <c r="II170" t="e">
        <f>AND(Sheet1!#REF!,"AAAAAH+nY/I=")</f>
        <v>#REF!</v>
      </c>
      <c r="IJ170" t="e">
        <f>AND(Sheet1!#REF!,"AAAAAH+nY/M=")</f>
        <v>#REF!</v>
      </c>
      <c r="IK170" t="e">
        <f>AND(Sheet1!#REF!,"AAAAAH+nY/Q=")</f>
        <v>#REF!</v>
      </c>
      <c r="IL170" t="e">
        <f>AND(Sheet1!#REF!,"AAAAAH+nY/U=")</f>
        <v>#REF!</v>
      </c>
      <c r="IM170">
        <f>IF(Sheet1!2291:2291,"AAAAAH+nY/Y=",0)</f>
        <v>0</v>
      </c>
      <c r="IN170" t="e">
        <f>AND(Sheet1!A2291,"AAAAAH+nY/c=")</f>
        <v>#VALUE!</v>
      </c>
      <c r="IO170" t="e">
        <f>AND(Sheet1!B2291,"AAAAAH+nY/g=")</f>
        <v>#VALUE!</v>
      </c>
      <c r="IP170" t="e">
        <f>AND(Sheet1!C2291,"AAAAAH+nY/k=")</f>
        <v>#VALUE!</v>
      </c>
      <c r="IQ170" t="e">
        <f>AND(Sheet1!D2291,"AAAAAH+nY/o=")</f>
        <v>#VALUE!</v>
      </c>
      <c r="IR170" t="e">
        <f>AND(Sheet1!E2291,"AAAAAH+nY/s=")</f>
        <v>#VALUE!</v>
      </c>
      <c r="IS170" t="e">
        <f>AND(Sheet1!F2291,"AAAAAH+nY/w=")</f>
        <v>#VALUE!</v>
      </c>
      <c r="IT170" t="e">
        <f>AND(Sheet1!G2291,"AAAAAH+nY/0=")</f>
        <v>#VALUE!</v>
      </c>
      <c r="IU170" t="e">
        <f>AND(Sheet1!H2291,"AAAAAH+nY/4=")</f>
        <v>#VALUE!</v>
      </c>
      <c r="IV170" t="e">
        <f>AND(Sheet1!I2291,"AAAAAH+nY/8=")</f>
        <v>#VALUE!</v>
      </c>
    </row>
    <row r="171" spans="1:256" x14ac:dyDescent="0.2">
      <c r="A171" t="e">
        <f>AND(Sheet1!J2291,"AAAAAH772wA=")</f>
        <v>#VALUE!</v>
      </c>
      <c r="B171" t="e">
        <f>AND(Sheet1!K2291,"AAAAAH772wE=")</f>
        <v>#VALUE!</v>
      </c>
      <c r="C171" t="e">
        <f>AND(Sheet1!L2291,"AAAAAH772wI=")</f>
        <v>#VALUE!</v>
      </c>
      <c r="D171" t="e">
        <f>AND(Sheet1!M2291,"AAAAAH772wM=")</f>
        <v>#VALUE!</v>
      </c>
      <c r="E171" t="e">
        <f>AND(Sheet1!N2291,"AAAAAH772wQ=")</f>
        <v>#VALUE!</v>
      </c>
      <c r="F171" t="e">
        <f>AND(Sheet1!#REF!,"AAAAAH772wU=")</f>
        <v>#REF!</v>
      </c>
      <c r="G171" t="e">
        <f>AND(Sheet1!#REF!,"AAAAAH772wY=")</f>
        <v>#REF!</v>
      </c>
      <c r="H171" t="e">
        <f>AND(Sheet1!#REF!,"AAAAAH772wc=")</f>
        <v>#REF!</v>
      </c>
      <c r="I171" t="e">
        <f>AND(Sheet1!#REF!,"AAAAAH772wg=")</f>
        <v>#REF!</v>
      </c>
      <c r="J171" t="e">
        <f>IF(Sheet1!2292:2292,"AAAAAH772wk=",0)</f>
        <v>#VALUE!</v>
      </c>
      <c r="K171" t="e">
        <f>AND(Sheet1!A2292,"AAAAAH772wo=")</f>
        <v>#VALUE!</v>
      </c>
      <c r="L171" t="e">
        <f>AND(Sheet1!B2292,"AAAAAH772ws=")</f>
        <v>#VALUE!</v>
      </c>
      <c r="M171" t="e">
        <f>AND(Sheet1!C2292,"AAAAAH772ww=")</f>
        <v>#VALUE!</v>
      </c>
      <c r="N171" t="e">
        <f>AND(Sheet1!D2292,"AAAAAH772w0=")</f>
        <v>#VALUE!</v>
      </c>
      <c r="O171" t="e">
        <f>AND(Sheet1!E2292,"AAAAAH772w4=")</f>
        <v>#VALUE!</v>
      </c>
      <c r="P171" t="e">
        <f>AND(Sheet1!F2292,"AAAAAH772w8=")</f>
        <v>#VALUE!</v>
      </c>
      <c r="Q171" t="e">
        <f>AND(Sheet1!G2292,"AAAAAH772xA=")</f>
        <v>#VALUE!</v>
      </c>
      <c r="R171" t="e">
        <f>AND(Sheet1!H2292,"AAAAAH772xE=")</f>
        <v>#VALUE!</v>
      </c>
      <c r="S171" t="e">
        <f>AND(Sheet1!I2292,"AAAAAH772xI=")</f>
        <v>#VALUE!</v>
      </c>
      <c r="T171" t="e">
        <f>AND(Sheet1!J2292,"AAAAAH772xM=")</f>
        <v>#VALUE!</v>
      </c>
      <c r="U171" t="e">
        <f>AND(Sheet1!K2292,"AAAAAH772xQ=")</f>
        <v>#VALUE!</v>
      </c>
      <c r="V171" t="e">
        <f>AND(Sheet1!L2292,"AAAAAH772xU=")</f>
        <v>#VALUE!</v>
      </c>
      <c r="W171" t="e">
        <f>AND(Sheet1!M2292,"AAAAAH772xY=")</f>
        <v>#VALUE!</v>
      </c>
      <c r="X171" t="e">
        <f>AND(Sheet1!N2292,"AAAAAH772xc=")</f>
        <v>#VALUE!</v>
      </c>
      <c r="Y171" t="e">
        <f>AND(Sheet1!#REF!,"AAAAAH772xg=")</f>
        <v>#REF!</v>
      </c>
      <c r="Z171" t="e">
        <f>AND(Sheet1!#REF!,"AAAAAH772xk=")</f>
        <v>#REF!</v>
      </c>
      <c r="AA171" t="e">
        <f>AND(Sheet1!#REF!,"AAAAAH772xo=")</f>
        <v>#REF!</v>
      </c>
      <c r="AB171" t="e">
        <f>AND(Sheet1!#REF!,"AAAAAH772xs=")</f>
        <v>#REF!</v>
      </c>
      <c r="AC171">
        <f>IF(Sheet1!2293:2293,"AAAAAH772xw=",0)</f>
        <v>0</v>
      </c>
      <c r="AD171" t="e">
        <f>AND(Sheet1!A2293,"AAAAAH772x0=")</f>
        <v>#VALUE!</v>
      </c>
      <c r="AE171" t="e">
        <f>AND(Sheet1!B2293,"AAAAAH772x4=")</f>
        <v>#VALUE!</v>
      </c>
      <c r="AF171" t="e">
        <f>AND(Sheet1!C2293,"AAAAAH772x8=")</f>
        <v>#VALUE!</v>
      </c>
      <c r="AG171" t="e">
        <f>AND(Sheet1!D2293,"AAAAAH772yA=")</f>
        <v>#VALUE!</v>
      </c>
      <c r="AH171" t="e">
        <f>AND(Sheet1!E2293,"AAAAAH772yE=")</f>
        <v>#VALUE!</v>
      </c>
      <c r="AI171" t="e">
        <f>AND(Sheet1!F2293,"AAAAAH772yI=")</f>
        <v>#VALUE!</v>
      </c>
      <c r="AJ171" t="e">
        <f>AND(Sheet1!G2293,"AAAAAH772yM=")</f>
        <v>#VALUE!</v>
      </c>
      <c r="AK171" t="e">
        <f>AND(Sheet1!H2293,"AAAAAH772yQ=")</f>
        <v>#VALUE!</v>
      </c>
      <c r="AL171" t="e">
        <f>AND(Sheet1!I2293,"AAAAAH772yU=")</f>
        <v>#VALUE!</v>
      </c>
      <c r="AM171" t="e">
        <f>AND(Sheet1!J2293,"AAAAAH772yY=")</f>
        <v>#VALUE!</v>
      </c>
      <c r="AN171" t="e">
        <f>AND(Sheet1!K2293,"AAAAAH772yc=")</f>
        <v>#VALUE!</v>
      </c>
      <c r="AO171" t="e">
        <f>AND(Sheet1!L2293,"AAAAAH772yg=")</f>
        <v>#VALUE!</v>
      </c>
      <c r="AP171" t="e">
        <f>AND(Sheet1!M2293,"AAAAAH772yk=")</f>
        <v>#VALUE!</v>
      </c>
      <c r="AQ171" t="e">
        <f>AND(Sheet1!N2293,"AAAAAH772yo=")</f>
        <v>#VALUE!</v>
      </c>
      <c r="AR171" t="e">
        <f>AND(Sheet1!#REF!,"AAAAAH772ys=")</f>
        <v>#REF!</v>
      </c>
      <c r="AS171" t="e">
        <f>AND(Sheet1!#REF!,"AAAAAH772yw=")</f>
        <v>#REF!</v>
      </c>
      <c r="AT171" t="e">
        <f>AND(Sheet1!#REF!,"AAAAAH772y0=")</f>
        <v>#REF!</v>
      </c>
      <c r="AU171" t="e">
        <f>AND(Sheet1!#REF!,"AAAAAH772y4=")</f>
        <v>#REF!</v>
      </c>
      <c r="AV171">
        <f>IF(Sheet1!2294:2294,"AAAAAH772y8=",0)</f>
        <v>0</v>
      </c>
      <c r="AW171" t="e">
        <f>AND(Sheet1!A2294,"AAAAAH772zA=")</f>
        <v>#VALUE!</v>
      </c>
      <c r="AX171" t="e">
        <f>AND(Sheet1!B2294,"AAAAAH772zE=")</f>
        <v>#VALUE!</v>
      </c>
      <c r="AY171" t="e">
        <f>AND(Sheet1!C2294,"AAAAAH772zI=")</f>
        <v>#VALUE!</v>
      </c>
      <c r="AZ171" t="e">
        <f>AND(Sheet1!D2294,"AAAAAH772zM=")</f>
        <v>#VALUE!</v>
      </c>
      <c r="BA171" t="e">
        <f>AND(Sheet1!E2294,"AAAAAH772zQ=")</f>
        <v>#VALUE!</v>
      </c>
      <c r="BB171" t="e">
        <f>AND(Sheet1!F2294,"AAAAAH772zU=")</f>
        <v>#VALUE!</v>
      </c>
      <c r="BC171" t="e">
        <f>AND(Sheet1!G2294,"AAAAAH772zY=")</f>
        <v>#VALUE!</v>
      </c>
      <c r="BD171" t="e">
        <f>AND(Sheet1!H2294,"AAAAAH772zc=")</f>
        <v>#VALUE!</v>
      </c>
      <c r="BE171" t="e">
        <f>AND(Sheet1!I2294,"AAAAAH772zg=")</f>
        <v>#VALUE!</v>
      </c>
      <c r="BF171" t="e">
        <f>AND(Sheet1!J2294,"AAAAAH772zk=")</f>
        <v>#VALUE!</v>
      </c>
      <c r="BG171" t="e">
        <f>AND(Sheet1!K2294,"AAAAAH772zo=")</f>
        <v>#VALUE!</v>
      </c>
      <c r="BH171" t="e">
        <f>AND(Sheet1!L2294,"AAAAAH772zs=")</f>
        <v>#VALUE!</v>
      </c>
      <c r="BI171" t="e">
        <f>AND(Sheet1!M2294,"AAAAAH772zw=")</f>
        <v>#VALUE!</v>
      </c>
      <c r="BJ171" t="e">
        <f>AND(Sheet1!N2294,"AAAAAH772z0=")</f>
        <v>#VALUE!</v>
      </c>
      <c r="BK171" t="e">
        <f>AND(Sheet1!#REF!,"AAAAAH772z4=")</f>
        <v>#REF!</v>
      </c>
      <c r="BL171" t="e">
        <f>AND(Sheet1!#REF!,"AAAAAH772z8=")</f>
        <v>#REF!</v>
      </c>
      <c r="BM171" t="e">
        <f>AND(Sheet1!#REF!,"AAAAAH7720A=")</f>
        <v>#REF!</v>
      </c>
      <c r="BN171" t="e">
        <f>AND(Sheet1!#REF!,"AAAAAH7720E=")</f>
        <v>#REF!</v>
      </c>
      <c r="BO171">
        <f>IF(Sheet1!2295:2295,"AAAAAH7720I=",0)</f>
        <v>0</v>
      </c>
      <c r="BP171" t="e">
        <f>AND(Sheet1!A2295,"AAAAAH7720M=")</f>
        <v>#VALUE!</v>
      </c>
      <c r="BQ171" t="e">
        <f>AND(Sheet1!B2295,"AAAAAH7720Q=")</f>
        <v>#VALUE!</v>
      </c>
      <c r="BR171" t="e">
        <f>AND(Sheet1!C2295,"AAAAAH7720U=")</f>
        <v>#VALUE!</v>
      </c>
      <c r="BS171" t="e">
        <f>AND(Sheet1!D2295,"AAAAAH7720Y=")</f>
        <v>#VALUE!</v>
      </c>
      <c r="BT171" t="e">
        <f>AND(Sheet1!E2295,"AAAAAH7720c=")</f>
        <v>#VALUE!</v>
      </c>
      <c r="BU171" t="e">
        <f>AND(Sheet1!F2295,"AAAAAH7720g=")</f>
        <v>#VALUE!</v>
      </c>
      <c r="BV171" t="e">
        <f>AND(Sheet1!G2295,"AAAAAH7720k=")</f>
        <v>#VALUE!</v>
      </c>
      <c r="BW171" t="e">
        <f>AND(Sheet1!H2295,"AAAAAH7720o=")</f>
        <v>#VALUE!</v>
      </c>
      <c r="BX171" t="e">
        <f>AND(Sheet1!I2295,"AAAAAH7720s=")</f>
        <v>#VALUE!</v>
      </c>
      <c r="BY171" t="e">
        <f>AND(Sheet1!J2295,"AAAAAH7720w=")</f>
        <v>#VALUE!</v>
      </c>
      <c r="BZ171" t="e">
        <f>AND(Sheet1!K2295,"AAAAAH77200=")</f>
        <v>#VALUE!</v>
      </c>
      <c r="CA171" t="e">
        <f>AND(Sheet1!L2295,"AAAAAH77204=")</f>
        <v>#VALUE!</v>
      </c>
      <c r="CB171" t="e">
        <f>AND(Sheet1!M2295,"AAAAAH77208=")</f>
        <v>#VALUE!</v>
      </c>
      <c r="CC171" t="e">
        <f>AND(Sheet1!N2295,"AAAAAH7721A=")</f>
        <v>#VALUE!</v>
      </c>
      <c r="CD171" t="e">
        <f>AND(Sheet1!#REF!,"AAAAAH7721E=")</f>
        <v>#REF!</v>
      </c>
      <c r="CE171" t="e">
        <f>AND(Sheet1!#REF!,"AAAAAH7721I=")</f>
        <v>#REF!</v>
      </c>
      <c r="CF171" t="e">
        <f>AND(Sheet1!#REF!,"AAAAAH7721M=")</f>
        <v>#REF!</v>
      </c>
      <c r="CG171" t="e">
        <f>AND(Sheet1!#REF!,"AAAAAH7721Q=")</f>
        <v>#REF!</v>
      </c>
      <c r="CH171">
        <f>IF(Sheet1!2296:2296,"AAAAAH7721U=",0)</f>
        <v>0</v>
      </c>
      <c r="CI171" t="e">
        <f>AND(Sheet1!A2296,"AAAAAH7721Y=")</f>
        <v>#VALUE!</v>
      </c>
      <c r="CJ171" t="e">
        <f>AND(Sheet1!B2296,"AAAAAH7721c=")</f>
        <v>#VALUE!</v>
      </c>
      <c r="CK171" t="e">
        <f>AND(Sheet1!C2296,"AAAAAH7721g=")</f>
        <v>#VALUE!</v>
      </c>
      <c r="CL171" t="e">
        <f>AND(Sheet1!D2296,"AAAAAH7721k=")</f>
        <v>#VALUE!</v>
      </c>
      <c r="CM171" t="e">
        <f>AND(Sheet1!E2296,"AAAAAH7721o=")</f>
        <v>#VALUE!</v>
      </c>
      <c r="CN171" t="e">
        <f>AND(Sheet1!F2296,"AAAAAH7721s=")</f>
        <v>#VALUE!</v>
      </c>
      <c r="CO171" t="e">
        <f>AND(Sheet1!G2296,"AAAAAH7721w=")</f>
        <v>#VALUE!</v>
      </c>
      <c r="CP171" t="e">
        <f>AND(Sheet1!H2296,"AAAAAH77210=")</f>
        <v>#VALUE!</v>
      </c>
      <c r="CQ171" t="e">
        <f>AND(Sheet1!I2296,"AAAAAH77214=")</f>
        <v>#VALUE!</v>
      </c>
      <c r="CR171" t="e">
        <f>AND(Sheet1!J2296,"AAAAAH77218=")</f>
        <v>#VALUE!</v>
      </c>
      <c r="CS171" t="e">
        <f>AND(Sheet1!K2296,"AAAAAH7722A=")</f>
        <v>#VALUE!</v>
      </c>
      <c r="CT171" t="e">
        <f>AND(Sheet1!L2296,"AAAAAH7722E=")</f>
        <v>#VALUE!</v>
      </c>
      <c r="CU171" t="e">
        <f>AND(Sheet1!M2296,"AAAAAH7722I=")</f>
        <v>#VALUE!</v>
      </c>
      <c r="CV171" t="e">
        <f>AND(Sheet1!N2296,"AAAAAH7722M=")</f>
        <v>#VALUE!</v>
      </c>
      <c r="CW171" t="e">
        <f>AND(Sheet1!#REF!,"AAAAAH7722Q=")</f>
        <v>#REF!</v>
      </c>
      <c r="CX171" t="e">
        <f>AND(Sheet1!#REF!,"AAAAAH7722U=")</f>
        <v>#REF!</v>
      </c>
      <c r="CY171" t="e">
        <f>AND(Sheet1!#REF!,"AAAAAH7722Y=")</f>
        <v>#REF!</v>
      </c>
      <c r="CZ171" t="e">
        <f>AND(Sheet1!#REF!,"AAAAAH7722c=")</f>
        <v>#REF!</v>
      </c>
      <c r="DA171">
        <f>IF(Sheet1!2297:2297,"AAAAAH7722g=",0)</f>
        <v>0</v>
      </c>
      <c r="DB171" t="e">
        <f>AND(Sheet1!A2297,"AAAAAH7722k=")</f>
        <v>#VALUE!</v>
      </c>
      <c r="DC171" t="e">
        <f>AND(Sheet1!B2297,"AAAAAH7722o=")</f>
        <v>#VALUE!</v>
      </c>
      <c r="DD171" t="e">
        <f>AND(Sheet1!C2297,"AAAAAH7722s=")</f>
        <v>#VALUE!</v>
      </c>
      <c r="DE171" t="e">
        <f>AND(Sheet1!D2297,"AAAAAH7722w=")</f>
        <v>#VALUE!</v>
      </c>
      <c r="DF171" t="e">
        <f>AND(Sheet1!E2297,"AAAAAH77220=")</f>
        <v>#VALUE!</v>
      </c>
      <c r="DG171" t="e">
        <f>AND(Sheet1!F2297,"AAAAAH77224=")</f>
        <v>#VALUE!</v>
      </c>
      <c r="DH171" t="e">
        <f>AND(Sheet1!G2297,"AAAAAH77228=")</f>
        <v>#VALUE!</v>
      </c>
      <c r="DI171" t="e">
        <f>AND(Sheet1!H2297,"AAAAAH7723A=")</f>
        <v>#VALUE!</v>
      </c>
      <c r="DJ171" t="e">
        <f>AND(Sheet1!I2297,"AAAAAH7723E=")</f>
        <v>#VALUE!</v>
      </c>
      <c r="DK171" t="e">
        <f>AND(Sheet1!J2297,"AAAAAH7723I=")</f>
        <v>#VALUE!</v>
      </c>
      <c r="DL171" t="e">
        <f>AND(Sheet1!K2297,"AAAAAH7723M=")</f>
        <v>#VALUE!</v>
      </c>
      <c r="DM171" t="e">
        <f>AND(Sheet1!L2297,"AAAAAH7723Q=")</f>
        <v>#VALUE!</v>
      </c>
      <c r="DN171" t="e">
        <f>AND(Sheet1!M2297,"AAAAAH7723U=")</f>
        <v>#VALUE!</v>
      </c>
      <c r="DO171" t="e">
        <f>AND(Sheet1!N2297,"AAAAAH7723Y=")</f>
        <v>#VALUE!</v>
      </c>
      <c r="DP171" t="e">
        <f>AND(Sheet1!#REF!,"AAAAAH7723c=")</f>
        <v>#REF!</v>
      </c>
      <c r="DQ171" t="e">
        <f>AND(Sheet1!#REF!,"AAAAAH7723g=")</f>
        <v>#REF!</v>
      </c>
      <c r="DR171" t="e">
        <f>AND(Sheet1!#REF!,"AAAAAH7723k=")</f>
        <v>#REF!</v>
      </c>
      <c r="DS171" t="e">
        <f>AND(Sheet1!#REF!,"AAAAAH7723o=")</f>
        <v>#REF!</v>
      </c>
      <c r="DT171">
        <f>IF(Sheet1!2298:2298,"AAAAAH7723s=",0)</f>
        <v>0</v>
      </c>
      <c r="DU171" t="e">
        <f>AND(Sheet1!A2298,"AAAAAH7723w=")</f>
        <v>#VALUE!</v>
      </c>
      <c r="DV171" t="e">
        <f>AND(Sheet1!B2298,"AAAAAH77230=")</f>
        <v>#VALUE!</v>
      </c>
      <c r="DW171" t="e">
        <f>AND(Sheet1!C2298,"AAAAAH77234=")</f>
        <v>#VALUE!</v>
      </c>
      <c r="DX171" t="e">
        <f>AND(Sheet1!D2298,"AAAAAH77238=")</f>
        <v>#VALUE!</v>
      </c>
      <c r="DY171" t="e">
        <f>AND(Sheet1!E2298,"AAAAAH7724A=")</f>
        <v>#VALUE!</v>
      </c>
      <c r="DZ171" t="e">
        <f>AND(Sheet1!F2298,"AAAAAH7724E=")</f>
        <v>#VALUE!</v>
      </c>
      <c r="EA171" t="e">
        <f>AND(Sheet1!G2298,"AAAAAH7724I=")</f>
        <v>#VALUE!</v>
      </c>
      <c r="EB171" t="e">
        <f>AND(Sheet1!H2298,"AAAAAH7724M=")</f>
        <v>#VALUE!</v>
      </c>
      <c r="EC171" t="e">
        <f>AND(Sheet1!I2298,"AAAAAH7724Q=")</f>
        <v>#VALUE!</v>
      </c>
      <c r="ED171" t="e">
        <f>AND(Sheet1!J2298,"AAAAAH7724U=")</f>
        <v>#VALUE!</v>
      </c>
      <c r="EE171" t="e">
        <f>AND(Sheet1!K2298,"AAAAAH7724Y=")</f>
        <v>#VALUE!</v>
      </c>
      <c r="EF171" t="e">
        <f>AND(Sheet1!L2298,"AAAAAH7724c=")</f>
        <v>#VALUE!</v>
      </c>
      <c r="EG171" t="e">
        <f>AND(Sheet1!M2298,"AAAAAH7724g=")</f>
        <v>#VALUE!</v>
      </c>
      <c r="EH171" t="e">
        <f>AND(Sheet1!N2298,"AAAAAH7724k=")</f>
        <v>#VALUE!</v>
      </c>
      <c r="EI171" t="e">
        <f>AND(Sheet1!#REF!,"AAAAAH7724o=")</f>
        <v>#REF!</v>
      </c>
      <c r="EJ171" t="e">
        <f>AND(Sheet1!#REF!,"AAAAAH7724s=")</f>
        <v>#REF!</v>
      </c>
      <c r="EK171" t="e">
        <f>AND(Sheet1!#REF!,"AAAAAH7724w=")</f>
        <v>#REF!</v>
      </c>
      <c r="EL171" t="e">
        <f>AND(Sheet1!#REF!,"AAAAAH77240=")</f>
        <v>#REF!</v>
      </c>
      <c r="EM171">
        <f>IF(Sheet1!2299:2299,"AAAAAH77244=",0)</f>
        <v>0</v>
      </c>
      <c r="EN171" t="e">
        <f>AND(Sheet1!A2299,"AAAAAH77248=")</f>
        <v>#VALUE!</v>
      </c>
      <c r="EO171" t="e">
        <f>AND(Sheet1!B2299,"AAAAAH7725A=")</f>
        <v>#VALUE!</v>
      </c>
      <c r="EP171" t="e">
        <f>AND(Sheet1!C2299,"AAAAAH7725E=")</f>
        <v>#VALUE!</v>
      </c>
      <c r="EQ171" t="e">
        <f>AND(Sheet1!D2299,"AAAAAH7725I=")</f>
        <v>#VALUE!</v>
      </c>
      <c r="ER171" t="e">
        <f>AND(Sheet1!E2299,"AAAAAH7725M=")</f>
        <v>#VALUE!</v>
      </c>
      <c r="ES171" t="e">
        <f>AND(Sheet1!F2299,"AAAAAH7725Q=")</f>
        <v>#VALUE!</v>
      </c>
      <c r="ET171" t="e">
        <f>AND(Sheet1!G2299,"AAAAAH7725U=")</f>
        <v>#VALUE!</v>
      </c>
      <c r="EU171" t="e">
        <f>AND(Sheet1!H2299,"AAAAAH7725Y=")</f>
        <v>#VALUE!</v>
      </c>
      <c r="EV171" t="e">
        <f>AND(Sheet1!I2299,"AAAAAH7725c=")</f>
        <v>#VALUE!</v>
      </c>
      <c r="EW171" t="e">
        <f>AND(Sheet1!J2299,"AAAAAH7725g=")</f>
        <v>#VALUE!</v>
      </c>
      <c r="EX171" t="e">
        <f>AND(Sheet1!K2299,"AAAAAH7725k=")</f>
        <v>#VALUE!</v>
      </c>
      <c r="EY171" t="e">
        <f>AND(Sheet1!L2299,"AAAAAH7725o=")</f>
        <v>#VALUE!</v>
      </c>
      <c r="EZ171" t="e">
        <f>AND(Sheet1!M2299,"AAAAAH7725s=")</f>
        <v>#VALUE!</v>
      </c>
      <c r="FA171" t="e">
        <f>AND(Sheet1!N2299,"AAAAAH7725w=")</f>
        <v>#VALUE!</v>
      </c>
      <c r="FB171" t="e">
        <f>AND(Sheet1!#REF!,"AAAAAH77250=")</f>
        <v>#REF!</v>
      </c>
      <c r="FC171" t="e">
        <f>AND(Sheet1!#REF!,"AAAAAH77254=")</f>
        <v>#REF!</v>
      </c>
      <c r="FD171" t="e">
        <f>AND(Sheet1!#REF!,"AAAAAH77258=")</f>
        <v>#REF!</v>
      </c>
      <c r="FE171" t="e">
        <f>AND(Sheet1!#REF!,"AAAAAH7726A=")</f>
        <v>#REF!</v>
      </c>
      <c r="FF171">
        <f>IF(Sheet1!2300:2300,"AAAAAH7726E=",0)</f>
        <v>0</v>
      </c>
      <c r="FG171" t="e">
        <f>AND(Sheet1!A2300,"AAAAAH7726I=")</f>
        <v>#VALUE!</v>
      </c>
      <c r="FH171" t="e">
        <f>AND(Sheet1!B2300,"AAAAAH7726M=")</f>
        <v>#VALUE!</v>
      </c>
      <c r="FI171" t="e">
        <f>AND(Sheet1!C2300,"AAAAAH7726Q=")</f>
        <v>#VALUE!</v>
      </c>
      <c r="FJ171" t="e">
        <f>AND(Sheet1!D2300,"AAAAAH7726U=")</f>
        <v>#VALUE!</v>
      </c>
      <c r="FK171" t="e">
        <f>AND(Sheet1!E2300,"AAAAAH7726Y=")</f>
        <v>#VALUE!</v>
      </c>
      <c r="FL171" t="e">
        <f>AND(Sheet1!F2300,"AAAAAH7726c=")</f>
        <v>#VALUE!</v>
      </c>
      <c r="FM171" t="e">
        <f>AND(Sheet1!G2300,"AAAAAH7726g=")</f>
        <v>#VALUE!</v>
      </c>
      <c r="FN171" t="e">
        <f>AND(Sheet1!H2300,"AAAAAH7726k=")</f>
        <v>#VALUE!</v>
      </c>
      <c r="FO171" t="e">
        <f>AND(Sheet1!I2300,"AAAAAH7726o=")</f>
        <v>#VALUE!</v>
      </c>
      <c r="FP171" t="e">
        <f>AND(Sheet1!J2300,"AAAAAH7726s=")</f>
        <v>#VALUE!</v>
      </c>
      <c r="FQ171" t="e">
        <f>AND(Sheet1!K2300,"AAAAAH7726w=")</f>
        <v>#VALUE!</v>
      </c>
      <c r="FR171" t="e">
        <f>AND(Sheet1!L2300,"AAAAAH77260=")</f>
        <v>#VALUE!</v>
      </c>
      <c r="FS171" t="e">
        <f>AND(Sheet1!M2300,"AAAAAH77264=")</f>
        <v>#VALUE!</v>
      </c>
      <c r="FT171" t="e">
        <f>AND(Sheet1!N2300,"AAAAAH77268=")</f>
        <v>#VALUE!</v>
      </c>
      <c r="FU171" t="e">
        <f>AND(Sheet1!#REF!,"AAAAAH7727A=")</f>
        <v>#REF!</v>
      </c>
      <c r="FV171" t="e">
        <f>AND(Sheet1!#REF!,"AAAAAH7727E=")</f>
        <v>#REF!</v>
      </c>
      <c r="FW171" t="e">
        <f>AND(Sheet1!#REF!,"AAAAAH7727I=")</f>
        <v>#REF!</v>
      </c>
      <c r="FX171" t="e">
        <f>AND(Sheet1!#REF!,"AAAAAH7727M=")</f>
        <v>#REF!</v>
      </c>
      <c r="FY171">
        <f>IF(Sheet1!2301:2301,"AAAAAH7727Q=",0)</f>
        <v>0</v>
      </c>
      <c r="FZ171" t="e">
        <f>AND(Sheet1!A2301,"AAAAAH7727U=")</f>
        <v>#VALUE!</v>
      </c>
      <c r="GA171" t="e">
        <f>AND(Sheet1!B2301,"AAAAAH7727Y=")</f>
        <v>#VALUE!</v>
      </c>
      <c r="GB171" t="e">
        <f>AND(Sheet1!C2301,"AAAAAH7727c=")</f>
        <v>#VALUE!</v>
      </c>
      <c r="GC171" t="e">
        <f>AND(Sheet1!D2301,"AAAAAH7727g=")</f>
        <v>#VALUE!</v>
      </c>
      <c r="GD171" t="e">
        <f>AND(Sheet1!E2301,"AAAAAH7727k=")</f>
        <v>#VALUE!</v>
      </c>
      <c r="GE171" t="e">
        <f>AND(Sheet1!F2301,"AAAAAH7727o=")</f>
        <v>#VALUE!</v>
      </c>
      <c r="GF171" t="e">
        <f>AND(Sheet1!G2301,"AAAAAH7727s=")</f>
        <v>#VALUE!</v>
      </c>
      <c r="GG171" t="e">
        <f>AND(Sheet1!H2301,"AAAAAH7727w=")</f>
        <v>#VALUE!</v>
      </c>
      <c r="GH171" t="e">
        <f>AND(Sheet1!I2301,"AAAAAH77270=")</f>
        <v>#VALUE!</v>
      </c>
      <c r="GI171" t="e">
        <f>AND(Sheet1!J2301,"AAAAAH77274=")</f>
        <v>#VALUE!</v>
      </c>
      <c r="GJ171" t="e">
        <f>AND(Sheet1!K2301,"AAAAAH77278=")</f>
        <v>#VALUE!</v>
      </c>
      <c r="GK171" t="e">
        <f>AND(Sheet1!L2301,"AAAAAH7728A=")</f>
        <v>#VALUE!</v>
      </c>
      <c r="GL171" t="e">
        <f>AND(Sheet1!M2301,"AAAAAH7728E=")</f>
        <v>#VALUE!</v>
      </c>
      <c r="GM171" t="e">
        <f>AND(Sheet1!N2301,"AAAAAH7728I=")</f>
        <v>#VALUE!</v>
      </c>
      <c r="GN171" t="e">
        <f>AND(Sheet1!#REF!,"AAAAAH7728M=")</f>
        <v>#REF!</v>
      </c>
      <c r="GO171" t="e">
        <f>AND(Sheet1!#REF!,"AAAAAH7728Q=")</f>
        <v>#REF!</v>
      </c>
      <c r="GP171" t="e">
        <f>AND(Sheet1!#REF!,"AAAAAH7728U=")</f>
        <v>#REF!</v>
      </c>
      <c r="GQ171" t="e">
        <f>AND(Sheet1!#REF!,"AAAAAH7728Y=")</f>
        <v>#REF!</v>
      </c>
      <c r="GR171">
        <f>IF(Sheet1!2302:2302,"AAAAAH7728c=",0)</f>
        <v>0</v>
      </c>
      <c r="GS171" t="e">
        <f>AND(Sheet1!A2302,"AAAAAH7728g=")</f>
        <v>#VALUE!</v>
      </c>
      <c r="GT171" t="e">
        <f>AND(Sheet1!B2302,"AAAAAH7728k=")</f>
        <v>#VALUE!</v>
      </c>
      <c r="GU171" t="e">
        <f>AND(Sheet1!C2302,"AAAAAH7728o=")</f>
        <v>#VALUE!</v>
      </c>
      <c r="GV171" t="e">
        <f>AND(Sheet1!D2302,"AAAAAH7728s=")</f>
        <v>#VALUE!</v>
      </c>
      <c r="GW171" t="e">
        <f>AND(Sheet1!E2302,"AAAAAH7728w=")</f>
        <v>#VALUE!</v>
      </c>
      <c r="GX171" t="e">
        <f>AND(Sheet1!F2302,"AAAAAH77280=")</f>
        <v>#VALUE!</v>
      </c>
      <c r="GY171" t="e">
        <f>AND(Sheet1!G2302,"AAAAAH77284=")</f>
        <v>#VALUE!</v>
      </c>
      <c r="GZ171" t="e">
        <f>AND(Sheet1!H2302,"AAAAAH77288=")</f>
        <v>#VALUE!</v>
      </c>
      <c r="HA171" t="e">
        <f>AND(Sheet1!I2302,"AAAAAH7729A=")</f>
        <v>#VALUE!</v>
      </c>
      <c r="HB171" t="e">
        <f>AND(Sheet1!J2302,"AAAAAH7729E=")</f>
        <v>#VALUE!</v>
      </c>
      <c r="HC171" t="e">
        <f>AND(Sheet1!K2302,"AAAAAH7729I=")</f>
        <v>#VALUE!</v>
      </c>
      <c r="HD171" t="e">
        <f>AND(Sheet1!L2302,"AAAAAH7729M=")</f>
        <v>#VALUE!</v>
      </c>
      <c r="HE171" t="e">
        <f>AND(Sheet1!M2302,"AAAAAH7729Q=")</f>
        <v>#VALUE!</v>
      </c>
      <c r="HF171" t="e">
        <f>AND(Sheet1!N2302,"AAAAAH7729U=")</f>
        <v>#VALUE!</v>
      </c>
      <c r="HG171" t="e">
        <f>AND(Sheet1!#REF!,"AAAAAH7729Y=")</f>
        <v>#REF!</v>
      </c>
      <c r="HH171" t="e">
        <f>AND(Sheet1!#REF!,"AAAAAH7729c=")</f>
        <v>#REF!</v>
      </c>
      <c r="HI171" t="e">
        <f>AND(Sheet1!#REF!,"AAAAAH7729g=")</f>
        <v>#REF!</v>
      </c>
      <c r="HJ171" t="e">
        <f>AND(Sheet1!#REF!,"AAAAAH7729k=")</f>
        <v>#REF!</v>
      </c>
      <c r="HK171">
        <f>IF(Sheet1!2303:2303,"AAAAAH7729o=",0)</f>
        <v>0</v>
      </c>
      <c r="HL171" t="e">
        <f>AND(Sheet1!A2303,"AAAAAH7729s=")</f>
        <v>#VALUE!</v>
      </c>
      <c r="HM171" t="e">
        <f>AND(Sheet1!B2303,"AAAAAH7729w=")</f>
        <v>#VALUE!</v>
      </c>
      <c r="HN171" t="e">
        <f>AND(Sheet1!C2303,"AAAAAH77290=")</f>
        <v>#VALUE!</v>
      </c>
      <c r="HO171" t="e">
        <f>AND(Sheet1!D2303,"AAAAAH77294=")</f>
        <v>#VALUE!</v>
      </c>
      <c r="HP171" t="e">
        <f>AND(Sheet1!E2303,"AAAAAH77298=")</f>
        <v>#VALUE!</v>
      </c>
      <c r="HQ171" t="e">
        <f>AND(Sheet1!F2303,"AAAAAH772+A=")</f>
        <v>#VALUE!</v>
      </c>
      <c r="HR171" t="e">
        <f>AND(Sheet1!G2303,"AAAAAH772+E=")</f>
        <v>#VALUE!</v>
      </c>
      <c r="HS171" t="e">
        <f>AND(Sheet1!H2303,"AAAAAH772+I=")</f>
        <v>#VALUE!</v>
      </c>
      <c r="HT171" t="e">
        <f>AND(Sheet1!I2303,"AAAAAH772+M=")</f>
        <v>#VALUE!</v>
      </c>
      <c r="HU171" t="e">
        <f>AND(Sheet1!J2303,"AAAAAH772+Q=")</f>
        <v>#VALUE!</v>
      </c>
      <c r="HV171" t="e">
        <f>AND(Sheet1!K2303,"AAAAAH772+U=")</f>
        <v>#VALUE!</v>
      </c>
      <c r="HW171" t="e">
        <f>AND(Sheet1!L2303,"AAAAAH772+Y=")</f>
        <v>#VALUE!</v>
      </c>
      <c r="HX171" t="e">
        <f>AND(Sheet1!M2303,"AAAAAH772+c=")</f>
        <v>#VALUE!</v>
      </c>
      <c r="HY171" t="e">
        <f>AND(Sheet1!N2303,"AAAAAH772+g=")</f>
        <v>#VALUE!</v>
      </c>
      <c r="HZ171" t="e">
        <f>AND(Sheet1!#REF!,"AAAAAH772+k=")</f>
        <v>#REF!</v>
      </c>
      <c r="IA171" t="e">
        <f>AND(Sheet1!#REF!,"AAAAAH772+o=")</f>
        <v>#REF!</v>
      </c>
      <c r="IB171" t="e">
        <f>AND(Sheet1!#REF!,"AAAAAH772+s=")</f>
        <v>#REF!</v>
      </c>
      <c r="IC171" t="e">
        <f>AND(Sheet1!#REF!,"AAAAAH772+w=")</f>
        <v>#REF!</v>
      </c>
      <c r="ID171">
        <f>IF(Sheet1!2304:2304,"AAAAAH772+0=",0)</f>
        <v>0</v>
      </c>
      <c r="IE171" t="e">
        <f>AND(Sheet1!A2304,"AAAAAH772+4=")</f>
        <v>#VALUE!</v>
      </c>
      <c r="IF171" t="e">
        <f>AND(Sheet1!B2304,"AAAAAH772+8=")</f>
        <v>#VALUE!</v>
      </c>
      <c r="IG171" t="e">
        <f>AND(Sheet1!C2304,"AAAAAH772/A=")</f>
        <v>#VALUE!</v>
      </c>
      <c r="IH171" t="e">
        <f>AND(Sheet1!D2304,"AAAAAH772/E=")</f>
        <v>#VALUE!</v>
      </c>
      <c r="II171" t="e">
        <f>AND(Sheet1!E2304,"AAAAAH772/I=")</f>
        <v>#VALUE!</v>
      </c>
      <c r="IJ171" t="e">
        <f>AND(Sheet1!F2304,"AAAAAH772/M=")</f>
        <v>#VALUE!</v>
      </c>
      <c r="IK171" t="e">
        <f>AND(Sheet1!G2304,"AAAAAH772/Q=")</f>
        <v>#VALUE!</v>
      </c>
      <c r="IL171" t="e">
        <f>AND(Sheet1!H2304,"AAAAAH772/U=")</f>
        <v>#VALUE!</v>
      </c>
      <c r="IM171" t="e">
        <f>AND(Sheet1!I2304,"AAAAAH772/Y=")</f>
        <v>#VALUE!</v>
      </c>
      <c r="IN171" t="e">
        <f>AND(Sheet1!J2304,"AAAAAH772/c=")</f>
        <v>#VALUE!</v>
      </c>
      <c r="IO171" t="e">
        <f>AND(Sheet1!K2304,"AAAAAH772/g=")</f>
        <v>#VALUE!</v>
      </c>
      <c r="IP171" t="e">
        <f>AND(Sheet1!L2304,"AAAAAH772/k=")</f>
        <v>#VALUE!</v>
      </c>
      <c r="IQ171" t="e">
        <f>AND(Sheet1!M2304,"AAAAAH772/o=")</f>
        <v>#VALUE!</v>
      </c>
      <c r="IR171" t="e">
        <f>AND(Sheet1!N2304,"AAAAAH772/s=")</f>
        <v>#VALUE!</v>
      </c>
      <c r="IS171" t="e">
        <f>AND(Sheet1!#REF!,"AAAAAH772/w=")</f>
        <v>#REF!</v>
      </c>
      <c r="IT171" t="e">
        <f>AND(Sheet1!#REF!,"AAAAAH772/0=")</f>
        <v>#REF!</v>
      </c>
      <c r="IU171" t="e">
        <f>AND(Sheet1!#REF!,"AAAAAH772/4=")</f>
        <v>#REF!</v>
      </c>
      <c r="IV171" t="e">
        <f>AND(Sheet1!#REF!,"AAAAAH772/8=")</f>
        <v>#REF!</v>
      </c>
    </row>
    <row r="172" spans="1:256" x14ac:dyDescent="0.2">
      <c r="A172" t="e">
        <f>IF(Sheet1!2305:2305,"AAAAADE/vwA=",0)</f>
        <v>#VALUE!</v>
      </c>
      <c r="B172" t="e">
        <f>AND(Sheet1!A2305,"AAAAADE/vwE=")</f>
        <v>#VALUE!</v>
      </c>
      <c r="C172" t="e">
        <f>AND(Sheet1!B2305,"AAAAADE/vwI=")</f>
        <v>#VALUE!</v>
      </c>
      <c r="D172" t="e">
        <f>AND(Sheet1!C2305,"AAAAADE/vwM=")</f>
        <v>#VALUE!</v>
      </c>
      <c r="E172" t="e">
        <f>AND(Sheet1!D2305,"AAAAADE/vwQ=")</f>
        <v>#VALUE!</v>
      </c>
      <c r="F172" t="e">
        <f>AND(Sheet1!E2305,"AAAAADE/vwU=")</f>
        <v>#VALUE!</v>
      </c>
      <c r="G172" t="e">
        <f>AND(Sheet1!F2305,"AAAAADE/vwY=")</f>
        <v>#VALUE!</v>
      </c>
      <c r="H172" t="e">
        <f>AND(Sheet1!G2305,"AAAAADE/vwc=")</f>
        <v>#VALUE!</v>
      </c>
      <c r="I172" t="e">
        <f>AND(Sheet1!H2305,"AAAAADE/vwg=")</f>
        <v>#VALUE!</v>
      </c>
      <c r="J172" t="e">
        <f>AND(Sheet1!I2305,"AAAAADE/vwk=")</f>
        <v>#VALUE!</v>
      </c>
      <c r="K172" t="e">
        <f>AND(Sheet1!J2305,"AAAAADE/vwo=")</f>
        <v>#VALUE!</v>
      </c>
      <c r="L172" t="e">
        <f>AND(Sheet1!K2305,"AAAAADE/vws=")</f>
        <v>#VALUE!</v>
      </c>
      <c r="M172" t="e">
        <f>AND(Sheet1!L2305,"AAAAADE/vww=")</f>
        <v>#VALUE!</v>
      </c>
      <c r="N172" t="e">
        <f>AND(Sheet1!M2305,"AAAAADE/vw0=")</f>
        <v>#VALUE!</v>
      </c>
      <c r="O172" t="e">
        <f>AND(Sheet1!N2305,"AAAAADE/vw4=")</f>
        <v>#VALUE!</v>
      </c>
      <c r="P172" t="e">
        <f>AND(Sheet1!#REF!,"AAAAADE/vw8=")</f>
        <v>#REF!</v>
      </c>
      <c r="Q172" t="e">
        <f>AND(Sheet1!#REF!,"AAAAADE/vxA=")</f>
        <v>#REF!</v>
      </c>
      <c r="R172" t="e">
        <f>AND(Sheet1!#REF!,"AAAAADE/vxE=")</f>
        <v>#REF!</v>
      </c>
      <c r="S172" t="e">
        <f>AND(Sheet1!#REF!,"AAAAADE/vxI=")</f>
        <v>#REF!</v>
      </c>
      <c r="T172">
        <f>IF(Sheet1!2306:2306,"AAAAADE/vxM=",0)</f>
        <v>0</v>
      </c>
      <c r="U172" t="e">
        <f>AND(Sheet1!A2306,"AAAAADE/vxQ=")</f>
        <v>#VALUE!</v>
      </c>
      <c r="V172" t="e">
        <f>AND(Sheet1!B2306,"AAAAADE/vxU=")</f>
        <v>#VALUE!</v>
      </c>
      <c r="W172" t="e">
        <f>AND(Sheet1!C2306,"AAAAADE/vxY=")</f>
        <v>#VALUE!</v>
      </c>
      <c r="X172" t="e">
        <f>AND(Sheet1!D2306,"AAAAADE/vxc=")</f>
        <v>#VALUE!</v>
      </c>
      <c r="Y172" t="e">
        <f>AND(Sheet1!E2306,"AAAAADE/vxg=")</f>
        <v>#VALUE!</v>
      </c>
      <c r="Z172" t="e">
        <f>AND(Sheet1!F2306,"AAAAADE/vxk=")</f>
        <v>#VALUE!</v>
      </c>
      <c r="AA172" t="e">
        <f>AND(Sheet1!G2306,"AAAAADE/vxo=")</f>
        <v>#VALUE!</v>
      </c>
      <c r="AB172" t="e">
        <f>AND(Sheet1!H2306,"AAAAADE/vxs=")</f>
        <v>#VALUE!</v>
      </c>
      <c r="AC172" t="e">
        <f>AND(Sheet1!I2306,"AAAAADE/vxw=")</f>
        <v>#VALUE!</v>
      </c>
      <c r="AD172" t="e">
        <f>AND(Sheet1!J2306,"AAAAADE/vx0=")</f>
        <v>#VALUE!</v>
      </c>
      <c r="AE172" t="e">
        <f>AND(Sheet1!K2306,"AAAAADE/vx4=")</f>
        <v>#VALUE!</v>
      </c>
      <c r="AF172" t="e">
        <f>AND(Sheet1!L2306,"AAAAADE/vx8=")</f>
        <v>#VALUE!</v>
      </c>
      <c r="AG172" t="e">
        <f>AND(Sheet1!M2306,"AAAAADE/vyA=")</f>
        <v>#VALUE!</v>
      </c>
      <c r="AH172" t="e">
        <f>AND(Sheet1!N2306,"AAAAADE/vyE=")</f>
        <v>#VALUE!</v>
      </c>
      <c r="AI172" t="e">
        <f>AND(Sheet1!#REF!,"AAAAADE/vyI=")</f>
        <v>#REF!</v>
      </c>
      <c r="AJ172" t="e">
        <f>AND(Sheet1!#REF!,"AAAAADE/vyM=")</f>
        <v>#REF!</v>
      </c>
      <c r="AK172" t="e">
        <f>AND(Sheet1!#REF!,"AAAAADE/vyQ=")</f>
        <v>#REF!</v>
      </c>
      <c r="AL172" t="e">
        <f>AND(Sheet1!#REF!,"AAAAADE/vyU=")</f>
        <v>#REF!</v>
      </c>
      <c r="AM172">
        <f>IF(Sheet1!2307:2307,"AAAAADE/vyY=",0)</f>
        <v>0</v>
      </c>
      <c r="AN172" t="e">
        <f>AND(Sheet1!A2307,"AAAAADE/vyc=")</f>
        <v>#VALUE!</v>
      </c>
      <c r="AO172" t="e">
        <f>AND(Sheet1!B2307,"AAAAADE/vyg=")</f>
        <v>#VALUE!</v>
      </c>
      <c r="AP172" t="e">
        <f>AND(Sheet1!C2307,"AAAAADE/vyk=")</f>
        <v>#VALUE!</v>
      </c>
      <c r="AQ172" t="e">
        <f>AND(Sheet1!D2307,"AAAAADE/vyo=")</f>
        <v>#VALUE!</v>
      </c>
      <c r="AR172" t="e">
        <f>AND(Sheet1!E2307,"AAAAADE/vys=")</f>
        <v>#VALUE!</v>
      </c>
      <c r="AS172" t="e">
        <f>AND(Sheet1!F2307,"AAAAADE/vyw=")</f>
        <v>#VALUE!</v>
      </c>
      <c r="AT172" t="e">
        <f>AND(Sheet1!G2307,"AAAAADE/vy0=")</f>
        <v>#VALUE!</v>
      </c>
      <c r="AU172" t="e">
        <f>AND(Sheet1!H2307,"AAAAADE/vy4=")</f>
        <v>#VALUE!</v>
      </c>
      <c r="AV172" t="e">
        <f>AND(Sheet1!I2307,"AAAAADE/vy8=")</f>
        <v>#VALUE!</v>
      </c>
      <c r="AW172" t="e">
        <f>AND(Sheet1!J2307,"AAAAADE/vzA=")</f>
        <v>#VALUE!</v>
      </c>
      <c r="AX172" t="e">
        <f>AND(Sheet1!K2307,"AAAAADE/vzE=")</f>
        <v>#VALUE!</v>
      </c>
      <c r="AY172" t="e">
        <f>AND(Sheet1!L2307,"AAAAADE/vzI=")</f>
        <v>#VALUE!</v>
      </c>
      <c r="AZ172" t="e">
        <f>AND(Sheet1!M2307,"AAAAADE/vzM=")</f>
        <v>#VALUE!</v>
      </c>
      <c r="BA172" t="e">
        <f>AND(Sheet1!N2307,"AAAAADE/vzQ=")</f>
        <v>#VALUE!</v>
      </c>
      <c r="BB172" t="e">
        <f>AND(Sheet1!#REF!,"AAAAADE/vzU=")</f>
        <v>#REF!</v>
      </c>
      <c r="BC172" t="e">
        <f>AND(Sheet1!#REF!,"AAAAADE/vzY=")</f>
        <v>#REF!</v>
      </c>
      <c r="BD172" t="e">
        <f>AND(Sheet1!#REF!,"AAAAADE/vzc=")</f>
        <v>#REF!</v>
      </c>
      <c r="BE172" t="e">
        <f>AND(Sheet1!#REF!,"AAAAADE/vzg=")</f>
        <v>#REF!</v>
      </c>
      <c r="BF172">
        <f>IF(Sheet1!2308:2308,"AAAAADE/vzk=",0)</f>
        <v>0</v>
      </c>
      <c r="BG172" t="e">
        <f>AND(Sheet1!A2308,"AAAAADE/vzo=")</f>
        <v>#VALUE!</v>
      </c>
      <c r="BH172" t="e">
        <f>AND(Sheet1!B2308,"AAAAADE/vzs=")</f>
        <v>#VALUE!</v>
      </c>
      <c r="BI172" t="e">
        <f>AND(Sheet1!C2308,"AAAAADE/vzw=")</f>
        <v>#VALUE!</v>
      </c>
      <c r="BJ172" t="e">
        <f>AND(Sheet1!D2308,"AAAAADE/vz0=")</f>
        <v>#VALUE!</v>
      </c>
      <c r="BK172" t="e">
        <f>AND(Sheet1!E2308,"AAAAADE/vz4=")</f>
        <v>#VALUE!</v>
      </c>
      <c r="BL172" t="e">
        <f>AND(Sheet1!F2308,"AAAAADE/vz8=")</f>
        <v>#VALUE!</v>
      </c>
      <c r="BM172" t="e">
        <f>AND(Sheet1!G2308,"AAAAADE/v0A=")</f>
        <v>#VALUE!</v>
      </c>
      <c r="BN172" t="e">
        <f>AND(Sheet1!H2308,"AAAAADE/v0E=")</f>
        <v>#VALUE!</v>
      </c>
      <c r="BO172" t="e">
        <f>AND(Sheet1!I2308,"AAAAADE/v0I=")</f>
        <v>#VALUE!</v>
      </c>
      <c r="BP172" t="e">
        <f>AND(Sheet1!J2308,"AAAAADE/v0M=")</f>
        <v>#VALUE!</v>
      </c>
      <c r="BQ172" t="e">
        <f>AND(Sheet1!K2308,"AAAAADE/v0Q=")</f>
        <v>#VALUE!</v>
      </c>
      <c r="BR172" t="e">
        <f>AND(Sheet1!L2308,"AAAAADE/v0U=")</f>
        <v>#VALUE!</v>
      </c>
      <c r="BS172" t="e">
        <f>AND(Sheet1!M2308,"AAAAADE/v0Y=")</f>
        <v>#VALUE!</v>
      </c>
      <c r="BT172" t="e">
        <f>AND(Sheet1!N2308,"AAAAADE/v0c=")</f>
        <v>#VALUE!</v>
      </c>
      <c r="BU172" t="e">
        <f>AND(Sheet1!#REF!,"AAAAADE/v0g=")</f>
        <v>#REF!</v>
      </c>
      <c r="BV172" t="e">
        <f>AND(Sheet1!#REF!,"AAAAADE/v0k=")</f>
        <v>#REF!</v>
      </c>
      <c r="BW172" t="e">
        <f>AND(Sheet1!#REF!,"AAAAADE/v0o=")</f>
        <v>#REF!</v>
      </c>
      <c r="BX172" t="e">
        <f>AND(Sheet1!#REF!,"AAAAADE/v0s=")</f>
        <v>#REF!</v>
      </c>
      <c r="BY172">
        <f>IF(Sheet1!2309:2309,"AAAAADE/v0w=",0)</f>
        <v>0</v>
      </c>
      <c r="BZ172" t="e">
        <f>AND(Sheet1!A2309,"AAAAADE/v00=")</f>
        <v>#VALUE!</v>
      </c>
      <c r="CA172" t="e">
        <f>AND(Sheet1!B2309,"AAAAADE/v04=")</f>
        <v>#VALUE!</v>
      </c>
      <c r="CB172" t="e">
        <f>AND(Sheet1!C2309,"AAAAADE/v08=")</f>
        <v>#VALUE!</v>
      </c>
      <c r="CC172" t="e">
        <f>AND(Sheet1!D2309,"AAAAADE/v1A=")</f>
        <v>#VALUE!</v>
      </c>
      <c r="CD172" t="e">
        <f>AND(Sheet1!E2309,"AAAAADE/v1E=")</f>
        <v>#VALUE!</v>
      </c>
      <c r="CE172" t="e">
        <f>AND(Sheet1!F2309,"AAAAADE/v1I=")</f>
        <v>#VALUE!</v>
      </c>
      <c r="CF172" t="e">
        <f>AND(Sheet1!G2309,"AAAAADE/v1M=")</f>
        <v>#VALUE!</v>
      </c>
      <c r="CG172" t="e">
        <f>AND(Sheet1!H2309,"AAAAADE/v1Q=")</f>
        <v>#VALUE!</v>
      </c>
      <c r="CH172" t="e">
        <f>AND(Sheet1!I2309,"AAAAADE/v1U=")</f>
        <v>#VALUE!</v>
      </c>
      <c r="CI172" t="e">
        <f>AND(Sheet1!J2309,"AAAAADE/v1Y=")</f>
        <v>#VALUE!</v>
      </c>
      <c r="CJ172" t="e">
        <f>AND(Sheet1!K2309,"AAAAADE/v1c=")</f>
        <v>#VALUE!</v>
      </c>
      <c r="CK172" t="e">
        <f>AND(Sheet1!L2309,"AAAAADE/v1g=")</f>
        <v>#VALUE!</v>
      </c>
      <c r="CL172" t="e">
        <f>AND(Sheet1!M2309,"AAAAADE/v1k=")</f>
        <v>#VALUE!</v>
      </c>
      <c r="CM172" t="e">
        <f>AND(Sheet1!N2309,"AAAAADE/v1o=")</f>
        <v>#VALUE!</v>
      </c>
      <c r="CN172" t="e">
        <f>AND(Sheet1!#REF!,"AAAAADE/v1s=")</f>
        <v>#REF!</v>
      </c>
      <c r="CO172" t="e">
        <f>AND(Sheet1!#REF!,"AAAAADE/v1w=")</f>
        <v>#REF!</v>
      </c>
      <c r="CP172" t="e">
        <f>AND(Sheet1!#REF!,"AAAAADE/v10=")</f>
        <v>#REF!</v>
      </c>
      <c r="CQ172" t="e">
        <f>AND(Sheet1!#REF!,"AAAAADE/v14=")</f>
        <v>#REF!</v>
      </c>
      <c r="CR172">
        <f>IF(Sheet1!2310:2310,"AAAAADE/v18=",0)</f>
        <v>0</v>
      </c>
      <c r="CS172" t="e">
        <f>AND(Sheet1!A2310,"AAAAADE/v2A=")</f>
        <v>#VALUE!</v>
      </c>
      <c r="CT172" t="e">
        <f>AND(Sheet1!B2310,"AAAAADE/v2E=")</f>
        <v>#VALUE!</v>
      </c>
      <c r="CU172" t="e">
        <f>AND(Sheet1!C2310,"AAAAADE/v2I=")</f>
        <v>#VALUE!</v>
      </c>
      <c r="CV172" t="e">
        <f>AND(Sheet1!D2310,"AAAAADE/v2M=")</f>
        <v>#VALUE!</v>
      </c>
      <c r="CW172" t="e">
        <f>AND(Sheet1!E2310,"AAAAADE/v2Q=")</f>
        <v>#VALUE!</v>
      </c>
      <c r="CX172" t="e">
        <f>AND(Sheet1!F2310,"AAAAADE/v2U=")</f>
        <v>#VALUE!</v>
      </c>
      <c r="CY172" t="e">
        <f>AND(Sheet1!G2310,"AAAAADE/v2Y=")</f>
        <v>#VALUE!</v>
      </c>
      <c r="CZ172" t="e">
        <f>AND(Sheet1!H2310,"AAAAADE/v2c=")</f>
        <v>#VALUE!</v>
      </c>
      <c r="DA172" t="e">
        <f>AND(Sheet1!I2310,"AAAAADE/v2g=")</f>
        <v>#VALUE!</v>
      </c>
      <c r="DB172" t="e">
        <f>AND(Sheet1!J2310,"AAAAADE/v2k=")</f>
        <v>#VALUE!</v>
      </c>
      <c r="DC172" t="e">
        <f>AND(Sheet1!K2310,"AAAAADE/v2o=")</f>
        <v>#VALUE!</v>
      </c>
      <c r="DD172" t="e">
        <f>AND(Sheet1!L2310,"AAAAADE/v2s=")</f>
        <v>#VALUE!</v>
      </c>
      <c r="DE172" t="e">
        <f>AND(Sheet1!M2310,"AAAAADE/v2w=")</f>
        <v>#VALUE!</v>
      </c>
      <c r="DF172" t="e">
        <f>AND(Sheet1!N2310,"AAAAADE/v20=")</f>
        <v>#VALUE!</v>
      </c>
      <c r="DG172" t="e">
        <f>AND(Sheet1!#REF!,"AAAAADE/v24=")</f>
        <v>#REF!</v>
      </c>
      <c r="DH172" t="e">
        <f>AND(Sheet1!#REF!,"AAAAADE/v28=")</f>
        <v>#REF!</v>
      </c>
      <c r="DI172" t="e">
        <f>AND(Sheet1!#REF!,"AAAAADE/v3A=")</f>
        <v>#REF!</v>
      </c>
      <c r="DJ172" t="e">
        <f>AND(Sheet1!#REF!,"AAAAADE/v3E=")</f>
        <v>#REF!</v>
      </c>
      <c r="DK172">
        <f>IF(Sheet1!2311:2311,"AAAAADE/v3I=",0)</f>
        <v>0</v>
      </c>
      <c r="DL172" t="e">
        <f>AND(Sheet1!A2311,"AAAAADE/v3M=")</f>
        <v>#VALUE!</v>
      </c>
      <c r="DM172" t="e">
        <f>AND(Sheet1!B2311,"AAAAADE/v3Q=")</f>
        <v>#VALUE!</v>
      </c>
      <c r="DN172" t="e">
        <f>AND(Sheet1!C2311,"AAAAADE/v3U=")</f>
        <v>#VALUE!</v>
      </c>
      <c r="DO172" t="e">
        <f>AND(Sheet1!D2311,"AAAAADE/v3Y=")</f>
        <v>#VALUE!</v>
      </c>
      <c r="DP172" t="e">
        <f>AND(Sheet1!E2311,"AAAAADE/v3c=")</f>
        <v>#VALUE!</v>
      </c>
      <c r="DQ172" t="e">
        <f>AND(Sheet1!F2311,"AAAAADE/v3g=")</f>
        <v>#VALUE!</v>
      </c>
      <c r="DR172" t="e">
        <f>AND(Sheet1!G2311,"AAAAADE/v3k=")</f>
        <v>#VALUE!</v>
      </c>
      <c r="DS172" t="e">
        <f>AND(Sheet1!H2311,"AAAAADE/v3o=")</f>
        <v>#VALUE!</v>
      </c>
      <c r="DT172" t="e">
        <f>AND(Sheet1!I2311,"AAAAADE/v3s=")</f>
        <v>#VALUE!</v>
      </c>
      <c r="DU172" t="e">
        <f>AND(Sheet1!J2311,"AAAAADE/v3w=")</f>
        <v>#VALUE!</v>
      </c>
      <c r="DV172" t="e">
        <f>AND(Sheet1!K2311,"AAAAADE/v30=")</f>
        <v>#VALUE!</v>
      </c>
      <c r="DW172" t="e">
        <f>AND(Sheet1!L2311,"AAAAADE/v34=")</f>
        <v>#VALUE!</v>
      </c>
      <c r="DX172" t="e">
        <f>AND(Sheet1!M2311,"AAAAADE/v38=")</f>
        <v>#VALUE!</v>
      </c>
      <c r="DY172" t="e">
        <f>AND(Sheet1!N2311,"AAAAADE/v4A=")</f>
        <v>#VALUE!</v>
      </c>
      <c r="DZ172" t="e">
        <f>AND(Sheet1!#REF!,"AAAAADE/v4E=")</f>
        <v>#REF!</v>
      </c>
      <c r="EA172" t="e">
        <f>AND(Sheet1!#REF!,"AAAAADE/v4I=")</f>
        <v>#REF!</v>
      </c>
      <c r="EB172" t="e">
        <f>AND(Sheet1!#REF!,"AAAAADE/v4M=")</f>
        <v>#REF!</v>
      </c>
      <c r="EC172" t="e">
        <f>AND(Sheet1!#REF!,"AAAAADE/v4Q=")</f>
        <v>#REF!</v>
      </c>
      <c r="ED172">
        <f>IF(Sheet1!2312:2312,"AAAAADE/v4U=",0)</f>
        <v>0</v>
      </c>
      <c r="EE172" t="e">
        <f>AND(Sheet1!A2312,"AAAAADE/v4Y=")</f>
        <v>#VALUE!</v>
      </c>
      <c r="EF172" t="e">
        <f>AND(Sheet1!B2312,"AAAAADE/v4c=")</f>
        <v>#VALUE!</v>
      </c>
      <c r="EG172" t="e">
        <f>AND(Sheet1!C2312,"AAAAADE/v4g=")</f>
        <v>#VALUE!</v>
      </c>
      <c r="EH172" t="e">
        <f>AND(Sheet1!D2312,"AAAAADE/v4k=")</f>
        <v>#VALUE!</v>
      </c>
      <c r="EI172" t="e">
        <f>AND(Sheet1!E2312,"AAAAADE/v4o=")</f>
        <v>#VALUE!</v>
      </c>
      <c r="EJ172" t="e">
        <f>AND(Sheet1!F2312,"AAAAADE/v4s=")</f>
        <v>#VALUE!</v>
      </c>
      <c r="EK172" t="e">
        <f>AND(Sheet1!G2312,"AAAAADE/v4w=")</f>
        <v>#VALUE!</v>
      </c>
      <c r="EL172" t="e">
        <f>AND(Sheet1!H2312,"AAAAADE/v40=")</f>
        <v>#VALUE!</v>
      </c>
      <c r="EM172" t="e">
        <f>AND(Sheet1!I2312,"AAAAADE/v44=")</f>
        <v>#VALUE!</v>
      </c>
      <c r="EN172" t="e">
        <f>AND(Sheet1!J2312,"AAAAADE/v48=")</f>
        <v>#VALUE!</v>
      </c>
      <c r="EO172" t="e">
        <f>AND(Sheet1!K2312,"AAAAADE/v5A=")</f>
        <v>#VALUE!</v>
      </c>
      <c r="EP172" t="e">
        <f>AND(Sheet1!L2312,"AAAAADE/v5E=")</f>
        <v>#VALUE!</v>
      </c>
      <c r="EQ172" t="e">
        <f>AND(Sheet1!M2312,"AAAAADE/v5I=")</f>
        <v>#VALUE!</v>
      </c>
      <c r="ER172" t="e">
        <f>AND(Sheet1!N2312,"AAAAADE/v5M=")</f>
        <v>#VALUE!</v>
      </c>
      <c r="ES172" t="e">
        <f>AND(Sheet1!#REF!,"AAAAADE/v5Q=")</f>
        <v>#REF!</v>
      </c>
      <c r="ET172" t="e">
        <f>AND(Sheet1!#REF!,"AAAAADE/v5U=")</f>
        <v>#REF!</v>
      </c>
      <c r="EU172" t="e">
        <f>AND(Sheet1!#REF!,"AAAAADE/v5Y=")</f>
        <v>#REF!</v>
      </c>
      <c r="EV172" t="e">
        <f>AND(Sheet1!#REF!,"AAAAADE/v5c=")</f>
        <v>#REF!</v>
      </c>
      <c r="EW172">
        <f>IF(Sheet1!2313:2313,"AAAAADE/v5g=",0)</f>
        <v>0</v>
      </c>
      <c r="EX172" t="e">
        <f>AND(Sheet1!A2313,"AAAAADE/v5k=")</f>
        <v>#VALUE!</v>
      </c>
      <c r="EY172" t="e">
        <f>AND(Sheet1!B2313,"AAAAADE/v5o=")</f>
        <v>#VALUE!</v>
      </c>
      <c r="EZ172" t="e">
        <f>AND(Sheet1!C2313,"AAAAADE/v5s=")</f>
        <v>#VALUE!</v>
      </c>
      <c r="FA172" t="e">
        <f>AND(Sheet1!D2313,"AAAAADE/v5w=")</f>
        <v>#VALUE!</v>
      </c>
      <c r="FB172" t="e">
        <f>AND(Sheet1!E2313,"AAAAADE/v50=")</f>
        <v>#VALUE!</v>
      </c>
      <c r="FC172" t="e">
        <f>AND(Sheet1!F2313,"AAAAADE/v54=")</f>
        <v>#VALUE!</v>
      </c>
      <c r="FD172" t="e">
        <f>AND(Sheet1!G2313,"AAAAADE/v58=")</f>
        <v>#VALUE!</v>
      </c>
      <c r="FE172" t="e">
        <f>AND(Sheet1!H2313,"AAAAADE/v6A=")</f>
        <v>#VALUE!</v>
      </c>
      <c r="FF172" t="e">
        <f>AND(Sheet1!I2313,"AAAAADE/v6E=")</f>
        <v>#VALUE!</v>
      </c>
      <c r="FG172" t="e">
        <f>AND(Sheet1!J2313,"AAAAADE/v6I=")</f>
        <v>#VALUE!</v>
      </c>
      <c r="FH172" t="e">
        <f>AND(Sheet1!K2313,"AAAAADE/v6M=")</f>
        <v>#VALUE!</v>
      </c>
      <c r="FI172" t="e">
        <f>AND(Sheet1!L2313,"AAAAADE/v6Q=")</f>
        <v>#VALUE!</v>
      </c>
      <c r="FJ172" t="e">
        <f>AND(Sheet1!M2313,"AAAAADE/v6U=")</f>
        <v>#VALUE!</v>
      </c>
      <c r="FK172" t="e">
        <f>AND(Sheet1!N2313,"AAAAADE/v6Y=")</f>
        <v>#VALUE!</v>
      </c>
      <c r="FL172" t="e">
        <f>AND(Sheet1!#REF!,"AAAAADE/v6c=")</f>
        <v>#REF!</v>
      </c>
      <c r="FM172" t="e">
        <f>AND(Sheet1!#REF!,"AAAAADE/v6g=")</f>
        <v>#REF!</v>
      </c>
      <c r="FN172" t="e">
        <f>AND(Sheet1!#REF!,"AAAAADE/v6k=")</f>
        <v>#REF!</v>
      </c>
      <c r="FO172" t="e">
        <f>AND(Sheet1!#REF!,"AAAAADE/v6o=")</f>
        <v>#REF!</v>
      </c>
      <c r="FP172">
        <f>IF(Sheet1!2314:2314,"AAAAADE/v6s=",0)</f>
        <v>0</v>
      </c>
      <c r="FQ172" t="e">
        <f>AND(Sheet1!A2314,"AAAAADE/v6w=")</f>
        <v>#VALUE!</v>
      </c>
      <c r="FR172" t="e">
        <f>AND(Sheet1!B2314,"AAAAADE/v60=")</f>
        <v>#VALUE!</v>
      </c>
      <c r="FS172" t="e">
        <f>AND(Sheet1!C2314,"AAAAADE/v64=")</f>
        <v>#VALUE!</v>
      </c>
      <c r="FT172" t="e">
        <f>AND(Sheet1!D2314,"AAAAADE/v68=")</f>
        <v>#VALUE!</v>
      </c>
      <c r="FU172" t="e">
        <f>AND(Sheet1!E2314,"AAAAADE/v7A=")</f>
        <v>#VALUE!</v>
      </c>
      <c r="FV172" t="e">
        <f>AND(Sheet1!F2314,"AAAAADE/v7E=")</f>
        <v>#VALUE!</v>
      </c>
      <c r="FW172" t="e">
        <f>AND(Sheet1!G2314,"AAAAADE/v7I=")</f>
        <v>#VALUE!</v>
      </c>
      <c r="FX172" t="e">
        <f>AND(Sheet1!H2314,"AAAAADE/v7M=")</f>
        <v>#VALUE!</v>
      </c>
      <c r="FY172" t="e">
        <f>AND(Sheet1!I2314,"AAAAADE/v7Q=")</f>
        <v>#VALUE!</v>
      </c>
      <c r="FZ172" t="e">
        <f>AND(Sheet1!J2314,"AAAAADE/v7U=")</f>
        <v>#VALUE!</v>
      </c>
      <c r="GA172" t="e">
        <f>AND(Sheet1!K2314,"AAAAADE/v7Y=")</f>
        <v>#VALUE!</v>
      </c>
      <c r="GB172" t="e">
        <f>AND(Sheet1!L2314,"AAAAADE/v7c=")</f>
        <v>#VALUE!</v>
      </c>
      <c r="GC172" t="e">
        <f>AND(Sheet1!M2314,"AAAAADE/v7g=")</f>
        <v>#VALUE!</v>
      </c>
      <c r="GD172" t="e">
        <f>AND(Sheet1!N2314,"AAAAADE/v7k=")</f>
        <v>#VALUE!</v>
      </c>
      <c r="GE172" t="e">
        <f>AND(Sheet1!#REF!,"AAAAADE/v7o=")</f>
        <v>#REF!</v>
      </c>
      <c r="GF172" t="e">
        <f>AND(Sheet1!#REF!,"AAAAADE/v7s=")</f>
        <v>#REF!</v>
      </c>
      <c r="GG172" t="e">
        <f>AND(Sheet1!#REF!,"AAAAADE/v7w=")</f>
        <v>#REF!</v>
      </c>
      <c r="GH172" t="e">
        <f>AND(Sheet1!#REF!,"AAAAADE/v70=")</f>
        <v>#REF!</v>
      </c>
      <c r="GI172">
        <f>IF(Sheet1!2315:2315,"AAAAADE/v74=",0)</f>
        <v>0</v>
      </c>
      <c r="GJ172" t="e">
        <f>AND(Sheet1!A2315,"AAAAADE/v78=")</f>
        <v>#VALUE!</v>
      </c>
      <c r="GK172" t="e">
        <f>AND(Sheet1!B2315,"AAAAADE/v8A=")</f>
        <v>#VALUE!</v>
      </c>
      <c r="GL172" t="e">
        <f>AND(Sheet1!C2315,"AAAAADE/v8E=")</f>
        <v>#VALUE!</v>
      </c>
      <c r="GM172" t="e">
        <f>AND(Sheet1!D2315,"AAAAADE/v8I=")</f>
        <v>#VALUE!</v>
      </c>
      <c r="GN172" t="e">
        <f>AND(Sheet1!E2315,"AAAAADE/v8M=")</f>
        <v>#VALUE!</v>
      </c>
      <c r="GO172" t="e">
        <f>AND(Sheet1!F2315,"AAAAADE/v8Q=")</f>
        <v>#VALUE!</v>
      </c>
      <c r="GP172" t="e">
        <f>AND(Sheet1!G2315,"AAAAADE/v8U=")</f>
        <v>#VALUE!</v>
      </c>
      <c r="GQ172" t="e">
        <f>AND(Sheet1!H2315,"AAAAADE/v8Y=")</f>
        <v>#VALUE!</v>
      </c>
      <c r="GR172" t="e">
        <f>AND(Sheet1!I2315,"AAAAADE/v8c=")</f>
        <v>#VALUE!</v>
      </c>
      <c r="GS172" t="e">
        <f>AND(Sheet1!J2315,"AAAAADE/v8g=")</f>
        <v>#VALUE!</v>
      </c>
      <c r="GT172" t="e">
        <f>AND(Sheet1!K2315,"AAAAADE/v8k=")</f>
        <v>#VALUE!</v>
      </c>
      <c r="GU172" t="e">
        <f>AND(Sheet1!L2315,"AAAAADE/v8o=")</f>
        <v>#VALUE!</v>
      </c>
      <c r="GV172" t="e">
        <f>AND(Sheet1!M2315,"AAAAADE/v8s=")</f>
        <v>#VALUE!</v>
      </c>
      <c r="GW172" t="e">
        <f>AND(Sheet1!N2315,"AAAAADE/v8w=")</f>
        <v>#VALUE!</v>
      </c>
      <c r="GX172" t="e">
        <f>AND(Sheet1!#REF!,"AAAAADE/v80=")</f>
        <v>#REF!</v>
      </c>
      <c r="GY172" t="e">
        <f>AND(Sheet1!#REF!,"AAAAADE/v84=")</f>
        <v>#REF!</v>
      </c>
      <c r="GZ172" t="e">
        <f>AND(Sheet1!#REF!,"AAAAADE/v88=")</f>
        <v>#REF!</v>
      </c>
      <c r="HA172" t="e">
        <f>AND(Sheet1!#REF!,"AAAAADE/v9A=")</f>
        <v>#REF!</v>
      </c>
      <c r="HB172">
        <f>IF(Sheet1!2316:2316,"AAAAADE/v9E=",0)</f>
        <v>0</v>
      </c>
      <c r="HC172" t="e">
        <f>AND(Sheet1!A2316,"AAAAADE/v9I=")</f>
        <v>#VALUE!</v>
      </c>
      <c r="HD172" t="e">
        <f>AND(Sheet1!B2316,"AAAAADE/v9M=")</f>
        <v>#VALUE!</v>
      </c>
      <c r="HE172" t="e">
        <f>AND(Sheet1!C2316,"AAAAADE/v9Q=")</f>
        <v>#VALUE!</v>
      </c>
      <c r="HF172" t="e">
        <f>AND(Sheet1!D2316,"AAAAADE/v9U=")</f>
        <v>#VALUE!</v>
      </c>
      <c r="HG172" t="e">
        <f>AND(Sheet1!E2316,"AAAAADE/v9Y=")</f>
        <v>#VALUE!</v>
      </c>
      <c r="HH172" t="e">
        <f>AND(Sheet1!F2316,"AAAAADE/v9c=")</f>
        <v>#VALUE!</v>
      </c>
      <c r="HI172" t="e">
        <f>AND(Sheet1!G2316,"AAAAADE/v9g=")</f>
        <v>#VALUE!</v>
      </c>
      <c r="HJ172" t="e">
        <f>AND(Sheet1!H2316,"AAAAADE/v9k=")</f>
        <v>#VALUE!</v>
      </c>
      <c r="HK172" t="e">
        <f>AND(Sheet1!I2316,"AAAAADE/v9o=")</f>
        <v>#VALUE!</v>
      </c>
      <c r="HL172" t="e">
        <f>AND(Sheet1!J2316,"AAAAADE/v9s=")</f>
        <v>#VALUE!</v>
      </c>
      <c r="HM172" t="e">
        <f>AND(Sheet1!K2316,"AAAAADE/v9w=")</f>
        <v>#VALUE!</v>
      </c>
      <c r="HN172" t="e">
        <f>AND(Sheet1!L2316,"AAAAADE/v90=")</f>
        <v>#VALUE!</v>
      </c>
      <c r="HO172" t="e">
        <f>AND(Sheet1!M2316,"AAAAADE/v94=")</f>
        <v>#VALUE!</v>
      </c>
      <c r="HP172" t="e">
        <f>AND(Sheet1!N2316,"AAAAADE/v98=")</f>
        <v>#VALUE!</v>
      </c>
      <c r="HQ172" t="e">
        <f>AND(Sheet1!#REF!,"AAAAADE/v+A=")</f>
        <v>#REF!</v>
      </c>
      <c r="HR172" t="e">
        <f>AND(Sheet1!#REF!,"AAAAADE/v+E=")</f>
        <v>#REF!</v>
      </c>
      <c r="HS172" t="e">
        <f>AND(Sheet1!#REF!,"AAAAADE/v+I=")</f>
        <v>#REF!</v>
      </c>
      <c r="HT172" t="e">
        <f>AND(Sheet1!#REF!,"AAAAADE/v+M=")</f>
        <v>#REF!</v>
      </c>
      <c r="HU172">
        <f>IF(Sheet1!2317:2317,"AAAAADE/v+Q=",0)</f>
        <v>0</v>
      </c>
      <c r="HV172" t="e">
        <f>AND(Sheet1!A2317,"AAAAADE/v+U=")</f>
        <v>#VALUE!</v>
      </c>
      <c r="HW172" t="e">
        <f>AND(Sheet1!B2317,"AAAAADE/v+Y=")</f>
        <v>#VALUE!</v>
      </c>
      <c r="HX172" t="e">
        <f>AND(Sheet1!C2317,"AAAAADE/v+c=")</f>
        <v>#VALUE!</v>
      </c>
      <c r="HY172" t="e">
        <f>AND(Sheet1!D2317,"AAAAADE/v+g=")</f>
        <v>#VALUE!</v>
      </c>
      <c r="HZ172" t="e">
        <f>AND(Sheet1!E2317,"AAAAADE/v+k=")</f>
        <v>#VALUE!</v>
      </c>
      <c r="IA172" t="e">
        <f>AND(Sheet1!F2317,"AAAAADE/v+o=")</f>
        <v>#VALUE!</v>
      </c>
      <c r="IB172" t="e">
        <f>AND(Sheet1!G2317,"AAAAADE/v+s=")</f>
        <v>#VALUE!</v>
      </c>
      <c r="IC172" t="e">
        <f>AND(Sheet1!H2317,"AAAAADE/v+w=")</f>
        <v>#VALUE!</v>
      </c>
      <c r="ID172" t="e">
        <f>AND(Sheet1!I2317,"AAAAADE/v+0=")</f>
        <v>#VALUE!</v>
      </c>
      <c r="IE172" t="e">
        <f>AND(Sheet1!J2317,"AAAAADE/v+4=")</f>
        <v>#VALUE!</v>
      </c>
      <c r="IF172" t="e">
        <f>AND(Sheet1!K2317,"AAAAADE/v+8=")</f>
        <v>#VALUE!</v>
      </c>
      <c r="IG172" t="e">
        <f>AND(Sheet1!L2317,"AAAAADE/v/A=")</f>
        <v>#VALUE!</v>
      </c>
      <c r="IH172" t="e">
        <f>AND(Sheet1!M2317,"AAAAADE/v/E=")</f>
        <v>#VALUE!</v>
      </c>
      <c r="II172" t="e">
        <f>AND(Sheet1!N2317,"AAAAADE/v/I=")</f>
        <v>#VALUE!</v>
      </c>
      <c r="IJ172" t="e">
        <f>AND(Sheet1!#REF!,"AAAAADE/v/M=")</f>
        <v>#REF!</v>
      </c>
      <c r="IK172" t="e">
        <f>AND(Sheet1!#REF!,"AAAAADE/v/Q=")</f>
        <v>#REF!</v>
      </c>
      <c r="IL172" t="e">
        <f>AND(Sheet1!#REF!,"AAAAADE/v/U=")</f>
        <v>#REF!</v>
      </c>
      <c r="IM172" t="e">
        <f>AND(Sheet1!#REF!,"AAAAADE/v/Y=")</f>
        <v>#REF!</v>
      </c>
      <c r="IN172">
        <f>IF(Sheet1!2318:2318,"AAAAADE/v/c=",0)</f>
        <v>0</v>
      </c>
      <c r="IO172" t="e">
        <f>AND(Sheet1!A2318,"AAAAADE/v/g=")</f>
        <v>#VALUE!</v>
      </c>
      <c r="IP172" t="e">
        <f>AND(Sheet1!B2318,"AAAAADE/v/k=")</f>
        <v>#VALUE!</v>
      </c>
      <c r="IQ172" t="e">
        <f>AND(Sheet1!C2318,"AAAAADE/v/o=")</f>
        <v>#VALUE!</v>
      </c>
      <c r="IR172" t="e">
        <f>AND(Sheet1!D2318,"AAAAADE/v/s=")</f>
        <v>#VALUE!</v>
      </c>
      <c r="IS172" t="e">
        <f>AND(Sheet1!E2318,"AAAAADE/v/w=")</f>
        <v>#VALUE!</v>
      </c>
      <c r="IT172" t="e">
        <f>AND(Sheet1!F2318,"AAAAADE/v/0=")</f>
        <v>#VALUE!</v>
      </c>
      <c r="IU172" t="e">
        <f>AND(Sheet1!G2318,"AAAAADE/v/4=")</f>
        <v>#VALUE!</v>
      </c>
      <c r="IV172" t="e">
        <f>AND(Sheet1!H2318,"AAAAADE/v/8=")</f>
        <v>#VALUE!</v>
      </c>
    </row>
    <row r="173" spans="1:256" x14ac:dyDescent="0.2">
      <c r="A173" t="e">
        <f>AND(Sheet1!I2318,"AAAAAG/t3wA=")</f>
        <v>#VALUE!</v>
      </c>
      <c r="B173" t="e">
        <f>AND(Sheet1!J2318,"AAAAAG/t3wE=")</f>
        <v>#VALUE!</v>
      </c>
      <c r="C173" t="e">
        <f>AND(Sheet1!K2318,"AAAAAG/t3wI=")</f>
        <v>#VALUE!</v>
      </c>
      <c r="D173" t="e">
        <f>AND(Sheet1!L2318,"AAAAAG/t3wM=")</f>
        <v>#VALUE!</v>
      </c>
      <c r="E173" t="e">
        <f>AND(Sheet1!M2318,"AAAAAG/t3wQ=")</f>
        <v>#VALUE!</v>
      </c>
      <c r="F173" t="e">
        <f>AND(Sheet1!N2318,"AAAAAG/t3wU=")</f>
        <v>#VALUE!</v>
      </c>
      <c r="G173" t="e">
        <f>AND(Sheet1!#REF!,"AAAAAG/t3wY=")</f>
        <v>#REF!</v>
      </c>
      <c r="H173" t="e">
        <f>AND(Sheet1!#REF!,"AAAAAG/t3wc=")</f>
        <v>#REF!</v>
      </c>
      <c r="I173" t="e">
        <f>AND(Sheet1!#REF!,"AAAAAG/t3wg=")</f>
        <v>#REF!</v>
      </c>
      <c r="J173" t="e">
        <f>AND(Sheet1!#REF!,"AAAAAG/t3wk=")</f>
        <v>#REF!</v>
      </c>
      <c r="K173" t="e">
        <f>IF(Sheet1!2319:2319,"AAAAAG/t3wo=",0)</f>
        <v>#VALUE!</v>
      </c>
      <c r="L173" t="e">
        <f>AND(Sheet1!A2319,"AAAAAG/t3ws=")</f>
        <v>#VALUE!</v>
      </c>
      <c r="M173" t="e">
        <f>AND(Sheet1!B2319,"AAAAAG/t3ww=")</f>
        <v>#VALUE!</v>
      </c>
      <c r="N173" t="e">
        <f>AND(Sheet1!C2319,"AAAAAG/t3w0=")</f>
        <v>#VALUE!</v>
      </c>
      <c r="O173" t="e">
        <f>AND(Sheet1!D2319,"AAAAAG/t3w4=")</f>
        <v>#VALUE!</v>
      </c>
      <c r="P173" t="e">
        <f>AND(Sheet1!E2319,"AAAAAG/t3w8=")</f>
        <v>#VALUE!</v>
      </c>
      <c r="Q173" t="e">
        <f>AND(Sheet1!F2319,"AAAAAG/t3xA=")</f>
        <v>#VALUE!</v>
      </c>
      <c r="R173" t="e">
        <f>AND(Sheet1!G2319,"AAAAAG/t3xE=")</f>
        <v>#VALUE!</v>
      </c>
      <c r="S173" t="e">
        <f>AND(Sheet1!H2319,"AAAAAG/t3xI=")</f>
        <v>#VALUE!</v>
      </c>
      <c r="T173" t="e">
        <f>AND(Sheet1!I2319,"AAAAAG/t3xM=")</f>
        <v>#VALUE!</v>
      </c>
      <c r="U173" t="e">
        <f>AND(Sheet1!J2319,"AAAAAG/t3xQ=")</f>
        <v>#VALUE!</v>
      </c>
      <c r="V173" t="e">
        <f>AND(Sheet1!K2319,"AAAAAG/t3xU=")</f>
        <v>#VALUE!</v>
      </c>
      <c r="W173" t="e">
        <f>AND(Sheet1!L2319,"AAAAAG/t3xY=")</f>
        <v>#VALUE!</v>
      </c>
      <c r="X173" t="e">
        <f>AND(Sheet1!M2319,"AAAAAG/t3xc=")</f>
        <v>#VALUE!</v>
      </c>
      <c r="Y173" t="e">
        <f>AND(Sheet1!N2319,"AAAAAG/t3xg=")</f>
        <v>#VALUE!</v>
      </c>
      <c r="Z173" t="e">
        <f>AND(Sheet1!#REF!,"AAAAAG/t3xk=")</f>
        <v>#REF!</v>
      </c>
      <c r="AA173" t="e">
        <f>AND(Sheet1!#REF!,"AAAAAG/t3xo=")</f>
        <v>#REF!</v>
      </c>
      <c r="AB173" t="e">
        <f>AND(Sheet1!#REF!,"AAAAAG/t3xs=")</f>
        <v>#REF!</v>
      </c>
      <c r="AC173" t="e">
        <f>AND(Sheet1!#REF!,"AAAAAG/t3xw=")</f>
        <v>#REF!</v>
      </c>
      <c r="AD173">
        <f>IF(Sheet1!2320:2320,"AAAAAG/t3x0=",0)</f>
        <v>0</v>
      </c>
      <c r="AE173" t="e">
        <f>AND(Sheet1!A2320,"AAAAAG/t3x4=")</f>
        <v>#VALUE!</v>
      </c>
      <c r="AF173" t="e">
        <f>AND(Sheet1!B2320,"AAAAAG/t3x8=")</f>
        <v>#VALUE!</v>
      </c>
      <c r="AG173" t="e">
        <f>AND(Sheet1!C2320,"AAAAAG/t3yA=")</f>
        <v>#VALUE!</v>
      </c>
      <c r="AH173" t="e">
        <f>AND(Sheet1!D2320,"AAAAAG/t3yE=")</f>
        <v>#VALUE!</v>
      </c>
      <c r="AI173" t="e">
        <f>AND(Sheet1!E2320,"AAAAAG/t3yI=")</f>
        <v>#VALUE!</v>
      </c>
      <c r="AJ173" t="e">
        <f>AND(Sheet1!F2320,"AAAAAG/t3yM=")</f>
        <v>#VALUE!</v>
      </c>
      <c r="AK173" t="e">
        <f>AND(Sheet1!G2320,"AAAAAG/t3yQ=")</f>
        <v>#VALUE!</v>
      </c>
      <c r="AL173" t="e">
        <f>AND(Sheet1!H2320,"AAAAAG/t3yU=")</f>
        <v>#VALUE!</v>
      </c>
      <c r="AM173" t="e">
        <f>AND(Sheet1!I2320,"AAAAAG/t3yY=")</f>
        <v>#VALUE!</v>
      </c>
      <c r="AN173" t="e">
        <f>AND(Sheet1!J2320,"AAAAAG/t3yc=")</f>
        <v>#VALUE!</v>
      </c>
      <c r="AO173" t="e">
        <f>AND(Sheet1!K2320,"AAAAAG/t3yg=")</f>
        <v>#VALUE!</v>
      </c>
      <c r="AP173" t="e">
        <f>AND(Sheet1!L2320,"AAAAAG/t3yk=")</f>
        <v>#VALUE!</v>
      </c>
      <c r="AQ173" t="e">
        <f>AND(Sheet1!M2320,"AAAAAG/t3yo=")</f>
        <v>#VALUE!</v>
      </c>
      <c r="AR173" t="e">
        <f>AND(Sheet1!N2320,"AAAAAG/t3ys=")</f>
        <v>#VALUE!</v>
      </c>
      <c r="AS173" t="e">
        <f>AND(Sheet1!#REF!,"AAAAAG/t3yw=")</f>
        <v>#REF!</v>
      </c>
      <c r="AT173" t="e">
        <f>AND(Sheet1!#REF!,"AAAAAG/t3y0=")</f>
        <v>#REF!</v>
      </c>
      <c r="AU173" t="e">
        <f>AND(Sheet1!#REF!,"AAAAAG/t3y4=")</f>
        <v>#REF!</v>
      </c>
      <c r="AV173" t="e">
        <f>AND(Sheet1!#REF!,"AAAAAG/t3y8=")</f>
        <v>#REF!</v>
      </c>
      <c r="AW173">
        <f>IF(Sheet1!2321:2321,"AAAAAG/t3zA=",0)</f>
        <v>0</v>
      </c>
      <c r="AX173" t="e">
        <f>AND(Sheet1!A2321,"AAAAAG/t3zE=")</f>
        <v>#VALUE!</v>
      </c>
      <c r="AY173" t="e">
        <f>AND(Sheet1!B2321,"AAAAAG/t3zI=")</f>
        <v>#VALUE!</v>
      </c>
      <c r="AZ173" t="e">
        <f>AND(Sheet1!C2321,"AAAAAG/t3zM=")</f>
        <v>#VALUE!</v>
      </c>
      <c r="BA173" t="e">
        <f>AND(Sheet1!D2321,"AAAAAG/t3zQ=")</f>
        <v>#VALUE!</v>
      </c>
      <c r="BB173" t="e">
        <f>AND(Sheet1!E2321,"AAAAAG/t3zU=")</f>
        <v>#VALUE!</v>
      </c>
      <c r="BC173" t="e">
        <f>AND(Sheet1!F2321,"AAAAAG/t3zY=")</f>
        <v>#VALUE!</v>
      </c>
      <c r="BD173" t="e">
        <f>AND(Sheet1!G2321,"AAAAAG/t3zc=")</f>
        <v>#VALUE!</v>
      </c>
      <c r="BE173" t="e">
        <f>AND(Sheet1!H2321,"AAAAAG/t3zg=")</f>
        <v>#VALUE!</v>
      </c>
      <c r="BF173" t="e">
        <f>AND(Sheet1!I2321,"AAAAAG/t3zk=")</f>
        <v>#VALUE!</v>
      </c>
      <c r="BG173" t="e">
        <f>AND(Sheet1!J2321,"AAAAAG/t3zo=")</f>
        <v>#VALUE!</v>
      </c>
      <c r="BH173" t="e">
        <f>AND(Sheet1!K2321,"AAAAAG/t3zs=")</f>
        <v>#VALUE!</v>
      </c>
      <c r="BI173" t="e">
        <f>AND(Sheet1!L2321,"AAAAAG/t3zw=")</f>
        <v>#VALUE!</v>
      </c>
      <c r="BJ173" t="e">
        <f>AND(Sheet1!M2321,"AAAAAG/t3z0=")</f>
        <v>#VALUE!</v>
      </c>
      <c r="BK173" t="e">
        <f>AND(Sheet1!N2321,"AAAAAG/t3z4=")</f>
        <v>#VALUE!</v>
      </c>
      <c r="BL173" t="e">
        <f>AND(Sheet1!#REF!,"AAAAAG/t3z8=")</f>
        <v>#REF!</v>
      </c>
      <c r="BM173" t="e">
        <f>AND(Sheet1!#REF!,"AAAAAG/t30A=")</f>
        <v>#REF!</v>
      </c>
      <c r="BN173" t="e">
        <f>AND(Sheet1!#REF!,"AAAAAG/t30E=")</f>
        <v>#REF!</v>
      </c>
      <c r="BO173" t="e">
        <f>AND(Sheet1!#REF!,"AAAAAG/t30I=")</f>
        <v>#REF!</v>
      </c>
      <c r="BP173">
        <f>IF(Sheet1!2322:2322,"AAAAAG/t30M=",0)</f>
        <v>0</v>
      </c>
      <c r="BQ173" t="e">
        <f>AND(Sheet1!A2322,"AAAAAG/t30Q=")</f>
        <v>#VALUE!</v>
      </c>
      <c r="BR173" t="e">
        <f>AND(Sheet1!B2322,"AAAAAG/t30U=")</f>
        <v>#VALUE!</v>
      </c>
      <c r="BS173" t="e">
        <f>AND(Sheet1!C2322,"AAAAAG/t30Y=")</f>
        <v>#VALUE!</v>
      </c>
      <c r="BT173" t="e">
        <f>AND(Sheet1!D2322,"AAAAAG/t30c=")</f>
        <v>#VALUE!</v>
      </c>
      <c r="BU173" t="e">
        <f>AND(Sheet1!E2322,"AAAAAG/t30g=")</f>
        <v>#VALUE!</v>
      </c>
      <c r="BV173" t="e">
        <f>AND(Sheet1!F2322,"AAAAAG/t30k=")</f>
        <v>#VALUE!</v>
      </c>
      <c r="BW173" t="e">
        <f>AND(Sheet1!G2322,"AAAAAG/t30o=")</f>
        <v>#VALUE!</v>
      </c>
      <c r="BX173" t="e">
        <f>AND(Sheet1!H2322,"AAAAAG/t30s=")</f>
        <v>#VALUE!</v>
      </c>
      <c r="BY173" t="e">
        <f>AND(Sheet1!I2322,"AAAAAG/t30w=")</f>
        <v>#VALUE!</v>
      </c>
      <c r="BZ173" t="e">
        <f>AND(Sheet1!J2322,"AAAAAG/t300=")</f>
        <v>#VALUE!</v>
      </c>
      <c r="CA173" t="e">
        <f>AND(Sheet1!K2322,"AAAAAG/t304=")</f>
        <v>#VALUE!</v>
      </c>
      <c r="CB173" t="e">
        <f>AND(Sheet1!L2322,"AAAAAG/t308=")</f>
        <v>#VALUE!</v>
      </c>
      <c r="CC173" t="e">
        <f>AND(Sheet1!M2322,"AAAAAG/t31A=")</f>
        <v>#VALUE!</v>
      </c>
      <c r="CD173" t="e">
        <f>AND(Sheet1!N2322,"AAAAAG/t31E=")</f>
        <v>#VALUE!</v>
      </c>
      <c r="CE173" t="e">
        <f>AND(Sheet1!#REF!,"AAAAAG/t31I=")</f>
        <v>#REF!</v>
      </c>
      <c r="CF173" t="e">
        <f>AND(Sheet1!#REF!,"AAAAAG/t31M=")</f>
        <v>#REF!</v>
      </c>
      <c r="CG173" t="e">
        <f>AND(Sheet1!#REF!,"AAAAAG/t31Q=")</f>
        <v>#REF!</v>
      </c>
      <c r="CH173" t="e">
        <f>AND(Sheet1!#REF!,"AAAAAG/t31U=")</f>
        <v>#REF!</v>
      </c>
      <c r="CI173">
        <f>IF(Sheet1!2323:2323,"AAAAAG/t31Y=",0)</f>
        <v>0</v>
      </c>
      <c r="CJ173" t="e">
        <f>AND(Sheet1!A2323,"AAAAAG/t31c=")</f>
        <v>#VALUE!</v>
      </c>
      <c r="CK173" t="e">
        <f>AND(Sheet1!B2323,"AAAAAG/t31g=")</f>
        <v>#VALUE!</v>
      </c>
      <c r="CL173" t="e">
        <f>AND(Sheet1!C2323,"AAAAAG/t31k=")</f>
        <v>#VALUE!</v>
      </c>
      <c r="CM173" t="e">
        <f>AND(Sheet1!D2323,"AAAAAG/t31o=")</f>
        <v>#VALUE!</v>
      </c>
      <c r="CN173" t="e">
        <f>AND(Sheet1!E2323,"AAAAAG/t31s=")</f>
        <v>#VALUE!</v>
      </c>
      <c r="CO173" t="e">
        <f>AND(Sheet1!F2323,"AAAAAG/t31w=")</f>
        <v>#VALUE!</v>
      </c>
      <c r="CP173" t="e">
        <f>AND(Sheet1!G2323,"AAAAAG/t310=")</f>
        <v>#VALUE!</v>
      </c>
      <c r="CQ173" t="e">
        <f>AND(Sheet1!H2323,"AAAAAG/t314=")</f>
        <v>#VALUE!</v>
      </c>
      <c r="CR173" t="e">
        <f>AND(Sheet1!I2323,"AAAAAG/t318=")</f>
        <v>#VALUE!</v>
      </c>
      <c r="CS173" t="e">
        <f>AND(Sheet1!J2323,"AAAAAG/t32A=")</f>
        <v>#VALUE!</v>
      </c>
      <c r="CT173" t="e">
        <f>AND(Sheet1!K2323,"AAAAAG/t32E=")</f>
        <v>#VALUE!</v>
      </c>
      <c r="CU173" t="e">
        <f>AND(Sheet1!L2323,"AAAAAG/t32I=")</f>
        <v>#VALUE!</v>
      </c>
      <c r="CV173" t="e">
        <f>AND(Sheet1!M2323,"AAAAAG/t32M=")</f>
        <v>#VALUE!</v>
      </c>
      <c r="CW173" t="e">
        <f>AND(Sheet1!N2323,"AAAAAG/t32Q=")</f>
        <v>#VALUE!</v>
      </c>
      <c r="CX173" t="e">
        <f>AND(Sheet1!#REF!,"AAAAAG/t32U=")</f>
        <v>#REF!</v>
      </c>
      <c r="CY173" t="e">
        <f>AND(Sheet1!#REF!,"AAAAAG/t32Y=")</f>
        <v>#REF!</v>
      </c>
      <c r="CZ173" t="e">
        <f>AND(Sheet1!#REF!,"AAAAAG/t32c=")</f>
        <v>#REF!</v>
      </c>
      <c r="DA173" t="e">
        <f>AND(Sheet1!#REF!,"AAAAAG/t32g=")</f>
        <v>#REF!</v>
      </c>
      <c r="DB173">
        <f>IF(Sheet1!2324:2324,"AAAAAG/t32k=",0)</f>
        <v>0</v>
      </c>
      <c r="DC173" t="e">
        <f>AND(Sheet1!A2324,"AAAAAG/t32o=")</f>
        <v>#VALUE!</v>
      </c>
      <c r="DD173" t="e">
        <f>AND(Sheet1!B2324,"AAAAAG/t32s=")</f>
        <v>#VALUE!</v>
      </c>
      <c r="DE173" t="e">
        <f>AND(Sheet1!C2324,"AAAAAG/t32w=")</f>
        <v>#VALUE!</v>
      </c>
      <c r="DF173" t="e">
        <f>AND(Sheet1!D2324,"AAAAAG/t320=")</f>
        <v>#VALUE!</v>
      </c>
      <c r="DG173" t="e">
        <f>AND(Sheet1!E2324,"AAAAAG/t324=")</f>
        <v>#VALUE!</v>
      </c>
      <c r="DH173" t="e">
        <f>AND(Sheet1!F2324,"AAAAAG/t328=")</f>
        <v>#VALUE!</v>
      </c>
      <c r="DI173" t="e">
        <f>AND(Sheet1!G2324,"AAAAAG/t33A=")</f>
        <v>#VALUE!</v>
      </c>
      <c r="DJ173" t="e">
        <f>AND(Sheet1!H2324,"AAAAAG/t33E=")</f>
        <v>#VALUE!</v>
      </c>
      <c r="DK173" t="e">
        <f>AND(Sheet1!I2324,"AAAAAG/t33I=")</f>
        <v>#VALUE!</v>
      </c>
      <c r="DL173" t="e">
        <f>AND(Sheet1!J2324,"AAAAAG/t33M=")</f>
        <v>#VALUE!</v>
      </c>
      <c r="DM173" t="e">
        <f>AND(Sheet1!K2324,"AAAAAG/t33Q=")</f>
        <v>#VALUE!</v>
      </c>
      <c r="DN173" t="e">
        <f>AND(Sheet1!L2324,"AAAAAG/t33U=")</f>
        <v>#VALUE!</v>
      </c>
      <c r="DO173" t="e">
        <f>AND(Sheet1!M2324,"AAAAAG/t33Y=")</f>
        <v>#VALUE!</v>
      </c>
      <c r="DP173" t="e">
        <f>AND(Sheet1!N2324,"AAAAAG/t33c=")</f>
        <v>#VALUE!</v>
      </c>
      <c r="DQ173" t="e">
        <f>AND(Sheet1!#REF!,"AAAAAG/t33g=")</f>
        <v>#REF!</v>
      </c>
      <c r="DR173" t="e">
        <f>AND(Sheet1!#REF!,"AAAAAG/t33k=")</f>
        <v>#REF!</v>
      </c>
      <c r="DS173" t="e">
        <f>AND(Sheet1!#REF!,"AAAAAG/t33o=")</f>
        <v>#REF!</v>
      </c>
      <c r="DT173" t="e">
        <f>AND(Sheet1!#REF!,"AAAAAG/t33s=")</f>
        <v>#REF!</v>
      </c>
      <c r="DU173">
        <f>IF(Sheet1!2325:2325,"AAAAAG/t33w=",0)</f>
        <v>0</v>
      </c>
      <c r="DV173" t="e">
        <f>AND(Sheet1!A2325,"AAAAAG/t330=")</f>
        <v>#VALUE!</v>
      </c>
      <c r="DW173" t="e">
        <f>AND(Sheet1!B2325,"AAAAAG/t334=")</f>
        <v>#VALUE!</v>
      </c>
      <c r="DX173" t="e">
        <f>AND(Sheet1!C2325,"AAAAAG/t338=")</f>
        <v>#VALUE!</v>
      </c>
      <c r="DY173" t="e">
        <f>AND(Sheet1!D2325,"AAAAAG/t34A=")</f>
        <v>#VALUE!</v>
      </c>
      <c r="DZ173" t="e">
        <f>AND(Sheet1!E2325,"AAAAAG/t34E=")</f>
        <v>#VALUE!</v>
      </c>
      <c r="EA173" t="e">
        <f>AND(Sheet1!F2325,"AAAAAG/t34I=")</f>
        <v>#VALUE!</v>
      </c>
      <c r="EB173" t="e">
        <f>AND(Sheet1!G2325,"AAAAAG/t34M=")</f>
        <v>#VALUE!</v>
      </c>
      <c r="EC173" t="e">
        <f>AND(Sheet1!H2325,"AAAAAG/t34Q=")</f>
        <v>#VALUE!</v>
      </c>
      <c r="ED173" t="e">
        <f>AND(Sheet1!I2325,"AAAAAG/t34U=")</f>
        <v>#VALUE!</v>
      </c>
      <c r="EE173" t="e">
        <f>AND(Sheet1!J2325,"AAAAAG/t34Y=")</f>
        <v>#VALUE!</v>
      </c>
      <c r="EF173" t="e">
        <f>AND(Sheet1!K2325,"AAAAAG/t34c=")</f>
        <v>#VALUE!</v>
      </c>
      <c r="EG173" t="e">
        <f>AND(Sheet1!L2325,"AAAAAG/t34g=")</f>
        <v>#VALUE!</v>
      </c>
      <c r="EH173" t="e">
        <f>AND(Sheet1!M2325,"AAAAAG/t34k=")</f>
        <v>#VALUE!</v>
      </c>
      <c r="EI173" t="e">
        <f>AND(Sheet1!N2325,"AAAAAG/t34o=")</f>
        <v>#VALUE!</v>
      </c>
      <c r="EJ173" t="e">
        <f>AND(Sheet1!#REF!,"AAAAAG/t34s=")</f>
        <v>#REF!</v>
      </c>
      <c r="EK173" t="e">
        <f>AND(Sheet1!#REF!,"AAAAAG/t34w=")</f>
        <v>#REF!</v>
      </c>
      <c r="EL173" t="e">
        <f>AND(Sheet1!#REF!,"AAAAAG/t340=")</f>
        <v>#REF!</v>
      </c>
      <c r="EM173" t="e">
        <f>AND(Sheet1!#REF!,"AAAAAG/t344=")</f>
        <v>#REF!</v>
      </c>
      <c r="EN173">
        <f>IF(Sheet1!2326:2326,"AAAAAG/t348=",0)</f>
        <v>0</v>
      </c>
      <c r="EO173" t="e">
        <f>AND(Sheet1!A2326,"AAAAAG/t35A=")</f>
        <v>#VALUE!</v>
      </c>
      <c r="EP173" t="e">
        <f>AND(Sheet1!B2326,"AAAAAG/t35E=")</f>
        <v>#VALUE!</v>
      </c>
      <c r="EQ173" t="e">
        <f>AND(Sheet1!C2326,"AAAAAG/t35I=")</f>
        <v>#VALUE!</v>
      </c>
      <c r="ER173" t="e">
        <f>AND(Sheet1!D2326,"AAAAAG/t35M=")</f>
        <v>#VALUE!</v>
      </c>
      <c r="ES173" t="e">
        <f>AND(Sheet1!E2326,"AAAAAG/t35Q=")</f>
        <v>#VALUE!</v>
      </c>
      <c r="ET173" t="e">
        <f>AND(Sheet1!F2326,"AAAAAG/t35U=")</f>
        <v>#VALUE!</v>
      </c>
      <c r="EU173" t="e">
        <f>AND(Sheet1!G2326,"AAAAAG/t35Y=")</f>
        <v>#VALUE!</v>
      </c>
      <c r="EV173" t="e">
        <f>AND(Sheet1!H2326,"AAAAAG/t35c=")</f>
        <v>#VALUE!</v>
      </c>
      <c r="EW173" t="e">
        <f>AND(Sheet1!I2326,"AAAAAG/t35g=")</f>
        <v>#VALUE!</v>
      </c>
      <c r="EX173" t="e">
        <f>AND(Sheet1!J2326,"AAAAAG/t35k=")</f>
        <v>#VALUE!</v>
      </c>
      <c r="EY173" t="e">
        <f>AND(Sheet1!K2326,"AAAAAG/t35o=")</f>
        <v>#VALUE!</v>
      </c>
      <c r="EZ173" t="e">
        <f>AND(Sheet1!L2326,"AAAAAG/t35s=")</f>
        <v>#VALUE!</v>
      </c>
      <c r="FA173" t="e">
        <f>AND(Sheet1!M2326,"AAAAAG/t35w=")</f>
        <v>#VALUE!</v>
      </c>
      <c r="FB173" t="e">
        <f>AND(Sheet1!N2326,"AAAAAG/t350=")</f>
        <v>#VALUE!</v>
      </c>
      <c r="FC173" t="e">
        <f>AND(Sheet1!#REF!,"AAAAAG/t354=")</f>
        <v>#REF!</v>
      </c>
      <c r="FD173" t="e">
        <f>AND(Sheet1!#REF!,"AAAAAG/t358=")</f>
        <v>#REF!</v>
      </c>
      <c r="FE173" t="e">
        <f>AND(Sheet1!#REF!,"AAAAAG/t36A=")</f>
        <v>#REF!</v>
      </c>
      <c r="FF173" t="e">
        <f>AND(Sheet1!#REF!,"AAAAAG/t36E=")</f>
        <v>#REF!</v>
      </c>
      <c r="FG173">
        <f>IF(Sheet1!2327:2327,"AAAAAG/t36I=",0)</f>
        <v>0</v>
      </c>
      <c r="FH173" t="e">
        <f>AND(Sheet1!A2327,"AAAAAG/t36M=")</f>
        <v>#VALUE!</v>
      </c>
      <c r="FI173" t="e">
        <f>AND(Sheet1!B2327,"AAAAAG/t36Q=")</f>
        <v>#VALUE!</v>
      </c>
      <c r="FJ173" t="e">
        <f>AND(Sheet1!C2327,"AAAAAG/t36U=")</f>
        <v>#VALUE!</v>
      </c>
      <c r="FK173" t="e">
        <f>AND(Sheet1!D2327,"AAAAAG/t36Y=")</f>
        <v>#VALUE!</v>
      </c>
      <c r="FL173" t="e">
        <f>AND(Sheet1!E2327,"AAAAAG/t36c=")</f>
        <v>#VALUE!</v>
      </c>
      <c r="FM173" t="e">
        <f>AND(Sheet1!F2327,"AAAAAG/t36g=")</f>
        <v>#VALUE!</v>
      </c>
      <c r="FN173" t="e">
        <f>AND(Sheet1!G2327,"AAAAAG/t36k=")</f>
        <v>#VALUE!</v>
      </c>
      <c r="FO173" t="e">
        <f>AND(Sheet1!H2327,"AAAAAG/t36o=")</f>
        <v>#VALUE!</v>
      </c>
      <c r="FP173" t="e">
        <f>AND(Sheet1!I2327,"AAAAAG/t36s=")</f>
        <v>#VALUE!</v>
      </c>
      <c r="FQ173" t="e">
        <f>AND(Sheet1!J2327,"AAAAAG/t36w=")</f>
        <v>#VALUE!</v>
      </c>
      <c r="FR173" t="e">
        <f>AND(Sheet1!K2327,"AAAAAG/t360=")</f>
        <v>#VALUE!</v>
      </c>
      <c r="FS173" t="e">
        <f>AND(Sheet1!L2327,"AAAAAG/t364=")</f>
        <v>#VALUE!</v>
      </c>
      <c r="FT173" t="e">
        <f>AND(Sheet1!M2327,"AAAAAG/t368=")</f>
        <v>#VALUE!</v>
      </c>
      <c r="FU173" t="e">
        <f>AND(Sheet1!N2327,"AAAAAG/t37A=")</f>
        <v>#VALUE!</v>
      </c>
      <c r="FV173" t="e">
        <f>AND(Sheet1!#REF!,"AAAAAG/t37E=")</f>
        <v>#REF!</v>
      </c>
      <c r="FW173" t="e">
        <f>AND(Sheet1!#REF!,"AAAAAG/t37I=")</f>
        <v>#REF!</v>
      </c>
      <c r="FX173" t="e">
        <f>AND(Sheet1!#REF!,"AAAAAG/t37M=")</f>
        <v>#REF!</v>
      </c>
      <c r="FY173" t="e">
        <f>AND(Sheet1!#REF!,"AAAAAG/t37Q=")</f>
        <v>#REF!</v>
      </c>
      <c r="FZ173">
        <f>IF(Sheet1!2328:2328,"AAAAAG/t37U=",0)</f>
        <v>0</v>
      </c>
      <c r="GA173" t="e">
        <f>AND(Sheet1!A2328,"AAAAAG/t37Y=")</f>
        <v>#VALUE!</v>
      </c>
      <c r="GB173" t="e">
        <f>AND(Sheet1!B2328,"AAAAAG/t37c=")</f>
        <v>#VALUE!</v>
      </c>
      <c r="GC173" t="e">
        <f>AND(Sheet1!C2328,"AAAAAG/t37g=")</f>
        <v>#VALUE!</v>
      </c>
      <c r="GD173" t="e">
        <f>AND(Sheet1!D2328,"AAAAAG/t37k=")</f>
        <v>#VALUE!</v>
      </c>
      <c r="GE173" t="e">
        <f>AND(Sheet1!E2328,"AAAAAG/t37o=")</f>
        <v>#VALUE!</v>
      </c>
      <c r="GF173" t="e">
        <f>AND(Sheet1!F2328,"AAAAAG/t37s=")</f>
        <v>#VALUE!</v>
      </c>
      <c r="GG173" t="e">
        <f>AND(Sheet1!G2328,"AAAAAG/t37w=")</f>
        <v>#VALUE!</v>
      </c>
      <c r="GH173" t="e">
        <f>AND(Sheet1!H2328,"AAAAAG/t370=")</f>
        <v>#VALUE!</v>
      </c>
      <c r="GI173" t="e">
        <f>AND(Sheet1!I2328,"AAAAAG/t374=")</f>
        <v>#VALUE!</v>
      </c>
      <c r="GJ173" t="e">
        <f>AND(Sheet1!J2328,"AAAAAG/t378=")</f>
        <v>#VALUE!</v>
      </c>
      <c r="GK173" t="e">
        <f>AND(Sheet1!K2328,"AAAAAG/t38A=")</f>
        <v>#VALUE!</v>
      </c>
      <c r="GL173" t="e">
        <f>AND(Sheet1!L2328,"AAAAAG/t38E=")</f>
        <v>#VALUE!</v>
      </c>
      <c r="GM173" t="e">
        <f>AND(Sheet1!M2328,"AAAAAG/t38I=")</f>
        <v>#VALUE!</v>
      </c>
      <c r="GN173" t="e">
        <f>AND(Sheet1!N2328,"AAAAAG/t38M=")</f>
        <v>#VALUE!</v>
      </c>
      <c r="GO173" t="e">
        <f>AND(Sheet1!#REF!,"AAAAAG/t38Q=")</f>
        <v>#REF!</v>
      </c>
      <c r="GP173" t="e">
        <f>AND(Sheet1!#REF!,"AAAAAG/t38U=")</f>
        <v>#REF!</v>
      </c>
      <c r="GQ173" t="e">
        <f>AND(Sheet1!#REF!,"AAAAAG/t38Y=")</f>
        <v>#REF!</v>
      </c>
      <c r="GR173" t="e">
        <f>AND(Sheet1!#REF!,"AAAAAG/t38c=")</f>
        <v>#REF!</v>
      </c>
      <c r="GS173">
        <f>IF(Sheet1!2329:2329,"AAAAAG/t38g=",0)</f>
        <v>0</v>
      </c>
      <c r="GT173" t="e">
        <f>AND(Sheet1!A2329,"AAAAAG/t38k=")</f>
        <v>#VALUE!</v>
      </c>
      <c r="GU173" t="e">
        <f>AND(Sheet1!B2329,"AAAAAG/t38o=")</f>
        <v>#VALUE!</v>
      </c>
      <c r="GV173" t="e">
        <f>AND(Sheet1!C2329,"AAAAAG/t38s=")</f>
        <v>#VALUE!</v>
      </c>
      <c r="GW173" t="e">
        <f>AND(Sheet1!D2329,"AAAAAG/t38w=")</f>
        <v>#VALUE!</v>
      </c>
      <c r="GX173" t="e">
        <f>AND(Sheet1!E2329,"AAAAAG/t380=")</f>
        <v>#VALUE!</v>
      </c>
      <c r="GY173" t="e">
        <f>AND(Sheet1!F2329,"AAAAAG/t384=")</f>
        <v>#VALUE!</v>
      </c>
      <c r="GZ173" t="e">
        <f>AND(Sheet1!G2329,"AAAAAG/t388=")</f>
        <v>#VALUE!</v>
      </c>
      <c r="HA173" t="e">
        <f>AND(Sheet1!H2329,"AAAAAG/t39A=")</f>
        <v>#VALUE!</v>
      </c>
      <c r="HB173" t="e">
        <f>AND(Sheet1!I2329,"AAAAAG/t39E=")</f>
        <v>#VALUE!</v>
      </c>
      <c r="HC173" t="e">
        <f>AND(Sheet1!J2329,"AAAAAG/t39I=")</f>
        <v>#VALUE!</v>
      </c>
      <c r="HD173" t="e">
        <f>AND(Sheet1!K2329,"AAAAAG/t39M=")</f>
        <v>#VALUE!</v>
      </c>
      <c r="HE173" t="e">
        <f>AND(Sheet1!L2329,"AAAAAG/t39Q=")</f>
        <v>#VALUE!</v>
      </c>
      <c r="HF173" t="e">
        <f>AND(Sheet1!M2329,"AAAAAG/t39U=")</f>
        <v>#VALUE!</v>
      </c>
      <c r="HG173" t="e">
        <f>AND(Sheet1!N2329,"AAAAAG/t39Y=")</f>
        <v>#VALUE!</v>
      </c>
      <c r="HH173" t="e">
        <f>AND(Sheet1!#REF!,"AAAAAG/t39c=")</f>
        <v>#REF!</v>
      </c>
      <c r="HI173" t="e">
        <f>AND(Sheet1!#REF!,"AAAAAG/t39g=")</f>
        <v>#REF!</v>
      </c>
      <c r="HJ173" t="e">
        <f>AND(Sheet1!#REF!,"AAAAAG/t39k=")</f>
        <v>#REF!</v>
      </c>
      <c r="HK173" t="e">
        <f>AND(Sheet1!#REF!,"AAAAAG/t39o=")</f>
        <v>#REF!</v>
      </c>
      <c r="HL173">
        <f>IF(Sheet1!2330:2330,"AAAAAG/t39s=",0)</f>
        <v>0</v>
      </c>
      <c r="HM173" t="e">
        <f>AND(Sheet1!A2330,"AAAAAG/t39w=")</f>
        <v>#VALUE!</v>
      </c>
      <c r="HN173" t="e">
        <f>AND(Sheet1!B2330,"AAAAAG/t390=")</f>
        <v>#VALUE!</v>
      </c>
      <c r="HO173" t="e">
        <f>AND(Sheet1!C2330,"AAAAAG/t394=")</f>
        <v>#VALUE!</v>
      </c>
      <c r="HP173" t="e">
        <f>AND(Sheet1!D2330,"AAAAAG/t398=")</f>
        <v>#VALUE!</v>
      </c>
      <c r="HQ173" t="e">
        <f>AND(Sheet1!E2330,"AAAAAG/t3+A=")</f>
        <v>#VALUE!</v>
      </c>
      <c r="HR173" t="e">
        <f>AND(Sheet1!F2330,"AAAAAG/t3+E=")</f>
        <v>#VALUE!</v>
      </c>
      <c r="HS173" t="e">
        <f>AND(Sheet1!G2330,"AAAAAG/t3+I=")</f>
        <v>#VALUE!</v>
      </c>
      <c r="HT173" t="e">
        <f>AND(Sheet1!H2330,"AAAAAG/t3+M=")</f>
        <v>#VALUE!</v>
      </c>
      <c r="HU173" t="e">
        <f>AND(Sheet1!I2330,"AAAAAG/t3+Q=")</f>
        <v>#VALUE!</v>
      </c>
      <c r="HV173" t="e">
        <f>AND(Sheet1!J2330,"AAAAAG/t3+U=")</f>
        <v>#VALUE!</v>
      </c>
      <c r="HW173" t="e">
        <f>AND(Sheet1!K2330,"AAAAAG/t3+Y=")</f>
        <v>#VALUE!</v>
      </c>
      <c r="HX173" t="e">
        <f>AND(Sheet1!L2330,"AAAAAG/t3+c=")</f>
        <v>#VALUE!</v>
      </c>
      <c r="HY173" t="e">
        <f>AND(Sheet1!M2330,"AAAAAG/t3+g=")</f>
        <v>#VALUE!</v>
      </c>
      <c r="HZ173" t="e">
        <f>AND(Sheet1!N2330,"AAAAAG/t3+k=")</f>
        <v>#VALUE!</v>
      </c>
      <c r="IA173" t="e">
        <f>AND(Sheet1!#REF!,"AAAAAG/t3+o=")</f>
        <v>#REF!</v>
      </c>
      <c r="IB173" t="e">
        <f>AND(Sheet1!#REF!,"AAAAAG/t3+s=")</f>
        <v>#REF!</v>
      </c>
      <c r="IC173" t="e">
        <f>AND(Sheet1!#REF!,"AAAAAG/t3+w=")</f>
        <v>#REF!</v>
      </c>
      <c r="ID173" t="e">
        <f>AND(Sheet1!#REF!,"AAAAAG/t3+0=")</f>
        <v>#REF!</v>
      </c>
      <c r="IE173">
        <f>IF(Sheet1!2331:2331,"AAAAAG/t3+4=",0)</f>
        <v>0</v>
      </c>
      <c r="IF173" t="e">
        <f>AND(Sheet1!A2331,"AAAAAG/t3+8=")</f>
        <v>#VALUE!</v>
      </c>
      <c r="IG173" t="e">
        <f>AND(Sheet1!B2331,"AAAAAG/t3/A=")</f>
        <v>#VALUE!</v>
      </c>
      <c r="IH173" t="e">
        <f>AND(Sheet1!C2331,"AAAAAG/t3/E=")</f>
        <v>#VALUE!</v>
      </c>
      <c r="II173" t="e">
        <f>AND(Sheet1!D2331,"AAAAAG/t3/I=")</f>
        <v>#VALUE!</v>
      </c>
      <c r="IJ173" t="e">
        <f>AND(Sheet1!E2331,"AAAAAG/t3/M=")</f>
        <v>#VALUE!</v>
      </c>
      <c r="IK173" t="e">
        <f>AND(Sheet1!F2331,"AAAAAG/t3/Q=")</f>
        <v>#VALUE!</v>
      </c>
      <c r="IL173" t="e">
        <f>AND(Sheet1!G2331,"AAAAAG/t3/U=")</f>
        <v>#VALUE!</v>
      </c>
      <c r="IM173" t="e">
        <f>AND(Sheet1!H2331,"AAAAAG/t3/Y=")</f>
        <v>#VALUE!</v>
      </c>
      <c r="IN173" t="e">
        <f>AND(Sheet1!I2331,"AAAAAG/t3/c=")</f>
        <v>#VALUE!</v>
      </c>
      <c r="IO173" t="e">
        <f>AND(Sheet1!J2331,"AAAAAG/t3/g=")</f>
        <v>#VALUE!</v>
      </c>
      <c r="IP173" t="e">
        <f>AND(Sheet1!K2331,"AAAAAG/t3/k=")</f>
        <v>#VALUE!</v>
      </c>
      <c r="IQ173" t="e">
        <f>AND(Sheet1!L2331,"AAAAAG/t3/o=")</f>
        <v>#VALUE!</v>
      </c>
      <c r="IR173" t="e">
        <f>AND(Sheet1!M2331,"AAAAAG/t3/s=")</f>
        <v>#VALUE!</v>
      </c>
      <c r="IS173" t="e">
        <f>AND(Sheet1!N2331,"AAAAAG/t3/w=")</f>
        <v>#VALUE!</v>
      </c>
      <c r="IT173" t="e">
        <f>AND(Sheet1!#REF!,"AAAAAG/t3/0=")</f>
        <v>#REF!</v>
      </c>
      <c r="IU173" t="e">
        <f>AND(Sheet1!#REF!,"AAAAAG/t3/4=")</f>
        <v>#REF!</v>
      </c>
      <c r="IV173" t="e">
        <f>AND(Sheet1!#REF!,"AAAAAG/t3/8=")</f>
        <v>#REF!</v>
      </c>
    </row>
    <row r="174" spans="1:256" x14ac:dyDescent="0.2">
      <c r="A174" t="e">
        <f>AND(Sheet1!#REF!,"AAAAAG4/qQA=")</f>
        <v>#REF!</v>
      </c>
      <c r="B174" t="e">
        <f>IF(Sheet1!2332:2332,"AAAAAG4/qQE=",0)</f>
        <v>#VALUE!</v>
      </c>
      <c r="C174" t="e">
        <f>AND(Sheet1!A2332,"AAAAAG4/qQI=")</f>
        <v>#VALUE!</v>
      </c>
      <c r="D174" t="e">
        <f>AND(Sheet1!B2332,"AAAAAG4/qQM=")</f>
        <v>#VALUE!</v>
      </c>
      <c r="E174" t="e">
        <f>AND(Sheet1!C2332,"AAAAAG4/qQQ=")</f>
        <v>#VALUE!</v>
      </c>
      <c r="F174" t="e">
        <f>AND(Sheet1!D2332,"AAAAAG4/qQU=")</f>
        <v>#VALUE!</v>
      </c>
      <c r="G174" t="e">
        <f>AND(Sheet1!E2332,"AAAAAG4/qQY=")</f>
        <v>#VALUE!</v>
      </c>
      <c r="H174" t="e">
        <f>AND(Sheet1!F2332,"AAAAAG4/qQc=")</f>
        <v>#VALUE!</v>
      </c>
      <c r="I174" t="e">
        <f>AND(Sheet1!G2332,"AAAAAG4/qQg=")</f>
        <v>#VALUE!</v>
      </c>
      <c r="J174" t="e">
        <f>AND(Sheet1!H2332,"AAAAAG4/qQk=")</f>
        <v>#VALUE!</v>
      </c>
      <c r="K174" t="e">
        <f>AND(Sheet1!I2332,"AAAAAG4/qQo=")</f>
        <v>#VALUE!</v>
      </c>
      <c r="L174" t="e">
        <f>AND(Sheet1!J2332,"AAAAAG4/qQs=")</f>
        <v>#VALUE!</v>
      </c>
      <c r="M174" t="e">
        <f>AND(Sheet1!K2332,"AAAAAG4/qQw=")</f>
        <v>#VALUE!</v>
      </c>
      <c r="N174" t="e">
        <f>AND(Sheet1!L2332,"AAAAAG4/qQ0=")</f>
        <v>#VALUE!</v>
      </c>
      <c r="O174" t="e">
        <f>AND(Sheet1!M2332,"AAAAAG4/qQ4=")</f>
        <v>#VALUE!</v>
      </c>
      <c r="P174" t="e">
        <f>AND(Sheet1!N2332,"AAAAAG4/qQ8=")</f>
        <v>#VALUE!</v>
      </c>
      <c r="Q174" t="e">
        <f>AND(Sheet1!#REF!,"AAAAAG4/qRA=")</f>
        <v>#REF!</v>
      </c>
      <c r="R174" t="e">
        <f>AND(Sheet1!#REF!,"AAAAAG4/qRE=")</f>
        <v>#REF!</v>
      </c>
      <c r="S174" t="e">
        <f>AND(Sheet1!#REF!,"AAAAAG4/qRI=")</f>
        <v>#REF!</v>
      </c>
      <c r="T174" t="e">
        <f>AND(Sheet1!#REF!,"AAAAAG4/qRM=")</f>
        <v>#REF!</v>
      </c>
      <c r="U174">
        <f>IF(Sheet1!2333:2333,"AAAAAG4/qRQ=",0)</f>
        <v>0</v>
      </c>
      <c r="V174" t="e">
        <f>AND(Sheet1!A2333,"AAAAAG4/qRU=")</f>
        <v>#VALUE!</v>
      </c>
      <c r="W174" t="e">
        <f>AND(Sheet1!B2333,"AAAAAG4/qRY=")</f>
        <v>#VALUE!</v>
      </c>
      <c r="X174" t="e">
        <f>AND(Sheet1!C2333,"AAAAAG4/qRc=")</f>
        <v>#VALUE!</v>
      </c>
      <c r="Y174" t="e">
        <f>AND(Sheet1!D2333,"AAAAAG4/qRg=")</f>
        <v>#VALUE!</v>
      </c>
      <c r="Z174" t="e">
        <f>AND(Sheet1!E2333,"AAAAAG4/qRk=")</f>
        <v>#VALUE!</v>
      </c>
      <c r="AA174" t="e">
        <f>AND(Sheet1!F2333,"AAAAAG4/qRo=")</f>
        <v>#VALUE!</v>
      </c>
      <c r="AB174" t="e">
        <f>AND(Sheet1!G2333,"AAAAAG4/qRs=")</f>
        <v>#VALUE!</v>
      </c>
      <c r="AC174" t="e">
        <f>AND(Sheet1!H2333,"AAAAAG4/qRw=")</f>
        <v>#VALUE!</v>
      </c>
      <c r="AD174" t="e">
        <f>AND(Sheet1!I2333,"AAAAAG4/qR0=")</f>
        <v>#VALUE!</v>
      </c>
      <c r="AE174" t="e">
        <f>AND(Sheet1!J2333,"AAAAAG4/qR4=")</f>
        <v>#VALUE!</v>
      </c>
      <c r="AF174" t="e">
        <f>AND(Sheet1!K2333,"AAAAAG4/qR8=")</f>
        <v>#VALUE!</v>
      </c>
      <c r="AG174" t="e">
        <f>AND(Sheet1!L2333,"AAAAAG4/qSA=")</f>
        <v>#VALUE!</v>
      </c>
      <c r="AH174" t="e">
        <f>AND(Sheet1!M2333,"AAAAAG4/qSE=")</f>
        <v>#VALUE!</v>
      </c>
      <c r="AI174" t="e">
        <f>AND(Sheet1!N2333,"AAAAAG4/qSI=")</f>
        <v>#VALUE!</v>
      </c>
      <c r="AJ174" t="e">
        <f>AND(Sheet1!#REF!,"AAAAAG4/qSM=")</f>
        <v>#REF!</v>
      </c>
      <c r="AK174" t="e">
        <f>AND(Sheet1!#REF!,"AAAAAG4/qSQ=")</f>
        <v>#REF!</v>
      </c>
      <c r="AL174" t="e">
        <f>AND(Sheet1!#REF!,"AAAAAG4/qSU=")</f>
        <v>#REF!</v>
      </c>
      <c r="AM174" t="e">
        <f>AND(Sheet1!#REF!,"AAAAAG4/qSY=")</f>
        <v>#REF!</v>
      </c>
      <c r="AN174">
        <f>IF(Sheet1!2334:2334,"AAAAAG4/qSc=",0)</f>
        <v>0</v>
      </c>
      <c r="AO174" t="e">
        <f>AND(Sheet1!A2334,"AAAAAG4/qSg=")</f>
        <v>#VALUE!</v>
      </c>
      <c r="AP174" t="e">
        <f>AND(Sheet1!B2334,"AAAAAG4/qSk=")</f>
        <v>#VALUE!</v>
      </c>
      <c r="AQ174" t="e">
        <f>AND(Sheet1!C2334,"AAAAAG4/qSo=")</f>
        <v>#VALUE!</v>
      </c>
      <c r="AR174" t="e">
        <f>AND(Sheet1!D2334,"AAAAAG4/qSs=")</f>
        <v>#VALUE!</v>
      </c>
      <c r="AS174" t="e">
        <f>AND(Sheet1!E2334,"AAAAAG4/qSw=")</f>
        <v>#VALUE!</v>
      </c>
      <c r="AT174" t="e">
        <f>AND(Sheet1!F2334,"AAAAAG4/qS0=")</f>
        <v>#VALUE!</v>
      </c>
      <c r="AU174" t="e">
        <f>AND(Sheet1!G2334,"AAAAAG4/qS4=")</f>
        <v>#VALUE!</v>
      </c>
      <c r="AV174" t="e">
        <f>AND(Sheet1!H2334,"AAAAAG4/qS8=")</f>
        <v>#VALUE!</v>
      </c>
      <c r="AW174" t="e">
        <f>AND(Sheet1!I2334,"AAAAAG4/qTA=")</f>
        <v>#VALUE!</v>
      </c>
      <c r="AX174" t="e">
        <f>AND(Sheet1!J2334,"AAAAAG4/qTE=")</f>
        <v>#VALUE!</v>
      </c>
      <c r="AY174" t="e">
        <f>AND(Sheet1!K2334,"AAAAAG4/qTI=")</f>
        <v>#VALUE!</v>
      </c>
      <c r="AZ174" t="e">
        <f>AND(Sheet1!L2334,"AAAAAG4/qTM=")</f>
        <v>#VALUE!</v>
      </c>
      <c r="BA174" t="e">
        <f>AND(Sheet1!M2334,"AAAAAG4/qTQ=")</f>
        <v>#VALUE!</v>
      </c>
      <c r="BB174" t="e">
        <f>AND(Sheet1!N2334,"AAAAAG4/qTU=")</f>
        <v>#VALUE!</v>
      </c>
      <c r="BC174" t="e">
        <f>AND(Sheet1!#REF!,"AAAAAG4/qTY=")</f>
        <v>#REF!</v>
      </c>
      <c r="BD174" t="e">
        <f>AND(Sheet1!#REF!,"AAAAAG4/qTc=")</f>
        <v>#REF!</v>
      </c>
      <c r="BE174" t="e">
        <f>AND(Sheet1!#REF!,"AAAAAG4/qTg=")</f>
        <v>#REF!</v>
      </c>
      <c r="BF174" t="e">
        <f>AND(Sheet1!#REF!,"AAAAAG4/qTk=")</f>
        <v>#REF!</v>
      </c>
      <c r="BG174">
        <f>IF(Sheet1!2335:2335,"AAAAAG4/qTo=",0)</f>
        <v>0</v>
      </c>
      <c r="BH174" t="e">
        <f>AND(Sheet1!A2335,"AAAAAG4/qTs=")</f>
        <v>#VALUE!</v>
      </c>
      <c r="BI174" t="e">
        <f>AND(Sheet1!B2335,"AAAAAG4/qTw=")</f>
        <v>#VALUE!</v>
      </c>
      <c r="BJ174" t="e">
        <f>AND(Sheet1!C2335,"AAAAAG4/qT0=")</f>
        <v>#VALUE!</v>
      </c>
      <c r="BK174" t="e">
        <f>AND(Sheet1!D2335,"AAAAAG4/qT4=")</f>
        <v>#VALUE!</v>
      </c>
      <c r="BL174" t="e">
        <f>AND(Sheet1!E2335,"AAAAAG4/qT8=")</f>
        <v>#VALUE!</v>
      </c>
      <c r="BM174" t="e">
        <f>AND(Sheet1!F2335,"AAAAAG4/qUA=")</f>
        <v>#VALUE!</v>
      </c>
      <c r="BN174" t="e">
        <f>AND(Sheet1!G2335,"AAAAAG4/qUE=")</f>
        <v>#VALUE!</v>
      </c>
      <c r="BO174" t="e">
        <f>AND(Sheet1!H2335,"AAAAAG4/qUI=")</f>
        <v>#VALUE!</v>
      </c>
      <c r="BP174" t="e">
        <f>AND(Sheet1!I2335,"AAAAAG4/qUM=")</f>
        <v>#VALUE!</v>
      </c>
      <c r="BQ174" t="e">
        <f>AND(Sheet1!J2335,"AAAAAG4/qUQ=")</f>
        <v>#VALUE!</v>
      </c>
      <c r="BR174" t="e">
        <f>AND(Sheet1!K2335,"AAAAAG4/qUU=")</f>
        <v>#VALUE!</v>
      </c>
      <c r="BS174" t="e">
        <f>AND(Sheet1!L2335,"AAAAAG4/qUY=")</f>
        <v>#VALUE!</v>
      </c>
      <c r="BT174" t="e">
        <f>AND(Sheet1!M2335,"AAAAAG4/qUc=")</f>
        <v>#VALUE!</v>
      </c>
      <c r="BU174" t="e">
        <f>AND(Sheet1!N2335,"AAAAAG4/qUg=")</f>
        <v>#VALUE!</v>
      </c>
      <c r="BV174" t="e">
        <f>AND(Sheet1!#REF!,"AAAAAG4/qUk=")</f>
        <v>#REF!</v>
      </c>
      <c r="BW174" t="e">
        <f>AND(Sheet1!#REF!,"AAAAAG4/qUo=")</f>
        <v>#REF!</v>
      </c>
      <c r="BX174" t="e">
        <f>AND(Sheet1!#REF!,"AAAAAG4/qUs=")</f>
        <v>#REF!</v>
      </c>
      <c r="BY174" t="e">
        <f>AND(Sheet1!#REF!,"AAAAAG4/qUw=")</f>
        <v>#REF!</v>
      </c>
      <c r="BZ174">
        <f>IF(Sheet1!2336:2336,"AAAAAG4/qU0=",0)</f>
        <v>0</v>
      </c>
      <c r="CA174" t="e">
        <f>AND(Sheet1!A2336,"AAAAAG4/qU4=")</f>
        <v>#VALUE!</v>
      </c>
      <c r="CB174" t="e">
        <f>AND(Sheet1!B2336,"AAAAAG4/qU8=")</f>
        <v>#VALUE!</v>
      </c>
      <c r="CC174" t="e">
        <f>AND(Sheet1!C2336,"AAAAAG4/qVA=")</f>
        <v>#VALUE!</v>
      </c>
      <c r="CD174" t="e">
        <f>AND(Sheet1!D2336,"AAAAAG4/qVE=")</f>
        <v>#VALUE!</v>
      </c>
      <c r="CE174" t="e">
        <f>AND(Sheet1!E2336,"AAAAAG4/qVI=")</f>
        <v>#VALUE!</v>
      </c>
      <c r="CF174" t="e">
        <f>AND(Sheet1!F2336,"AAAAAG4/qVM=")</f>
        <v>#VALUE!</v>
      </c>
      <c r="CG174" t="e">
        <f>AND(Sheet1!G2336,"AAAAAG4/qVQ=")</f>
        <v>#VALUE!</v>
      </c>
      <c r="CH174" t="e">
        <f>AND(Sheet1!H2336,"AAAAAG4/qVU=")</f>
        <v>#VALUE!</v>
      </c>
      <c r="CI174" t="e">
        <f>AND(Sheet1!I2336,"AAAAAG4/qVY=")</f>
        <v>#VALUE!</v>
      </c>
      <c r="CJ174" t="e">
        <f>AND(Sheet1!J2336,"AAAAAG4/qVc=")</f>
        <v>#VALUE!</v>
      </c>
      <c r="CK174" t="e">
        <f>AND(Sheet1!K2336,"AAAAAG4/qVg=")</f>
        <v>#VALUE!</v>
      </c>
      <c r="CL174" t="e">
        <f>AND(Sheet1!L2336,"AAAAAG4/qVk=")</f>
        <v>#VALUE!</v>
      </c>
      <c r="CM174" t="e">
        <f>AND(Sheet1!M2336,"AAAAAG4/qVo=")</f>
        <v>#VALUE!</v>
      </c>
      <c r="CN174" t="e">
        <f>AND(Sheet1!N2336,"AAAAAG4/qVs=")</f>
        <v>#VALUE!</v>
      </c>
      <c r="CO174" t="e">
        <f>AND(Sheet1!#REF!,"AAAAAG4/qVw=")</f>
        <v>#REF!</v>
      </c>
      <c r="CP174" t="e">
        <f>AND(Sheet1!#REF!,"AAAAAG4/qV0=")</f>
        <v>#REF!</v>
      </c>
      <c r="CQ174" t="e">
        <f>AND(Sheet1!#REF!,"AAAAAG4/qV4=")</f>
        <v>#REF!</v>
      </c>
      <c r="CR174" t="e">
        <f>AND(Sheet1!#REF!,"AAAAAG4/qV8=")</f>
        <v>#REF!</v>
      </c>
      <c r="CS174">
        <f>IF(Sheet1!2337:2337,"AAAAAG4/qWA=",0)</f>
        <v>0</v>
      </c>
      <c r="CT174" t="e">
        <f>AND(Sheet1!A2337,"AAAAAG4/qWE=")</f>
        <v>#VALUE!</v>
      </c>
      <c r="CU174" t="e">
        <f>AND(Sheet1!B2337,"AAAAAG4/qWI=")</f>
        <v>#VALUE!</v>
      </c>
      <c r="CV174" t="e">
        <f>AND(Sheet1!C2337,"AAAAAG4/qWM=")</f>
        <v>#VALUE!</v>
      </c>
      <c r="CW174" t="e">
        <f>AND(Sheet1!D2337,"AAAAAG4/qWQ=")</f>
        <v>#VALUE!</v>
      </c>
      <c r="CX174" t="e">
        <f>AND(Sheet1!E2337,"AAAAAG4/qWU=")</f>
        <v>#VALUE!</v>
      </c>
      <c r="CY174" t="e">
        <f>AND(Sheet1!F2337,"AAAAAG4/qWY=")</f>
        <v>#VALUE!</v>
      </c>
      <c r="CZ174" t="e">
        <f>AND(Sheet1!G2337,"AAAAAG4/qWc=")</f>
        <v>#VALUE!</v>
      </c>
      <c r="DA174" t="e">
        <f>AND(Sheet1!H2337,"AAAAAG4/qWg=")</f>
        <v>#VALUE!</v>
      </c>
      <c r="DB174" t="e">
        <f>AND(Sheet1!I2337,"AAAAAG4/qWk=")</f>
        <v>#VALUE!</v>
      </c>
      <c r="DC174" t="e">
        <f>AND(Sheet1!J2337,"AAAAAG4/qWo=")</f>
        <v>#VALUE!</v>
      </c>
      <c r="DD174" t="e">
        <f>AND(Sheet1!K2337,"AAAAAG4/qWs=")</f>
        <v>#VALUE!</v>
      </c>
      <c r="DE174" t="e">
        <f>AND(Sheet1!L2337,"AAAAAG4/qWw=")</f>
        <v>#VALUE!</v>
      </c>
      <c r="DF174" t="e">
        <f>AND(Sheet1!M2337,"AAAAAG4/qW0=")</f>
        <v>#VALUE!</v>
      </c>
      <c r="DG174" t="e">
        <f>AND(Sheet1!N2337,"AAAAAG4/qW4=")</f>
        <v>#VALUE!</v>
      </c>
      <c r="DH174" t="e">
        <f>AND(Sheet1!#REF!,"AAAAAG4/qW8=")</f>
        <v>#REF!</v>
      </c>
      <c r="DI174" t="e">
        <f>AND(Sheet1!#REF!,"AAAAAG4/qXA=")</f>
        <v>#REF!</v>
      </c>
      <c r="DJ174" t="e">
        <f>AND(Sheet1!#REF!,"AAAAAG4/qXE=")</f>
        <v>#REF!</v>
      </c>
      <c r="DK174" t="e">
        <f>AND(Sheet1!#REF!,"AAAAAG4/qXI=")</f>
        <v>#REF!</v>
      </c>
      <c r="DL174">
        <f>IF(Sheet1!2338:2338,"AAAAAG4/qXM=",0)</f>
        <v>0</v>
      </c>
      <c r="DM174" t="e">
        <f>AND(Sheet1!A2338,"AAAAAG4/qXQ=")</f>
        <v>#VALUE!</v>
      </c>
      <c r="DN174" t="e">
        <f>AND(Sheet1!B2338,"AAAAAG4/qXU=")</f>
        <v>#VALUE!</v>
      </c>
      <c r="DO174" t="e">
        <f>AND(Sheet1!C2338,"AAAAAG4/qXY=")</f>
        <v>#VALUE!</v>
      </c>
      <c r="DP174" t="e">
        <f>AND(Sheet1!D2338,"AAAAAG4/qXc=")</f>
        <v>#VALUE!</v>
      </c>
      <c r="DQ174" t="e">
        <f>AND(Sheet1!E2338,"AAAAAG4/qXg=")</f>
        <v>#VALUE!</v>
      </c>
      <c r="DR174" t="e">
        <f>AND(Sheet1!F2338,"AAAAAG4/qXk=")</f>
        <v>#VALUE!</v>
      </c>
      <c r="DS174" t="e">
        <f>AND(Sheet1!G2338,"AAAAAG4/qXo=")</f>
        <v>#VALUE!</v>
      </c>
      <c r="DT174" t="e">
        <f>AND(Sheet1!H2338,"AAAAAG4/qXs=")</f>
        <v>#VALUE!</v>
      </c>
      <c r="DU174" t="e">
        <f>AND(Sheet1!I2338,"AAAAAG4/qXw=")</f>
        <v>#VALUE!</v>
      </c>
      <c r="DV174" t="e">
        <f>AND(Sheet1!J2338,"AAAAAG4/qX0=")</f>
        <v>#VALUE!</v>
      </c>
      <c r="DW174" t="e">
        <f>AND(Sheet1!K2338,"AAAAAG4/qX4=")</f>
        <v>#VALUE!</v>
      </c>
      <c r="DX174" t="e">
        <f>AND(Sheet1!L2338,"AAAAAG4/qX8=")</f>
        <v>#VALUE!</v>
      </c>
      <c r="DY174" t="e">
        <f>AND(Sheet1!M2338,"AAAAAG4/qYA=")</f>
        <v>#VALUE!</v>
      </c>
      <c r="DZ174" t="e">
        <f>AND(Sheet1!N2338,"AAAAAG4/qYE=")</f>
        <v>#VALUE!</v>
      </c>
      <c r="EA174" t="e">
        <f>AND(Sheet1!#REF!,"AAAAAG4/qYI=")</f>
        <v>#REF!</v>
      </c>
      <c r="EB174" t="e">
        <f>AND(Sheet1!#REF!,"AAAAAG4/qYM=")</f>
        <v>#REF!</v>
      </c>
      <c r="EC174" t="e">
        <f>AND(Sheet1!#REF!,"AAAAAG4/qYQ=")</f>
        <v>#REF!</v>
      </c>
      <c r="ED174" t="e">
        <f>AND(Sheet1!#REF!,"AAAAAG4/qYU=")</f>
        <v>#REF!</v>
      </c>
      <c r="EE174">
        <f>IF(Sheet1!2339:2339,"AAAAAG4/qYY=",0)</f>
        <v>0</v>
      </c>
      <c r="EF174" t="e">
        <f>AND(Sheet1!A2339,"AAAAAG4/qYc=")</f>
        <v>#VALUE!</v>
      </c>
      <c r="EG174" t="e">
        <f>AND(Sheet1!B2339,"AAAAAG4/qYg=")</f>
        <v>#VALUE!</v>
      </c>
      <c r="EH174" t="e">
        <f>AND(Sheet1!C2339,"AAAAAG4/qYk=")</f>
        <v>#VALUE!</v>
      </c>
      <c r="EI174" t="e">
        <f>AND(Sheet1!D2339,"AAAAAG4/qYo=")</f>
        <v>#VALUE!</v>
      </c>
      <c r="EJ174" t="e">
        <f>AND(Sheet1!E2339,"AAAAAG4/qYs=")</f>
        <v>#VALUE!</v>
      </c>
      <c r="EK174" t="e">
        <f>AND(Sheet1!F2339,"AAAAAG4/qYw=")</f>
        <v>#VALUE!</v>
      </c>
      <c r="EL174" t="e">
        <f>AND(Sheet1!G2339,"AAAAAG4/qY0=")</f>
        <v>#VALUE!</v>
      </c>
      <c r="EM174" t="e">
        <f>AND(Sheet1!H2339,"AAAAAG4/qY4=")</f>
        <v>#VALUE!</v>
      </c>
      <c r="EN174" t="e">
        <f>AND(Sheet1!I2339,"AAAAAG4/qY8=")</f>
        <v>#VALUE!</v>
      </c>
      <c r="EO174" t="e">
        <f>AND(Sheet1!J2339,"AAAAAG4/qZA=")</f>
        <v>#VALUE!</v>
      </c>
      <c r="EP174" t="e">
        <f>AND(Sheet1!K2339,"AAAAAG4/qZE=")</f>
        <v>#VALUE!</v>
      </c>
      <c r="EQ174" t="e">
        <f>AND(Sheet1!L2339,"AAAAAG4/qZI=")</f>
        <v>#VALUE!</v>
      </c>
      <c r="ER174" t="e">
        <f>AND(Sheet1!M2339,"AAAAAG4/qZM=")</f>
        <v>#VALUE!</v>
      </c>
      <c r="ES174" t="e">
        <f>AND(Sheet1!N2339,"AAAAAG4/qZQ=")</f>
        <v>#VALUE!</v>
      </c>
      <c r="ET174" t="e">
        <f>AND(Sheet1!#REF!,"AAAAAG4/qZU=")</f>
        <v>#REF!</v>
      </c>
      <c r="EU174" t="e">
        <f>AND(Sheet1!#REF!,"AAAAAG4/qZY=")</f>
        <v>#REF!</v>
      </c>
      <c r="EV174" t="e">
        <f>AND(Sheet1!#REF!,"AAAAAG4/qZc=")</f>
        <v>#REF!</v>
      </c>
      <c r="EW174" t="e">
        <f>AND(Sheet1!#REF!,"AAAAAG4/qZg=")</f>
        <v>#REF!</v>
      </c>
      <c r="EX174">
        <f>IF(Sheet1!2340:2340,"AAAAAG4/qZk=",0)</f>
        <v>0</v>
      </c>
      <c r="EY174" t="e">
        <f>AND(Sheet1!A2340,"AAAAAG4/qZo=")</f>
        <v>#VALUE!</v>
      </c>
      <c r="EZ174" t="e">
        <f>AND(Sheet1!B2340,"AAAAAG4/qZs=")</f>
        <v>#VALUE!</v>
      </c>
      <c r="FA174" t="e">
        <f>AND(Sheet1!C2340,"AAAAAG4/qZw=")</f>
        <v>#VALUE!</v>
      </c>
      <c r="FB174" t="e">
        <f>AND(Sheet1!D2340,"AAAAAG4/qZ0=")</f>
        <v>#VALUE!</v>
      </c>
      <c r="FC174" t="e">
        <f>AND(Sheet1!E2340,"AAAAAG4/qZ4=")</f>
        <v>#VALUE!</v>
      </c>
      <c r="FD174" t="e">
        <f>AND(Sheet1!F2340,"AAAAAG4/qZ8=")</f>
        <v>#VALUE!</v>
      </c>
      <c r="FE174" t="e">
        <f>AND(Sheet1!G2340,"AAAAAG4/qaA=")</f>
        <v>#VALUE!</v>
      </c>
      <c r="FF174" t="e">
        <f>AND(Sheet1!H2340,"AAAAAG4/qaE=")</f>
        <v>#VALUE!</v>
      </c>
      <c r="FG174" t="e">
        <f>AND(Sheet1!I2340,"AAAAAG4/qaI=")</f>
        <v>#VALUE!</v>
      </c>
      <c r="FH174" t="e">
        <f>AND(Sheet1!J2340,"AAAAAG4/qaM=")</f>
        <v>#VALUE!</v>
      </c>
      <c r="FI174" t="e">
        <f>AND(Sheet1!K2340,"AAAAAG4/qaQ=")</f>
        <v>#VALUE!</v>
      </c>
      <c r="FJ174" t="e">
        <f>AND(Sheet1!L2340,"AAAAAG4/qaU=")</f>
        <v>#VALUE!</v>
      </c>
      <c r="FK174" t="e">
        <f>AND(Sheet1!M2340,"AAAAAG4/qaY=")</f>
        <v>#VALUE!</v>
      </c>
      <c r="FL174" t="e">
        <f>AND(Sheet1!N2340,"AAAAAG4/qac=")</f>
        <v>#VALUE!</v>
      </c>
      <c r="FM174" t="e">
        <f>AND(Sheet1!#REF!,"AAAAAG4/qag=")</f>
        <v>#REF!</v>
      </c>
      <c r="FN174" t="e">
        <f>AND(Sheet1!#REF!,"AAAAAG4/qak=")</f>
        <v>#REF!</v>
      </c>
      <c r="FO174" t="e">
        <f>AND(Sheet1!#REF!,"AAAAAG4/qao=")</f>
        <v>#REF!</v>
      </c>
      <c r="FP174" t="e">
        <f>AND(Sheet1!#REF!,"AAAAAG4/qas=")</f>
        <v>#REF!</v>
      </c>
      <c r="FQ174">
        <f>IF(Sheet1!2341:2341,"AAAAAG4/qaw=",0)</f>
        <v>0</v>
      </c>
      <c r="FR174" t="e">
        <f>AND(Sheet1!A2341,"AAAAAG4/qa0=")</f>
        <v>#VALUE!</v>
      </c>
      <c r="FS174" t="e">
        <f>AND(Sheet1!B2341,"AAAAAG4/qa4=")</f>
        <v>#VALUE!</v>
      </c>
      <c r="FT174" t="e">
        <f>AND(Sheet1!C2341,"AAAAAG4/qa8=")</f>
        <v>#VALUE!</v>
      </c>
      <c r="FU174" t="e">
        <f>AND(Sheet1!D2341,"AAAAAG4/qbA=")</f>
        <v>#VALUE!</v>
      </c>
      <c r="FV174" t="e">
        <f>AND(Sheet1!E2341,"AAAAAG4/qbE=")</f>
        <v>#VALUE!</v>
      </c>
      <c r="FW174" t="e">
        <f>AND(Sheet1!F2341,"AAAAAG4/qbI=")</f>
        <v>#VALUE!</v>
      </c>
      <c r="FX174" t="e">
        <f>AND(Sheet1!G2341,"AAAAAG4/qbM=")</f>
        <v>#VALUE!</v>
      </c>
      <c r="FY174" t="e">
        <f>AND(Sheet1!H2341,"AAAAAG4/qbQ=")</f>
        <v>#VALUE!</v>
      </c>
      <c r="FZ174" t="e">
        <f>AND(Sheet1!I2341,"AAAAAG4/qbU=")</f>
        <v>#VALUE!</v>
      </c>
      <c r="GA174" t="e">
        <f>AND(Sheet1!J2341,"AAAAAG4/qbY=")</f>
        <v>#VALUE!</v>
      </c>
      <c r="GB174" t="e">
        <f>AND(Sheet1!K2341,"AAAAAG4/qbc=")</f>
        <v>#VALUE!</v>
      </c>
      <c r="GC174" t="e">
        <f>AND(Sheet1!L2341,"AAAAAG4/qbg=")</f>
        <v>#VALUE!</v>
      </c>
      <c r="GD174" t="e">
        <f>AND(Sheet1!M2341,"AAAAAG4/qbk=")</f>
        <v>#VALUE!</v>
      </c>
      <c r="GE174" t="e">
        <f>AND(Sheet1!N2341,"AAAAAG4/qbo=")</f>
        <v>#VALUE!</v>
      </c>
      <c r="GF174" t="e">
        <f>AND(Sheet1!#REF!,"AAAAAG4/qbs=")</f>
        <v>#REF!</v>
      </c>
      <c r="GG174" t="e">
        <f>AND(Sheet1!#REF!,"AAAAAG4/qbw=")</f>
        <v>#REF!</v>
      </c>
      <c r="GH174" t="e">
        <f>AND(Sheet1!#REF!,"AAAAAG4/qb0=")</f>
        <v>#REF!</v>
      </c>
      <c r="GI174" t="e">
        <f>AND(Sheet1!#REF!,"AAAAAG4/qb4=")</f>
        <v>#REF!</v>
      </c>
      <c r="GJ174">
        <f>IF(Sheet1!2342:2342,"AAAAAG4/qb8=",0)</f>
        <v>0</v>
      </c>
      <c r="GK174" t="e">
        <f>AND(Sheet1!A2342,"AAAAAG4/qcA=")</f>
        <v>#VALUE!</v>
      </c>
      <c r="GL174" t="e">
        <f>AND(Sheet1!B2342,"AAAAAG4/qcE=")</f>
        <v>#VALUE!</v>
      </c>
      <c r="GM174" t="e">
        <f>AND(Sheet1!C2342,"AAAAAG4/qcI=")</f>
        <v>#VALUE!</v>
      </c>
      <c r="GN174" t="e">
        <f>AND(Sheet1!D2342,"AAAAAG4/qcM=")</f>
        <v>#VALUE!</v>
      </c>
      <c r="GO174" t="e">
        <f>AND(Sheet1!E2342,"AAAAAG4/qcQ=")</f>
        <v>#VALUE!</v>
      </c>
      <c r="GP174" t="e">
        <f>AND(Sheet1!F2342,"AAAAAG4/qcU=")</f>
        <v>#VALUE!</v>
      </c>
      <c r="GQ174" t="e">
        <f>AND(Sheet1!G2342,"AAAAAG4/qcY=")</f>
        <v>#VALUE!</v>
      </c>
      <c r="GR174" t="e">
        <f>AND(Sheet1!H2342,"AAAAAG4/qcc=")</f>
        <v>#VALUE!</v>
      </c>
      <c r="GS174" t="e">
        <f>AND(Sheet1!I2342,"AAAAAG4/qcg=")</f>
        <v>#VALUE!</v>
      </c>
      <c r="GT174" t="e">
        <f>AND(Sheet1!J2342,"AAAAAG4/qck=")</f>
        <v>#VALUE!</v>
      </c>
      <c r="GU174" t="e">
        <f>AND(Sheet1!K2342,"AAAAAG4/qco=")</f>
        <v>#VALUE!</v>
      </c>
      <c r="GV174" t="e">
        <f>AND(Sheet1!L2342,"AAAAAG4/qcs=")</f>
        <v>#VALUE!</v>
      </c>
      <c r="GW174" t="e">
        <f>AND(Sheet1!M2342,"AAAAAG4/qcw=")</f>
        <v>#VALUE!</v>
      </c>
      <c r="GX174" t="e">
        <f>AND(Sheet1!N2342,"AAAAAG4/qc0=")</f>
        <v>#VALUE!</v>
      </c>
      <c r="GY174" t="e">
        <f>AND(Sheet1!#REF!,"AAAAAG4/qc4=")</f>
        <v>#REF!</v>
      </c>
      <c r="GZ174" t="e">
        <f>AND(Sheet1!#REF!,"AAAAAG4/qc8=")</f>
        <v>#REF!</v>
      </c>
      <c r="HA174" t="e">
        <f>AND(Sheet1!#REF!,"AAAAAG4/qdA=")</f>
        <v>#REF!</v>
      </c>
      <c r="HB174" t="e">
        <f>AND(Sheet1!#REF!,"AAAAAG4/qdE=")</f>
        <v>#REF!</v>
      </c>
      <c r="HC174">
        <f>IF(Sheet1!2343:2343,"AAAAAG4/qdI=",0)</f>
        <v>0</v>
      </c>
      <c r="HD174" t="e">
        <f>AND(Sheet1!A2343,"AAAAAG4/qdM=")</f>
        <v>#VALUE!</v>
      </c>
      <c r="HE174" t="e">
        <f>AND(Sheet1!B2343,"AAAAAG4/qdQ=")</f>
        <v>#VALUE!</v>
      </c>
      <c r="HF174" t="e">
        <f>AND(Sheet1!C2343,"AAAAAG4/qdU=")</f>
        <v>#VALUE!</v>
      </c>
      <c r="HG174" t="e">
        <f>AND(Sheet1!D2343,"AAAAAG4/qdY=")</f>
        <v>#VALUE!</v>
      </c>
      <c r="HH174" t="e">
        <f>AND(Sheet1!E2343,"AAAAAG4/qdc=")</f>
        <v>#VALUE!</v>
      </c>
      <c r="HI174" t="e">
        <f>AND(Sheet1!F2343,"AAAAAG4/qdg=")</f>
        <v>#VALUE!</v>
      </c>
      <c r="HJ174" t="e">
        <f>AND(Sheet1!G2343,"AAAAAG4/qdk=")</f>
        <v>#VALUE!</v>
      </c>
      <c r="HK174" t="e">
        <f>AND(Sheet1!H2343,"AAAAAG4/qdo=")</f>
        <v>#VALUE!</v>
      </c>
      <c r="HL174" t="e">
        <f>AND(Sheet1!I2343,"AAAAAG4/qds=")</f>
        <v>#VALUE!</v>
      </c>
      <c r="HM174" t="e">
        <f>AND(Sheet1!J2343,"AAAAAG4/qdw=")</f>
        <v>#VALUE!</v>
      </c>
      <c r="HN174" t="e">
        <f>AND(Sheet1!K2343,"AAAAAG4/qd0=")</f>
        <v>#VALUE!</v>
      </c>
      <c r="HO174" t="e">
        <f>AND(Sheet1!L2343,"AAAAAG4/qd4=")</f>
        <v>#VALUE!</v>
      </c>
      <c r="HP174" t="e">
        <f>AND(Sheet1!M2343,"AAAAAG4/qd8=")</f>
        <v>#VALUE!</v>
      </c>
      <c r="HQ174" t="e">
        <f>AND(Sheet1!N2343,"AAAAAG4/qeA=")</f>
        <v>#VALUE!</v>
      </c>
      <c r="HR174" t="e">
        <f>AND(Sheet1!#REF!,"AAAAAG4/qeE=")</f>
        <v>#REF!</v>
      </c>
      <c r="HS174" t="e">
        <f>AND(Sheet1!#REF!,"AAAAAG4/qeI=")</f>
        <v>#REF!</v>
      </c>
      <c r="HT174" t="e">
        <f>AND(Sheet1!#REF!,"AAAAAG4/qeM=")</f>
        <v>#REF!</v>
      </c>
      <c r="HU174" t="e">
        <f>AND(Sheet1!#REF!,"AAAAAG4/qeQ=")</f>
        <v>#REF!</v>
      </c>
      <c r="HV174">
        <f>IF(Sheet1!2344:2344,"AAAAAG4/qeU=",0)</f>
        <v>0</v>
      </c>
      <c r="HW174" t="e">
        <f>AND(Sheet1!A2344,"AAAAAG4/qeY=")</f>
        <v>#VALUE!</v>
      </c>
      <c r="HX174" t="e">
        <f>AND(Sheet1!B2344,"AAAAAG4/qec=")</f>
        <v>#VALUE!</v>
      </c>
      <c r="HY174" t="e">
        <f>AND(Sheet1!C2344,"AAAAAG4/qeg=")</f>
        <v>#VALUE!</v>
      </c>
      <c r="HZ174" t="e">
        <f>AND(Sheet1!D2344,"AAAAAG4/qek=")</f>
        <v>#VALUE!</v>
      </c>
      <c r="IA174" t="e">
        <f>AND(Sheet1!E2344,"AAAAAG4/qeo=")</f>
        <v>#VALUE!</v>
      </c>
      <c r="IB174" t="e">
        <f>AND(Sheet1!F2344,"AAAAAG4/qes=")</f>
        <v>#VALUE!</v>
      </c>
      <c r="IC174" t="e">
        <f>AND(Sheet1!G2344,"AAAAAG4/qew=")</f>
        <v>#VALUE!</v>
      </c>
      <c r="ID174" t="e">
        <f>AND(Sheet1!H2344,"AAAAAG4/qe0=")</f>
        <v>#VALUE!</v>
      </c>
      <c r="IE174" t="e">
        <f>AND(Sheet1!I2344,"AAAAAG4/qe4=")</f>
        <v>#VALUE!</v>
      </c>
      <c r="IF174" t="e">
        <f>AND(Sheet1!J2344,"AAAAAG4/qe8=")</f>
        <v>#VALUE!</v>
      </c>
      <c r="IG174" t="e">
        <f>AND(Sheet1!K2344,"AAAAAG4/qfA=")</f>
        <v>#VALUE!</v>
      </c>
      <c r="IH174" t="e">
        <f>AND(Sheet1!L2344,"AAAAAG4/qfE=")</f>
        <v>#VALUE!</v>
      </c>
      <c r="II174" t="e">
        <f>AND(Sheet1!M2344,"AAAAAG4/qfI=")</f>
        <v>#VALUE!</v>
      </c>
      <c r="IJ174" t="e">
        <f>AND(Sheet1!N2344,"AAAAAG4/qfM=")</f>
        <v>#VALUE!</v>
      </c>
      <c r="IK174" t="e">
        <f>AND(Sheet1!#REF!,"AAAAAG4/qfQ=")</f>
        <v>#REF!</v>
      </c>
      <c r="IL174" t="e">
        <f>AND(Sheet1!#REF!,"AAAAAG4/qfU=")</f>
        <v>#REF!</v>
      </c>
      <c r="IM174" t="e">
        <f>AND(Sheet1!#REF!,"AAAAAG4/qfY=")</f>
        <v>#REF!</v>
      </c>
      <c r="IN174" t="e">
        <f>AND(Sheet1!#REF!,"AAAAAG4/qfc=")</f>
        <v>#REF!</v>
      </c>
      <c r="IO174">
        <f>IF(Sheet1!2345:2345,"AAAAAG4/qfg=",0)</f>
        <v>0</v>
      </c>
      <c r="IP174" t="e">
        <f>AND(Sheet1!A2345,"AAAAAG4/qfk=")</f>
        <v>#VALUE!</v>
      </c>
      <c r="IQ174" t="e">
        <f>AND(Sheet1!B2345,"AAAAAG4/qfo=")</f>
        <v>#VALUE!</v>
      </c>
      <c r="IR174" t="e">
        <f>AND(Sheet1!C2345,"AAAAAG4/qfs=")</f>
        <v>#VALUE!</v>
      </c>
      <c r="IS174" t="e">
        <f>AND(Sheet1!D2345,"AAAAAG4/qfw=")</f>
        <v>#VALUE!</v>
      </c>
      <c r="IT174" t="e">
        <f>AND(Sheet1!E2345,"AAAAAG4/qf0=")</f>
        <v>#VALUE!</v>
      </c>
      <c r="IU174" t="e">
        <f>AND(Sheet1!F2345,"AAAAAG4/qf4=")</f>
        <v>#VALUE!</v>
      </c>
      <c r="IV174" t="e">
        <f>AND(Sheet1!G2345,"AAAAAG4/qf8=")</f>
        <v>#VALUE!</v>
      </c>
    </row>
    <row r="175" spans="1:256" x14ac:dyDescent="0.2">
      <c r="A175" t="e">
        <f>AND(Sheet1!H2345,"AAAAAHNr/QA=")</f>
        <v>#VALUE!</v>
      </c>
      <c r="B175" t="e">
        <f>AND(Sheet1!I2345,"AAAAAHNr/QE=")</f>
        <v>#VALUE!</v>
      </c>
      <c r="C175" t="e">
        <f>AND(Sheet1!J2345,"AAAAAHNr/QI=")</f>
        <v>#VALUE!</v>
      </c>
      <c r="D175" t="e">
        <f>AND(Sheet1!K2345,"AAAAAHNr/QM=")</f>
        <v>#VALUE!</v>
      </c>
      <c r="E175" t="e">
        <f>AND(Sheet1!L2345,"AAAAAHNr/QQ=")</f>
        <v>#VALUE!</v>
      </c>
      <c r="F175" t="e">
        <f>AND(Sheet1!M2345,"AAAAAHNr/QU=")</f>
        <v>#VALUE!</v>
      </c>
      <c r="G175" t="e">
        <f>AND(Sheet1!N2345,"AAAAAHNr/QY=")</f>
        <v>#VALUE!</v>
      </c>
      <c r="H175" t="e">
        <f>AND(Sheet1!#REF!,"AAAAAHNr/Qc=")</f>
        <v>#REF!</v>
      </c>
      <c r="I175" t="e">
        <f>AND(Sheet1!#REF!,"AAAAAHNr/Qg=")</f>
        <v>#REF!</v>
      </c>
      <c r="J175" t="e">
        <f>AND(Sheet1!#REF!,"AAAAAHNr/Qk=")</f>
        <v>#REF!</v>
      </c>
      <c r="K175" t="e">
        <f>AND(Sheet1!#REF!,"AAAAAHNr/Qo=")</f>
        <v>#REF!</v>
      </c>
      <c r="L175">
        <f>IF(Sheet1!2346:2346,"AAAAAHNr/Qs=",0)</f>
        <v>0</v>
      </c>
      <c r="M175" t="e">
        <f>AND(Sheet1!A2346,"AAAAAHNr/Qw=")</f>
        <v>#VALUE!</v>
      </c>
      <c r="N175" t="e">
        <f>AND(Sheet1!B2346,"AAAAAHNr/Q0=")</f>
        <v>#VALUE!</v>
      </c>
      <c r="O175" t="e">
        <f>AND(Sheet1!C2346,"AAAAAHNr/Q4=")</f>
        <v>#VALUE!</v>
      </c>
      <c r="P175" t="e">
        <f>AND(Sheet1!D2346,"AAAAAHNr/Q8=")</f>
        <v>#VALUE!</v>
      </c>
      <c r="Q175" t="e">
        <f>AND(Sheet1!E2346,"AAAAAHNr/RA=")</f>
        <v>#VALUE!</v>
      </c>
      <c r="R175" t="e">
        <f>AND(Sheet1!F2346,"AAAAAHNr/RE=")</f>
        <v>#VALUE!</v>
      </c>
      <c r="S175" t="e">
        <f>AND(Sheet1!G2346,"AAAAAHNr/RI=")</f>
        <v>#VALUE!</v>
      </c>
      <c r="T175" t="e">
        <f>AND(Sheet1!H2346,"AAAAAHNr/RM=")</f>
        <v>#VALUE!</v>
      </c>
      <c r="U175" t="e">
        <f>AND(Sheet1!I2346,"AAAAAHNr/RQ=")</f>
        <v>#VALUE!</v>
      </c>
      <c r="V175" t="e">
        <f>AND(Sheet1!J2346,"AAAAAHNr/RU=")</f>
        <v>#VALUE!</v>
      </c>
      <c r="W175" t="e">
        <f>AND(Sheet1!K2346,"AAAAAHNr/RY=")</f>
        <v>#VALUE!</v>
      </c>
      <c r="X175" t="e">
        <f>AND(Sheet1!L2346,"AAAAAHNr/Rc=")</f>
        <v>#VALUE!</v>
      </c>
      <c r="Y175" t="e">
        <f>AND(Sheet1!M2346,"AAAAAHNr/Rg=")</f>
        <v>#VALUE!</v>
      </c>
      <c r="Z175" t="e">
        <f>AND(Sheet1!N2346,"AAAAAHNr/Rk=")</f>
        <v>#VALUE!</v>
      </c>
      <c r="AA175" t="e">
        <f>AND(Sheet1!#REF!,"AAAAAHNr/Ro=")</f>
        <v>#REF!</v>
      </c>
      <c r="AB175" t="e">
        <f>AND(Sheet1!#REF!,"AAAAAHNr/Rs=")</f>
        <v>#REF!</v>
      </c>
      <c r="AC175" t="e">
        <f>AND(Sheet1!#REF!,"AAAAAHNr/Rw=")</f>
        <v>#REF!</v>
      </c>
      <c r="AD175" t="e">
        <f>AND(Sheet1!#REF!,"AAAAAHNr/R0=")</f>
        <v>#REF!</v>
      </c>
      <c r="AE175">
        <f>IF(Sheet1!2347:2347,"AAAAAHNr/R4=",0)</f>
        <v>0</v>
      </c>
      <c r="AF175" t="e">
        <f>AND(Sheet1!A2347,"AAAAAHNr/R8=")</f>
        <v>#VALUE!</v>
      </c>
      <c r="AG175" t="e">
        <f>AND(Sheet1!B2347,"AAAAAHNr/SA=")</f>
        <v>#VALUE!</v>
      </c>
      <c r="AH175" t="e">
        <f>AND(Sheet1!C2347,"AAAAAHNr/SE=")</f>
        <v>#VALUE!</v>
      </c>
      <c r="AI175" t="e">
        <f>AND(Sheet1!D2347,"AAAAAHNr/SI=")</f>
        <v>#VALUE!</v>
      </c>
      <c r="AJ175" t="e">
        <f>AND(Sheet1!E2347,"AAAAAHNr/SM=")</f>
        <v>#VALUE!</v>
      </c>
      <c r="AK175" t="e">
        <f>AND(Sheet1!F2347,"AAAAAHNr/SQ=")</f>
        <v>#VALUE!</v>
      </c>
      <c r="AL175" t="e">
        <f>AND(Sheet1!G2347,"AAAAAHNr/SU=")</f>
        <v>#VALUE!</v>
      </c>
      <c r="AM175" t="e">
        <f>AND(Sheet1!H2347,"AAAAAHNr/SY=")</f>
        <v>#VALUE!</v>
      </c>
      <c r="AN175" t="e">
        <f>AND(Sheet1!I2347,"AAAAAHNr/Sc=")</f>
        <v>#VALUE!</v>
      </c>
      <c r="AO175" t="e">
        <f>AND(Sheet1!J2347,"AAAAAHNr/Sg=")</f>
        <v>#VALUE!</v>
      </c>
      <c r="AP175" t="e">
        <f>AND(Sheet1!K2347,"AAAAAHNr/Sk=")</f>
        <v>#VALUE!</v>
      </c>
      <c r="AQ175" t="e">
        <f>AND(Sheet1!L2347,"AAAAAHNr/So=")</f>
        <v>#VALUE!</v>
      </c>
      <c r="AR175" t="e">
        <f>AND(Sheet1!M2347,"AAAAAHNr/Ss=")</f>
        <v>#VALUE!</v>
      </c>
      <c r="AS175" t="e">
        <f>AND(Sheet1!N2347,"AAAAAHNr/Sw=")</f>
        <v>#VALUE!</v>
      </c>
      <c r="AT175" t="e">
        <f>AND(Sheet1!#REF!,"AAAAAHNr/S0=")</f>
        <v>#REF!</v>
      </c>
      <c r="AU175" t="e">
        <f>AND(Sheet1!#REF!,"AAAAAHNr/S4=")</f>
        <v>#REF!</v>
      </c>
      <c r="AV175" t="e">
        <f>AND(Sheet1!#REF!,"AAAAAHNr/S8=")</f>
        <v>#REF!</v>
      </c>
      <c r="AW175" t="e">
        <f>AND(Sheet1!#REF!,"AAAAAHNr/TA=")</f>
        <v>#REF!</v>
      </c>
      <c r="AX175">
        <f>IF(Sheet1!2348:2348,"AAAAAHNr/TE=",0)</f>
        <v>0</v>
      </c>
      <c r="AY175" t="e">
        <f>AND(Sheet1!A2348,"AAAAAHNr/TI=")</f>
        <v>#VALUE!</v>
      </c>
      <c r="AZ175" t="e">
        <f>AND(Sheet1!B2348,"AAAAAHNr/TM=")</f>
        <v>#VALUE!</v>
      </c>
      <c r="BA175" t="e">
        <f>AND(Sheet1!C2348,"AAAAAHNr/TQ=")</f>
        <v>#VALUE!</v>
      </c>
      <c r="BB175" t="e">
        <f>AND(Sheet1!D2348,"AAAAAHNr/TU=")</f>
        <v>#VALUE!</v>
      </c>
      <c r="BC175" t="e">
        <f>AND(Sheet1!E2348,"AAAAAHNr/TY=")</f>
        <v>#VALUE!</v>
      </c>
      <c r="BD175" t="e">
        <f>AND(Sheet1!F2348,"AAAAAHNr/Tc=")</f>
        <v>#VALUE!</v>
      </c>
      <c r="BE175" t="e">
        <f>AND(Sheet1!G2348,"AAAAAHNr/Tg=")</f>
        <v>#VALUE!</v>
      </c>
      <c r="BF175" t="e">
        <f>AND(Sheet1!H2348,"AAAAAHNr/Tk=")</f>
        <v>#VALUE!</v>
      </c>
      <c r="BG175" t="e">
        <f>AND(Sheet1!I2348,"AAAAAHNr/To=")</f>
        <v>#VALUE!</v>
      </c>
      <c r="BH175" t="e">
        <f>AND(Sheet1!J2348,"AAAAAHNr/Ts=")</f>
        <v>#VALUE!</v>
      </c>
      <c r="BI175" t="e">
        <f>AND(Sheet1!K2348,"AAAAAHNr/Tw=")</f>
        <v>#VALUE!</v>
      </c>
      <c r="BJ175" t="e">
        <f>AND(Sheet1!L2348,"AAAAAHNr/T0=")</f>
        <v>#VALUE!</v>
      </c>
      <c r="BK175" t="e">
        <f>AND(Sheet1!M2348,"AAAAAHNr/T4=")</f>
        <v>#VALUE!</v>
      </c>
      <c r="BL175" t="e">
        <f>AND(Sheet1!N2348,"AAAAAHNr/T8=")</f>
        <v>#VALUE!</v>
      </c>
      <c r="BM175" t="e">
        <f>AND(Sheet1!#REF!,"AAAAAHNr/UA=")</f>
        <v>#REF!</v>
      </c>
      <c r="BN175" t="e">
        <f>AND(Sheet1!#REF!,"AAAAAHNr/UE=")</f>
        <v>#REF!</v>
      </c>
      <c r="BO175" t="e">
        <f>AND(Sheet1!#REF!,"AAAAAHNr/UI=")</f>
        <v>#REF!</v>
      </c>
      <c r="BP175" t="e">
        <f>AND(Sheet1!#REF!,"AAAAAHNr/UM=")</f>
        <v>#REF!</v>
      </c>
      <c r="BQ175">
        <f>IF(Sheet1!2349:2349,"AAAAAHNr/UQ=",0)</f>
        <v>0</v>
      </c>
      <c r="BR175" t="e">
        <f>AND(Sheet1!A2349,"AAAAAHNr/UU=")</f>
        <v>#VALUE!</v>
      </c>
      <c r="BS175" t="e">
        <f>AND(Sheet1!B2349,"AAAAAHNr/UY=")</f>
        <v>#VALUE!</v>
      </c>
      <c r="BT175" t="e">
        <f>AND(Sheet1!C2349,"AAAAAHNr/Uc=")</f>
        <v>#VALUE!</v>
      </c>
      <c r="BU175" t="e">
        <f>AND(Sheet1!D2349,"AAAAAHNr/Ug=")</f>
        <v>#VALUE!</v>
      </c>
      <c r="BV175" t="e">
        <f>AND(Sheet1!E2349,"AAAAAHNr/Uk=")</f>
        <v>#VALUE!</v>
      </c>
      <c r="BW175" t="e">
        <f>AND(Sheet1!F2349,"AAAAAHNr/Uo=")</f>
        <v>#VALUE!</v>
      </c>
      <c r="BX175" t="e">
        <f>AND(Sheet1!G2349,"AAAAAHNr/Us=")</f>
        <v>#VALUE!</v>
      </c>
      <c r="BY175" t="e">
        <f>AND(Sheet1!H2349,"AAAAAHNr/Uw=")</f>
        <v>#VALUE!</v>
      </c>
      <c r="BZ175" t="e">
        <f>AND(Sheet1!I2349,"AAAAAHNr/U0=")</f>
        <v>#VALUE!</v>
      </c>
      <c r="CA175" t="e">
        <f>AND(Sheet1!J2349,"AAAAAHNr/U4=")</f>
        <v>#VALUE!</v>
      </c>
      <c r="CB175" t="e">
        <f>AND(Sheet1!K2349,"AAAAAHNr/U8=")</f>
        <v>#VALUE!</v>
      </c>
      <c r="CC175" t="e">
        <f>AND(Sheet1!L2349,"AAAAAHNr/VA=")</f>
        <v>#VALUE!</v>
      </c>
      <c r="CD175" t="e">
        <f>AND(Sheet1!M2349,"AAAAAHNr/VE=")</f>
        <v>#VALUE!</v>
      </c>
      <c r="CE175" t="e">
        <f>AND(Sheet1!N2349,"AAAAAHNr/VI=")</f>
        <v>#VALUE!</v>
      </c>
      <c r="CF175" t="e">
        <f>AND(Sheet1!#REF!,"AAAAAHNr/VM=")</f>
        <v>#REF!</v>
      </c>
      <c r="CG175" t="e">
        <f>AND(Sheet1!#REF!,"AAAAAHNr/VQ=")</f>
        <v>#REF!</v>
      </c>
      <c r="CH175" t="e">
        <f>AND(Sheet1!#REF!,"AAAAAHNr/VU=")</f>
        <v>#REF!</v>
      </c>
      <c r="CI175" t="e">
        <f>AND(Sheet1!#REF!,"AAAAAHNr/VY=")</f>
        <v>#REF!</v>
      </c>
      <c r="CJ175">
        <f>IF(Sheet1!2350:2350,"AAAAAHNr/Vc=",0)</f>
        <v>0</v>
      </c>
      <c r="CK175" t="e">
        <f>AND(Sheet1!A2350,"AAAAAHNr/Vg=")</f>
        <v>#VALUE!</v>
      </c>
      <c r="CL175" t="e">
        <f>AND(Sheet1!B2350,"AAAAAHNr/Vk=")</f>
        <v>#VALUE!</v>
      </c>
      <c r="CM175" t="e">
        <f>AND(Sheet1!C2350,"AAAAAHNr/Vo=")</f>
        <v>#VALUE!</v>
      </c>
      <c r="CN175" t="e">
        <f>AND(Sheet1!D2350,"AAAAAHNr/Vs=")</f>
        <v>#VALUE!</v>
      </c>
      <c r="CO175" t="e">
        <f>AND(Sheet1!E2350,"AAAAAHNr/Vw=")</f>
        <v>#VALUE!</v>
      </c>
      <c r="CP175" t="e">
        <f>AND(Sheet1!F2350,"AAAAAHNr/V0=")</f>
        <v>#VALUE!</v>
      </c>
      <c r="CQ175" t="e">
        <f>AND(Sheet1!G2350,"AAAAAHNr/V4=")</f>
        <v>#VALUE!</v>
      </c>
      <c r="CR175" t="e">
        <f>AND(Sheet1!H2350,"AAAAAHNr/V8=")</f>
        <v>#VALUE!</v>
      </c>
      <c r="CS175" t="e">
        <f>AND(Sheet1!I2350,"AAAAAHNr/WA=")</f>
        <v>#VALUE!</v>
      </c>
      <c r="CT175" t="e">
        <f>AND(Sheet1!J2350,"AAAAAHNr/WE=")</f>
        <v>#VALUE!</v>
      </c>
      <c r="CU175" t="e">
        <f>AND(Sheet1!K2350,"AAAAAHNr/WI=")</f>
        <v>#VALUE!</v>
      </c>
      <c r="CV175" t="e">
        <f>AND(Sheet1!L2350,"AAAAAHNr/WM=")</f>
        <v>#VALUE!</v>
      </c>
      <c r="CW175" t="e">
        <f>AND(Sheet1!M2350,"AAAAAHNr/WQ=")</f>
        <v>#VALUE!</v>
      </c>
      <c r="CX175" t="e">
        <f>AND(Sheet1!N2350,"AAAAAHNr/WU=")</f>
        <v>#VALUE!</v>
      </c>
      <c r="CY175" t="e">
        <f>AND(Sheet1!#REF!,"AAAAAHNr/WY=")</f>
        <v>#REF!</v>
      </c>
      <c r="CZ175" t="e">
        <f>AND(Sheet1!#REF!,"AAAAAHNr/Wc=")</f>
        <v>#REF!</v>
      </c>
      <c r="DA175" t="e">
        <f>AND(Sheet1!#REF!,"AAAAAHNr/Wg=")</f>
        <v>#REF!</v>
      </c>
      <c r="DB175" t="e">
        <f>AND(Sheet1!#REF!,"AAAAAHNr/Wk=")</f>
        <v>#REF!</v>
      </c>
      <c r="DC175">
        <f>IF(Sheet1!2351:2351,"AAAAAHNr/Wo=",0)</f>
        <v>0</v>
      </c>
      <c r="DD175" t="e">
        <f>AND(Sheet1!A2351,"AAAAAHNr/Ws=")</f>
        <v>#VALUE!</v>
      </c>
      <c r="DE175" t="e">
        <f>AND(Sheet1!B2351,"AAAAAHNr/Ww=")</f>
        <v>#VALUE!</v>
      </c>
      <c r="DF175" t="e">
        <f>AND(Sheet1!C2351,"AAAAAHNr/W0=")</f>
        <v>#VALUE!</v>
      </c>
      <c r="DG175" t="e">
        <f>AND(Sheet1!D2351,"AAAAAHNr/W4=")</f>
        <v>#VALUE!</v>
      </c>
      <c r="DH175" t="e">
        <f>AND(Sheet1!E2351,"AAAAAHNr/W8=")</f>
        <v>#VALUE!</v>
      </c>
      <c r="DI175" t="e">
        <f>AND(Sheet1!F2351,"AAAAAHNr/XA=")</f>
        <v>#VALUE!</v>
      </c>
      <c r="DJ175" t="e">
        <f>AND(Sheet1!G2351,"AAAAAHNr/XE=")</f>
        <v>#VALUE!</v>
      </c>
      <c r="DK175" t="e">
        <f>AND(Sheet1!H2351,"AAAAAHNr/XI=")</f>
        <v>#VALUE!</v>
      </c>
      <c r="DL175" t="e">
        <f>AND(Sheet1!I2351,"AAAAAHNr/XM=")</f>
        <v>#VALUE!</v>
      </c>
      <c r="DM175" t="e">
        <f>AND(Sheet1!J2351,"AAAAAHNr/XQ=")</f>
        <v>#VALUE!</v>
      </c>
      <c r="DN175" t="e">
        <f>AND(Sheet1!K2351,"AAAAAHNr/XU=")</f>
        <v>#VALUE!</v>
      </c>
      <c r="DO175" t="e">
        <f>AND(Sheet1!L2351,"AAAAAHNr/XY=")</f>
        <v>#VALUE!</v>
      </c>
      <c r="DP175" t="e">
        <f>AND(Sheet1!M2351,"AAAAAHNr/Xc=")</f>
        <v>#VALUE!</v>
      </c>
      <c r="DQ175" t="e">
        <f>AND(Sheet1!N2351,"AAAAAHNr/Xg=")</f>
        <v>#VALUE!</v>
      </c>
      <c r="DR175" t="e">
        <f>AND(Sheet1!#REF!,"AAAAAHNr/Xk=")</f>
        <v>#REF!</v>
      </c>
      <c r="DS175" t="e">
        <f>AND(Sheet1!#REF!,"AAAAAHNr/Xo=")</f>
        <v>#REF!</v>
      </c>
      <c r="DT175" t="e">
        <f>AND(Sheet1!#REF!,"AAAAAHNr/Xs=")</f>
        <v>#REF!</v>
      </c>
      <c r="DU175" t="e">
        <f>AND(Sheet1!#REF!,"AAAAAHNr/Xw=")</f>
        <v>#REF!</v>
      </c>
      <c r="DV175">
        <f>IF(Sheet1!2352:2352,"AAAAAHNr/X0=",0)</f>
        <v>0</v>
      </c>
      <c r="DW175" t="e">
        <f>AND(Sheet1!A2352,"AAAAAHNr/X4=")</f>
        <v>#VALUE!</v>
      </c>
      <c r="DX175" t="e">
        <f>AND(Sheet1!B2352,"AAAAAHNr/X8=")</f>
        <v>#VALUE!</v>
      </c>
      <c r="DY175" t="e">
        <f>AND(Sheet1!C2352,"AAAAAHNr/YA=")</f>
        <v>#VALUE!</v>
      </c>
      <c r="DZ175" t="e">
        <f>AND(Sheet1!D2352,"AAAAAHNr/YE=")</f>
        <v>#VALUE!</v>
      </c>
      <c r="EA175" t="e">
        <f>AND(Sheet1!E2352,"AAAAAHNr/YI=")</f>
        <v>#VALUE!</v>
      </c>
      <c r="EB175" t="e">
        <f>AND(Sheet1!F2352,"AAAAAHNr/YM=")</f>
        <v>#VALUE!</v>
      </c>
      <c r="EC175" t="e">
        <f>AND(Sheet1!G2352,"AAAAAHNr/YQ=")</f>
        <v>#VALUE!</v>
      </c>
      <c r="ED175" t="e">
        <f>AND(Sheet1!H2352,"AAAAAHNr/YU=")</f>
        <v>#VALUE!</v>
      </c>
      <c r="EE175" t="e">
        <f>AND(Sheet1!I2352,"AAAAAHNr/YY=")</f>
        <v>#VALUE!</v>
      </c>
      <c r="EF175" t="e">
        <f>AND(Sheet1!J2352,"AAAAAHNr/Yc=")</f>
        <v>#VALUE!</v>
      </c>
      <c r="EG175" t="e">
        <f>AND(Sheet1!K2352,"AAAAAHNr/Yg=")</f>
        <v>#VALUE!</v>
      </c>
      <c r="EH175" t="e">
        <f>AND(Sheet1!L2352,"AAAAAHNr/Yk=")</f>
        <v>#VALUE!</v>
      </c>
      <c r="EI175" t="e">
        <f>AND(Sheet1!M2352,"AAAAAHNr/Yo=")</f>
        <v>#VALUE!</v>
      </c>
      <c r="EJ175" t="e">
        <f>AND(Sheet1!N2352,"AAAAAHNr/Ys=")</f>
        <v>#VALUE!</v>
      </c>
      <c r="EK175" t="e">
        <f>AND(Sheet1!#REF!,"AAAAAHNr/Yw=")</f>
        <v>#REF!</v>
      </c>
      <c r="EL175" t="e">
        <f>AND(Sheet1!#REF!,"AAAAAHNr/Y0=")</f>
        <v>#REF!</v>
      </c>
      <c r="EM175" t="e">
        <f>AND(Sheet1!#REF!,"AAAAAHNr/Y4=")</f>
        <v>#REF!</v>
      </c>
      <c r="EN175" t="e">
        <f>AND(Sheet1!#REF!,"AAAAAHNr/Y8=")</f>
        <v>#REF!</v>
      </c>
      <c r="EO175">
        <f>IF(Sheet1!2353:2353,"AAAAAHNr/ZA=",0)</f>
        <v>0</v>
      </c>
      <c r="EP175" t="e">
        <f>AND(Sheet1!A2353,"AAAAAHNr/ZE=")</f>
        <v>#VALUE!</v>
      </c>
      <c r="EQ175" t="e">
        <f>AND(Sheet1!B2353,"AAAAAHNr/ZI=")</f>
        <v>#VALUE!</v>
      </c>
      <c r="ER175" t="e">
        <f>AND(Sheet1!C2353,"AAAAAHNr/ZM=")</f>
        <v>#VALUE!</v>
      </c>
      <c r="ES175" t="e">
        <f>AND(Sheet1!D2353,"AAAAAHNr/ZQ=")</f>
        <v>#VALUE!</v>
      </c>
      <c r="ET175" t="e">
        <f>AND(Sheet1!E2353,"AAAAAHNr/ZU=")</f>
        <v>#VALUE!</v>
      </c>
      <c r="EU175" t="e">
        <f>AND(Sheet1!F2353,"AAAAAHNr/ZY=")</f>
        <v>#VALUE!</v>
      </c>
      <c r="EV175" t="e">
        <f>AND(Sheet1!G2353,"AAAAAHNr/Zc=")</f>
        <v>#VALUE!</v>
      </c>
      <c r="EW175" t="e">
        <f>AND(Sheet1!H2353,"AAAAAHNr/Zg=")</f>
        <v>#VALUE!</v>
      </c>
      <c r="EX175" t="e">
        <f>AND(Sheet1!I2353,"AAAAAHNr/Zk=")</f>
        <v>#VALUE!</v>
      </c>
      <c r="EY175" t="e">
        <f>AND(Sheet1!J2353,"AAAAAHNr/Zo=")</f>
        <v>#VALUE!</v>
      </c>
      <c r="EZ175" t="e">
        <f>AND(Sheet1!K2353,"AAAAAHNr/Zs=")</f>
        <v>#VALUE!</v>
      </c>
      <c r="FA175" t="e">
        <f>AND(Sheet1!L2353,"AAAAAHNr/Zw=")</f>
        <v>#VALUE!</v>
      </c>
      <c r="FB175" t="e">
        <f>AND(Sheet1!M2353,"AAAAAHNr/Z0=")</f>
        <v>#VALUE!</v>
      </c>
      <c r="FC175" t="e">
        <f>AND(Sheet1!N2353,"AAAAAHNr/Z4=")</f>
        <v>#VALUE!</v>
      </c>
      <c r="FD175" t="e">
        <f>AND(Sheet1!#REF!,"AAAAAHNr/Z8=")</f>
        <v>#REF!</v>
      </c>
      <c r="FE175" t="e">
        <f>AND(Sheet1!#REF!,"AAAAAHNr/aA=")</f>
        <v>#REF!</v>
      </c>
      <c r="FF175" t="e">
        <f>AND(Sheet1!#REF!,"AAAAAHNr/aE=")</f>
        <v>#REF!</v>
      </c>
      <c r="FG175" t="e">
        <f>AND(Sheet1!#REF!,"AAAAAHNr/aI=")</f>
        <v>#REF!</v>
      </c>
      <c r="FH175">
        <f>IF(Sheet1!2354:2354,"AAAAAHNr/aM=",0)</f>
        <v>0</v>
      </c>
      <c r="FI175" t="e">
        <f>AND(Sheet1!A2354,"AAAAAHNr/aQ=")</f>
        <v>#VALUE!</v>
      </c>
      <c r="FJ175" t="e">
        <f>AND(Sheet1!B2354,"AAAAAHNr/aU=")</f>
        <v>#VALUE!</v>
      </c>
      <c r="FK175" t="e">
        <f>AND(Sheet1!C2354,"AAAAAHNr/aY=")</f>
        <v>#VALUE!</v>
      </c>
      <c r="FL175" t="e">
        <f>AND(Sheet1!D2354,"AAAAAHNr/ac=")</f>
        <v>#VALUE!</v>
      </c>
      <c r="FM175" t="e">
        <f>AND(Sheet1!E2354,"AAAAAHNr/ag=")</f>
        <v>#VALUE!</v>
      </c>
      <c r="FN175" t="e">
        <f>AND(Sheet1!F2354,"AAAAAHNr/ak=")</f>
        <v>#VALUE!</v>
      </c>
      <c r="FO175" t="e">
        <f>AND(Sheet1!G2354,"AAAAAHNr/ao=")</f>
        <v>#VALUE!</v>
      </c>
      <c r="FP175" t="e">
        <f>AND(Sheet1!H2354,"AAAAAHNr/as=")</f>
        <v>#VALUE!</v>
      </c>
      <c r="FQ175" t="e">
        <f>AND(Sheet1!I2354,"AAAAAHNr/aw=")</f>
        <v>#VALUE!</v>
      </c>
      <c r="FR175" t="e">
        <f>AND(Sheet1!J2354,"AAAAAHNr/a0=")</f>
        <v>#VALUE!</v>
      </c>
      <c r="FS175" t="e">
        <f>AND(Sheet1!K2354,"AAAAAHNr/a4=")</f>
        <v>#VALUE!</v>
      </c>
      <c r="FT175" t="e">
        <f>AND(Sheet1!L2354,"AAAAAHNr/a8=")</f>
        <v>#VALUE!</v>
      </c>
      <c r="FU175" t="e">
        <f>AND(Sheet1!M2354,"AAAAAHNr/bA=")</f>
        <v>#VALUE!</v>
      </c>
      <c r="FV175" t="e">
        <f>AND(Sheet1!N2354,"AAAAAHNr/bE=")</f>
        <v>#VALUE!</v>
      </c>
      <c r="FW175" t="e">
        <f>AND(Sheet1!#REF!,"AAAAAHNr/bI=")</f>
        <v>#REF!</v>
      </c>
      <c r="FX175" t="e">
        <f>AND(Sheet1!#REF!,"AAAAAHNr/bM=")</f>
        <v>#REF!</v>
      </c>
      <c r="FY175" t="e">
        <f>AND(Sheet1!#REF!,"AAAAAHNr/bQ=")</f>
        <v>#REF!</v>
      </c>
      <c r="FZ175" t="e">
        <f>AND(Sheet1!#REF!,"AAAAAHNr/bU=")</f>
        <v>#REF!</v>
      </c>
      <c r="GA175">
        <f>IF(Sheet1!2355:2355,"AAAAAHNr/bY=",0)</f>
        <v>0</v>
      </c>
      <c r="GB175" t="e">
        <f>AND(Sheet1!A2355,"AAAAAHNr/bc=")</f>
        <v>#VALUE!</v>
      </c>
      <c r="GC175" t="e">
        <f>AND(Sheet1!B2355,"AAAAAHNr/bg=")</f>
        <v>#VALUE!</v>
      </c>
      <c r="GD175" t="e">
        <f>AND(Sheet1!C2355,"AAAAAHNr/bk=")</f>
        <v>#VALUE!</v>
      </c>
      <c r="GE175" t="e">
        <f>AND(Sheet1!D2355,"AAAAAHNr/bo=")</f>
        <v>#VALUE!</v>
      </c>
      <c r="GF175" t="e">
        <f>AND(Sheet1!E2355,"AAAAAHNr/bs=")</f>
        <v>#VALUE!</v>
      </c>
      <c r="GG175" t="e">
        <f>AND(Sheet1!F2355,"AAAAAHNr/bw=")</f>
        <v>#VALUE!</v>
      </c>
      <c r="GH175" t="e">
        <f>AND(Sheet1!G2355,"AAAAAHNr/b0=")</f>
        <v>#VALUE!</v>
      </c>
      <c r="GI175" t="e">
        <f>AND(Sheet1!H2355,"AAAAAHNr/b4=")</f>
        <v>#VALUE!</v>
      </c>
      <c r="GJ175" t="e">
        <f>AND(Sheet1!I2355,"AAAAAHNr/b8=")</f>
        <v>#VALUE!</v>
      </c>
      <c r="GK175" t="e">
        <f>AND(Sheet1!J2355,"AAAAAHNr/cA=")</f>
        <v>#VALUE!</v>
      </c>
      <c r="GL175" t="e">
        <f>AND(Sheet1!K2355,"AAAAAHNr/cE=")</f>
        <v>#VALUE!</v>
      </c>
      <c r="GM175" t="e">
        <f>AND(Sheet1!L2355,"AAAAAHNr/cI=")</f>
        <v>#VALUE!</v>
      </c>
      <c r="GN175" t="e">
        <f>AND(Sheet1!M2355,"AAAAAHNr/cM=")</f>
        <v>#VALUE!</v>
      </c>
      <c r="GO175" t="e">
        <f>AND(Sheet1!N2355,"AAAAAHNr/cQ=")</f>
        <v>#VALUE!</v>
      </c>
      <c r="GP175" t="e">
        <f>AND(Sheet1!#REF!,"AAAAAHNr/cU=")</f>
        <v>#REF!</v>
      </c>
      <c r="GQ175" t="e">
        <f>AND(Sheet1!#REF!,"AAAAAHNr/cY=")</f>
        <v>#REF!</v>
      </c>
      <c r="GR175" t="e">
        <f>AND(Sheet1!#REF!,"AAAAAHNr/cc=")</f>
        <v>#REF!</v>
      </c>
      <c r="GS175" t="e">
        <f>AND(Sheet1!#REF!,"AAAAAHNr/cg=")</f>
        <v>#REF!</v>
      </c>
      <c r="GT175">
        <f>IF(Sheet1!2356:2356,"AAAAAHNr/ck=",0)</f>
        <v>0</v>
      </c>
      <c r="GU175" t="e">
        <f>AND(Sheet1!A2356,"AAAAAHNr/co=")</f>
        <v>#VALUE!</v>
      </c>
      <c r="GV175" t="e">
        <f>AND(Sheet1!B2356,"AAAAAHNr/cs=")</f>
        <v>#VALUE!</v>
      </c>
      <c r="GW175" t="e">
        <f>AND(Sheet1!C2356,"AAAAAHNr/cw=")</f>
        <v>#VALUE!</v>
      </c>
      <c r="GX175" t="e">
        <f>AND(Sheet1!D2356,"AAAAAHNr/c0=")</f>
        <v>#VALUE!</v>
      </c>
      <c r="GY175" t="e">
        <f>AND(Sheet1!E2356,"AAAAAHNr/c4=")</f>
        <v>#VALUE!</v>
      </c>
      <c r="GZ175" t="e">
        <f>AND(Sheet1!F2356,"AAAAAHNr/c8=")</f>
        <v>#VALUE!</v>
      </c>
      <c r="HA175" t="e">
        <f>AND(Sheet1!G2356,"AAAAAHNr/dA=")</f>
        <v>#VALUE!</v>
      </c>
      <c r="HB175" t="e">
        <f>AND(Sheet1!H2356,"AAAAAHNr/dE=")</f>
        <v>#VALUE!</v>
      </c>
      <c r="HC175" t="e">
        <f>AND(Sheet1!I2356,"AAAAAHNr/dI=")</f>
        <v>#VALUE!</v>
      </c>
      <c r="HD175" t="e">
        <f>AND(Sheet1!J2356,"AAAAAHNr/dM=")</f>
        <v>#VALUE!</v>
      </c>
      <c r="HE175" t="e">
        <f>AND(Sheet1!K2356,"AAAAAHNr/dQ=")</f>
        <v>#VALUE!</v>
      </c>
      <c r="HF175" t="e">
        <f>AND(Sheet1!L2356,"AAAAAHNr/dU=")</f>
        <v>#VALUE!</v>
      </c>
      <c r="HG175" t="e">
        <f>AND(Sheet1!M2356,"AAAAAHNr/dY=")</f>
        <v>#VALUE!</v>
      </c>
      <c r="HH175" t="e">
        <f>AND(Sheet1!N2356,"AAAAAHNr/dc=")</f>
        <v>#VALUE!</v>
      </c>
      <c r="HI175" t="e">
        <f>AND(Sheet1!#REF!,"AAAAAHNr/dg=")</f>
        <v>#REF!</v>
      </c>
      <c r="HJ175" t="e">
        <f>AND(Sheet1!#REF!,"AAAAAHNr/dk=")</f>
        <v>#REF!</v>
      </c>
      <c r="HK175" t="e">
        <f>AND(Sheet1!#REF!,"AAAAAHNr/do=")</f>
        <v>#REF!</v>
      </c>
      <c r="HL175" t="e">
        <f>AND(Sheet1!#REF!,"AAAAAHNr/ds=")</f>
        <v>#REF!</v>
      </c>
      <c r="HM175">
        <f>IF(Sheet1!2357:2357,"AAAAAHNr/dw=",0)</f>
        <v>0</v>
      </c>
      <c r="HN175" t="e">
        <f>AND(Sheet1!A2357,"AAAAAHNr/d0=")</f>
        <v>#VALUE!</v>
      </c>
      <c r="HO175" t="e">
        <f>AND(Sheet1!B2357,"AAAAAHNr/d4=")</f>
        <v>#VALUE!</v>
      </c>
      <c r="HP175" t="e">
        <f>AND(Sheet1!C2357,"AAAAAHNr/d8=")</f>
        <v>#VALUE!</v>
      </c>
      <c r="HQ175" t="e">
        <f>AND(Sheet1!D2357,"AAAAAHNr/eA=")</f>
        <v>#VALUE!</v>
      </c>
      <c r="HR175" t="e">
        <f>AND(Sheet1!E2357,"AAAAAHNr/eE=")</f>
        <v>#VALUE!</v>
      </c>
      <c r="HS175" t="e">
        <f>AND(Sheet1!F2357,"AAAAAHNr/eI=")</f>
        <v>#VALUE!</v>
      </c>
      <c r="HT175" t="e">
        <f>AND(Sheet1!G2357,"AAAAAHNr/eM=")</f>
        <v>#VALUE!</v>
      </c>
      <c r="HU175" t="e">
        <f>AND(Sheet1!H2357,"AAAAAHNr/eQ=")</f>
        <v>#VALUE!</v>
      </c>
      <c r="HV175" t="e">
        <f>AND(Sheet1!I2357,"AAAAAHNr/eU=")</f>
        <v>#VALUE!</v>
      </c>
      <c r="HW175" t="e">
        <f>AND(Sheet1!J2357,"AAAAAHNr/eY=")</f>
        <v>#VALUE!</v>
      </c>
      <c r="HX175" t="e">
        <f>AND(Sheet1!K2357,"AAAAAHNr/ec=")</f>
        <v>#VALUE!</v>
      </c>
      <c r="HY175" t="e">
        <f>AND(Sheet1!L2357,"AAAAAHNr/eg=")</f>
        <v>#VALUE!</v>
      </c>
      <c r="HZ175" t="e">
        <f>AND(Sheet1!M2357,"AAAAAHNr/ek=")</f>
        <v>#VALUE!</v>
      </c>
      <c r="IA175" t="e">
        <f>AND(Sheet1!N2357,"AAAAAHNr/eo=")</f>
        <v>#VALUE!</v>
      </c>
      <c r="IB175" t="e">
        <f>AND(Sheet1!#REF!,"AAAAAHNr/es=")</f>
        <v>#REF!</v>
      </c>
      <c r="IC175" t="e">
        <f>AND(Sheet1!#REF!,"AAAAAHNr/ew=")</f>
        <v>#REF!</v>
      </c>
      <c r="ID175" t="e">
        <f>AND(Sheet1!#REF!,"AAAAAHNr/e0=")</f>
        <v>#REF!</v>
      </c>
      <c r="IE175" t="e">
        <f>AND(Sheet1!#REF!,"AAAAAHNr/e4=")</f>
        <v>#REF!</v>
      </c>
      <c r="IF175">
        <f>IF(Sheet1!2358:2358,"AAAAAHNr/e8=",0)</f>
        <v>0</v>
      </c>
      <c r="IG175" t="e">
        <f>AND(Sheet1!A2358,"AAAAAHNr/fA=")</f>
        <v>#VALUE!</v>
      </c>
      <c r="IH175" t="e">
        <f>AND(Sheet1!B2358,"AAAAAHNr/fE=")</f>
        <v>#VALUE!</v>
      </c>
      <c r="II175" t="e">
        <f>AND(Sheet1!C2358,"AAAAAHNr/fI=")</f>
        <v>#VALUE!</v>
      </c>
      <c r="IJ175" t="e">
        <f>AND(Sheet1!D2358,"AAAAAHNr/fM=")</f>
        <v>#VALUE!</v>
      </c>
      <c r="IK175" t="e">
        <f>AND(Sheet1!E2358,"AAAAAHNr/fQ=")</f>
        <v>#VALUE!</v>
      </c>
      <c r="IL175" t="e">
        <f>AND(Sheet1!F2358,"AAAAAHNr/fU=")</f>
        <v>#VALUE!</v>
      </c>
      <c r="IM175" t="e">
        <f>AND(Sheet1!G2358,"AAAAAHNr/fY=")</f>
        <v>#VALUE!</v>
      </c>
      <c r="IN175" t="e">
        <f>AND(Sheet1!H2358,"AAAAAHNr/fc=")</f>
        <v>#VALUE!</v>
      </c>
      <c r="IO175" t="e">
        <f>AND(Sheet1!I2358,"AAAAAHNr/fg=")</f>
        <v>#VALUE!</v>
      </c>
      <c r="IP175" t="e">
        <f>AND(Sheet1!J2358,"AAAAAHNr/fk=")</f>
        <v>#VALUE!</v>
      </c>
      <c r="IQ175" t="e">
        <f>AND(Sheet1!K2358,"AAAAAHNr/fo=")</f>
        <v>#VALUE!</v>
      </c>
      <c r="IR175" t="e">
        <f>AND(Sheet1!L2358,"AAAAAHNr/fs=")</f>
        <v>#VALUE!</v>
      </c>
      <c r="IS175" t="e">
        <f>AND(Sheet1!M2358,"AAAAAHNr/fw=")</f>
        <v>#VALUE!</v>
      </c>
      <c r="IT175" t="e">
        <f>AND(Sheet1!N2358,"AAAAAHNr/f0=")</f>
        <v>#VALUE!</v>
      </c>
      <c r="IU175" t="e">
        <f>AND(Sheet1!#REF!,"AAAAAHNr/f4=")</f>
        <v>#REF!</v>
      </c>
      <c r="IV175" t="e">
        <f>AND(Sheet1!#REF!,"AAAAAHNr/f8=")</f>
        <v>#REF!</v>
      </c>
    </row>
    <row r="176" spans="1:256" x14ac:dyDescent="0.2">
      <c r="A176" t="e">
        <f>AND(Sheet1!#REF!,"AAAAAG/i/wA=")</f>
        <v>#REF!</v>
      </c>
      <c r="B176" t="e">
        <f>AND(Sheet1!#REF!,"AAAAAG/i/wE=")</f>
        <v>#REF!</v>
      </c>
      <c r="C176" t="e">
        <f>IF(Sheet1!2359:2359,"AAAAAG/i/wI=",0)</f>
        <v>#VALUE!</v>
      </c>
      <c r="D176" t="e">
        <f>AND(Sheet1!A2359,"AAAAAG/i/wM=")</f>
        <v>#VALUE!</v>
      </c>
      <c r="E176" t="e">
        <f>AND(Sheet1!B2359,"AAAAAG/i/wQ=")</f>
        <v>#VALUE!</v>
      </c>
      <c r="F176" t="e">
        <f>AND(Sheet1!C2359,"AAAAAG/i/wU=")</f>
        <v>#VALUE!</v>
      </c>
      <c r="G176" t="e">
        <f>AND(Sheet1!D2359,"AAAAAG/i/wY=")</f>
        <v>#VALUE!</v>
      </c>
      <c r="H176" t="e">
        <f>AND(Sheet1!E2359,"AAAAAG/i/wc=")</f>
        <v>#VALUE!</v>
      </c>
      <c r="I176" t="e">
        <f>AND(Sheet1!F2359,"AAAAAG/i/wg=")</f>
        <v>#VALUE!</v>
      </c>
      <c r="J176" t="e">
        <f>AND(Sheet1!G2359,"AAAAAG/i/wk=")</f>
        <v>#VALUE!</v>
      </c>
      <c r="K176" t="e">
        <f>AND(Sheet1!H2359,"AAAAAG/i/wo=")</f>
        <v>#VALUE!</v>
      </c>
      <c r="L176" t="e">
        <f>AND(Sheet1!I2359,"AAAAAG/i/ws=")</f>
        <v>#VALUE!</v>
      </c>
      <c r="M176" t="e">
        <f>AND(Sheet1!J2359,"AAAAAG/i/ww=")</f>
        <v>#VALUE!</v>
      </c>
      <c r="N176" t="e">
        <f>AND(Sheet1!K2359,"AAAAAG/i/w0=")</f>
        <v>#VALUE!</v>
      </c>
      <c r="O176" t="e">
        <f>AND(Sheet1!L2359,"AAAAAG/i/w4=")</f>
        <v>#VALUE!</v>
      </c>
      <c r="P176" t="e">
        <f>AND(Sheet1!M2359,"AAAAAG/i/w8=")</f>
        <v>#VALUE!</v>
      </c>
      <c r="Q176" t="e">
        <f>AND(Sheet1!N2359,"AAAAAG/i/xA=")</f>
        <v>#VALUE!</v>
      </c>
      <c r="R176" t="e">
        <f>AND(Sheet1!#REF!,"AAAAAG/i/xE=")</f>
        <v>#REF!</v>
      </c>
      <c r="S176" t="e">
        <f>AND(Sheet1!#REF!,"AAAAAG/i/xI=")</f>
        <v>#REF!</v>
      </c>
      <c r="T176" t="e">
        <f>AND(Sheet1!#REF!,"AAAAAG/i/xM=")</f>
        <v>#REF!</v>
      </c>
      <c r="U176" t="e">
        <f>AND(Sheet1!#REF!,"AAAAAG/i/xQ=")</f>
        <v>#REF!</v>
      </c>
      <c r="V176">
        <f>IF(Sheet1!2360:2360,"AAAAAG/i/xU=",0)</f>
        <v>0</v>
      </c>
      <c r="W176" t="e">
        <f>AND(Sheet1!A2360,"AAAAAG/i/xY=")</f>
        <v>#VALUE!</v>
      </c>
      <c r="X176" t="e">
        <f>AND(Sheet1!B2360,"AAAAAG/i/xc=")</f>
        <v>#VALUE!</v>
      </c>
      <c r="Y176" t="e">
        <f>AND(Sheet1!C2360,"AAAAAG/i/xg=")</f>
        <v>#VALUE!</v>
      </c>
      <c r="Z176" t="e">
        <f>AND(Sheet1!D2360,"AAAAAG/i/xk=")</f>
        <v>#VALUE!</v>
      </c>
      <c r="AA176" t="e">
        <f>AND(Sheet1!E2360,"AAAAAG/i/xo=")</f>
        <v>#VALUE!</v>
      </c>
      <c r="AB176" t="e">
        <f>AND(Sheet1!F2360,"AAAAAG/i/xs=")</f>
        <v>#VALUE!</v>
      </c>
      <c r="AC176" t="e">
        <f>AND(Sheet1!G2360,"AAAAAG/i/xw=")</f>
        <v>#VALUE!</v>
      </c>
      <c r="AD176" t="e">
        <f>AND(Sheet1!H2360,"AAAAAG/i/x0=")</f>
        <v>#VALUE!</v>
      </c>
      <c r="AE176" t="e">
        <f>AND(Sheet1!I2360,"AAAAAG/i/x4=")</f>
        <v>#VALUE!</v>
      </c>
      <c r="AF176" t="e">
        <f>AND(Sheet1!J2360,"AAAAAG/i/x8=")</f>
        <v>#VALUE!</v>
      </c>
      <c r="AG176" t="e">
        <f>AND(Sheet1!K2360,"AAAAAG/i/yA=")</f>
        <v>#VALUE!</v>
      </c>
      <c r="AH176" t="e">
        <f>AND(Sheet1!L2360,"AAAAAG/i/yE=")</f>
        <v>#VALUE!</v>
      </c>
      <c r="AI176" t="e">
        <f>AND(Sheet1!M2360,"AAAAAG/i/yI=")</f>
        <v>#VALUE!</v>
      </c>
      <c r="AJ176" t="e">
        <f>AND(Sheet1!N2360,"AAAAAG/i/yM=")</f>
        <v>#VALUE!</v>
      </c>
      <c r="AK176" t="e">
        <f>AND(Sheet1!#REF!,"AAAAAG/i/yQ=")</f>
        <v>#REF!</v>
      </c>
      <c r="AL176" t="e">
        <f>AND(Sheet1!#REF!,"AAAAAG/i/yU=")</f>
        <v>#REF!</v>
      </c>
      <c r="AM176" t="e">
        <f>AND(Sheet1!#REF!,"AAAAAG/i/yY=")</f>
        <v>#REF!</v>
      </c>
      <c r="AN176" t="e">
        <f>AND(Sheet1!#REF!,"AAAAAG/i/yc=")</f>
        <v>#REF!</v>
      </c>
      <c r="AO176">
        <f>IF(Sheet1!2361:2361,"AAAAAG/i/yg=",0)</f>
        <v>0</v>
      </c>
      <c r="AP176" t="e">
        <f>AND(Sheet1!A2361,"AAAAAG/i/yk=")</f>
        <v>#VALUE!</v>
      </c>
      <c r="AQ176" t="e">
        <f>AND(Sheet1!B2361,"AAAAAG/i/yo=")</f>
        <v>#VALUE!</v>
      </c>
      <c r="AR176" t="e">
        <f>AND(Sheet1!C2361,"AAAAAG/i/ys=")</f>
        <v>#VALUE!</v>
      </c>
      <c r="AS176" t="e">
        <f>AND(Sheet1!D2361,"AAAAAG/i/yw=")</f>
        <v>#VALUE!</v>
      </c>
      <c r="AT176" t="e">
        <f>AND(Sheet1!E2361,"AAAAAG/i/y0=")</f>
        <v>#VALUE!</v>
      </c>
      <c r="AU176" t="e">
        <f>AND(Sheet1!F2361,"AAAAAG/i/y4=")</f>
        <v>#VALUE!</v>
      </c>
      <c r="AV176" t="e">
        <f>AND(Sheet1!G2361,"AAAAAG/i/y8=")</f>
        <v>#VALUE!</v>
      </c>
      <c r="AW176" t="e">
        <f>AND(Sheet1!H2361,"AAAAAG/i/zA=")</f>
        <v>#VALUE!</v>
      </c>
      <c r="AX176" t="e">
        <f>AND(Sheet1!I2361,"AAAAAG/i/zE=")</f>
        <v>#VALUE!</v>
      </c>
      <c r="AY176" t="e">
        <f>AND(Sheet1!J2361,"AAAAAG/i/zI=")</f>
        <v>#VALUE!</v>
      </c>
      <c r="AZ176" t="e">
        <f>AND(Sheet1!K2361,"AAAAAG/i/zM=")</f>
        <v>#VALUE!</v>
      </c>
      <c r="BA176" t="e">
        <f>AND(Sheet1!L2361,"AAAAAG/i/zQ=")</f>
        <v>#VALUE!</v>
      </c>
      <c r="BB176" t="e">
        <f>AND(Sheet1!M2361,"AAAAAG/i/zU=")</f>
        <v>#VALUE!</v>
      </c>
      <c r="BC176" t="e">
        <f>AND(Sheet1!N2361,"AAAAAG/i/zY=")</f>
        <v>#VALUE!</v>
      </c>
      <c r="BD176" t="e">
        <f>AND(Sheet1!#REF!,"AAAAAG/i/zc=")</f>
        <v>#REF!</v>
      </c>
      <c r="BE176" t="e">
        <f>AND(Sheet1!#REF!,"AAAAAG/i/zg=")</f>
        <v>#REF!</v>
      </c>
      <c r="BF176" t="e">
        <f>AND(Sheet1!#REF!,"AAAAAG/i/zk=")</f>
        <v>#REF!</v>
      </c>
      <c r="BG176" t="e">
        <f>AND(Sheet1!#REF!,"AAAAAG/i/zo=")</f>
        <v>#REF!</v>
      </c>
      <c r="BH176">
        <f>IF(Sheet1!2362:2362,"AAAAAG/i/zs=",0)</f>
        <v>0</v>
      </c>
      <c r="BI176" t="e">
        <f>AND(Sheet1!A2362,"AAAAAG/i/zw=")</f>
        <v>#VALUE!</v>
      </c>
      <c r="BJ176" t="e">
        <f>AND(Sheet1!B2362,"AAAAAG/i/z0=")</f>
        <v>#VALUE!</v>
      </c>
      <c r="BK176" t="e">
        <f>AND(Sheet1!C2362,"AAAAAG/i/z4=")</f>
        <v>#VALUE!</v>
      </c>
      <c r="BL176" t="e">
        <f>AND(Sheet1!D2362,"AAAAAG/i/z8=")</f>
        <v>#VALUE!</v>
      </c>
      <c r="BM176" t="e">
        <f>AND(Sheet1!E2362,"AAAAAG/i/0A=")</f>
        <v>#VALUE!</v>
      </c>
      <c r="BN176" t="e">
        <f>AND(Sheet1!F2362,"AAAAAG/i/0E=")</f>
        <v>#VALUE!</v>
      </c>
      <c r="BO176" t="e">
        <f>AND(Sheet1!G2362,"AAAAAG/i/0I=")</f>
        <v>#VALUE!</v>
      </c>
      <c r="BP176" t="e">
        <f>AND(Sheet1!H2362,"AAAAAG/i/0M=")</f>
        <v>#VALUE!</v>
      </c>
      <c r="BQ176" t="e">
        <f>AND(Sheet1!I2362,"AAAAAG/i/0Q=")</f>
        <v>#VALUE!</v>
      </c>
      <c r="BR176" t="e">
        <f>AND(Sheet1!J2362,"AAAAAG/i/0U=")</f>
        <v>#VALUE!</v>
      </c>
      <c r="BS176" t="e">
        <f>AND(Sheet1!K2362,"AAAAAG/i/0Y=")</f>
        <v>#VALUE!</v>
      </c>
      <c r="BT176" t="e">
        <f>AND(Sheet1!L2362,"AAAAAG/i/0c=")</f>
        <v>#VALUE!</v>
      </c>
      <c r="BU176" t="e">
        <f>AND(Sheet1!M2362,"AAAAAG/i/0g=")</f>
        <v>#VALUE!</v>
      </c>
      <c r="BV176" t="e">
        <f>AND(Sheet1!N2362,"AAAAAG/i/0k=")</f>
        <v>#VALUE!</v>
      </c>
      <c r="BW176" t="e">
        <f>AND(Sheet1!#REF!,"AAAAAG/i/0o=")</f>
        <v>#REF!</v>
      </c>
      <c r="BX176" t="e">
        <f>AND(Sheet1!#REF!,"AAAAAG/i/0s=")</f>
        <v>#REF!</v>
      </c>
      <c r="BY176" t="e">
        <f>AND(Sheet1!#REF!,"AAAAAG/i/0w=")</f>
        <v>#REF!</v>
      </c>
      <c r="BZ176" t="e">
        <f>AND(Sheet1!#REF!,"AAAAAG/i/00=")</f>
        <v>#REF!</v>
      </c>
      <c r="CA176">
        <f>IF(Sheet1!2363:2363,"AAAAAG/i/04=",0)</f>
        <v>0</v>
      </c>
      <c r="CB176" t="e">
        <f>AND(Sheet1!A2363,"AAAAAG/i/08=")</f>
        <v>#VALUE!</v>
      </c>
      <c r="CC176" t="e">
        <f>AND(Sheet1!B2363,"AAAAAG/i/1A=")</f>
        <v>#VALUE!</v>
      </c>
      <c r="CD176" t="e">
        <f>AND(Sheet1!C2363,"AAAAAG/i/1E=")</f>
        <v>#VALUE!</v>
      </c>
      <c r="CE176" t="e">
        <f>AND(Sheet1!D2363,"AAAAAG/i/1I=")</f>
        <v>#VALUE!</v>
      </c>
      <c r="CF176" t="e">
        <f>AND(Sheet1!E2363,"AAAAAG/i/1M=")</f>
        <v>#VALUE!</v>
      </c>
      <c r="CG176" t="e">
        <f>AND(Sheet1!F2363,"AAAAAG/i/1Q=")</f>
        <v>#VALUE!</v>
      </c>
      <c r="CH176" t="e">
        <f>AND(Sheet1!G2363,"AAAAAG/i/1U=")</f>
        <v>#VALUE!</v>
      </c>
      <c r="CI176" t="e">
        <f>AND(Sheet1!H2363,"AAAAAG/i/1Y=")</f>
        <v>#VALUE!</v>
      </c>
      <c r="CJ176" t="e">
        <f>AND(Sheet1!I2363,"AAAAAG/i/1c=")</f>
        <v>#VALUE!</v>
      </c>
      <c r="CK176" t="e">
        <f>AND(Sheet1!J2363,"AAAAAG/i/1g=")</f>
        <v>#VALUE!</v>
      </c>
      <c r="CL176" t="e">
        <f>AND(Sheet1!K2363,"AAAAAG/i/1k=")</f>
        <v>#VALUE!</v>
      </c>
      <c r="CM176" t="e">
        <f>AND(Sheet1!L2363,"AAAAAG/i/1o=")</f>
        <v>#VALUE!</v>
      </c>
      <c r="CN176" t="e">
        <f>AND(Sheet1!M2363,"AAAAAG/i/1s=")</f>
        <v>#VALUE!</v>
      </c>
      <c r="CO176" t="e">
        <f>AND(Sheet1!N2363,"AAAAAG/i/1w=")</f>
        <v>#VALUE!</v>
      </c>
      <c r="CP176" t="e">
        <f>AND(Sheet1!#REF!,"AAAAAG/i/10=")</f>
        <v>#REF!</v>
      </c>
      <c r="CQ176" t="e">
        <f>AND(Sheet1!#REF!,"AAAAAG/i/14=")</f>
        <v>#REF!</v>
      </c>
      <c r="CR176" t="e">
        <f>AND(Sheet1!#REF!,"AAAAAG/i/18=")</f>
        <v>#REF!</v>
      </c>
      <c r="CS176" t="e">
        <f>AND(Sheet1!#REF!,"AAAAAG/i/2A=")</f>
        <v>#REF!</v>
      </c>
      <c r="CT176">
        <f>IF(Sheet1!2364:2364,"AAAAAG/i/2E=",0)</f>
        <v>0</v>
      </c>
      <c r="CU176" t="e">
        <f>AND(Sheet1!A2364,"AAAAAG/i/2I=")</f>
        <v>#VALUE!</v>
      </c>
      <c r="CV176" t="e">
        <f>AND(Sheet1!B2364,"AAAAAG/i/2M=")</f>
        <v>#VALUE!</v>
      </c>
      <c r="CW176" t="e">
        <f>AND(Sheet1!C2364,"AAAAAG/i/2Q=")</f>
        <v>#VALUE!</v>
      </c>
      <c r="CX176" t="e">
        <f>AND(Sheet1!D2364,"AAAAAG/i/2U=")</f>
        <v>#VALUE!</v>
      </c>
      <c r="CY176" t="e">
        <f>AND(Sheet1!E2364,"AAAAAG/i/2Y=")</f>
        <v>#VALUE!</v>
      </c>
      <c r="CZ176" t="e">
        <f>AND(Sheet1!F2364,"AAAAAG/i/2c=")</f>
        <v>#VALUE!</v>
      </c>
      <c r="DA176" t="e">
        <f>AND(Sheet1!G2364,"AAAAAG/i/2g=")</f>
        <v>#VALUE!</v>
      </c>
      <c r="DB176" t="e">
        <f>AND(Sheet1!H2364,"AAAAAG/i/2k=")</f>
        <v>#VALUE!</v>
      </c>
      <c r="DC176" t="e">
        <f>AND(Sheet1!I2364,"AAAAAG/i/2o=")</f>
        <v>#VALUE!</v>
      </c>
      <c r="DD176" t="e">
        <f>AND(Sheet1!J2364,"AAAAAG/i/2s=")</f>
        <v>#VALUE!</v>
      </c>
      <c r="DE176" t="e">
        <f>AND(Sheet1!K2364,"AAAAAG/i/2w=")</f>
        <v>#VALUE!</v>
      </c>
      <c r="DF176" t="e">
        <f>AND(Sheet1!L2364,"AAAAAG/i/20=")</f>
        <v>#VALUE!</v>
      </c>
      <c r="DG176" t="e">
        <f>AND(Sheet1!M2364,"AAAAAG/i/24=")</f>
        <v>#VALUE!</v>
      </c>
      <c r="DH176" t="e">
        <f>AND(Sheet1!N2364,"AAAAAG/i/28=")</f>
        <v>#VALUE!</v>
      </c>
      <c r="DI176" t="e">
        <f>AND(Sheet1!#REF!,"AAAAAG/i/3A=")</f>
        <v>#REF!</v>
      </c>
      <c r="DJ176" t="e">
        <f>AND(Sheet1!#REF!,"AAAAAG/i/3E=")</f>
        <v>#REF!</v>
      </c>
      <c r="DK176" t="e">
        <f>AND(Sheet1!#REF!,"AAAAAG/i/3I=")</f>
        <v>#REF!</v>
      </c>
      <c r="DL176" t="e">
        <f>AND(Sheet1!#REF!,"AAAAAG/i/3M=")</f>
        <v>#REF!</v>
      </c>
      <c r="DM176">
        <f>IF(Sheet1!2365:2365,"AAAAAG/i/3Q=",0)</f>
        <v>0</v>
      </c>
      <c r="DN176" t="e">
        <f>AND(Sheet1!A2365,"AAAAAG/i/3U=")</f>
        <v>#VALUE!</v>
      </c>
      <c r="DO176" t="e">
        <f>AND(Sheet1!B2365,"AAAAAG/i/3Y=")</f>
        <v>#VALUE!</v>
      </c>
      <c r="DP176" t="e">
        <f>AND(Sheet1!C2365,"AAAAAG/i/3c=")</f>
        <v>#VALUE!</v>
      </c>
      <c r="DQ176" t="e">
        <f>AND(Sheet1!D2365,"AAAAAG/i/3g=")</f>
        <v>#VALUE!</v>
      </c>
      <c r="DR176" t="e">
        <f>AND(Sheet1!E2365,"AAAAAG/i/3k=")</f>
        <v>#VALUE!</v>
      </c>
      <c r="DS176" t="e">
        <f>AND(Sheet1!F2365,"AAAAAG/i/3o=")</f>
        <v>#VALUE!</v>
      </c>
      <c r="DT176" t="e">
        <f>AND(Sheet1!G2365,"AAAAAG/i/3s=")</f>
        <v>#VALUE!</v>
      </c>
      <c r="DU176" t="e">
        <f>AND(Sheet1!H2365,"AAAAAG/i/3w=")</f>
        <v>#VALUE!</v>
      </c>
      <c r="DV176" t="e">
        <f>AND(Sheet1!I2365,"AAAAAG/i/30=")</f>
        <v>#VALUE!</v>
      </c>
      <c r="DW176" t="e">
        <f>AND(Sheet1!J2365,"AAAAAG/i/34=")</f>
        <v>#VALUE!</v>
      </c>
      <c r="DX176" t="e">
        <f>AND(Sheet1!K2365,"AAAAAG/i/38=")</f>
        <v>#VALUE!</v>
      </c>
      <c r="DY176" t="e">
        <f>AND(Sheet1!L2365,"AAAAAG/i/4A=")</f>
        <v>#VALUE!</v>
      </c>
      <c r="DZ176" t="e">
        <f>AND(Sheet1!M2365,"AAAAAG/i/4E=")</f>
        <v>#VALUE!</v>
      </c>
      <c r="EA176" t="e">
        <f>AND(Sheet1!N2365,"AAAAAG/i/4I=")</f>
        <v>#VALUE!</v>
      </c>
      <c r="EB176" t="e">
        <f>AND(Sheet1!#REF!,"AAAAAG/i/4M=")</f>
        <v>#REF!</v>
      </c>
      <c r="EC176" t="e">
        <f>AND(Sheet1!#REF!,"AAAAAG/i/4Q=")</f>
        <v>#REF!</v>
      </c>
      <c r="ED176" t="e">
        <f>AND(Sheet1!#REF!,"AAAAAG/i/4U=")</f>
        <v>#REF!</v>
      </c>
      <c r="EE176" t="e">
        <f>AND(Sheet1!#REF!,"AAAAAG/i/4Y=")</f>
        <v>#REF!</v>
      </c>
      <c r="EF176">
        <f>IF(Sheet1!2366:2366,"AAAAAG/i/4c=",0)</f>
        <v>0</v>
      </c>
      <c r="EG176" t="e">
        <f>AND(Sheet1!A2366,"AAAAAG/i/4g=")</f>
        <v>#VALUE!</v>
      </c>
      <c r="EH176" t="e">
        <f>AND(Sheet1!B2366,"AAAAAG/i/4k=")</f>
        <v>#VALUE!</v>
      </c>
      <c r="EI176" t="e">
        <f>AND(Sheet1!C2366,"AAAAAG/i/4o=")</f>
        <v>#VALUE!</v>
      </c>
      <c r="EJ176" t="e">
        <f>AND(Sheet1!D2366,"AAAAAG/i/4s=")</f>
        <v>#VALUE!</v>
      </c>
      <c r="EK176" t="e">
        <f>AND(Sheet1!E2366,"AAAAAG/i/4w=")</f>
        <v>#VALUE!</v>
      </c>
      <c r="EL176" t="e">
        <f>AND(Sheet1!F2366,"AAAAAG/i/40=")</f>
        <v>#VALUE!</v>
      </c>
      <c r="EM176" t="e">
        <f>AND(Sheet1!G2366,"AAAAAG/i/44=")</f>
        <v>#VALUE!</v>
      </c>
      <c r="EN176" t="e">
        <f>AND(Sheet1!H2366,"AAAAAG/i/48=")</f>
        <v>#VALUE!</v>
      </c>
      <c r="EO176" t="e">
        <f>AND(Sheet1!I2366,"AAAAAG/i/5A=")</f>
        <v>#VALUE!</v>
      </c>
      <c r="EP176" t="e">
        <f>AND(Sheet1!J2366,"AAAAAG/i/5E=")</f>
        <v>#VALUE!</v>
      </c>
      <c r="EQ176" t="e">
        <f>AND(Sheet1!K2366,"AAAAAG/i/5I=")</f>
        <v>#VALUE!</v>
      </c>
      <c r="ER176" t="e">
        <f>AND(Sheet1!L2366,"AAAAAG/i/5M=")</f>
        <v>#VALUE!</v>
      </c>
      <c r="ES176" t="e">
        <f>AND(Sheet1!M2366,"AAAAAG/i/5Q=")</f>
        <v>#VALUE!</v>
      </c>
      <c r="ET176" t="e">
        <f>AND(Sheet1!N2366,"AAAAAG/i/5U=")</f>
        <v>#VALUE!</v>
      </c>
      <c r="EU176" t="e">
        <f>AND(Sheet1!#REF!,"AAAAAG/i/5Y=")</f>
        <v>#REF!</v>
      </c>
      <c r="EV176" t="e">
        <f>AND(Sheet1!#REF!,"AAAAAG/i/5c=")</f>
        <v>#REF!</v>
      </c>
      <c r="EW176" t="e">
        <f>AND(Sheet1!#REF!,"AAAAAG/i/5g=")</f>
        <v>#REF!</v>
      </c>
      <c r="EX176" t="e">
        <f>AND(Sheet1!#REF!,"AAAAAG/i/5k=")</f>
        <v>#REF!</v>
      </c>
      <c r="EY176">
        <f>IF(Sheet1!2367:2367,"AAAAAG/i/5o=",0)</f>
        <v>0</v>
      </c>
      <c r="EZ176" t="e">
        <f>AND(Sheet1!A2367,"AAAAAG/i/5s=")</f>
        <v>#VALUE!</v>
      </c>
      <c r="FA176" t="e">
        <f>AND(Sheet1!B2367,"AAAAAG/i/5w=")</f>
        <v>#VALUE!</v>
      </c>
      <c r="FB176" t="e">
        <f>AND(Sheet1!C2367,"AAAAAG/i/50=")</f>
        <v>#VALUE!</v>
      </c>
      <c r="FC176" t="e">
        <f>AND(Sheet1!D2367,"AAAAAG/i/54=")</f>
        <v>#VALUE!</v>
      </c>
      <c r="FD176" t="e">
        <f>AND(Sheet1!E2367,"AAAAAG/i/58=")</f>
        <v>#VALUE!</v>
      </c>
      <c r="FE176" t="e">
        <f>AND(Sheet1!F2367,"AAAAAG/i/6A=")</f>
        <v>#VALUE!</v>
      </c>
      <c r="FF176" t="e">
        <f>AND(Sheet1!G2367,"AAAAAG/i/6E=")</f>
        <v>#VALUE!</v>
      </c>
      <c r="FG176" t="e">
        <f>AND(Sheet1!H2367,"AAAAAG/i/6I=")</f>
        <v>#VALUE!</v>
      </c>
      <c r="FH176" t="e">
        <f>AND(Sheet1!I2367,"AAAAAG/i/6M=")</f>
        <v>#VALUE!</v>
      </c>
      <c r="FI176" t="e">
        <f>AND(Sheet1!J2367,"AAAAAG/i/6Q=")</f>
        <v>#VALUE!</v>
      </c>
      <c r="FJ176" t="e">
        <f>AND(Sheet1!K2367,"AAAAAG/i/6U=")</f>
        <v>#VALUE!</v>
      </c>
      <c r="FK176" t="e">
        <f>AND(Sheet1!L2367,"AAAAAG/i/6Y=")</f>
        <v>#VALUE!</v>
      </c>
      <c r="FL176" t="e">
        <f>AND(Sheet1!M2367,"AAAAAG/i/6c=")</f>
        <v>#VALUE!</v>
      </c>
      <c r="FM176" t="e">
        <f>AND(Sheet1!N2367,"AAAAAG/i/6g=")</f>
        <v>#VALUE!</v>
      </c>
      <c r="FN176" t="e">
        <f>AND(Sheet1!#REF!,"AAAAAG/i/6k=")</f>
        <v>#REF!</v>
      </c>
      <c r="FO176" t="e">
        <f>AND(Sheet1!#REF!,"AAAAAG/i/6o=")</f>
        <v>#REF!</v>
      </c>
      <c r="FP176" t="e">
        <f>AND(Sheet1!#REF!,"AAAAAG/i/6s=")</f>
        <v>#REF!</v>
      </c>
      <c r="FQ176" t="e">
        <f>AND(Sheet1!#REF!,"AAAAAG/i/6w=")</f>
        <v>#REF!</v>
      </c>
      <c r="FR176">
        <f>IF(Sheet1!2368:2368,"AAAAAG/i/60=",0)</f>
        <v>0</v>
      </c>
      <c r="FS176" t="e">
        <f>AND(Sheet1!A2368,"AAAAAG/i/64=")</f>
        <v>#VALUE!</v>
      </c>
      <c r="FT176" t="e">
        <f>AND(Sheet1!B2368,"AAAAAG/i/68=")</f>
        <v>#VALUE!</v>
      </c>
      <c r="FU176" t="e">
        <f>AND(Sheet1!C2368,"AAAAAG/i/7A=")</f>
        <v>#VALUE!</v>
      </c>
      <c r="FV176" t="e">
        <f>AND(Sheet1!D2368,"AAAAAG/i/7E=")</f>
        <v>#VALUE!</v>
      </c>
      <c r="FW176" t="e">
        <f>AND(Sheet1!E2368,"AAAAAG/i/7I=")</f>
        <v>#VALUE!</v>
      </c>
      <c r="FX176" t="e">
        <f>AND(Sheet1!F2368,"AAAAAG/i/7M=")</f>
        <v>#VALUE!</v>
      </c>
      <c r="FY176" t="e">
        <f>AND(Sheet1!G2368,"AAAAAG/i/7Q=")</f>
        <v>#VALUE!</v>
      </c>
      <c r="FZ176" t="e">
        <f>AND(Sheet1!H2368,"AAAAAG/i/7U=")</f>
        <v>#VALUE!</v>
      </c>
      <c r="GA176" t="e">
        <f>AND(Sheet1!I2368,"AAAAAG/i/7Y=")</f>
        <v>#VALUE!</v>
      </c>
      <c r="GB176" t="e">
        <f>AND(Sheet1!J2368,"AAAAAG/i/7c=")</f>
        <v>#VALUE!</v>
      </c>
      <c r="GC176" t="e">
        <f>AND(Sheet1!K2368,"AAAAAG/i/7g=")</f>
        <v>#VALUE!</v>
      </c>
      <c r="GD176" t="e">
        <f>AND(Sheet1!L2368,"AAAAAG/i/7k=")</f>
        <v>#VALUE!</v>
      </c>
      <c r="GE176" t="e">
        <f>AND(Sheet1!M2368,"AAAAAG/i/7o=")</f>
        <v>#VALUE!</v>
      </c>
      <c r="GF176" t="e">
        <f>AND(Sheet1!N2368,"AAAAAG/i/7s=")</f>
        <v>#VALUE!</v>
      </c>
      <c r="GG176" t="e">
        <f>AND(Sheet1!#REF!,"AAAAAG/i/7w=")</f>
        <v>#REF!</v>
      </c>
      <c r="GH176" t="e">
        <f>AND(Sheet1!#REF!,"AAAAAG/i/70=")</f>
        <v>#REF!</v>
      </c>
      <c r="GI176" t="e">
        <f>AND(Sheet1!#REF!,"AAAAAG/i/74=")</f>
        <v>#REF!</v>
      </c>
      <c r="GJ176" t="e">
        <f>AND(Sheet1!#REF!,"AAAAAG/i/78=")</f>
        <v>#REF!</v>
      </c>
      <c r="GK176">
        <f>IF(Sheet1!2369:2369,"AAAAAG/i/8A=",0)</f>
        <v>0</v>
      </c>
      <c r="GL176" t="e">
        <f>AND(Sheet1!A2369,"AAAAAG/i/8E=")</f>
        <v>#VALUE!</v>
      </c>
      <c r="GM176" t="e">
        <f>AND(Sheet1!B2369,"AAAAAG/i/8I=")</f>
        <v>#VALUE!</v>
      </c>
      <c r="GN176" t="e">
        <f>AND(Sheet1!C2369,"AAAAAG/i/8M=")</f>
        <v>#VALUE!</v>
      </c>
      <c r="GO176" t="e">
        <f>AND(Sheet1!D2369,"AAAAAG/i/8Q=")</f>
        <v>#VALUE!</v>
      </c>
      <c r="GP176" t="e">
        <f>AND(Sheet1!E2369,"AAAAAG/i/8U=")</f>
        <v>#VALUE!</v>
      </c>
      <c r="GQ176" t="e">
        <f>AND(Sheet1!F2369,"AAAAAG/i/8Y=")</f>
        <v>#VALUE!</v>
      </c>
      <c r="GR176" t="e">
        <f>AND(Sheet1!G2369,"AAAAAG/i/8c=")</f>
        <v>#VALUE!</v>
      </c>
      <c r="GS176" t="e">
        <f>AND(Sheet1!H2369,"AAAAAG/i/8g=")</f>
        <v>#VALUE!</v>
      </c>
      <c r="GT176" t="e">
        <f>AND(Sheet1!I2369,"AAAAAG/i/8k=")</f>
        <v>#VALUE!</v>
      </c>
      <c r="GU176" t="e">
        <f>AND(Sheet1!J2369,"AAAAAG/i/8o=")</f>
        <v>#VALUE!</v>
      </c>
      <c r="GV176" t="e">
        <f>AND(Sheet1!K2369,"AAAAAG/i/8s=")</f>
        <v>#VALUE!</v>
      </c>
      <c r="GW176" t="e">
        <f>AND(Sheet1!L2369,"AAAAAG/i/8w=")</f>
        <v>#VALUE!</v>
      </c>
      <c r="GX176" t="e">
        <f>AND(Sheet1!M2369,"AAAAAG/i/80=")</f>
        <v>#VALUE!</v>
      </c>
      <c r="GY176" t="e">
        <f>AND(Sheet1!N2369,"AAAAAG/i/84=")</f>
        <v>#VALUE!</v>
      </c>
      <c r="GZ176" t="e">
        <f>AND(Sheet1!#REF!,"AAAAAG/i/88=")</f>
        <v>#REF!</v>
      </c>
      <c r="HA176" t="e">
        <f>AND(Sheet1!#REF!,"AAAAAG/i/9A=")</f>
        <v>#REF!</v>
      </c>
      <c r="HB176" t="e">
        <f>AND(Sheet1!#REF!,"AAAAAG/i/9E=")</f>
        <v>#REF!</v>
      </c>
      <c r="HC176" t="e">
        <f>AND(Sheet1!#REF!,"AAAAAG/i/9I=")</f>
        <v>#REF!</v>
      </c>
      <c r="HD176">
        <f>IF(Sheet1!2370:2370,"AAAAAG/i/9M=",0)</f>
        <v>0</v>
      </c>
      <c r="HE176" t="e">
        <f>AND(Sheet1!A2370,"AAAAAG/i/9Q=")</f>
        <v>#VALUE!</v>
      </c>
      <c r="HF176" t="e">
        <f>AND(Sheet1!B2370,"AAAAAG/i/9U=")</f>
        <v>#VALUE!</v>
      </c>
      <c r="HG176" t="e">
        <f>AND(Sheet1!C2370,"AAAAAG/i/9Y=")</f>
        <v>#VALUE!</v>
      </c>
      <c r="HH176" t="e">
        <f>AND(Sheet1!D2370,"AAAAAG/i/9c=")</f>
        <v>#VALUE!</v>
      </c>
      <c r="HI176" t="e">
        <f>AND(Sheet1!E2370,"AAAAAG/i/9g=")</f>
        <v>#VALUE!</v>
      </c>
      <c r="HJ176" t="e">
        <f>AND(Sheet1!F2370,"AAAAAG/i/9k=")</f>
        <v>#VALUE!</v>
      </c>
      <c r="HK176" t="e">
        <f>AND(Sheet1!G2370,"AAAAAG/i/9o=")</f>
        <v>#VALUE!</v>
      </c>
      <c r="HL176" t="e">
        <f>AND(Sheet1!H2370,"AAAAAG/i/9s=")</f>
        <v>#VALUE!</v>
      </c>
      <c r="HM176" t="e">
        <f>AND(Sheet1!I2370,"AAAAAG/i/9w=")</f>
        <v>#VALUE!</v>
      </c>
      <c r="HN176" t="e">
        <f>AND(Sheet1!J2370,"AAAAAG/i/90=")</f>
        <v>#VALUE!</v>
      </c>
      <c r="HO176" t="e">
        <f>AND(Sheet1!K2370,"AAAAAG/i/94=")</f>
        <v>#VALUE!</v>
      </c>
      <c r="HP176" t="e">
        <f>AND(Sheet1!L2370,"AAAAAG/i/98=")</f>
        <v>#VALUE!</v>
      </c>
      <c r="HQ176" t="e">
        <f>AND(Sheet1!M2370,"AAAAAG/i/+A=")</f>
        <v>#VALUE!</v>
      </c>
      <c r="HR176" t="e">
        <f>AND(Sheet1!N2370,"AAAAAG/i/+E=")</f>
        <v>#VALUE!</v>
      </c>
      <c r="HS176" t="e">
        <f>AND(Sheet1!#REF!,"AAAAAG/i/+I=")</f>
        <v>#REF!</v>
      </c>
      <c r="HT176" t="e">
        <f>AND(Sheet1!#REF!,"AAAAAG/i/+M=")</f>
        <v>#REF!</v>
      </c>
      <c r="HU176" t="e">
        <f>AND(Sheet1!#REF!,"AAAAAG/i/+Q=")</f>
        <v>#REF!</v>
      </c>
      <c r="HV176" t="e">
        <f>AND(Sheet1!#REF!,"AAAAAG/i/+U=")</f>
        <v>#REF!</v>
      </c>
      <c r="HW176">
        <f>IF(Sheet1!2371:2371,"AAAAAG/i/+Y=",0)</f>
        <v>0</v>
      </c>
      <c r="HX176" t="e">
        <f>AND(Sheet1!A2371,"AAAAAG/i/+c=")</f>
        <v>#VALUE!</v>
      </c>
      <c r="HY176" t="e">
        <f>AND(Sheet1!B2371,"AAAAAG/i/+g=")</f>
        <v>#VALUE!</v>
      </c>
      <c r="HZ176" t="e">
        <f>AND(Sheet1!C2371,"AAAAAG/i/+k=")</f>
        <v>#VALUE!</v>
      </c>
      <c r="IA176" t="e">
        <f>AND(Sheet1!D2371,"AAAAAG/i/+o=")</f>
        <v>#VALUE!</v>
      </c>
      <c r="IB176" t="e">
        <f>AND(Sheet1!E2371,"AAAAAG/i/+s=")</f>
        <v>#VALUE!</v>
      </c>
      <c r="IC176" t="e">
        <f>AND(Sheet1!F2371,"AAAAAG/i/+w=")</f>
        <v>#VALUE!</v>
      </c>
      <c r="ID176" t="e">
        <f>AND(Sheet1!G2371,"AAAAAG/i/+0=")</f>
        <v>#VALUE!</v>
      </c>
      <c r="IE176" t="e">
        <f>AND(Sheet1!H2371,"AAAAAG/i/+4=")</f>
        <v>#VALUE!</v>
      </c>
      <c r="IF176" t="e">
        <f>AND(Sheet1!I2371,"AAAAAG/i/+8=")</f>
        <v>#VALUE!</v>
      </c>
      <c r="IG176" t="e">
        <f>AND(Sheet1!J2371,"AAAAAG/i//A=")</f>
        <v>#VALUE!</v>
      </c>
      <c r="IH176" t="e">
        <f>AND(Sheet1!K2371,"AAAAAG/i//E=")</f>
        <v>#VALUE!</v>
      </c>
      <c r="II176" t="e">
        <f>AND(Sheet1!L2371,"AAAAAG/i//I=")</f>
        <v>#VALUE!</v>
      </c>
      <c r="IJ176" t="e">
        <f>AND(Sheet1!M2371,"AAAAAG/i//M=")</f>
        <v>#VALUE!</v>
      </c>
      <c r="IK176" t="e">
        <f>AND(Sheet1!N2371,"AAAAAG/i//Q=")</f>
        <v>#VALUE!</v>
      </c>
      <c r="IL176" t="e">
        <f>AND(Sheet1!#REF!,"AAAAAG/i//U=")</f>
        <v>#REF!</v>
      </c>
      <c r="IM176" t="e">
        <f>AND(Sheet1!#REF!,"AAAAAG/i//Y=")</f>
        <v>#REF!</v>
      </c>
      <c r="IN176" t="e">
        <f>AND(Sheet1!#REF!,"AAAAAG/i//c=")</f>
        <v>#REF!</v>
      </c>
      <c r="IO176" t="e">
        <f>AND(Sheet1!#REF!,"AAAAAG/i//g=")</f>
        <v>#REF!</v>
      </c>
      <c r="IP176">
        <f>IF(Sheet1!2372:2372,"AAAAAG/i//k=",0)</f>
        <v>0</v>
      </c>
      <c r="IQ176" t="e">
        <f>AND(Sheet1!A2372,"AAAAAG/i//o=")</f>
        <v>#VALUE!</v>
      </c>
      <c r="IR176" t="e">
        <f>AND(Sheet1!B2372,"AAAAAG/i//s=")</f>
        <v>#VALUE!</v>
      </c>
      <c r="IS176" t="e">
        <f>AND(Sheet1!C2372,"AAAAAG/i//w=")</f>
        <v>#VALUE!</v>
      </c>
      <c r="IT176" t="e">
        <f>AND(Sheet1!D2372,"AAAAAG/i//0=")</f>
        <v>#VALUE!</v>
      </c>
      <c r="IU176" t="e">
        <f>AND(Sheet1!E2372,"AAAAAG/i//4=")</f>
        <v>#VALUE!</v>
      </c>
      <c r="IV176" t="e">
        <f>AND(Sheet1!F2372,"AAAAAG/i//8=")</f>
        <v>#VALUE!</v>
      </c>
    </row>
    <row r="177" spans="1:256" x14ac:dyDescent="0.2">
      <c r="A177" t="e">
        <f>AND(Sheet1!G2372,"AAAAAHYv7gA=")</f>
        <v>#VALUE!</v>
      </c>
      <c r="B177" t="e">
        <f>AND(Sheet1!H2372,"AAAAAHYv7gE=")</f>
        <v>#VALUE!</v>
      </c>
      <c r="C177" t="e">
        <f>AND(Sheet1!I2372,"AAAAAHYv7gI=")</f>
        <v>#VALUE!</v>
      </c>
      <c r="D177" t="e">
        <f>AND(Sheet1!J2372,"AAAAAHYv7gM=")</f>
        <v>#VALUE!</v>
      </c>
      <c r="E177" t="e">
        <f>AND(Sheet1!K2372,"AAAAAHYv7gQ=")</f>
        <v>#VALUE!</v>
      </c>
      <c r="F177" t="e">
        <f>AND(Sheet1!L2372,"AAAAAHYv7gU=")</f>
        <v>#VALUE!</v>
      </c>
      <c r="G177" t="e">
        <f>AND(Sheet1!M2372,"AAAAAHYv7gY=")</f>
        <v>#VALUE!</v>
      </c>
      <c r="H177" t="e">
        <f>AND(Sheet1!N2372,"AAAAAHYv7gc=")</f>
        <v>#VALUE!</v>
      </c>
      <c r="I177" t="e">
        <f>AND(Sheet1!#REF!,"AAAAAHYv7gg=")</f>
        <v>#REF!</v>
      </c>
      <c r="J177" t="e">
        <f>AND(Sheet1!#REF!,"AAAAAHYv7gk=")</f>
        <v>#REF!</v>
      </c>
      <c r="K177" t="e">
        <f>AND(Sheet1!#REF!,"AAAAAHYv7go=")</f>
        <v>#REF!</v>
      </c>
      <c r="L177" t="e">
        <f>AND(Sheet1!#REF!,"AAAAAHYv7gs=")</f>
        <v>#REF!</v>
      </c>
      <c r="M177" t="str">
        <f>IF(Sheet1!2373:2373,"AAAAAHYv7gw=",0)</f>
        <v>AAAAAHYv7gw=</v>
      </c>
      <c r="N177" t="e">
        <f>AND(Sheet1!A2373,"AAAAAHYv7g0=")</f>
        <v>#VALUE!</v>
      </c>
      <c r="O177" t="e">
        <f>AND(Sheet1!B2373,"AAAAAHYv7g4=")</f>
        <v>#VALUE!</v>
      </c>
      <c r="P177" t="e">
        <f>AND(Sheet1!C2373,"AAAAAHYv7g8=")</f>
        <v>#VALUE!</v>
      </c>
      <c r="Q177" t="e">
        <f>AND(Sheet1!D2373,"AAAAAHYv7hA=")</f>
        <v>#VALUE!</v>
      </c>
      <c r="R177" t="e">
        <f>AND(Sheet1!E2373,"AAAAAHYv7hE=")</f>
        <v>#VALUE!</v>
      </c>
      <c r="S177" t="e">
        <f>AND(Sheet1!F2373,"AAAAAHYv7hI=")</f>
        <v>#VALUE!</v>
      </c>
      <c r="T177" t="e">
        <f>AND(Sheet1!G2373,"AAAAAHYv7hM=")</f>
        <v>#VALUE!</v>
      </c>
      <c r="U177" t="e">
        <f>AND(Sheet1!H2373,"AAAAAHYv7hQ=")</f>
        <v>#VALUE!</v>
      </c>
      <c r="V177" t="e">
        <f>AND(Sheet1!I2373,"AAAAAHYv7hU=")</f>
        <v>#VALUE!</v>
      </c>
      <c r="W177" t="e">
        <f>AND(Sheet1!J2373,"AAAAAHYv7hY=")</f>
        <v>#VALUE!</v>
      </c>
      <c r="X177" t="e">
        <f>AND(Sheet1!K2373,"AAAAAHYv7hc=")</f>
        <v>#VALUE!</v>
      </c>
      <c r="Y177" t="e">
        <f>AND(Sheet1!L2373,"AAAAAHYv7hg=")</f>
        <v>#VALUE!</v>
      </c>
      <c r="Z177" t="e">
        <f>AND(Sheet1!M2373,"AAAAAHYv7hk=")</f>
        <v>#VALUE!</v>
      </c>
      <c r="AA177" t="e">
        <f>AND(Sheet1!N2373,"AAAAAHYv7ho=")</f>
        <v>#VALUE!</v>
      </c>
      <c r="AB177" t="e">
        <f>AND(Sheet1!#REF!,"AAAAAHYv7hs=")</f>
        <v>#REF!</v>
      </c>
      <c r="AC177" t="e">
        <f>AND(Sheet1!#REF!,"AAAAAHYv7hw=")</f>
        <v>#REF!</v>
      </c>
      <c r="AD177" t="e">
        <f>AND(Sheet1!#REF!,"AAAAAHYv7h0=")</f>
        <v>#REF!</v>
      </c>
      <c r="AE177" t="e">
        <f>AND(Sheet1!#REF!,"AAAAAHYv7h4=")</f>
        <v>#REF!</v>
      </c>
      <c r="AF177">
        <f>IF(Sheet1!2374:2374,"AAAAAHYv7h8=",0)</f>
        <v>0</v>
      </c>
      <c r="AG177" t="e">
        <f>AND(Sheet1!A2374,"AAAAAHYv7iA=")</f>
        <v>#VALUE!</v>
      </c>
      <c r="AH177" t="e">
        <f>AND(Sheet1!B2374,"AAAAAHYv7iE=")</f>
        <v>#VALUE!</v>
      </c>
      <c r="AI177" t="e">
        <f>AND(Sheet1!C2374,"AAAAAHYv7iI=")</f>
        <v>#VALUE!</v>
      </c>
      <c r="AJ177" t="e">
        <f>AND(Sheet1!D2374,"AAAAAHYv7iM=")</f>
        <v>#VALUE!</v>
      </c>
      <c r="AK177" t="e">
        <f>AND(Sheet1!E2374,"AAAAAHYv7iQ=")</f>
        <v>#VALUE!</v>
      </c>
      <c r="AL177" t="e">
        <f>AND(Sheet1!F2374,"AAAAAHYv7iU=")</f>
        <v>#VALUE!</v>
      </c>
      <c r="AM177" t="e">
        <f>AND(Sheet1!G2374,"AAAAAHYv7iY=")</f>
        <v>#VALUE!</v>
      </c>
      <c r="AN177" t="e">
        <f>AND(Sheet1!H2374,"AAAAAHYv7ic=")</f>
        <v>#VALUE!</v>
      </c>
      <c r="AO177" t="e">
        <f>AND(Sheet1!I2374,"AAAAAHYv7ig=")</f>
        <v>#VALUE!</v>
      </c>
      <c r="AP177" t="e">
        <f>AND(Sheet1!J2374,"AAAAAHYv7ik=")</f>
        <v>#VALUE!</v>
      </c>
      <c r="AQ177" t="e">
        <f>AND(Sheet1!K2374,"AAAAAHYv7io=")</f>
        <v>#VALUE!</v>
      </c>
      <c r="AR177" t="e">
        <f>AND(Sheet1!L2374,"AAAAAHYv7is=")</f>
        <v>#VALUE!</v>
      </c>
      <c r="AS177" t="e">
        <f>AND(Sheet1!M2374,"AAAAAHYv7iw=")</f>
        <v>#VALUE!</v>
      </c>
      <c r="AT177" t="e">
        <f>AND(Sheet1!N2374,"AAAAAHYv7i0=")</f>
        <v>#VALUE!</v>
      </c>
      <c r="AU177" t="e">
        <f>AND(Sheet1!#REF!,"AAAAAHYv7i4=")</f>
        <v>#REF!</v>
      </c>
      <c r="AV177" t="e">
        <f>AND(Sheet1!#REF!,"AAAAAHYv7i8=")</f>
        <v>#REF!</v>
      </c>
      <c r="AW177" t="e">
        <f>AND(Sheet1!#REF!,"AAAAAHYv7jA=")</f>
        <v>#REF!</v>
      </c>
      <c r="AX177" t="e">
        <f>AND(Sheet1!#REF!,"AAAAAHYv7jE=")</f>
        <v>#REF!</v>
      </c>
      <c r="AY177">
        <f>IF(Sheet1!2375:2375,"AAAAAHYv7jI=",0)</f>
        <v>0</v>
      </c>
      <c r="AZ177" t="e">
        <f>AND(Sheet1!A2375,"AAAAAHYv7jM=")</f>
        <v>#VALUE!</v>
      </c>
      <c r="BA177" t="e">
        <f>AND(Sheet1!B2375,"AAAAAHYv7jQ=")</f>
        <v>#VALUE!</v>
      </c>
      <c r="BB177" t="e">
        <f>AND(Sheet1!C2375,"AAAAAHYv7jU=")</f>
        <v>#VALUE!</v>
      </c>
      <c r="BC177" t="e">
        <f>AND(Sheet1!D2375,"AAAAAHYv7jY=")</f>
        <v>#VALUE!</v>
      </c>
      <c r="BD177" t="e">
        <f>AND(Sheet1!E2375,"AAAAAHYv7jc=")</f>
        <v>#VALUE!</v>
      </c>
      <c r="BE177" t="e">
        <f>AND(Sheet1!F2375,"AAAAAHYv7jg=")</f>
        <v>#VALUE!</v>
      </c>
      <c r="BF177" t="e">
        <f>AND(Sheet1!G2375,"AAAAAHYv7jk=")</f>
        <v>#VALUE!</v>
      </c>
      <c r="BG177" t="e">
        <f>AND(Sheet1!H2375,"AAAAAHYv7jo=")</f>
        <v>#VALUE!</v>
      </c>
      <c r="BH177" t="e">
        <f>AND(Sheet1!I2375,"AAAAAHYv7js=")</f>
        <v>#VALUE!</v>
      </c>
      <c r="BI177" t="e">
        <f>AND(Sheet1!J2375,"AAAAAHYv7jw=")</f>
        <v>#VALUE!</v>
      </c>
      <c r="BJ177" t="e">
        <f>AND(Sheet1!K2375,"AAAAAHYv7j0=")</f>
        <v>#VALUE!</v>
      </c>
      <c r="BK177" t="e">
        <f>AND(Sheet1!L2375,"AAAAAHYv7j4=")</f>
        <v>#VALUE!</v>
      </c>
      <c r="BL177" t="e">
        <f>AND(Sheet1!M2375,"AAAAAHYv7j8=")</f>
        <v>#VALUE!</v>
      </c>
      <c r="BM177" t="e">
        <f>AND(Sheet1!N2375,"AAAAAHYv7kA=")</f>
        <v>#VALUE!</v>
      </c>
      <c r="BN177" t="e">
        <f>AND(Sheet1!#REF!,"AAAAAHYv7kE=")</f>
        <v>#REF!</v>
      </c>
      <c r="BO177" t="e">
        <f>AND(Sheet1!#REF!,"AAAAAHYv7kI=")</f>
        <v>#REF!</v>
      </c>
      <c r="BP177" t="e">
        <f>AND(Sheet1!#REF!,"AAAAAHYv7kM=")</f>
        <v>#REF!</v>
      </c>
      <c r="BQ177" t="e">
        <f>AND(Sheet1!#REF!,"AAAAAHYv7kQ=")</f>
        <v>#REF!</v>
      </c>
      <c r="BR177">
        <f>IF(Sheet1!2376:2376,"AAAAAHYv7kU=",0)</f>
        <v>0</v>
      </c>
      <c r="BS177" t="e">
        <f>AND(Sheet1!A2376,"AAAAAHYv7kY=")</f>
        <v>#VALUE!</v>
      </c>
      <c r="BT177" t="e">
        <f>AND(Sheet1!B2376,"AAAAAHYv7kc=")</f>
        <v>#VALUE!</v>
      </c>
      <c r="BU177" t="e">
        <f>AND(Sheet1!C2376,"AAAAAHYv7kg=")</f>
        <v>#VALUE!</v>
      </c>
      <c r="BV177" t="e">
        <f>AND(Sheet1!D2376,"AAAAAHYv7kk=")</f>
        <v>#VALUE!</v>
      </c>
      <c r="BW177" t="e">
        <f>AND(Sheet1!E2376,"AAAAAHYv7ko=")</f>
        <v>#VALUE!</v>
      </c>
      <c r="BX177" t="e">
        <f>AND(Sheet1!F2376,"AAAAAHYv7ks=")</f>
        <v>#VALUE!</v>
      </c>
      <c r="BY177" t="e">
        <f>AND(Sheet1!G2376,"AAAAAHYv7kw=")</f>
        <v>#VALUE!</v>
      </c>
      <c r="BZ177" t="e">
        <f>AND(Sheet1!H2376,"AAAAAHYv7k0=")</f>
        <v>#VALUE!</v>
      </c>
      <c r="CA177" t="e">
        <f>AND(Sheet1!I2376,"AAAAAHYv7k4=")</f>
        <v>#VALUE!</v>
      </c>
      <c r="CB177" t="e">
        <f>AND(Sheet1!J2376,"AAAAAHYv7k8=")</f>
        <v>#VALUE!</v>
      </c>
      <c r="CC177" t="e">
        <f>AND(Sheet1!K2376,"AAAAAHYv7lA=")</f>
        <v>#VALUE!</v>
      </c>
      <c r="CD177" t="e">
        <f>AND(Sheet1!L2376,"AAAAAHYv7lE=")</f>
        <v>#VALUE!</v>
      </c>
      <c r="CE177" t="e">
        <f>AND(Sheet1!M2376,"AAAAAHYv7lI=")</f>
        <v>#VALUE!</v>
      </c>
      <c r="CF177" t="e">
        <f>AND(Sheet1!N2376,"AAAAAHYv7lM=")</f>
        <v>#VALUE!</v>
      </c>
      <c r="CG177" t="e">
        <f>AND(Sheet1!#REF!,"AAAAAHYv7lQ=")</f>
        <v>#REF!</v>
      </c>
      <c r="CH177" t="e">
        <f>AND(Sheet1!#REF!,"AAAAAHYv7lU=")</f>
        <v>#REF!</v>
      </c>
      <c r="CI177" t="e">
        <f>AND(Sheet1!#REF!,"AAAAAHYv7lY=")</f>
        <v>#REF!</v>
      </c>
      <c r="CJ177" t="e">
        <f>AND(Sheet1!#REF!,"AAAAAHYv7lc=")</f>
        <v>#REF!</v>
      </c>
      <c r="CK177">
        <f>IF(Sheet1!2377:2377,"AAAAAHYv7lg=",0)</f>
        <v>0</v>
      </c>
      <c r="CL177" t="e">
        <f>AND(Sheet1!A2377,"AAAAAHYv7lk=")</f>
        <v>#VALUE!</v>
      </c>
      <c r="CM177" t="e">
        <f>AND(Sheet1!B2377,"AAAAAHYv7lo=")</f>
        <v>#VALUE!</v>
      </c>
      <c r="CN177" t="e">
        <f>AND(Sheet1!C2377,"AAAAAHYv7ls=")</f>
        <v>#VALUE!</v>
      </c>
      <c r="CO177" t="e">
        <f>AND(Sheet1!D2377,"AAAAAHYv7lw=")</f>
        <v>#VALUE!</v>
      </c>
      <c r="CP177" t="e">
        <f>AND(Sheet1!E2377,"AAAAAHYv7l0=")</f>
        <v>#VALUE!</v>
      </c>
      <c r="CQ177" t="e">
        <f>AND(Sheet1!F2377,"AAAAAHYv7l4=")</f>
        <v>#VALUE!</v>
      </c>
      <c r="CR177" t="e">
        <f>AND(Sheet1!G2377,"AAAAAHYv7l8=")</f>
        <v>#VALUE!</v>
      </c>
      <c r="CS177" t="e">
        <f>AND(Sheet1!H2377,"AAAAAHYv7mA=")</f>
        <v>#VALUE!</v>
      </c>
      <c r="CT177" t="e">
        <f>AND(Sheet1!I2377,"AAAAAHYv7mE=")</f>
        <v>#VALUE!</v>
      </c>
      <c r="CU177" t="e">
        <f>AND(Sheet1!J2377,"AAAAAHYv7mI=")</f>
        <v>#VALUE!</v>
      </c>
      <c r="CV177" t="e">
        <f>AND(Sheet1!K2377,"AAAAAHYv7mM=")</f>
        <v>#VALUE!</v>
      </c>
      <c r="CW177" t="e">
        <f>AND(Sheet1!L2377,"AAAAAHYv7mQ=")</f>
        <v>#VALUE!</v>
      </c>
      <c r="CX177" t="e">
        <f>AND(Sheet1!M2377,"AAAAAHYv7mU=")</f>
        <v>#VALUE!</v>
      </c>
      <c r="CY177" t="e">
        <f>AND(Sheet1!N2377,"AAAAAHYv7mY=")</f>
        <v>#VALUE!</v>
      </c>
      <c r="CZ177" t="e">
        <f>AND(Sheet1!#REF!,"AAAAAHYv7mc=")</f>
        <v>#REF!</v>
      </c>
      <c r="DA177" t="e">
        <f>AND(Sheet1!#REF!,"AAAAAHYv7mg=")</f>
        <v>#REF!</v>
      </c>
      <c r="DB177" t="e">
        <f>AND(Sheet1!#REF!,"AAAAAHYv7mk=")</f>
        <v>#REF!</v>
      </c>
      <c r="DC177" t="e">
        <f>AND(Sheet1!#REF!,"AAAAAHYv7mo=")</f>
        <v>#REF!</v>
      </c>
      <c r="DD177">
        <f>IF(Sheet1!2378:2378,"AAAAAHYv7ms=",0)</f>
        <v>0</v>
      </c>
      <c r="DE177" t="e">
        <f>AND(Sheet1!A2378,"AAAAAHYv7mw=")</f>
        <v>#VALUE!</v>
      </c>
      <c r="DF177" t="e">
        <f>AND(Sheet1!B2378,"AAAAAHYv7m0=")</f>
        <v>#VALUE!</v>
      </c>
      <c r="DG177" t="e">
        <f>AND(Sheet1!C2378,"AAAAAHYv7m4=")</f>
        <v>#VALUE!</v>
      </c>
      <c r="DH177" t="e">
        <f>AND(Sheet1!D2378,"AAAAAHYv7m8=")</f>
        <v>#VALUE!</v>
      </c>
      <c r="DI177" t="e">
        <f>AND(Sheet1!E2378,"AAAAAHYv7nA=")</f>
        <v>#VALUE!</v>
      </c>
      <c r="DJ177" t="e">
        <f>AND(Sheet1!F2378,"AAAAAHYv7nE=")</f>
        <v>#VALUE!</v>
      </c>
      <c r="DK177" t="e">
        <f>AND(Sheet1!G2378,"AAAAAHYv7nI=")</f>
        <v>#VALUE!</v>
      </c>
      <c r="DL177" t="e">
        <f>AND(Sheet1!H2378,"AAAAAHYv7nM=")</f>
        <v>#VALUE!</v>
      </c>
      <c r="DM177" t="e">
        <f>AND(Sheet1!I2378,"AAAAAHYv7nQ=")</f>
        <v>#VALUE!</v>
      </c>
      <c r="DN177" t="e">
        <f>AND(Sheet1!J2378,"AAAAAHYv7nU=")</f>
        <v>#VALUE!</v>
      </c>
      <c r="DO177" t="e">
        <f>AND(Sheet1!K2378,"AAAAAHYv7nY=")</f>
        <v>#VALUE!</v>
      </c>
      <c r="DP177" t="e">
        <f>AND(Sheet1!L2378,"AAAAAHYv7nc=")</f>
        <v>#VALUE!</v>
      </c>
      <c r="DQ177" t="e">
        <f>AND(Sheet1!M2378,"AAAAAHYv7ng=")</f>
        <v>#VALUE!</v>
      </c>
      <c r="DR177" t="e">
        <f>AND(Sheet1!N2378,"AAAAAHYv7nk=")</f>
        <v>#VALUE!</v>
      </c>
      <c r="DS177" t="e">
        <f>AND(Sheet1!#REF!,"AAAAAHYv7no=")</f>
        <v>#REF!</v>
      </c>
      <c r="DT177" t="e">
        <f>AND(Sheet1!#REF!,"AAAAAHYv7ns=")</f>
        <v>#REF!</v>
      </c>
      <c r="DU177" t="e">
        <f>AND(Sheet1!#REF!,"AAAAAHYv7nw=")</f>
        <v>#REF!</v>
      </c>
      <c r="DV177" t="e">
        <f>AND(Sheet1!#REF!,"AAAAAHYv7n0=")</f>
        <v>#REF!</v>
      </c>
      <c r="DW177">
        <f>IF(Sheet1!2379:2379,"AAAAAHYv7n4=",0)</f>
        <v>0</v>
      </c>
      <c r="DX177" t="e">
        <f>AND(Sheet1!A2379,"AAAAAHYv7n8=")</f>
        <v>#VALUE!</v>
      </c>
      <c r="DY177" t="e">
        <f>AND(Sheet1!B2379,"AAAAAHYv7oA=")</f>
        <v>#VALUE!</v>
      </c>
      <c r="DZ177" t="e">
        <f>AND(Sheet1!C2379,"AAAAAHYv7oE=")</f>
        <v>#VALUE!</v>
      </c>
      <c r="EA177" t="e">
        <f>AND(Sheet1!D2379,"AAAAAHYv7oI=")</f>
        <v>#VALUE!</v>
      </c>
      <c r="EB177" t="e">
        <f>AND(Sheet1!E2379,"AAAAAHYv7oM=")</f>
        <v>#VALUE!</v>
      </c>
      <c r="EC177" t="e">
        <f>AND(Sheet1!F2379,"AAAAAHYv7oQ=")</f>
        <v>#VALUE!</v>
      </c>
      <c r="ED177" t="e">
        <f>AND(Sheet1!G2379,"AAAAAHYv7oU=")</f>
        <v>#VALUE!</v>
      </c>
      <c r="EE177" t="e">
        <f>AND(Sheet1!H2379,"AAAAAHYv7oY=")</f>
        <v>#VALUE!</v>
      </c>
      <c r="EF177" t="e">
        <f>AND(Sheet1!I2379,"AAAAAHYv7oc=")</f>
        <v>#VALUE!</v>
      </c>
      <c r="EG177" t="e">
        <f>AND(Sheet1!J2379,"AAAAAHYv7og=")</f>
        <v>#VALUE!</v>
      </c>
      <c r="EH177" t="e">
        <f>AND(Sheet1!K2379,"AAAAAHYv7ok=")</f>
        <v>#VALUE!</v>
      </c>
      <c r="EI177" t="e">
        <f>AND(Sheet1!L2379,"AAAAAHYv7oo=")</f>
        <v>#VALUE!</v>
      </c>
      <c r="EJ177" t="e">
        <f>AND(Sheet1!M2379,"AAAAAHYv7os=")</f>
        <v>#VALUE!</v>
      </c>
      <c r="EK177" t="e">
        <f>AND(Sheet1!N2379,"AAAAAHYv7ow=")</f>
        <v>#VALUE!</v>
      </c>
      <c r="EL177" t="e">
        <f>AND(Sheet1!#REF!,"AAAAAHYv7o0=")</f>
        <v>#REF!</v>
      </c>
      <c r="EM177" t="e">
        <f>AND(Sheet1!#REF!,"AAAAAHYv7o4=")</f>
        <v>#REF!</v>
      </c>
      <c r="EN177" t="e">
        <f>AND(Sheet1!#REF!,"AAAAAHYv7o8=")</f>
        <v>#REF!</v>
      </c>
      <c r="EO177" t="e">
        <f>AND(Sheet1!#REF!,"AAAAAHYv7pA=")</f>
        <v>#REF!</v>
      </c>
      <c r="EP177">
        <f>IF(Sheet1!2380:2380,"AAAAAHYv7pE=",0)</f>
        <v>0</v>
      </c>
      <c r="EQ177" t="e">
        <f>AND(Sheet1!A2380,"AAAAAHYv7pI=")</f>
        <v>#VALUE!</v>
      </c>
      <c r="ER177" t="e">
        <f>AND(Sheet1!B2380,"AAAAAHYv7pM=")</f>
        <v>#VALUE!</v>
      </c>
      <c r="ES177" t="e">
        <f>AND(Sheet1!C2380,"AAAAAHYv7pQ=")</f>
        <v>#VALUE!</v>
      </c>
      <c r="ET177" t="e">
        <f>AND(Sheet1!D2380,"AAAAAHYv7pU=")</f>
        <v>#VALUE!</v>
      </c>
      <c r="EU177" t="e">
        <f>AND(Sheet1!E2380,"AAAAAHYv7pY=")</f>
        <v>#VALUE!</v>
      </c>
      <c r="EV177" t="e">
        <f>AND(Sheet1!F2380,"AAAAAHYv7pc=")</f>
        <v>#VALUE!</v>
      </c>
      <c r="EW177" t="e">
        <f>AND(Sheet1!G2380,"AAAAAHYv7pg=")</f>
        <v>#VALUE!</v>
      </c>
      <c r="EX177" t="e">
        <f>AND(Sheet1!H2380,"AAAAAHYv7pk=")</f>
        <v>#VALUE!</v>
      </c>
      <c r="EY177" t="e">
        <f>AND(Sheet1!I2380,"AAAAAHYv7po=")</f>
        <v>#VALUE!</v>
      </c>
      <c r="EZ177" t="e">
        <f>AND(Sheet1!J2380,"AAAAAHYv7ps=")</f>
        <v>#VALUE!</v>
      </c>
      <c r="FA177" t="e">
        <f>AND(Sheet1!K2380,"AAAAAHYv7pw=")</f>
        <v>#VALUE!</v>
      </c>
      <c r="FB177" t="e">
        <f>AND(Sheet1!L2380,"AAAAAHYv7p0=")</f>
        <v>#VALUE!</v>
      </c>
      <c r="FC177" t="e">
        <f>AND(Sheet1!M2380,"AAAAAHYv7p4=")</f>
        <v>#VALUE!</v>
      </c>
      <c r="FD177" t="e">
        <f>AND(Sheet1!N2380,"AAAAAHYv7p8=")</f>
        <v>#VALUE!</v>
      </c>
      <c r="FE177" t="e">
        <f>AND(Sheet1!#REF!,"AAAAAHYv7qA=")</f>
        <v>#REF!</v>
      </c>
      <c r="FF177" t="e">
        <f>AND(Sheet1!#REF!,"AAAAAHYv7qE=")</f>
        <v>#REF!</v>
      </c>
      <c r="FG177" t="e">
        <f>AND(Sheet1!#REF!,"AAAAAHYv7qI=")</f>
        <v>#REF!</v>
      </c>
      <c r="FH177" t="e">
        <f>AND(Sheet1!#REF!,"AAAAAHYv7qM=")</f>
        <v>#REF!</v>
      </c>
      <c r="FI177">
        <f>IF(Sheet1!2381:2381,"AAAAAHYv7qQ=",0)</f>
        <v>0</v>
      </c>
      <c r="FJ177" t="e">
        <f>AND(Sheet1!A2381,"AAAAAHYv7qU=")</f>
        <v>#VALUE!</v>
      </c>
      <c r="FK177" t="e">
        <f>AND(Sheet1!B2381,"AAAAAHYv7qY=")</f>
        <v>#VALUE!</v>
      </c>
      <c r="FL177" t="e">
        <f>AND(Sheet1!C2381,"AAAAAHYv7qc=")</f>
        <v>#VALUE!</v>
      </c>
      <c r="FM177" t="e">
        <f>AND(Sheet1!D2381,"AAAAAHYv7qg=")</f>
        <v>#VALUE!</v>
      </c>
      <c r="FN177" t="e">
        <f>AND(Sheet1!E2381,"AAAAAHYv7qk=")</f>
        <v>#VALUE!</v>
      </c>
      <c r="FO177" t="e">
        <f>AND(Sheet1!F2381,"AAAAAHYv7qo=")</f>
        <v>#VALUE!</v>
      </c>
      <c r="FP177" t="e">
        <f>AND(Sheet1!G2381,"AAAAAHYv7qs=")</f>
        <v>#VALUE!</v>
      </c>
      <c r="FQ177" t="e">
        <f>AND(Sheet1!H2381,"AAAAAHYv7qw=")</f>
        <v>#VALUE!</v>
      </c>
      <c r="FR177" t="e">
        <f>AND(Sheet1!I2381,"AAAAAHYv7q0=")</f>
        <v>#VALUE!</v>
      </c>
      <c r="FS177" t="e">
        <f>AND(Sheet1!J2381,"AAAAAHYv7q4=")</f>
        <v>#VALUE!</v>
      </c>
      <c r="FT177" t="e">
        <f>AND(Sheet1!K2381,"AAAAAHYv7q8=")</f>
        <v>#VALUE!</v>
      </c>
      <c r="FU177" t="e">
        <f>AND(Sheet1!L2381,"AAAAAHYv7rA=")</f>
        <v>#VALUE!</v>
      </c>
      <c r="FV177" t="e">
        <f>AND(Sheet1!M2381,"AAAAAHYv7rE=")</f>
        <v>#VALUE!</v>
      </c>
      <c r="FW177" t="e">
        <f>AND(Sheet1!N2381,"AAAAAHYv7rI=")</f>
        <v>#VALUE!</v>
      </c>
      <c r="FX177" t="e">
        <f>AND(Sheet1!#REF!,"AAAAAHYv7rM=")</f>
        <v>#REF!</v>
      </c>
      <c r="FY177" t="e">
        <f>AND(Sheet1!#REF!,"AAAAAHYv7rQ=")</f>
        <v>#REF!</v>
      </c>
      <c r="FZ177" t="e">
        <f>AND(Sheet1!#REF!,"AAAAAHYv7rU=")</f>
        <v>#REF!</v>
      </c>
      <c r="GA177" t="e">
        <f>AND(Sheet1!#REF!,"AAAAAHYv7rY=")</f>
        <v>#REF!</v>
      </c>
      <c r="GB177">
        <f>IF(Sheet1!2382:2382,"AAAAAHYv7rc=",0)</f>
        <v>0</v>
      </c>
      <c r="GC177" t="e">
        <f>AND(Sheet1!A2382,"AAAAAHYv7rg=")</f>
        <v>#VALUE!</v>
      </c>
      <c r="GD177" t="e">
        <f>AND(Sheet1!B2382,"AAAAAHYv7rk=")</f>
        <v>#VALUE!</v>
      </c>
      <c r="GE177" t="e">
        <f>AND(Sheet1!C2382,"AAAAAHYv7ro=")</f>
        <v>#VALUE!</v>
      </c>
      <c r="GF177" t="e">
        <f>AND(Sheet1!D2382,"AAAAAHYv7rs=")</f>
        <v>#VALUE!</v>
      </c>
      <c r="GG177" t="e">
        <f>AND(Sheet1!E2382,"AAAAAHYv7rw=")</f>
        <v>#VALUE!</v>
      </c>
      <c r="GH177" t="e">
        <f>AND(Sheet1!F2382,"AAAAAHYv7r0=")</f>
        <v>#VALUE!</v>
      </c>
      <c r="GI177" t="e">
        <f>AND(Sheet1!G2382,"AAAAAHYv7r4=")</f>
        <v>#VALUE!</v>
      </c>
      <c r="GJ177" t="e">
        <f>AND(Sheet1!H2382,"AAAAAHYv7r8=")</f>
        <v>#VALUE!</v>
      </c>
      <c r="GK177" t="e">
        <f>AND(Sheet1!I2382,"AAAAAHYv7sA=")</f>
        <v>#VALUE!</v>
      </c>
      <c r="GL177" t="e">
        <f>AND(Sheet1!J2382,"AAAAAHYv7sE=")</f>
        <v>#VALUE!</v>
      </c>
      <c r="GM177" t="e">
        <f>AND(Sheet1!K2382,"AAAAAHYv7sI=")</f>
        <v>#VALUE!</v>
      </c>
      <c r="GN177" t="e">
        <f>AND(Sheet1!L2382,"AAAAAHYv7sM=")</f>
        <v>#VALUE!</v>
      </c>
      <c r="GO177" t="e">
        <f>AND(Sheet1!M2382,"AAAAAHYv7sQ=")</f>
        <v>#VALUE!</v>
      </c>
      <c r="GP177" t="e">
        <f>AND(Sheet1!N2382,"AAAAAHYv7sU=")</f>
        <v>#VALUE!</v>
      </c>
      <c r="GQ177" t="e">
        <f>AND(Sheet1!#REF!,"AAAAAHYv7sY=")</f>
        <v>#REF!</v>
      </c>
      <c r="GR177" t="e">
        <f>AND(Sheet1!#REF!,"AAAAAHYv7sc=")</f>
        <v>#REF!</v>
      </c>
      <c r="GS177" t="e">
        <f>AND(Sheet1!#REF!,"AAAAAHYv7sg=")</f>
        <v>#REF!</v>
      </c>
      <c r="GT177" t="e">
        <f>AND(Sheet1!#REF!,"AAAAAHYv7sk=")</f>
        <v>#REF!</v>
      </c>
      <c r="GU177">
        <f>IF(Sheet1!2383:2383,"AAAAAHYv7so=",0)</f>
        <v>0</v>
      </c>
      <c r="GV177" t="e">
        <f>AND(Sheet1!A2383,"AAAAAHYv7ss=")</f>
        <v>#VALUE!</v>
      </c>
      <c r="GW177" t="e">
        <f>AND(Sheet1!B2383,"AAAAAHYv7sw=")</f>
        <v>#VALUE!</v>
      </c>
      <c r="GX177" t="e">
        <f>AND(Sheet1!C2383,"AAAAAHYv7s0=")</f>
        <v>#VALUE!</v>
      </c>
      <c r="GY177" t="e">
        <f>AND(Sheet1!D2383,"AAAAAHYv7s4=")</f>
        <v>#VALUE!</v>
      </c>
      <c r="GZ177" t="e">
        <f>AND(Sheet1!E2383,"AAAAAHYv7s8=")</f>
        <v>#VALUE!</v>
      </c>
      <c r="HA177" t="e">
        <f>AND(Sheet1!F2383,"AAAAAHYv7tA=")</f>
        <v>#VALUE!</v>
      </c>
      <c r="HB177" t="e">
        <f>AND(Sheet1!G2383,"AAAAAHYv7tE=")</f>
        <v>#VALUE!</v>
      </c>
      <c r="HC177" t="e">
        <f>AND(Sheet1!H2383,"AAAAAHYv7tI=")</f>
        <v>#VALUE!</v>
      </c>
      <c r="HD177" t="e">
        <f>AND(Sheet1!I2383,"AAAAAHYv7tM=")</f>
        <v>#VALUE!</v>
      </c>
      <c r="HE177" t="e">
        <f>AND(Sheet1!J2383,"AAAAAHYv7tQ=")</f>
        <v>#VALUE!</v>
      </c>
      <c r="HF177" t="e">
        <f>AND(Sheet1!K2383,"AAAAAHYv7tU=")</f>
        <v>#VALUE!</v>
      </c>
      <c r="HG177" t="e">
        <f>AND(Sheet1!L2383,"AAAAAHYv7tY=")</f>
        <v>#VALUE!</v>
      </c>
      <c r="HH177" t="e">
        <f>AND(Sheet1!M2383,"AAAAAHYv7tc=")</f>
        <v>#VALUE!</v>
      </c>
      <c r="HI177" t="e">
        <f>AND(Sheet1!N2383,"AAAAAHYv7tg=")</f>
        <v>#VALUE!</v>
      </c>
      <c r="HJ177" t="e">
        <f>AND(Sheet1!#REF!,"AAAAAHYv7tk=")</f>
        <v>#REF!</v>
      </c>
      <c r="HK177" t="e">
        <f>AND(Sheet1!#REF!,"AAAAAHYv7to=")</f>
        <v>#REF!</v>
      </c>
      <c r="HL177" t="e">
        <f>AND(Sheet1!#REF!,"AAAAAHYv7ts=")</f>
        <v>#REF!</v>
      </c>
      <c r="HM177" t="e">
        <f>AND(Sheet1!#REF!,"AAAAAHYv7tw=")</f>
        <v>#REF!</v>
      </c>
      <c r="HN177">
        <f>IF(Sheet1!2384:2384,"AAAAAHYv7t0=",0)</f>
        <v>0</v>
      </c>
      <c r="HO177" t="e">
        <f>AND(Sheet1!A2384,"AAAAAHYv7t4=")</f>
        <v>#VALUE!</v>
      </c>
      <c r="HP177" t="e">
        <f>AND(Sheet1!B2384,"AAAAAHYv7t8=")</f>
        <v>#VALUE!</v>
      </c>
      <c r="HQ177" t="e">
        <f>AND(Sheet1!C2384,"AAAAAHYv7uA=")</f>
        <v>#VALUE!</v>
      </c>
      <c r="HR177" t="e">
        <f>AND(Sheet1!D2384,"AAAAAHYv7uE=")</f>
        <v>#VALUE!</v>
      </c>
      <c r="HS177" t="e">
        <f>AND(Sheet1!E2384,"AAAAAHYv7uI=")</f>
        <v>#VALUE!</v>
      </c>
      <c r="HT177" t="e">
        <f>AND(Sheet1!F2384,"AAAAAHYv7uM=")</f>
        <v>#VALUE!</v>
      </c>
      <c r="HU177" t="e">
        <f>AND(Sheet1!G2384,"AAAAAHYv7uQ=")</f>
        <v>#VALUE!</v>
      </c>
      <c r="HV177" t="e">
        <f>AND(Sheet1!H2384,"AAAAAHYv7uU=")</f>
        <v>#VALUE!</v>
      </c>
      <c r="HW177" t="e">
        <f>AND(Sheet1!I2384,"AAAAAHYv7uY=")</f>
        <v>#VALUE!</v>
      </c>
      <c r="HX177" t="e">
        <f>AND(Sheet1!J2384,"AAAAAHYv7uc=")</f>
        <v>#VALUE!</v>
      </c>
      <c r="HY177" t="e">
        <f>AND(Sheet1!K2384,"AAAAAHYv7ug=")</f>
        <v>#VALUE!</v>
      </c>
      <c r="HZ177" t="e">
        <f>AND(Sheet1!L2384,"AAAAAHYv7uk=")</f>
        <v>#VALUE!</v>
      </c>
      <c r="IA177" t="e">
        <f>AND(Sheet1!M2384,"AAAAAHYv7uo=")</f>
        <v>#VALUE!</v>
      </c>
      <c r="IB177" t="e">
        <f>AND(Sheet1!N2384,"AAAAAHYv7us=")</f>
        <v>#VALUE!</v>
      </c>
      <c r="IC177" t="e">
        <f>AND(Sheet1!#REF!,"AAAAAHYv7uw=")</f>
        <v>#REF!</v>
      </c>
      <c r="ID177" t="e">
        <f>AND(Sheet1!#REF!,"AAAAAHYv7u0=")</f>
        <v>#REF!</v>
      </c>
      <c r="IE177" t="e">
        <f>AND(Sheet1!#REF!,"AAAAAHYv7u4=")</f>
        <v>#REF!</v>
      </c>
      <c r="IF177" t="e">
        <f>AND(Sheet1!#REF!,"AAAAAHYv7u8=")</f>
        <v>#REF!</v>
      </c>
      <c r="IG177">
        <f>IF(Sheet1!2385:2385,"AAAAAHYv7vA=",0)</f>
        <v>0</v>
      </c>
      <c r="IH177" t="e">
        <f>AND(Sheet1!A2385,"AAAAAHYv7vE=")</f>
        <v>#VALUE!</v>
      </c>
      <c r="II177" t="e">
        <f>AND(Sheet1!B2385,"AAAAAHYv7vI=")</f>
        <v>#VALUE!</v>
      </c>
      <c r="IJ177" t="e">
        <f>AND(Sheet1!C2385,"AAAAAHYv7vM=")</f>
        <v>#VALUE!</v>
      </c>
      <c r="IK177" t="e">
        <f>AND(Sheet1!D2385,"AAAAAHYv7vQ=")</f>
        <v>#VALUE!</v>
      </c>
      <c r="IL177" t="e">
        <f>AND(Sheet1!E2385,"AAAAAHYv7vU=")</f>
        <v>#VALUE!</v>
      </c>
      <c r="IM177" t="e">
        <f>AND(Sheet1!F2385,"AAAAAHYv7vY=")</f>
        <v>#VALUE!</v>
      </c>
      <c r="IN177" t="e">
        <f>AND(Sheet1!G2385,"AAAAAHYv7vc=")</f>
        <v>#VALUE!</v>
      </c>
      <c r="IO177" t="e">
        <f>AND(Sheet1!H2385,"AAAAAHYv7vg=")</f>
        <v>#VALUE!</v>
      </c>
      <c r="IP177" t="e">
        <f>AND(Sheet1!I2385,"AAAAAHYv7vk=")</f>
        <v>#VALUE!</v>
      </c>
      <c r="IQ177" t="e">
        <f>AND(Sheet1!J2385,"AAAAAHYv7vo=")</f>
        <v>#VALUE!</v>
      </c>
      <c r="IR177" t="e">
        <f>AND(Sheet1!K2385,"AAAAAHYv7vs=")</f>
        <v>#VALUE!</v>
      </c>
      <c r="IS177" t="e">
        <f>AND(Sheet1!L2385,"AAAAAHYv7vw=")</f>
        <v>#VALUE!</v>
      </c>
      <c r="IT177" t="e">
        <f>AND(Sheet1!M2385,"AAAAAHYv7v0=")</f>
        <v>#VALUE!</v>
      </c>
      <c r="IU177" t="e">
        <f>AND(Sheet1!N2385,"AAAAAHYv7v4=")</f>
        <v>#VALUE!</v>
      </c>
      <c r="IV177" t="e">
        <f>AND(Sheet1!#REF!,"AAAAAHYv7v8=")</f>
        <v>#REF!</v>
      </c>
    </row>
    <row r="178" spans="1:256" x14ac:dyDescent="0.2">
      <c r="A178" t="e">
        <f>AND(Sheet1!#REF!,"AAAAABf67AA=")</f>
        <v>#REF!</v>
      </c>
      <c r="B178" t="e">
        <f>AND(Sheet1!#REF!,"AAAAABf67AE=")</f>
        <v>#REF!</v>
      </c>
      <c r="C178" t="e">
        <f>AND(Sheet1!#REF!,"AAAAABf67AI=")</f>
        <v>#REF!</v>
      </c>
      <c r="D178" t="e">
        <f>IF(Sheet1!2386:2386,"AAAAABf67AM=",0)</f>
        <v>#VALUE!</v>
      </c>
      <c r="E178" t="e">
        <f>AND(Sheet1!A2386,"AAAAABf67AQ=")</f>
        <v>#VALUE!</v>
      </c>
      <c r="F178" t="e">
        <f>AND(Sheet1!B2386,"AAAAABf67AU=")</f>
        <v>#VALUE!</v>
      </c>
      <c r="G178" t="e">
        <f>AND(Sheet1!C2386,"AAAAABf67AY=")</f>
        <v>#VALUE!</v>
      </c>
      <c r="H178" t="e">
        <f>AND(Sheet1!D2386,"AAAAABf67Ac=")</f>
        <v>#VALUE!</v>
      </c>
      <c r="I178" t="e">
        <f>AND(Sheet1!E2386,"AAAAABf67Ag=")</f>
        <v>#VALUE!</v>
      </c>
      <c r="J178" t="e">
        <f>AND(Sheet1!F2386,"AAAAABf67Ak=")</f>
        <v>#VALUE!</v>
      </c>
      <c r="K178" t="e">
        <f>AND(Sheet1!G2386,"AAAAABf67Ao=")</f>
        <v>#VALUE!</v>
      </c>
      <c r="L178" t="e">
        <f>AND(Sheet1!H2386,"AAAAABf67As=")</f>
        <v>#VALUE!</v>
      </c>
      <c r="M178" t="e">
        <f>AND(Sheet1!I2386,"AAAAABf67Aw=")</f>
        <v>#VALUE!</v>
      </c>
      <c r="N178" t="e">
        <f>AND(Sheet1!J2386,"AAAAABf67A0=")</f>
        <v>#VALUE!</v>
      </c>
      <c r="O178" t="e">
        <f>AND(Sheet1!K2386,"AAAAABf67A4=")</f>
        <v>#VALUE!</v>
      </c>
      <c r="P178" t="e">
        <f>AND(Sheet1!L2386,"AAAAABf67A8=")</f>
        <v>#VALUE!</v>
      </c>
      <c r="Q178" t="e">
        <f>AND(Sheet1!M2386,"AAAAABf67BA=")</f>
        <v>#VALUE!</v>
      </c>
      <c r="R178" t="e">
        <f>AND(Sheet1!N2386,"AAAAABf67BE=")</f>
        <v>#VALUE!</v>
      </c>
      <c r="S178" t="e">
        <f>AND(Sheet1!#REF!,"AAAAABf67BI=")</f>
        <v>#REF!</v>
      </c>
      <c r="T178" t="e">
        <f>AND(Sheet1!#REF!,"AAAAABf67BM=")</f>
        <v>#REF!</v>
      </c>
      <c r="U178" t="e">
        <f>AND(Sheet1!#REF!,"AAAAABf67BQ=")</f>
        <v>#REF!</v>
      </c>
      <c r="V178" t="e">
        <f>AND(Sheet1!#REF!,"AAAAABf67BU=")</f>
        <v>#REF!</v>
      </c>
      <c r="W178">
        <f>IF(Sheet1!2387:2387,"AAAAABf67BY=",0)</f>
        <v>0</v>
      </c>
      <c r="X178" t="e">
        <f>AND(Sheet1!A2387,"AAAAABf67Bc=")</f>
        <v>#VALUE!</v>
      </c>
      <c r="Y178" t="e">
        <f>AND(Sheet1!B2387,"AAAAABf67Bg=")</f>
        <v>#VALUE!</v>
      </c>
      <c r="Z178" t="e">
        <f>AND(Sheet1!C2387,"AAAAABf67Bk=")</f>
        <v>#VALUE!</v>
      </c>
      <c r="AA178" t="e">
        <f>AND(Sheet1!D2387,"AAAAABf67Bo=")</f>
        <v>#VALUE!</v>
      </c>
      <c r="AB178" t="e">
        <f>AND(Sheet1!E2387,"AAAAABf67Bs=")</f>
        <v>#VALUE!</v>
      </c>
      <c r="AC178" t="e">
        <f>AND(Sheet1!F2387,"AAAAABf67Bw=")</f>
        <v>#VALUE!</v>
      </c>
      <c r="AD178" t="e">
        <f>AND(Sheet1!G2387,"AAAAABf67B0=")</f>
        <v>#VALUE!</v>
      </c>
      <c r="AE178" t="e">
        <f>AND(Sheet1!H2387,"AAAAABf67B4=")</f>
        <v>#VALUE!</v>
      </c>
      <c r="AF178" t="e">
        <f>AND(Sheet1!I2387,"AAAAABf67B8=")</f>
        <v>#VALUE!</v>
      </c>
      <c r="AG178" t="e">
        <f>AND(Sheet1!J2387,"AAAAABf67CA=")</f>
        <v>#VALUE!</v>
      </c>
      <c r="AH178" t="e">
        <f>AND(Sheet1!K2387,"AAAAABf67CE=")</f>
        <v>#VALUE!</v>
      </c>
      <c r="AI178" t="e">
        <f>AND(Sheet1!L2387,"AAAAABf67CI=")</f>
        <v>#VALUE!</v>
      </c>
      <c r="AJ178" t="e">
        <f>AND(Sheet1!M2387,"AAAAABf67CM=")</f>
        <v>#VALUE!</v>
      </c>
      <c r="AK178" t="e">
        <f>AND(Sheet1!N2387,"AAAAABf67CQ=")</f>
        <v>#VALUE!</v>
      </c>
      <c r="AL178" t="e">
        <f>AND(Sheet1!#REF!,"AAAAABf67CU=")</f>
        <v>#REF!</v>
      </c>
      <c r="AM178" t="e">
        <f>AND(Sheet1!#REF!,"AAAAABf67CY=")</f>
        <v>#REF!</v>
      </c>
      <c r="AN178" t="e">
        <f>AND(Sheet1!#REF!,"AAAAABf67Cc=")</f>
        <v>#REF!</v>
      </c>
      <c r="AO178" t="e">
        <f>AND(Sheet1!#REF!,"AAAAABf67Cg=")</f>
        <v>#REF!</v>
      </c>
      <c r="AP178">
        <f>IF(Sheet1!2388:2388,"AAAAABf67Ck=",0)</f>
        <v>0</v>
      </c>
      <c r="AQ178" t="e">
        <f>AND(Sheet1!A2388,"AAAAABf67Co=")</f>
        <v>#VALUE!</v>
      </c>
      <c r="AR178" t="e">
        <f>AND(Sheet1!B2388,"AAAAABf67Cs=")</f>
        <v>#VALUE!</v>
      </c>
      <c r="AS178" t="e">
        <f>AND(Sheet1!C2388,"AAAAABf67Cw=")</f>
        <v>#VALUE!</v>
      </c>
      <c r="AT178" t="e">
        <f>AND(Sheet1!D2388,"AAAAABf67C0=")</f>
        <v>#VALUE!</v>
      </c>
      <c r="AU178" t="e">
        <f>AND(Sheet1!E2388,"AAAAABf67C4=")</f>
        <v>#VALUE!</v>
      </c>
      <c r="AV178" t="e">
        <f>AND(Sheet1!F2388,"AAAAABf67C8=")</f>
        <v>#VALUE!</v>
      </c>
      <c r="AW178" t="e">
        <f>AND(Sheet1!G2388,"AAAAABf67DA=")</f>
        <v>#VALUE!</v>
      </c>
      <c r="AX178" t="e">
        <f>AND(Sheet1!H2388,"AAAAABf67DE=")</f>
        <v>#VALUE!</v>
      </c>
      <c r="AY178" t="e">
        <f>AND(Sheet1!I2388,"AAAAABf67DI=")</f>
        <v>#VALUE!</v>
      </c>
      <c r="AZ178" t="e">
        <f>AND(Sheet1!J2388,"AAAAABf67DM=")</f>
        <v>#VALUE!</v>
      </c>
      <c r="BA178" t="e">
        <f>AND(Sheet1!K2388,"AAAAABf67DQ=")</f>
        <v>#VALUE!</v>
      </c>
      <c r="BB178" t="e">
        <f>AND(Sheet1!L2388,"AAAAABf67DU=")</f>
        <v>#VALUE!</v>
      </c>
      <c r="BC178" t="e">
        <f>AND(Sheet1!M2388,"AAAAABf67DY=")</f>
        <v>#VALUE!</v>
      </c>
      <c r="BD178" t="e">
        <f>AND(Sheet1!N2388,"AAAAABf67Dc=")</f>
        <v>#VALUE!</v>
      </c>
      <c r="BE178" t="e">
        <f>AND(Sheet1!#REF!,"AAAAABf67Dg=")</f>
        <v>#REF!</v>
      </c>
      <c r="BF178" t="e">
        <f>AND(Sheet1!#REF!,"AAAAABf67Dk=")</f>
        <v>#REF!</v>
      </c>
      <c r="BG178" t="e">
        <f>AND(Sheet1!#REF!,"AAAAABf67Do=")</f>
        <v>#REF!</v>
      </c>
      <c r="BH178" t="e">
        <f>AND(Sheet1!#REF!,"AAAAABf67Ds=")</f>
        <v>#REF!</v>
      </c>
      <c r="BI178">
        <f>IF(Sheet1!2389:2389,"AAAAABf67Dw=",0)</f>
        <v>0</v>
      </c>
      <c r="BJ178" t="e">
        <f>AND(Sheet1!A2389,"AAAAABf67D0=")</f>
        <v>#VALUE!</v>
      </c>
      <c r="BK178" t="e">
        <f>AND(Sheet1!B2389,"AAAAABf67D4=")</f>
        <v>#VALUE!</v>
      </c>
      <c r="BL178" t="e">
        <f>AND(Sheet1!C2389,"AAAAABf67D8=")</f>
        <v>#VALUE!</v>
      </c>
      <c r="BM178" t="e">
        <f>AND(Sheet1!D2389,"AAAAABf67EA=")</f>
        <v>#VALUE!</v>
      </c>
      <c r="BN178" t="e">
        <f>AND(Sheet1!E2389,"AAAAABf67EE=")</f>
        <v>#VALUE!</v>
      </c>
      <c r="BO178" t="e">
        <f>AND(Sheet1!F2389,"AAAAABf67EI=")</f>
        <v>#VALUE!</v>
      </c>
      <c r="BP178" t="e">
        <f>AND(Sheet1!G2389,"AAAAABf67EM=")</f>
        <v>#VALUE!</v>
      </c>
      <c r="BQ178" t="e">
        <f>AND(Sheet1!H2389,"AAAAABf67EQ=")</f>
        <v>#VALUE!</v>
      </c>
      <c r="BR178" t="e">
        <f>AND(Sheet1!I2389,"AAAAABf67EU=")</f>
        <v>#VALUE!</v>
      </c>
      <c r="BS178" t="e">
        <f>AND(Sheet1!J2389,"AAAAABf67EY=")</f>
        <v>#VALUE!</v>
      </c>
      <c r="BT178" t="e">
        <f>AND(Sheet1!K2389,"AAAAABf67Ec=")</f>
        <v>#VALUE!</v>
      </c>
      <c r="BU178" t="e">
        <f>AND(Sheet1!L2389,"AAAAABf67Eg=")</f>
        <v>#VALUE!</v>
      </c>
      <c r="BV178" t="e">
        <f>AND(Sheet1!M2389,"AAAAABf67Ek=")</f>
        <v>#VALUE!</v>
      </c>
      <c r="BW178" t="e">
        <f>AND(Sheet1!N2389,"AAAAABf67Eo=")</f>
        <v>#VALUE!</v>
      </c>
      <c r="BX178" t="e">
        <f>AND(Sheet1!#REF!,"AAAAABf67Es=")</f>
        <v>#REF!</v>
      </c>
      <c r="BY178" t="e">
        <f>AND(Sheet1!#REF!,"AAAAABf67Ew=")</f>
        <v>#REF!</v>
      </c>
      <c r="BZ178" t="e">
        <f>AND(Sheet1!#REF!,"AAAAABf67E0=")</f>
        <v>#REF!</v>
      </c>
      <c r="CA178" t="e">
        <f>AND(Sheet1!#REF!,"AAAAABf67E4=")</f>
        <v>#REF!</v>
      </c>
      <c r="CB178">
        <f>IF(Sheet1!2390:2390,"AAAAABf67E8=",0)</f>
        <v>0</v>
      </c>
      <c r="CC178" t="e">
        <f>AND(Sheet1!A2390,"AAAAABf67FA=")</f>
        <v>#VALUE!</v>
      </c>
      <c r="CD178" t="e">
        <f>AND(Sheet1!B2390,"AAAAABf67FE=")</f>
        <v>#VALUE!</v>
      </c>
      <c r="CE178" t="e">
        <f>AND(Sheet1!C2390,"AAAAABf67FI=")</f>
        <v>#VALUE!</v>
      </c>
      <c r="CF178" t="e">
        <f>AND(Sheet1!D2390,"AAAAABf67FM=")</f>
        <v>#VALUE!</v>
      </c>
      <c r="CG178" t="e">
        <f>AND(Sheet1!E2390,"AAAAABf67FQ=")</f>
        <v>#VALUE!</v>
      </c>
      <c r="CH178" t="e">
        <f>AND(Sheet1!F2390,"AAAAABf67FU=")</f>
        <v>#VALUE!</v>
      </c>
      <c r="CI178" t="e">
        <f>AND(Sheet1!G2390,"AAAAABf67FY=")</f>
        <v>#VALUE!</v>
      </c>
      <c r="CJ178" t="e">
        <f>AND(Sheet1!H2390,"AAAAABf67Fc=")</f>
        <v>#VALUE!</v>
      </c>
      <c r="CK178" t="e">
        <f>AND(Sheet1!I2390,"AAAAABf67Fg=")</f>
        <v>#VALUE!</v>
      </c>
      <c r="CL178" t="e">
        <f>AND(Sheet1!J2390,"AAAAABf67Fk=")</f>
        <v>#VALUE!</v>
      </c>
      <c r="CM178" t="e">
        <f>AND(Sheet1!K2390,"AAAAABf67Fo=")</f>
        <v>#VALUE!</v>
      </c>
      <c r="CN178" t="e">
        <f>AND(Sheet1!L2390,"AAAAABf67Fs=")</f>
        <v>#VALUE!</v>
      </c>
      <c r="CO178" t="e">
        <f>AND(Sheet1!M2390,"AAAAABf67Fw=")</f>
        <v>#VALUE!</v>
      </c>
      <c r="CP178" t="e">
        <f>AND(Sheet1!N2390,"AAAAABf67F0=")</f>
        <v>#VALUE!</v>
      </c>
      <c r="CQ178" t="e">
        <f>AND(Sheet1!#REF!,"AAAAABf67F4=")</f>
        <v>#REF!</v>
      </c>
      <c r="CR178" t="e">
        <f>AND(Sheet1!#REF!,"AAAAABf67F8=")</f>
        <v>#REF!</v>
      </c>
      <c r="CS178" t="e">
        <f>AND(Sheet1!#REF!,"AAAAABf67GA=")</f>
        <v>#REF!</v>
      </c>
      <c r="CT178" t="e">
        <f>AND(Sheet1!#REF!,"AAAAABf67GE=")</f>
        <v>#REF!</v>
      </c>
      <c r="CU178">
        <f>IF(Sheet1!2391:2391,"AAAAABf67GI=",0)</f>
        <v>0</v>
      </c>
      <c r="CV178" t="e">
        <f>AND(Sheet1!A2391,"AAAAABf67GM=")</f>
        <v>#VALUE!</v>
      </c>
      <c r="CW178" t="e">
        <f>AND(Sheet1!B2391,"AAAAABf67GQ=")</f>
        <v>#VALUE!</v>
      </c>
      <c r="CX178" t="e">
        <f>AND(Sheet1!C2391,"AAAAABf67GU=")</f>
        <v>#VALUE!</v>
      </c>
      <c r="CY178" t="e">
        <f>AND(Sheet1!D2391,"AAAAABf67GY=")</f>
        <v>#VALUE!</v>
      </c>
      <c r="CZ178" t="e">
        <f>AND(Sheet1!E2391,"AAAAABf67Gc=")</f>
        <v>#VALUE!</v>
      </c>
      <c r="DA178" t="e">
        <f>AND(Sheet1!F2391,"AAAAABf67Gg=")</f>
        <v>#VALUE!</v>
      </c>
      <c r="DB178" t="e">
        <f>AND(Sheet1!G2391,"AAAAABf67Gk=")</f>
        <v>#VALUE!</v>
      </c>
      <c r="DC178" t="e">
        <f>AND(Sheet1!H2391,"AAAAABf67Go=")</f>
        <v>#VALUE!</v>
      </c>
      <c r="DD178" t="e">
        <f>AND(Sheet1!I2391,"AAAAABf67Gs=")</f>
        <v>#VALUE!</v>
      </c>
      <c r="DE178" t="e">
        <f>AND(Sheet1!J2391,"AAAAABf67Gw=")</f>
        <v>#VALUE!</v>
      </c>
      <c r="DF178" t="e">
        <f>AND(Sheet1!K2391,"AAAAABf67G0=")</f>
        <v>#VALUE!</v>
      </c>
      <c r="DG178" t="e">
        <f>AND(Sheet1!L2391,"AAAAABf67G4=")</f>
        <v>#VALUE!</v>
      </c>
      <c r="DH178" t="e">
        <f>AND(Sheet1!M2391,"AAAAABf67G8=")</f>
        <v>#VALUE!</v>
      </c>
      <c r="DI178" t="e">
        <f>AND(Sheet1!N2391,"AAAAABf67HA=")</f>
        <v>#VALUE!</v>
      </c>
      <c r="DJ178" t="e">
        <f>AND(Sheet1!#REF!,"AAAAABf67HE=")</f>
        <v>#REF!</v>
      </c>
      <c r="DK178" t="e">
        <f>AND(Sheet1!#REF!,"AAAAABf67HI=")</f>
        <v>#REF!</v>
      </c>
      <c r="DL178" t="e">
        <f>AND(Sheet1!#REF!,"AAAAABf67HM=")</f>
        <v>#REF!</v>
      </c>
      <c r="DM178" t="e">
        <f>AND(Sheet1!#REF!,"AAAAABf67HQ=")</f>
        <v>#REF!</v>
      </c>
      <c r="DN178">
        <f>IF(Sheet1!2392:2392,"AAAAABf67HU=",0)</f>
        <v>0</v>
      </c>
      <c r="DO178" t="e">
        <f>AND(Sheet1!A2392,"AAAAABf67HY=")</f>
        <v>#VALUE!</v>
      </c>
      <c r="DP178" t="e">
        <f>AND(Sheet1!B2392,"AAAAABf67Hc=")</f>
        <v>#VALUE!</v>
      </c>
      <c r="DQ178" t="e">
        <f>AND(Sheet1!C2392,"AAAAABf67Hg=")</f>
        <v>#VALUE!</v>
      </c>
      <c r="DR178" t="e">
        <f>AND(Sheet1!D2392,"AAAAABf67Hk=")</f>
        <v>#VALUE!</v>
      </c>
      <c r="DS178" t="e">
        <f>AND(Sheet1!E2392,"AAAAABf67Ho=")</f>
        <v>#VALUE!</v>
      </c>
      <c r="DT178" t="e">
        <f>AND(Sheet1!F2392,"AAAAABf67Hs=")</f>
        <v>#VALUE!</v>
      </c>
      <c r="DU178" t="e">
        <f>AND(Sheet1!G2392,"AAAAABf67Hw=")</f>
        <v>#VALUE!</v>
      </c>
      <c r="DV178" t="e">
        <f>AND(Sheet1!H2392,"AAAAABf67H0=")</f>
        <v>#VALUE!</v>
      </c>
      <c r="DW178" t="e">
        <f>AND(Sheet1!I2392,"AAAAABf67H4=")</f>
        <v>#VALUE!</v>
      </c>
      <c r="DX178" t="e">
        <f>AND(Sheet1!J2392,"AAAAABf67H8=")</f>
        <v>#VALUE!</v>
      </c>
      <c r="DY178" t="e">
        <f>AND(Sheet1!K2392,"AAAAABf67IA=")</f>
        <v>#VALUE!</v>
      </c>
      <c r="DZ178" t="e">
        <f>AND(Sheet1!L2392,"AAAAABf67IE=")</f>
        <v>#VALUE!</v>
      </c>
      <c r="EA178" t="e">
        <f>AND(Sheet1!M2392,"AAAAABf67II=")</f>
        <v>#VALUE!</v>
      </c>
      <c r="EB178" t="e">
        <f>AND(Sheet1!N2392,"AAAAABf67IM=")</f>
        <v>#VALUE!</v>
      </c>
      <c r="EC178" t="e">
        <f>AND(Sheet1!#REF!,"AAAAABf67IQ=")</f>
        <v>#REF!</v>
      </c>
      <c r="ED178" t="e">
        <f>AND(Sheet1!#REF!,"AAAAABf67IU=")</f>
        <v>#REF!</v>
      </c>
      <c r="EE178" t="e">
        <f>AND(Sheet1!#REF!,"AAAAABf67IY=")</f>
        <v>#REF!</v>
      </c>
      <c r="EF178" t="e">
        <f>AND(Sheet1!#REF!,"AAAAABf67Ic=")</f>
        <v>#REF!</v>
      </c>
      <c r="EG178">
        <f>IF(Sheet1!2393:2393,"AAAAABf67Ig=",0)</f>
        <v>0</v>
      </c>
      <c r="EH178" t="e">
        <f>AND(Sheet1!A2393,"AAAAABf67Ik=")</f>
        <v>#VALUE!</v>
      </c>
      <c r="EI178" t="e">
        <f>AND(Sheet1!B2393,"AAAAABf67Io=")</f>
        <v>#VALUE!</v>
      </c>
      <c r="EJ178" t="e">
        <f>AND(Sheet1!C2393,"AAAAABf67Is=")</f>
        <v>#VALUE!</v>
      </c>
      <c r="EK178" t="e">
        <f>AND(Sheet1!D2393,"AAAAABf67Iw=")</f>
        <v>#VALUE!</v>
      </c>
      <c r="EL178" t="e">
        <f>AND(Sheet1!E2393,"AAAAABf67I0=")</f>
        <v>#VALUE!</v>
      </c>
      <c r="EM178" t="e">
        <f>AND(Sheet1!F2393,"AAAAABf67I4=")</f>
        <v>#VALUE!</v>
      </c>
      <c r="EN178" t="e">
        <f>AND(Sheet1!G2393,"AAAAABf67I8=")</f>
        <v>#VALUE!</v>
      </c>
      <c r="EO178" t="e">
        <f>AND(Sheet1!H2393,"AAAAABf67JA=")</f>
        <v>#VALUE!</v>
      </c>
      <c r="EP178" t="e">
        <f>AND(Sheet1!I2393,"AAAAABf67JE=")</f>
        <v>#VALUE!</v>
      </c>
      <c r="EQ178" t="e">
        <f>AND(Sheet1!J2393,"AAAAABf67JI=")</f>
        <v>#VALUE!</v>
      </c>
      <c r="ER178" t="e">
        <f>AND(Sheet1!K2393,"AAAAABf67JM=")</f>
        <v>#VALUE!</v>
      </c>
      <c r="ES178" t="e">
        <f>AND(Sheet1!L2393,"AAAAABf67JQ=")</f>
        <v>#VALUE!</v>
      </c>
      <c r="ET178" t="e">
        <f>AND(Sheet1!M2393,"AAAAABf67JU=")</f>
        <v>#VALUE!</v>
      </c>
      <c r="EU178" t="e">
        <f>AND(Sheet1!N2393,"AAAAABf67JY=")</f>
        <v>#VALUE!</v>
      </c>
      <c r="EV178" t="e">
        <f>AND(Sheet1!#REF!,"AAAAABf67Jc=")</f>
        <v>#REF!</v>
      </c>
      <c r="EW178" t="e">
        <f>AND(Sheet1!#REF!,"AAAAABf67Jg=")</f>
        <v>#REF!</v>
      </c>
      <c r="EX178" t="e">
        <f>AND(Sheet1!#REF!,"AAAAABf67Jk=")</f>
        <v>#REF!</v>
      </c>
      <c r="EY178" t="e">
        <f>AND(Sheet1!#REF!,"AAAAABf67Jo=")</f>
        <v>#REF!</v>
      </c>
      <c r="EZ178">
        <f>IF(Sheet1!2394:2394,"AAAAABf67Js=",0)</f>
        <v>0</v>
      </c>
      <c r="FA178" t="e">
        <f>AND(Sheet1!A2394,"AAAAABf67Jw=")</f>
        <v>#VALUE!</v>
      </c>
      <c r="FB178" t="e">
        <f>AND(Sheet1!B2394,"AAAAABf67J0=")</f>
        <v>#VALUE!</v>
      </c>
      <c r="FC178" t="e">
        <f>AND(Sheet1!C2394,"AAAAABf67J4=")</f>
        <v>#VALUE!</v>
      </c>
      <c r="FD178" t="e">
        <f>AND(Sheet1!D2394,"AAAAABf67J8=")</f>
        <v>#VALUE!</v>
      </c>
      <c r="FE178" t="e">
        <f>AND(Sheet1!E2394,"AAAAABf67KA=")</f>
        <v>#VALUE!</v>
      </c>
      <c r="FF178" t="e">
        <f>AND(Sheet1!F2394,"AAAAABf67KE=")</f>
        <v>#VALUE!</v>
      </c>
      <c r="FG178" t="e">
        <f>AND(Sheet1!G2394,"AAAAABf67KI=")</f>
        <v>#VALUE!</v>
      </c>
      <c r="FH178" t="e">
        <f>AND(Sheet1!H2394,"AAAAABf67KM=")</f>
        <v>#VALUE!</v>
      </c>
      <c r="FI178" t="e">
        <f>AND(Sheet1!I2394,"AAAAABf67KQ=")</f>
        <v>#VALUE!</v>
      </c>
      <c r="FJ178" t="e">
        <f>AND(Sheet1!J2394,"AAAAABf67KU=")</f>
        <v>#VALUE!</v>
      </c>
      <c r="FK178" t="e">
        <f>AND(Sheet1!K2394,"AAAAABf67KY=")</f>
        <v>#VALUE!</v>
      </c>
      <c r="FL178" t="e">
        <f>AND(Sheet1!L2394,"AAAAABf67Kc=")</f>
        <v>#VALUE!</v>
      </c>
      <c r="FM178" t="e">
        <f>AND(Sheet1!M2394,"AAAAABf67Kg=")</f>
        <v>#VALUE!</v>
      </c>
      <c r="FN178" t="e">
        <f>AND(Sheet1!N2394,"AAAAABf67Kk=")</f>
        <v>#VALUE!</v>
      </c>
      <c r="FO178" t="e">
        <f>AND(Sheet1!#REF!,"AAAAABf67Ko=")</f>
        <v>#REF!</v>
      </c>
      <c r="FP178" t="e">
        <f>AND(Sheet1!#REF!,"AAAAABf67Ks=")</f>
        <v>#REF!</v>
      </c>
      <c r="FQ178" t="e">
        <f>AND(Sheet1!#REF!,"AAAAABf67Kw=")</f>
        <v>#REF!</v>
      </c>
      <c r="FR178" t="e">
        <f>AND(Sheet1!#REF!,"AAAAABf67K0=")</f>
        <v>#REF!</v>
      </c>
      <c r="FS178">
        <f>IF(Sheet1!2395:2395,"AAAAABf67K4=",0)</f>
        <v>0</v>
      </c>
      <c r="FT178" t="e">
        <f>AND(Sheet1!A2395,"AAAAABf67K8=")</f>
        <v>#VALUE!</v>
      </c>
      <c r="FU178" t="e">
        <f>AND(Sheet1!B2395,"AAAAABf67LA=")</f>
        <v>#VALUE!</v>
      </c>
      <c r="FV178" t="e">
        <f>AND(Sheet1!C2395,"AAAAABf67LE=")</f>
        <v>#VALUE!</v>
      </c>
      <c r="FW178" t="e">
        <f>AND(Sheet1!D2395,"AAAAABf67LI=")</f>
        <v>#VALUE!</v>
      </c>
      <c r="FX178" t="e">
        <f>AND(Sheet1!E2395,"AAAAABf67LM=")</f>
        <v>#VALUE!</v>
      </c>
      <c r="FY178" t="e">
        <f>AND(Sheet1!F2395,"AAAAABf67LQ=")</f>
        <v>#VALUE!</v>
      </c>
      <c r="FZ178" t="e">
        <f>AND(Sheet1!G2395,"AAAAABf67LU=")</f>
        <v>#VALUE!</v>
      </c>
      <c r="GA178" t="e">
        <f>AND(Sheet1!H2395,"AAAAABf67LY=")</f>
        <v>#VALUE!</v>
      </c>
      <c r="GB178" t="e">
        <f>AND(Sheet1!I2395,"AAAAABf67Lc=")</f>
        <v>#VALUE!</v>
      </c>
      <c r="GC178" t="e">
        <f>AND(Sheet1!J2395,"AAAAABf67Lg=")</f>
        <v>#VALUE!</v>
      </c>
      <c r="GD178" t="e">
        <f>AND(Sheet1!K2395,"AAAAABf67Lk=")</f>
        <v>#VALUE!</v>
      </c>
      <c r="GE178" t="e">
        <f>AND(Sheet1!L2395,"AAAAABf67Lo=")</f>
        <v>#VALUE!</v>
      </c>
      <c r="GF178" t="e">
        <f>AND(Sheet1!M2395,"AAAAABf67Ls=")</f>
        <v>#VALUE!</v>
      </c>
      <c r="GG178" t="e">
        <f>AND(Sheet1!N2395,"AAAAABf67Lw=")</f>
        <v>#VALUE!</v>
      </c>
      <c r="GH178" t="e">
        <f>AND(Sheet1!#REF!,"AAAAABf67L0=")</f>
        <v>#REF!</v>
      </c>
      <c r="GI178" t="e">
        <f>AND(Sheet1!#REF!,"AAAAABf67L4=")</f>
        <v>#REF!</v>
      </c>
      <c r="GJ178" t="e">
        <f>AND(Sheet1!#REF!,"AAAAABf67L8=")</f>
        <v>#REF!</v>
      </c>
      <c r="GK178" t="e">
        <f>AND(Sheet1!#REF!,"AAAAABf67MA=")</f>
        <v>#REF!</v>
      </c>
      <c r="GL178">
        <f>IF(Sheet1!2396:2396,"AAAAABf67ME=",0)</f>
        <v>0</v>
      </c>
      <c r="GM178" t="e">
        <f>AND(Sheet1!A2396,"AAAAABf67MI=")</f>
        <v>#VALUE!</v>
      </c>
      <c r="GN178" t="e">
        <f>AND(Sheet1!B2396,"AAAAABf67MM=")</f>
        <v>#VALUE!</v>
      </c>
      <c r="GO178" t="e">
        <f>AND(Sheet1!C2396,"AAAAABf67MQ=")</f>
        <v>#VALUE!</v>
      </c>
      <c r="GP178" t="e">
        <f>AND(Sheet1!D2396,"AAAAABf67MU=")</f>
        <v>#VALUE!</v>
      </c>
      <c r="GQ178" t="e">
        <f>AND(Sheet1!E2396,"AAAAABf67MY=")</f>
        <v>#VALUE!</v>
      </c>
      <c r="GR178" t="e">
        <f>AND(Sheet1!F2396,"AAAAABf67Mc=")</f>
        <v>#VALUE!</v>
      </c>
      <c r="GS178" t="e">
        <f>AND(Sheet1!G2396,"AAAAABf67Mg=")</f>
        <v>#VALUE!</v>
      </c>
      <c r="GT178" t="e">
        <f>AND(Sheet1!H2396,"AAAAABf67Mk=")</f>
        <v>#VALUE!</v>
      </c>
      <c r="GU178" t="e">
        <f>AND(Sheet1!I2396,"AAAAABf67Mo=")</f>
        <v>#VALUE!</v>
      </c>
      <c r="GV178" t="e">
        <f>AND(Sheet1!J2396,"AAAAABf67Ms=")</f>
        <v>#VALUE!</v>
      </c>
      <c r="GW178" t="e">
        <f>AND(Sheet1!K2396,"AAAAABf67Mw=")</f>
        <v>#VALUE!</v>
      </c>
      <c r="GX178" t="e">
        <f>AND(Sheet1!L2396,"AAAAABf67M0=")</f>
        <v>#VALUE!</v>
      </c>
      <c r="GY178" t="e">
        <f>AND(Sheet1!M2396,"AAAAABf67M4=")</f>
        <v>#VALUE!</v>
      </c>
      <c r="GZ178" t="e">
        <f>AND(Sheet1!N2396,"AAAAABf67M8=")</f>
        <v>#VALUE!</v>
      </c>
      <c r="HA178" t="e">
        <f>AND(Sheet1!#REF!,"AAAAABf67NA=")</f>
        <v>#REF!</v>
      </c>
      <c r="HB178" t="e">
        <f>AND(Sheet1!#REF!,"AAAAABf67NE=")</f>
        <v>#REF!</v>
      </c>
      <c r="HC178" t="e">
        <f>AND(Sheet1!#REF!,"AAAAABf67NI=")</f>
        <v>#REF!</v>
      </c>
      <c r="HD178" t="e">
        <f>AND(Sheet1!#REF!,"AAAAABf67NM=")</f>
        <v>#REF!</v>
      </c>
      <c r="HE178">
        <f>IF(Sheet1!2397:2397,"AAAAABf67NQ=",0)</f>
        <v>0</v>
      </c>
      <c r="HF178" t="e">
        <f>AND(Sheet1!A2397,"AAAAABf67NU=")</f>
        <v>#VALUE!</v>
      </c>
      <c r="HG178" t="e">
        <f>AND(Sheet1!B2397,"AAAAABf67NY=")</f>
        <v>#VALUE!</v>
      </c>
      <c r="HH178" t="e">
        <f>AND(Sheet1!C2397,"AAAAABf67Nc=")</f>
        <v>#VALUE!</v>
      </c>
      <c r="HI178" t="e">
        <f>AND(Sheet1!D2397,"AAAAABf67Ng=")</f>
        <v>#VALUE!</v>
      </c>
      <c r="HJ178" t="e">
        <f>AND(Sheet1!E2397,"AAAAABf67Nk=")</f>
        <v>#VALUE!</v>
      </c>
      <c r="HK178" t="e">
        <f>AND(Sheet1!F2397,"AAAAABf67No=")</f>
        <v>#VALUE!</v>
      </c>
      <c r="HL178" t="e">
        <f>AND(Sheet1!G2397,"AAAAABf67Ns=")</f>
        <v>#VALUE!</v>
      </c>
      <c r="HM178" t="e">
        <f>AND(Sheet1!H2397,"AAAAABf67Nw=")</f>
        <v>#VALUE!</v>
      </c>
      <c r="HN178" t="e">
        <f>AND(Sheet1!I2397,"AAAAABf67N0=")</f>
        <v>#VALUE!</v>
      </c>
      <c r="HO178" t="e">
        <f>AND(Sheet1!J2397,"AAAAABf67N4=")</f>
        <v>#VALUE!</v>
      </c>
      <c r="HP178" t="e">
        <f>AND(Sheet1!K2397,"AAAAABf67N8=")</f>
        <v>#VALUE!</v>
      </c>
      <c r="HQ178" t="e">
        <f>AND(Sheet1!L2397,"AAAAABf67OA=")</f>
        <v>#VALUE!</v>
      </c>
      <c r="HR178" t="e">
        <f>AND(Sheet1!M2397,"AAAAABf67OE=")</f>
        <v>#VALUE!</v>
      </c>
      <c r="HS178" t="e">
        <f>AND(Sheet1!N2397,"AAAAABf67OI=")</f>
        <v>#VALUE!</v>
      </c>
      <c r="HT178" t="e">
        <f>AND(Sheet1!#REF!,"AAAAABf67OM=")</f>
        <v>#REF!</v>
      </c>
      <c r="HU178" t="e">
        <f>AND(Sheet1!#REF!,"AAAAABf67OQ=")</f>
        <v>#REF!</v>
      </c>
      <c r="HV178" t="e">
        <f>AND(Sheet1!#REF!,"AAAAABf67OU=")</f>
        <v>#REF!</v>
      </c>
      <c r="HW178" t="e">
        <f>AND(Sheet1!#REF!,"AAAAABf67OY=")</f>
        <v>#REF!</v>
      </c>
      <c r="HX178">
        <f>IF(Sheet1!2398:2398,"AAAAABf67Oc=",0)</f>
        <v>0</v>
      </c>
      <c r="HY178" t="e">
        <f>AND(Sheet1!A2398,"AAAAABf67Og=")</f>
        <v>#VALUE!</v>
      </c>
      <c r="HZ178" t="e">
        <f>AND(Sheet1!B2398,"AAAAABf67Ok=")</f>
        <v>#VALUE!</v>
      </c>
      <c r="IA178" t="e">
        <f>AND(Sheet1!C2398,"AAAAABf67Oo=")</f>
        <v>#VALUE!</v>
      </c>
      <c r="IB178" t="e">
        <f>AND(Sheet1!D2398,"AAAAABf67Os=")</f>
        <v>#VALUE!</v>
      </c>
      <c r="IC178" t="e">
        <f>AND(Sheet1!E2398,"AAAAABf67Ow=")</f>
        <v>#VALUE!</v>
      </c>
      <c r="ID178" t="e">
        <f>AND(Sheet1!F2398,"AAAAABf67O0=")</f>
        <v>#VALUE!</v>
      </c>
      <c r="IE178" t="e">
        <f>AND(Sheet1!G2398,"AAAAABf67O4=")</f>
        <v>#VALUE!</v>
      </c>
      <c r="IF178" t="e">
        <f>AND(Sheet1!H2398,"AAAAABf67O8=")</f>
        <v>#VALUE!</v>
      </c>
      <c r="IG178" t="e">
        <f>AND(Sheet1!I2398,"AAAAABf67PA=")</f>
        <v>#VALUE!</v>
      </c>
      <c r="IH178" t="e">
        <f>AND(Sheet1!J2398,"AAAAABf67PE=")</f>
        <v>#VALUE!</v>
      </c>
      <c r="II178" t="e">
        <f>AND(Sheet1!K2398,"AAAAABf67PI=")</f>
        <v>#VALUE!</v>
      </c>
      <c r="IJ178" t="e">
        <f>AND(Sheet1!L2398,"AAAAABf67PM=")</f>
        <v>#VALUE!</v>
      </c>
      <c r="IK178" t="e">
        <f>AND(Sheet1!M2398,"AAAAABf67PQ=")</f>
        <v>#VALUE!</v>
      </c>
      <c r="IL178" t="e">
        <f>AND(Sheet1!N2398,"AAAAABf67PU=")</f>
        <v>#VALUE!</v>
      </c>
      <c r="IM178" t="e">
        <f>AND(Sheet1!#REF!,"AAAAABf67PY=")</f>
        <v>#REF!</v>
      </c>
      <c r="IN178" t="e">
        <f>AND(Sheet1!#REF!,"AAAAABf67Pc=")</f>
        <v>#REF!</v>
      </c>
      <c r="IO178" t="e">
        <f>AND(Sheet1!#REF!,"AAAAABf67Pg=")</f>
        <v>#REF!</v>
      </c>
      <c r="IP178" t="e">
        <f>AND(Sheet1!#REF!,"AAAAABf67Pk=")</f>
        <v>#REF!</v>
      </c>
      <c r="IQ178">
        <f>IF(Sheet1!2399:2399,"AAAAABf67Po=",0)</f>
        <v>0</v>
      </c>
      <c r="IR178" t="e">
        <f>AND(Sheet1!A2399,"AAAAABf67Ps=")</f>
        <v>#VALUE!</v>
      </c>
      <c r="IS178" t="e">
        <f>AND(Sheet1!B2399,"AAAAABf67Pw=")</f>
        <v>#VALUE!</v>
      </c>
      <c r="IT178" t="e">
        <f>AND(Sheet1!C2399,"AAAAABf67P0=")</f>
        <v>#VALUE!</v>
      </c>
      <c r="IU178" t="e">
        <f>AND(Sheet1!D2399,"AAAAABf67P4=")</f>
        <v>#VALUE!</v>
      </c>
      <c r="IV178" t="e">
        <f>AND(Sheet1!E2399,"AAAAABf67P8=")</f>
        <v>#VALUE!</v>
      </c>
    </row>
    <row r="179" spans="1:256" x14ac:dyDescent="0.2">
      <c r="A179" t="e">
        <f>AND(Sheet1!F2399,"AAAAAD829gA=")</f>
        <v>#VALUE!</v>
      </c>
      <c r="B179" t="e">
        <f>AND(Sheet1!G2399,"AAAAAD829gE=")</f>
        <v>#VALUE!</v>
      </c>
      <c r="C179" t="e">
        <f>AND(Sheet1!H2399,"AAAAAD829gI=")</f>
        <v>#VALUE!</v>
      </c>
      <c r="D179" t="e">
        <f>AND(Sheet1!I2399,"AAAAAD829gM=")</f>
        <v>#VALUE!</v>
      </c>
      <c r="E179" t="e">
        <f>AND(Sheet1!J2399,"AAAAAD829gQ=")</f>
        <v>#VALUE!</v>
      </c>
      <c r="F179" t="e">
        <f>AND(Sheet1!K2399,"AAAAAD829gU=")</f>
        <v>#VALUE!</v>
      </c>
      <c r="G179" t="e">
        <f>AND(Sheet1!L2399,"AAAAAD829gY=")</f>
        <v>#VALUE!</v>
      </c>
      <c r="H179" t="e">
        <f>AND(Sheet1!M2399,"AAAAAD829gc=")</f>
        <v>#VALUE!</v>
      </c>
      <c r="I179" t="e">
        <f>AND(Sheet1!N2399,"AAAAAD829gg=")</f>
        <v>#VALUE!</v>
      </c>
      <c r="J179" t="e">
        <f>AND(Sheet1!#REF!,"AAAAAD829gk=")</f>
        <v>#REF!</v>
      </c>
      <c r="K179" t="e">
        <f>AND(Sheet1!#REF!,"AAAAAD829go=")</f>
        <v>#REF!</v>
      </c>
      <c r="L179" t="e">
        <f>AND(Sheet1!#REF!,"AAAAAD829gs=")</f>
        <v>#REF!</v>
      </c>
      <c r="M179" t="e">
        <f>AND(Sheet1!#REF!,"AAAAAD829gw=")</f>
        <v>#REF!</v>
      </c>
      <c r="N179" t="e">
        <f>IF(Sheet1!2400:2400,"AAAAAD829g0=",0)</f>
        <v>#VALUE!</v>
      </c>
      <c r="O179" t="e">
        <f>AND(Sheet1!A2400,"AAAAAD829g4=")</f>
        <v>#VALUE!</v>
      </c>
      <c r="P179" t="e">
        <f>AND(Sheet1!B2400,"AAAAAD829g8=")</f>
        <v>#VALUE!</v>
      </c>
      <c r="Q179" t="e">
        <f>AND(Sheet1!C2400,"AAAAAD829hA=")</f>
        <v>#VALUE!</v>
      </c>
      <c r="R179" t="e">
        <f>AND(Sheet1!D2400,"AAAAAD829hE=")</f>
        <v>#VALUE!</v>
      </c>
      <c r="S179" t="e">
        <f>AND(Sheet1!E2400,"AAAAAD829hI=")</f>
        <v>#VALUE!</v>
      </c>
      <c r="T179" t="e">
        <f>AND(Sheet1!F2400,"AAAAAD829hM=")</f>
        <v>#VALUE!</v>
      </c>
      <c r="U179" t="e">
        <f>AND(Sheet1!G2400,"AAAAAD829hQ=")</f>
        <v>#VALUE!</v>
      </c>
      <c r="V179" t="e">
        <f>AND(Sheet1!H2400,"AAAAAD829hU=")</f>
        <v>#VALUE!</v>
      </c>
      <c r="W179" t="e">
        <f>AND(Sheet1!I2400,"AAAAAD829hY=")</f>
        <v>#VALUE!</v>
      </c>
      <c r="X179" t="e">
        <f>AND(Sheet1!J2400,"AAAAAD829hc=")</f>
        <v>#VALUE!</v>
      </c>
      <c r="Y179" t="e">
        <f>AND(Sheet1!K2400,"AAAAAD829hg=")</f>
        <v>#VALUE!</v>
      </c>
      <c r="Z179" t="e">
        <f>AND(Sheet1!L2400,"AAAAAD829hk=")</f>
        <v>#VALUE!</v>
      </c>
      <c r="AA179" t="e">
        <f>AND(Sheet1!M2400,"AAAAAD829ho=")</f>
        <v>#VALUE!</v>
      </c>
      <c r="AB179" t="e">
        <f>AND(Sheet1!N2400,"AAAAAD829hs=")</f>
        <v>#VALUE!</v>
      </c>
      <c r="AC179" t="e">
        <f>AND(Sheet1!#REF!,"AAAAAD829hw=")</f>
        <v>#REF!</v>
      </c>
      <c r="AD179" t="e">
        <f>AND(Sheet1!#REF!,"AAAAAD829h0=")</f>
        <v>#REF!</v>
      </c>
      <c r="AE179" t="e">
        <f>AND(Sheet1!#REF!,"AAAAAD829h4=")</f>
        <v>#REF!</v>
      </c>
      <c r="AF179" t="e">
        <f>AND(Sheet1!#REF!,"AAAAAD829h8=")</f>
        <v>#REF!</v>
      </c>
      <c r="AG179">
        <f>IF(Sheet1!2401:2401,"AAAAAD829iA=",0)</f>
        <v>0</v>
      </c>
      <c r="AH179" t="e">
        <f>AND(Sheet1!A2401,"AAAAAD829iE=")</f>
        <v>#VALUE!</v>
      </c>
      <c r="AI179" t="e">
        <f>AND(Sheet1!B2401,"AAAAAD829iI=")</f>
        <v>#VALUE!</v>
      </c>
      <c r="AJ179" t="e">
        <f>AND(Sheet1!C2401,"AAAAAD829iM=")</f>
        <v>#VALUE!</v>
      </c>
      <c r="AK179" t="e">
        <f>AND(Sheet1!D2401,"AAAAAD829iQ=")</f>
        <v>#VALUE!</v>
      </c>
      <c r="AL179" t="e">
        <f>AND(Sheet1!E2401,"AAAAAD829iU=")</f>
        <v>#VALUE!</v>
      </c>
      <c r="AM179" t="e">
        <f>AND(Sheet1!F2401,"AAAAAD829iY=")</f>
        <v>#VALUE!</v>
      </c>
      <c r="AN179" t="e">
        <f>AND(Sheet1!G2401,"AAAAAD829ic=")</f>
        <v>#VALUE!</v>
      </c>
      <c r="AO179" t="e">
        <f>AND(Sheet1!H2401,"AAAAAD829ig=")</f>
        <v>#VALUE!</v>
      </c>
      <c r="AP179" t="e">
        <f>AND(Sheet1!I2401,"AAAAAD829ik=")</f>
        <v>#VALUE!</v>
      </c>
      <c r="AQ179" t="e">
        <f>AND(Sheet1!J2401,"AAAAAD829io=")</f>
        <v>#VALUE!</v>
      </c>
      <c r="AR179" t="e">
        <f>AND(Sheet1!K2401,"AAAAAD829is=")</f>
        <v>#VALUE!</v>
      </c>
      <c r="AS179" t="e">
        <f>AND(Sheet1!L2401,"AAAAAD829iw=")</f>
        <v>#VALUE!</v>
      </c>
      <c r="AT179" t="e">
        <f>AND(Sheet1!M2401,"AAAAAD829i0=")</f>
        <v>#VALUE!</v>
      </c>
      <c r="AU179" t="e">
        <f>AND(Sheet1!N2401,"AAAAAD829i4=")</f>
        <v>#VALUE!</v>
      </c>
      <c r="AV179" t="e">
        <f>AND(Sheet1!#REF!,"AAAAAD829i8=")</f>
        <v>#REF!</v>
      </c>
      <c r="AW179" t="e">
        <f>AND(Sheet1!#REF!,"AAAAAD829jA=")</f>
        <v>#REF!</v>
      </c>
      <c r="AX179" t="e">
        <f>AND(Sheet1!#REF!,"AAAAAD829jE=")</f>
        <v>#REF!</v>
      </c>
      <c r="AY179" t="e">
        <f>AND(Sheet1!#REF!,"AAAAAD829jI=")</f>
        <v>#REF!</v>
      </c>
      <c r="AZ179">
        <f>IF(Sheet1!2402:2402,"AAAAAD829jM=",0)</f>
        <v>0</v>
      </c>
      <c r="BA179" t="e">
        <f>AND(Sheet1!A2402,"AAAAAD829jQ=")</f>
        <v>#VALUE!</v>
      </c>
      <c r="BB179" t="e">
        <f>AND(Sheet1!B2402,"AAAAAD829jU=")</f>
        <v>#VALUE!</v>
      </c>
      <c r="BC179" t="e">
        <f>AND(Sheet1!C2402,"AAAAAD829jY=")</f>
        <v>#VALUE!</v>
      </c>
      <c r="BD179" t="e">
        <f>AND(Sheet1!D2402,"AAAAAD829jc=")</f>
        <v>#VALUE!</v>
      </c>
      <c r="BE179" t="e">
        <f>AND(Sheet1!E2402,"AAAAAD829jg=")</f>
        <v>#VALUE!</v>
      </c>
      <c r="BF179" t="e">
        <f>AND(Sheet1!F2402,"AAAAAD829jk=")</f>
        <v>#VALUE!</v>
      </c>
      <c r="BG179" t="e">
        <f>AND(Sheet1!G2402,"AAAAAD829jo=")</f>
        <v>#VALUE!</v>
      </c>
      <c r="BH179" t="e">
        <f>AND(Sheet1!H2402,"AAAAAD829js=")</f>
        <v>#VALUE!</v>
      </c>
      <c r="BI179" t="e">
        <f>AND(Sheet1!I2402,"AAAAAD829jw=")</f>
        <v>#VALUE!</v>
      </c>
      <c r="BJ179" t="e">
        <f>AND(Sheet1!J2402,"AAAAAD829j0=")</f>
        <v>#VALUE!</v>
      </c>
      <c r="BK179" t="e">
        <f>AND(Sheet1!K2402,"AAAAAD829j4=")</f>
        <v>#VALUE!</v>
      </c>
      <c r="BL179" t="e">
        <f>AND(Sheet1!L2402,"AAAAAD829j8=")</f>
        <v>#VALUE!</v>
      </c>
      <c r="BM179" t="e">
        <f>AND(Sheet1!M2402,"AAAAAD829kA=")</f>
        <v>#VALUE!</v>
      </c>
      <c r="BN179" t="e">
        <f>AND(Sheet1!N2402,"AAAAAD829kE=")</f>
        <v>#VALUE!</v>
      </c>
      <c r="BO179" t="e">
        <f>AND(Sheet1!#REF!,"AAAAAD829kI=")</f>
        <v>#REF!</v>
      </c>
      <c r="BP179" t="e">
        <f>AND(Sheet1!#REF!,"AAAAAD829kM=")</f>
        <v>#REF!</v>
      </c>
      <c r="BQ179" t="e">
        <f>AND(Sheet1!#REF!,"AAAAAD829kQ=")</f>
        <v>#REF!</v>
      </c>
      <c r="BR179" t="e">
        <f>AND(Sheet1!#REF!,"AAAAAD829kU=")</f>
        <v>#REF!</v>
      </c>
      <c r="BS179">
        <f>IF(Sheet1!2403:2403,"AAAAAD829kY=",0)</f>
        <v>0</v>
      </c>
      <c r="BT179" t="e">
        <f>AND(Sheet1!A2403,"AAAAAD829kc=")</f>
        <v>#VALUE!</v>
      </c>
      <c r="BU179" t="e">
        <f>AND(Sheet1!B2403,"AAAAAD829kg=")</f>
        <v>#VALUE!</v>
      </c>
      <c r="BV179" t="e">
        <f>AND(Sheet1!C2403,"AAAAAD829kk=")</f>
        <v>#VALUE!</v>
      </c>
      <c r="BW179" t="e">
        <f>AND(Sheet1!D2403,"AAAAAD829ko=")</f>
        <v>#VALUE!</v>
      </c>
      <c r="BX179" t="e">
        <f>AND(Sheet1!E2403,"AAAAAD829ks=")</f>
        <v>#VALUE!</v>
      </c>
      <c r="BY179" t="e">
        <f>AND(Sheet1!F2403,"AAAAAD829kw=")</f>
        <v>#VALUE!</v>
      </c>
      <c r="BZ179" t="e">
        <f>AND(Sheet1!G2403,"AAAAAD829k0=")</f>
        <v>#VALUE!</v>
      </c>
      <c r="CA179" t="e">
        <f>AND(Sheet1!H2403,"AAAAAD829k4=")</f>
        <v>#VALUE!</v>
      </c>
      <c r="CB179" t="e">
        <f>AND(Sheet1!I2403,"AAAAAD829k8=")</f>
        <v>#VALUE!</v>
      </c>
      <c r="CC179" t="e">
        <f>AND(Sheet1!J2403,"AAAAAD829lA=")</f>
        <v>#VALUE!</v>
      </c>
      <c r="CD179" t="e">
        <f>AND(Sheet1!K2403,"AAAAAD829lE=")</f>
        <v>#VALUE!</v>
      </c>
      <c r="CE179" t="e">
        <f>AND(Sheet1!L2403,"AAAAAD829lI=")</f>
        <v>#VALUE!</v>
      </c>
      <c r="CF179" t="e">
        <f>AND(Sheet1!M2403,"AAAAAD829lM=")</f>
        <v>#VALUE!</v>
      </c>
      <c r="CG179" t="e">
        <f>AND(Sheet1!N2403,"AAAAAD829lQ=")</f>
        <v>#VALUE!</v>
      </c>
      <c r="CH179" t="e">
        <f>AND(Sheet1!#REF!,"AAAAAD829lU=")</f>
        <v>#REF!</v>
      </c>
      <c r="CI179" t="e">
        <f>AND(Sheet1!#REF!,"AAAAAD829lY=")</f>
        <v>#REF!</v>
      </c>
      <c r="CJ179" t="e">
        <f>AND(Sheet1!#REF!,"AAAAAD829lc=")</f>
        <v>#REF!</v>
      </c>
      <c r="CK179" t="e">
        <f>AND(Sheet1!#REF!,"AAAAAD829lg=")</f>
        <v>#REF!</v>
      </c>
      <c r="CL179">
        <f>IF(Sheet1!2404:2404,"AAAAAD829lk=",0)</f>
        <v>0</v>
      </c>
      <c r="CM179" t="e">
        <f>AND(Sheet1!A2404,"AAAAAD829lo=")</f>
        <v>#VALUE!</v>
      </c>
      <c r="CN179" t="e">
        <f>AND(Sheet1!B2404,"AAAAAD829ls=")</f>
        <v>#VALUE!</v>
      </c>
      <c r="CO179" t="e">
        <f>AND(Sheet1!C2404,"AAAAAD829lw=")</f>
        <v>#VALUE!</v>
      </c>
      <c r="CP179" t="e">
        <f>AND(Sheet1!D2404,"AAAAAD829l0=")</f>
        <v>#VALUE!</v>
      </c>
      <c r="CQ179" t="e">
        <f>AND(Sheet1!E2404,"AAAAAD829l4=")</f>
        <v>#VALUE!</v>
      </c>
      <c r="CR179" t="e">
        <f>AND(Sheet1!F2404,"AAAAAD829l8=")</f>
        <v>#VALUE!</v>
      </c>
      <c r="CS179" t="e">
        <f>AND(Sheet1!G2404,"AAAAAD829mA=")</f>
        <v>#VALUE!</v>
      </c>
      <c r="CT179" t="e">
        <f>AND(Sheet1!H2404,"AAAAAD829mE=")</f>
        <v>#VALUE!</v>
      </c>
      <c r="CU179" t="e">
        <f>AND(Sheet1!I2404,"AAAAAD829mI=")</f>
        <v>#VALUE!</v>
      </c>
      <c r="CV179" t="e">
        <f>AND(Sheet1!J2404,"AAAAAD829mM=")</f>
        <v>#VALUE!</v>
      </c>
      <c r="CW179" t="e">
        <f>AND(Sheet1!K2404,"AAAAAD829mQ=")</f>
        <v>#VALUE!</v>
      </c>
      <c r="CX179" t="e">
        <f>AND(Sheet1!L2404,"AAAAAD829mU=")</f>
        <v>#VALUE!</v>
      </c>
      <c r="CY179" t="e">
        <f>AND(Sheet1!M2404,"AAAAAD829mY=")</f>
        <v>#VALUE!</v>
      </c>
      <c r="CZ179" t="e">
        <f>AND(Sheet1!N2404,"AAAAAD829mc=")</f>
        <v>#VALUE!</v>
      </c>
      <c r="DA179" t="e">
        <f>AND(Sheet1!#REF!,"AAAAAD829mg=")</f>
        <v>#REF!</v>
      </c>
      <c r="DB179" t="e">
        <f>AND(Sheet1!#REF!,"AAAAAD829mk=")</f>
        <v>#REF!</v>
      </c>
      <c r="DC179" t="e">
        <f>AND(Sheet1!#REF!,"AAAAAD829mo=")</f>
        <v>#REF!</v>
      </c>
      <c r="DD179" t="e">
        <f>AND(Sheet1!#REF!,"AAAAAD829ms=")</f>
        <v>#REF!</v>
      </c>
      <c r="DE179">
        <f>IF(Sheet1!2405:2405,"AAAAAD829mw=",0)</f>
        <v>0</v>
      </c>
      <c r="DF179" t="e">
        <f>AND(Sheet1!A2405,"AAAAAD829m0=")</f>
        <v>#VALUE!</v>
      </c>
      <c r="DG179" t="e">
        <f>AND(Sheet1!B2405,"AAAAAD829m4=")</f>
        <v>#VALUE!</v>
      </c>
      <c r="DH179" t="e">
        <f>AND(Sheet1!C2405,"AAAAAD829m8=")</f>
        <v>#VALUE!</v>
      </c>
      <c r="DI179" t="e">
        <f>AND(Sheet1!D2405,"AAAAAD829nA=")</f>
        <v>#VALUE!</v>
      </c>
      <c r="DJ179" t="e">
        <f>AND(Sheet1!E2405,"AAAAAD829nE=")</f>
        <v>#VALUE!</v>
      </c>
      <c r="DK179" t="e">
        <f>AND(Sheet1!F2405,"AAAAAD829nI=")</f>
        <v>#VALUE!</v>
      </c>
      <c r="DL179" t="e">
        <f>AND(Sheet1!G2405,"AAAAAD829nM=")</f>
        <v>#VALUE!</v>
      </c>
      <c r="DM179" t="e">
        <f>AND(Sheet1!H2405,"AAAAAD829nQ=")</f>
        <v>#VALUE!</v>
      </c>
      <c r="DN179" t="e">
        <f>AND(Sheet1!I2405,"AAAAAD829nU=")</f>
        <v>#VALUE!</v>
      </c>
      <c r="DO179" t="e">
        <f>AND(Sheet1!J2405,"AAAAAD829nY=")</f>
        <v>#VALUE!</v>
      </c>
      <c r="DP179" t="e">
        <f>AND(Sheet1!K2405,"AAAAAD829nc=")</f>
        <v>#VALUE!</v>
      </c>
      <c r="DQ179" t="e">
        <f>AND(Sheet1!L2405,"AAAAAD829ng=")</f>
        <v>#VALUE!</v>
      </c>
      <c r="DR179" t="e">
        <f>AND(Sheet1!M2405,"AAAAAD829nk=")</f>
        <v>#VALUE!</v>
      </c>
      <c r="DS179" t="e">
        <f>AND(Sheet1!N2405,"AAAAAD829no=")</f>
        <v>#VALUE!</v>
      </c>
      <c r="DT179" t="e">
        <f>AND(Sheet1!#REF!,"AAAAAD829ns=")</f>
        <v>#REF!</v>
      </c>
      <c r="DU179" t="e">
        <f>AND(Sheet1!#REF!,"AAAAAD829nw=")</f>
        <v>#REF!</v>
      </c>
      <c r="DV179" t="e">
        <f>AND(Sheet1!#REF!,"AAAAAD829n0=")</f>
        <v>#REF!</v>
      </c>
      <c r="DW179" t="e">
        <f>AND(Sheet1!#REF!,"AAAAAD829n4=")</f>
        <v>#REF!</v>
      </c>
      <c r="DX179">
        <f>IF(Sheet1!2406:2406,"AAAAAD829n8=",0)</f>
        <v>0</v>
      </c>
      <c r="DY179" t="e">
        <f>AND(Sheet1!A2406,"AAAAAD829oA=")</f>
        <v>#VALUE!</v>
      </c>
      <c r="DZ179" t="e">
        <f>AND(Sheet1!B2406,"AAAAAD829oE=")</f>
        <v>#VALUE!</v>
      </c>
      <c r="EA179" t="e">
        <f>AND(Sheet1!C2406,"AAAAAD829oI=")</f>
        <v>#VALUE!</v>
      </c>
      <c r="EB179" t="e">
        <f>AND(Sheet1!D2406,"AAAAAD829oM=")</f>
        <v>#VALUE!</v>
      </c>
      <c r="EC179" t="e">
        <f>AND(Sheet1!E2406,"AAAAAD829oQ=")</f>
        <v>#VALUE!</v>
      </c>
      <c r="ED179" t="e">
        <f>AND(Sheet1!F2406,"AAAAAD829oU=")</f>
        <v>#VALUE!</v>
      </c>
      <c r="EE179" t="e">
        <f>AND(Sheet1!G2406,"AAAAAD829oY=")</f>
        <v>#VALUE!</v>
      </c>
      <c r="EF179" t="e">
        <f>AND(Sheet1!H2406,"AAAAAD829oc=")</f>
        <v>#VALUE!</v>
      </c>
      <c r="EG179" t="e">
        <f>AND(Sheet1!I2406,"AAAAAD829og=")</f>
        <v>#VALUE!</v>
      </c>
      <c r="EH179" t="e">
        <f>AND(Sheet1!J2406,"AAAAAD829ok=")</f>
        <v>#VALUE!</v>
      </c>
      <c r="EI179" t="e">
        <f>AND(Sheet1!K2406,"AAAAAD829oo=")</f>
        <v>#VALUE!</v>
      </c>
      <c r="EJ179" t="e">
        <f>AND(Sheet1!L2406,"AAAAAD829os=")</f>
        <v>#VALUE!</v>
      </c>
      <c r="EK179" t="e">
        <f>AND(Sheet1!M2406,"AAAAAD829ow=")</f>
        <v>#VALUE!</v>
      </c>
      <c r="EL179" t="e">
        <f>AND(Sheet1!N2406,"AAAAAD829o0=")</f>
        <v>#VALUE!</v>
      </c>
      <c r="EM179" t="e">
        <f>AND(Sheet1!#REF!,"AAAAAD829o4=")</f>
        <v>#REF!</v>
      </c>
      <c r="EN179" t="e">
        <f>AND(Sheet1!#REF!,"AAAAAD829o8=")</f>
        <v>#REF!</v>
      </c>
      <c r="EO179" t="e">
        <f>AND(Sheet1!#REF!,"AAAAAD829pA=")</f>
        <v>#REF!</v>
      </c>
      <c r="EP179" t="e">
        <f>AND(Sheet1!#REF!,"AAAAAD829pE=")</f>
        <v>#REF!</v>
      </c>
      <c r="EQ179">
        <f>IF(Sheet1!2407:2407,"AAAAAD829pI=",0)</f>
        <v>0</v>
      </c>
      <c r="ER179" t="e">
        <f>AND(Sheet1!A2407,"AAAAAD829pM=")</f>
        <v>#VALUE!</v>
      </c>
      <c r="ES179" t="e">
        <f>AND(Sheet1!B2407,"AAAAAD829pQ=")</f>
        <v>#VALUE!</v>
      </c>
      <c r="ET179" t="e">
        <f>AND(Sheet1!C2407,"AAAAAD829pU=")</f>
        <v>#VALUE!</v>
      </c>
      <c r="EU179" t="e">
        <f>AND(Sheet1!D2407,"AAAAAD829pY=")</f>
        <v>#VALUE!</v>
      </c>
      <c r="EV179" t="e">
        <f>AND(Sheet1!E2407,"AAAAAD829pc=")</f>
        <v>#VALUE!</v>
      </c>
      <c r="EW179" t="e">
        <f>AND(Sheet1!F2407,"AAAAAD829pg=")</f>
        <v>#VALUE!</v>
      </c>
      <c r="EX179" t="e">
        <f>AND(Sheet1!G2407,"AAAAAD829pk=")</f>
        <v>#VALUE!</v>
      </c>
      <c r="EY179" t="e">
        <f>AND(Sheet1!H2407,"AAAAAD829po=")</f>
        <v>#VALUE!</v>
      </c>
      <c r="EZ179" t="e">
        <f>AND(Sheet1!I2407,"AAAAAD829ps=")</f>
        <v>#VALUE!</v>
      </c>
      <c r="FA179" t="e">
        <f>AND(Sheet1!J2407,"AAAAAD829pw=")</f>
        <v>#VALUE!</v>
      </c>
      <c r="FB179" t="e">
        <f>AND(Sheet1!K2407,"AAAAAD829p0=")</f>
        <v>#VALUE!</v>
      </c>
      <c r="FC179" t="e">
        <f>AND(Sheet1!L2407,"AAAAAD829p4=")</f>
        <v>#VALUE!</v>
      </c>
      <c r="FD179" t="e">
        <f>AND(Sheet1!M2407,"AAAAAD829p8=")</f>
        <v>#VALUE!</v>
      </c>
      <c r="FE179" t="e">
        <f>AND(Sheet1!N2407,"AAAAAD829qA=")</f>
        <v>#VALUE!</v>
      </c>
      <c r="FF179" t="e">
        <f>AND(Sheet1!#REF!,"AAAAAD829qE=")</f>
        <v>#REF!</v>
      </c>
      <c r="FG179" t="e">
        <f>AND(Sheet1!#REF!,"AAAAAD829qI=")</f>
        <v>#REF!</v>
      </c>
      <c r="FH179" t="e">
        <f>AND(Sheet1!#REF!,"AAAAAD829qM=")</f>
        <v>#REF!</v>
      </c>
      <c r="FI179" t="e">
        <f>AND(Sheet1!#REF!,"AAAAAD829qQ=")</f>
        <v>#REF!</v>
      </c>
      <c r="FJ179">
        <f>IF(Sheet1!2408:2408,"AAAAAD829qU=",0)</f>
        <v>0</v>
      </c>
      <c r="FK179" t="e">
        <f>AND(Sheet1!A2408,"AAAAAD829qY=")</f>
        <v>#VALUE!</v>
      </c>
      <c r="FL179" t="e">
        <f>AND(Sheet1!B2408,"AAAAAD829qc=")</f>
        <v>#VALUE!</v>
      </c>
      <c r="FM179" t="e">
        <f>AND(Sheet1!C2408,"AAAAAD829qg=")</f>
        <v>#VALUE!</v>
      </c>
      <c r="FN179" t="e">
        <f>AND(Sheet1!D2408,"AAAAAD829qk=")</f>
        <v>#VALUE!</v>
      </c>
      <c r="FO179" t="e">
        <f>AND(Sheet1!E2408,"AAAAAD829qo=")</f>
        <v>#VALUE!</v>
      </c>
      <c r="FP179" t="e">
        <f>AND(Sheet1!F2408,"AAAAAD829qs=")</f>
        <v>#VALUE!</v>
      </c>
      <c r="FQ179" t="e">
        <f>AND(Sheet1!G2408,"AAAAAD829qw=")</f>
        <v>#VALUE!</v>
      </c>
      <c r="FR179" t="e">
        <f>AND(Sheet1!H2408,"AAAAAD829q0=")</f>
        <v>#VALUE!</v>
      </c>
      <c r="FS179" t="e">
        <f>AND(Sheet1!I2408,"AAAAAD829q4=")</f>
        <v>#VALUE!</v>
      </c>
      <c r="FT179" t="e">
        <f>AND(Sheet1!J2408,"AAAAAD829q8=")</f>
        <v>#VALUE!</v>
      </c>
      <c r="FU179" t="e">
        <f>AND(Sheet1!K2408,"AAAAAD829rA=")</f>
        <v>#VALUE!</v>
      </c>
      <c r="FV179" t="e">
        <f>AND(Sheet1!L2408,"AAAAAD829rE=")</f>
        <v>#VALUE!</v>
      </c>
      <c r="FW179" t="e">
        <f>AND(Sheet1!M2408,"AAAAAD829rI=")</f>
        <v>#VALUE!</v>
      </c>
      <c r="FX179" t="e">
        <f>AND(Sheet1!N2408,"AAAAAD829rM=")</f>
        <v>#VALUE!</v>
      </c>
      <c r="FY179" t="e">
        <f>AND(Sheet1!#REF!,"AAAAAD829rQ=")</f>
        <v>#REF!</v>
      </c>
      <c r="FZ179" t="e">
        <f>AND(Sheet1!#REF!,"AAAAAD829rU=")</f>
        <v>#REF!</v>
      </c>
      <c r="GA179" t="e">
        <f>AND(Sheet1!#REF!,"AAAAAD829rY=")</f>
        <v>#REF!</v>
      </c>
      <c r="GB179" t="e">
        <f>AND(Sheet1!#REF!,"AAAAAD829rc=")</f>
        <v>#REF!</v>
      </c>
      <c r="GC179">
        <f>IF(Sheet1!2409:2409,"AAAAAD829rg=",0)</f>
        <v>0</v>
      </c>
      <c r="GD179" t="e">
        <f>AND(Sheet1!A2409,"AAAAAD829rk=")</f>
        <v>#VALUE!</v>
      </c>
      <c r="GE179" t="e">
        <f>AND(Sheet1!B2409,"AAAAAD829ro=")</f>
        <v>#VALUE!</v>
      </c>
      <c r="GF179" t="e">
        <f>AND(Sheet1!C2409,"AAAAAD829rs=")</f>
        <v>#VALUE!</v>
      </c>
      <c r="GG179" t="e">
        <f>AND(Sheet1!D2409,"AAAAAD829rw=")</f>
        <v>#VALUE!</v>
      </c>
      <c r="GH179" t="e">
        <f>AND(Sheet1!E2409,"AAAAAD829r0=")</f>
        <v>#VALUE!</v>
      </c>
      <c r="GI179" t="e">
        <f>AND(Sheet1!F2409,"AAAAAD829r4=")</f>
        <v>#VALUE!</v>
      </c>
      <c r="GJ179" t="e">
        <f>AND(Sheet1!G2409,"AAAAAD829r8=")</f>
        <v>#VALUE!</v>
      </c>
      <c r="GK179" t="e">
        <f>AND(Sheet1!H2409,"AAAAAD829sA=")</f>
        <v>#VALUE!</v>
      </c>
      <c r="GL179" t="e">
        <f>AND(Sheet1!I2409,"AAAAAD829sE=")</f>
        <v>#VALUE!</v>
      </c>
      <c r="GM179" t="e">
        <f>AND(Sheet1!J2409,"AAAAAD829sI=")</f>
        <v>#VALUE!</v>
      </c>
      <c r="GN179" t="e">
        <f>AND(Sheet1!K2409,"AAAAAD829sM=")</f>
        <v>#VALUE!</v>
      </c>
      <c r="GO179" t="e">
        <f>AND(Sheet1!L2409,"AAAAAD829sQ=")</f>
        <v>#VALUE!</v>
      </c>
      <c r="GP179" t="e">
        <f>AND(Sheet1!M2409,"AAAAAD829sU=")</f>
        <v>#VALUE!</v>
      </c>
      <c r="GQ179" t="e">
        <f>AND(Sheet1!N2409,"AAAAAD829sY=")</f>
        <v>#VALUE!</v>
      </c>
      <c r="GR179" t="e">
        <f>AND(Sheet1!#REF!,"AAAAAD829sc=")</f>
        <v>#REF!</v>
      </c>
      <c r="GS179" t="e">
        <f>AND(Sheet1!#REF!,"AAAAAD829sg=")</f>
        <v>#REF!</v>
      </c>
      <c r="GT179" t="e">
        <f>AND(Sheet1!#REF!,"AAAAAD829sk=")</f>
        <v>#REF!</v>
      </c>
      <c r="GU179" t="e">
        <f>AND(Sheet1!#REF!,"AAAAAD829so=")</f>
        <v>#REF!</v>
      </c>
      <c r="GV179">
        <f>IF(Sheet1!2410:2410,"AAAAAD829ss=",0)</f>
        <v>0</v>
      </c>
      <c r="GW179" t="e">
        <f>AND(Sheet1!A2410,"AAAAAD829sw=")</f>
        <v>#VALUE!</v>
      </c>
      <c r="GX179" t="e">
        <f>AND(Sheet1!B2410,"AAAAAD829s0=")</f>
        <v>#VALUE!</v>
      </c>
      <c r="GY179" t="e">
        <f>AND(Sheet1!C2410,"AAAAAD829s4=")</f>
        <v>#VALUE!</v>
      </c>
      <c r="GZ179" t="e">
        <f>AND(Sheet1!D2410,"AAAAAD829s8=")</f>
        <v>#VALUE!</v>
      </c>
      <c r="HA179" t="e">
        <f>AND(Sheet1!E2410,"AAAAAD829tA=")</f>
        <v>#VALUE!</v>
      </c>
      <c r="HB179" t="e">
        <f>AND(Sheet1!F2410,"AAAAAD829tE=")</f>
        <v>#VALUE!</v>
      </c>
      <c r="HC179" t="e">
        <f>AND(Sheet1!G2410,"AAAAAD829tI=")</f>
        <v>#VALUE!</v>
      </c>
      <c r="HD179" t="e">
        <f>AND(Sheet1!H2410,"AAAAAD829tM=")</f>
        <v>#VALUE!</v>
      </c>
      <c r="HE179" t="e">
        <f>AND(Sheet1!I2410,"AAAAAD829tQ=")</f>
        <v>#VALUE!</v>
      </c>
      <c r="HF179" t="e">
        <f>AND(Sheet1!J2410,"AAAAAD829tU=")</f>
        <v>#VALUE!</v>
      </c>
      <c r="HG179" t="e">
        <f>AND(Sheet1!K2410,"AAAAAD829tY=")</f>
        <v>#VALUE!</v>
      </c>
      <c r="HH179" t="e">
        <f>AND(Sheet1!L2410,"AAAAAD829tc=")</f>
        <v>#VALUE!</v>
      </c>
      <c r="HI179" t="e">
        <f>AND(Sheet1!M2410,"AAAAAD829tg=")</f>
        <v>#VALUE!</v>
      </c>
      <c r="HJ179" t="e">
        <f>AND(Sheet1!N2410,"AAAAAD829tk=")</f>
        <v>#VALUE!</v>
      </c>
      <c r="HK179" t="e">
        <f>AND(Sheet1!#REF!,"AAAAAD829to=")</f>
        <v>#REF!</v>
      </c>
      <c r="HL179" t="e">
        <f>AND(Sheet1!#REF!,"AAAAAD829ts=")</f>
        <v>#REF!</v>
      </c>
      <c r="HM179" t="e">
        <f>AND(Sheet1!#REF!,"AAAAAD829tw=")</f>
        <v>#REF!</v>
      </c>
      <c r="HN179" t="e">
        <f>AND(Sheet1!#REF!,"AAAAAD829t0=")</f>
        <v>#REF!</v>
      </c>
      <c r="HO179">
        <f>IF(Sheet1!2411:2411,"AAAAAD829t4=",0)</f>
        <v>0</v>
      </c>
      <c r="HP179" t="e">
        <f>AND(Sheet1!A2411,"AAAAAD829t8=")</f>
        <v>#VALUE!</v>
      </c>
      <c r="HQ179" t="e">
        <f>AND(Sheet1!B2411,"AAAAAD829uA=")</f>
        <v>#VALUE!</v>
      </c>
      <c r="HR179" t="e">
        <f>AND(Sheet1!C2411,"AAAAAD829uE=")</f>
        <v>#VALUE!</v>
      </c>
      <c r="HS179" t="e">
        <f>AND(Sheet1!D2411,"AAAAAD829uI=")</f>
        <v>#VALUE!</v>
      </c>
      <c r="HT179" t="e">
        <f>AND(Sheet1!E2411,"AAAAAD829uM=")</f>
        <v>#VALUE!</v>
      </c>
      <c r="HU179" t="e">
        <f>AND(Sheet1!F2411,"AAAAAD829uQ=")</f>
        <v>#VALUE!</v>
      </c>
      <c r="HV179" t="e">
        <f>AND(Sheet1!G2411,"AAAAAD829uU=")</f>
        <v>#VALUE!</v>
      </c>
      <c r="HW179" t="e">
        <f>AND(Sheet1!H2411,"AAAAAD829uY=")</f>
        <v>#VALUE!</v>
      </c>
      <c r="HX179" t="e">
        <f>AND(Sheet1!I2411,"AAAAAD829uc=")</f>
        <v>#VALUE!</v>
      </c>
      <c r="HY179" t="e">
        <f>AND(Sheet1!J2411,"AAAAAD829ug=")</f>
        <v>#VALUE!</v>
      </c>
      <c r="HZ179" t="e">
        <f>AND(Sheet1!K2411,"AAAAAD829uk=")</f>
        <v>#VALUE!</v>
      </c>
      <c r="IA179" t="e">
        <f>AND(Sheet1!L2411,"AAAAAD829uo=")</f>
        <v>#VALUE!</v>
      </c>
      <c r="IB179" t="e">
        <f>AND(Sheet1!M2411,"AAAAAD829us=")</f>
        <v>#VALUE!</v>
      </c>
      <c r="IC179" t="e">
        <f>AND(Sheet1!N2411,"AAAAAD829uw=")</f>
        <v>#VALUE!</v>
      </c>
      <c r="ID179" t="e">
        <f>AND(Sheet1!#REF!,"AAAAAD829u0=")</f>
        <v>#REF!</v>
      </c>
      <c r="IE179" t="e">
        <f>AND(Sheet1!#REF!,"AAAAAD829u4=")</f>
        <v>#REF!</v>
      </c>
      <c r="IF179" t="e">
        <f>AND(Sheet1!#REF!,"AAAAAD829u8=")</f>
        <v>#REF!</v>
      </c>
      <c r="IG179" t="e">
        <f>AND(Sheet1!#REF!,"AAAAAD829vA=")</f>
        <v>#REF!</v>
      </c>
      <c r="IH179">
        <f>IF(Sheet1!2412:2412,"AAAAAD829vE=",0)</f>
        <v>0</v>
      </c>
      <c r="II179" t="e">
        <f>AND(Sheet1!A2412,"AAAAAD829vI=")</f>
        <v>#VALUE!</v>
      </c>
      <c r="IJ179" t="e">
        <f>AND(Sheet1!B2412,"AAAAAD829vM=")</f>
        <v>#VALUE!</v>
      </c>
      <c r="IK179" t="e">
        <f>AND(Sheet1!C2412,"AAAAAD829vQ=")</f>
        <v>#VALUE!</v>
      </c>
      <c r="IL179" t="e">
        <f>AND(Sheet1!D2412,"AAAAAD829vU=")</f>
        <v>#VALUE!</v>
      </c>
      <c r="IM179" t="e">
        <f>AND(Sheet1!E2412,"AAAAAD829vY=")</f>
        <v>#VALUE!</v>
      </c>
      <c r="IN179" t="e">
        <f>AND(Sheet1!F2412,"AAAAAD829vc=")</f>
        <v>#VALUE!</v>
      </c>
      <c r="IO179" t="e">
        <f>AND(Sheet1!G2412,"AAAAAD829vg=")</f>
        <v>#VALUE!</v>
      </c>
      <c r="IP179" t="e">
        <f>AND(Sheet1!H2412,"AAAAAD829vk=")</f>
        <v>#VALUE!</v>
      </c>
      <c r="IQ179" t="e">
        <f>AND(Sheet1!I2412,"AAAAAD829vo=")</f>
        <v>#VALUE!</v>
      </c>
      <c r="IR179" t="e">
        <f>AND(Sheet1!J2412,"AAAAAD829vs=")</f>
        <v>#VALUE!</v>
      </c>
      <c r="IS179" t="e">
        <f>AND(Sheet1!K2412,"AAAAAD829vw=")</f>
        <v>#VALUE!</v>
      </c>
      <c r="IT179" t="e">
        <f>AND(Sheet1!L2412,"AAAAAD829v0=")</f>
        <v>#VALUE!</v>
      </c>
      <c r="IU179" t="e">
        <f>AND(Sheet1!M2412,"AAAAAD829v4=")</f>
        <v>#VALUE!</v>
      </c>
      <c r="IV179" t="e">
        <f>AND(Sheet1!N2412,"AAAAAD829v8=")</f>
        <v>#VALUE!</v>
      </c>
    </row>
    <row r="180" spans="1:256" x14ac:dyDescent="0.2">
      <c r="A180" t="e">
        <f>AND(Sheet1!#REF!,"AAAAADfv3wA=")</f>
        <v>#REF!</v>
      </c>
      <c r="B180" t="e">
        <f>AND(Sheet1!#REF!,"AAAAADfv3wE=")</f>
        <v>#REF!</v>
      </c>
      <c r="C180" t="e">
        <f>AND(Sheet1!#REF!,"AAAAADfv3wI=")</f>
        <v>#REF!</v>
      </c>
      <c r="D180" t="e">
        <f>AND(Sheet1!#REF!,"AAAAADfv3wM=")</f>
        <v>#REF!</v>
      </c>
      <c r="E180" t="e">
        <f>IF(Sheet1!2413:2413,"AAAAADfv3wQ=",0)</f>
        <v>#VALUE!</v>
      </c>
      <c r="F180" t="e">
        <f>AND(Sheet1!A2413,"AAAAADfv3wU=")</f>
        <v>#VALUE!</v>
      </c>
      <c r="G180" t="e">
        <f>AND(Sheet1!B2413,"AAAAADfv3wY=")</f>
        <v>#VALUE!</v>
      </c>
      <c r="H180" t="e">
        <f>AND(Sheet1!C2413,"AAAAADfv3wc=")</f>
        <v>#VALUE!</v>
      </c>
      <c r="I180" t="e">
        <f>AND(Sheet1!D2413,"AAAAADfv3wg=")</f>
        <v>#VALUE!</v>
      </c>
      <c r="J180" t="e">
        <f>AND(Sheet1!E2413,"AAAAADfv3wk=")</f>
        <v>#VALUE!</v>
      </c>
      <c r="K180" t="e">
        <f>AND(Sheet1!F2413,"AAAAADfv3wo=")</f>
        <v>#VALUE!</v>
      </c>
      <c r="L180" t="e">
        <f>AND(Sheet1!G2413,"AAAAADfv3ws=")</f>
        <v>#VALUE!</v>
      </c>
      <c r="M180" t="e">
        <f>AND(Sheet1!H2413,"AAAAADfv3ww=")</f>
        <v>#VALUE!</v>
      </c>
      <c r="N180" t="e">
        <f>AND(Sheet1!I2413,"AAAAADfv3w0=")</f>
        <v>#VALUE!</v>
      </c>
      <c r="O180" t="e">
        <f>AND(Sheet1!J2413,"AAAAADfv3w4=")</f>
        <v>#VALUE!</v>
      </c>
      <c r="P180" t="e">
        <f>AND(Sheet1!K2413,"AAAAADfv3w8=")</f>
        <v>#VALUE!</v>
      </c>
      <c r="Q180" t="e">
        <f>AND(Sheet1!L2413,"AAAAADfv3xA=")</f>
        <v>#VALUE!</v>
      </c>
      <c r="R180" t="e">
        <f>AND(Sheet1!M2413,"AAAAADfv3xE=")</f>
        <v>#VALUE!</v>
      </c>
      <c r="S180" t="e">
        <f>AND(Sheet1!N2413,"AAAAADfv3xI=")</f>
        <v>#VALUE!</v>
      </c>
      <c r="T180" t="e">
        <f>AND(Sheet1!#REF!,"AAAAADfv3xM=")</f>
        <v>#REF!</v>
      </c>
      <c r="U180" t="e">
        <f>AND(Sheet1!#REF!,"AAAAADfv3xQ=")</f>
        <v>#REF!</v>
      </c>
      <c r="V180" t="e">
        <f>AND(Sheet1!#REF!,"AAAAADfv3xU=")</f>
        <v>#REF!</v>
      </c>
      <c r="W180" t="e">
        <f>AND(Sheet1!#REF!,"AAAAADfv3xY=")</f>
        <v>#REF!</v>
      </c>
      <c r="X180">
        <f>IF(Sheet1!2414:2414,"AAAAADfv3xc=",0)</f>
        <v>0</v>
      </c>
      <c r="Y180" t="e">
        <f>AND(Sheet1!A2414,"AAAAADfv3xg=")</f>
        <v>#VALUE!</v>
      </c>
      <c r="Z180" t="e">
        <f>AND(Sheet1!B2414,"AAAAADfv3xk=")</f>
        <v>#VALUE!</v>
      </c>
      <c r="AA180" t="e">
        <f>AND(Sheet1!C2414,"AAAAADfv3xo=")</f>
        <v>#VALUE!</v>
      </c>
      <c r="AB180" t="e">
        <f>AND(Sheet1!D2414,"AAAAADfv3xs=")</f>
        <v>#VALUE!</v>
      </c>
      <c r="AC180" t="e">
        <f>AND(Sheet1!E2414,"AAAAADfv3xw=")</f>
        <v>#VALUE!</v>
      </c>
      <c r="AD180" t="e">
        <f>AND(Sheet1!F2414,"AAAAADfv3x0=")</f>
        <v>#VALUE!</v>
      </c>
      <c r="AE180" t="e">
        <f>AND(Sheet1!G2414,"AAAAADfv3x4=")</f>
        <v>#VALUE!</v>
      </c>
      <c r="AF180" t="e">
        <f>AND(Sheet1!H2414,"AAAAADfv3x8=")</f>
        <v>#VALUE!</v>
      </c>
      <c r="AG180" t="e">
        <f>AND(Sheet1!I2414,"AAAAADfv3yA=")</f>
        <v>#VALUE!</v>
      </c>
      <c r="AH180" t="e">
        <f>AND(Sheet1!J2414,"AAAAADfv3yE=")</f>
        <v>#VALUE!</v>
      </c>
      <c r="AI180" t="e">
        <f>AND(Sheet1!K2414,"AAAAADfv3yI=")</f>
        <v>#VALUE!</v>
      </c>
      <c r="AJ180" t="e">
        <f>AND(Sheet1!L2414,"AAAAADfv3yM=")</f>
        <v>#VALUE!</v>
      </c>
      <c r="AK180" t="e">
        <f>AND(Sheet1!M2414,"AAAAADfv3yQ=")</f>
        <v>#VALUE!</v>
      </c>
      <c r="AL180" t="e">
        <f>AND(Sheet1!N2414,"AAAAADfv3yU=")</f>
        <v>#VALUE!</v>
      </c>
      <c r="AM180" t="e">
        <f>AND(Sheet1!#REF!,"AAAAADfv3yY=")</f>
        <v>#REF!</v>
      </c>
      <c r="AN180" t="e">
        <f>AND(Sheet1!#REF!,"AAAAADfv3yc=")</f>
        <v>#REF!</v>
      </c>
      <c r="AO180" t="e">
        <f>AND(Sheet1!#REF!,"AAAAADfv3yg=")</f>
        <v>#REF!</v>
      </c>
      <c r="AP180" t="e">
        <f>AND(Sheet1!#REF!,"AAAAADfv3yk=")</f>
        <v>#REF!</v>
      </c>
      <c r="AQ180">
        <f>IF(Sheet1!2415:2415,"AAAAADfv3yo=",0)</f>
        <v>0</v>
      </c>
      <c r="AR180" t="e">
        <f>AND(Sheet1!A2415,"AAAAADfv3ys=")</f>
        <v>#VALUE!</v>
      </c>
      <c r="AS180" t="e">
        <f>AND(Sheet1!B2415,"AAAAADfv3yw=")</f>
        <v>#VALUE!</v>
      </c>
      <c r="AT180" t="e">
        <f>AND(Sheet1!C2415,"AAAAADfv3y0=")</f>
        <v>#VALUE!</v>
      </c>
      <c r="AU180" t="e">
        <f>AND(Sheet1!D2415,"AAAAADfv3y4=")</f>
        <v>#VALUE!</v>
      </c>
      <c r="AV180" t="e">
        <f>AND(Sheet1!E2415,"AAAAADfv3y8=")</f>
        <v>#VALUE!</v>
      </c>
      <c r="AW180" t="e">
        <f>AND(Sheet1!F2415,"AAAAADfv3zA=")</f>
        <v>#VALUE!</v>
      </c>
      <c r="AX180" t="e">
        <f>AND(Sheet1!G2415,"AAAAADfv3zE=")</f>
        <v>#VALUE!</v>
      </c>
      <c r="AY180" t="e">
        <f>AND(Sheet1!H2415,"AAAAADfv3zI=")</f>
        <v>#VALUE!</v>
      </c>
      <c r="AZ180" t="e">
        <f>AND(Sheet1!I2415,"AAAAADfv3zM=")</f>
        <v>#VALUE!</v>
      </c>
      <c r="BA180" t="e">
        <f>AND(Sheet1!J2415,"AAAAADfv3zQ=")</f>
        <v>#VALUE!</v>
      </c>
      <c r="BB180" t="e">
        <f>AND(Sheet1!K2415,"AAAAADfv3zU=")</f>
        <v>#VALUE!</v>
      </c>
      <c r="BC180" t="e">
        <f>AND(Sheet1!L2415,"AAAAADfv3zY=")</f>
        <v>#VALUE!</v>
      </c>
      <c r="BD180" t="e">
        <f>AND(Sheet1!M2415,"AAAAADfv3zc=")</f>
        <v>#VALUE!</v>
      </c>
      <c r="BE180" t="e">
        <f>AND(Sheet1!N2415,"AAAAADfv3zg=")</f>
        <v>#VALUE!</v>
      </c>
      <c r="BF180" t="e">
        <f>AND(Sheet1!#REF!,"AAAAADfv3zk=")</f>
        <v>#REF!</v>
      </c>
      <c r="BG180" t="e">
        <f>AND(Sheet1!#REF!,"AAAAADfv3zo=")</f>
        <v>#REF!</v>
      </c>
      <c r="BH180" t="e">
        <f>AND(Sheet1!#REF!,"AAAAADfv3zs=")</f>
        <v>#REF!</v>
      </c>
      <c r="BI180" t="e">
        <f>AND(Sheet1!#REF!,"AAAAADfv3zw=")</f>
        <v>#REF!</v>
      </c>
      <c r="BJ180">
        <f>IF(Sheet1!2416:2416,"AAAAADfv3z0=",0)</f>
        <v>0</v>
      </c>
      <c r="BK180" t="e">
        <f>AND(Sheet1!A2416,"AAAAADfv3z4=")</f>
        <v>#VALUE!</v>
      </c>
      <c r="BL180" t="e">
        <f>AND(Sheet1!B2416,"AAAAADfv3z8=")</f>
        <v>#VALUE!</v>
      </c>
      <c r="BM180" t="e">
        <f>AND(Sheet1!C2416,"AAAAADfv30A=")</f>
        <v>#VALUE!</v>
      </c>
      <c r="BN180" t="e">
        <f>AND(Sheet1!D2416,"AAAAADfv30E=")</f>
        <v>#VALUE!</v>
      </c>
      <c r="BO180" t="e">
        <f>AND(Sheet1!E2416,"AAAAADfv30I=")</f>
        <v>#VALUE!</v>
      </c>
      <c r="BP180" t="e">
        <f>AND(Sheet1!F2416,"AAAAADfv30M=")</f>
        <v>#VALUE!</v>
      </c>
      <c r="BQ180" t="e">
        <f>AND(Sheet1!G2416,"AAAAADfv30Q=")</f>
        <v>#VALUE!</v>
      </c>
      <c r="BR180" t="e">
        <f>AND(Sheet1!H2416,"AAAAADfv30U=")</f>
        <v>#VALUE!</v>
      </c>
      <c r="BS180" t="e">
        <f>AND(Sheet1!I2416,"AAAAADfv30Y=")</f>
        <v>#VALUE!</v>
      </c>
      <c r="BT180" t="e">
        <f>AND(Sheet1!J2416,"AAAAADfv30c=")</f>
        <v>#VALUE!</v>
      </c>
      <c r="BU180" t="e">
        <f>AND(Sheet1!K2416,"AAAAADfv30g=")</f>
        <v>#VALUE!</v>
      </c>
      <c r="BV180" t="e">
        <f>AND(Sheet1!L2416,"AAAAADfv30k=")</f>
        <v>#VALUE!</v>
      </c>
      <c r="BW180" t="e">
        <f>AND(Sheet1!M2416,"AAAAADfv30o=")</f>
        <v>#VALUE!</v>
      </c>
      <c r="BX180" t="e">
        <f>AND(Sheet1!N2416,"AAAAADfv30s=")</f>
        <v>#VALUE!</v>
      </c>
      <c r="BY180" t="e">
        <f>AND(Sheet1!#REF!,"AAAAADfv30w=")</f>
        <v>#REF!</v>
      </c>
      <c r="BZ180" t="e">
        <f>AND(Sheet1!#REF!,"AAAAADfv300=")</f>
        <v>#REF!</v>
      </c>
      <c r="CA180" t="e">
        <f>AND(Sheet1!#REF!,"AAAAADfv304=")</f>
        <v>#REF!</v>
      </c>
      <c r="CB180" t="e">
        <f>AND(Sheet1!#REF!,"AAAAADfv308=")</f>
        <v>#REF!</v>
      </c>
      <c r="CC180">
        <f>IF(Sheet1!2417:2417,"AAAAADfv31A=",0)</f>
        <v>0</v>
      </c>
      <c r="CD180" t="e">
        <f>AND(Sheet1!A2417,"AAAAADfv31E=")</f>
        <v>#VALUE!</v>
      </c>
      <c r="CE180" t="e">
        <f>AND(Sheet1!B2417,"AAAAADfv31I=")</f>
        <v>#VALUE!</v>
      </c>
      <c r="CF180" t="e">
        <f>AND(Sheet1!C2417,"AAAAADfv31M=")</f>
        <v>#VALUE!</v>
      </c>
      <c r="CG180" t="e">
        <f>AND(Sheet1!D2417,"AAAAADfv31Q=")</f>
        <v>#VALUE!</v>
      </c>
      <c r="CH180" t="e">
        <f>AND(Sheet1!E2417,"AAAAADfv31U=")</f>
        <v>#VALUE!</v>
      </c>
      <c r="CI180" t="e">
        <f>AND(Sheet1!F2417,"AAAAADfv31Y=")</f>
        <v>#VALUE!</v>
      </c>
      <c r="CJ180" t="e">
        <f>AND(Sheet1!G2417,"AAAAADfv31c=")</f>
        <v>#VALUE!</v>
      </c>
      <c r="CK180" t="e">
        <f>AND(Sheet1!H2417,"AAAAADfv31g=")</f>
        <v>#VALUE!</v>
      </c>
      <c r="CL180" t="e">
        <f>AND(Sheet1!I2417,"AAAAADfv31k=")</f>
        <v>#VALUE!</v>
      </c>
      <c r="CM180" t="e">
        <f>AND(Sheet1!J2417,"AAAAADfv31o=")</f>
        <v>#VALUE!</v>
      </c>
      <c r="CN180" t="e">
        <f>AND(Sheet1!K2417,"AAAAADfv31s=")</f>
        <v>#VALUE!</v>
      </c>
      <c r="CO180" t="e">
        <f>AND(Sheet1!L2417,"AAAAADfv31w=")</f>
        <v>#VALUE!</v>
      </c>
      <c r="CP180" t="e">
        <f>AND(Sheet1!M2417,"AAAAADfv310=")</f>
        <v>#VALUE!</v>
      </c>
      <c r="CQ180" t="e">
        <f>AND(Sheet1!N2417,"AAAAADfv314=")</f>
        <v>#VALUE!</v>
      </c>
      <c r="CR180" t="e">
        <f>AND(Sheet1!#REF!,"AAAAADfv318=")</f>
        <v>#REF!</v>
      </c>
      <c r="CS180" t="e">
        <f>AND(Sheet1!#REF!,"AAAAADfv32A=")</f>
        <v>#REF!</v>
      </c>
      <c r="CT180" t="e">
        <f>AND(Sheet1!#REF!,"AAAAADfv32E=")</f>
        <v>#REF!</v>
      </c>
      <c r="CU180" t="e">
        <f>AND(Sheet1!#REF!,"AAAAADfv32I=")</f>
        <v>#REF!</v>
      </c>
      <c r="CV180">
        <f>IF(Sheet1!2418:2418,"AAAAADfv32M=",0)</f>
        <v>0</v>
      </c>
      <c r="CW180" t="e">
        <f>AND(Sheet1!A2418,"AAAAADfv32Q=")</f>
        <v>#VALUE!</v>
      </c>
      <c r="CX180" t="e">
        <f>AND(Sheet1!B2418,"AAAAADfv32U=")</f>
        <v>#VALUE!</v>
      </c>
      <c r="CY180" t="e">
        <f>AND(Sheet1!C2418,"AAAAADfv32Y=")</f>
        <v>#VALUE!</v>
      </c>
      <c r="CZ180" t="e">
        <f>AND(Sheet1!D2418,"AAAAADfv32c=")</f>
        <v>#VALUE!</v>
      </c>
      <c r="DA180" t="e">
        <f>AND(Sheet1!E2418,"AAAAADfv32g=")</f>
        <v>#VALUE!</v>
      </c>
      <c r="DB180" t="e">
        <f>AND(Sheet1!F2418,"AAAAADfv32k=")</f>
        <v>#VALUE!</v>
      </c>
      <c r="DC180" t="e">
        <f>AND(Sheet1!G2418,"AAAAADfv32o=")</f>
        <v>#VALUE!</v>
      </c>
      <c r="DD180" t="e">
        <f>AND(Sheet1!H2418,"AAAAADfv32s=")</f>
        <v>#VALUE!</v>
      </c>
      <c r="DE180" t="e">
        <f>AND(Sheet1!I2418,"AAAAADfv32w=")</f>
        <v>#VALUE!</v>
      </c>
      <c r="DF180" t="e">
        <f>AND(Sheet1!J2418,"AAAAADfv320=")</f>
        <v>#VALUE!</v>
      </c>
      <c r="DG180" t="e">
        <f>AND(Sheet1!K2418,"AAAAADfv324=")</f>
        <v>#VALUE!</v>
      </c>
      <c r="DH180" t="e">
        <f>AND(Sheet1!L2418,"AAAAADfv328=")</f>
        <v>#VALUE!</v>
      </c>
      <c r="DI180" t="e">
        <f>AND(Sheet1!M2418,"AAAAADfv33A=")</f>
        <v>#VALUE!</v>
      </c>
      <c r="DJ180" t="e">
        <f>AND(Sheet1!N2418,"AAAAADfv33E=")</f>
        <v>#VALUE!</v>
      </c>
      <c r="DK180" t="e">
        <f>AND(Sheet1!#REF!,"AAAAADfv33I=")</f>
        <v>#REF!</v>
      </c>
      <c r="DL180" t="e">
        <f>AND(Sheet1!#REF!,"AAAAADfv33M=")</f>
        <v>#REF!</v>
      </c>
      <c r="DM180" t="e">
        <f>AND(Sheet1!#REF!,"AAAAADfv33Q=")</f>
        <v>#REF!</v>
      </c>
      <c r="DN180" t="e">
        <f>AND(Sheet1!#REF!,"AAAAADfv33U=")</f>
        <v>#REF!</v>
      </c>
      <c r="DO180">
        <f>IF(Sheet1!2419:2419,"AAAAADfv33Y=",0)</f>
        <v>0</v>
      </c>
      <c r="DP180" t="e">
        <f>AND(Sheet1!A2419,"AAAAADfv33c=")</f>
        <v>#VALUE!</v>
      </c>
      <c r="DQ180" t="e">
        <f>AND(Sheet1!B2419,"AAAAADfv33g=")</f>
        <v>#VALUE!</v>
      </c>
      <c r="DR180" t="e">
        <f>AND(Sheet1!C2419,"AAAAADfv33k=")</f>
        <v>#VALUE!</v>
      </c>
      <c r="DS180" t="e">
        <f>AND(Sheet1!D2419,"AAAAADfv33o=")</f>
        <v>#VALUE!</v>
      </c>
      <c r="DT180" t="e">
        <f>AND(Sheet1!E2419,"AAAAADfv33s=")</f>
        <v>#VALUE!</v>
      </c>
      <c r="DU180" t="e">
        <f>AND(Sheet1!F2419,"AAAAADfv33w=")</f>
        <v>#VALUE!</v>
      </c>
      <c r="DV180" t="e">
        <f>AND(Sheet1!G2419,"AAAAADfv330=")</f>
        <v>#VALUE!</v>
      </c>
      <c r="DW180" t="e">
        <f>AND(Sheet1!H2419,"AAAAADfv334=")</f>
        <v>#VALUE!</v>
      </c>
      <c r="DX180" t="e">
        <f>AND(Sheet1!I2419,"AAAAADfv338=")</f>
        <v>#VALUE!</v>
      </c>
      <c r="DY180" t="e">
        <f>AND(Sheet1!J2419,"AAAAADfv34A=")</f>
        <v>#VALUE!</v>
      </c>
      <c r="DZ180" t="e">
        <f>AND(Sheet1!K2419,"AAAAADfv34E=")</f>
        <v>#VALUE!</v>
      </c>
      <c r="EA180" t="e">
        <f>AND(Sheet1!L2419,"AAAAADfv34I=")</f>
        <v>#VALUE!</v>
      </c>
      <c r="EB180" t="e">
        <f>AND(Sheet1!M2419,"AAAAADfv34M=")</f>
        <v>#VALUE!</v>
      </c>
      <c r="EC180" t="e">
        <f>AND(Sheet1!N2419,"AAAAADfv34Q=")</f>
        <v>#VALUE!</v>
      </c>
      <c r="ED180" t="e">
        <f>AND(Sheet1!#REF!,"AAAAADfv34U=")</f>
        <v>#REF!</v>
      </c>
      <c r="EE180" t="e">
        <f>AND(Sheet1!#REF!,"AAAAADfv34Y=")</f>
        <v>#REF!</v>
      </c>
      <c r="EF180" t="e">
        <f>AND(Sheet1!#REF!,"AAAAADfv34c=")</f>
        <v>#REF!</v>
      </c>
      <c r="EG180" t="e">
        <f>AND(Sheet1!#REF!,"AAAAADfv34g=")</f>
        <v>#REF!</v>
      </c>
      <c r="EH180">
        <f>IF(Sheet1!2420:2420,"AAAAADfv34k=",0)</f>
        <v>0</v>
      </c>
      <c r="EI180" t="e">
        <f>AND(Sheet1!A2420,"AAAAADfv34o=")</f>
        <v>#VALUE!</v>
      </c>
      <c r="EJ180" t="e">
        <f>AND(Sheet1!B2420,"AAAAADfv34s=")</f>
        <v>#VALUE!</v>
      </c>
      <c r="EK180" t="e">
        <f>AND(Sheet1!C2420,"AAAAADfv34w=")</f>
        <v>#VALUE!</v>
      </c>
      <c r="EL180" t="e">
        <f>AND(Sheet1!D2420,"AAAAADfv340=")</f>
        <v>#VALUE!</v>
      </c>
      <c r="EM180" t="e">
        <f>AND(Sheet1!E2420,"AAAAADfv344=")</f>
        <v>#VALUE!</v>
      </c>
      <c r="EN180" t="e">
        <f>AND(Sheet1!F2420,"AAAAADfv348=")</f>
        <v>#VALUE!</v>
      </c>
      <c r="EO180" t="e">
        <f>AND(Sheet1!G2420,"AAAAADfv35A=")</f>
        <v>#VALUE!</v>
      </c>
      <c r="EP180" t="e">
        <f>AND(Sheet1!H2420,"AAAAADfv35E=")</f>
        <v>#VALUE!</v>
      </c>
      <c r="EQ180" t="e">
        <f>AND(Sheet1!I2420,"AAAAADfv35I=")</f>
        <v>#VALUE!</v>
      </c>
      <c r="ER180" t="e">
        <f>AND(Sheet1!J2420,"AAAAADfv35M=")</f>
        <v>#VALUE!</v>
      </c>
      <c r="ES180" t="e">
        <f>AND(Sheet1!K2420,"AAAAADfv35Q=")</f>
        <v>#VALUE!</v>
      </c>
      <c r="ET180" t="e">
        <f>AND(Sheet1!L2420,"AAAAADfv35U=")</f>
        <v>#VALUE!</v>
      </c>
      <c r="EU180" t="e">
        <f>AND(Sheet1!M2420,"AAAAADfv35Y=")</f>
        <v>#VALUE!</v>
      </c>
      <c r="EV180" t="e">
        <f>AND(Sheet1!N2420,"AAAAADfv35c=")</f>
        <v>#VALUE!</v>
      </c>
      <c r="EW180" t="e">
        <f>AND(Sheet1!#REF!,"AAAAADfv35g=")</f>
        <v>#REF!</v>
      </c>
      <c r="EX180" t="e">
        <f>AND(Sheet1!#REF!,"AAAAADfv35k=")</f>
        <v>#REF!</v>
      </c>
      <c r="EY180" t="e">
        <f>AND(Sheet1!#REF!,"AAAAADfv35o=")</f>
        <v>#REF!</v>
      </c>
      <c r="EZ180" t="e">
        <f>AND(Sheet1!#REF!,"AAAAADfv35s=")</f>
        <v>#REF!</v>
      </c>
      <c r="FA180">
        <f>IF(Sheet1!2421:2421,"AAAAADfv35w=",0)</f>
        <v>0</v>
      </c>
      <c r="FB180" t="e">
        <f>AND(Sheet1!A2421,"AAAAADfv350=")</f>
        <v>#VALUE!</v>
      </c>
      <c r="FC180" t="e">
        <f>AND(Sheet1!B2421,"AAAAADfv354=")</f>
        <v>#VALUE!</v>
      </c>
      <c r="FD180" t="e">
        <f>AND(Sheet1!C2421,"AAAAADfv358=")</f>
        <v>#VALUE!</v>
      </c>
      <c r="FE180" t="e">
        <f>AND(Sheet1!D2421,"AAAAADfv36A=")</f>
        <v>#VALUE!</v>
      </c>
      <c r="FF180" t="e">
        <f>AND(Sheet1!E2421,"AAAAADfv36E=")</f>
        <v>#VALUE!</v>
      </c>
      <c r="FG180" t="e">
        <f>AND(Sheet1!F2421,"AAAAADfv36I=")</f>
        <v>#VALUE!</v>
      </c>
      <c r="FH180" t="e">
        <f>AND(Sheet1!G2421,"AAAAADfv36M=")</f>
        <v>#VALUE!</v>
      </c>
      <c r="FI180" t="e">
        <f>AND(Sheet1!H2421,"AAAAADfv36Q=")</f>
        <v>#VALUE!</v>
      </c>
      <c r="FJ180" t="e">
        <f>AND(Sheet1!I2421,"AAAAADfv36U=")</f>
        <v>#VALUE!</v>
      </c>
      <c r="FK180" t="e">
        <f>AND(Sheet1!J2421,"AAAAADfv36Y=")</f>
        <v>#VALUE!</v>
      </c>
      <c r="FL180" t="e">
        <f>AND(Sheet1!K2421,"AAAAADfv36c=")</f>
        <v>#VALUE!</v>
      </c>
      <c r="FM180" t="e">
        <f>AND(Sheet1!L2421,"AAAAADfv36g=")</f>
        <v>#VALUE!</v>
      </c>
      <c r="FN180" t="e">
        <f>AND(Sheet1!M2421,"AAAAADfv36k=")</f>
        <v>#VALUE!</v>
      </c>
      <c r="FO180" t="e">
        <f>AND(Sheet1!N2421,"AAAAADfv36o=")</f>
        <v>#VALUE!</v>
      </c>
      <c r="FP180" t="e">
        <f>AND(Sheet1!#REF!,"AAAAADfv36s=")</f>
        <v>#REF!</v>
      </c>
      <c r="FQ180" t="e">
        <f>AND(Sheet1!#REF!,"AAAAADfv36w=")</f>
        <v>#REF!</v>
      </c>
      <c r="FR180" t="e">
        <f>AND(Sheet1!#REF!,"AAAAADfv360=")</f>
        <v>#REF!</v>
      </c>
      <c r="FS180" t="e">
        <f>AND(Sheet1!#REF!,"AAAAADfv364=")</f>
        <v>#REF!</v>
      </c>
      <c r="FT180">
        <f>IF(Sheet1!2422:2422,"AAAAADfv368=",0)</f>
        <v>0</v>
      </c>
      <c r="FU180" t="e">
        <f>AND(Sheet1!A2422,"AAAAADfv37A=")</f>
        <v>#VALUE!</v>
      </c>
      <c r="FV180" t="e">
        <f>AND(Sheet1!B2422,"AAAAADfv37E=")</f>
        <v>#VALUE!</v>
      </c>
      <c r="FW180" t="e">
        <f>AND(Sheet1!C2422,"AAAAADfv37I=")</f>
        <v>#VALUE!</v>
      </c>
      <c r="FX180" t="e">
        <f>AND(Sheet1!D2422,"AAAAADfv37M=")</f>
        <v>#VALUE!</v>
      </c>
      <c r="FY180" t="e">
        <f>AND(Sheet1!E2422,"AAAAADfv37Q=")</f>
        <v>#VALUE!</v>
      </c>
      <c r="FZ180" t="e">
        <f>AND(Sheet1!F2422,"AAAAADfv37U=")</f>
        <v>#VALUE!</v>
      </c>
      <c r="GA180" t="e">
        <f>AND(Sheet1!G2422,"AAAAADfv37Y=")</f>
        <v>#VALUE!</v>
      </c>
      <c r="GB180" t="e">
        <f>AND(Sheet1!H2422,"AAAAADfv37c=")</f>
        <v>#VALUE!</v>
      </c>
      <c r="GC180" t="e">
        <f>AND(Sheet1!I2422,"AAAAADfv37g=")</f>
        <v>#VALUE!</v>
      </c>
      <c r="GD180" t="e">
        <f>AND(Sheet1!J2422,"AAAAADfv37k=")</f>
        <v>#VALUE!</v>
      </c>
      <c r="GE180" t="e">
        <f>AND(Sheet1!K2422,"AAAAADfv37o=")</f>
        <v>#VALUE!</v>
      </c>
      <c r="GF180" t="e">
        <f>AND(Sheet1!L2422,"AAAAADfv37s=")</f>
        <v>#VALUE!</v>
      </c>
      <c r="GG180" t="e">
        <f>AND(Sheet1!M2422,"AAAAADfv37w=")</f>
        <v>#VALUE!</v>
      </c>
      <c r="GH180" t="e">
        <f>AND(Sheet1!N2422,"AAAAADfv370=")</f>
        <v>#VALUE!</v>
      </c>
      <c r="GI180" t="e">
        <f>AND(Sheet1!#REF!,"AAAAADfv374=")</f>
        <v>#REF!</v>
      </c>
      <c r="GJ180" t="e">
        <f>AND(Sheet1!#REF!,"AAAAADfv378=")</f>
        <v>#REF!</v>
      </c>
      <c r="GK180" t="e">
        <f>AND(Sheet1!#REF!,"AAAAADfv38A=")</f>
        <v>#REF!</v>
      </c>
      <c r="GL180" t="e">
        <f>AND(Sheet1!#REF!,"AAAAADfv38E=")</f>
        <v>#REF!</v>
      </c>
      <c r="GM180">
        <f>IF(Sheet1!2423:2423,"AAAAADfv38I=",0)</f>
        <v>0</v>
      </c>
      <c r="GN180" t="e">
        <f>AND(Sheet1!A2423,"AAAAADfv38M=")</f>
        <v>#VALUE!</v>
      </c>
      <c r="GO180" t="e">
        <f>AND(Sheet1!B2423,"AAAAADfv38Q=")</f>
        <v>#VALUE!</v>
      </c>
      <c r="GP180" t="e">
        <f>AND(Sheet1!C2423,"AAAAADfv38U=")</f>
        <v>#VALUE!</v>
      </c>
      <c r="GQ180" t="e">
        <f>AND(Sheet1!D2423,"AAAAADfv38Y=")</f>
        <v>#VALUE!</v>
      </c>
      <c r="GR180" t="e">
        <f>AND(Sheet1!E2423,"AAAAADfv38c=")</f>
        <v>#VALUE!</v>
      </c>
      <c r="GS180" t="e">
        <f>AND(Sheet1!F2423,"AAAAADfv38g=")</f>
        <v>#VALUE!</v>
      </c>
      <c r="GT180" t="e">
        <f>AND(Sheet1!G2423,"AAAAADfv38k=")</f>
        <v>#VALUE!</v>
      </c>
      <c r="GU180" t="e">
        <f>AND(Sheet1!H2423,"AAAAADfv38o=")</f>
        <v>#VALUE!</v>
      </c>
      <c r="GV180" t="e">
        <f>AND(Sheet1!I2423,"AAAAADfv38s=")</f>
        <v>#VALUE!</v>
      </c>
      <c r="GW180" t="e">
        <f>AND(Sheet1!J2423,"AAAAADfv38w=")</f>
        <v>#VALUE!</v>
      </c>
      <c r="GX180" t="e">
        <f>AND(Sheet1!K2423,"AAAAADfv380=")</f>
        <v>#VALUE!</v>
      </c>
      <c r="GY180" t="e">
        <f>AND(Sheet1!L2423,"AAAAADfv384=")</f>
        <v>#VALUE!</v>
      </c>
      <c r="GZ180" t="e">
        <f>AND(Sheet1!M2423,"AAAAADfv388=")</f>
        <v>#VALUE!</v>
      </c>
      <c r="HA180" t="e">
        <f>AND(Sheet1!N2423,"AAAAADfv39A=")</f>
        <v>#VALUE!</v>
      </c>
      <c r="HB180" t="e">
        <f>AND(Sheet1!#REF!,"AAAAADfv39E=")</f>
        <v>#REF!</v>
      </c>
      <c r="HC180" t="e">
        <f>AND(Sheet1!#REF!,"AAAAADfv39I=")</f>
        <v>#REF!</v>
      </c>
      <c r="HD180" t="e">
        <f>AND(Sheet1!#REF!,"AAAAADfv39M=")</f>
        <v>#REF!</v>
      </c>
      <c r="HE180" t="e">
        <f>AND(Sheet1!#REF!,"AAAAADfv39Q=")</f>
        <v>#REF!</v>
      </c>
      <c r="HF180">
        <f>IF(Sheet1!2424:2424,"AAAAADfv39U=",0)</f>
        <v>0</v>
      </c>
      <c r="HG180" t="e">
        <f>AND(Sheet1!A2424,"AAAAADfv39Y=")</f>
        <v>#VALUE!</v>
      </c>
      <c r="HH180" t="e">
        <f>AND(Sheet1!B2424,"AAAAADfv39c=")</f>
        <v>#VALUE!</v>
      </c>
      <c r="HI180" t="e">
        <f>AND(Sheet1!C2424,"AAAAADfv39g=")</f>
        <v>#VALUE!</v>
      </c>
      <c r="HJ180" t="e">
        <f>AND(Sheet1!D2424,"AAAAADfv39k=")</f>
        <v>#VALUE!</v>
      </c>
      <c r="HK180" t="e">
        <f>AND(Sheet1!E2424,"AAAAADfv39o=")</f>
        <v>#VALUE!</v>
      </c>
      <c r="HL180" t="e">
        <f>AND(Sheet1!F2424,"AAAAADfv39s=")</f>
        <v>#VALUE!</v>
      </c>
      <c r="HM180" t="e">
        <f>AND(Sheet1!G2424,"AAAAADfv39w=")</f>
        <v>#VALUE!</v>
      </c>
      <c r="HN180" t="e">
        <f>AND(Sheet1!H2424,"AAAAADfv390=")</f>
        <v>#VALUE!</v>
      </c>
      <c r="HO180" t="e">
        <f>AND(Sheet1!I2424,"AAAAADfv394=")</f>
        <v>#VALUE!</v>
      </c>
      <c r="HP180" t="e">
        <f>AND(Sheet1!J2424,"AAAAADfv398=")</f>
        <v>#VALUE!</v>
      </c>
      <c r="HQ180" t="e">
        <f>AND(Sheet1!K2424,"AAAAADfv3+A=")</f>
        <v>#VALUE!</v>
      </c>
      <c r="HR180" t="e">
        <f>AND(Sheet1!L2424,"AAAAADfv3+E=")</f>
        <v>#VALUE!</v>
      </c>
      <c r="HS180" t="e">
        <f>AND(Sheet1!M2424,"AAAAADfv3+I=")</f>
        <v>#VALUE!</v>
      </c>
      <c r="HT180" t="e">
        <f>AND(Sheet1!N2424,"AAAAADfv3+M=")</f>
        <v>#VALUE!</v>
      </c>
      <c r="HU180" t="e">
        <f>AND(Sheet1!#REF!,"AAAAADfv3+Q=")</f>
        <v>#REF!</v>
      </c>
      <c r="HV180" t="e">
        <f>AND(Sheet1!#REF!,"AAAAADfv3+U=")</f>
        <v>#REF!</v>
      </c>
      <c r="HW180" t="e">
        <f>AND(Sheet1!#REF!,"AAAAADfv3+Y=")</f>
        <v>#REF!</v>
      </c>
      <c r="HX180" t="e">
        <f>AND(Sheet1!#REF!,"AAAAADfv3+c=")</f>
        <v>#REF!</v>
      </c>
      <c r="HY180">
        <f>IF(Sheet1!2425:2425,"AAAAADfv3+g=",0)</f>
        <v>0</v>
      </c>
      <c r="HZ180" t="e">
        <f>AND(Sheet1!A2425,"AAAAADfv3+k=")</f>
        <v>#VALUE!</v>
      </c>
      <c r="IA180" t="e">
        <f>AND(Sheet1!B2425,"AAAAADfv3+o=")</f>
        <v>#VALUE!</v>
      </c>
      <c r="IB180" t="e">
        <f>AND(Sheet1!C2425,"AAAAADfv3+s=")</f>
        <v>#VALUE!</v>
      </c>
      <c r="IC180" t="e">
        <f>AND(Sheet1!D2425,"AAAAADfv3+w=")</f>
        <v>#VALUE!</v>
      </c>
      <c r="ID180" t="e">
        <f>AND(Sheet1!E2425,"AAAAADfv3+0=")</f>
        <v>#VALUE!</v>
      </c>
      <c r="IE180" t="e">
        <f>AND(Sheet1!F2425,"AAAAADfv3+4=")</f>
        <v>#VALUE!</v>
      </c>
      <c r="IF180" t="e">
        <f>AND(Sheet1!G2425,"AAAAADfv3+8=")</f>
        <v>#VALUE!</v>
      </c>
      <c r="IG180" t="e">
        <f>AND(Sheet1!H2425,"AAAAADfv3/A=")</f>
        <v>#VALUE!</v>
      </c>
      <c r="IH180" t="e">
        <f>AND(Sheet1!I2425,"AAAAADfv3/E=")</f>
        <v>#VALUE!</v>
      </c>
      <c r="II180" t="e">
        <f>AND(Sheet1!J2425,"AAAAADfv3/I=")</f>
        <v>#VALUE!</v>
      </c>
      <c r="IJ180" t="e">
        <f>AND(Sheet1!K2425,"AAAAADfv3/M=")</f>
        <v>#VALUE!</v>
      </c>
      <c r="IK180" t="e">
        <f>AND(Sheet1!L2425,"AAAAADfv3/Q=")</f>
        <v>#VALUE!</v>
      </c>
      <c r="IL180" t="e">
        <f>AND(Sheet1!M2425,"AAAAADfv3/U=")</f>
        <v>#VALUE!</v>
      </c>
      <c r="IM180" t="e">
        <f>AND(Sheet1!N2425,"AAAAADfv3/Y=")</f>
        <v>#VALUE!</v>
      </c>
      <c r="IN180" t="e">
        <f>AND(Sheet1!#REF!,"AAAAADfv3/c=")</f>
        <v>#REF!</v>
      </c>
      <c r="IO180" t="e">
        <f>AND(Sheet1!#REF!,"AAAAADfv3/g=")</f>
        <v>#REF!</v>
      </c>
      <c r="IP180" t="e">
        <f>AND(Sheet1!#REF!,"AAAAADfv3/k=")</f>
        <v>#REF!</v>
      </c>
      <c r="IQ180" t="e">
        <f>AND(Sheet1!#REF!,"AAAAADfv3/o=")</f>
        <v>#REF!</v>
      </c>
      <c r="IR180">
        <f>IF(Sheet1!2426:2426,"AAAAADfv3/s=",0)</f>
        <v>0</v>
      </c>
      <c r="IS180" t="e">
        <f>AND(Sheet1!A2426,"AAAAADfv3/w=")</f>
        <v>#VALUE!</v>
      </c>
      <c r="IT180" t="e">
        <f>AND(Sheet1!B2426,"AAAAADfv3/0=")</f>
        <v>#VALUE!</v>
      </c>
      <c r="IU180" t="e">
        <f>AND(Sheet1!C2426,"AAAAADfv3/4=")</f>
        <v>#VALUE!</v>
      </c>
      <c r="IV180" t="e">
        <f>AND(Sheet1!D2426,"AAAAADfv3/8=")</f>
        <v>#VALUE!</v>
      </c>
    </row>
    <row r="181" spans="1:256" x14ac:dyDescent="0.2">
      <c r="A181" t="e">
        <f>AND(Sheet1!E2426,"AAAAAFfH6wA=")</f>
        <v>#VALUE!</v>
      </c>
      <c r="B181" t="e">
        <f>AND(Sheet1!F2426,"AAAAAFfH6wE=")</f>
        <v>#VALUE!</v>
      </c>
      <c r="C181" t="e">
        <f>AND(Sheet1!G2426,"AAAAAFfH6wI=")</f>
        <v>#VALUE!</v>
      </c>
      <c r="D181" t="e">
        <f>AND(Sheet1!H2426,"AAAAAFfH6wM=")</f>
        <v>#VALUE!</v>
      </c>
      <c r="E181" t="e">
        <f>AND(Sheet1!I2426,"AAAAAFfH6wQ=")</f>
        <v>#VALUE!</v>
      </c>
      <c r="F181" t="e">
        <f>AND(Sheet1!J2426,"AAAAAFfH6wU=")</f>
        <v>#VALUE!</v>
      </c>
      <c r="G181" t="e">
        <f>AND(Sheet1!K2426,"AAAAAFfH6wY=")</f>
        <v>#VALUE!</v>
      </c>
      <c r="H181" t="e">
        <f>AND(Sheet1!L2426,"AAAAAFfH6wc=")</f>
        <v>#VALUE!</v>
      </c>
      <c r="I181" t="e">
        <f>AND(Sheet1!M2426,"AAAAAFfH6wg=")</f>
        <v>#VALUE!</v>
      </c>
      <c r="J181" t="e">
        <f>AND(Sheet1!N2426,"AAAAAFfH6wk=")</f>
        <v>#VALUE!</v>
      </c>
      <c r="K181" t="e">
        <f>AND(Sheet1!#REF!,"AAAAAFfH6wo=")</f>
        <v>#REF!</v>
      </c>
      <c r="L181" t="e">
        <f>AND(Sheet1!#REF!,"AAAAAFfH6ws=")</f>
        <v>#REF!</v>
      </c>
      <c r="M181" t="e">
        <f>AND(Sheet1!#REF!,"AAAAAFfH6ww=")</f>
        <v>#REF!</v>
      </c>
      <c r="N181" t="e">
        <f>AND(Sheet1!#REF!,"AAAAAFfH6w0=")</f>
        <v>#REF!</v>
      </c>
      <c r="O181">
        <f>IF(Sheet1!2427:2427,"AAAAAFfH6w4=",0)</f>
        <v>0</v>
      </c>
      <c r="P181" t="e">
        <f>AND(Sheet1!A2427,"AAAAAFfH6w8=")</f>
        <v>#VALUE!</v>
      </c>
      <c r="Q181" t="e">
        <f>AND(Sheet1!B2427,"AAAAAFfH6xA=")</f>
        <v>#VALUE!</v>
      </c>
      <c r="R181" t="e">
        <f>AND(Sheet1!C2427,"AAAAAFfH6xE=")</f>
        <v>#VALUE!</v>
      </c>
      <c r="S181" t="e">
        <f>AND(Sheet1!D2427,"AAAAAFfH6xI=")</f>
        <v>#VALUE!</v>
      </c>
      <c r="T181" t="e">
        <f>AND(Sheet1!E2427,"AAAAAFfH6xM=")</f>
        <v>#VALUE!</v>
      </c>
      <c r="U181" t="e">
        <f>AND(Sheet1!F2427,"AAAAAFfH6xQ=")</f>
        <v>#VALUE!</v>
      </c>
      <c r="V181" t="e">
        <f>AND(Sheet1!G2427,"AAAAAFfH6xU=")</f>
        <v>#VALUE!</v>
      </c>
      <c r="W181" t="e">
        <f>AND(Sheet1!H2427,"AAAAAFfH6xY=")</f>
        <v>#VALUE!</v>
      </c>
      <c r="X181" t="e">
        <f>AND(Sheet1!I2427,"AAAAAFfH6xc=")</f>
        <v>#VALUE!</v>
      </c>
      <c r="Y181" t="e">
        <f>AND(Sheet1!J2427,"AAAAAFfH6xg=")</f>
        <v>#VALUE!</v>
      </c>
      <c r="Z181" t="e">
        <f>AND(Sheet1!K2427,"AAAAAFfH6xk=")</f>
        <v>#VALUE!</v>
      </c>
      <c r="AA181" t="e">
        <f>AND(Sheet1!L2427,"AAAAAFfH6xo=")</f>
        <v>#VALUE!</v>
      </c>
      <c r="AB181" t="e">
        <f>AND(Sheet1!M2427,"AAAAAFfH6xs=")</f>
        <v>#VALUE!</v>
      </c>
      <c r="AC181" t="e">
        <f>AND(Sheet1!N2427,"AAAAAFfH6xw=")</f>
        <v>#VALUE!</v>
      </c>
      <c r="AD181" t="e">
        <f>AND(Sheet1!#REF!,"AAAAAFfH6x0=")</f>
        <v>#REF!</v>
      </c>
      <c r="AE181" t="e">
        <f>AND(Sheet1!#REF!,"AAAAAFfH6x4=")</f>
        <v>#REF!</v>
      </c>
      <c r="AF181" t="e">
        <f>AND(Sheet1!#REF!,"AAAAAFfH6x8=")</f>
        <v>#REF!</v>
      </c>
      <c r="AG181" t="e">
        <f>AND(Sheet1!#REF!,"AAAAAFfH6yA=")</f>
        <v>#REF!</v>
      </c>
      <c r="AH181">
        <f>IF(Sheet1!2428:2428,"AAAAAFfH6yE=",0)</f>
        <v>0</v>
      </c>
      <c r="AI181" t="e">
        <f>AND(Sheet1!A2428,"AAAAAFfH6yI=")</f>
        <v>#VALUE!</v>
      </c>
      <c r="AJ181" t="e">
        <f>AND(Sheet1!B2428,"AAAAAFfH6yM=")</f>
        <v>#VALUE!</v>
      </c>
      <c r="AK181" t="e">
        <f>AND(Sheet1!C2428,"AAAAAFfH6yQ=")</f>
        <v>#VALUE!</v>
      </c>
      <c r="AL181" t="e">
        <f>AND(Sheet1!D2428,"AAAAAFfH6yU=")</f>
        <v>#VALUE!</v>
      </c>
      <c r="AM181" t="e">
        <f>AND(Sheet1!E2428,"AAAAAFfH6yY=")</f>
        <v>#VALUE!</v>
      </c>
      <c r="AN181" t="e">
        <f>AND(Sheet1!F2428,"AAAAAFfH6yc=")</f>
        <v>#VALUE!</v>
      </c>
      <c r="AO181" t="e">
        <f>AND(Sheet1!G2428,"AAAAAFfH6yg=")</f>
        <v>#VALUE!</v>
      </c>
      <c r="AP181" t="e">
        <f>AND(Sheet1!H2428,"AAAAAFfH6yk=")</f>
        <v>#VALUE!</v>
      </c>
      <c r="AQ181" t="e">
        <f>AND(Sheet1!I2428,"AAAAAFfH6yo=")</f>
        <v>#VALUE!</v>
      </c>
      <c r="AR181" t="e">
        <f>AND(Sheet1!J2428,"AAAAAFfH6ys=")</f>
        <v>#VALUE!</v>
      </c>
      <c r="AS181" t="e">
        <f>AND(Sheet1!K2428,"AAAAAFfH6yw=")</f>
        <v>#VALUE!</v>
      </c>
      <c r="AT181" t="e">
        <f>AND(Sheet1!L2428,"AAAAAFfH6y0=")</f>
        <v>#VALUE!</v>
      </c>
      <c r="AU181" t="e">
        <f>AND(Sheet1!M2428,"AAAAAFfH6y4=")</f>
        <v>#VALUE!</v>
      </c>
      <c r="AV181" t="e">
        <f>AND(Sheet1!N2428,"AAAAAFfH6y8=")</f>
        <v>#VALUE!</v>
      </c>
      <c r="AW181" t="e">
        <f>AND(Sheet1!#REF!,"AAAAAFfH6zA=")</f>
        <v>#REF!</v>
      </c>
      <c r="AX181" t="e">
        <f>AND(Sheet1!#REF!,"AAAAAFfH6zE=")</f>
        <v>#REF!</v>
      </c>
      <c r="AY181" t="e">
        <f>AND(Sheet1!#REF!,"AAAAAFfH6zI=")</f>
        <v>#REF!</v>
      </c>
      <c r="AZ181" t="e">
        <f>AND(Sheet1!#REF!,"AAAAAFfH6zM=")</f>
        <v>#REF!</v>
      </c>
      <c r="BA181">
        <f>IF(Sheet1!2429:2429,"AAAAAFfH6zQ=",0)</f>
        <v>0</v>
      </c>
      <c r="BB181" t="e">
        <f>AND(Sheet1!A2429,"AAAAAFfH6zU=")</f>
        <v>#VALUE!</v>
      </c>
      <c r="BC181" t="e">
        <f>AND(Sheet1!B2429,"AAAAAFfH6zY=")</f>
        <v>#VALUE!</v>
      </c>
      <c r="BD181" t="e">
        <f>AND(Sheet1!C2429,"AAAAAFfH6zc=")</f>
        <v>#VALUE!</v>
      </c>
      <c r="BE181" t="e">
        <f>AND(Sheet1!D2429,"AAAAAFfH6zg=")</f>
        <v>#VALUE!</v>
      </c>
      <c r="BF181" t="e">
        <f>AND(Sheet1!E2429,"AAAAAFfH6zk=")</f>
        <v>#VALUE!</v>
      </c>
      <c r="BG181" t="e">
        <f>AND(Sheet1!F2429,"AAAAAFfH6zo=")</f>
        <v>#VALUE!</v>
      </c>
      <c r="BH181" t="e">
        <f>AND(Sheet1!G2429,"AAAAAFfH6zs=")</f>
        <v>#VALUE!</v>
      </c>
      <c r="BI181" t="e">
        <f>AND(Sheet1!H2429,"AAAAAFfH6zw=")</f>
        <v>#VALUE!</v>
      </c>
      <c r="BJ181" t="e">
        <f>AND(Sheet1!I2429,"AAAAAFfH6z0=")</f>
        <v>#VALUE!</v>
      </c>
      <c r="BK181" t="e">
        <f>AND(Sheet1!J2429,"AAAAAFfH6z4=")</f>
        <v>#VALUE!</v>
      </c>
      <c r="BL181" t="e">
        <f>AND(Sheet1!K2429,"AAAAAFfH6z8=")</f>
        <v>#VALUE!</v>
      </c>
      <c r="BM181" t="e">
        <f>AND(Sheet1!L2429,"AAAAAFfH60A=")</f>
        <v>#VALUE!</v>
      </c>
      <c r="BN181" t="e">
        <f>AND(Sheet1!M2429,"AAAAAFfH60E=")</f>
        <v>#VALUE!</v>
      </c>
      <c r="BO181" t="e">
        <f>AND(Sheet1!N2429,"AAAAAFfH60I=")</f>
        <v>#VALUE!</v>
      </c>
      <c r="BP181" t="e">
        <f>AND(Sheet1!#REF!,"AAAAAFfH60M=")</f>
        <v>#REF!</v>
      </c>
      <c r="BQ181" t="e">
        <f>AND(Sheet1!#REF!,"AAAAAFfH60Q=")</f>
        <v>#REF!</v>
      </c>
      <c r="BR181" t="e">
        <f>AND(Sheet1!#REF!,"AAAAAFfH60U=")</f>
        <v>#REF!</v>
      </c>
      <c r="BS181" t="e">
        <f>AND(Sheet1!#REF!,"AAAAAFfH60Y=")</f>
        <v>#REF!</v>
      </c>
      <c r="BT181">
        <f>IF(Sheet1!2430:2430,"AAAAAFfH60c=",0)</f>
        <v>0</v>
      </c>
      <c r="BU181" t="e">
        <f>AND(Sheet1!A2430,"AAAAAFfH60g=")</f>
        <v>#VALUE!</v>
      </c>
      <c r="BV181" t="e">
        <f>AND(Sheet1!B2430,"AAAAAFfH60k=")</f>
        <v>#VALUE!</v>
      </c>
      <c r="BW181" t="e">
        <f>AND(Sheet1!C2430,"AAAAAFfH60o=")</f>
        <v>#VALUE!</v>
      </c>
      <c r="BX181" t="e">
        <f>AND(Sheet1!D2430,"AAAAAFfH60s=")</f>
        <v>#VALUE!</v>
      </c>
      <c r="BY181" t="e">
        <f>AND(Sheet1!E2430,"AAAAAFfH60w=")</f>
        <v>#VALUE!</v>
      </c>
      <c r="BZ181" t="e">
        <f>AND(Sheet1!F2430,"AAAAAFfH600=")</f>
        <v>#VALUE!</v>
      </c>
      <c r="CA181" t="e">
        <f>AND(Sheet1!G2430,"AAAAAFfH604=")</f>
        <v>#VALUE!</v>
      </c>
      <c r="CB181" t="e">
        <f>AND(Sheet1!H2430,"AAAAAFfH608=")</f>
        <v>#VALUE!</v>
      </c>
      <c r="CC181" t="e">
        <f>AND(Sheet1!I2430,"AAAAAFfH61A=")</f>
        <v>#VALUE!</v>
      </c>
      <c r="CD181" t="e">
        <f>AND(Sheet1!J2430,"AAAAAFfH61E=")</f>
        <v>#VALUE!</v>
      </c>
      <c r="CE181" t="e">
        <f>AND(Sheet1!K2430,"AAAAAFfH61I=")</f>
        <v>#VALUE!</v>
      </c>
      <c r="CF181" t="e">
        <f>AND(Sheet1!L2430,"AAAAAFfH61M=")</f>
        <v>#VALUE!</v>
      </c>
      <c r="CG181" t="e">
        <f>AND(Sheet1!M2430,"AAAAAFfH61Q=")</f>
        <v>#VALUE!</v>
      </c>
      <c r="CH181" t="e">
        <f>AND(Sheet1!N2430,"AAAAAFfH61U=")</f>
        <v>#VALUE!</v>
      </c>
      <c r="CI181" t="e">
        <f>AND(Sheet1!#REF!,"AAAAAFfH61Y=")</f>
        <v>#REF!</v>
      </c>
      <c r="CJ181" t="e">
        <f>AND(Sheet1!#REF!,"AAAAAFfH61c=")</f>
        <v>#REF!</v>
      </c>
      <c r="CK181" t="e">
        <f>AND(Sheet1!#REF!,"AAAAAFfH61g=")</f>
        <v>#REF!</v>
      </c>
      <c r="CL181" t="e">
        <f>AND(Sheet1!#REF!,"AAAAAFfH61k=")</f>
        <v>#REF!</v>
      </c>
      <c r="CM181">
        <f>IF(Sheet1!2431:2431,"AAAAAFfH61o=",0)</f>
        <v>0</v>
      </c>
      <c r="CN181" t="e">
        <f>AND(Sheet1!A2431,"AAAAAFfH61s=")</f>
        <v>#VALUE!</v>
      </c>
      <c r="CO181" t="e">
        <f>AND(Sheet1!B2431,"AAAAAFfH61w=")</f>
        <v>#VALUE!</v>
      </c>
      <c r="CP181" t="e">
        <f>AND(Sheet1!C2431,"AAAAAFfH610=")</f>
        <v>#VALUE!</v>
      </c>
      <c r="CQ181" t="e">
        <f>AND(Sheet1!D2431,"AAAAAFfH614=")</f>
        <v>#VALUE!</v>
      </c>
      <c r="CR181" t="e">
        <f>AND(Sheet1!E2431,"AAAAAFfH618=")</f>
        <v>#VALUE!</v>
      </c>
      <c r="CS181" t="e">
        <f>AND(Sheet1!F2431,"AAAAAFfH62A=")</f>
        <v>#VALUE!</v>
      </c>
      <c r="CT181" t="e">
        <f>AND(Sheet1!G2431,"AAAAAFfH62E=")</f>
        <v>#VALUE!</v>
      </c>
      <c r="CU181" t="e">
        <f>AND(Sheet1!H2431,"AAAAAFfH62I=")</f>
        <v>#VALUE!</v>
      </c>
      <c r="CV181" t="e">
        <f>AND(Sheet1!I2431,"AAAAAFfH62M=")</f>
        <v>#VALUE!</v>
      </c>
      <c r="CW181" t="e">
        <f>AND(Sheet1!J2431,"AAAAAFfH62Q=")</f>
        <v>#VALUE!</v>
      </c>
      <c r="CX181" t="e">
        <f>AND(Sheet1!K2431,"AAAAAFfH62U=")</f>
        <v>#VALUE!</v>
      </c>
      <c r="CY181" t="e">
        <f>AND(Sheet1!L2431,"AAAAAFfH62Y=")</f>
        <v>#VALUE!</v>
      </c>
      <c r="CZ181" t="e">
        <f>AND(Sheet1!M2431,"AAAAAFfH62c=")</f>
        <v>#VALUE!</v>
      </c>
      <c r="DA181" t="e">
        <f>AND(Sheet1!N2431,"AAAAAFfH62g=")</f>
        <v>#VALUE!</v>
      </c>
      <c r="DB181" t="e">
        <f>AND(Sheet1!#REF!,"AAAAAFfH62k=")</f>
        <v>#REF!</v>
      </c>
      <c r="DC181" t="e">
        <f>AND(Sheet1!#REF!,"AAAAAFfH62o=")</f>
        <v>#REF!</v>
      </c>
      <c r="DD181" t="e">
        <f>AND(Sheet1!#REF!,"AAAAAFfH62s=")</f>
        <v>#REF!</v>
      </c>
      <c r="DE181" t="e">
        <f>AND(Sheet1!#REF!,"AAAAAFfH62w=")</f>
        <v>#REF!</v>
      </c>
      <c r="DF181">
        <f>IF(Sheet1!2432:2432,"AAAAAFfH620=",0)</f>
        <v>0</v>
      </c>
      <c r="DG181" t="e">
        <f>AND(Sheet1!A2432,"AAAAAFfH624=")</f>
        <v>#VALUE!</v>
      </c>
      <c r="DH181" t="e">
        <f>AND(Sheet1!B2432,"AAAAAFfH628=")</f>
        <v>#VALUE!</v>
      </c>
      <c r="DI181" t="e">
        <f>AND(Sheet1!C2432,"AAAAAFfH63A=")</f>
        <v>#VALUE!</v>
      </c>
      <c r="DJ181" t="e">
        <f>AND(Sheet1!D2432,"AAAAAFfH63E=")</f>
        <v>#VALUE!</v>
      </c>
      <c r="DK181" t="e">
        <f>AND(Sheet1!E2432,"AAAAAFfH63I=")</f>
        <v>#VALUE!</v>
      </c>
      <c r="DL181" t="e">
        <f>AND(Sheet1!F2432,"AAAAAFfH63M=")</f>
        <v>#VALUE!</v>
      </c>
      <c r="DM181" t="e">
        <f>AND(Sheet1!G2432,"AAAAAFfH63Q=")</f>
        <v>#VALUE!</v>
      </c>
      <c r="DN181" t="e">
        <f>AND(Sheet1!H2432,"AAAAAFfH63U=")</f>
        <v>#VALUE!</v>
      </c>
      <c r="DO181" t="e">
        <f>AND(Sheet1!I2432,"AAAAAFfH63Y=")</f>
        <v>#VALUE!</v>
      </c>
      <c r="DP181" t="e">
        <f>AND(Sheet1!J2432,"AAAAAFfH63c=")</f>
        <v>#VALUE!</v>
      </c>
      <c r="DQ181" t="e">
        <f>AND(Sheet1!K2432,"AAAAAFfH63g=")</f>
        <v>#VALUE!</v>
      </c>
      <c r="DR181" t="e">
        <f>AND(Sheet1!L2432,"AAAAAFfH63k=")</f>
        <v>#VALUE!</v>
      </c>
      <c r="DS181" t="e">
        <f>AND(Sheet1!M2432,"AAAAAFfH63o=")</f>
        <v>#VALUE!</v>
      </c>
      <c r="DT181" t="e">
        <f>AND(Sheet1!N2432,"AAAAAFfH63s=")</f>
        <v>#VALUE!</v>
      </c>
      <c r="DU181" t="e">
        <f>AND(Sheet1!#REF!,"AAAAAFfH63w=")</f>
        <v>#REF!</v>
      </c>
      <c r="DV181" t="e">
        <f>AND(Sheet1!#REF!,"AAAAAFfH630=")</f>
        <v>#REF!</v>
      </c>
      <c r="DW181" t="e">
        <f>AND(Sheet1!#REF!,"AAAAAFfH634=")</f>
        <v>#REF!</v>
      </c>
      <c r="DX181" t="e">
        <f>AND(Sheet1!#REF!,"AAAAAFfH638=")</f>
        <v>#REF!</v>
      </c>
      <c r="DY181">
        <f>IF(Sheet1!2433:2433,"AAAAAFfH64A=",0)</f>
        <v>0</v>
      </c>
      <c r="DZ181" t="e">
        <f>AND(Sheet1!A2433,"AAAAAFfH64E=")</f>
        <v>#VALUE!</v>
      </c>
      <c r="EA181" t="e">
        <f>AND(Sheet1!B2433,"AAAAAFfH64I=")</f>
        <v>#VALUE!</v>
      </c>
      <c r="EB181" t="e">
        <f>AND(Sheet1!C2433,"AAAAAFfH64M=")</f>
        <v>#VALUE!</v>
      </c>
      <c r="EC181" t="e">
        <f>AND(Sheet1!D2433,"AAAAAFfH64Q=")</f>
        <v>#VALUE!</v>
      </c>
      <c r="ED181" t="e">
        <f>AND(Sheet1!E2433,"AAAAAFfH64U=")</f>
        <v>#VALUE!</v>
      </c>
      <c r="EE181" t="e">
        <f>AND(Sheet1!F2433,"AAAAAFfH64Y=")</f>
        <v>#VALUE!</v>
      </c>
      <c r="EF181" t="e">
        <f>AND(Sheet1!G2433,"AAAAAFfH64c=")</f>
        <v>#VALUE!</v>
      </c>
      <c r="EG181" t="e">
        <f>AND(Sheet1!H2433,"AAAAAFfH64g=")</f>
        <v>#VALUE!</v>
      </c>
      <c r="EH181" t="e">
        <f>AND(Sheet1!I2433,"AAAAAFfH64k=")</f>
        <v>#VALUE!</v>
      </c>
      <c r="EI181" t="e">
        <f>AND(Sheet1!J2433,"AAAAAFfH64o=")</f>
        <v>#VALUE!</v>
      </c>
      <c r="EJ181" t="e">
        <f>AND(Sheet1!K2433,"AAAAAFfH64s=")</f>
        <v>#VALUE!</v>
      </c>
      <c r="EK181" t="e">
        <f>AND(Sheet1!L2433,"AAAAAFfH64w=")</f>
        <v>#VALUE!</v>
      </c>
      <c r="EL181" t="e">
        <f>AND(Sheet1!M2433,"AAAAAFfH640=")</f>
        <v>#VALUE!</v>
      </c>
      <c r="EM181" t="e">
        <f>AND(Sheet1!N2433,"AAAAAFfH644=")</f>
        <v>#VALUE!</v>
      </c>
      <c r="EN181" t="e">
        <f>AND(Sheet1!#REF!,"AAAAAFfH648=")</f>
        <v>#REF!</v>
      </c>
      <c r="EO181" t="e">
        <f>AND(Sheet1!#REF!,"AAAAAFfH65A=")</f>
        <v>#REF!</v>
      </c>
      <c r="EP181" t="e">
        <f>AND(Sheet1!#REF!,"AAAAAFfH65E=")</f>
        <v>#REF!</v>
      </c>
      <c r="EQ181" t="e">
        <f>AND(Sheet1!#REF!,"AAAAAFfH65I=")</f>
        <v>#REF!</v>
      </c>
      <c r="ER181">
        <f>IF(Sheet1!2434:2434,"AAAAAFfH65M=",0)</f>
        <v>0</v>
      </c>
      <c r="ES181" t="e">
        <f>AND(Sheet1!A2434,"AAAAAFfH65Q=")</f>
        <v>#VALUE!</v>
      </c>
      <c r="ET181" t="e">
        <f>AND(Sheet1!B2434,"AAAAAFfH65U=")</f>
        <v>#VALUE!</v>
      </c>
      <c r="EU181" t="e">
        <f>AND(Sheet1!C2434,"AAAAAFfH65Y=")</f>
        <v>#VALUE!</v>
      </c>
      <c r="EV181" t="e">
        <f>AND(Sheet1!D2434,"AAAAAFfH65c=")</f>
        <v>#VALUE!</v>
      </c>
      <c r="EW181" t="e">
        <f>AND(Sheet1!E2434,"AAAAAFfH65g=")</f>
        <v>#VALUE!</v>
      </c>
      <c r="EX181" t="e">
        <f>AND(Sheet1!F2434,"AAAAAFfH65k=")</f>
        <v>#VALUE!</v>
      </c>
      <c r="EY181" t="e">
        <f>AND(Sheet1!G2434,"AAAAAFfH65o=")</f>
        <v>#VALUE!</v>
      </c>
      <c r="EZ181" t="e">
        <f>AND(Sheet1!H2434,"AAAAAFfH65s=")</f>
        <v>#VALUE!</v>
      </c>
      <c r="FA181" t="e">
        <f>AND(Sheet1!I2434,"AAAAAFfH65w=")</f>
        <v>#VALUE!</v>
      </c>
      <c r="FB181" t="e">
        <f>AND(Sheet1!J2434,"AAAAAFfH650=")</f>
        <v>#VALUE!</v>
      </c>
      <c r="FC181" t="e">
        <f>AND(Sheet1!K2434,"AAAAAFfH654=")</f>
        <v>#VALUE!</v>
      </c>
      <c r="FD181" t="e">
        <f>AND(Sheet1!L2434,"AAAAAFfH658=")</f>
        <v>#VALUE!</v>
      </c>
      <c r="FE181" t="e">
        <f>AND(Sheet1!M2434,"AAAAAFfH66A=")</f>
        <v>#VALUE!</v>
      </c>
      <c r="FF181" t="e">
        <f>AND(Sheet1!N2434,"AAAAAFfH66E=")</f>
        <v>#VALUE!</v>
      </c>
      <c r="FG181" t="e">
        <f>AND(Sheet1!#REF!,"AAAAAFfH66I=")</f>
        <v>#REF!</v>
      </c>
      <c r="FH181" t="e">
        <f>AND(Sheet1!#REF!,"AAAAAFfH66M=")</f>
        <v>#REF!</v>
      </c>
      <c r="FI181" t="e">
        <f>AND(Sheet1!#REF!,"AAAAAFfH66Q=")</f>
        <v>#REF!</v>
      </c>
      <c r="FJ181" t="e">
        <f>AND(Sheet1!#REF!,"AAAAAFfH66U=")</f>
        <v>#REF!</v>
      </c>
      <c r="FK181">
        <f>IF(Sheet1!2435:2435,"AAAAAFfH66Y=",0)</f>
        <v>0</v>
      </c>
      <c r="FL181" t="e">
        <f>AND(Sheet1!A2435,"AAAAAFfH66c=")</f>
        <v>#VALUE!</v>
      </c>
      <c r="FM181" t="e">
        <f>AND(Sheet1!B2435,"AAAAAFfH66g=")</f>
        <v>#VALUE!</v>
      </c>
      <c r="FN181" t="e">
        <f>AND(Sheet1!C2435,"AAAAAFfH66k=")</f>
        <v>#VALUE!</v>
      </c>
      <c r="FO181" t="e">
        <f>AND(Sheet1!D2435,"AAAAAFfH66o=")</f>
        <v>#VALUE!</v>
      </c>
      <c r="FP181" t="e">
        <f>AND(Sheet1!E2435,"AAAAAFfH66s=")</f>
        <v>#VALUE!</v>
      </c>
      <c r="FQ181" t="e">
        <f>AND(Sheet1!F2435,"AAAAAFfH66w=")</f>
        <v>#VALUE!</v>
      </c>
      <c r="FR181" t="e">
        <f>AND(Sheet1!G2435,"AAAAAFfH660=")</f>
        <v>#VALUE!</v>
      </c>
      <c r="FS181" t="e">
        <f>AND(Sheet1!H2435,"AAAAAFfH664=")</f>
        <v>#VALUE!</v>
      </c>
      <c r="FT181" t="e">
        <f>AND(Sheet1!I2435,"AAAAAFfH668=")</f>
        <v>#VALUE!</v>
      </c>
      <c r="FU181" t="e">
        <f>AND(Sheet1!J2435,"AAAAAFfH67A=")</f>
        <v>#VALUE!</v>
      </c>
      <c r="FV181" t="e">
        <f>AND(Sheet1!K2435,"AAAAAFfH67E=")</f>
        <v>#VALUE!</v>
      </c>
      <c r="FW181" t="e">
        <f>AND(Sheet1!L2435,"AAAAAFfH67I=")</f>
        <v>#VALUE!</v>
      </c>
      <c r="FX181" t="e">
        <f>AND(Sheet1!M2435,"AAAAAFfH67M=")</f>
        <v>#VALUE!</v>
      </c>
      <c r="FY181" t="e">
        <f>AND(Sheet1!N2435,"AAAAAFfH67Q=")</f>
        <v>#VALUE!</v>
      </c>
      <c r="FZ181" t="e">
        <f>AND(Sheet1!#REF!,"AAAAAFfH67U=")</f>
        <v>#REF!</v>
      </c>
      <c r="GA181" t="e">
        <f>AND(Sheet1!#REF!,"AAAAAFfH67Y=")</f>
        <v>#REF!</v>
      </c>
      <c r="GB181" t="e">
        <f>AND(Sheet1!#REF!,"AAAAAFfH67c=")</f>
        <v>#REF!</v>
      </c>
      <c r="GC181" t="e">
        <f>AND(Sheet1!#REF!,"AAAAAFfH67g=")</f>
        <v>#REF!</v>
      </c>
      <c r="GD181">
        <f>IF(Sheet1!2436:2436,"AAAAAFfH67k=",0)</f>
        <v>0</v>
      </c>
      <c r="GE181" t="e">
        <f>AND(Sheet1!A2436,"AAAAAFfH67o=")</f>
        <v>#VALUE!</v>
      </c>
      <c r="GF181" t="e">
        <f>AND(Sheet1!B2436,"AAAAAFfH67s=")</f>
        <v>#VALUE!</v>
      </c>
      <c r="GG181" t="e">
        <f>AND(Sheet1!C2436,"AAAAAFfH67w=")</f>
        <v>#VALUE!</v>
      </c>
      <c r="GH181" t="e">
        <f>AND(Sheet1!D2436,"AAAAAFfH670=")</f>
        <v>#VALUE!</v>
      </c>
      <c r="GI181" t="e">
        <f>AND(Sheet1!E2436,"AAAAAFfH674=")</f>
        <v>#VALUE!</v>
      </c>
      <c r="GJ181" t="e">
        <f>AND(Sheet1!F2436,"AAAAAFfH678=")</f>
        <v>#VALUE!</v>
      </c>
      <c r="GK181" t="e">
        <f>AND(Sheet1!G2436,"AAAAAFfH68A=")</f>
        <v>#VALUE!</v>
      </c>
      <c r="GL181" t="e">
        <f>AND(Sheet1!H2436,"AAAAAFfH68E=")</f>
        <v>#VALUE!</v>
      </c>
      <c r="GM181" t="e">
        <f>AND(Sheet1!I2436,"AAAAAFfH68I=")</f>
        <v>#VALUE!</v>
      </c>
      <c r="GN181" t="e">
        <f>AND(Sheet1!J2436,"AAAAAFfH68M=")</f>
        <v>#VALUE!</v>
      </c>
      <c r="GO181" t="e">
        <f>AND(Sheet1!K2436,"AAAAAFfH68Q=")</f>
        <v>#VALUE!</v>
      </c>
      <c r="GP181" t="e">
        <f>AND(Sheet1!L2436,"AAAAAFfH68U=")</f>
        <v>#VALUE!</v>
      </c>
      <c r="GQ181" t="e">
        <f>AND(Sheet1!M2436,"AAAAAFfH68Y=")</f>
        <v>#VALUE!</v>
      </c>
      <c r="GR181" t="e">
        <f>AND(Sheet1!N2436,"AAAAAFfH68c=")</f>
        <v>#VALUE!</v>
      </c>
      <c r="GS181" t="e">
        <f>AND(Sheet1!#REF!,"AAAAAFfH68g=")</f>
        <v>#REF!</v>
      </c>
      <c r="GT181" t="e">
        <f>AND(Sheet1!#REF!,"AAAAAFfH68k=")</f>
        <v>#REF!</v>
      </c>
      <c r="GU181" t="e">
        <f>AND(Sheet1!#REF!,"AAAAAFfH68o=")</f>
        <v>#REF!</v>
      </c>
      <c r="GV181" t="e">
        <f>AND(Sheet1!#REF!,"AAAAAFfH68s=")</f>
        <v>#REF!</v>
      </c>
      <c r="GW181">
        <f>IF(Sheet1!2437:2437,"AAAAAFfH68w=",0)</f>
        <v>0</v>
      </c>
      <c r="GX181" t="e">
        <f>AND(Sheet1!A2437,"AAAAAFfH680=")</f>
        <v>#VALUE!</v>
      </c>
      <c r="GY181" t="e">
        <f>AND(Sheet1!B2437,"AAAAAFfH684=")</f>
        <v>#VALUE!</v>
      </c>
      <c r="GZ181" t="e">
        <f>AND(Sheet1!C2437,"AAAAAFfH688=")</f>
        <v>#VALUE!</v>
      </c>
      <c r="HA181" t="e">
        <f>AND(Sheet1!D2437,"AAAAAFfH69A=")</f>
        <v>#VALUE!</v>
      </c>
      <c r="HB181" t="e">
        <f>AND(Sheet1!E2437,"AAAAAFfH69E=")</f>
        <v>#VALUE!</v>
      </c>
      <c r="HC181" t="e">
        <f>AND(Sheet1!F2437,"AAAAAFfH69I=")</f>
        <v>#VALUE!</v>
      </c>
      <c r="HD181" t="e">
        <f>AND(Sheet1!G2437,"AAAAAFfH69M=")</f>
        <v>#VALUE!</v>
      </c>
      <c r="HE181" t="e">
        <f>AND(Sheet1!H2437,"AAAAAFfH69Q=")</f>
        <v>#VALUE!</v>
      </c>
      <c r="HF181" t="e">
        <f>AND(Sheet1!I2437,"AAAAAFfH69U=")</f>
        <v>#VALUE!</v>
      </c>
      <c r="HG181" t="e">
        <f>AND(Sheet1!J2437,"AAAAAFfH69Y=")</f>
        <v>#VALUE!</v>
      </c>
      <c r="HH181" t="e">
        <f>AND(Sheet1!K2437,"AAAAAFfH69c=")</f>
        <v>#VALUE!</v>
      </c>
      <c r="HI181" t="e">
        <f>AND(Sheet1!L2437,"AAAAAFfH69g=")</f>
        <v>#VALUE!</v>
      </c>
      <c r="HJ181" t="e">
        <f>AND(Sheet1!M2437,"AAAAAFfH69k=")</f>
        <v>#VALUE!</v>
      </c>
      <c r="HK181" t="e">
        <f>AND(Sheet1!N2437,"AAAAAFfH69o=")</f>
        <v>#VALUE!</v>
      </c>
      <c r="HL181" t="e">
        <f>AND(Sheet1!#REF!,"AAAAAFfH69s=")</f>
        <v>#REF!</v>
      </c>
      <c r="HM181" t="e">
        <f>AND(Sheet1!#REF!,"AAAAAFfH69w=")</f>
        <v>#REF!</v>
      </c>
      <c r="HN181" t="e">
        <f>AND(Sheet1!#REF!,"AAAAAFfH690=")</f>
        <v>#REF!</v>
      </c>
      <c r="HO181" t="e">
        <f>AND(Sheet1!#REF!,"AAAAAFfH694=")</f>
        <v>#REF!</v>
      </c>
      <c r="HP181">
        <f>IF(Sheet1!2438:2438,"AAAAAFfH698=",0)</f>
        <v>0</v>
      </c>
      <c r="HQ181" t="e">
        <f>AND(Sheet1!A2438,"AAAAAFfH6+A=")</f>
        <v>#VALUE!</v>
      </c>
      <c r="HR181" t="e">
        <f>AND(Sheet1!B2438,"AAAAAFfH6+E=")</f>
        <v>#VALUE!</v>
      </c>
      <c r="HS181" t="e">
        <f>AND(Sheet1!C2438,"AAAAAFfH6+I=")</f>
        <v>#VALUE!</v>
      </c>
      <c r="HT181" t="e">
        <f>AND(Sheet1!D2438,"AAAAAFfH6+M=")</f>
        <v>#VALUE!</v>
      </c>
      <c r="HU181" t="e">
        <f>AND(Sheet1!E2438,"AAAAAFfH6+Q=")</f>
        <v>#VALUE!</v>
      </c>
      <c r="HV181" t="e">
        <f>AND(Sheet1!F2438,"AAAAAFfH6+U=")</f>
        <v>#VALUE!</v>
      </c>
      <c r="HW181" t="e">
        <f>AND(Sheet1!G2438,"AAAAAFfH6+Y=")</f>
        <v>#VALUE!</v>
      </c>
      <c r="HX181" t="e">
        <f>AND(Sheet1!H2438,"AAAAAFfH6+c=")</f>
        <v>#VALUE!</v>
      </c>
      <c r="HY181" t="e">
        <f>AND(Sheet1!I2438,"AAAAAFfH6+g=")</f>
        <v>#VALUE!</v>
      </c>
      <c r="HZ181" t="e">
        <f>AND(Sheet1!J2438,"AAAAAFfH6+k=")</f>
        <v>#VALUE!</v>
      </c>
      <c r="IA181" t="e">
        <f>AND(Sheet1!K2438,"AAAAAFfH6+o=")</f>
        <v>#VALUE!</v>
      </c>
      <c r="IB181" t="e">
        <f>AND(Sheet1!L2438,"AAAAAFfH6+s=")</f>
        <v>#VALUE!</v>
      </c>
      <c r="IC181" t="e">
        <f>AND(Sheet1!M2438,"AAAAAFfH6+w=")</f>
        <v>#VALUE!</v>
      </c>
      <c r="ID181" t="e">
        <f>AND(Sheet1!N2438,"AAAAAFfH6+0=")</f>
        <v>#VALUE!</v>
      </c>
      <c r="IE181" t="e">
        <f>AND(Sheet1!#REF!,"AAAAAFfH6+4=")</f>
        <v>#REF!</v>
      </c>
      <c r="IF181" t="e">
        <f>AND(Sheet1!#REF!,"AAAAAFfH6+8=")</f>
        <v>#REF!</v>
      </c>
      <c r="IG181" t="e">
        <f>AND(Sheet1!#REF!,"AAAAAFfH6/A=")</f>
        <v>#REF!</v>
      </c>
      <c r="IH181" t="e">
        <f>AND(Sheet1!#REF!,"AAAAAFfH6/E=")</f>
        <v>#REF!</v>
      </c>
      <c r="II181">
        <f>IF(Sheet1!2439:2439,"AAAAAFfH6/I=",0)</f>
        <v>0</v>
      </c>
      <c r="IJ181" t="e">
        <f>AND(Sheet1!A2439,"AAAAAFfH6/M=")</f>
        <v>#VALUE!</v>
      </c>
      <c r="IK181" t="e">
        <f>AND(Sheet1!B2439,"AAAAAFfH6/Q=")</f>
        <v>#VALUE!</v>
      </c>
      <c r="IL181" t="e">
        <f>AND(Sheet1!C2439,"AAAAAFfH6/U=")</f>
        <v>#VALUE!</v>
      </c>
      <c r="IM181" t="e">
        <f>AND(Sheet1!D2439,"AAAAAFfH6/Y=")</f>
        <v>#VALUE!</v>
      </c>
      <c r="IN181" t="e">
        <f>AND(Sheet1!E2439,"AAAAAFfH6/c=")</f>
        <v>#VALUE!</v>
      </c>
      <c r="IO181" t="e">
        <f>AND(Sheet1!F2439,"AAAAAFfH6/g=")</f>
        <v>#VALUE!</v>
      </c>
      <c r="IP181" t="e">
        <f>AND(Sheet1!G2439,"AAAAAFfH6/k=")</f>
        <v>#VALUE!</v>
      </c>
      <c r="IQ181" t="e">
        <f>AND(Sheet1!H2439,"AAAAAFfH6/o=")</f>
        <v>#VALUE!</v>
      </c>
      <c r="IR181" t="e">
        <f>AND(Sheet1!I2439,"AAAAAFfH6/s=")</f>
        <v>#VALUE!</v>
      </c>
      <c r="IS181" t="e">
        <f>AND(Sheet1!J2439,"AAAAAFfH6/w=")</f>
        <v>#VALUE!</v>
      </c>
      <c r="IT181" t="e">
        <f>AND(Sheet1!K2439,"AAAAAFfH6/0=")</f>
        <v>#VALUE!</v>
      </c>
      <c r="IU181" t="e">
        <f>AND(Sheet1!L2439,"AAAAAFfH6/4=")</f>
        <v>#VALUE!</v>
      </c>
      <c r="IV181" t="e">
        <f>AND(Sheet1!M2439,"AAAAAFfH6/8=")</f>
        <v>#VALUE!</v>
      </c>
    </row>
    <row r="182" spans="1:256" x14ac:dyDescent="0.2">
      <c r="A182" t="e">
        <f>AND(Sheet1!N2439,"AAAAAGbsngA=")</f>
        <v>#VALUE!</v>
      </c>
      <c r="B182" t="e">
        <f>AND(Sheet1!#REF!,"AAAAAGbsngE=")</f>
        <v>#REF!</v>
      </c>
      <c r="C182" t="e">
        <f>AND(Sheet1!#REF!,"AAAAAGbsngI=")</f>
        <v>#REF!</v>
      </c>
      <c r="D182" t="e">
        <f>AND(Sheet1!#REF!,"AAAAAGbsngM=")</f>
        <v>#REF!</v>
      </c>
      <c r="E182" t="e">
        <f>AND(Sheet1!#REF!,"AAAAAGbsngQ=")</f>
        <v>#REF!</v>
      </c>
      <c r="F182" t="e">
        <f>IF(Sheet1!2440:2440,"AAAAAGbsngU=",0)</f>
        <v>#VALUE!</v>
      </c>
      <c r="G182" t="e">
        <f>AND(Sheet1!A2440,"AAAAAGbsngY=")</f>
        <v>#VALUE!</v>
      </c>
      <c r="H182" t="e">
        <f>AND(Sheet1!B2440,"AAAAAGbsngc=")</f>
        <v>#VALUE!</v>
      </c>
      <c r="I182" t="e">
        <f>AND(Sheet1!C2440,"AAAAAGbsngg=")</f>
        <v>#VALUE!</v>
      </c>
      <c r="J182" t="e">
        <f>AND(Sheet1!D2440,"AAAAAGbsngk=")</f>
        <v>#VALUE!</v>
      </c>
      <c r="K182" t="e">
        <f>AND(Sheet1!E2440,"AAAAAGbsngo=")</f>
        <v>#VALUE!</v>
      </c>
      <c r="L182" t="e">
        <f>AND(Sheet1!F2440,"AAAAAGbsngs=")</f>
        <v>#VALUE!</v>
      </c>
      <c r="M182" t="e">
        <f>AND(Sheet1!G2440,"AAAAAGbsngw=")</f>
        <v>#VALUE!</v>
      </c>
      <c r="N182" t="e">
        <f>AND(Sheet1!H2440,"AAAAAGbsng0=")</f>
        <v>#VALUE!</v>
      </c>
      <c r="O182" t="e">
        <f>AND(Sheet1!I2440,"AAAAAGbsng4=")</f>
        <v>#VALUE!</v>
      </c>
      <c r="P182" t="e">
        <f>AND(Sheet1!J2440,"AAAAAGbsng8=")</f>
        <v>#VALUE!</v>
      </c>
      <c r="Q182" t="e">
        <f>AND(Sheet1!K2440,"AAAAAGbsnhA=")</f>
        <v>#VALUE!</v>
      </c>
      <c r="R182" t="e">
        <f>AND(Sheet1!L2440,"AAAAAGbsnhE=")</f>
        <v>#VALUE!</v>
      </c>
      <c r="S182" t="e">
        <f>AND(Sheet1!M2440,"AAAAAGbsnhI=")</f>
        <v>#VALUE!</v>
      </c>
      <c r="T182" t="e">
        <f>AND(Sheet1!N2440,"AAAAAGbsnhM=")</f>
        <v>#VALUE!</v>
      </c>
      <c r="U182" t="e">
        <f>AND(Sheet1!#REF!,"AAAAAGbsnhQ=")</f>
        <v>#REF!</v>
      </c>
      <c r="V182" t="e">
        <f>AND(Sheet1!#REF!,"AAAAAGbsnhU=")</f>
        <v>#REF!</v>
      </c>
      <c r="W182" t="e">
        <f>AND(Sheet1!#REF!,"AAAAAGbsnhY=")</f>
        <v>#REF!</v>
      </c>
      <c r="X182" t="e">
        <f>AND(Sheet1!#REF!,"AAAAAGbsnhc=")</f>
        <v>#REF!</v>
      </c>
      <c r="Y182">
        <f>IF(Sheet1!2441:2441,"AAAAAGbsnhg=",0)</f>
        <v>0</v>
      </c>
      <c r="Z182" t="e">
        <f>AND(Sheet1!A2441,"AAAAAGbsnhk=")</f>
        <v>#VALUE!</v>
      </c>
      <c r="AA182" t="e">
        <f>AND(Sheet1!B2441,"AAAAAGbsnho=")</f>
        <v>#VALUE!</v>
      </c>
      <c r="AB182" t="e">
        <f>AND(Sheet1!C2441,"AAAAAGbsnhs=")</f>
        <v>#VALUE!</v>
      </c>
      <c r="AC182" t="e">
        <f>AND(Sheet1!D2441,"AAAAAGbsnhw=")</f>
        <v>#VALUE!</v>
      </c>
      <c r="AD182" t="e">
        <f>AND(Sheet1!E2441,"AAAAAGbsnh0=")</f>
        <v>#VALUE!</v>
      </c>
      <c r="AE182" t="e">
        <f>AND(Sheet1!F2441,"AAAAAGbsnh4=")</f>
        <v>#VALUE!</v>
      </c>
      <c r="AF182" t="e">
        <f>AND(Sheet1!G2441,"AAAAAGbsnh8=")</f>
        <v>#VALUE!</v>
      </c>
      <c r="AG182" t="e">
        <f>AND(Sheet1!H2441,"AAAAAGbsniA=")</f>
        <v>#VALUE!</v>
      </c>
      <c r="AH182" t="e">
        <f>AND(Sheet1!I2441,"AAAAAGbsniE=")</f>
        <v>#VALUE!</v>
      </c>
      <c r="AI182" t="e">
        <f>AND(Sheet1!J2441,"AAAAAGbsniI=")</f>
        <v>#VALUE!</v>
      </c>
      <c r="AJ182" t="e">
        <f>AND(Sheet1!K2441,"AAAAAGbsniM=")</f>
        <v>#VALUE!</v>
      </c>
      <c r="AK182" t="e">
        <f>AND(Sheet1!L2441,"AAAAAGbsniQ=")</f>
        <v>#VALUE!</v>
      </c>
      <c r="AL182" t="e">
        <f>AND(Sheet1!M2441,"AAAAAGbsniU=")</f>
        <v>#VALUE!</v>
      </c>
      <c r="AM182" t="e">
        <f>AND(Sheet1!N2441,"AAAAAGbsniY=")</f>
        <v>#VALUE!</v>
      </c>
      <c r="AN182" t="e">
        <f>AND(Sheet1!#REF!,"AAAAAGbsnic=")</f>
        <v>#REF!</v>
      </c>
      <c r="AO182" t="e">
        <f>AND(Sheet1!#REF!,"AAAAAGbsnig=")</f>
        <v>#REF!</v>
      </c>
      <c r="AP182" t="e">
        <f>AND(Sheet1!#REF!,"AAAAAGbsnik=")</f>
        <v>#REF!</v>
      </c>
      <c r="AQ182" t="e">
        <f>AND(Sheet1!#REF!,"AAAAAGbsnio=")</f>
        <v>#REF!</v>
      </c>
      <c r="AR182">
        <f>IF(Sheet1!2442:2442,"AAAAAGbsnis=",0)</f>
        <v>0</v>
      </c>
      <c r="AS182" t="e">
        <f>AND(Sheet1!A2442,"AAAAAGbsniw=")</f>
        <v>#VALUE!</v>
      </c>
      <c r="AT182" t="e">
        <f>AND(Sheet1!B2442,"AAAAAGbsni0=")</f>
        <v>#VALUE!</v>
      </c>
      <c r="AU182" t="e">
        <f>AND(Sheet1!C2442,"AAAAAGbsni4=")</f>
        <v>#VALUE!</v>
      </c>
      <c r="AV182" t="e">
        <f>AND(Sheet1!D2442,"AAAAAGbsni8=")</f>
        <v>#VALUE!</v>
      </c>
      <c r="AW182" t="e">
        <f>AND(Sheet1!E2442,"AAAAAGbsnjA=")</f>
        <v>#VALUE!</v>
      </c>
      <c r="AX182" t="e">
        <f>AND(Sheet1!F2442,"AAAAAGbsnjE=")</f>
        <v>#VALUE!</v>
      </c>
      <c r="AY182" t="e">
        <f>AND(Sheet1!G2442,"AAAAAGbsnjI=")</f>
        <v>#VALUE!</v>
      </c>
      <c r="AZ182" t="e">
        <f>AND(Sheet1!H2442,"AAAAAGbsnjM=")</f>
        <v>#VALUE!</v>
      </c>
      <c r="BA182" t="e">
        <f>AND(Sheet1!I2442,"AAAAAGbsnjQ=")</f>
        <v>#VALUE!</v>
      </c>
      <c r="BB182" t="e">
        <f>AND(Sheet1!J2442,"AAAAAGbsnjU=")</f>
        <v>#VALUE!</v>
      </c>
      <c r="BC182" t="e">
        <f>AND(Sheet1!K2442,"AAAAAGbsnjY=")</f>
        <v>#VALUE!</v>
      </c>
      <c r="BD182" t="e">
        <f>AND(Sheet1!L2442,"AAAAAGbsnjc=")</f>
        <v>#VALUE!</v>
      </c>
      <c r="BE182" t="e">
        <f>AND(Sheet1!M2442,"AAAAAGbsnjg=")</f>
        <v>#VALUE!</v>
      </c>
      <c r="BF182" t="e">
        <f>AND(Sheet1!N2442,"AAAAAGbsnjk=")</f>
        <v>#VALUE!</v>
      </c>
      <c r="BG182" t="e">
        <f>AND(Sheet1!#REF!,"AAAAAGbsnjo=")</f>
        <v>#REF!</v>
      </c>
      <c r="BH182" t="e">
        <f>AND(Sheet1!#REF!,"AAAAAGbsnjs=")</f>
        <v>#REF!</v>
      </c>
      <c r="BI182" t="e">
        <f>AND(Sheet1!#REF!,"AAAAAGbsnjw=")</f>
        <v>#REF!</v>
      </c>
      <c r="BJ182" t="e">
        <f>AND(Sheet1!#REF!,"AAAAAGbsnj0=")</f>
        <v>#REF!</v>
      </c>
      <c r="BK182">
        <f>IF(Sheet1!2443:2443,"AAAAAGbsnj4=",0)</f>
        <v>0</v>
      </c>
      <c r="BL182" t="e">
        <f>AND(Sheet1!A2443,"AAAAAGbsnj8=")</f>
        <v>#VALUE!</v>
      </c>
      <c r="BM182" t="e">
        <f>AND(Sheet1!B2443,"AAAAAGbsnkA=")</f>
        <v>#VALUE!</v>
      </c>
      <c r="BN182" t="e">
        <f>AND(Sheet1!C2443,"AAAAAGbsnkE=")</f>
        <v>#VALUE!</v>
      </c>
      <c r="BO182" t="e">
        <f>AND(Sheet1!D2443,"AAAAAGbsnkI=")</f>
        <v>#VALUE!</v>
      </c>
      <c r="BP182" t="e">
        <f>AND(Sheet1!E2443,"AAAAAGbsnkM=")</f>
        <v>#VALUE!</v>
      </c>
      <c r="BQ182" t="e">
        <f>AND(Sheet1!F2443,"AAAAAGbsnkQ=")</f>
        <v>#VALUE!</v>
      </c>
      <c r="BR182" t="e">
        <f>AND(Sheet1!G2443,"AAAAAGbsnkU=")</f>
        <v>#VALUE!</v>
      </c>
      <c r="BS182" t="e">
        <f>AND(Sheet1!H2443,"AAAAAGbsnkY=")</f>
        <v>#VALUE!</v>
      </c>
      <c r="BT182" t="e">
        <f>AND(Sheet1!I2443,"AAAAAGbsnkc=")</f>
        <v>#VALUE!</v>
      </c>
      <c r="BU182" t="e">
        <f>AND(Sheet1!J2443,"AAAAAGbsnkg=")</f>
        <v>#VALUE!</v>
      </c>
      <c r="BV182" t="e">
        <f>AND(Sheet1!K2443,"AAAAAGbsnkk=")</f>
        <v>#VALUE!</v>
      </c>
      <c r="BW182" t="e">
        <f>AND(Sheet1!L2443,"AAAAAGbsnko=")</f>
        <v>#VALUE!</v>
      </c>
      <c r="BX182" t="e">
        <f>AND(Sheet1!M2443,"AAAAAGbsnks=")</f>
        <v>#VALUE!</v>
      </c>
      <c r="BY182" t="e">
        <f>AND(Sheet1!N2443,"AAAAAGbsnkw=")</f>
        <v>#VALUE!</v>
      </c>
      <c r="BZ182" t="e">
        <f>AND(Sheet1!#REF!,"AAAAAGbsnk0=")</f>
        <v>#REF!</v>
      </c>
      <c r="CA182" t="e">
        <f>AND(Sheet1!#REF!,"AAAAAGbsnk4=")</f>
        <v>#REF!</v>
      </c>
      <c r="CB182" t="e">
        <f>AND(Sheet1!#REF!,"AAAAAGbsnk8=")</f>
        <v>#REF!</v>
      </c>
      <c r="CC182" t="e">
        <f>AND(Sheet1!#REF!,"AAAAAGbsnlA=")</f>
        <v>#REF!</v>
      </c>
      <c r="CD182">
        <f>IF(Sheet1!2444:2444,"AAAAAGbsnlE=",0)</f>
        <v>0</v>
      </c>
      <c r="CE182" t="e">
        <f>AND(Sheet1!A2444,"AAAAAGbsnlI=")</f>
        <v>#VALUE!</v>
      </c>
      <c r="CF182" t="e">
        <f>AND(Sheet1!B2444,"AAAAAGbsnlM=")</f>
        <v>#VALUE!</v>
      </c>
      <c r="CG182" t="e">
        <f>AND(Sheet1!C2444,"AAAAAGbsnlQ=")</f>
        <v>#VALUE!</v>
      </c>
      <c r="CH182" t="e">
        <f>AND(Sheet1!D2444,"AAAAAGbsnlU=")</f>
        <v>#VALUE!</v>
      </c>
      <c r="CI182" t="e">
        <f>AND(Sheet1!E2444,"AAAAAGbsnlY=")</f>
        <v>#VALUE!</v>
      </c>
      <c r="CJ182" t="e">
        <f>AND(Sheet1!F2444,"AAAAAGbsnlc=")</f>
        <v>#VALUE!</v>
      </c>
      <c r="CK182" t="e">
        <f>AND(Sheet1!G2444,"AAAAAGbsnlg=")</f>
        <v>#VALUE!</v>
      </c>
      <c r="CL182" t="e">
        <f>AND(Sheet1!H2444,"AAAAAGbsnlk=")</f>
        <v>#VALUE!</v>
      </c>
      <c r="CM182" t="e">
        <f>AND(Sheet1!I2444,"AAAAAGbsnlo=")</f>
        <v>#VALUE!</v>
      </c>
      <c r="CN182" t="e">
        <f>AND(Sheet1!J2444,"AAAAAGbsnls=")</f>
        <v>#VALUE!</v>
      </c>
      <c r="CO182" t="e">
        <f>AND(Sheet1!K2444,"AAAAAGbsnlw=")</f>
        <v>#VALUE!</v>
      </c>
      <c r="CP182" t="e">
        <f>AND(Sheet1!L2444,"AAAAAGbsnl0=")</f>
        <v>#VALUE!</v>
      </c>
      <c r="CQ182" t="e">
        <f>AND(Sheet1!M2444,"AAAAAGbsnl4=")</f>
        <v>#VALUE!</v>
      </c>
      <c r="CR182" t="e">
        <f>AND(Sheet1!N2444,"AAAAAGbsnl8=")</f>
        <v>#VALUE!</v>
      </c>
      <c r="CS182" t="e">
        <f>AND(Sheet1!#REF!,"AAAAAGbsnmA=")</f>
        <v>#REF!</v>
      </c>
      <c r="CT182" t="e">
        <f>AND(Sheet1!#REF!,"AAAAAGbsnmE=")</f>
        <v>#REF!</v>
      </c>
      <c r="CU182" t="e">
        <f>AND(Sheet1!#REF!,"AAAAAGbsnmI=")</f>
        <v>#REF!</v>
      </c>
      <c r="CV182" t="e">
        <f>AND(Sheet1!#REF!,"AAAAAGbsnmM=")</f>
        <v>#REF!</v>
      </c>
      <c r="CW182">
        <f>IF(Sheet1!2445:2445,"AAAAAGbsnmQ=",0)</f>
        <v>0</v>
      </c>
      <c r="CX182" t="e">
        <f>AND(Sheet1!A2445,"AAAAAGbsnmU=")</f>
        <v>#VALUE!</v>
      </c>
      <c r="CY182" t="e">
        <f>AND(Sheet1!B2445,"AAAAAGbsnmY=")</f>
        <v>#VALUE!</v>
      </c>
      <c r="CZ182" t="e">
        <f>AND(Sheet1!C2445,"AAAAAGbsnmc=")</f>
        <v>#VALUE!</v>
      </c>
      <c r="DA182" t="e">
        <f>AND(Sheet1!D2445,"AAAAAGbsnmg=")</f>
        <v>#VALUE!</v>
      </c>
      <c r="DB182" t="e">
        <f>AND(Sheet1!E2445,"AAAAAGbsnmk=")</f>
        <v>#VALUE!</v>
      </c>
      <c r="DC182" t="e">
        <f>AND(Sheet1!F2445,"AAAAAGbsnmo=")</f>
        <v>#VALUE!</v>
      </c>
      <c r="DD182" t="e">
        <f>AND(Sheet1!G2445,"AAAAAGbsnms=")</f>
        <v>#VALUE!</v>
      </c>
      <c r="DE182" t="e">
        <f>AND(Sheet1!H2445,"AAAAAGbsnmw=")</f>
        <v>#VALUE!</v>
      </c>
      <c r="DF182" t="e">
        <f>AND(Sheet1!I2445,"AAAAAGbsnm0=")</f>
        <v>#VALUE!</v>
      </c>
      <c r="DG182" t="e">
        <f>AND(Sheet1!J2445,"AAAAAGbsnm4=")</f>
        <v>#VALUE!</v>
      </c>
      <c r="DH182" t="e">
        <f>AND(Sheet1!K2445,"AAAAAGbsnm8=")</f>
        <v>#VALUE!</v>
      </c>
      <c r="DI182" t="e">
        <f>AND(Sheet1!L2445,"AAAAAGbsnnA=")</f>
        <v>#VALUE!</v>
      </c>
      <c r="DJ182" t="e">
        <f>AND(Sheet1!M2445,"AAAAAGbsnnE=")</f>
        <v>#VALUE!</v>
      </c>
      <c r="DK182" t="e">
        <f>AND(Sheet1!N2445,"AAAAAGbsnnI=")</f>
        <v>#VALUE!</v>
      </c>
      <c r="DL182" t="e">
        <f>AND(Sheet1!#REF!,"AAAAAGbsnnM=")</f>
        <v>#REF!</v>
      </c>
      <c r="DM182" t="e">
        <f>AND(Sheet1!#REF!,"AAAAAGbsnnQ=")</f>
        <v>#REF!</v>
      </c>
      <c r="DN182" t="e">
        <f>AND(Sheet1!#REF!,"AAAAAGbsnnU=")</f>
        <v>#REF!</v>
      </c>
      <c r="DO182" t="e">
        <f>AND(Sheet1!#REF!,"AAAAAGbsnnY=")</f>
        <v>#REF!</v>
      </c>
      <c r="DP182">
        <f>IF(Sheet1!2446:2446,"AAAAAGbsnnc=",0)</f>
        <v>0</v>
      </c>
      <c r="DQ182" t="e">
        <f>AND(Sheet1!A2446,"AAAAAGbsnng=")</f>
        <v>#VALUE!</v>
      </c>
      <c r="DR182" t="e">
        <f>AND(Sheet1!B2446,"AAAAAGbsnnk=")</f>
        <v>#VALUE!</v>
      </c>
      <c r="DS182" t="e">
        <f>AND(Sheet1!C2446,"AAAAAGbsnno=")</f>
        <v>#VALUE!</v>
      </c>
      <c r="DT182" t="e">
        <f>AND(Sheet1!D2446,"AAAAAGbsnns=")</f>
        <v>#VALUE!</v>
      </c>
      <c r="DU182" t="e">
        <f>AND(Sheet1!E2446,"AAAAAGbsnnw=")</f>
        <v>#VALUE!</v>
      </c>
      <c r="DV182" t="e">
        <f>AND(Sheet1!F2446,"AAAAAGbsnn0=")</f>
        <v>#VALUE!</v>
      </c>
      <c r="DW182" t="e">
        <f>AND(Sheet1!G2446,"AAAAAGbsnn4=")</f>
        <v>#VALUE!</v>
      </c>
      <c r="DX182" t="e">
        <f>AND(Sheet1!H2446,"AAAAAGbsnn8=")</f>
        <v>#VALUE!</v>
      </c>
      <c r="DY182" t="e">
        <f>AND(Sheet1!I2446,"AAAAAGbsnoA=")</f>
        <v>#VALUE!</v>
      </c>
      <c r="DZ182" t="e">
        <f>AND(Sheet1!J2446,"AAAAAGbsnoE=")</f>
        <v>#VALUE!</v>
      </c>
      <c r="EA182" t="e">
        <f>AND(Sheet1!K2446,"AAAAAGbsnoI=")</f>
        <v>#VALUE!</v>
      </c>
      <c r="EB182" t="e">
        <f>AND(Sheet1!L2446,"AAAAAGbsnoM=")</f>
        <v>#VALUE!</v>
      </c>
      <c r="EC182" t="e">
        <f>AND(Sheet1!M2446,"AAAAAGbsnoQ=")</f>
        <v>#VALUE!</v>
      </c>
      <c r="ED182" t="e">
        <f>AND(Sheet1!N2446,"AAAAAGbsnoU=")</f>
        <v>#VALUE!</v>
      </c>
      <c r="EE182" t="e">
        <f>AND(Sheet1!#REF!,"AAAAAGbsnoY=")</f>
        <v>#REF!</v>
      </c>
      <c r="EF182" t="e">
        <f>AND(Sheet1!#REF!,"AAAAAGbsnoc=")</f>
        <v>#REF!</v>
      </c>
      <c r="EG182" t="e">
        <f>AND(Sheet1!#REF!,"AAAAAGbsnog=")</f>
        <v>#REF!</v>
      </c>
      <c r="EH182" t="e">
        <f>AND(Sheet1!#REF!,"AAAAAGbsnok=")</f>
        <v>#REF!</v>
      </c>
      <c r="EI182">
        <f>IF(Sheet1!2447:2447,"AAAAAGbsnoo=",0)</f>
        <v>0</v>
      </c>
      <c r="EJ182" t="e">
        <f>AND(Sheet1!A2447,"AAAAAGbsnos=")</f>
        <v>#VALUE!</v>
      </c>
      <c r="EK182" t="e">
        <f>AND(Sheet1!B2447,"AAAAAGbsnow=")</f>
        <v>#VALUE!</v>
      </c>
      <c r="EL182" t="e">
        <f>AND(Sheet1!C2447,"AAAAAGbsno0=")</f>
        <v>#VALUE!</v>
      </c>
      <c r="EM182" t="e">
        <f>AND(Sheet1!D2447,"AAAAAGbsno4=")</f>
        <v>#VALUE!</v>
      </c>
      <c r="EN182" t="e">
        <f>AND(Sheet1!E2447,"AAAAAGbsno8=")</f>
        <v>#VALUE!</v>
      </c>
      <c r="EO182" t="e">
        <f>AND(Sheet1!F2447,"AAAAAGbsnpA=")</f>
        <v>#VALUE!</v>
      </c>
      <c r="EP182" t="e">
        <f>AND(Sheet1!G2447,"AAAAAGbsnpE=")</f>
        <v>#VALUE!</v>
      </c>
      <c r="EQ182" t="e">
        <f>AND(Sheet1!H2447,"AAAAAGbsnpI=")</f>
        <v>#VALUE!</v>
      </c>
      <c r="ER182" t="e">
        <f>AND(Sheet1!I2447,"AAAAAGbsnpM=")</f>
        <v>#VALUE!</v>
      </c>
      <c r="ES182" t="e">
        <f>AND(Sheet1!J2447,"AAAAAGbsnpQ=")</f>
        <v>#VALUE!</v>
      </c>
      <c r="ET182" t="e">
        <f>AND(Sheet1!K2447,"AAAAAGbsnpU=")</f>
        <v>#VALUE!</v>
      </c>
      <c r="EU182" t="e">
        <f>AND(Sheet1!L2447,"AAAAAGbsnpY=")</f>
        <v>#VALUE!</v>
      </c>
      <c r="EV182" t="e">
        <f>AND(Sheet1!M2447,"AAAAAGbsnpc=")</f>
        <v>#VALUE!</v>
      </c>
      <c r="EW182" t="e">
        <f>AND(Sheet1!N2447,"AAAAAGbsnpg=")</f>
        <v>#VALUE!</v>
      </c>
      <c r="EX182" t="e">
        <f>AND(Sheet1!#REF!,"AAAAAGbsnpk=")</f>
        <v>#REF!</v>
      </c>
      <c r="EY182" t="e">
        <f>AND(Sheet1!#REF!,"AAAAAGbsnpo=")</f>
        <v>#REF!</v>
      </c>
      <c r="EZ182" t="e">
        <f>AND(Sheet1!#REF!,"AAAAAGbsnps=")</f>
        <v>#REF!</v>
      </c>
      <c r="FA182" t="e">
        <f>AND(Sheet1!#REF!,"AAAAAGbsnpw=")</f>
        <v>#REF!</v>
      </c>
      <c r="FB182">
        <f>IF(Sheet1!2448:2448,"AAAAAGbsnp0=",0)</f>
        <v>0</v>
      </c>
      <c r="FC182" t="e">
        <f>AND(Sheet1!A2448,"AAAAAGbsnp4=")</f>
        <v>#VALUE!</v>
      </c>
      <c r="FD182" t="e">
        <f>AND(Sheet1!B2448,"AAAAAGbsnp8=")</f>
        <v>#VALUE!</v>
      </c>
      <c r="FE182" t="e">
        <f>AND(Sheet1!C2448,"AAAAAGbsnqA=")</f>
        <v>#VALUE!</v>
      </c>
      <c r="FF182" t="e">
        <f>AND(Sheet1!D2448,"AAAAAGbsnqE=")</f>
        <v>#VALUE!</v>
      </c>
      <c r="FG182" t="e">
        <f>AND(Sheet1!E2448,"AAAAAGbsnqI=")</f>
        <v>#VALUE!</v>
      </c>
      <c r="FH182" t="e">
        <f>AND(Sheet1!F2448,"AAAAAGbsnqM=")</f>
        <v>#VALUE!</v>
      </c>
      <c r="FI182" t="e">
        <f>AND(Sheet1!G2448,"AAAAAGbsnqQ=")</f>
        <v>#VALUE!</v>
      </c>
      <c r="FJ182" t="e">
        <f>AND(Sheet1!H2448,"AAAAAGbsnqU=")</f>
        <v>#VALUE!</v>
      </c>
      <c r="FK182" t="e">
        <f>AND(Sheet1!I2448,"AAAAAGbsnqY=")</f>
        <v>#VALUE!</v>
      </c>
      <c r="FL182" t="e">
        <f>AND(Sheet1!J2448,"AAAAAGbsnqc=")</f>
        <v>#VALUE!</v>
      </c>
      <c r="FM182" t="e">
        <f>AND(Sheet1!K2448,"AAAAAGbsnqg=")</f>
        <v>#VALUE!</v>
      </c>
      <c r="FN182" t="e">
        <f>AND(Sheet1!L2448,"AAAAAGbsnqk=")</f>
        <v>#VALUE!</v>
      </c>
      <c r="FO182" t="e">
        <f>AND(Sheet1!M2448,"AAAAAGbsnqo=")</f>
        <v>#VALUE!</v>
      </c>
      <c r="FP182" t="e">
        <f>AND(Sheet1!N2448,"AAAAAGbsnqs=")</f>
        <v>#VALUE!</v>
      </c>
      <c r="FQ182" t="e">
        <f>AND(Sheet1!#REF!,"AAAAAGbsnqw=")</f>
        <v>#REF!</v>
      </c>
      <c r="FR182" t="e">
        <f>AND(Sheet1!#REF!,"AAAAAGbsnq0=")</f>
        <v>#REF!</v>
      </c>
      <c r="FS182" t="e">
        <f>AND(Sheet1!#REF!,"AAAAAGbsnq4=")</f>
        <v>#REF!</v>
      </c>
      <c r="FT182" t="e">
        <f>AND(Sheet1!#REF!,"AAAAAGbsnq8=")</f>
        <v>#REF!</v>
      </c>
      <c r="FU182">
        <f>IF(Sheet1!2449:2449,"AAAAAGbsnrA=",0)</f>
        <v>0</v>
      </c>
      <c r="FV182" t="e">
        <f>AND(Sheet1!A2449,"AAAAAGbsnrE=")</f>
        <v>#VALUE!</v>
      </c>
      <c r="FW182" t="e">
        <f>AND(Sheet1!B2449,"AAAAAGbsnrI=")</f>
        <v>#VALUE!</v>
      </c>
      <c r="FX182" t="e">
        <f>AND(Sheet1!C2449,"AAAAAGbsnrM=")</f>
        <v>#VALUE!</v>
      </c>
      <c r="FY182" t="e">
        <f>AND(Sheet1!D2449,"AAAAAGbsnrQ=")</f>
        <v>#VALUE!</v>
      </c>
      <c r="FZ182" t="e">
        <f>AND(Sheet1!E2449,"AAAAAGbsnrU=")</f>
        <v>#VALUE!</v>
      </c>
      <c r="GA182" t="e">
        <f>AND(Sheet1!F2449,"AAAAAGbsnrY=")</f>
        <v>#VALUE!</v>
      </c>
      <c r="GB182" t="e">
        <f>AND(Sheet1!G2449,"AAAAAGbsnrc=")</f>
        <v>#VALUE!</v>
      </c>
      <c r="GC182" t="e">
        <f>AND(Sheet1!H2449,"AAAAAGbsnrg=")</f>
        <v>#VALUE!</v>
      </c>
      <c r="GD182" t="e">
        <f>AND(Sheet1!I2449,"AAAAAGbsnrk=")</f>
        <v>#VALUE!</v>
      </c>
      <c r="GE182" t="e">
        <f>AND(Sheet1!J2449,"AAAAAGbsnro=")</f>
        <v>#VALUE!</v>
      </c>
      <c r="GF182" t="e">
        <f>AND(Sheet1!K2449,"AAAAAGbsnrs=")</f>
        <v>#VALUE!</v>
      </c>
      <c r="GG182" t="e">
        <f>AND(Sheet1!L2449,"AAAAAGbsnrw=")</f>
        <v>#VALUE!</v>
      </c>
      <c r="GH182" t="e">
        <f>AND(Sheet1!M2449,"AAAAAGbsnr0=")</f>
        <v>#VALUE!</v>
      </c>
      <c r="GI182" t="e">
        <f>AND(Sheet1!N2449,"AAAAAGbsnr4=")</f>
        <v>#VALUE!</v>
      </c>
      <c r="GJ182" t="e">
        <f>AND(Sheet1!#REF!,"AAAAAGbsnr8=")</f>
        <v>#REF!</v>
      </c>
      <c r="GK182" t="e">
        <f>AND(Sheet1!#REF!,"AAAAAGbsnsA=")</f>
        <v>#REF!</v>
      </c>
      <c r="GL182" t="e">
        <f>AND(Sheet1!#REF!,"AAAAAGbsnsE=")</f>
        <v>#REF!</v>
      </c>
      <c r="GM182" t="e">
        <f>AND(Sheet1!#REF!,"AAAAAGbsnsI=")</f>
        <v>#REF!</v>
      </c>
      <c r="GN182">
        <f>IF(Sheet1!2450:2450,"AAAAAGbsnsM=",0)</f>
        <v>0</v>
      </c>
      <c r="GO182" t="e">
        <f>AND(Sheet1!A2450,"AAAAAGbsnsQ=")</f>
        <v>#VALUE!</v>
      </c>
      <c r="GP182" t="e">
        <f>AND(Sheet1!B2450,"AAAAAGbsnsU=")</f>
        <v>#VALUE!</v>
      </c>
      <c r="GQ182" t="e">
        <f>AND(Sheet1!C2450,"AAAAAGbsnsY=")</f>
        <v>#VALUE!</v>
      </c>
      <c r="GR182" t="e">
        <f>AND(Sheet1!D2450,"AAAAAGbsnsc=")</f>
        <v>#VALUE!</v>
      </c>
      <c r="GS182" t="e">
        <f>AND(Sheet1!E2450,"AAAAAGbsnsg=")</f>
        <v>#VALUE!</v>
      </c>
      <c r="GT182" t="e">
        <f>AND(Sheet1!F2450,"AAAAAGbsnsk=")</f>
        <v>#VALUE!</v>
      </c>
      <c r="GU182" t="e">
        <f>AND(Sheet1!G2450,"AAAAAGbsnso=")</f>
        <v>#VALUE!</v>
      </c>
      <c r="GV182" t="e">
        <f>AND(Sheet1!H2450,"AAAAAGbsnss=")</f>
        <v>#VALUE!</v>
      </c>
      <c r="GW182" t="e">
        <f>AND(Sheet1!I2450,"AAAAAGbsnsw=")</f>
        <v>#VALUE!</v>
      </c>
      <c r="GX182" t="e">
        <f>AND(Sheet1!J2450,"AAAAAGbsns0=")</f>
        <v>#VALUE!</v>
      </c>
      <c r="GY182" t="e">
        <f>AND(Sheet1!K2450,"AAAAAGbsns4=")</f>
        <v>#VALUE!</v>
      </c>
      <c r="GZ182" t="e">
        <f>AND(Sheet1!L2450,"AAAAAGbsns8=")</f>
        <v>#VALUE!</v>
      </c>
      <c r="HA182" t="e">
        <f>AND(Sheet1!M2450,"AAAAAGbsntA=")</f>
        <v>#VALUE!</v>
      </c>
      <c r="HB182" t="e">
        <f>AND(Sheet1!N2450,"AAAAAGbsntE=")</f>
        <v>#VALUE!</v>
      </c>
      <c r="HC182" t="e">
        <f>AND(Sheet1!#REF!,"AAAAAGbsntI=")</f>
        <v>#REF!</v>
      </c>
      <c r="HD182" t="e">
        <f>AND(Sheet1!#REF!,"AAAAAGbsntM=")</f>
        <v>#REF!</v>
      </c>
      <c r="HE182" t="e">
        <f>AND(Sheet1!#REF!,"AAAAAGbsntQ=")</f>
        <v>#REF!</v>
      </c>
      <c r="HF182" t="e">
        <f>AND(Sheet1!#REF!,"AAAAAGbsntU=")</f>
        <v>#REF!</v>
      </c>
      <c r="HG182">
        <f>IF(Sheet1!2451:2451,"AAAAAGbsntY=",0)</f>
        <v>0</v>
      </c>
      <c r="HH182" t="e">
        <f>AND(Sheet1!A2451,"AAAAAGbsntc=")</f>
        <v>#VALUE!</v>
      </c>
      <c r="HI182" t="e">
        <f>AND(Sheet1!B2451,"AAAAAGbsntg=")</f>
        <v>#VALUE!</v>
      </c>
      <c r="HJ182" t="e">
        <f>AND(Sheet1!C2451,"AAAAAGbsntk=")</f>
        <v>#VALUE!</v>
      </c>
      <c r="HK182" t="e">
        <f>AND(Sheet1!D2451,"AAAAAGbsnto=")</f>
        <v>#VALUE!</v>
      </c>
      <c r="HL182" t="e">
        <f>AND(Sheet1!E2451,"AAAAAGbsnts=")</f>
        <v>#VALUE!</v>
      </c>
      <c r="HM182" t="e">
        <f>AND(Sheet1!F2451,"AAAAAGbsntw=")</f>
        <v>#VALUE!</v>
      </c>
      <c r="HN182" t="e">
        <f>AND(Sheet1!G2451,"AAAAAGbsnt0=")</f>
        <v>#VALUE!</v>
      </c>
      <c r="HO182" t="e">
        <f>AND(Sheet1!H2451,"AAAAAGbsnt4=")</f>
        <v>#VALUE!</v>
      </c>
      <c r="HP182" t="e">
        <f>AND(Sheet1!I2451,"AAAAAGbsnt8=")</f>
        <v>#VALUE!</v>
      </c>
      <c r="HQ182" t="e">
        <f>AND(Sheet1!J2451,"AAAAAGbsnuA=")</f>
        <v>#VALUE!</v>
      </c>
      <c r="HR182" t="e">
        <f>AND(Sheet1!K2451,"AAAAAGbsnuE=")</f>
        <v>#VALUE!</v>
      </c>
      <c r="HS182" t="e">
        <f>AND(Sheet1!L2451,"AAAAAGbsnuI=")</f>
        <v>#VALUE!</v>
      </c>
      <c r="HT182" t="e">
        <f>AND(Sheet1!M2451,"AAAAAGbsnuM=")</f>
        <v>#VALUE!</v>
      </c>
      <c r="HU182" t="e">
        <f>AND(Sheet1!N2451,"AAAAAGbsnuQ=")</f>
        <v>#VALUE!</v>
      </c>
      <c r="HV182" t="e">
        <f>AND(Sheet1!#REF!,"AAAAAGbsnuU=")</f>
        <v>#REF!</v>
      </c>
      <c r="HW182" t="e">
        <f>AND(Sheet1!#REF!,"AAAAAGbsnuY=")</f>
        <v>#REF!</v>
      </c>
      <c r="HX182" t="e">
        <f>AND(Sheet1!#REF!,"AAAAAGbsnuc=")</f>
        <v>#REF!</v>
      </c>
      <c r="HY182" t="e">
        <f>AND(Sheet1!#REF!,"AAAAAGbsnug=")</f>
        <v>#REF!</v>
      </c>
      <c r="HZ182">
        <f>IF(Sheet1!2452:2452,"AAAAAGbsnuk=",0)</f>
        <v>0</v>
      </c>
      <c r="IA182" t="e">
        <f>AND(Sheet1!A2452,"AAAAAGbsnuo=")</f>
        <v>#VALUE!</v>
      </c>
      <c r="IB182" t="e">
        <f>AND(Sheet1!B2452,"AAAAAGbsnus=")</f>
        <v>#VALUE!</v>
      </c>
      <c r="IC182" t="e">
        <f>AND(Sheet1!C2452,"AAAAAGbsnuw=")</f>
        <v>#VALUE!</v>
      </c>
      <c r="ID182" t="e">
        <f>AND(Sheet1!D2452,"AAAAAGbsnu0=")</f>
        <v>#VALUE!</v>
      </c>
      <c r="IE182" t="e">
        <f>AND(Sheet1!E2452,"AAAAAGbsnu4=")</f>
        <v>#VALUE!</v>
      </c>
      <c r="IF182" t="e">
        <f>AND(Sheet1!F2452,"AAAAAGbsnu8=")</f>
        <v>#VALUE!</v>
      </c>
      <c r="IG182" t="e">
        <f>AND(Sheet1!G2452,"AAAAAGbsnvA=")</f>
        <v>#VALUE!</v>
      </c>
      <c r="IH182" t="e">
        <f>AND(Sheet1!H2452,"AAAAAGbsnvE=")</f>
        <v>#VALUE!</v>
      </c>
      <c r="II182" t="e">
        <f>AND(Sheet1!I2452,"AAAAAGbsnvI=")</f>
        <v>#VALUE!</v>
      </c>
      <c r="IJ182" t="e">
        <f>AND(Sheet1!J2452,"AAAAAGbsnvM=")</f>
        <v>#VALUE!</v>
      </c>
      <c r="IK182" t="e">
        <f>AND(Sheet1!K2452,"AAAAAGbsnvQ=")</f>
        <v>#VALUE!</v>
      </c>
      <c r="IL182" t="e">
        <f>AND(Sheet1!L2452,"AAAAAGbsnvU=")</f>
        <v>#VALUE!</v>
      </c>
      <c r="IM182" t="e">
        <f>AND(Sheet1!M2452,"AAAAAGbsnvY=")</f>
        <v>#VALUE!</v>
      </c>
      <c r="IN182" t="e">
        <f>AND(Sheet1!N2452,"AAAAAGbsnvc=")</f>
        <v>#VALUE!</v>
      </c>
      <c r="IO182" t="e">
        <f>AND(Sheet1!#REF!,"AAAAAGbsnvg=")</f>
        <v>#REF!</v>
      </c>
      <c r="IP182" t="e">
        <f>AND(Sheet1!#REF!,"AAAAAGbsnvk=")</f>
        <v>#REF!</v>
      </c>
      <c r="IQ182" t="e">
        <f>AND(Sheet1!#REF!,"AAAAAGbsnvo=")</f>
        <v>#REF!</v>
      </c>
      <c r="IR182" t="e">
        <f>AND(Sheet1!#REF!,"AAAAAGbsnvs=")</f>
        <v>#REF!</v>
      </c>
      <c r="IS182">
        <f>IF(Sheet1!2453:2453,"AAAAAGbsnvw=",0)</f>
        <v>0</v>
      </c>
      <c r="IT182" t="e">
        <f>AND(Sheet1!A2453,"AAAAAGbsnv0=")</f>
        <v>#VALUE!</v>
      </c>
      <c r="IU182" t="e">
        <f>AND(Sheet1!B2453,"AAAAAGbsnv4=")</f>
        <v>#VALUE!</v>
      </c>
      <c r="IV182" t="e">
        <f>AND(Sheet1!C2453,"AAAAAGbsnv8=")</f>
        <v>#VALUE!</v>
      </c>
    </row>
    <row r="183" spans="1:256" x14ac:dyDescent="0.2">
      <c r="A183" t="e">
        <f>AND(Sheet1!D2453,"AAAAAC1nvwA=")</f>
        <v>#VALUE!</v>
      </c>
      <c r="B183" t="e">
        <f>AND(Sheet1!E2453,"AAAAAC1nvwE=")</f>
        <v>#VALUE!</v>
      </c>
      <c r="C183" t="e">
        <f>AND(Sheet1!F2453,"AAAAAC1nvwI=")</f>
        <v>#VALUE!</v>
      </c>
      <c r="D183" t="e">
        <f>AND(Sheet1!G2453,"AAAAAC1nvwM=")</f>
        <v>#VALUE!</v>
      </c>
      <c r="E183" t="e">
        <f>AND(Sheet1!H2453,"AAAAAC1nvwQ=")</f>
        <v>#VALUE!</v>
      </c>
      <c r="F183" t="e">
        <f>AND(Sheet1!I2453,"AAAAAC1nvwU=")</f>
        <v>#VALUE!</v>
      </c>
      <c r="G183" t="e">
        <f>AND(Sheet1!J2453,"AAAAAC1nvwY=")</f>
        <v>#VALUE!</v>
      </c>
      <c r="H183" t="e">
        <f>AND(Sheet1!K2453,"AAAAAC1nvwc=")</f>
        <v>#VALUE!</v>
      </c>
      <c r="I183" t="e">
        <f>AND(Sheet1!L2453,"AAAAAC1nvwg=")</f>
        <v>#VALUE!</v>
      </c>
      <c r="J183" t="e">
        <f>AND(Sheet1!M2453,"AAAAAC1nvwk=")</f>
        <v>#VALUE!</v>
      </c>
      <c r="K183" t="e">
        <f>AND(Sheet1!N2453,"AAAAAC1nvwo=")</f>
        <v>#VALUE!</v>
      </c>
      <c r="L183" t="e">
        <f>AND(Sheet1!#REF!,"AAAAAC1nvws=")</f>
        <v>#REF!</v>
      </c>
      <c r="M183" t="e">
        <f>AND(Sheet1!#REF!,"AAAAAC1nvww=")</f>
        <v>#REF!</v>
      </c>
      <c r="N183" t="e">
        <f>AND(Sheet1!#REF!,"AAAAAC1nvw0=")</f>
        <v>#REF!</v>
      </c>
      <c r="O183" t="e">
        <f>AND(Sheet1!#REF!,"AAAAAC1nvw4=")</f>
        <v>#REF!</v>
      </c>
      <c r="P183">
        <f>IF(Sheet1!2454:2454,"AAAAAC1nvw8=",0)</f>
        <v>0</v>
      </c>
      <c r="Q183" t="e">
        <f>AND(Sheet1!A2454,"AAAAAC1nvxA=")</f>
        <v>#VALUE!</v>
      </c>
      <c r="R183" t="e">
        <f>AND(Sheet1!B2454,"AAAAAC1nvxE=")</f>
        <v>#VALUE!</v>
      </c>
      <c r="S183" t="e">
        <f>AND(Sheet1!C2454,"AAAAAC1nvxI=")</f>
        <v>#VALUE!</v>
      </c>
      <c r="T183" t="e">
        <f>AND(Sheet1!D2454,"AAAAAC1nvxM=")</f>
        <v>#VALUE!</v>
      </c>
      <c r="U183" t="e">
        <f>AND(Sheet1!E2454,"AAAAAC1nvxQ=")</f>
        <v>#VALUE!</v>
      </c>
      <c r="V183" t="e">
        <f>AND(Sheet1!F2454,"AAAAAC1nvxU=")</f>
        <v>#VALUE!</v>
      </c>
      <c r="W183" t="e">
        <f>AND(Sheet1!G2454,"AAAAAC1nvxY=")</f>
        <v>#VALUE!</v>
      </c>
      <c r="X183" t="e">
        <f>AND(Sheet1!H2454,"AAAAAC1nvxc=")</f>
        <v>#VALUE!</v>
      </c>
      <c r="Y183" t="e">
        <f>AND(Sheet1!I2454,"AAAAAC1nvxg=")</f>
        <v>#VALUE!</v>
      </c>
      <c r="Z183" t="e">
        <f>AND(Sheet1!J2454,"AAAAAC1nvxk=")</f>
        <v>#VALUE!</v>
      </c>
      <c r="AA183" t="e">
        <f>AND(Sheet1!K2454,"AAAAAC1nvxo=")</f>
        <v>#VALUE!</v>
      </c>
      <c r="AB183" t="e">
        <f>AND(Sheet1!L2454,"AAAAAC1nvxs=")</f>
        <v>#VALUE!</v>
      </c>
      <c r="AC183" t="e">
        <f>AND(Sheet1!M2454,"AAAAAC1nvxw=")</f>
        <v>#VALUE!</v>
      </c>
      <c r="AD183" t="e">
        <f>AND(Sheet1!N2454,"AAAAAC1nvx0=")</f>
        <v>#VALUE!</v>
      </c>
      <c r="AE183" t="e">
        <f>AND(Sheet1!#REF!,"AAAAAC1nvx4=")</f>
        <v>#REF!</v>
      </c>
      <c r="AF183" t="e">
        <f>AND(Sheet1!#REF!,"AAAAAC1nvx8=")</f>
        <v>#REF!</v>
      </c>
      <c r="AG183" t="e">
        <f>AND(Sheet1!#REF!,"AAAAAC1nvyA=")</f>
        <v>#REF!</v>
      </c>
      <c r="AH183" t="e">
        <f>AND(Sheet1!#REF!,"AAAAAC1nvyE=")</f>
        <v>#REF!</v>
      </c>
      <c r="AI183">
        <f>IF(Sheet1!2455:2455,"AAAAAC1nvyI=",0)</f>
        <v>0</v>
      </c>
      <c r="AJ183" t="e">
        <f>AND(Sheet1!A2455,"AAAAAC1nvyM=")</f>
        <v>#VALUE!</v>
      </c>
      <c r="AK183" t="e">
        <f>AND(Sheet1!B2455,"AAAAAC1nvyQ=")</f>
        <v>#VALUE!</v>
      </c>
      <c r="AL183" t="e">
        <f>AND(Sheet1!C2455,"AAAAAC1nvyU=")</f>
        <v>#VALUE!</v>
      </c>
      <c r="AM183" t="e">
        <f>AND(Sheet1!D2455,"AAAAAC1nvyY=")</f>
        <v>#VALUE!</v>
      </c>
      <c r="AN183" t="e">
        <f>AND(Sheet1!E2455,"AAAAAC1nvyc=")</f>
        <v>#VALUE!</v>
      </c>
      <c r="AO183" t="e">
        <f>AND(Sheet1!F2455,"AAAAAC1nvyg=")</f>
        <v>#VALUE!</v>
      </c>
      <c r="AP183" t="e">
        <f>AND(Sheet1!G2455,"AAAAAC1nvyk=")</f>
        <v>#VALUE!</v>
      </c>
      <c r="AQ183" t="e">
        <f>AND(Sheet1!H2455,"AAAAAC1nvyo=")</f>
        <v>#VALUE!</v>
      </c>
      <c r="AR183" t="e">
        <f>AND(Sheet1!I2455,"AAAAAC1nvys=")</f>
        <v>#VALUE!</v>
      </c>
      <c r="AS183" t="e">
        <f>AND(Sheet1!J2455,"AAAAAC1nvyw=")</f>
        <v>#VALUE!</v>
      </c>
      <c r="AT183" t="e">
        <f>AND(Sheet1!K2455,"AAAAAC1nvy0=")</f>
        <v>#VALUE!</v>
      </c>
      <c r="AU183" t="e">
        <f>AND(Sheet1!L2455,"AAAAAC1nvy4=")</f>
        <v>#VALUE!</v>
      </c>
      <c r="AV183" t="e">
        <f>AND(Sheet1!M2455,"AAAAAC1nvy8=")</f>
        <v>#VALUE!</v>
      </c>
      <c r="AW183" t="e">
        <f>AND(Sheet1!N2455,"AAAAAC1nvzA=")</f>
        <v>#VALUE!</v>
      </c>
      <c r="AX183" t="e">
        <f>AND(Sheet1!#REF!,"AAAAAC1nvzE=")</f>
        <v>#REF!</v>
      </c>
      <c r="AY183" t="e">
        <f>AND(Sheet1!#REF!,"AAAAAC1nvzI=")</f>
        <v>#REF!</v>
      </c>
      <c r="AZ183" t="e">
        <f>AND(Sheet1!#REF!,"AAAAAC1nvzM=")</f>
        <v>#REF!</v>
      </c>
      <c r="BA183" t="e">
        <f>AND(Sheet1!#REF!,"AAAAAC1nvzQ=")</f>
        <v>#REF!</v>
      </c>
      <c r="BB183">
        <f>IF(Sheet1!2456:2456,"AAAAAC1nvzU=",0)</f>
        <v>0</v>
      </c>
      <c r="BC183" t="e">
        <f>AND(Sheet1!A2456,"AAAAAC1nvzY=")</f>
        <v>#VALUE!</v>
      </c>
      <c r="BD183" t="e">
        <f>AND(Sheet1!B2456,"AAAAAC1nvzc=")</f>
        <v>#VALUE!</v>
      </c>
      <c r="BE183" t="e">
        <f>AND(Sheet1!C2456,"AAAAAC1nvzg=")</f>
        <v>#VALUE!</v>
      </c>
      <c r="BF183" t="e">
        <f>AND(Sheet1!D2456,"AAAAAC1nvzk=")</f>
        <v>#VALUE!</v>
      </c>
      <c r="BG183" t="e">
        <f>AND(Sheet1!E2456,"AAAAAC1nvzo=")</f>
        <v>#VALUE!</v>
      </c>
      <c r="BH183" t="e">
        <f>AND(Sheet1!F2456,"AAAAAC1nvzs=")</f>
        <v>#VALUE!</v>
      </c>
      <c r="BI183" t="e">
        <f>AND(Sheet1!G2456,"AAAAAC1nvzw=")</f>
        <v>#VALUE!</v>
      </c>
      <c r="BJ183" t="e">
        <f>AND(Sheet1!H2456,"AAAAAC1nvz0=")</f>
        <v>#VALUE!</v>
      </c>
      <c r="BK183" t="e">
        <f>AND(Sheet1!I2456,"AAAAAC1nvz4=")</f>
        <v>#VALUE!</v>
      </c>
      <c r="BL183" t="e">
        <f>AND(Sheet1!J2456,"AAAAAC1nvz8=")</f>
        <v>#VALUE!</v>
      </c>
      <c r="BM183" t="e">
        <f>AND(Sheet1!K2456,"AAAAAC1nv0A=")</f>
        <v>#VALUE!</v>
      </c>
      <c r="BN183" t="e">
        <f>AND(Sheet1!L2456,"AAAAAC1nv0E=")</f>
        <v>#VALUE!</v>
      </c>
      <c r="BO183" t="e">
        <f>AND(Sheet1!M2456,"AAAAAC1nv0I=")</f>
        <v>#VALUE!</v>
      </c>
      <c r="BP183" t="e">
        <f>AND(Sheet1!N2456,"AAAAAC1nv0M=")</f>
        <v>#VALUE!</v>
      </c>
      <c r="BQ183" t="e">
        <f>AND(Sheet1!#REF!,"AAAAAC1nv0Q=")</f>
        <v>#REF!</v>
      </c>
      <c r="BR183" t="e">
        <f>AND(Sheet1!#REF!,"AAAAAC1nv0U=")</f>
        <v>#REF!</v>
      </c>
      <c r="BS183" t="e">
        <f>AND(Sheet1!#REF!,"AAAAAC1nv0Y=")</f>
        <v>#REF!</v>
      </c>
      <c r="BT183" t="e">
        <f>AND(Sheet1!#REF!,"AAAAAC1nv0c=")</f>
        <v>#REF!</v>
      </c>
      <c r="BU183">
        <f>IF(Sheet1!2457:2457,"AAAAAC1nv0g=",0)</f>
        <v>0</v>
      </c>
      <c r="BV183" t="e">
        <f>AND(Sheet1!A2457,"AAAAAC1nv0k=")</f>
        <v>#VALUE!</v>
      </c>
      <c r="BW183" t="e">
        <f>AND(Sheet1!B2457,"AAAAAC1nv0o=")</f>
        <v>#VALUE!</v>
      </c>
      <c r="BX183" t="e">
        <f>AND(Sheet1!C2457,"AAAAAC1nv0s=")</f>
        <v>#VALUE!</v>
      </c>
      <c r="BY183" t="e">
        <f>AND(Sheet1!D2457,"AAAAAC1nv0w=")</f>
        <v>#VALUE!</v>
      </c>
      <c r="BZ183" t="e">
        <f>AND(Sheet1!E2457,"AAAAAC1nv00=")</f>
        <v>#VALUE!</v>
      </c>
      <c r="CA183" t="e">
        <f>AND(Sheet1!F2457,"AAAAAC1nv04=")</f>
        <v>#VALUE!</v>
      </c>
      <c r="CB183" t="e">
        <f>AND(Sheet1!G2457,"AAAAAC1nv08=")</f>
        <v>#VALUE!</v>
      </c>
      <c r="CC183" t="e">
        <f>AND(Sheet1!H2457,"AAAAAC1nv1A=")</f>
        <v>#VALUE!</v>
      </c>
      <c r="CD183" t="e">
        <f>AND(Sheet1!I2457,"AAAAAC1nv1E=")</f>
        <v>#VALUE!</v>
      </c>
      <c r="CE183" t="e">
        <f>AND(Sheet1!J2457,"AAAAAC1nv1I=")</f>
        <v>#VALUE!</v>
      </c>
      <c r="CF183" t="e">
        <f>AND(Sheet1!K2457,"AAAAAC1nv1M=")</f>
        <v>#VALUE!</v>
      </c>
      <c r="CG183" t="e">
        <f>AND(Sheet1!L2457,"AAAAAC1nv1Q=")</f>
        <v>#VALUE!</v>
      </c>
      <c r="CH183" t="e">
        <f>AND(Sheet1!M2457,"AAAAAC1nv1U=")</f>
        <v>#VALUE!</v>
      </c>
      <c r="CI183" t="e">
        <f>AND(Sheet1!N2457,"AAAAAC1nv1Y=")</f>
        <v>#VALUE!</v>
      </c>
      <c r="CJ183" t="e">
        <f>AND(Sheet1!#REF!,"AAAAAC1nv1c=")</f>
        <v>#REF!</v>
      </c>
      <c r="CK183" t="e">
        <f>AND(Sheet1!#REF!,"AAAAAC1nv1g=")</f>
        <v>#REF!</v>
      </c>
      <c r="CL183" t="e">
        <f>AND(Sheet1!#REF!,"AAAAAC1nv1k=")</f>
        <v>#REF!</v>
      </c>
      <c r="CM183" t="e">
        <f>AND(Sheet1!#REF!,"AAAAAC1nv1o=")</f>
        <v>#REF!</v>
      </c>
      <c r="CN183">
        <f>IF(Sheet1!2458:2458,"AAAAAC1nv1s=",0)</f>
        <v>0</v>
      </c>
      <c r="CO183" t="e">
        <f>AND(Sheet1!A2458,"AAAAAC1nv1w=")</f>
        <v>#VALUE!</v>
      </c>
      <c r="CP183" t="e">
        <f>AND(Sheet1!B2458,"AAAAAC1nv10=")</f>
        <v>#VALUE!</v>
      </c>
      <c r="CQ183" t="e">
        <f>AND(Sheet1!C2458,"AAAAAC1nv14=")</f>
        <v>#VALUE!</v>
      </c>
      <c r="CR183" t="e">
        <f>AND(Sheet1!D2458,"AAAAAC1nv18=")</f>
        <v>#VALUE!</v>
      </c>
      <c r="CS183" t="e">
        <f>AND(Sheet1!E2458,"AAAAAC1nv2A=")</f>
        <v>#VALUE!</v>
      </c>
      <c r="CT183" t="e">
        <f>AND(Sheet1!F2458,"AAAAAC1nv2E=")</f>
        <v>#VALUE!</v>
      </c>
      <c r="CU183" t="e">
        <f>AND(Sheet1!G2458,"AAAAAC1nv2I=")</f>
        <v>#VALUE!</v>
      </c>
      <c r="CV183" t="e">
        <f>AND(Sheet1!H2458,"AAAAAC1nv2M=")</f>
        <v>#VALUE!</v>
      </c>
      <c r="CW183" t="e">
        <f>AND(Sheet1!I2458,"AAAAAC1nv2Q=")</f>
        <v>#VALUE!</v>
      </c>
      <c r="CX183" t="e">
        <f>AND(Sheet1!J2458,"AAAAAC1nv2U=")</f>
        <v>#VALUE!</v>
      </c>
      <c r="CY183" t="e">
        <f>AND(Sheet1!K2458,"AAAAAC1nv2Y=")</f>
        <v>#VALUE!</v>
      </c>
      <c r="CZ183" t="e">
        <f>AND(Sheet1!L2458,"AAAAAC1nv2c=")</f>
        <v>#VALUE!</v>
      </c>
      <c r="DA183" t="e">
        <f>AND(Sheet1!M2458,"AAAAAC1nv2g=")</f>
        <v>#VALUE!</v>
      </c>
      <c r="DB183" t="e">
        <f>AND(Sheet1!N2458,"AAAAAC1nv2k=")</f>
        <v>#VALUE!</v>
      </c>
      <c r="DC183" t="e">
        <f>AND(Sheet1!#REF!,"AAAAAC1nv2o=")</f>
        <v>#REF!</v>
      </c>
      <c r="DD183" t="e">
        <f>AND(Sheet1!#REF!,"AAAAAC1nv2s=")</f>
        <v>#REF!</v>
      </c>
      <c r="DE183" t="e">
        <f>AND(Sheet1!#REF!,"AAAAAC1nv2w=")</f>
        <v>#REF!</v>
      </c>
      <c r="DF183" t="e">
        <f>AND(Sheet1!#REF!,"AAAAAC1nv20=")</f>
        <v>#REF!</v>
      </c>
      <c r="DG183">
        <f>IF(Sheet1!2459:2459,"AAAAAC1nv24=",0)</f>
        <v>0</v>
      </c>
      <c r="DH183" t="e">
        <f>AND(Sheet1!A2459,"AAAAAC1nv28=")</f>
        <v>#VALUE!</v>
      </c>
      <c r="DI183" t="e">
        <f>AND(Sheet1!B2459,"AAAAAC1nv3A=")</f>
        <v>#VALUE!</v>
      </c>
      <c r="DJ183" t="e">
        <f>AND(Sheet1!C2459,"AAAAAC1nv3E=")</f>
        <v>#VALUE!</v>
      </c>
      <c r="DK183" t="e">
        <f>AND(Sheet1!D2459,"AAAAAC1nv3I=")</f>
        <v>#VALUE!</v>
      </c>
      <c r="DL183" t="e">
        <f>AND(Sheet1!E2459,"AAAAAC1nv3M=")</f>
        <v>#VALUE!</v>
      </c>
      <c r="DM183" t="e">
        <f>AND(Sheet1!F2459,"AAAAAC1nv3Q=")</f>
        <v>#VALUE!</v>
      </c>
      <c r="DN183" t="e">
        <f>AND(Sheet1!G2459,"AAAAAC1nv3U=")</f>
        <v>#VALUE!</v>
      </c>
      <c r="DO183" t="e">
        <f>AND(Sheet1!H2459,"AAAAAC1nv3Y=")</f>
        <v>#VALUE!</v>
      </c>
      <c r="DP183" t="e">
        <f>AND(Sheet1!I2459,"AAAAAC1nv3c=")</f>
        <v>#VALUE!</v>
      </c>
      <c r="DQ183" t="e">
        <f>AND(Sheet1!J2459,"AAAAAC1nv3g=")</f>
        <v>#VALUE!</v>
      </c>
      <c r="DR183" t="e">
        <f>AND(Sheet1!K2459,"AAAAAC1nv3k=")</f>
        <v>#VALUE!</v>
      </c>
      <c r="DS183" t="e">
        <f>AND(Sheet1!L2459,"AAAAAC1nv3o=")</f>
        <v>#VALUE!</v>
      </c>
      <c r="DT183" t="e">
        <f>AND(Sheet1!M2459,"AAAAAC1nv3s=")</f>
        <v>#VALUE!</v>
      </c>
      <c r="DU183" t="e">
        <f>AND(Sheet1!N2459,"AAAAAC1nv3w=")</f>
        <v>#VALUE!</v>
      </c>
      <c r="DV183" t="e">
        <f>AND(Sheet1!#REF!,"AAAAAC1nv30=")</f>
        <v>#REF!</v>
      </c>
      <c r="DW183" t="e">
        <f>AND(Sheet1!#REF!,"AAAAAC1nv34=")</f>
        <v>#REF!</v>
      </c>
      <c r="DX183" t="e">
        <f>AND(Sheet1!#REF!,"AAAAAC1nv38=")</f>
        <v>#REF!</v>
      </c>
      <c r="DY183" t="e">
        <f>AND(Sheet1!#REF!,"AAAAAC1nv4A=")</f>
        <v>#REF!</v>
      </c>
      <c r="DZ183">
        <f>IF(Sheet1!2460:2460,"AAAAAC1nv4E=",0)</f>
        <v>0</v>
      </c>
      <c r="EA183" t="e">
        <f>AND(Sheet1!A2460,"AAAAAC1nv4I=")</f>
        <v>#VALUE!</v>
      </c>
      <c r="EB183" t="e">
        <f>AND(Sheet1!B2460,"AAAAAC1nv4M=")</f>
        <v>#VALUE!</v>
      </c>
      <c r="EC183" t="e">
        <f>AND(Sheet1!C2460,"AAAAAC1nv4Q=")</f>
        <v>#VALUE!</v>
      </c>
      <c r="ED183" t="e">
        <f>AND(Sheet1!D2460,"AAAAAC1nv4U=")</f>
        <v>#VALUE!</v>
      </c>
      <c r="EE183" t="e">
        <f>AND(Sheet1!E2460,"AAAAAC1nv4Y=")</f>
        <v>#VALUE!</v>
      </c>
      <c r="EF183" t="e">
        <f>AND(Sheet1!F2460,"AAAAAC1nv4c=")</f>
        <v>#VALUE!</v>
      </c>
      <c r="EG183" t="e">
        <f>AND(Sheet1!G2460,"AAAAAC1nv4g=")</f>
        <v>#VALUE!</v>
      </c>
      <c r="EH183" t="e">
        <f>AND(Sheet1!H2460,"AAAAAC1nv4k=")</f>
        <v>#VALUE!</v>
      </c>
      <c r="EI183" t="e">
        <f>AND(Sheet1!I2460,"AAAAAC1nv4o=")</f>
        <v>#VALUE!</v>
      </c>
      <c r="EJ183" t="e">
        <f>AND(Sheet1!J2460,"AAAAAC1nv4s=")</f>
        <v>#VALUE!</v>
      </c>
      <c r="EK183" t="e">
        <f>AND(Sheet1!K2460,"AAAAAC1nv4w=")</f>
        <v>#VALUE!</v>
      </c>
      <c r="EL183" t="e">
        <f>AND(Sheet1!L2460,"AAAAAC1nv40=")</f>
        <v>#VALUE!</v>
      </c>
      <c r="EM183" t="e">
        <f>AND(Sheet1!M2460,"AAAAAC1nv44=")</f>
        <v>#VALUE!</v>
      </c>
      <c r="EN183" t="e">
        <f>AND(Sheet1!N2460,"AAAAAC1nv48=")</f>
        <v>#VALUE!</v>
      </c>
      <c r="EO183" t="e">
        <f>AND(Sheet1!#REF!,"AAAAAC1nv5A=")</f>
        <v>#REF!</v>
      </c>
      <c r="EP183" t="e">
        <f>AND(Sheet1!#REF!,"AAAAAC1nv5E=")</f>
        <v>#REF!</v>
      </c>
      <c r="EQ183" t="e">
        <f>AND(Sheet1!#REF!,"AAAAAC1nv5I=")</f>
        <v>#REF!</v>
      </c>
      <c r="ER183" t="e">
        <f>AND(Sheet1!#REF!,"AAAAAC1nv5M=")</f>
        <v>#REF!</v>
      </c>
      <c r="ES183">
        <f>IF(Sheet1!2461:2461,"AAAAAC1nv5Q=",0)</f>
        <v>0</v>
      </c>
      <c r="ET183" t="e">
        <f>AND(Sheet1!A2461,"AAAAAC1nv5U=")</f>
        <v>#VALUE!</v>
      </c>
      <c r="EU183" t="e">
        <f>AND(Sheet1!B2461,"AAAAAC1nv5Y=")</f>
        <v>#VALUE!</v>
      </c>
      <c r="EV183" t="e">
        <f>AND(Sheet1!C2461,"AAAAAC1nv5c=")</f>
        <v>#VALUE!</v>
      </c>
      <c r="EW183" t="e">
        <f>AND(Sheet1!D2461,"AAAAAC1nv5g=")</f>
        <v>#VALUE!</v>
      </c>
      <c r="EX183" t="e">
        <f>AND(Sheet1!E2461,"AAAAAC1nv5k=")</f>
        <v>#VALUE!</v>
      </c>
      <c r="EY183" t="e">
        <f>AND(Sheet1!F2461,"AAAAAC1nv5o=")</f>
        <v>#VALUE!</v>
      </c>
      <c r="EZ183" t="e">
        <f>AND(Sheet1!G2461,"AAAAAC1nv5s=")</f>
        <v>#VALUE!</v>
      </c>
      <c r="FA183" t="e">
        <f>AND(Sheet1!H2461,"AAAAAC1nv5w=")</f>
        <v>#VALUE!</v>
      </c>
      <c r="FB183" t="e">
        <f>AND(Sheet1!I2461,"AAAAAC1nv50=")</f>
        <v>#VALUE!</v>
      </c>
      <c r="FC183" t="e">
        <f>AND(Sheet1!J2461,"AAAAAC1nv54=")</f>
        <v>#VALUE!</v>
      </c>
      <c r="FD183" t="e">
        <f>AND(Sheet1!K2461,"AAAAAC1nv58=")</f>
        <v>#VALUE!</v>
      </c>
      <c r="FE183" t="e">
        <f>AND(Sheet1!L2461,"AAAAAC1nv6A=")</f>
        <v>#VALUE!</v>
      </c>
      <c r="FF183" t="e">
        <f>AND(Sheet1!M2461,"AAAAAC1nv6E=")</f>
        <v>#VALUE!</v>
      </c>
      <c r="FG183" t="e">
        <f>AND(Sheet1!N2461,"AAAAAC1nv6I=")</f>
        <v>#VALUE!</v>
      </c>
      <c r="FH183" t="e">
        <f>AND(Sheet1!#REF!,"AAAAAC1nv6M=")</f>
        <v>#REF!</v>
      </c>
      <c r="FI183" t="e">
        <f>AND(Sheet1!#REF!,"AAAAAC1nv6Q=")</f>
        <v>#REF!</v>
      </c>
      <c r="FJ183" t="e">
        <f>AND(Sheet1!#REF!,"AAAAAC1nv6U=")</f>
        <v>#REF!</v>
      </c>
      <c r="FK183" t="e">
        <f>AND(Sheet1!#REF!,"AAAAAC1nv6Y=")</f>
        <v>#REF!</v>
      </c>
      <c r="FL183">
        <f>IF(Sheet1!2462:2462,"AAAAAC1nv6c=",0)</f>
        <v>0</v>
      </c>
      <c r="FM183" t="e">
        <f>AND(Sheet1!A2462,"AAAAAC1nv6g=")</f>
        <v>#VALUE!</v>
      </c>
      <c r="FN183" t="e">
        <f>AND(Sheet1!B2462,"AAAAAC1nv6k=")</f>
        <v>#VALUE!</v>
      </c>
      <c r="FO183" t="e">
        <f>AND(Sheet1!C2462,"AAAAAC1nv6o=")</f>
        <v>#VALUE!</v>
      </c>
      <c r="FP183" t="e">
        <f>AND(Sheet1!D2462,"AAAAAC1nv6s=")</f>
        <v>#VALUE!</v>
      </c>
      <c r="FQ183" t="e">
        <f>AND(Sheet1!E2462,"AAAAAC1nv6w=")</f>
        <v>#VALUE!</v>
      </c>
      <c r="FR183" t="e">
        <f>AND(Sheet1!F2462,"AAAAAC1nv60=")</f>
        <v>#VALUE!</v>
      </c>
      <c r="FS183" t="e">
        <f>AND(Sheet1!G2462,"AAAAAC1nv64=")</f>
        <v>#VALUE!</v>
      </c>
      <c r="FT183" t="e">
        <f>AND(Sheet1!H2462,"AAAAAC1nv68=")</f>
        <v>#VALUE!</v>
      </c>
      <c r="FU183" t="e">
        <f>AND(Sheet1!I2462,"AAAAAC1nv7A=")</f>
        <v>#VALUE!</v>
      </c>
      <c r="FV183" t="e">
        <f>AND(Sheet1!J2462,"AAAAAC1nv7E=")</f>
        <v>#VALUE!</v>
      </c>
      <c r="FW183" t="e">
        <f>AND(Sheet1!K2462,"AAAAAC1nv7I=")</f>
        <v>#VALUE!</v>
      </c>
      <c r="FX183" t="e">
        <f>AND(Sheet1!L2462,"AAAAAC1nv7M=")</f>
        <v>#VALUE!</v>
      </c>
      <c r="FY183" t="e">
        <f>AND(Sheet1!M2462,"AAAAAC1nv7Q=")</f>
        <v>#VALUE!</v>
      </c>
      <c r="FZ183" t="e">
        <f>AND(Sheet1!N2462,"AAAAAC1nv7U=")</f>
        <v>#VALUE!</v>
      </c>
      <c r="GA183" t="e">
        <f>AND(Sheet1!#REF!,"AAAAAC1nv7Y=")</f>
        <v>#REF!</v>
      </c>
      <c r="GB183" t="e">
        <f>AND(Sheet1!#REF!,"AAAAAC1nv7c=")</f>
        <v>#REF!</v>
      </c>
      <c r="GC183" t="e">
        <f>AND(Sheet1!#REF!,"AAAAAC1nv7g=")</f>
        <v>#REF!</v>
      </c>
      <c r="GD183" t="e">
        <f>AND(Sheet1!#REF!,"AAAAAC1nv7k=")</f>
        <v>#REF!</v>
      </c>
      <c r="GE183">
        <f>IF(Sheet1!2463:2463,"AAAAAC1nv7o=",0)</f>
        <v>0</v>
      </c>
      <c r="GF183" t="e">
        <f>AND(Sheet1!A2463,"AAAAAC1nv7s=")</f>
        <v>#VALUE!</v>
      </c>
      <c r="GG183" t="e">
        <f>AND(Sheet1!B2463,"AAAAAC1nv7w=")</f>
        <v>#VALUE!</v>
      </c>
      <c r="GH183" t="e">
        <f>AND(Sheet1!C2463,"AAAAAC1nv70=")</f>
        <v>#VALUE!</v>
      </c>
      <c r="GI183" t="e">
        <f>AND(Sheet1!D2463,"AAAAAC1nv74=")</f>
        <v>#VALUE!</v>
      </c>
      <c r="GJ183" t="e">
        <f>AND(Sheet1!E2463,"AAAAAC1nv78=")</f>
        <v>#VALUE!</v>
      </c>
      <c r="GK183" t="e">
        <f>AND(Sheet1!F2463,"AAAAAC1nv8A=")</f>
        <v>#VALUE!</v>
      </c>
      <c r="GL183" t="e">
        <f>AND(Sheet1!G2463,"AAAAAC1nv8E=")</f>
        <v>#VALUE!</v>
      </c>
      <c r="GM183" t="e">
        <f>AND(Sheet1!H2463,"AAAAAC1nv8I=")</f>
        <v>#VALUE!</v>
      </c>
      <c r="GN183" t="e">
        <f>AND(Sheet1!I2463,"AAAAAC1nv8M=")</f>
        <v>#VALUE!</v>
      </c>
      <c r="GO183" t="e">
        <f>AND(Sheet1!J2463,"AAAAAC1nv8Q=")</f>
        <v>#VALUE!</v>
      </c>
      <c r="GP183" t="e">
        <f>AND(Sheet1!K2463,"AAAAAC1nv8U=")</f>
        <v>#VALUE!</v>
      </c>
      <c r="GQ183" t="e">
        <f>AND(Sheet1!L2463,"AAAAAC1nv8Y=")</f>
        <v>#VALUE!</v>
      </c>
      <c r="GR183" t="e">
        <f>AND(Sheet1!M2463,"AAAAAC1nv8c=")</f>
        <v>#VALUE!</v>
      </c>
      <c r="GS183" t="e">
        <f>AND(Sheet1!N2463,"AAAAAC1nv8g=")</f>
        <v>#VALUE!</v>
      </c>
      <c r="GT183" t="e">
        <f>AND(Sheet1!#REF!,"AAAAAC1nv8k=")</f>
        <v>#REF!</v>
      </c>
      <c r="GU183" t="e">
        <f>AND(Sheet1!#REF!,"AAAAAC1nv8o=")</f>
        <v>#REF!</v>
      </c>
      <c r="GV183" t="e">
        <f>AND(Sheet1!#REF!,"AAAAAC1nv8s=")</f>
        <v>#REF!</v>
      </c>
      <c r="GW183" t="e">
        <f>AND(Sheet1!#REF!,"AAAAAC1nv8w=")</f>
        <v>#REF!</v>
      </c>
      <c r="GX183">
        <f>IF(Sheet1!2464:2464,"AAAAAC1nv80=",0)</f>
        <v>0</v>
      </c>
      <c r="GY183" t="e">
        <f>AND(Sheet1!A2464,"AAAAAC1nv84=")</f>
        <v>#VALUE!</v>
      </c>
      <c r="GZ183" t="e">
        <f>AND(Sheet1!B2464,"AAAAAC1nv88=")</f>
        <v>#VALUE!</v>
      </c>
      <c r="HA183" t="e">
        <f>AND(Sheet1!C2464,"AAAAAC1nv9A=")</f>
        <v>#VALUE!</v>
      </c>
      <c r="HB183" t="e">
        <f>AND(Sheet1!D2464,"AAAAAC1nv9E=")</f>
        <v>#VALUE!</v>
      </c>
      <c r="HC183" t="e">
        <f>AND(Sheet1!E2464,"AAAAAC1nv9I=")</f>
        <v>#VALUE!</v>
      </c>
      <c r="HD183" t="e">
        <f>AND(Sheet1!F2464,"AAAAAC1nv9M=")</f>
        <v>#VALUE!</v>
      </c>
      <c r="HE183" t="e">
        <f>AND(Sheet1!G2464,"AAAAAC1nv9Q=")</f>
        <v>#VALUE!</v>
      </c>
      <c r="HF183" t="e">
        <f>AND(Sheet1!H2464,"AAAAAC1nv9U=")</f>
        <v>#VALUE!</v>
      </c>
      <c r="HG183" t="e">
        <f>AND(Sheet1!I2464,"AAAAAC1nv9Y=")</f>
        <v>#VALUE!</v>
      </c>
      <c r="HH183" t="e">
        <f>AND(Sheet1!J2464,"AAAAAC1nv9c=")</f>
        <v>#VALUE!</v>
      </c>
      <c r="HI183" t="e">
        <f>AND(Sheet1!K2464,"AAAAAC1nv9g=")</f>
        <v>#VALUE!</v>
      </c>
      <c r="HJ183" t="e">
        <f>AND(Sheet1!L2464,"AAAAAC1nv9k=")</f>
        <v>#VALUE!</v>
      </c>
      <c r="HK183" t="e">
        <f>AND(Sheet1!M2464,"AAAAAC1nv9o=")</f>
        <v>#VALUE!</v>
      </c>
      <c r="HL183" t="e">
        <f>AND(Sheet1!N2464,"AAAAAC1nv9s=")</f>
        <v>#VALUE!</v>
      </c>
      <c r="HM183" t="e">
        <f>AND(Sheet1!#REF!,"AAAAAC1nv9w=")</f>
        <v>#REF!</v>
      </c>
      <c r="HN183" t="e">
        <f>AND(Sheet1!#REF!,"AAAAAC1nv90=")</f>
        <v>#REF!</v>
      </c>
      <c r="HO183" t="e">
        <f>AND(Sheet1!#REF!,"AAAAAC1nv94=")</f>
        <v>#REF!</v>
      </c>
      <c r="HP183" t="e">
        <f>AND(Sheet1!#REF!,"AAAAAC1nv98=")</f>
        <v>#REF!</v>
      </c>
      <c r="HQ183">
        <f>IF(Sheet1!2465:2465,"AAAAAC1nv+A=",0)</f>
        <v>0</v>
      </c>
      <c r="HR183" t="e">
        <f>AND(Sheet1!A2465,"AAAAAC1nv+E=")</f>
        <v>#VALUE!</v>
      </c>
      <c r="HS183" t="e">
        <f>AND(Sheet1!B2465,"AAAAAC1nv+I=")</f>
        <v>#VALUE!</v>
      </c>
      <c r="HT183" t="e">
        <f>AND(Sheet1!C2465,"AAAAAC1nv+M=")</f>
        <v>#VALUE!</v>
      </c>
      <c r="HU183" t="e">
        <f>AND(Sheet1!D2465,"AAAAAC1nv+Q=")</f>
        <v>#VALUE!</v>
      </c>
      <c r="HV183" t="e">
        <f>AND(Sheet1!E2465,"AAAAAC1nv+U=")</f>
        <v>#VALUE!</v>
      </c>
      <c r="HW183" t="e">
        <f>AND(Sheet1!F2465,"AAAAAC1nv+Y=")</f>
        <v>#VALUE!</v>
      </c>
      <c r="HX183" t="e">
        <f>AND(Sheet1!G2465,"AAAAAC1nv+c=")</f>
        <v>#VALUE!</v>
      </c>
      <c r="HY183" t="e">
        <f>AND(Sheet1!H2465,"AAAAAC1nv+g=")</f>
        <v>#VALUE!</v>
      </c>
      <c r="HZ183" t="e">
        <f>AND(Sheet1!I2465,"AAAAAC1nv+k=")</f>
        <v>#VALUE!</v>
      </c>
      <c r="IA183" t="e">
        <f>AND(Sheet1!J2465,"AAAAAC1nv+o=")</f>
        <v>#VALUE!</v>
      </c>
      <c r="IB183" t="e">
        <f>AND(Sheet1!K2465,"AAAAAC1nv+s=")</f>
        <v>#VALUE!</v>
      </c>
      <c r="IC183" t="e">
        <f>AND(Sheet1!L2465,"AAAAAC1nv+w=")</f>
        <v>#VALUE!</v>
      </c>
      <c r="ID183" t="e">
        <f>AND(Sheet1!M2465,"AAAAAC1nv+0=")</f>
        <v>#VALUE!</v>
      </c>
      <c r="IE183" t="e">
        <f>AND(Sheet1!N2465,"AAAAAC1nv+4=")</f>
        <v>#VALUE!</v>
      </c>
      <c r="IF183" t="e">
        <f>AND(Sheet1!#REF!,"AAAAAC1nv+8=")</f>
        <v>#REF!</v>
      </c>
      <c r="IG183" t="e">
        <f>AND(Sheet1!#REF!,"AAAAAC1nv/A=")</f>
        <v>#REF!</v>
      </c>
      <c r="IH183" t="e">
        <f>AND(Sheet1!#REF!,"AAAAAC1nv/E=")</f>
        <v>#REF!</v>
      </c>
      <c r="II183" t="e">
        <f>AND(Sheet1!#REF!,"AAAAAC1nv/I=")</f>
        <v>#REF!</v>
      </c>
      <c r="IJ183">
        <f>IF(Sheet1!2466:2466,"AAAAAC1nv/M=",0)</f>
        <v>0</v>
      </c>
      <c r="IK183" t="e">
        <f>AND(Sheet1!A2466,"AAAAAC1nv/Q=")</f>
        <v>#VALUE!</v>
      </c>
      <c r="IL183" t="e">
        <f>AND(Sheet1!B2466,"AAAAAC1nv/U=")</f>
        <v>#VALUE!</v>
      </c>
      <c r="IM183" t="e">
        <f>AND(Sheet1!C2466,"AAAAAC1nv/Y=")</f>
        <v>#VALUE!</v>
      </c>
      <c r="IN183" t="e">
        <f>AND(Sheet1!D2466,"AAAAAC1nv/c=")</f>
        <v>#VALUE!</v>
      </c>
      <c r="IO183" t="e">
        <f>AND(Sheet1!E2466,"AAAAAC1nv/g=")</f>
        <v>#VALUE!</v>
      </c>
      <c r="IP183" t="e">
        <f>AND(Sheet1!F2466,"AAAAAC1nv/k=")</f>
        <v>#VALUE!</v>
      </c>
      <c r="IQ183" t="e">
        <f>AND(Sheet1!G2466,"AAAAAC1nv/o=")</f>
        <v>#VALUE!</v>
      </c>
      <c r="IR183" t="e">
        <f>AND(Sheet1!H2466,"AAAAAC1nv/s=")</f>
        <v>#VALUE!</v>
      </c>
      <c r="IS183" t="e">
        <f>AND(Sheet1!I2466,"AAAAAC1nv/w=")</f>
        <v>#VALUE!</v>
      </c>
      <c r="IT183" t="e">
        <f>AND(Sheet1!J2466,"AAAAAC1nv/0=")</f>
        <v>#VALUE!</v>
      </c>
      <c r="IU183" t="e">
        <f>AND(Sheet1!K2466,"AAAAAC1nv/4=")</f>
        <v>#VALUE!</v>
      </c>
      <c r="IV183" t="e">
        <f>AND(Sheet1!L2466,"AAAAAC1nv/8=")</f>
        <v>#VALUE!</v>
      </c>
    </row>
    <row r="184" spans="1:256" x14ac:dyDescent="0.2">
      <c r="A184" t="e">
        <f>AND(Sheet1!M2466,"AAAAAH7ftQA=")</f>
        <v>#VALUE!</v>
      </c>
      <c r="B184" t="e">
        <f>AND(Sheet1!N2466,"AAAAAH7ftQE=")</f>
        <v>#VALUE!</v>
      </c>
      <c r="C184" t="e">
        <f>AND(Sheet1!#REF!,"AAAAAH7ftQI=")</f>
        <v>#REF!</v>
      </c>
      <c r="D184" t="e">
        <f>AND(Sheet1!#REF!,"AAAAAH7ftQM=")</f>
        <v>#REF!</v>
      </c>
      <c r="E184" t="e">
        <f>AND(Sheet1!#REF!,"AAAAAH7ftQQ=")</f>
        <v>#REF!</v>
      </c>
      <c r="F184" t="e">
        <f>AND(Sheet1!#REF!,"AAAAAH7ftQU=")</f>
        <v>#REF!</v>
      </c>
      <c r="G184" t="str">
        <f>IF(Sheet1!2467:2467,"AAAAAH7ftQY=",0)</f>
        <v>AAAAAH7ftQY=</v>
      </c>
      <c r="H184" t="e">
        <f>AND(Sheet1!A2467,"AAAAAH7ftQc=")</f>
        <v>#VALUE!</v>
      </c>
      <c r="I184" t="e">
        <f>AND(Sheet1!B2467,"AAAAAH7ftQg=")</f>
        <v>#VALUE!</v>
      </c>
      <c r="J184" t="e">
        <f>AND(Sheet1!C2467,"AAAAAH7ftQk=")</f>
        <v>#VALUE!</v>
      </c>
      <c r="K184" t="e">
        <f>AND(Sheet1!D2467,"AAAAAH7ftQo=")</f>
        <v>#VALUE!</v>
      </c>
      <c r="L184" t="e">
        <f>AND(Sheet1!E2467,"AAAAAH7ftQs=")</f>
        <v>#VALUE!</v>
      </c>
      <c r="M184" t="e">
        <f>AND(Sheet1!F2467,"AAAAAH7ftQw=")</f>
        <v>#VALUE!</v>
      </c>
      <c r="N184" t="e">
        <f>AND(Sheet1!G2467,"AAAAAH7ftQ0=")</f>
        <v>#VALUE!</v>
      </c>
      <c r="O184" t="e">
        <f>AND(Sheet1!H2467,"AAAAAH7ftQ4=")</f>
        <v>#VALUE!</v>
      </c>
      <c r="P184" t="e">
        <f>AND(Sheet1!I2467,"AAAAAH7ftQ8=")</f>
        <v>#VALUE!</v>
      </c>
      <c r="Q184" t="e">
        <f>AND(Sheet1!J2467,"AAAAAH7ftRA=")</f>
        <v>#VALUE!</v>
      </c>
      <c r="R184" t="e">
        <f>AND(Sheet1!K2467,"AAAAAH7ftRE=")</f>
        <v>#VALUE!</v>
      </c>
      <c r="S184" t="e">
        <f>AND(Sheet1!L2467,"AAAAAH7ftRI=")</f>
        <v>#VALUE!</v>
      </c>
      <c r="T184" t="e">
        <f>AND(Sheet1!M2467,"AAAAAH7ftRM=")</f>
        <v>#VALUE!</v>
      </c>
      <c r="U184" t="e">
        <f>AND(Sheet1!N2467,"AAAAAH7ftRQ=")</f>
        <v>#VALUE!</v>
      </c>
      <c r="V184" t="e">
        <f>AND(Sheet1!#REF!,"AAAAAH7ftRU=")</f>
        <v>#REF!</v>
      </c>
      <c r="W184" t="e">
        <f>AND(Sheet1!#REF!,"AAAAAH7ftRY=")</f>
        <v>#REF!</v>
      </c>
      <c r="X184" t="e">
        <f>AND(Sheet1!#REF!,"AAAAAH7ftRc=")</f>
        <v>#REF!</v>
      </c>
      <c r="Y184" t="e">
        <f>AND(Sheet1!#REF!,"AAAAAH7ftRg=")</f>
        <v>#REF!</v>
      </c>
      <c r="Z184">
        <f>IF(Sheet1!2468:2468,"AAAAAH7ftRk=",0)</f>
        <v>0</v>
      </c>
      <c r="AA184" t="e">
        <f>AND(Sheet1!A2468,"AAAAAH7ftRo=")</f>
        <v>#VALUE!</v>
      </c>
      <c r="AB184" t="e">
        <f>AND(Sheet1!B2468,"AAAAAH7ftRs=")</f>
        <v>#VALUE!</v>
      </c>
      <c r="AC184" t="e">
        <f>AND(Sheet1!C2468,"AAAAAH7ftRw=")</f>
        <v>#VALUE!</v>
      </c>
      <c r="AD184" t="e">
        <f>AND(Sheet1!D2468,"AAAAAH7ftR0=")</f>
        <v>#VALUE!</v>
      </c>
      <c r="AE184" t="e">
        <f>AND(Sheet1!E2468,"AAAAAH7ftR4=")</f>
        <v>#VALUE!</v>
      </c>
      <c r="AF184" t="e">
        <f>AND(Sheet1!F2468,"AAAAAH7ftR8=")</f>
        <v>#VALUE!</v>
      </c>
      <c r="AG184" t="e">
        <f>AND(Sheet1!G2468,"AAAAAH7ftSA=")</f>
        <v>#VALUE!</v>
      </c>
      <c r="AH184" t="e">
        <f>AND(Sheet1!H2468,"AAAAAH7ftSE=")</f>
        <v>#VALUE!</v>
      </c>
      <c r="AI184" t="e">
        <f>AND(Sheet1!I2468,"AAAAAH7ftSI=")</f>
        <v>#VALUE!</v>
      </c>
      <c r="AJ184" t="e">
        <f>AND(Sheet1!J2468,"AAAAAH7ftSM=")</f>
        <v>#VALUE!</v>
      </c>
      <c r="AK184" t="e">
        <f>AND(Sheet1!K2468,"AAAAAH7ftSQ=")</f>
        <v>#VALUE!</v>
      </c>
      <c r="AL184" t="e">
        <f>AND(Sheet1!L2468,"AAAAAH7ftSU=")</f>
        <v>#VALUE!</v>
      </c>
      <c r="AM184" t="e">
        <f>AND(Sheet1!M2468,"AAAAAH7ftSY=")</f>
        <v>#VALUE!</v>
      </c>
      <c r="AN184" t="e">
        <f>AND(Sheet1!N2468,"AAAAAH7ftSc=")</f>
        <v>#VALUE!</v>
      </c>
      <c r="AO184" t="e">
        <f>AND(Sheet1!#REF!,"AAAAAH7ftSg=")</f>
        <v>#REF!</v>
      </c>
      <c r="AP184" t="e">
        <f>AND(Sheet1!#REF!,"AAAAAH7ftSk=")</f>
        <v>#REF!</v>
      </c>
      <c r="AQ184" t="e">
        <f>AND(Sheet1!#REF!,"AAAAAH7ftSo=")</f>
        <v>#REF!</v>
      </c>
      <c r="AR184" t="e">
        <f>AND(Sheet1!#REF!,"AAAAAH7ftSs=")</f>
        <v>#REF!</v>
      </c>
      <c r="AS184">
        <f>IF(Sheet1!2469:2469,"AAAAAH7ftSw=",0)</f>
        <v>0</v>
      </c>
      <c r="AT184" t="e">
        <f>AND(Sheet1!A2469,"AAAAAH7ftS0=")</f>
        <v>#VALUE!</v>
      </c>
      <c r="AU184" t="e">
        <f>AND(Sheet1!B2469,"AAAAAH7ftS4=")</f>
        <v>#VALUE!</v>
      </c>
      <c r="AV184" t="e">
        <f>AND(Sheet1!C2469,"AAAAAH7ftS8=")</f>
        <v>#VALUE!</v>
      </c>
      <c r="AW184" t="e">
        <f>AND(Sheet1!D2469,"AAAAAH7ftTA=")</f>
        <v>#VALUE!</v>
      </c>
      <c r="AX184" t="e">
        <f>AND(Sheet1!E2469,"AAAAAH7ftTE=")</f>
        <v>#VALUE!</v>
      </c>
      <c r="AY184" t="e">
        <f>AND(Sheet1!F2469,"AAAAAH7ftTI=")</f>
        <v>#VALUE!</v>
      </c>
      <c r="AZ184" t="e">
        <f>AND(Sheet1!G2469,"AAAAAH7ftTM=")</f>
        <v>#VALUE!</v>
      </c>
      <c r="BA184" t="e">
        <f>AND(Sheet1!H2469,"AAAAAH7ftTQ=")</f>
        <v>#VALUE!</v>
      </c>
      <c r="BB184" t="e">
        <f>AND(Sheet1!I2469,"AAAAAH7ftTU=")</f>
        <v>#VALUE!</v>
      </c>
      <c r="BC184" t="e">
        <f>AND(Sheet1!J2469,"AAAAAH7ftTY=")</f>
        <v>#VALUE!</v>
      </c>
      <c r="BD184" t="e">
        <f>AND(Sheet1!K2469,"AAAAAH7ftTc=")</f>
        <v>#VALUE!</v>
      </c>
      <c r="BE184" t="e">
        <f>AND(Sheet1!L2469,"AAAAAH7ftTg=")</f>
        <v>#VALUE!</v>
      </c>
      <c r="BF184" t="e">
        <f>AND(Sheet1!M2469,"AAAAAH7ftTk=")</f>
        <v>#VALUE!</v>
      </c>
      <c r="BG184" t="e">
        <f>AND(Sheet1!N2469,"AAAAAH7ftTo=")</f>
        <v>#VALUE!</v>
      </c>
      <c r="BH184" t="e">
        <f>AND(Sheet1!#REF!,"AAAAAH7ftTs=")</f>
        <v>#REF!</v>
      </c>
      <c r="BI184" t="e">
        <f>AND(Sheet1!#REF!,"AAAAAH7ftTw=")</f>
        <v>#REF!</v>
      </c>
      <c r="BJ184" t="e">
        <f>AND(Sheet1!#REF!,"AAAAAH7ftT0=")</f>
        <v>#REF!</v>
      </c>
      <c r="BK184" t="e">
        <f>AND(Sheet1!#REF!,"AAAAAH7ftT4=")</f>
        <v>#REF!</v>
      </c>
      <c r="BL184">
        <f>IF(Sheet1!2470:2470,"AAAAAH7ftT8=",0)</f>
        <v>0</v>
      </c>
      <c r="BM184" t="e">
        <f>AND(Sheet1!A2470,"AAAAAH7ftUA=")</f>
        <v>#VALUE!</v>
      </c>
      <c r="BN184" t="e">
        <f>AND(Sheet1!B2470,"AAAAAH7ftUE=")</f>
        <v>#VALUE!</v>
      </c>
      <c r="BO184" t="e">
        <f>AND(Sheet1!C2470,"AAAAAH7ftUI=")</f>
        <v>#VALUE!</v>
      </c>
      <c r="BP184" t="e">
        <f>AND(Sheet1!D2470,"AAAAAH7ftUM=")</f>
        <v>#VALUE!</v>
      </c>
      <c r="BQ184" t="e">
        <f>AND(Sheet1!E2470,"AAAAAH7ftUQ=")</f>
        <v>#VALUE!</v>
      </c>
      <c r="BR184" t="e">
        <f>AND(Sheet1!F2470,"AAAAAH7ftUU=")</f>
        <v>#VALUE!</v>
      </c>
      <c r="BS184" t="e">
        <f>AND(Sheet1!G2470,"AAAAAH7ftUY=")</f>
        <v>#VALUE!</v>
      </c>
      <c r="BT184" t="e">
        <f>AND(Sheet1!H2470,"AAAAAH7ftUc=")</f>
        <v>#VALUE!</v>
      </c>
      <c r="BU184" t="e">
        <f>AND(Sheet1!I2470,"AAAAAH7ftUg=")</f>
        <v>#VALUE!</v>
      </c>
      <c r="BV184" t="e">
        <f>AND(Sheet1!J2470,"AAAAAH7ftUk=")</f>
        <v>#VALUE!</v>
      </c>
      <c r="BW184" t="e">
        <f>AND(Sheet1!K2470,"AAAAAH7ftUo=")</f>
        <v>#VALUE!</v>
      </c>
      <c r="BX184" t="e">
        <f>AND(Sheet1!L2470,"AAAAAH7ftUs=")</f>
        <v>#VALUE!</v>
      </c>
      <c r="BY184" t="e">
        <f>AND(Sheet1!M2470,"AAAAAH7ftUw=")</f>
        <v>#VALUE!</v>
      </c>
      <c r="BZ184" t="e">
        <f>AND(Sheet1!N2470,"AAAAAH7ftU0=")</f>
        <v>#VALUE!</v>
      </c>
      <c r="CA184" t="e">
        <f>AND(Sheet1!#REF!,"AAAAAH7ftU4=")</f>
        <v>#REF!</v>
      </c>
      <c r="CB184" t="e">
        <f>AND(Sheet1!#REF!,"AAAAAH7ftU8=")</f>
        <v>#REF!</v>
      </c>
      <c r="CC184" t="e">
        <f>AND(Sheet1!#REF!,"AAAAAH7ftVA=")</f>
        <v>#REF!</v>
      </c>
      <c r="CD184" t="e">
        <f>AND(Sheet1!#REF!,"AAAAAH7ftVE=")</f>
        <v>#REF!</v>
      </c>
      <c r="CE184">
        <f>IF(Sheet1!2471:2471,"AAAAAH7ftVI=",0)</f>
        <v>0</v>
      </c>
      <c r="CF184" t="e">
        <f>AND(Sheet1!A2471,"AAAAAH7ftVM=")</f>
        <v>#VALUE!</v>
      </c>
      <c r="CG184" t="e">
        <f>AND(Sheet1!B2471,"AAAAAH7ftVQ=")</f>
        <v>#VALUE!</v>
      </c>
      <c r="CH184" t="e">
        <f>AND(Sheet1!C2471,"AAAAAH7ftVU=")</f>
        <v>#VALUE!</v>
      </c>
      <c r="CI184" t="e">
        <f>AND(Sheet1!D2471,"AAAAAH7ftVY=")</f>
        <v>#VALUE!</v>
      </c>
      <c r="CJ184" t="e">
        <f>AND(Sheet1!E2471,"AAAAAH7ftVc=")</f>
        <v>#VALUE!</v>
      </c>
      <c r="CK184" t="e">
        <f>AND(Sheet1!F2471,"AAAAAH7ftVg=")</f>
        <v>#VALUE!</v>
      </c>
      <c r="CL184" t="e">
        <f>AND(Sheet1!G2471,"AAAAAH7ftVk=")</f>
        <v>#VALUE!</v>
      </c>
      <c r="CM184" t="e">
        <f>AND(Sheet1!H2471,"AAAAAH7ftVo=")</f>
        <v>#VALUE!</v>
      </c>
      <c r="CN184" t="e">
        <f>AND(Sheet1!I2471,"AAAAAH7ftVs=")</f>
        <v>#VALUE!</v>
      </c>
      <c r="CO184" t="e">
        <f>AND(Sheet1!J2471,"AAAAAH7ftVw=")</f>
        <v>#VALUE!</v>
      </c>
      <c r="CP184" t="e">
        <f>AND(Sheet1!K2471,"AAAAAH7ftV0=")</f>
        <v>#VALUE!</v>
      </c>
      <c r="CQ184" t="e">
        <f>AND(Sheet1!L2471,"AAAAAH7ftV4=")</f>
        <v>#VALUE!</v>
      </c>
      <c r="CR184" t="e">
        <f>AND(Sheet1!M2471,"AAAAAH7ftV8=")</f>
        <v>#VALUE!</v>
      </c>
      <c r="CS184" t="e">
        <f>AND(Sheet1!N2471,"AAAAAH7ftWA=")</f>
        <v>#VALUE!</v>
      </c>
      <c r="CT184" t="e">
        <f>AND(Sheet1!#REF!,"AAAAAH7ftWE=")</f>
        <v>#REF!</v>
      </c>
      <c r="CU184" t="e">
        <f>AND(Sheet1!#REF!,"AAAAAH7ftWI=")</f>
        <v>#REF!</v>
      </c>
      <c r="CV184" t="e">
        <f>AND(Sheet1!#REF!,"AAAAAH7ftWM=")</f>
        <v>#REF!</v>
      </c>
      <c r="CW184" t="e">
        <f>AND(Sheet1!#REF!,"AAAAAH7ftWQ=")</f>
        <v>#REF!</v>
      </c>
      <c r="CX184">
        <f>IF(Sheet1!2472:2472,"AAAAAH7ftWU=",0)</f>
        <v>0</v>
      </c>
      <c r="CY184" t="e">
        <f>AND(Sheet1!A2472,"AAAAAH7ftWY=")</f>
        <v>#VALUE!</v>
      </c>
      <c r="CZ184" t="e">
        <f>AND(Sheet1!B2472,"AAAAAH7ftWc=")</f>
        <v>#VALUE!</v>
      </c>
      <c r="DA184" t="e">
        <f>AND(Sheet1!C2472,"AAAAAH7ftWg=")</f>
        <v>#VALUE!</v>
      </c>
      <c r="DB184" t="e">
        <f>AND(Sheet1!D2472,"AAAAAH7ftWk=")</f>
        <v>#VALUE!</v>
      </c>
      <c r="DC184" t="e">
        <f>AND(Sheet1!E2472,"AAAAAH7ftWo=")</f>
        <v>#VALUE!</v>
      </c>
      <c r="DD184" t="e">
        <f>AND(Sheet1!F2472,"AAAAAH7ftWs=")</f>
        <v>#VALUE!</v>
      </c>
      <c r="DE184" t="e">
        <f>AND(Sheet1!G2472,"AAAAAH7ftWw=")</f>
        <v>#VALUE!</v>
      </c>
      <c r="DF184" t="e">
        <f>AND(Sheet1!H2472,"AAAAAH7ftW0=")</f>
        <v>#VALUE!</v>
      </c>
      <c r="DG184" t="e">
        <f>AND(Sheet1!I2472,"AAAAAH7ftW4=")</f>
        <v>#VALUE!</v>
      </c>
      <c r="DH184" t="e">
        <f>AND(Sheet1!J2472,"AAAAAH7ftW8=")</f>
        <v>#VALUE!</v>
      </c>
      <c r="DI184" t="e">
        <f>AND(Sheet1!K2472,"AAAAAH7ftXA=")</f>
        <v>#VALUE!</v>
      </c>
      <c r="DJ184" t="e">
        <f>AND(Sheet1!L2472,"AAAAAH7ftXE=")</f>
        <v>#VALUE!</v>
      </c>
      <c r="DK184" t="e">
        <f>AND(Sheet1!M2472,"AAAAAH7ftXI=")</f>
        <v>#VALUE!</v>
      </c>
      <c r="DL184" t="e">
        <f>AND(Sheet1!N2472,"AAAAAH7ftXM=")</f>
        <v>#VALUE!</v>
      </c>
      <c r="DM184" t="e">
        <f>AND(Sheet1!#REF!,"AAAAAH7ftXQ=")</f>
        <v>#REF!</v>
      </c>
      <c r="DN184" t="e">
        <f>AND(Sheet1!#REF!,"AAAAAH7ftXU=")</f>
        <v>#REF!</v>
      </c>
      <c r="DO184" t="e">
        <f>AND(Sheet1!#REF!,"AAAAAH7ftXY=")</f>
        <v>#REF!</v>
      </c>
      <c r="DP184" t="e">
        <f>AND(Sheet1!#REF!,"AAAAAH7ftXc=")</f>
        <v>#REF!</v>
      </c>
      <c r="DQ184">
        <f>IF(Sheet1!2473:2473,"AAAAAH7ftXg=",0)</f>
        <v>0</v>
      </c>
      <c r="DR184" t="e">
        <f>AND(Sheet1!A2473,"AAAAAH7ftXk=")</f>
        <v>#VALUE!</v>
      </c>
      <c r="DS184" t="e">
        <f>AND(Sheet1!B2473,"AAAAAH7ftXo=")</f>
        <v>#VALUE!</v>
      </c>
      <c r="DT184" t="e">
        <f>AND(Sheet1!C2473,"AAAAAH7ftXs=")</f>
        <v>#VALUE!</v>
      </c>
      <c r="DU184" t="e">
        <f>AND(Sheet1!D2473,"AAAAAH7ftXw=")</f>
        <v>#VALUE!</v>
      </c>
      <c r="DV184" t="e">
        <f>AND(Sheet1!E2473,"AAAAAH7ftX0=")</f>
        <v>#VALUE!</v>
      </c>
      <c r="DW184" t="e">
        <f>AND(Sheet1!F2473,"AAAAAH7ftX4=")</f>
        <v>#VALUE!</v>
      </c>
      <c r="DX184" t="e">
        <f>AND(Sheet1!G2473,"AAAAAH7ftX8=")</f>
        <v>#VALUE!</v>
      </c>
      <c r="DY184" t="e">
        <f>AND(Sheet1!H2473,"AAAAAH7ftYA=")</f>
        <v>#VALUE!</v>
      </c>
      <c r="DZ184" t="e">
        <f>AND(Sheet1!I2473,"AAAAAH7ftYE=")</f>
        <v>#VALUE!</v>
      </c>
      <c r="EA184" t="e">
        <f>AND(Sheet1!J2473,"AAAAAH7ftYI=")</f>
        <v>#VALUE!</v>
      </c>
      <c r="EB184" t="e">
        <f>AND(Sheet1!K2473,"AAAAAH7ftYM=")</f>
        <v>#VALUE!</v>
      </c>
      <c r="EC184" t="e">
        <f>AND(Sheet1!L2473,"AAAAAH7ftYQ=")</f>
        <v>#VALUE!</v>
      </c>
      <c r="ED184" t="e">
        <f>AND(Sheet1!M2473,"AAAAAH7ftYU=")</f>
        <v>#VALUE!</v>
      </c>
      <c r="EE184" t="e">
        <f>AND(Sheet1!N2473,"AAAAAH7ftYY=")</f>
        <v>#VALUE!</v>
      </c>
      <c r="EF184" t="e">
        <f>AND(Sheet1!#REF!,"AAAAAH7ftYc=")</f>
        <v>#REF!</v>
      </c>
      <c r="EG184" t="e">
        <f>AND(Sheet1!#REF!,"AAAAAH7ftYg=")</f>
        <v>#REF!</v>
      </c>
      <c r="EH184" t="e">
        <f>AND(Sheet1!#REF!,"AAAAAH7ftYk=")</f>
        <v>#REF!</v>
      </c>
      <c r="EI184" t="e">
        <f>AND(Sheet1!#REF!,"AAAAAH7ftYo=")</f>
        <v>#REF!</v>
      </c>
      <c r="EJ184">
        <f>IF(Sheet1!2474:2474,"AAAAAH7ftYs=",0)</f>
        <v>0</v>
      </c>
      <c r="EK184" t="e">
        <f>AND(Sheet1!A2474,"AAAAAH7ftYw=")</f>
        <v>#VALUE!</v>
      </c>
      <c r="EL184" t="e">
        <f>AND(Sheet1!B2474,"AAAAAH7ftY0=")</f>
        <v>#VALUE!</v>
      </c>
      <c r="EM184" t="e">
        <f>AND(Sheet1!C2474,"AAAAAH7ftY4=")</f>
        <v>#VALUE!</v>
      </c>
      <c r="EN184" t="e">
        <f>AND(Sheet1!D2474,"AAAAAH7ftY8=")</f>
        <v>#VALUE!</v>
      </c>
      <c r="EO184" t="e">
        <f>AND(Sheet1!E2474,"AAAAAH7ftZA=")</f>
        <v>#VALUE!</v>
      </c>
      <c r="EP184" t="e">
        <f>AND(Sheet1!F2474,"AAAAAH7ftZE=")</f>
        <v>#VALUE!</v>
      </c>
      <c r="EQ184" t="e">
        <f>AND(Sheet1!G2474,"AAAAAH7ftZI=")</f>
        <v>#VALUE!</v>
      </c>
      <c r="ER184" t="e">
        <f>AND(Sheet1!H2474,"AAAAAH7ftZM=")</f>
        <v>#VALUE!</v>
      </c>
      <c r="ES184" t="e">
        <f>AND(Sheet1!I2474,"AAAAAH7ftZQ=")</f>
        <v>#VALUE!</v>
      </c>
      <c r="ET184" t="e">
        <f>AND(Sheet1!J2474,"AAAAAH7ftZU=")</f>
        <v>#VALUE!</v>
      </c>
      <c r="EU184" t="e">
        <f>AND(Sheet1!K2474,"AAAAAH7ftZY=")</f>
        <v>#VALUE!</v>
      </c>
      <c r="EV184" t="e">
        <f>AND(Sheet1!L2474,"AAAAAH7ftZc=")</f>
        <v>#VALUE!</v>
      </c>
      <c r="EW184" t="e">
        <f>AND(Sheet1!M2474,"AAAAAH7ftZg=")</f>
        <v>#VALUE!</v>
      </c>
      <c r="EX184" t="e">
        <f>AND(Sheet1!N2474,"AAAAAH7ftZk=")</f>
        <v>#VALUE!</v>
      </c>
      <c r="EY184" t="e">
        <f>AND(Sheet1!#REF!,"AAAAAH7ftZo=")</f>
        <v>#REF!</v>
      </c>
      <c r="EZ184" t="e">
        <f>AND(Sheet1!#REF!,"AAAAAH7ftZs=")</f>
        <v>#REF!</v>
      </c>
      <c r="FA184" t="e">
        <f>AND(Sheet1!#REF!,"AAAAAH7ftZw=")</f>
        <v>#REF!</v>
      </c>
      <c r="FB184" t="e">
        <f>AND(Sheet1!#REF!,"AAAAAH7ftZ0=")</f>
        <v>#REF!</v>
      </c>
      <c r="FC184">
        <f>IF(Sheet1!2475:2475,"AAAAAH7ftZ4=",0)</f>
        <v>0</v>
      </c>
      <c r="FD184" t="e">
        <f>AND(Sheet1!A2475,"AAAAAH7ftZ8=")</f>
        <v>#VALUE!</v>
      </c>
      <c r="FE184" t="e">
        <f>AND(Sheet1!B2475,"AAAAAH7ftaA=")</f>
        <v>#VALUE!</v>
      </c>
      <c r="FF184" t="e">
        <f>AND(Sheet1!C2475,"AAAAAH7ftaE=")</f>
        <v>#VALUE!</v>
      </c>
      <c r="FG184" t="e">
        <f>AND(Sheet1!D2475,"AAAAAH7ftaI=")</f>
        <v>#VALUE!</v>
      </c>
      <c r="FH184" t="e">
        <f>AND(Sheet1!E2475,"AAAAAH7ftaM=")</f>
        <v>#VALUE!</v>
      </c>
      <c r="FI184" t="e">
        <f>AND(Sheet1!F2475,"AAAAAH7ftaQ=")</f>
        <v>#VALUE!</v>
      </c>
      <c r="FJ184" t="e">
        <f>AND(Sheet1!G2475,"AAAAAH7ftaU=")</f>
        <v>#VALUE!</v>
      </c>
      <c r="FK184" t="e">
        <f>AND(Sheet1!H2475,"AAAAAH7ftaY=")</f>
        <v>#VALUE!</v>
      </c>
      <c r="FL184" t="e">
        <f>AND(Sheet1!I2475,"AAAAAH7ftac=")</f>
        <v>#VALUE!</v>
      </c>
      <c r="FM184" t="e">
        <f>AND(Sheet1!J2475,"AAAAAH7ftag=")</f>
        <v>#VALUE!</v>
      </c>
      <c r="FN184" t="e">
        <f>AND(Sheet1!K2475,"AAAAAH7ftak=")</f>
        <v>#VALUE!</v>
      </c>
      <c r="FO184" t="e">
        <f>AND(Sheet1!L2475,"AAAAAH7ftao=")</f>
        <v>#VALUE!</v>
      </c>
      <c r="FP184" t="e">
        <f>AND(Sheet1!M2475,"AAAAAH7ftas=")</f>
        <v>#VALUE!</v>
      </c>
      <c r="FQ184" t="e">
        <f>AND(Sheet1!N2475,"AAAAAH7ftaw=")</f>
        <v>#VALUE!</v>
      </c>
      <c r="FR184" t="e">
        <f>AND(Sheet1!#REF!,"AAAAAH7fta0=")</f>
        <v>#REF!</v>
      </c>
      <c r="FS184" t="e">
        <f>AND(Sheet1!#REF!,"AAAAAH7fta4=")</f>
        <v>#REF!</v>
      </c>
      <c r="FT184" t="e">
        <f>AND(Sheet1!#REF!,"AAAAAH7fta8=")</f>
        <v>#REF!</v>
      </c>
      <c r="FU184" t="e">
        <f>AND(Sheet1!#REF!,"AAAAAH7ftbA=")</f>
        <v>#REF!</v>
      </c>
      <c r="FV184">
        <f>IF(Sheet1!2476:2476,"AAAAAH7ftbE=",0)</f>
        <v>0</v>
      </c>
      <c r="FW184" t="e">
        <f>AND(Sheet1!A2476,"AAAAAH7ftbI=")</f>
        <v>#VALUE!</v>
      </c>
      <c r="FX184" t="e">
        <f>AND(Sheet1!B2476,"AAAAAH7ftbM=")</f>
        <v>#VALUE!</v>
      </c>
      <c r="FY184" t="e">
        <f>AND(Sheet1!C2476,"AAAAAH7ftbQ=")</f>
        <v>#VALUE!</v>
      </c>
      <c r="FZ184" t="e">
        <f>AND(Sheet1!D2476,"AAAAAH7ftbU=")</f>
        <v>#VALUE!</v>
      </c>
      <c r="GA184" t="e">
        <f>AND(Sheet1!E2476,"AAAAAH7ftbY=")</f>
        <v>#VALUE!</v>
      </c>
      <c r="GB184" t="e">
        <f>AND(Sheet1!F2476,"AAAAAH7ftbc=")</f>
        <v>#VALUE!</v>
      </c>
      <c r="GC184" t="e">
        <f>AND(Sheet1!G2476,"AAAAAH7ftbg=")</f>
        <v>#VALUE!</v>
      </c>
      <c r="GD184" t="e">
        <f>AND(Sheet1!H2476,"AAAAAH7ftbk=")</f>
        <v>#VALUE!</v>
      </c>
      <c r="GE184" t="e">
        <f>AND(Sheet1!I2476,"AAAAAH7ftbo=")</f>
        <v>#VALUE!</v>
      </c>
      <c r="GF184" t="e">
        <f>AND(Sheet1!J2476,"AAAAAH7ftbs=")</f>
        <v>#VALUE!</v>
      </c>
      <c r="GG184" t="e">
        <f>AND(Sheet1!K2476,"AAAAAH7ftbw=")</f>
        <v>#VALUE!</v>
      </c>
      <c r="GH184" t="e">
        <f>AND(Sheet1!L2476,"AAAAAH7ftb0=")</f>
        <v>#VALUE!</v>
      </c>
      <c r="GI184" t="e">
        <f>AND(Sheet1!M2476,"AAAAAH7ftb4=")</f>
        <v>#VALUE!</v>
      </c>
      <c r="GJ184" t="e">
        <f>AND(Sheet1!N2476,"AAAAAH7ftb8=")</f>
        <v>#VALUE!</v>
      </c>
      <c r="GK184" t="e">
        <f>AND(Sheet1!#REF!,"AAAAAH7ftcA=")</f>
        <v>#REF!</v>
      </c>
      <c r="GL184" t="e">
        <f>AND(Sheet1!#REF!,"AAAAAH7ftcE=")</f>
        <v>#REF!</v>
      </c>
      <c r="GM184" t="e">
        <f>AND(Sheet1!#REF!,"AAAAAH7ftcI=")</f>
        <v>#REF!</v>
      </c>
      <c r="GN184" t="e">
        <f>AND(Sheet1!#REF!,"AAAAAH7ftcM=")</f>
        <v>#REF!</v>
      </c>
      <c r="GO184">
        <f>IF(Sheet1!2477:2477,"AAAAAH7ftcQ=",0)</f>
        <v>0</v>
      </c>
      <c r="GP184" t="e">
        <f>AND(Sheet1!A2477,"AAAAAH7ftcU=")</f>
        <v>#VALUE!</v>
      </c>
      <c r="GQ184" t="e">
        <f>AND(Sheet1!B2477,"AAAAAH7ftcY=")</f>
        <v>#VALUE!</v>
      </c>
      <c r="GR184" t="e">
        <f>AND(Sheet1!C2477,"AAAAAH7ftcc=")</f>
        <v>#VALUE!</v>
      </c>
      <c r="GS184" t="e">
        <f>AND(Sheet1!D2477,"AAAAAH7ftcg=")</f>
        <v>#VALUE!</v>
      </c>
      <c r="GT184" t="e">
        <f>AND(Sheet1!E2477,"AAAAAH7ftck=")</f>
        <v>#VALUE!</v>
      </c>
      <c r="GU184" t="e">
        <f>AND(Sheet1!F2477,"AAAAAH7ftco=")</f>
        <v>#VALUE!</v>
      </c>
      <c r="GV184" t="e">
        <f>AND(Sheet1!G2477,"AAAAAH7ftcs=")</f>
        <v>#VALUE!</v>
      </c>
      <c r="GW184" t="e">
        <f>AND(Sheet1!H2477,"AAAAAH7ftcw=")</f>
        <v>#VALUE!</v>
      </c>
      <c r="GX184" t="e">
        <f>AND(Sheet1!I2477,"AAAAAH7ftc0=")</f>
        <v>#VALUE!</v>
      </c>
      <c r="GY184" t="e">
        <f>AND(Sheet1!J2477,"AAAAAH7ftc4=")</f>
        <v>#VALUE!</v>
      </c>
      <c r="GZ184" t="e">
        <f>AND(Sheet1!K2477,"AAAAAH7ftc8=")</f>
        <v>#VALUE!</v>
      </c>
      <c r="HA184" t="e">
        <f>AND(Sheet1!L2477,"AAAAAH7ftdA=")</f>
        <v>#VALUE!</v>
      </c>
      <c r="HB184" t="e">
        <f>AND(Sheet1!M2477,"AAAAAH7ftdE=")</f>
        <v>#VALUE!</v>
      </c>
      <c r="HC184" t="e">
        <f>AND(Sheet1!N2477,"AAAAAH7ftdI=")</f>
        <v>#VALUE!</v>
      </c>
      <c r="HD184" t="e">
        <f>AND(Sheet1!#REF!,"AAAAAH7ftdM=")</f>
        <v>#REF!</v>
      </c>
      <c r="HE184" t="e">
        <f>AND(Sheet1!#REF!,"AAAAAH7ftdQ=")</f>
        <v>#REF!</v>
      </c>
      <c r="HF184" t="e">
        <f>AND(Sheet1!#REF!,"AAAAAH7ftdU=")</f>
        <v>#REF!</v>
      </c>
      <c r="HG184" t="e">
        <f>AND(Sheet1!#REF!,"AAAAAH7ftdY=")</f>
        <v>#REF!</v>
      </c>
      <c r="HH184">
        <f>IF(Sheet1!2478:2478,"AAAAAH7ftdc=",0)</f>
        <v>0</v>
      </c>
      <c r="HI184" t="e">
        <f>AND(Sheet1!A2478,"AAAAAH7ftdg=")</f>
        <v>#VALUE!</v>
      </c>
      <c r="HJ184" t="e">
        <f>AND(Sheet1!B2478,"AAAAAH7ftdk=")</f>
        <v>#VALUE!</v>
      </c>
      <c r="HK184" t="e">
        <f>AND(Sheet1!C2478,"AAAAAH7ftdo=")</f>
        <v>#VALUE!</v>
      </c>
      <c r="HL184" t="e">
        <f>AND(Sheet1!D2478,"AAAAAH7ftds=")</f>
        <v>#VALUE!</v>
      </c>
      <c r="HM184" t="e">
        <f>AND(Sheet1!E2478,"AAAAAH7ftdw=")</f>
        <v>#VALUE!</v>
      </c>
      <c r="HN184" t="e">
        <f>AND(Sheet1!F2478,"AAAAAH7ftd0=")</f>
        <v>#VALUE!</v>
      </c>
      <c r="HO184" t="e">
        <f>AND(Sheet1!G2478,"AAAAAH7ftd4=")</f>
        <v>#VALUE!</v>
      </c>
      <c r="HP184" t="e">
        <f>AND(Sheet1!H2478,"AAAAAH7ftd8=")</f>
        <v>#VALUE!</v>
      </c>
      <c r="HQ184" t="e">
        <f>AND(Sheet1!I2478,"AAAAAH7fteA=")</f>
        <v>#VALUE!</v>
      </c>
      <c r="HR184" t="e">
        <f>AND(Sheet1!J2478,"AAAAAH7fteE=")</f>
        <v>#VALUE!</v>
      </c>
      <c r="HS184" t="e">
        <f>AND(Sheet1!K2478,"AAAAAH7fteI=")</f>
        <v>#VALUE!</v>
      </c>
      <c r="HT184" t="e">
        <f>AND(Sheet1!L2478,"AAAAAH7fteM=")</f>
        <v>#VALUE!</v>
      </c>
      <c r="HU184" t="e">
        <f>AND(Sheet1!M2478,"AAAAAH7fteQ=")</f>
        <v>#VALUE!</v>
      </c>
      <c r="HV184" t="e">
        <f>AND(Sheet1!N2478,"AAAAAH7fteU=")</f>
        <v>#VALUE!</v>
      </c>
      <c r="HW184" t="e">
        <f>AND(Sheet1!#REF!,"AAAAAH7fteY=")</f>
        <v>#REF!</v>
      </c>
      <c r="HX184" t="e">
        <f>AND(Sheet1!#REF!,"AAAAAH7ftec=")</f>
        <v>#REF!</v>
      </c>
      <c r="HY184" t="e">
        <f>AND(Sheet1!#REF!,"AAAAAH7fteg=")</f>
        <v>#REF!</v>
      </c>
      <c r="HZ184" t="e">
        <f>AND(Sheet1!#REF!,"AAAAAH7ftek=")</f>
        <v>#REF!</v>
      </c>
      <c r="IA184">
        <f>IF(Sheet1!2479:2479,"AAAAAH7fteo=",0)</f>
        <v>0</v>
      </c>
      <c r="IB184" t="e">
        <f>AND(Sheet1!A2479,"AAAAAH7ftes=")</f>
        <v>#VALUE!</v>
      </c>
      <c r="IC184" t="e">
        <f>AND(Sheet1!B2479,"AAAAAH7ftew=")</f>
        <v>#VALUE!</v>
      </c>
      <c r="ID184" t="e">
        <f>AND(Sheet1!C2479,"AAAAAH7fte0=")</f>
        <v>#VALUE!</v>
      </c>
      <c r="IE184" t="e">
        <f>AND(Sheet1!D2479,"AAAAAH7fte4=")</f>
        <v>#VALUE!</v>
      </c>
      <c r="IF184" t="e">
        <f>AND(Sheet1!E2479,"AAAAAH7fte8=")</f>
        <v>#VALUE!</v>
      </c>
      <c r="IG184" t="e">
        <f>AND(Sheet1!F2479,"AAAAAH7ftfA=")</f>
        <v>#VALUE!</v>
      </c>
      <c r="IH184" t="e">
        <f>AND(Sheet1!G2479,"AAAAAH7ftfE=")</f>
        <v>#VALUE!</v>
      </c>
      <c r="II184" t="e">
        <f>AND(Sheet1!H2479,"AAAAAH7ftfI=")</f>
        <v>#VALUE!</v>
      </c>
      <c r="IJ184" t="e">
        <f>AND(Sheet1!I2479,"AAAAAH7ftfM=")</f>
        <v>#VALUE!</v>
      </c>
      <c r="IK184" t="e">
        <f>AND(Sheet1!J2479,"AAAAAH7ftfQ=")</f>
        <v>#VALUE!</v>
      </c>
      <c r="IL184" t="e">
        <f>AND(Sheet1!K2479,"AAAAAH7ftfU=")</f>
        <v>#VALUE!</v>
      </c>
      <c r="IM184" t="e">
        <f>AND(Sheet1!L2479,"AAAAAH7ftfY=")</f>
        <v>#VALUE!</v>
      </c>
      <c r="IN184" t="e">
        <f>AND(Sheet1!M2479,"AAAAAH7ftfc=")</f>
        <v>#VALUE!</v>
      </c>
      <c r="IO184" t="e">
        <f>AND(Sheet1!N2479,"AAAAAH7ftfg=")</f>
        <v>#VALUE!</v>
      </c>
      <c r="IP184" t="e">
        <f>AND(Sheet1!#REF!,"AAAAAH7ftfk=")</f>
        <v>#REF!</v>
      </c>
      <c r="IQ184" t="e">
        <f>AND(Sheet1!#REF!,"AAAAAH7ftfo=")</f>
        <v>#REF!</v>
      </c>
      <c r="IR184" t="e">
        <f>AND(Sheet1!#REF!,"AAAAAH7ftfs=")</f>
        <v>#REF!</v>
      </c>
      <c r="IS184" t="e">
        <f>AND(Sheet1!#REF!,"AAAAAH7ftfw=")</f>
        <v>#REF!</v>
      </c>
      <c r="IT184">
        <f>IF(Sheet1!2480:2480,"AAAAAH7ftf0=",0)</f>
        <v>0</v>
      </c>
      <c r="IU184" t="e">
        <f>AND(Sheet1!A2480,"AAAAAH7ftf4=")</f>
        <v>#VALUE!</v>
      </c>
      <c r="IV184" t="e">
        <f>AND(Sheet1!B2480,"AAAAAH7ftf8=")</f>
        <v>#VALUE!</v>
      </c>
    </row>
    <row r="185" spans="1:256" x14ac:dyDescent="0.2">
      <c r="A185" t="e">
        <f>AND(Sheet1!C2480,"AAAAAH/7+gA=")</f>
        <v>#VALUE!</v>
      </c>
      <c r="B185" t="e">
        <f>AND(Sheet1!D2480,"AAAAAH/7+gE=")</f>
        <v>#VALUE!</v>
      </c>
      <c r="C185" t="e">
        <f>AND(Sheet1!E2480,"AAAAAH/7+gI=")</f>
        <v>#VALUE!</v>
      </c>
      <c r="D185" t="e">
        <f>AND(Sheet1!F2480,"AAAAAH/7+gM=")</f>
        <v>#VALUE!</v>
      </c>
      <c r="E185" t="e">
        <f>AND(Sheet1!G2480,"AAAAAH/7+gQ=")</f>
        <v>#VALUE!</v>
      </c>
      <c r="F185" t="e">
        <f>AND(Sheet1!H2480,"AAAAAH/7+gU=")</f>
        <v>#VALUE!</v>
      </c>
      <c r="G185" t="e">
        <f>AND(Sheet1!I2480,"AAAAAH/7+gY=")</f>
        <v>#VALUE!</v>
      </c>
      <c r="H185" t="e">
        <f>AND(Sheet1!J2480,"AAAAAH/7+gc=")</f>
        <v>#VALUE!</v>
      </c>
      <c r="I185" t="e">
        <f>AND(Sheet1!K2480,"AAAAAH/7+gg=")</f>
        <v>#VALUE!</v>
      </c>
      <c r="J185" t="e">
        <f>AND(Sheet1!L2480,"AAAAAH/7+gk=")</f>
        <v>#VALUE!</v>
      </c>
      <c r="K185" t="e">
        <f>AND(Sheet1!M2480,"AAAAAH/7+go=")</f>
        <v>#VALUE!</v>
      </c>
      <c r="L185" t="e">
        <f>AND(Sheet1!N2480,"AAAAAH/7+gs=")</f>
        <v>#VALUE!</v>
      </c>
      <c r="M185" t="e">
        <f>AND(Sheet1!#REF!,"AAAAAH/7+gw=")</f>
        <v>#REF!</v>
      </c>
      <c r="N185" t="e">
        <f>AND(Sheet1!#REF!,"AAAAAH/7+g0=")</f>
        <v>#REF!</v>
      </c>
      <c r="O185" t="e">
        <f>AND(Sheet1!#REF!,"AAAAAH/7+g4=")</f>
        <v>#REF!</v>
      </c>
      <c r="P185" t="e">
        <f>AND(Sheet1!#REF!,"AAAAAH/7+g8=")</f>
        <v>#REF!</v>
      </c>
      <c r="Q185">
        <f>IF(Sheet1!2481:2481,"AAAAAH/7+hA=",0)</f>
        <v>0</v>
      </c>
      <c r="R185" t="e">
        <f>AND(Sheet1!A2481,"AAAAAH/7+hE=")</f>
        <v>#VALUE!</v>
      </c>
      <c r="S185" t="e">
        <f>AND(Sheet1!B2481,"AAAAAH/7+hI=")</f>
        <v>#VALUE!</v>
      </c>
      <c r="T185" t="e">
        <f>AND(Sheet1!C2481,"AAAAAH/7+hM=")</f>
        <v>#VALUE!</v>
      </c>
      <c r="U185" t="e">
        <f>AND(Sheet1!D2481,"AAAAAH/7+hQ=")</f>
        <v>#VALUE!</v>
      </c>
      <c r="V185" t="e">
        <f>AND(Sheet1!E2481,"AAAAAH/7+hU=")</f>
        <v>#VALUE!</v>
      </c>
      <c r="W185" t="e">
        <f>AND(Sheet1!F2481,"AAAAAH/7+hY=")</f>
        <v>#VALUE!</v>
      </c>
      <c r="X185" t="e">
        <f>AND(Sheet1!G2481,"AAAAAH/7+hc=")</f>
        <v>#VALUE!</v>
      </c>
      <c r="Y185" t="e">
        <f>AND(Sheet1!H2481,"AAAAAH/7+hg=")</f>
        <v>#VALUE!</v>
      </c>
      <c r="Z185" t="e">
        <f>AND(Sheet1!I2481,"AAAAAH/7+hk=")</f>
        <v>#VALUE!</v>
      </c>
      <c r="AA185" t="e">
        <f>AND(Sheet1!J2481,"AAAAAH/7+ho=")</f>
        <v>#VALUE!</v>
      </c>
      <c r="AB185" t="e">
        <f>AND(Sheet1!K2481,"AAAAAH/7+hs=")</f>
        <v>#VALUE!</v>
      </c>
      <c r="AC185" t="e">
        <f>AND(Sheet1!L2481,"AAAAAH/7+hw=")</f>
        <v>#VALUE!</v>
      </c>
      <c r="AD185" t="e">
        <f>AND(Sheet1!M2481,"AAAAAH/7+h0=")</f>
        <v>#VALUE!</v>
      </c>
      <c r="AE185" t="e">
        <f>AND(Sheet1!N2481,"AAAAAH/7+h4=")</f>
        <v>#VALUE!</v>
      </c>
      <c r="AF185" t="e">
        <f>AND(Sheet1!#REF!,"AAAAAH/7+h8=")</f>
        <v>#REF!</v>
      </c>
      <c r="AG185" t="e">
        <f>AND(Sheet1!#REF!,"AAAAAH/7+iA=")</f>
        <v>#REF!</v>
      </c>
      <c r="AH185" t="e">
        <f>AND(Sheet1!#REF!,"AAAAAH/7+iE=")</f>
        <v>#REF!</v>
      </c>
      <c r="AI185" t="e">
        <f>AND(Sheet1!#REF!,"AAAAAH/7+iI=")</f>
        <v>#REF!</v>
      </c>
      <c r="AJ185">
        <f>IF(Sheet1!2482:2482,"AAAAAH/7+iM=",0)</f>
        <v>0</v>
      </c>
      <c r="AK185" t="e">
        <f>AND(Sheet1!A2482,"AAAAAH/7+iQ=")</f>
        <v>#VALUE!</v>
      </c>
      <c r="AL185" t="e">
        <f>AND(Sheet1!B2482,"AAAAAH/7+iU=")</f>
        <v>#VALUE!</v>
      </c>
      <c r="AM185" t="e">
        <f>AND(Sheet1!C2482,"AAAAAH/7+iY=")</f>
        <v>#VALUE!</v>
      </c>
      <c r="AN185" t="e">
        <f>AND(Sheet1!D2482,"AAAAAH/7+ic=")</f>
        <v>#VALUE!</v>
      </c>
      <c r="AO185" t="e">
        <f>AND(Sheet1!E2482,"AAAAAH/7+ig=")</f>
        <v>#VALUE!</v>
      </c>
      <c r="AP185" t="e">
        <f>AND(Sheet1!F2482,"AAAAAH/7+ik=")</f>
        <v>#VALUE!</v>
      </c>
      <c r="AQ185" t="e">
        <f>AND(Sheet1!G2482,"AAAAAH/7+io=")</f>
        <v>#VALUE!</v>
      </c>
      <c r="AR185" t="e">
        <f>AND(Sheet1!H2482,"AAAAAH/7+is=")</f>
        <v>#VALUE!</v>
      </c>
      <c r="AS185" t="e">
        <f>AND(Sheet1!I2482,"AAAAAH/7+iw=")</f>
        <v>#VALUE!</v>
      </c>
      <c r="AT185" t="e">
        <f>AND(Sheet1!J2482,"AAAAAH/7+i0=")</f>
        <v>#VALUE!</v>
      </c>
      <c r="AU185" t="e">
        <f>AND(Sheet1!K2482,"AAAAAH/7+i4=")</f>
        <v>#VALUE!</v>
      </c>
      <c r="AV185" t="e">
        <f>AND(Sheet1!L2482,"AAAAAH/7+i8=")</f>
        <v>#VALUE!</v>
      </c>
      <c r="AW185" t="e">
        <f>AND(Sheet1!M2482,"AAAAAH/7+jA=")</f>
        <v>#VALUE!</v>
      </c>
      <c r="AX185" t="e">
        <f>AND(Sheet1!N2482,"AAAAAH/7+jE=")</f>
        <v>#VALUE!</v>
      </c>
      <c r="AY185" t="e">
        <f>AND(Sheet1!#REF!,"AAAAAH/7+jI=")</f>
        <v>#REF!</v>
      </c>
      <c r="AZ185" t="e">
        <f>AND(Sheet1!#REF!,"AAAAAH/7+jM=")</f>
        <v>#REF!</v>
      </c>
      <c r="BA185" t="e">
        <f>AND(Sheet1!#REF!,"AAAAAH/7+jQ=")</f>
        <v>#REF!</v>
      </c>
      <c r="BB185" t="e">
        <f>AND(Sheet1!#REF!,"AAAAAH/7+jU=")</f>
        <v>#REF!</v>
      </c>
      <c r="BC185">
        <f>IF(Sheet1!2483:2483,"AAAAAH/7+jY=",0)</f>
        <v>0</v>
      </c>
      <c r="BD185" t="e">
        <f>AND(Sheet1!A2483,"AAAAAH/7+jc=")</f>
        <v>#VALUE!</v>
      </c>
      <c r="BE185" t="e">
        <f>AND(Sheet1!B2483,"AAAAAH/7+jg=")</f>
        <v>#VALUE!</v>
      </c>
      <c r="BF185" t="e">
        <f>AND(Sheet1!C2483,"AAAAAH/7+jk=")</f>
        <v>#VALUE!</v>
      </c>
      <c r="BG185" t="e">
        <f>AND(Sheet1!D2483,"AAAAAH/7+jo=")</f>
        <v>#VALUE!</v>
      </c>
      <c r="BH185" t="e">
        <f>AND(Sheet1!E2483,"AAAAAH/7+js=")</f>
        <v>#VALUE!</v>
      </c>
      <c r="BI185" t="e">
        <f>AND(Sheet1!F2483,"AAAAAH/7+jw=")</f>
        <v>#VALUE!</v>
      </c>
      <c r="BJ185" t="e">
        <f>AND(Sheet1!G2483,"AAAAAH/7+j0=")</f>
        <v>#VALUE!</v>
      </c>
      <c r="BK185" t="e">
        <f>AND(Sheet1!H2483,"AAAAAH/7+j4=")</f>
        <v>#VALUE!</v>
      </c>
      <c r="BL185" t="e">
        <f>AND(Sheet1!I2483,"AAAAAH/7+j8=")</f>
        <v>#VALUE!</v>
      </c>
      <c r="BM185" t="e">
        <f>AND(Sheet1!J2483,"AAAAAH/7+kA=")</f>
        <v>#VALUE!</v>
      </c>
      <c r="BN185" t="e">
        <f>AND(Sheet1!K2483,"AAAAAH/7+kE=")</f>
        <v>#VALUE!</v>
      </c>
      <c r="BO185" t="e">
        <f>AND(Sheet1!L2483,"AAAAAH/7+kI=")</f>
        <v>#VALUE!</v>
      </c>
      <c r="BP185" t="e">
        <f>AND(Sheet1!M2483,"AAAAAH/7+kM=")</f>
        <v>#VALUE!</v>
      </c>
      <c r="BQ185" t="e">
        <f>AND(Sheet1!N2483,"AAAAAH/7+kQ=")</f>
        <v>#VALUE!</v>
      </c>
      <c r="BR185" t="e">
        <f>AND(Sheet1!#REF!,"AAAAAH/7+kU=")</f>
        <v>#REF!</v>
      </c>
      <c r="BS185" t="e">
        <f>AND(Sheet1!#REF!,"AAAAAH/7+kY=")</f>
        <v>#REF!</v>
      </c>
      <c r="BT185" t="e">
        <f>AND(Sheet1!#REF!,"AAAAAH/7+kc=")</f>
        <v>#REF!</v>
      </c>
      <c r="BU185" t="e">
        <f>AND(Sheet1!#REF!,"AAAAAH/7+kg=")</f>
        <v>#REF!</v>
      </c>
      <c r="BV185">
        <f>IF(Sheet1!2484:2484,"AAAAAH/7+kk=",0)</f>
        <v>0</v>
      </c>
      <c r="BW185" t="e">
        <f>AND(Sheet1!A2484,"AAAAAH/7+ko=")</f>
        <v>#VALUE!</v>
      </c>
      <c r="BX185" t="e">
        <f>AND(Sheet1!B2484,"AAAAAH/7+ks=")</f>
        <v>#VALUE!</v>
      </c>
      <c r="BY185" t="e">
        <f>AND(Sheet1!C2484,"AAAAAH/7+kw=")</f>
        <v>#VALUE!</v>
      </c>
      <c r="BZ185" t="e">
        <f>AND(Sheet1!D2484,"AAAAAH/7+k0=")</f>
        <v>#VALUE!</v>
      </c>
      <c r="CA185" t="e">
        <f>AND(Sheet1!E2484,"AAAAAH/7+k4=")</f>
        <v>#VALUE!</v>
      </c>
      <c r="CB185" t="e">
        <f>AND(Sheet1!F2484,"AAAAAH/7+k8=")</f>
        <v>#VALUE!</v>
      </c>
      <c r="CC185" t="e">
        <f>AND(Sheet1!G2484,"AAAAAH/7+lA=")</f>
        <v>#VALUE!</v>
      </c>
      <c r="CD185" t="e">
        <f>AND(Sheet1!H2484,"AAAAAH/7+lE=")</f>
        <v>#VALUE!</v>
      </c>
      <c r="CE185" t="e">
        <f>AND(Sheet1!I2484,"AAAAAH/7+lI=")</f>
        <v>#VALUE!</v>
      </c>
      <c r="CF185" t="e">
        <f>AND(Sheet1!J2484,"AAAAAH/7+lM=")</f>
        <v>#VALUE!</v>
      </c>
      <c r="CG185" t="e">
        <f>AND(Sheet1!K2484,"AAAAAH/7+lQ=")</f>
        <v>#VALUE!</v>
      </c>
      <c r="CH185" t="e">
        <f>AND(Sheet1!L2484,"AAAAAH/7+lU=")</f>
        <v>#VALUE!</v>
      </c>
      <c r="CI185" t="e">
        <f>AND(Sheet1!M2484,"AAAAAH/7+lY=")</f>
        <v>#VALUE!</v>
      </c>
      <c r="CJ185" t="e">
        <f>AND(Sheet1!N2484,"AAAAAH/7+lc=")</f>
        <v>#VALUE!</v>
      </c>
      <c r="CK185" t="e">
        <f>AND(Sheet1!#REF!,"AAAAAH/7+lg=")</f>
        <v>#REF!</v>
      </c>
      <c r="CL185" t="e">
        <f>AND(Sheet1!#REF!,"AAAAAH/7+lk=")</f>
        <v>#REF!</v>
      </c>
      <c r="CM185" t="e">
        <f>AND(Sheet1!#REF!,"AAAAAH/7+lo=")</f>
        <v>#REF!</v>
      </c>
      <c r="CN185" t="e">
        <f>AND(Sheet1!#REF!,"AAAAAH/7+ls=")</f>
        <v>#REF!</v>
      </c>
      <c r="CO185">
        <f>IF(Sheet1!2485:2485,"AAAAAH/7+lw=",0)</f>
        <v>0</v>
      </c>
      <c r="CP185" t="e">
        <f>AND(Sheet1!A2485,"AAAAAH/7+l0=")</f>
        <v>#VALUE!</v>
      </c>
      <c r="CQ185" t="e">
        <f>AND(Sheet1!B2485,"AAAAAH/7+l4=")</f>
        <v>#VALUE!</v>
      </c>
      <c r="CR185" t="e">
        <f>AND(Sheet1!C2485,"AAAAAH/7+l8=")</f>
        <v>#VALUE!</v>
      </c>
      <c r="CS185" t="e">
        <f>AND(Sheet1!D2485,"AAAAAH/7+mA=")</f>
        <v>#VALUE!</v>
      </c>
      <c r="CT185" t="e">
        <f>AND(Sheet1!E2485,"AAAAAH/7+mE=")</f>
        <v>#VALUE!</v>
      </c>
      <c r="CU185" t="e">
        <f>AND(Sheet1!F2485,"AAAAAH/7+mI=")</f>
        <v>#VALUE!</v>
      </c>
      <c r="CV185" t="e">
        <f>AND(Sheet1!G2485,"AAAAAH/7+mM=")</f>
        <v>#VALUE!</v>
      </c>
      <c r="CW185" t="e">
        <f>AND(Sheet1!H2485,"AAAAAH/7+mQ=")</f>
        <v>#VALUE!</v>
      </c>
      <c r="CX185" t="e">
        <f>AND(Sheet1!I2485,"AAAAAH/7+mU=")</f>
        <v>#VALUE!</v>
      </c>
      <c r="CY185" t="e">
        <f>AND(Sheet1!J2485,"AAAAAH/7+mY=")</f>
        <v>#VALUE!</v>
      </c>
      <c r="CZ185" t="e">
        <f>AND(Sheet1!K2485,"AAAAAH/7+mc=")</f>
        <v>#VALUE!</v>
      </c>
      <c r="DA185" t="e">
        <f>AND(Sheet1!L2485,"AAAAAH/7+mg=")</f>
        <v>#VALUE!</v>
      </c>
      <c r="DB185" t="e">
        <f>AND(Sheet1!M2485,"AAAAAH/7+mk=")</f>
        <v>#VALUE!</v>
      </c>
      <c r="DC185" t="e">
        <f>AND(Sheet1!N2485,"AAAAAH/7+mo=")</f>
        <v>#VALUE!</v>
      </c>
      <c r="DD185" t="e">
        <f>AND(Sheet1!#REF!,"AAAAAH/7+ms=")</f>
        <v>#REF!</v>
      </c>
      <c r="DE185" t="e">
        <f>AND(Sheet1!#REF!,"AAAAAH/7+mw=")</f>
        <v>#REF!</v>
      </c>
      <c r="DF185" t="e">
        <f>AND(Sheet1!#REF!,"AAAAAH/7+m0=")</f>
        <v>#REF!</v>
      </c>
      <c r="DG185" t="e">
        <f>AND(Sheet1!#REF!,"AAAAAH/7+m4=")</f>
        <v>#REF!</v>
      </c>
      <c r="DH185">
        <f>IF(Sheet1!2486:2486,"AAAAAH/7+m8=",0)</f>
        <v>0</v>
      </c>
      <c r="DI185" t="e">
        <f>AND(Sheet1!A2486,"AAAAAH/7+nA=")</f>
        <v>#VALUE!</v>
      </c>
      <c r="DJ185" t="e">
        <f>AND(Sheet1!B2486,"AAAAAH/7+nE=")</f>
        <v>#VALUE!</v>
      </c>
      <c r="DK185" t="e">
        <f>AND(Sheet1!C2486,"AAAAAH/7+nI=")</f>
        <v>#VALUE!</v>
      </c>
      <c r="DL185" t="e">
        <f>AND(Sheet1!D2486,"AAAAAH/7+nM=")</f>
        <v>#VALUE!</v>
      </c>
      <c r="DM185" t="e">
        <f>AND(Sheet1!E2486,"AAAAAH/7+nQ=")</f>
        <v>#VALUE!</v>
      </c>
      <c r="DN185" t="e">
        <f>AND(Sheet1!F2486,"AAAAAH/7+nU=")</f>
        <v>#VALUE!</v>
      </c>
      <c r="DO185" t="e">
        <f>AND(Sheet1!G2486,"AAAAAH/7+nY=")</f>
        <v>#VALUE!</v>
      </c>
      <c r="DP185" t="e">
        <f>AND(Sheet1!H2486,"AAAAAH/7+nc=")</f>
        <v>#VALUE!</v>
      </c>
      <c r="DQ185" t="e">
        <f>AND(Sheet1!I2486,"AAAAAH/7+ng=")</f>
        <v>#VALUE!</v>
      </c>
      <c r="DR185" t="e">
        <f>AND(Sheet1!J2486,"AAAAAH/7+nk=")</f>
        <v>#VALUE!</v>
      </c>
      <c r="DS185" t="e">
        <f>AND(Sheet1!K2486,"AAAAAH/7+no=")</f>
        <v>#VALUE!</v>
      </c>
      <c r="DT185" t="e">
        <f>AND(Sheet1!L2486,"AAAAAH/7+ns=")</f>
        <v>#VALUE!</v>
      </c>
      <c r="DU185" t="e">
        <f>AND(Sheet1!M2486,"AAAAAH/7+nw=")</f>
        <v>#VALUE!</v>
      </c>
      <c r="DV185" t="e">
        <f>AND(Sheet1!N2486,"AAAAAH/7+n0=")</f>
        <v>#VALUE!</v>
      </c>
      <c r="DW185" t="e">
        <f>AND(Sheet1!#REF!,"AAAAAH/7+n4=")</f>
        <v>#REF!</v>
      </c>
      <c r="DX185" t="e">
        <f>AND(Sheet1!#REF!,"AAAAAH/7+n8=")</f>
        <v>#REF!</v>
      </c>
      <c r="DY185" t="e">
        <f>AND(Sheet1!#REF!,"AAAAAH/7+oA=")</f>
        <v>#REF!</v>
      </c>
      <c r="DZ185" t="e">
        <f>AND(Sheet1!#REF!,"AAAAAH/7+oE=")</f>
        <v>#REF!</v>
      </c>
      <c r="EA185">
        <f>IF(Sheet1!2487:2487,"AAAAAH/7+oI=",0)</f>
        <v>0</v>
      </c>
      <c r="EB185" t="e">
        <f>AND(Sheet1!A2487,"AAAAAH/7+oM=")</f>
        <v>#VALUE!</v>
      </c>
      <c r="EC185" t="e">
        <f>AND(Sheet1!B2487,"AAAAAH/7+oQ=")</f>
        <v>#VALUE!</v>
      </c>
      <c r="ED185" t="e">
        <f>AND(Sheet1!C2487,"AAAAAH/7+oU=")</f>
        <v>#VALUE!</v>
      </c>
      <c r="EE185" t="e">
        <f>AND(Sheet1!D2487,"AAAAAH/7+oY=")</f>
        <v>#VALUE!</v>
      </c>
      <c r="EF185" t="e">
        <f>AND(Sheet1!E2487,"AAAAAH/7+oc=")</f>
        <v>#VALUE!</v>
      </c>
      <c r="EG185" t="e">
        <f>AND(Sheet1!F2487,"AAAAAH/7+og=")</f>
        <v>#VALUE!</v>
      </c>
      <c r="EH185" t="e">
        <f>AND(Sheet1!G2487,"AAAAAH/7+ok=")</f>
        <v>#VALUE!</v>
      </c>
      <c r="EI185" t="e">
        <f>AND(Sheet1!H2487,"AAAAAH/7+oo=")</f>
        <v>#VALUE!</v>
      </c>
      <c r="EJ185" t="e">
        <f>AND(Sheet1!I2487,"AAAAAH/7+os=")</f>
        <v>#VALUE!</v>
      </c>
      <c r="EK185" t="e">
        <f>AND(Sheet1!J2487,"AAAAAH/7+ow=")</f>
        <v>#VALUE!</v>
      </c>
      <c r="EL185" t="e">
        <f>AND(Sheet1!K2487,"AAAAAH/7+o0=")</f>
        <v>#VALUE!</v>
      </c>
      <c r="EM185" t="e">
        <f>AND(Sheet1!L2487,"AAAAAH/7+o4=")</f>
        <v>#VALUE!</v>
      </c>
      <c r="EN185" t="e">
        <f>AND(Sheet1!M2487,"AAAAAH/7+o8=")</f>
        <v>#VALUE!</v>
      </c>
      <c r="EO185" t="e">
        <f>AND(Sheet1!N2487,"AAAAAH/7+pA=")</f>
        <v>#VALUE!</v>
      </c>
      <c r="EP185" t="e">
        <f>AND(Sheet1!#REF!,"AAAAAH/7+pE=")</f>
        <v>#REF!</v>
      </c>
      <c r="EQ185" t="e">
        <f>AND(Sheet1!#REF!,"AAAAAH/7+pI=")</f>
        <v>#REF!</v>
      </c>
      <c r="ER185" t="e">
        <f>AND(Sheet1!#REF!,"AAAAAH/7+pM=")</f>
        <v>#REF!</v>
      </c>
      <c r="ES185" t="e">
        <f>AND(Sheet1!#REF!,"AAAAAH/7+pQ=")</f>
        <v>#REF!</v>
      </c>
      <c r="ET185">
        <f>IF(Sheet1!2488:2488,"AAAAAH/7+pU=",0)</f>
        <v>0</v>
      </c>
      <c r="EU185" t="e">
        <f>AND(Sheet1!A2488,"AAAAAH/7+pY=")</f>
        <v>#VALUE!</v>
      </c>
      <c r="EV185" t="e">
        <f>AND(Sheet1!B2488,"AAAAAH/7+pc=")</f>
        <v>#VALUE!</v>
      </c>
      <c r="EW185" t="e">
        <f>AND(Sheet1!C2488,"AAAAAH/7+pg=")</f>
        <v>#VALUE!</v>
      </c>
      <c r="EX185" t="e">
        <f>AND(Sheet1!D2488,"AAAAAH/7+pk=")</f>
        <v>#VALUE!</v>
      </c>
      <c r="EY185" t="e">
        <f>AND(Sheet1!E2488,"AAAAAH/7+po=")</f>
        <v>#VALUE!</v>
      </c>
      <c r="EZ185" t="e">
        <f>AND(Sheet1!F2488,"AAAAAH/7+ps=")</f>
        <v>#VALUE!</v>
      </c>
      <c r="FA185" t="e">
        <f>AND(Sheet1!G2488,"AAAAAH/7+pw=")</f>
        <v>#VALUE!</v>
      </c>
      <c r="FB185" t="e">
        <f>AND(Sheet1!H2488,"AAAAAH/7+p0=")</f>
        <v>#VALUE!</v>
      </c>
      <c r="FC185" t="e">
        <f>AND(Sheet1!I2488,"AAAAAH/7+p4=")</f>
        <v>#VALUE!</v>
      </c>
      <c r="FD185" t="e">
        <f>AND(Sheet1!J2488,"AAAAAH/7+p8=")</f>
        <v>#VALUE!</v>
      </c>
      <c r="FE185" t="e">
        <f>AND(Sheet1!K2488,"AAAAAH/7+qA=")</f>
        <v>#VALUE!</v>
      </c>
      <c r="FF185" t="e">
        <f>AND(Sheet1!L2488,"AAAAAH/7+qE=")</f>
        <v>#VALUE!</v>
      </c>
      <c r="FG185" t="e">
        <f>AND(Sheet1!M2488,"AAAAAH/7+qI=")</f>
        <v>#VALUE!</v>
      </c>
      <c r="FH185" t="e">
        <f>AND(Sheet1!N2488,"AAAAAH/7+qM=")</f>
        <v>#VALUE!</v>
      </c>
      <c r="FI185" t="e">
        <f>AND(Sheet1!#REF!,"AAAAAH/7+qQ=")</f>
        <v>#REF!</v>
      </c>
      <c r="FJ185" t="e">
        <f>AND(Sheet1!#REF!,"AAAAAH/7+qU=")</f>
        <v>#REF!</v>
      </c>
      <c r="FK185" t="e">
        <f>AND(Sheet1!#REF!,"AAAAAH/7+qY=")</f>
        <v>#REF!</v>
      </c>
      <c r="FL185" t="e">
        <f>AND(Sheet1!#REF!,"AAAAAH/7+qc=")</f>
        <v>#REF!</v>
      </c>
      <c r="FM185">
        <f>IF(Sheet1!2489:2489,"AAAAAH/7+qg=",0)</f>
        <v>0</v>
      </c>
      <c r="FN185" t="e">
        <f>AND(Sheet1!A2489,"AAAAAH/7+qk=")</f>
        <v>#VALUE!</v>
      </c>
      <c r="FO185" t="e">
        <f>AND(Sheet1!B2489,"AAAAAH/7+qo=")</f>
        <v>#VALUE!</v>
      </c>
      <c r="FP185" t="e">
        <f>AND(Sheet1!C2489,"AAAAAH/7+qs=")</f>
        <v>#VALUE!</v>
      </c>
      <c r="FQ185" t="e">
        <f>AND(Sheet1!D2489,"AAAAAH/7+qw=")</f>
        <v>#VALUE!</v>
      </c>
      <c r="FR185" t="e">
        <f>AND(Sheet1!E2489,"AAAAAH/7+q0=")</f>
        <v>#VALUE!</v>
      </c>
      <c r="FS185" t="e">
        <f>AND(Sheet1!F2489,"AAAAAH/7+q4=")</f>
        <v>#VALUE!</v>
      </c>
      <c r="FT185" t="e">
        <f>AND(Sheet1!G2489,"AAAAAH/7+q8=")</f>
        <v>#VALUE!</v>
      </c>
      <c r="FU185" t="e">
        <f>AND(Sheet1!H2489,"AAAAAH/7+rA=")</f>
        <v>#VALUE!</v>
      </c>
      <c r="FV185" t="e">
        <f>AND(Sheet1!I2489,"AAAAAH/7+rE=")</f>
        <v>#VALUE!</v>
      </c>
      <c r="FW185" t="e">
        <f>AND(Sheet1!J2489,"AAAAAH/7+rI=")</f>
        <v>#VALUE!</v>
      </c>
      <c r="FX185" t="e">
        <f>AND(Sheet1!K2489,"AAAAAH/7+rM=")</f>
        <v>#VALUE!</v>
      </c>
      <c r="FY185" t="e">
        <f>AND(Sheet1!L2489,"AAAAAH/7+rQ=")</f>
        <v>#VALUE!</v>
      </c>
      <c r="FZ185" t="e">
        <f>AND(Sheet1!M2489,"AAAAAH/7+rU=")</f>
        <v>#VALUE!</v>
      </c>
      <c r="GA185" t="e">
        <f>AND(Sheet1!N2489,"AAAAAH/7+rY=")</f>
        <v>#VALUE!</v>
      </c>
      <c r="GB185" t="e">
        <f>AND(Sheet1!#REF!,"AAAAAH/7+rc=")</f>
        <v>#REF!</v>
      </c>
      <c r="GC185" t="e">
        <f>AND(Sheet1!#REF!,"AAAAAH/7+rg=")</f>
        <v>#REF!</v>
      </c>
      <c r="GD185" t="e">
        <f>AND(Sheet1!#REF!,"AAAAAH/7+rk=")</f>
        <v>#REF!</v>
      </c>
      <c r="GE185" t="e">
        <f>AND(Sheet1!#REF!,"AAAAAH/7+ro=")</f>
        <v>#REF!</v>
      </c>
      <c r="GF185">
        <f>IF(Sheet1!2490:2490,"AAAAAH/7+rs=",0)</f>
        <v>0</v>
      </c>
      <c r="GG185" t="e">
        <f>AND(Sheet1!A2490,"AAAAAH/7+rw=")</f>
        <v>#VALUE!</v>
      </c>
      <c r="GH185" t="e">
        <f>AND(Sheet1!B2490,"AAAAAH/7+r0=")</f>
        <v>#VALUE!</v>
      </c>
      <c r="GI185" t="e">
        <f>AND(Sheet1!C2490,"AAAAAH/7+r4=")</f>
        <v>#VALUE!</v>
      </c>
      <c r="GJ185" t="e">
        <f>AND(Sheet1!D2490,"AAAAAH/7+r8=")</f>
        <v>#VALUE!</v>
      </c>
      <c r="GK185" t="e">
        <f>AND(Sheet1!E2490,"AAAAAH/7+sA=")</f>
        <v>#VALUE!</v>
      </c>
      <c r="GL185" t="e">
        <f>AND(Sheet1!F2490,"AAAAAH/7+sE=")</f>
        <v>#VALUE!</v>
      </c>
      <c r="GM185" t="e">
        <f>AND(Sheet1!G2490,"AAAAAH/7+sI=")</f>
        <v>#VALUE!</v>
      </c>
      <c r="GN185" t="e">
        <f>AND(Sheet1!H2490,"AAAAAH/7+sM=")</f>
        <v>#VALUE!</v>
      </c>
      <c r="GO185" t="e">
        <f>AND(Sheet1!I2490,"AAAAAH/7+sQ=")</f>
        <v>#VALUE!</v>
      </c>
      <c r="GP185" t="e">
        <f>AND(Sheet1!J2490,"AAAAAH/7+sU=")</f>
        <v>#VALUE!</v>
      </c>
      <c r="GQ185" t="e">
        <f>AND(Sheet1!K2490,"AAAAAH/7+sY=")</f>
        <v>#VALUE!</v>
      </c>
      <c r="GR185" t="e">
        <f>AND(Sheet1!L2490,"AAAAAH/7+sc=")</f>
        <v>#VALUE!</v>
      </c>
      <c r="GS185" t="e">
        <f>AND(Sheet1!M2490,"AAAAAH/7+sg=")</f>
        <v>#VALUE!</v>
      </c>
      <c r="GT185" t="e">
        <f>AND(Sheet1!N2490,"AAAAAH/7+sk=")</f>
        <v>#VALUE!</v>
      </c>
      <c r="GU185" t="e">
        <f>AND(Sheet1!#REF!,"AAAAAH/7+so=")</f>
        <v>#REF!</v>
      </c>
      <c r="GV185" t="e">
        <f>AND(Sheet1!#REF!,"AAAAAH/7+ss=")</f>
        <v>#REF!</v>
      </c>
      <c r="GW185" t="e">
        <f>AND(Sheet1!#REF!,"AAAAAH/7+sw=")</f>
        <v>#REF!</v>
      </c>
      <c r="GX185" t="e">
        <f>AND(Sheet1!#REF!,"AAAAAH/7+s0=")</f>
        <v>#REF!</v>
      </c>
      <c r="GY185">
        <f>IF(Sheet1!2491:2491,"AAAAAH/7+s4=",0)</f>
        <v>0</v>
      </c>
      <c r="GZ185" t="e">
        <f>AND(Sheet1!A2491,"AAAAAH/7+s8=")</f>
        <v>#VALUE!</v>
      </c>
      <c r="HA185" t="e">
        <f>AND(Sheet1!B2491,"AAAAAH/7+tA=")</f>
        <v>#VALUE!</v>
      </c>
      <c r="HB185" t="e">
        <f>AND(Sheet1!C2491,"AAAAAH/7+tE=")</f>
        <v>#VALUE!</v>
      </c>
      <c r="HC185" t="e">
        <f>AND(Sheet1!D2491,"AAAAAH/7+tI=")</f>
        <v>#VALUE!</v>
      </c>
      <c r="HD185" t="e">
        <f>AND(Sheet1!E2491,"AAAAAH/7+tM=")</f>
        <v>#VALUE!</v>
      </c>
      <c r="HE185" t="e">
        <f>AND(Sheet1!F2491,"AAAAAH/7+tQ=")</f>
        <v>#VALUE!</v>
      </c>
      <c r="HF185" t="e">
        <f>AND(Sheet1!G2491,"AAAAAH/7+tU=")</f>
        <v>#VALUE!</v>
      </c>
      <c r="HG185" t="e">
        <f>AND(Sheet1!H2491,"AAAAAH/7+tY=")</f>
        <v>#VALUE!</v>
      </c>
      <c r="HH185" t="e">
        <f>AND(Sheet1!I2491,"AAAAAH/7+tc=")</f>
        <v>#VALUE!</v>
      </c>
      <c r="HI185" t="e">
        <f>AND(Sheet1!J2491,"AAAAAH/7+tg=")</f>
        <v>#VALUE!</v>
      </c>
      <c r="HJ185" t="e">
        <f>AND(Sheet1!K2491,"AAAAAH/7+tk=")</f>
        <v>#VALUE!</v>
      </c>
      <c r="HK185" t="e">
        <f>AND(Sheet1!L2491,"AAAAAH/7+to=")</f>
        <v>#VALUE!</v>
      </c>
      <c r="HL185" t="e">
        <f>AND(Sheet1!M2491,"AAAAAH/7+ts=")</f>
        <v>#VALUE!</v>
      </c>
      <c r="HM185" t="e">
        <f>AND(Sheet1!N2491,"AAAAAH/7+tw=")</f>
        <v>#VALUE!</v>
      </c>
      <c r="HN185" t="e">
        <f>AND(Sheet1!#REF!,"AAAAAH/7+t0=")</f>
        <v>#REF!</v>
      </c>
      <c r="HO185" t="e">
        <f>AND(Sheet1!#REF!,"AAAAAH/7+t4=")</f>
        <v>#REF!</v>
      </c>
      <c r="HP185" t="e">
        <f>AND(Sheet1!#REF!,"AAAAAH/7+t8=")</f>
        <v>#REF!</v>
      </c>
      <c r="HQ185" t="e">
        <f>AND(Sheet1!#REF!,"AAAAAH/7+uA=")</f>
        <v>#REF!</v>
      </c>
      <c r="HR185">
        <f>IF(Sheet1!2492:2492,"AAAAAH/7+uE=",0)</f>
        <v>0</v>
      </c>
      <c r="HS185" t="e">
        <f>AND(Sheet1!A2492,"AAAAAH/7+uI=")</f>
        <v>#VALUE!</v>
      </c>
      <c r="HT185" t="e">
        <f>AND(Sheet1!B2492,"AAAAAH/7+uM=")</f>
        <v>#VALUE!</v>
      </c>
      <c r="HU185" t="e">
        <f>AND(Sheet1!C2492,"AAAAAH/7+uQ=")</f>
        <v>#VALUE!</v>
      </c>
      <c r="HV185" t="e">
        <f>AND(Sheet1!D2492,"AAAAAH/7+uU=")</f>
        <v>#VALUE!</v>
      </c>
      <c r="HW185" t="e">
        <f>AND(Sheet1!E2492,"AAAAAH/7+uY=")</f>
        <v>#VALUE!</v>
      </c>
      <c r="HX185" t="e">
        <f>AND(Sheet1!F2492,"AAAAAH/7+uc=")</f>
        <v>#VALUE!</v>
      </c>
      <c r="HY185" t="e">
        <f>AND(Sheet1!G2492,"AAAAAH/7+ug=")</f>
        <v>#VALUE!</v>
      </c>
      <c r="HZ185" t="e">
        <f>AND(Sheet1!H2492,"AAAAAH/7+uk=")</f>
        <v>#VALUE!</v>
      </c>
      <c r="IA185" t="e">
        <f>AND(Sheet1!I2492,"AAAAAH/7+uo=")</f>
        <v>#VALUE!</v>
      </c>
      <c r="IB185" t="e">
        <f>AND(Sheet1!J2492,"AAAAAH/7+us=")</f>
        <v>#VALUE!</v>
      </c>
      <c r="IC185" t="e">
        <f>AND(Sheet1!K2492,"AAAAAH/7+uw=")</f>
        <v>#VALUE!</v>
      </c>
      <c r="ID185" t="e">
        <f>AND(Sheet1!L2492,"AAAAAH/7+u0=")</f>
        <v>#VALUE!</v>
      </c>
      <c r="IE185" t="e">
        <f>AND(Sheet1!M2492,"AAAAAH/7+u4=")</f>
        <v>#VALUE!</v>
      </c>
      <c r="IF185" t="e">
        <f>AND(Sheet1!N2492,"AAAAAH/7+u8=")</f>
        <v>#VALUE!</v>
      </c>
      <c r="IG185" t="e">
        <f>AND(Sheet1!#REF!,"AAAAAH/7+vA=")</f>
        <v>#REF!</v>
      </c>
      <c r="IH185" t="e">
        <f>AND(Sheet1!#REF!,"AAAAAH/7+vE=")</f>
        <v>#REF!</v>
      </c>
      <c r="II185" t="e">
        <f>AND(Sheet1!#REF!,"AAAAAH/7+vI=")</f>
        <v>#REF!</v>
      </c>
      <c r="IJ185" t="e">
        <f>AND(Sheet1!#REF!,"AAAAAH/7+vM=")</f>
        <v>#REF!</v>
      </c>
      <c r="IK185">
        <f>IF(Sheet1!2493:2493,"AAAAAH/7+vQ=",0)</f>
        <v>0</v>
      </c>
      <c r="IL185" t="e">
        <f>AND(Sheet1!A2493,"AAAAAH/7+vU=")</f>
        <v>#VALUE!</v>
      </c>
      <c r="IM185" t="e">
        <f>AND(Sheet1!B2493,"AAAAAH/7+vY=")</f>
        <v>#VALUE!</v>
      </c>
      <c r="IN185" t="e">
        <f>AND(Sheet1!C2493,"AAAAAH/7+vc=")</f>
        <v>#VALUE!</v>
      </c>
      <c r="IO185" t="e">
        <f>AND(Sheet1!D2493,"AAAAAH/7+vg=")</f>
        <v>#VALUE!</v>
      </c>
      <c r="IP185" t="e">
        <f>AND(Sheet1!E2493,"AAAAAH/7+vk=")</f>
        <v>#VALUE!</v>
      </c>
      <c r="IQ185" t="e">
        <f>AND(Sheet1!F2493,"AAAAAH/7+vo=")</f>
        <v>#VALUE!</v>
      </c>
      <c r="IR185" t="e">
        <f>AND(Sheet1!G2493,"AAAAAH/7+vs=")</f>
        <v>#VALUE!</v>
      </c>
      <c r="IS185" t="e">
        <f>AND(Sheet1!H2493,"AAAAAH/7+vw=")</f>
        <v>#VALUE!</v>
      </c>
      <c r="IT185" t="e">
        <f>AND(Sheet1!I2493,"AAAAAH/7+v0=")</f>
        <v>#VALUE!</v>
      </c>
      <c r="IU185" t="e">
        <f>AND(Sheet1!J2493,"AAAAAH/7+v4=")</f>
        <v>#VALUE!</v>
      </c>
      <c r="IV185" t="e">
        <f>AND(Sheet1!K2493,"AAAAAH/7+v8=")</f>
        <v>#VALUE!</v>
      </c>
    </row>
    <row r="186" spans="1:256" x14ac:dyDescent="0.2">
      <c r="A186" t="e">
        <f>AND(Sheet1!L2493,"AAAAAG3/3gA=")</f>
        <v>#VALUE!</v>
      </c>
      <c r="B186" t="e">
        <f>AND(Sheet1!M2493,"AAAAAG3/3gE=")</f>
        <v>#VALUE!</v>
      </c>
      <c r="C186" t="e">
        <f>AND(Sheet1!N2493,"AAAAAG3/3gI=")</f>
        <v>#VALUE!</v>
      </c>
      <c r="D186" t="e">
        <f>AND(Sheet1!#REF!,"AAAAAG3/3gM=")</f>
        <v>#REF!</v>
      </c>
      <c r="E186" t="e">
        <f>AND(Sheet1!#REF!,"AAAAAG3/3gQ=")</f>
        <v>#REF!</v>
      </c>
      <c r="F186" t="e">
        <f>AND(Sheet1!#REF!,"AAAAAG3/3gU=")</f>
        <v>#REF!</v>
      </c>
      <c r="G186" t="e">
        <f>AND(Sheet1!#REF!,"AAAAAG3/3gY=")</f>
        <v>#REF!</v>
      </c>
      <c r="H186">
        <f>IF(Sheet1!2494:2494,"AAAAAG3/3gc=",0)</f>
        <v>0</v>
      </c>
      <c r="I186" t="e">
        <f>AND(Sheet1!A2494,"AAAAAG3/3gg=")</f>
        <v>#VALUE!</v>
      </c>
      <c r="J186" t="e">
        <f>AND(Sheet1!B2494,"AAAAAG3/3gk=")</f>
        <v>#VALUE!</v>
      </c>
      <c r="K186" t="e">
        <f>AND(Sheet1!C2494,"AAAAAG3/3go=")</f>
        <v>#VALUE!</v>
      </c>
      <c r="L186" t="e">
        <f>AND(Sheet1!D2494,"AAAAAG3/3gs=")</f>
        <v>#VALUE!</v>
      </c>
      <c r="M186" t="e">
        <f>AND(Sheet1!E2494,"AAAAAG3/3gw=")</f>
        <v>#VALUE!</v>
      </c>
      <c r="N186" t="e">
        <f>AND(Sheet1!F2494,"AAAAAG3/3g0=")</f>
        <v>#VALUE!</v>
      </c>
      <c r="O186" t="e">
        <f>AND(Sheet1!G2494,"AAAAAG3/3g4=")</f>
        <v>#VALUE!</v>
      </c>
      <c r="P186" t="e">
        <f>AND(Sheet1!H2494,"AAAAAG3/3g8=")</f>
        <v>#VALUE!</v>
      </c>
      <c r="Q186" t="e">
        <f>AND(Sheet1!I2494,"AAAAAG3/3hA=")</f>
        <v>#VALUE!</v>
      </c>
      <c r="R186" t="e">
        <f>AND(Sheet1!J2494,"AAAAAG3/3hE=")</f>
        <v>#VALUE!</v>
      </c>
      <c r="S186" t="e">
        <f>AND(Sheet1!K2494,"AAAAAG3/3hI=")</f>
        <v>#VALUE!</v>
      </c>
      <c r="T186" t="e">
        <f>AND(Sheet1!L2494,"AAAAAG3/3hM=")</f>
        <v>#VALUE!</v>
      </c>
      <c r="U186" t="e">
        <f>AND(Sheet1!M2494,"AAAAAG3/3hQ=")</f>
        <v>#VALUE!</v>
      </c>
      <c r="V186" t="e">
        <f>AND(Sheet1!N2494,"AAAAAG3/3hU=")</f>
        <v>#VALUE!</v>
      </c>
      <c r="W186" t="e">
        <f>AND(Sheet1!#REF!,"AAAAAG3/3hY=")</f>
        <v>#REF!</v>
      </c>
      <c r="X186" t="e">
        <f>AND(Sheet1!#REF!,"AAAAAG3/3hc=")</f>
        <v>#REF!</v>
      </c>
      <c r="Y186" t="e">
        <f>AND(Sheet1!#REF!,"AAAAAG3/3hg=")</f>
        <v>#REF!</v>
      </c>
      <c r="Z186" t="e">
        <f>AND(Sheet1!#REF!,"AAAAAG3/3hk=")</f>
        <v>#REF!</v>
      </c>
      <c r="AA186">
        <f>IF(Sheet1!2495:2495,"AAAAAG3/3ho=",0)</f>
        <v>0</v>
      </c>
      <c r="AB186" t="e">
        <f>AND(Sheet1!A2495,"AAAAAG3/3hs=")</f>
        <v>#VALUE!</v>
      </c>
      <c r="AC186" t="e">
        <f>AND(Sheet1!B2495,"AAAAAG3/3hw=")</f>
        <v>#VALUE!</v>
      </c>
      <c r="AD186" t="e">
        <f>AND(Sheet1!C2495,"AAAAAG3/3h0=")</f>
        <v>#VALUE!</v>
      </c>
      <c r="AE186" t="e">
        <f>AND(Sheet1!D2495,"AAAAAG3/3h4=")</f>
        <v>#VALUE!</v>
      </c>
      <c r="AF186" t="e">
        <f>AND(Sheet1!E2495,"AAAAAG3/3h8=")</f>
        <v>#VALUE!</v>
      </c>
      <c r="AG186" t="e">
        <f>AND(Sheet1!F2495,"AAAAAG3/3iA=")</f>
        <v>#VALUE!</v>
      </c>
      <c r="AH186" t="e">
        <f>AND(Sheet1!G2495,"AAAAAG3/3iE=")</f>
        <v>#VALUE!</v>
      </c>
      <c r="AI186" t="e">
        <f>AND(Sheet1!H2495,"AAAAAG3/3iI=")</f>
        <v>#VALUE!</v>
      </c>
      <c r="AJ186" t="e">
        <f>AND(Sheet1!I2495,"AAAAAG3/3iM=")</f>
        <v>#VALUE!</v>
      </c>
      <c r="AK186" t="e">
        <f>AND(Sheet1!J2495,"AAAAAG3/3iQ=")</f>
        <v>#VALUE!</v>
      </c>
      <c r="AL186" t="e">
        <f>AND(Sheet1!K2495,"AAAAAG3/3iU=")</f>
        <v>#VALUE!</v>
      </c>
      <c r="AM186" t="e">
        <f>AND(Sheet1!L2495,"AAAAAG3/3iY=")</f>
        <v>#VALUE!</v>
      </c>
      <c r="AN186" t="e">
        <f>AND(Sheet1!M2495,"AAAAAG3/3ic=")</f>
        <v>#VALUE!</v>
      </c>
      <c r="AO186" t="e">
        <f>AND(Sheet1!N2495,"AAAAAG3/3ig=")</f>
        <v>#VALUE!</v>
      </c>
      <c r="AP186" t="e">
        <f>AND(Sheet1!#REF!,"AAAAAG3/3ik=")</f>
        <v>#REF!</v>
      </c>
      <c r="AQ186" t="e">
        <f>AND(Sheet1!#REF!,"AAAAAG3/3io=")</f>
        <v>#REF!</v>
      </c>
      <c r="AR186" t="e">
        <f>AND(Sheet1!#REF!,"AAAAAG3/3is=")</f>
        <v>#REF!</v>
      </c>
      <c r="AS186" t="e">
        <f>AND(Sheet1!#REF!,"AAAAAG3/3iw=")</f>
        <v>#REF!</v>
      </c>
      <c r="AT186">
        <f>IF(Sheet1!2496:2496,"AAAAAG3/3i0=",0)</f>
        <v>0</v>
      </c>
      <c r="AU186" t="e">
        <f>AND(Sheet1!A2496,"AAAAAG3/3i4=")</f>
        <v>#VALUE!</v>
      </c>
      <c r="AV186" t="e">
        <f>AND(Sheet1!B2496,"AAAAAG3/3i8=")</f>
        <v>#VALUE!</v>
      </c>
      <c r="AW186" t="e">
        <f>AND(Sheet1!C2496,"AAAAAG3/3jA=")</f>
        <v>#VALUE!</v>
      </c>
      <c r="AX186" t="e">
        <f>AND(Sheet1!D2496,"AAAAAG3/3jE=")</f>
        <v>#VALUE!</v>
      </c>
      <c r="AY186" t="e">
        <f>AND(Sheet1!E2496,"AAAAAG3/3jI=")</f>
        <v>#VALUE!</v>
      </c>
      <c r="AZ186" t="e">
        <f>AND(Sheet1!F2496,"AAAAAG3/3jM=")</f>
        <v>#VALUE!</v>
      </c>
      <c r="BA186" t="e">
        <f>AND(Sheet1!G2496,"AAAAAG3/3jQ=")</f>
        <v>#VALUE!</v>
      </c>
      <c r="BB186" t="e">
        <f>AND(Sheet1!H2496,"AAAAAG3/3jU=")</f>
        <v>#VALUE!</v>
      </c>
      <c r="BC186" t="e">
        <f>AND(Sheet1!I2496,"AAAAAG3/3jY=")</f>
        <v>#VALUE!</v>
      </c>
      <c r="BD186" t="e">
        <f>AND(Sheet1!J2496,"AAAAAG3/3jc=")</f>
        <v>#VALUE!</v>
      </c>
      <c r="BE186" t="e">
        <f>AND(Sheet1!K2496,"AAAAAG3/3jg=")</f>
        <v>#VALUE!</v>
      </c>
      <c r="BF186" t="e">
        <f>AND(Sheet1!L2496,"AAAAAG3/3jk=")</f>
        <v>#VALUE!</v>
      </c>
      <c r="BG186" t="e">
        <f>AND(Sheet1!M2496,"AAAAAG3/3jo=")</f>
        <v>#VALUE!</v>
      </c>
      <c r="BH186" t="e">
        <f>AND(Sheet1!N2496,"AAAAAG3/3js=")</f>
        <v>#VALUE!</v>
      </c>
      <c r="BI186" t="e">
        <f>AND(Sheet1!#REF!,"AAAAAG3/3jw=")</f>
        <v>#REF!</v>
      </c>
      <c r="BJ186" t="e">
        <f>AND(Sheet1!#REF!,"AAAAAG3/3j0=")</f>
        <v>#REF!</v>
      </c>
      <c r="BK186" t="e">
        <f>AND(Sheet1!#REF!,"AAAAAG3/3j4=")</f>
        <v>#REF!</v>
      </c>
      <c r="BL186" t="e">
        <f>AND(Sheet1!#REF!,"AAAAAG3/3j8=")</f>
        <v>#REF!</v>
      </c>
      <c r="BM186">
        <f>IF(Sheet1!2497:2497,"AAAAAG3/3kA=",0)</f>
        <v>0</v>
      </c>
      <c r="BN186" t="e">
        <f>AND(Sheet1!A2497,"AAAAAG3/3kE=")</f>
        <v>#VALUE!</v>
      </c>
      <c r="BO186" t="e">
        <f>AND(Sheet1!B2497,"AAAAAG3/3kI=")</f>
        <v>#VALUE!</v>
      </c>
      <c r="BP186" t="e">
        <f>AND(Sheet1!C2497,"AAAAAG3/3kM=")</f>
        <v>#VALUE!</v>
      </c>
      <c r="BQ186" t="e">
        <f>AND(Sheet1!D2497,"AAAAAG3/3kQ=")</f>
        <v>#VALUE!</v>
      </c>
      <c r="BR186" t="e">
        <f>AND(Sheet1!E2497,"AAAAAG3/3kU=")</f>
        <v>#VALUE!</v>
      </c>
      <c r="BS186" t="e">
        <f>AND(Sheet1!F2497,"AAAAAG3/3kY=")</f>
        <v>#VALUE!</v>
      </c>
      <c r="BT186" t="e">
        <f>AND(Sheet1!G2497,"AAAAAG3/3kc=")</f>
        <v>#VALUE!</v>
      </c>
      <c r="BU186" t="e">
        <f>AND(Sheet1!H2497,"AAAAAG3/3kg=")</f>
        <v>#VALUE!</v>
      </c>
      <c r="BV186" t="e">
        <f>AND(Sheet1!I2497,"AAAAAG3/3kk=")</f>
        <v>#VALUE!</v>
      </c>
      <c r="BW186" t="e">
        <f>AND(Sheet1!J2497,"AAAAAG3/3ko=")</f>
        <v>#VALUE!</v>
      </c>
      <c r="BX186" t="e">
        <f>AND(Sheet1!K2497,"AAAAAG3/3ks=")</f>
        <v>#VALUE!</v>
      </c>
      <c r="BY186" t="e">
        <f>AND(Sheet1!L2497,"AAAAAG3/3kw=")</f>
        <v>#VALUE!</v>
      </c>
      <c r="BZ186" t="e">
        <f>AND(Sheet1!M2497,"AAAAAG3/3k0=")</f>
        <v>#VALUE!</v>
      </c>
      <c r="CA186" t="e">
        <f>AND(Sheet1!N2497,"AAAAAG3/3k4=")</f>
        <v>#VALUE!</v>
      </c>
      <c r="CB186" t="e">
        <f>AND(Sheet1!#REF!,"AAAAAG3/3k8=")</f>
        <v>#REF!</v>
      </c>
      <c r="CC186" t="e">
        <f>AND(Sheet1!#REF!,"AAAAAG3/3lA=")</f>
        <v>#REF!</v>
      </c>
      <c r="CD186" t="e">
        <f>AND(Sheet1!#REF!,"AAAAAG3/3lE=")</f>
        <v>#REF!</v>
      </c>
      <c r="CE186" t="e">
        <f>AND(Sheet1!#REF!,"AAAAAG3/3lI=")</f>
        <v>#REF!</v>
      </c>
      <c r="CF186">
        <f>IF(Sheet1!2498:2498,"AAAAAG3/3lM=",0)</f>
        <v>0</v>
      </c>
      <c r="CG186" t="e">
        <f>AND(Sheet1!A2498,"AAAAAG3/3lQ=")</f>
        <v>#VALUE!</v>
      </c>
      <c r="CH186" t="e">
        <f>AND(Sheet1!B2498,"AAAAAG3/3lU=")</f>
        <v>#VALUE!</v>
      </c>
      <c r="CI186" t="e">
        <f>AND(Sheet1!C2498,"AAAAAG3/3lY=")</f>
        <v>#VALUE!</v>
      </c>
      <c r="CJ186" t="e">
        <f>AND(Sheet1!D2498,"AAAAAG3/3lc=")</f>
        <v>#VALUE!</v>
      </c>
      <c r="CK186" t="e">
        <f>AND(Sheet1!E2498,"AAAAAG3/3lg=")</f>
        <v>#VALUE!</v>
      </c>
      <c r="CL186" t="e">
        <f>AND(Sheet1!F2498,"AAAAAG3/3lk=")</f>
        <v>#VALUE!</v>
      </c>
      <c r="CM186" t="e">
        <f>AND(Sheet1!G2498,"AAAAAG3/3lo=")</f>
        <v>#VALUE!</v>
      </c>
      <c r="CN186" t="e">
        <f>AND(Sheet1!H2498,"AAAAAG3/3ls=")</f>
        <v>#VALUE!</v>
      </c>
      <c r="CO186" t="e">
        <f>AND(Sheet1!I2498,"AAAAAG3/3lw=")</f>
        <v>#VALUE!</v>
      </c>
      <c r="CP186" t="e">
        <f>AND(Sheet1!J2498,"AAAAAG3/3l0=")</f>
        <v>#VALUE!</v>
      </c>
      <c r="CQ186" t="e">
        <f>AND(Sheet1!K2498,"AAAAAG3/3l4=")</f>
        <v>#VALUE!</v>
      </c>
      <c r="CR186" t="e">
        <f>AND(Sheet1!L2498,"AAAAAG3/3l8=")</f>
        <v>#VALUE!</v>
      </c>
      <c r="CS186" t="e">
        <f>AND(Sheet1!M2498,"AAAAAG3/3mA=")</f>
        <v>#VALUE!</v>
      </c>
      <c r="CT186" t="e">
        <f>AND(Sheet1!N2498,"AAAAAG3/3mE=")</f>
        <v>#VALUE!</v>
      </c>
      <c r="CU186" t="e">
        <f>AND(Sheet1!#REF!,"AAAAAG3/3mI=")</f>
        <v>#REF!</v>
      </c>
      <c r="CV186" t="e">
        <f>AND(Sheet1!#REF!,"AAAAAG3/3mM=")</f>
        <v>#REF!</v>
      </c>
      <c r="CW186" t="e">
        <f>AND(Sheet1!#REF!,"AAAAAG3/3mQ=")</f>
        <v>#REF!</v>
      </c>
      <c r="CX186" t="e">
        <f>AND(Sheet1!#REF!,"AAAAAG3/3mU=")</f>
        <v>#REF!</v>
      </c>
      <c r="CY186">
        <f>IF(Sheet1!2499:2499,"AAAAAG3/3mY=",0)</f>
        <v>0</v>
      </c>
      <c r="CZ186" t="e">
        <f>AND(Sheet1!A2499,"AAAAAG3/3mc=")</f>
        <v>#VALUE!</v>
      </c>
      <c r="DA186" t="e">
        <f>AND(Sheet1!B2499,"AAAAAG3/3mg=")</f>
        <v>#VALUE!</v>
      </c>
      <c r="DB186" t="e">
        <f>AND(Sheet1!C2499,"AAAAAG3/3mk=")</f>
        <v>#VALUE!</v>
      </c>
      <c r="DC186" t="e">
        <f>AND(Sheet1!D2499,"AAAAAG3/3mo=")</f>
        <v>#VALUE!</v>
      </c>
      <c r="DD186" t="e">
        <f>AND(Sheet1!E2499,"AAAAAG3/3ms=")</f>
        <v>#VALUE!</v>
      </c>
      <c r="DE186" t="e">
        <f>AND(Sheet1!F2499,"AAAAAG3/3mw=")</f>
        <v>#VALUE!</v>
      </c>
      <c r="DF186" t="e">
        <f>AND(Sheet1!G2499,"AAAAAG3/3m0=")</f>
        <v>#VALUE!</v>
      </c>
      <c r="DG186" t="e">
        <f>AND(Sheet1!H2499,"AAAAAG3/3m4=")</f>
        <v>#VALUE!</v>
      </c>
      <c r="DH186" t="e">
        <f>AND(Sheet1!I2499,"AAAAAG3/3m8=")</f>
        <v>#VALUE!</v>
      </c>
      <c r="DI186" t="e">
        <f>AND(Sheet1!J2499,"AAAAAG3/3nA=")</f>
        <v>#VALUE!</v>
      </c>
      <c r="DJ186" t="e">
        <f>AND(Sheet1!K2499,"AAAAAG3/3nE=")</f>
        <v>#VALUE!</v>
      </c>
      <c r="DK186" t="e">
        <f>AND(Sheet1!L2499,"AAAAAG3/3nI=")</f>
        <v>#VALUE!</v>
      </c>
      <c r="DL186" t="e">
        <f>AND(Sheet1!M2499,"AAAAAG3/3nM=")</f>
        <v>#VALUE!</v>
      </c>
      <c r="DM186" t="e">
        <f>AND(Sheet1!N2499,"AAAAAG3/3nQ=")</f>
        <v>#VALUE!</v>
      </c>
      <c r="DN186" t="e">
        <f>AND(Sheet1!#REF!,"AAAAAG3/3nU=")</f>
        <v>#REF!</v>
      </c>
      <c r="DO186" t="e">
        <f>AND(Sheet1!#REF!,"AAAAAG3/3nY=")</f>
        <v>#REF!</v>
      </c>
      <c r="DP186" t="e">
        <f>AND(Sheet1!#REF!,"AAAAAG3/3nc=")</f>
        <v>#REF!</v>
      </c>
      <c r="DQ186" t="e">
        <f>AND(Sheet1!#REF!,"AAAAAG3/3ng=")</f>
        <v>#REF!</v>
      </c>
      <c r="DR186">
        <f>IF(Sheet1!2500:2500,"AAAAAG3/3nk=",0)</f>
        <v>0</v>
      </c>
      <c r="DS186" t="e">
        <f>AND(Sheet1!A2500,"AAAAAG3/3no=")</f>
        <v>#VALUE!</v>
      </c>
      <c r="DT186" t="e">
        <f>AND(Sheet1!B2500,"AAAAAG3/3ns=")</f>
        <v>#VALUE!</v>
      </c>
      <c r="DU186" t="e">
        <f>AND(Sheet1!C2500,"AAAAAG3/3nw=")</f>
        <v>#VALUE!</v>
      </c>
      <c r="DV186" t="e">
        <f>AND(Sheet1!D2500,"AAAAAG3/3n0=")</f>
        <v>#VALUE!</v>
      </c>
      <c r="DW186" t="e">
        <f>AND(Sheet1!E2500,"AAAAAG3/3n4=")</f>
        <v>#VALUE!</v>
      </c>
      <c r="DX186" t="e">
        <f>AND(Sheet1!F2500,"AAAAAG3/3n8=")</f>
        <v>#VALUE!</v>
      </c>
      <c r="DY186" t="e">
        <f>AND(Sheet1!G2500,"AAAAAG3/3oA=")</f>
        <v>#VALUE!</v>
      </c>
      <c r="DZ186" t="e">
        <f>AND(Sheet1!H2500,"AAAAAG3/3oE=")</f>
        <v>#VALUE!</v>
      </c>
      <c r="EA186" t="e">
        <f>AND(Sheet1!I2500,"AAAAAG3/3oI=")</f>
        <v>#VALUE!</v>
      </c>
      <c r="EB186" t="e">
        <f>AND(Sheet1!J2500,"AAAAAG3/3oM=")</f>
        <v>#VALUE!</v>
      </c>
      <c r="EC186" t="e">
        <f>AND(Sheet1!K2500,"AAAAAG3/3oQ=")</f>
        <v>#VALUE!</v>
      </c>
      <c r="ED186" t="e">
        <f>AND(Sheet1!L2500,"AAAAAG3/3oU=")</f>
        <v>#VALUE!</v>
      </c>
      <c r="EE186" t="e">
        <f>AND(Sheet1!M2500,"AAAAAG3/3oY=")</f>
        <v>#VALUE!</v>
      </c>
      <c r="EF186" t="e">
        <f>AND(Sheet1!N2500,"AAAAAG3/3oc=")</f>
        <v>#VALUE!</v>
      </c>
      <c r="EG186" t="e">
        <f>AND(Sheet1!#REF!,"AAAAAG3/3og=")</f>
        <v>#REF!</v>
      </c>
      <c r="EH186" t="e">
        <f>AND(Sheet1!#REF!,"AAAAAG3/3ok=")</f>
        <v>#REF!</v>
      </c>
      <c r="EI186" t="e">
        <f>AND(Sheet1!#REF!,"AAAAAG3/3oo=")</f>
        <v>#REF!</v>
      </c>
      <c r="EJ186" t="e">
        <f>AND(Sheet1!#REF!,"AAAAAG3/3os=")</f>
        <v>#REF!</v>
      </c>
      <c r="EK186">
        <f>IF(Sheet1!2501:2501,"AAAAAG3/3ow=",0)</f>
        <v>0</v>
      </c>
      <c r="EL186" t="e">
        <f>AND(Sheet1!A2501,"AAAAAG3/3o0=")</f>
        <v>#VALUE!</v>
      </c>
      <c r="EM186" t="e">
        <f>AND(Sheet1!B2501,"AAAAAG3/3o4=")</f>
        <v>#VALUE!</v>
      </c>
      <c r="EN186" t="e">
        <f>AND(Sheet1!C2501,"AAAAAG3/3o8=")</f>
        <v>#VALUE!</v>
      </c>
      <c r="EO186" t="e">
        <f>AND(Sheet1!D2501,"AAAAAG3/3pA=")</f>
        <v>#VALUE!</v>
      </c>
      <c r="EP186" t="e">
        <f>AND(Sheet1!E2501,"AAAAAG3/3pE=")</f>
        <v>#VALUE!</v>
      </c>
      <c r="EQ186" t="e">
        <f>AND(Sheet1!F2501,"AAAAAG3/3pI=")</f>
        <v>#VALUE!</v>
      </c>
      <c r="ER186" t="e">
        <f>AND(Sheet1!G2501,"AAAAAG3/3pM=")</f>
        <v>#VALUE!</v>
      </c>
      <c r="ES186" t="e">
        <f>AND(Sheet1!H2501,"AAAAAG3/3pQ=")</f>
        <v>#VALUE!</v>
      </c>
      <c r="ET186" t="e">
        <f>AND(Sheet1!I2501,"AAAAAG3/3pU=")</f>
        <v>#VALUE!</v>
      </c>
      <c r="EU186" t="e">
        <f>AND(Sheet1!J2501,"AAAAAG3/3pY=")</f>
        <v>#VALUE!</v>
      </c>
      <c r="EV186" t="e">
        <f>AND(Sheet1!K2501,"AAAAAG3/3pc=")</f>
        <v>#VALUE!</v>
      </c>
      <c r="EW186" t="e">
        <f>AND(Sheet1!L2501,"AAAAAG3/3pg=")</f>
        <v>#VALUE!</v>
      </c>
      <c r="EX186" t="e">
        <f>AND(Sheet1!M2501,"AAAAAG3/3pk=")</f>
        <v>#VALUE!</v>
      </c>
      <c r="EY186" t="e">
        <f>AND(Sheet1!N2501,"AAAAAG3/3po=")</f>
        <v>#VALUE!</v>
      </c>
      <c r="EZ186" t="e">
        <f>AND(Sheet1!#REF!,"AAAAAG3/3ps=")</f>
        <v>#REF!</v>
      </c>
      <c r="FA186" t="e">
        <f>AND(Sheet1!#REF!,"AAAAAG3/3pw=")</f>
        <v>#REF!</v>
      </c>
      <c r="FB186" t="e">
        <f>AND(Sheet1!#REF!,"AAAAAG3/3p0=")</f>
        <v>#REF!</v>
      </c>
      <c r="FC186" t="e">
        <f>AND(Sheet1!#REF!,"AAAAAG3/3p4=")</f>
        <v>#REF!</v>
      </c>
      <c r="FD186">
        <f>IF(Sheet1!2502:2502,"AAAAAG3/3p8=",0)</f>
        <v>0</v>
      </c>
      <c r="FE186" t="e">
        <f>AND(Sheet1!A2502,"AAAAAG3/3qA=")</f>
        <v>#VALUE!</v>
      </c>
      <c r="FF186" t="e">
        <f>AND(Sheet1!B2502,"AAAAAG3/3qE=")</f>
        <v>#VALUE!</v>
      </c>
      <c r="FG186" t="e">
        <f>AND(Sheet1!C2502,"AAAAAG3/3qI=")</f>
        <v>#VALUE!</v>
      </c>
      <c r="FH186" t="e">
        <f>AND(Sheet1!D2502,"AAAAAG3/3qM=")</f>
        <v>#VALUE!</v>
      </c>
      <c r="FI186" t="e">
        <f>AND(Sheet1!E2502,"AAAAAG3/3qQ=")</f>
        <v>#VALUE!</v>
      </c>
      <c r="FJ186" t="e">
        <f>AND(Sheet1!F2502,"AAAAAG3/3qU=")</f>
        <v>#VALUE!</v>
      </c>
      <c r="FK186" t="e">
        <f>AND(Sheet1!G2502,"AAAAAG3/3qY=")</f>
        <v>#VALUE!</v>
      </c>
      <c r="FL186" t="e">
        <f>AND(Sheet1!H2502,"AAAAAG3/3qc=")</f>
        <v>#VALUE!</v>
      </c>
      <c r="FM186" t="e">
        <f>AND(Sheet1!I2502,"AAAAAG3/3qg=")</f>
        <v>#VALUE!</v>
      </c>
      <c r="FN186" t="e">
        <f>AND(Sheet1!J2502,"AAAAAG3/3qk=")</f>
        <v>#VALUE!</v>
      </c>
      <c r="FO186" t="e">
        <f>AND(Sheet1!K2502,"AAAAAG3/3qo=")</f>
        <v>#VALUE!</v>
      </c>
      <c r="FP186" t="e">
        <f>AND(Sheet1!L2502,"AAAAAG3/3qs=")</f>
        <v>#VALUE!</v>
      </c>
      <c r="FQ186" t="e">
        <f>AND(Sheet1!M2502,"AAAAAG3/3qw=")</f>
        <v>#VALUE!</v>
      </c>
      <c r="FR186" t="e">
        <f>AND(Sheet1!N2502,"AAAAAG3/3q0=")</f>
        <v>#VALUE!</v>
      </c>
      <c r="FS186" t="e">
        <f>AND(Sheet1!#REF!,"AAAAAG3/3q4=")</f>
        <v>#REF!</v>
      </c>
      <c r="FT186" t="e">
        <f>AND(Sheet1!#REF!,"AAAAAG3/3q8=")</f>
        <v>#REF!</v>
      </c>
      <c r="FU186" t="e">
        <f>AND(Sheet1!#REF!,"AAAAAG3/3rA=")</f>
        <v>#REF!</v>
      </c>
      <c r="FV186" t="e">
        <f>AND(Sheet1!#REF!,"AAAAAG3/3rE=")</f>
        <v>#REF!</v>
      </c>
      <c r="FW186">
        <f>IF(Sheet1!2503:2503,"AAAAAG3/3rI=",0)</f>
        <v>0</v>
      </c>
      <c r="FX186" t="e">
        <f>AND(Sheet1!A2503,"AAAAAG3/3rM=")</f>
        <v>#VALUE!</v>
      </c>
      <c r="FY186" t="e">
        <f>AND(Sheet1!B2503,"AAAAAG3/3rQ=")</f>
        <v>#VALUE!</v>
      </c>
      <c r="FZ186" t="e">
        <f>AND(Sheet1!C2503,"AAAAAG3/3rU=")</f>
        <v>#VALUE!</v>
      </c>
      <c r="GA186" t="e">
        <f>AND(Sheet1!D2503,"AAAAAG3/3rY=")</f>
        <v>#VALUE!</v>
      </c>
      <c r="GB186" t="e">
        <f>AND(Sheet1!E2503,"AAAAAG3/3rc=")</f>
        <v>#VALUE!</v>
      </c>
      <c r="GC186" t="e">
        <f>AND(Sheet1!F2503,"AAAAAG3/3rg=")</f>
        <v>#VALUE!</v>
      </c>
      <c r="GD186" t="e">
        <f>AND(Sheet1!G2503,"AAAAAG3/3rk=")</f>
        <v>#VALUE!</v>
      </c>
      <c r="GE186" t="e">
        <f>AND(Sheet1!H2503,"AAAAAG3/3ro=")</f>
        <v>#VALUE!</v>
      </c>
      <c r="GF186" t="e">
        <f>AND(Sheet1!I2503,"AAAAAG3/3rs=")</f>
        <v>#VALUE!</v>
      </c>
      <c r="GG186" t="e">
        <f>AND(Sheet1!J2503,"AAAAAG3/3rw=")</f>
        <v>#VALUE!</v>
      </c>
      <c r="GH186" t="e">
        <f>AND(Sheet1!K2503,"AAAAAG3/3r0=")</f>
        <v>#VALUE!</v>
      </c>
      <c r="GI186" t="e">
        <f>AND(Sheet1!L2503,"AAAAAG3/3r4=")</f>
        <v>#VALUE!</v>
      </c>
      <c r="GJ186" t="e">
        <f>AND(Sheet1!M2503,"AAAAAG3/3r8=")</f>
        <v>#VALUE!</v>
      </c>
      <c r="GK186" t="e">
        <f>AND(Sheet1!N2503,"AAAAAG3/3sA=")</f>
        <v>#VALUE!</v>
      </c>
      <c r="GL186" t="e">
        <f>AND(Sheet1!#REF!,"AAAAAG3/3sE=")</f>
        <v>#REF!</v>
      </c>
      <c r="GM186" t="e">
        <f>AND(Sheet1!#REF!,"AAAAAG3/3sI=")</f>
        <v>#REF!</v>
      </c>
      <c r="GN186" t="e">
        <f>AND(Sheet1!#REF!,"AAAAAG3/3sM=")</f>
        <v>#REF!</v>
      </c>
      <c r="GO186" t="e">
        <f>AND(Sheet1!#REF!,"AAAAAG3/3sQ=")</f>
        <v>#REF!</v>
      </c>
      <c r="GP186">
        <f>IF(Sheet1!2504:2504,"AAAAAG3/3sU=",0)</f>
        <v>0</v>
      </c>
      <c r="GQ186" t="e">
        <f>AND(Sheet1!A2504,"AAAAAG3/3sY=")</f>
        <v>#VALUE!</v>
      </c>
      <c r="GR186" t="e">
        <f>AND(Sheet1!B2504,"AAAAAG3/3sc=")</f>
        <v>#VALUE!</v>
      </c>
      <c r="GS186" t="e">
        <f>AND(Sheet1!C2504,"AAAAAG3/3sg=")</f>
        <v>#VALUE!</v>
      </c>
      <c r="GT186" t="e">
        <f>AND(Sheet1!D2504,"AAAAAG3/3sk=")</f>
        <v>#VALUE!</v>
      </c>
      <c r="GU186" t="e">
        <f>AND(Sheet1!E2504,"AAAAAG3/3so=")</f>
        <v>#VALUE!</v>
      </c>
      <c r="GV186" t="e">
        <f>AND(Sheet1!F2504,"AAAAAG3/3ss=")</f>
        <v>#VALUE!</v>
      </c>
      <c r="GW186" t="e">
        <f>AND(Sheet1!G2504,"AAAAAG3/3sw=")</f>
        <v>#VALUE!</v>
      </c>
      <c r="GX186" t="e">
        <f>AND(Sheet1!H2504,"AAAAAG3/3s0=")</f>
        <v>#VALUE!</v>
      </c>
      <c r="GY186" t="e">
        <f>AND(Sheet1!I2504,"AAAAAG3/3s4=")</f>
        <v>#VALUE!</v>
      </c>
      <c r="GZ186" t="e">
        <f>AND(Sheet1!J2504,"AAAAAG3/3s8=")</f>
        <v>#VALUE!</v>
      </c>
      <c r="HA186" t="e">
        <f>AND(Sheet1!K2504,"AAAAAG3/3tA=")</f>
        <v>#VALUE!</v>
      </c>
      <c r="HB186" t="e">
        <f>AND(Sheet1!L2504,"AAAAAG3/3tE=")</f>
        <v>#VALUE!</v>
      </c>
      <c r="HC186" t="e">
        <f>AND(Sheet1!M2504,"AAAAAG3/3tI=")</f>
        <v>#VALUE!</v>
      </c>
      <c r="HD186" t="e">
        <f>AND(Sheet1!N2504,"AAAAAG3/3tM=")</f>
        <v>#VALUE!</v>
      </c>
      <c r="HE186" t="e">
        <f>AND(Sheet1!#REF!,"AAAAAG3/3tQ=")</f>
        <v>#REF!</v>
      </c>
      <c r="HF186" t="e">
        <f>AND(Sheet1!#REF!,"AAAAAG3/3tU=")</f>
        <v>#REF!</v>
      </c>
      <c r="HG186" t="e">
        <f>AND(Sheet1!#REF!,"AAAAAG3/3tY=")</f>
        <v>#REF!</v>
      </c>
      <c r="HH186" t="e">
        <f>AND(Sheet1!#REF!,"AAAAAG3/3tc=")</f>
        <v>#REF!</v>
      </c>
      <c r="HI186">
        <f>IF(Sheet1!2505:2505,"AAAAAG3/3tg=",0)</f>
        <v>0</v>
      </c>
      <c r="HJ186" t="e">
        <f>AND(Sheet1!A2505,"AAAAAG3/3tk=")</f>
        <v>#VALUE!</v>
      </c>
      <c r="HK186" t="e">
        <f>AND(Sheet1!B2505,"AAAAAG3/3to=")</f>
        <v>#VALUE!</v>
      </c>
      <c r="HL186" t="e">
        <f>AND(Sheet1!C2505,"AAAAAG3/3ts=")</f>
        <v>#VALUE!</v>
      </c>
      <c r="HM186" t="e">
        <f>AND(Sheet1!D2505,"AAAAAG3/3tw=")</f>
        <v>#VALUE!</v>
      </c>
      <c r="HN186" t="e">
        <f>AND(Sheet1!E2505,"AAAAAG3/3t0=")</f>
        <v>#VALUE!</v>
      </c>
      <c r="HO186" t="e">
        <f>AND(Sheet1!F2505,"AAAAAG3/3t4=")</f>
        <v>#VALUE!</v>
      </c>
      <c r="HP186" t="e">
        <f>AND(Sheet1!G2505,"AAAAAG3/3t8=")</f>
        <v>#VALUE!</v>
      </c>
      <c r="HQ186" t="e">
        <f>AND(Sheet1!H2505,"AAAAAG3/3uA=")</f>
        <v>#VALUE!</v>
      </c>
      <c r="HR186" t="e">
        <f>AND(Sheet1!I2505,"AAAAAG3/3uE=")</f>
        <v>#VALUE!</v>
      </c>
      <c r="HS186" t="e">
        <f>AND(Sheet1!J2505,"AAAAAG3/3uI=")</f>
        <v>#VALUE!</v>
      </c>
      <c r="HT186" t="e">
        <f>AND(Sheet1!K2505,"AAAAAG3/3uM=")</f>
        <v>#VALUE!</v>
      </c>
      <c r="HU186" t="e">
        <f>AND(Sheet1!L2505,"AAAAAG3/3uQ=")</f>
        <v>#VALUE!</v>
      </c>
      <c r="HV186" t="e">
        <f>AND(Sheet1!M2505,"AAAAAG3/3uU=")</f>
        <v>#VALUE!</v>
      </c>
      <c r="HW186" t="e">
        <f>AND(Sheet1!N2505,"AAAAAG3/3uY=")</f>
        <v>#VALUE!</v>
      </c>
      <c r="HX186" t="e">
        <f>AND(Sheet1!#REF!,"AAAAAG3/3uc=")</f>
        <v>#REF!</v>
      </c>
      <c r="HY186" t="e">
        <f>AND(Sheet1!#REF!,"AAAAAG3/3ug=")</f>
        <v>#REF!</v>
      </c>
      <c r="HZ186" t="e">
        <f>AND(Sheet1!#REF!,"AAAAAG3/3uk=")</f>
        <v>#REF!</v>
      </c>
      <c r="IA186" t="e">
        <f>AND(Sheet1!#REF!,"AAAAAG3/3uo=")</f>
        <v>#REF!</v>
      </c>
      <c r="IB186">
        <f>IF(Sheet1!2506:2506,"AAAAAG3/3us=",0)</f>
        <v>0</v>
      </c>
      <c r="IC186" t="e">
        <f>AND(Sheet1!A2506,"AAAAAG3/3uw=")</f>
        <v>#VALUE!</v>
      </c>
      <c r="ID186" t="e">
        <f>AND(Sheet1!B2506,"AAAAAG3/3u0=")</f>
        <v>#VALUE!</v>
      </c>
      <c r="IE186" t="e">
        <f>AND(Sheet1!C2506,"AAAAAG3/3u4=")</f>
        <v>#VALUE!</v>
      </c>
      <c r="IF186" t="e">
        <f>AND(Sheet1!D2506,"AAAAAG3/3u8=")</f>
        <v>#VALUE!</v>
      </c>
      <c r="IG186" t="e">
        <f>AND(Sheet1!E2506,"AAAAAG3/3vA=")</f>
        <v>#VALUE!</v>
      </c>
      <c r="IH186" t="e">
        <f>AND(Sheet1!F2506,"AAAAAG3/3vE=")</f>
        <v>#VALUE!</v>
      </c>
      <c r="II186" t="e">
        <f>AND(Sheet1!G2506,"AAAAAG3/3vI=")</f>
        <v>#VALUE!</v>
      </c>
      <c r="IJ186" t="e">
        <f>AND(Sheet1!H2506,"AAAAAG3/3vM=")</f>
        <v>#VALUE!</v>
      </c>
      <c r="IK186" t="e">
        <f>AND(Sheet1!I2506,"AAAAAG3/3vQ=")</f>
        <v>#VALUE!</v>
      </c>
      <c r="IL186" t="e">
        <f>AND(Sheet1!J2506,"AAAAAG3/3vU=")</f>
        <v>#VALUE!</v>
      </c>
      <c r="IM186" t="e">
        <f>AND(Sheet1!K2506,"AAAAAG3/3vY=")</f>
        <v>#VALUE!</v>
      </c>
      <c r="IN186" t="e">
        <f>AND(Sheet1!L2506,"AAAAAG3/3vc=")</f>
        <v>#VALUE!</v>
      </c>
      <c r="IO186" t="e">
        <f>AND(Sheet1!M2506,"AAAAAG3/3vg=")</f>
        <v>#VALUE!</v>
      </c>
      <c r="IP186" t="e">
        <f>AND(Sheet1!N2506,"AAAAAG3/3vk=")</f>
        <v>#VALUE!</v>
      </c>
      <c r="IQ186" t="e">
        <f>AND(Sheet1!#REF!,"AAAAAG3/3vo=")</f>
        <v>#REF!</v>
      </c>
      <c r="IR186" t="e">
        <f>AND(Sheet1!#REF!,"AAAAAG3/3vs=")</f>
        <v>#REF!</v>
      </c>
      <c r="IS186" t="e">
        <f>AND(Sheet1!#REF!,"AAAAAG3/3vw=")</f>
        <v>#REF!</v>
      </c>
      <c r="IT186" t="e">
        <f>AND(Sheet1!#REF!,"AAAAAG3/3v0=")</f>
        <v>#REF!</v>
      </c>
      <c r="IU186">
        <f>IF(Sheet1!2507:2507,"AAAAAG3/3v4=",0)</f>
        <v>0</v>
      </c>
      <c r="IV186" t="e">
        <f>AND(Sheet1!A2507,"AAAAAG3/3v8=")</f>
        <v>#VALUE!</v>
      </c>
    </row>
    <row r="187" spans="1:256" x14ac:dyDescent="0.2">
      <c r="A187" t="e">
        <f>AND(Sheet1!B2507,"AAAAAH+i+wA=")</f>
        <v>#VALUE!</v>
      </c>
      <c r="B187" t="e">
        <f>AND(Sheet1!C2507,"AAAAAH+i+wE=")</f>
        <v>#VALUE!</v>
      </c>
      <c r="C187" t="e">
        <f>AND(Sheet1!D2507,"AAAAAH+i+wI=")</f>
        <v>#VALUE!</v>
      </c>
      <c r="D187" t="e">
        <f>AND(Sheet1!E2507,"AAAAAH+i+wM=")</f>
        <v>#VALUE!</v>
      </c>
      <c r="E187" t="e">
        <f>AND(Sheet1!F2507,"AAAAAH+i+wQ=")</f>
        <v>#VALUE!</v>
      </c>
      <c r="F187" t="e">
        <f>AND(Sheet1!G2507,"AAAAAH+i+wU=")</f>
        <v>#VALUE!</v>
      </c>
      <c r="G187" t="e">
        <f>AND(Sheet1!H2507,"AAAAAH+i+wY=")</f>
        <v>#VALUE!</v>
      </c>
      <c r="H187" t="e">
        <f>AND(Sheet1!I2507,"AAAAAH+i+wc=")</f>
        <v>#VALUE!</v>
      </c>
      <c r="I187" t="e">
        <f>AND(Sheet1!J2507,"AAAAAH+i+wg=")</f>
        <v>#VALUE!</v>
      </c>
      <c r="J187" t="e">
        <f>AND(Sheet1!K2507,"AAAAAH+i+wk=")</f>
        <v>#VALUE!</v>
      </c>
      <c r="K187" t="e">
        <f>AND(Sheet1!L2507,"AAAAAH+i+wo=")</f>
        <v>#VALUE!</v>
      </c>
      <c r="L187" t="e">
        <f>AND(Sheet1!M2507,"AAAAAH+i+ws=")</f>
        <v>#VALUE!</v>
      </c>
      <c r="M187" t="e">
        <f>AND(Sheet1!N2507,"AAAAAH+i+ww=")</f>
        <v>#VALUE!</v>
      </c>
      <c r="N187" t="e">
        <f>AND(Sheet1!#REF!,"AAAAAH+i+w0=")</f>
        <v>#REF!</v>
      </c>
      <c r="O187" t="e">
        <f>AND(Sheet1!#REF!,"AAAAAH+i+w4=")</f>
        <v>#REF!</v>
      </c>
      <c r="P187" t="e">
        <f>AND(Sheet1!#REF!,"AAAAAH+i+w8=")</f>
        <v>#REF!</v>
      </c>
      <c r="Q187" t="e">
        <f>AND(Sheet1!#REF!,"AAAAAH+i+xA=")</f>
        <v>#REF!</v>
      </c>
      <c r="R187">
        <f>IF(Sheet1!2508:2508,"AAAAAH+i+xE=",0)</f>
        <v>0</v>
      </c>
      <c r="S187" t="e">
        <f>AND(Sheet1!A2508,"AAAAAH+i+xI=")</f>
        <v>#VALUE!</v>
      </c>
      <c r="T187" t="e">
        <f>AND(Sheet1!B2508,"AAAAAH+i+xM=")</f>
        <v>#VALUE!</v>
      </c>
      <c r="U187" t="e">
        <f>AND(Sheet1!C2508,"AAAAAH+i+xQ=")</f>
        <v>#VALUE!</v>
      </c>
      <c r="V187" t="e">
        <f>AND(Sheet1!D2508,"AAAAAH+i+xU=")</f>
        <v>#VALUE!</v>
      </c>
      <c r="W187" t="e">
        <f>AND(Sheet1!E2508,"AAAAAH+i+xY=")</f>
        <v>#VALUE!</v>
      </c>
      <c r="X187" t="e">
        <f>AND(Sheet1!F2508,"AAAAAH+i+xc=")</f>
        <v>#VALUE!</v>
      </c>
      <c r="Y187" t="e">
        <f>AND(Sheet1!G2508,"AAAAAH+i+xg=")</f>
        <v>#VALUE!</v>
      </c>
      <c r="Z187" t="e">
        <f>AND(Sheet1!H2508,"AAAAAH+i+xk=")</f>
        <v>#VALUE!</v>
      </c>
      <c r="AA187" t="e">
        <f>AND(Sheet1!I2508,"AAAAAH+i+xo=")</f>
        <v>#VALUE!</v>
      </c>
      <c r="AB187" t="e">
        <f>AND(Sheet1!J2508,"AAAAAH+i+xs=")</f>
        <v>#VALUE!</v>
      </c>
      <c r="AC187" t="e">
        <f>AND(Sheet1!K2508,"AAAAAH+i+xw=")</f>
        <v>#VALUE!</v>
      </c>
      <c r="AD187" t="e">
        <f>AND(Sheet1!L2508,"AAAAAH+i+x0=")</f>
        <v>#VALUE!</v>
      </c>
      <c r="AE187" t="e">
        <f>AND(Sheet1!M2508,"AAAAAH+i+x4=")</f>
        <v>#VALUE!</v>
      </c>
      <c r="AF187" t="e">
        <f>AND(Sheet1!N2508,"AAAAAH+i+x8=")</f>
        <v>#VALUE!</v>
      </c>
      <c r="AG187" t="e">
        <f>AND(Sheet1!#REF!,"AAAAAH+i+yA=")</f>
        <v>#REF!</v>
      </c>
      <c r="AH187" t="e">
        <f>AND(Sheet1!#REF!,"AAAAAH+i+yE=")</f>
        <v>#REF!</v>
      </c>
      <c r="AI187" t="e">
        <f>AND(Sheet1!#REF!,"AAAAAH+i+yI=")</f>
        <v>#REF!</v>
      </c>
      <c r="AJ187" t="e">
        <f>AND(Sheet1!#REF!,"AAAAAH+i+yM=")</f>
        <v>#REF!</v>
      </c>
      <c r="AK187">
        <f>IF(Sheet1!2509:2509,"AAAAAH+i+yQ=",0)</f>
        <v>0</v>
      </c>
      <c r="AL187" t="e">
        <f>AND(Sheet1!A2509,"AAAAAH+i+yU=")</f>
        <v>#VALUE!</v>
      </c>
      <c r="AM187" t="e">
        <f>AND(Sheet1!B2509,"AAAAAH+i+yY=")</f>
        <v>#VALUE!</v>
      </c>
      <c r="AN187" t="e">
        <f>AND(Sheet1!C2509,"AAAAAH+i+yc=")</f>
        <v>#VALUE!</v>
      </c>
      <c r="AO187" t="e">
        <f>AND(Sheet1!D2509,"AAAAAH+i+yg=")</f>
        <v>#VALUE!</v>
      </c>
      <c r="AP187" t="e">
        <f>AND(Sheet1!E2509,"AAAAAH+i+yk=")</f>
        <v>#VALUE!</v>
      </c>
      <c r="AQ187" t="e">
        <f>AND(Sheet1!F2509,"AAAAAH+i+yo=")</f>
        <v>#VALUE!</v>
      </c>
      <c r="AR187" t="e">
        <f>AND(Sheet1!G2509,"AAAAAH+i+ys=")</f>
        <v>#VALUE!</v>
      </c>
      <c r="AS187" t="e">
        <f>AND(Sheet1!H2509,"AAAAAH+i+yw=")</f>
        <v>#VALUE!</v>
      </c>
      <c r="AT187" t="e">
        <f>AND(Sheet1!I2509,"AAAAAH+i+y0=")</f>
        <v>#VALUE!</v>
      </c>
      <c r="AU187" t="e">
        <f>AND(Sheet1!J2509,"AAAAAH+i+y4=")</f>
        <v>#VALUE!</v>
      </c>
      <c r="AV187" t="e">
        <f>AND(Sheet1!K2509,"AAAAAH+i+y8=")</f>
        <v>#VALUE!</v>
      </c>
      <c r="AW187" t="e">
        <f>AND(Sheet1!L2509,"AAAAAH+i+zA=")</f>
        <v>#VALUE!</v>
      </c>
      <c r="AX187" t="e">
        <f>AND(Sheet1!M2509,"AAAAAH+i+zE=")</f>
        <v>#VALUE!</v>
      </c>
      <c r="AY187" t="e">
        <f>AND(Sheet1!N2509,"AAAAAH+i+zI=")</f>
        <v>#VALUE!</v>
      </c>
      <c r="AZ187" t="e">
        <f>AND(Sheet1!#REF!,"AAAAAH+i+zM=")</f>
        <v>#REF!</v>
      </c>
      <c r="BA187" t="e">
        <f>AND(Sheet1!#REF!,"AAAAAH+i+zQ=")</f>
        <v>#REF!</v>
      </c>
      <c r="BB187" t="e">
        <f>AND(Sheet1!#REF!,"AAAAAH+i+zU=")</f>
        <v>#REF!</v>
      </c>
      <c r="BC187" t="e">
        <f>AND(Sheet1!#REF!,"AAAAAH+i+zY=")</f>
        <v>#REF!</v>
      </c>
      <c r="BD187">
        <f>IF(Sheet1!2510:2510,"AAAAAH+i+zc=",0)</f>
        <v>0</v>
      </c>
      <c r="BE187" t="e">
        <f>AND(Sheet1!A2510,"AAAAAH+i+zg=")</f>
        <v>#VALUE!</v>
      </c>
      <c r="BF187" t="e">
        <f>AND(Sheet1!B2510,"AAAAAH+i+zk=")</f>
        <v>#VALUE!</v>
      </c>
      <c r="BG187" t="e">
        <f>AND(Sheet1!C2510,"AAAAAH+i+zo=")</f>
        <v>#VALUE!</v>
      </c>
      <c r="BH187" t="e">
        <f>AND(Sheet1!D2510,"AAAAAH+i+zs=")</f>
        <v>#VALUE!</v>
      </c>
      <c r="BI187" t="e">
        <f>AND(Sheet1!E2510,"AAAAAH+i+zw=")</f>
        <v>#VALUE!</v>
      </c>
      <c r="BJ187" t="e">
        <f>AND(Sheet1!F2510,"AAAAAH+i+z0=")</f>
        <v>#VALUE!</v>
      </c>
      <c r="BK187" t="e">
        <f>AND(Sheet1!G2510,"AAAAAH+i+z4=")</f>
        <v>#VALUE!</v>
      </c>
      <c r="BL187" t="e">
        <f>AND(Sheet1!H2510,"AAAAAH+i+z8=")</f>
        <v>#VALUE!</v>
      </c>
      <c r="BM187" t="e">
        <f>AND(Sheet1!I2510,"AAAAAH+i+0A=")</f>
        <v>#VALUE!</v>
      </c>
      <c r="BN187" t="e">
        <f>AND(Sheet1!J2510,"AAAAAH+i+0E=")</f>
        <v>#VALUE!</v>
      </c>
      <c r="BO187" t="e">
        <f>AND(Sheet1!K2510,"AAAAAH+i+0I=")</f>
        <v>#VALUE!</v>
      </c>
      <c r="BP187" t="e">
        <f>AND(Sheet1!L2510,"AAAAAH+i+0M=")</f>
        <v>#VALUE!</v>
      </c>
      <c r="BQ187" t="e">
        <f>AND(Sheet1!M2510,"AAAAAH+i+0Q=")</f>
        <v>#VALUE!</v>
      </c>
      <c r="BR187" t="e">
        <f>AND(Sheet1!N2510,"AAAAAH+i+0U=")</f>
        <v>#VALUE!</v>
      </c>
      <c r="BS187" t="e">
        <f>AND(Sheet1!#REF!,"AAAAAH+i+0Y=")</f>
        <v>#REF!</v>
      </c>
      <c r="BT187" t="e">
        <f>AND(Sheet1!#REF!,"AAAAAH+i+0c=")</f>
        <v>#REF!</v>
      </c>
      <c r="BU187" t="e">
        <f>AND(Sheet1!#REF!,"AAAAAH+i+0g=")</f>
        <v>#REF!</v>
      </c>
      <c r="BV187" t="e">
        <f>AND(Sheet1!#REF!,"AAAAAH+i+0k=")</f>
        <v>#REF!</v>
      </c>
      <c r="BW187">
        <f>IF(Sheet1!2511:2511,"AAAAAH+i+0o=",0)</f>
        <v>0</v>
      </c>
      <c r="BX187" t="e">
        <f>AND(Sheet1!A2511,"AAAAAH+i+0s=")</f>
        <v>#VALUE!</v>
      </c>
      <c r="BY187" t="e">
        <f>AND(Sheet1!B2511,"AAAAAH+i+0w=")</f>
        <v>#VALUE!</v>
      </c>
      <c r="BZ187" t="e">
        <f>AND(Sheet1!C2511,"AAAAAH+i+00=")</f>
        <v>#VALUE!</v>
      </c>
      <c r="CA187" t="e">
        <f>AND(Sheet1!D2511,"AAAAAH+i+04=")</f>
        <v>#VALUE!</v>
      </c>
      <c r="CB187" t="e">
        <f>AND(Sheet1!E2511,"AAAAAH+i+08=")</f>
        <v>#VALUE!</v>
      </c>
      <c r="CC187" t="e">
        <f>AND(Sheet1!F2511,"AAAAAH+i+1A=")</f>
        <v>#VALUE!</v>
      </c>
      <c r="CD187" t="e">
        <f>AND(Sheet1!G2511,"AAAAAH+i+1E=")</f>
        <v>#VALUE!</v>
      </c>
      <c r="CE187" t="e">
        <f>AND(Sheet1!H2511,"AAAAAH+i+1I=")</f>
        <v>#VALUE!</v>
      </c>
      <c r="CF187" t="e">
        <f>AND(Sheet1!I2511,"AAAAAH+i+1M=")</f>
        <v>#VALUE!</v>
      </c>
      <c r="CG187" t="e">
        <f>AND(Sheet1!J2511,"AAAAAH+i+1Q=")</f>
        <v>#VALUE!</v>
      </c>
      <c r="CH187" t="e">
        <f>AND(Sheet1!K2511,"AAAAAH+i+1U=")</f>
        <v>#VALUE!</v>
      </c>
      <c r="CI187" t="e">
        <f>AND(Sheet1!L2511,"AAAAAH+i+1Y=")</f>
        <v>#VALUE!</v>
      </c>
      <c r="CJ187" t="e">
        <f>AND(Sheet1!M2511,"AAAAAH+i+1c=")</f>
        <v>#VALUE!</v>
      </c>
      <c r="CK187" t="e">
        <f>AND(Sheet1!N2511,"AAAAAH+i+1g=")</f>
        <v>#VALUE!</v>
      </c>
      <c r="CL187" t="e">
        <f>AND(Sheet1!#REF!,"AAAAAH+i+1k=")</f>
        <v>#REF!</v>
      </c>
      <c r="CM187" t="e">
        <f>AND(Sheet1!#REF!,"AAAAAH+i+1o=")</f>
        <v>#REF!</v>
      </c>
      <c r="CN187" t="e">
        <f>AND(Sheet1!#REF!,"AAAAAH+i+1s=")</f>
        <v>#REF!</v>
      </c>
      <c r="CO187" t="e">
        <f>AND(Sheet1!#REF!,"AAAAAH+i+1w=")</f>
        <v>#REF!</v>
      </c>
      <c r="CP187">
        <f>IF(Sheet1!2512:2512,"AAAAAH+i+10=",0)</f>
        <v>0</v>
      </c>
      <c r="CQ187" t="e">
        <f>AND(Sheet1!A2512,"AAAAAH+i+14=")</f>
        <v>#VALUE!</v>
      </c>
      <c r="CR187" t="e">
        <f>AND(Sheet1!B2512,"AAAAAH+i+18=")</f>
        <v>#VALUE!</v>
      </c>
      <c r="CS187" t="e">
        <f>AND(Sheet1!C2512,"AAAAAH+i+2A=")</f>
        <v>#VALUE!</v>
      </c>
      <c r="CT187" t="e">
        <f>AND(Sheet1!D2512,"AAAAAH+i+2E=")</f>
        <v>#VALUE!</v>
      </c>
      <c r="CU187" t="e">
        <f>AND(Sheet1!E2512,"AAAAAH+i+2I=")</f>
        <v>#VALUE!</v>
      </c>
      <c r="CV187" t="e">
        <f>AND(Sheet1!F2512,"AAAAAH+i+2M=")</f>
        <v>#VALUE!</v>
      </c>
      <c r="CW187" t="e">
        <f>AND(Sheet1!G2512,"AAAAAH+i+2Q=")</f>
        <v>#VALUE!</v>
      </c>
      <c r="CX187" t="e">
        <f>AND(Sheet1!H2512,"AAAAAH+i+2U=")</f>
        <v>#VALUE!</v>
      </c>
      <c r="CY187" t="e">
        <f>AND(Sheet1!I2512,"AAAAAH+i+2Y=")</f>
        <v>#VALUE!</v>
      </c>
      <c r="CZ187" t="e">
        <f>AND(Sheet1!J2512,"AAAAAH+i+2c=")</f>
        <v>#VALUE!</v>
      </c>
      <c r="DA187" t="e">
        <f>AND(Sheet1!K2512,"AAAAAH+i+2g=")</f>
        <v>#VALUE!</v>
      </c>
      <c r="DB187" t="e">
        <f>AND(Sheet1!L2512,"AAAAAH+i+2k=")</f>
        <v>#VALUE!</v>
      </c>
      <c r="DC187" t="e">
        <f>AND(Sheet1!M2512,"AAAAAH+i+2o=")</f>
        <v>#VALUE!</v>
      </c>
      <c r="DD187" t="e">
        <f>AND(Sheet1!N2512,"AAAAAH+i+2s=")</f>
        <v>#VALUE!</v>
      </c>
      <c r="DE187" t="e">
        <f>AND(Sheet1!#REF!,"AAAAAH+i+2w=")</f>
        <v>#REF!</v>
      </c>
      <c r="DF187" t="e">
        <f>AND(Sheet1!#REF!,"AAAAAH+i+20=")</f>
        <v>#REF!</v>
      </c>
      <c r="DG187" t="e">
        <f>AND(Sheet1!#REF!,"AAAAAH+i+24=")</f>
        <v>#REF!</v>
      </c>
      <c r="DH187" t="e">
        <f>AND(Sheet1!#REF!,"AAAAAH+i+28=")</f>
        <v>#REF!</v>
      </c>
      <c r="DI187">
        <f>IF(Sheet1!2513:2513,"AAAAAH+i+3A=",0)</f>
        <v>0</v>
      </c>
      <c r="DJ187" t="e">
        <f>AND(Sheet1!A2513,"AAAAAH+i+3E=")</f>
        <v>#VALUE!</v>
      </c>
      <c r="DK187" t="e">
        <f>AND(Sheet1!B2513,"AAAAAH+i+3I=")</f>
        <v>#VALUE!</v>
      </c>
      <c r="DL187" t="e">
        <f>AND(Sheet1!C2513,"AAAAAH+i+3M=")</f>
        <v>#VALUE!</v>
      </c>
      <c r="DM187" t="e">
        <f>AND(Sheet1!D2513,"AAAAAH+i+3Q=")</f>
        <v>#VALUE!</v>
      </c>
      <c r="DN187" t="e">
        <f>AND(Sheet1!E2513,"AAAAAH+i+3U=")</f>
        <v>#VALUE!</v>
      </c>
      <c r="DO187" t="e">
        <f>AND(Sheet1!F2513,"AAAAAH+i+3Y=")</f>
        <v>#VALUE!</v>
      </c>
      <c r="DP187" t="e">
        <f>AND(Sheet1!G2513,"AAAAAH+i+3c=")</f>
        <v>#VALUE!</v>
      </c>
      <c r="DQ187" t="e">
        <f>AND(Sheet1!H2513,"AAAAAH+i+3g=")</f>
        <v>#VALUE!</v>
      </c>
      <c r="DR187" t="e">
        <f>AND(Sheet1!I2513,"AAAAAH+i+3k=")</f>
        <v>#VALUE!</v>
      </c>
      <c r="DS187" t="e">
        <f>AND(Sheet1!J2513,"AAAAAH+i+3o=")</f>
        <v>#VALUE!</v>
      </c>
      <c r="DT187" t="e">
        <f>AND(Sheet1!K2513,"AAAAAH+i+3s=")</f>
        <v>#VALUE!</v>
      </c>
      <c r="DU187" t="e">
        <f>AND(Sheet1!L2513,"AAAAAH+i+3w=")</f>
        <v>#VALUE!</v>
      </c>
      <c r="DV187" t="e">
        <f>AND(Sheet1!M2513,"AAAAAH+i+30=")</f>
        <v>#VALUE!</v>
      </c>
      <c r="DW187" t="e">
        <f>AND(Sheet1!N2513,"AAAAAH+i+34=")</f>
        <v>#VALUE!</v>
      </c>
      <c r="DX187" t="e">
        <f>AND(Sheet1!#REF!,"AAAAAH+i+38=")</f>
        <v>#REF!</v>
      </c>
      <c r="DY187" t="e">
        <f>AND(Sheet1!#REF!,"AAAAAH+i+4A=")</f>
        <v>#REF!</v>
      </c>
      <c r="DZ187" t="e">
        <f>AND(Sheet1!#REF!,"AAAAAH+i+4E=")</f>
        <v>#REF!</v>
      </c>
      <c r="EA187" t="e">
        <f>AND(Sheet1!#REF!,"AAAAAH+i+4I=")</f>
        <v>#REF!</v>
      </c>
      <c r="EB187">
        <f>IF(Sheet1!2514:2514,"AAAAAH+i+4M=",0)</f>
        <v>0</v>
      </c>
      <c r="EC187" t="e">
        <f>AND(Sheet1!A2514,"AAAAAH+i+4Q=")</f>
        <v>#VALUE!</v>
      </c>
      <c r="ED187" t="e">
        <f>AND(Sheet1!B2514,"AAAAAH+i+4U=")</f>
        <v>#VALUE!</v>
      </c>
      <c r="EE187" t="e">
        <f>AND(Sheet1!C2514,"AAAAAH+i+4Y=")</f>
        <v>#VALUE!</v>
      </c>
      <c r="EF187" t="e">
        <f>AND(Sheet1!D2514,"AAAAAH+i+4c=")</f>
        <v>#VALUE!</v>
      </c>
      <c r="EG187" t="e">
        <f>AND(Sheet1!E2514,"AAAAAH+i+4g=")</f>
        <v>#VALUE!</v>
      </c>
      <c r="EH187" t="e">
        <f>AND(Sheet1!F2514,"AAAAAH+i+4k=")</f>
        <v>#VALUE!</v>
      </c>
      <c r="EI187" t="e">
        <f>AND(Sheet1!G2514,"AAAAAH+i+4o=")</f>
        <v>#VALUE!</v>
      </c>
      <c r="EJ187" t="e">
        <f>AND(Sheet1!H2514,"AAAAAH+i+4s=")</f>
        <v>#VALUE!</v>
      </c>
      <c r="EK187" t="e">
        <f>AND(Sheet1!I2514,"AAAAAH+i+4w=")</f>
        <v>#VALUE!</v>
      </c>
      <c r="EL187" t="e">
        <f>AND(Sheet1!J2514,"AAAAAH+i+40=")</f>
        <v>#VALUE!</v>
      </c>
      <c r="EM187" t="e">
        <f>AND(Sheet1!K2514,"AAAAAH+i+44=")</f>
        <v>#VALUE!</v>
      </c>
      <c r="EN187" t="e">
        <f>AND(Sheet1!L2514,"AAAAAH+i+48=")</f>
        <v>#VALUE!</v>
      </c>
      <c r="EO187" t="e">
        <f>AND(Sheet1!M2514,"AAAAAH+i+5A=")</f>
        <v>#VALUE!</v>
      </c>
      <c r="EP187" t="e">
        <f>AND(Sheet1!N2514,"AAAAAH+i+5E=")</f>
        <v>#VALUE!</v>
      </c>
      <c r="EQ187" t="e">
        <f>AND(Sheet1!#REF!,"AAAAAH+i+5I=")</f>
        <v>#REF!</v>
      </c>
      <c r="ER187" t="e">
        <f>AND(Sheet1!#REF!,"AAAAAH+i+5M=")</f>
        <v>#REF!</v>
      </c>
      <c r="ES187" t="e">
        <f>AND(Sheet1!#REF!,"AAAAAH+i+5Q=")</f>
        <v>#REF!</v>
      </c>
      <c r="ET187" t="e">
        <f>AND(Sheet1!#REF!,"AAAAAH+i+5U=")</f>
        <v>#REF!</v>
      </c>
      <c r="EU187">
        <f>IF(Sheet1!2515:2515,"AAAAAH+i+5Y=",0)</f>
        <v>0</v>
      </c>
      <c r="EV187" t="e">
        <f>AND(Sheet1!A2515,"AAAAAH+i+5c=")</f>
        <v>#VALUE!</v>
      </c>
      <c r="EW187" t="e">
        <f>AND(Sheet1!B2515,"AAAAAH+i+5g=")</f>
        <v>#VALUE!</v>
      </c>
      <c r="EX187" t="e">
        <f>AND(Sheet1!C2515,"AAAAAH+i+5k=")</f>
        <v>#VALUE!</v>
      </c>
      <c r="EY187" t="e">
        <f>AND(Sheet1!D2515,"AAAAAH+i+5o=")</f>
        <v>#VALUE!</v>
      </c>
      <c r="EZ187" t="e">
        <f>AND(Sheet1!E2515,"AAAAAH+i+5s=")</f>
        <v>#VALUE!</v>
      </c>
      <c r="FA187" t="e">
        <f>AND(Sheet1!F2515,"AAAAAH+i+5w=")</f>
        <v>#VALUE!</v>
      </c>
      <c r="FB187" t="e">
        <f>AND(Sheet1!G2515,"AAAAAH+i+50=")</f>
        <v>#VALUE!</v>
      </c>
      <c r="FC187" t="e">
        <f>AND(Sheet1!H2515,"AAAAAH+i+54=")</f>
        <v>#VALUE!</v>
      </c>
      <c r="FD187" t="e">
        <f>AND(Sheet1!I2515,"AAAAAH+i+58=")</f>
        <v>#VALUE!</v>
      </c>
      <c r="FE187" t="e">
        <f>AND(Sheet1!J2515,"AAAAAH+i+6A=")</f>
        <v>#VALUE!</v>
      </c>
      <c r="FF187" t="e">
        <f>AND(Sheet1!K2515,"AAAAAH+i+6E=")</f>
        <v>#VALUE!</v>
      </c>
      <c r="FG187" t="e">
        <f>AND(Sheet1!L2515,"AAAAAH+i+6I=")</f>
        <v>#VALUE!</v>
      </c>
      <c r="FH187" t="e">
        <f>AND(Sheet1!M2515,"AAAAAH+i+6M=")</f>
        <v>#VALUE!</v>
      </c>
      <c r="FI187" t="e">
        <f>AND(Sheet1!N2515,"AAAAAH+i+6Q=")</f>
        <v>#VALUE!</v>
      </c>
      <c r="FJ187" t="e">
        <f>AND(Sheet1!#REF!,"AAAAAH+i+6U=")</f>
        <v>#REF!</v>
      </c>
      <c r="FK187" t="e">
        <f>AND(Sheet1!#REF!,"AAAAAH+i+6Y=")</f>
        <v>#REF!</v>
      </c>
      <c r="FL187" t="e">
        <f>AND(Sheet1!#REF!,"AAAAAH+i+6c=")</f>
        <v>#REF!</v>
      </c>
      <c r="FM187" t="e">
        <f>AND(Sheet1!#REF!,"AAAAAH+i+6g=")</f>
        <v>#REF!</v>
      </c>
      <c r="FN187">
        <f>IF(Sheet1!2516:2516,"AAAAAH+i+6k=",0)</f>
        <v>0</v>
      </c>
      <c r="FO187" t="e">
        <f>AND(Sheet1!A2516,"AAAAAH+i+6o=")</f>
        <v>#VALUE!</v>
      </c>
      <c r="FP187" t="e">
        <f>AND(Sheet1!B2516,"AAAAAH+i+6s=")</f>
        <v>#VALUE!</v>
      </c>
      <c r="FQ187" t="e">
        <f>AND(Sheet1!C2516,"AAAAAH+i+6w=")</f>
        <v>#VALUE!</v>
      </c>
      <c r="FR187" t="e">
        <f>AND(Sheet1!D2516,"AAAAAH+i+60=")</f>
        <v>#VALUE!</v>
      </c>
      <c r="FS187" t="e">
        <f>AND(Sheet1!E2516,"AAAAAH+i+64=")</f>
        <v>#VALUE!</v>
      </c>
      <c r="FT187" t="e">
        <f>AND(Sheet1!F2516,"AAAAAH+i+68=")</f>
        <v>#VALUE!</v>
      </c>
      <c r="FU187" t="e">
        <f>AND(Sheet1!G2516,"AAAAAH+i+7A=")</f>
        <v>#VALUE!</v>
      </c>
      <c r="FV187" t="e">
        <f>AND(Sheet1!H2516,"AAAAAH+i+7E=")</f>
        <v>#VALUE!</v>
      </c>
      <c r="FW187" t="e">
        <f>AND(Sheet1!I2516,"AAAAAH+i+7I=")</f>
        <v>#VALUE!</v>
      </c>
      <c r="FX187" t="e">
        <f>AND(Sheet1!J2516,"AAAAAH+i+7M=")</f>
        <v>#VALUE!</v>
      </c>
      <c r="FY187" t="e">
        <f>AND(Sheet1!K2516,"AAAAAH+i+7Q=")</f>
        <v>#VALUE!</v>
      </c>
      <c r="FZ187" t="e">
        <f>AND(Sheet1!L2516,"AAAAAH+i+7U=")</f>
        <v>#VALUE!</v>
      </c>
      <c r="GA187" t="e">
        <f>AND(Sheet1!M2516,"AAAAAH+i+7Y=")</f>
        <v>#VALUE!</v>
      </c>
      <c r="GB187" t="e">
        <f>AND(Sheet1!N2516,"AAAAAH+i+7c=")</f>
        <v>#VALUE!</v>
      </c>
      <c r="GC187" t="e">
        <f>AND(Sheet1!#REF!,"AAAAAH+i+7g=")</f>
        <v>#REF!</v>
      </c>
      <c r="GD187" t="e">
        <f>AND(Sheet1!#REF!,"AAAAAH+i+7k=")</f>
        <v>#REF!</v>
      </c>
      <c r="GE187" t="e">
        <f>AND(Sheet1!#REF!,"AAAAAH+i+7o=")</f>
        <v>#REF!</v>
      </c>
      <c r="GF187" t="e">
        <f>AND(Sheet1!#REF!,"AAAAAH+i+7s=")</f>
        <v>#REF!</v>
      </c>
      <c r="GG187">
        <f>IF(Sheet1!2517:2517,"AAAAAH+i+7w=",0)</f>
        <v>0</v>
      </c>
      <c r="GH187" t="e">
        <f>AND(Sheet1!A2517,"AAAAAH+i+70=")</f>
        <v>#VALUE!</v>
      </c>
      <c r="GI187" t="e">
        <f>AND(Sheet1!B2517,"AAAAAH+i+74=")</f>
        <v>#VALUE!</v>
      </c>
      <c r="GJ187" t="e">
        <f>AND(Sheet1!C2517,"AAAAAH+i+78=")</f>
        <v>#VALUE!</v>
      </c>
      <c r="GK187" t="e">
        <f>AND(Sheet1!D2517,"AAAAAH+i+8A=")</f>
        <v>#VALUE!</v>
      </c>
      <c r="GL187" t="e">
        <f>AND(Sheet1!E2517,"AAAAAH+i+8E=")</f>
        <v>#VALUE!</v>
      </c>
      <c r="GM187" t="e">
        <f>AND(Sheet1!F2517,"AAAAAH+i+8I=")</f>
        <v>#VALUE!</v>
      </c>
      <c r="GN187" t="e">
        <f>AND(Sheet1!G2517,"AAAAAH+i+8M=")</f>
        <v>#VALUE!</v>
      </c>
      <c r="GO187" t="e">
        <f>AND(Sheet1!H2517,"AAAAAH+i+8Q=")</f>
        <v>#VALUE!</v>
      </c>
      <c r="GP187" t="e">
        <f>AND(Sheet1!I2517,"AAAAAH+i+8U=")</f>
        <v>#VALUE!</v>
      </c>
      <c r="GQ187" t="e">
        <f>AND(Sheet1!J2517,"AAAAAH+i+8Y=")</f>
        <v>#VALUE!</v>
      </c>
      <c r="GR187" t="e">
        <f>AND(Sheet1!K2517,"AAAAAH+i+8c=")</f>
        <v>#VALUE!</v>
      </c>
      <c r="GS187" t="e">
        <f>AND(Sheet1!L2517,"AAAAAH+i+8g=")</f>
        <v>#VALUE!</v>
      </c>
      <c r="GT187" t="e">
        <f>AND(Sheet1!M2517,"AAAAAH+i+8k=")</f>
        <v>#VALUE!</v>
      </c>
      <c r="GU187" t="e">
        <f>AND(Sheet1!N2517,"AAAAAH+i+8o=")</f>
        <v>#VALUE!</v>
      </c>
      <c r="GV187" t="e">
        <f>AND(Sheet1!#REF!,"AAAAAH+i+8s=")</f>
        <v>#REF!</v>
      </c>
      <c r="GW187" t="e">
        <f>AND(Sheet1!#REF!,"AAAAAH+i+8w=")</f>
        <v>#REF!</v>
      </c>
      <c r="GX187" t="e">
        <f>AND(Sheet1!#REF!,"AAAAAH+i+80=")</f>
        <v>#REF!</v>
      </c>
      <c r="GY187" t="e">
        <f>AND(Sheet1!#REF!,"AAAAAH+i+84=")</f>
        <v>#REF!</v>
      </c>
      <c r="GZ187">
        <f>IF(Sheet1!2518:2518,"AAAAAH+i+88=",0)</f>
        <v>0</v>
      </c>
      <c r="HA187" t="e">
        <f>AND(Sheet1!A2518,"AAAAAH+i+9A=")</f>
        <v>#VALUE!</v>
      </c>
      <c r="HB187" t="e">
        <f>AND(Sheet1!B2518,"AAAAAH+i+9E=")</f>
        <v>#VALUE!</v>
      </c>
      <c r="HC187" t="e">
        <f>AND(Sheet1!C2518,"AAAAAH+i+9I=")</f>
        <v>#VALUE!</v>
      </c>
      <c r="HD187" t="e">
        <f>AND(Sheet1!D2518,"AAAAAH+i+9M=")</f>
        <v>#VALUE!</v>
      </c>
      <c r="HE187" t="e">
        <f>AND(Sheet1!E2518,"AAAAAH+i+9Q=")</f>
        <v>#VALUE!</v>
      </c>
      <c r="HF187" t="e">
        <f>AND(Sheet1!F2518,"AAAAAH+i+9U=")</f>
        <v>#VALUE!</v>
      </c>
      <c r="HG187" t="e">
        <f>AND(Sheet1!G2518,"AAAAAH+i+9Y=")</f>
        <v>#VALUE!</v>
      </c>
      <c r="HH187" t="e">
        <f>AND(Sheet1!H2518,"AAAAAH+i+9c=")</f>
        <v>#VALUE!</v>
      </c>
      <c r="HI187" t="e">
        <f>AND(Sheet1!I2518,"AAAAAH+i+9g=")</f>
        <v>#VALUE!</v>
      </c>
      <c r="HJ187" t="e">
        <f>AND(Sheet1!J2518,"AAAAAH+i+9k=")</f>
        <v>#VALUE!</v>
      </c>
      <c r="HK187" t="e">
        <f>AND(Sheet1!K2518,"AAAAAH+i+9o=")</f>
        <v>#VALUE!</v>
      </c>
      <c r="HL187" t="e">
        <f>AND(Sheet1!L2518,"AAAAAH+i+9s=")</f>
        <v>#VALUE!</v>
      </c>
      <c r="HM187" t="e">
        <f>AND(Sheet1!M2518,"AAAAAH+i+9w=")</f>
        <v>#VALUE!</v>
      </c>
      <c r="HN187" t="e">
        <f>AND(Sheet1!N2518,"AAAAAH+i+90=")</f>
        <v>#VALUE!</v>
      </c>
      <c r="HO187" t="e">
        <f>AND(Sheet1!#REF!,"AAAAAH+i+94=")</f>
        <v>#REF!</v>
      </c>
      <c r="HP187" t="e">
        <f>AND(Sheet1!#REF!,"AAAAAH+i+98=")</f>
        <v>#REF!</v>
      </c>
      <c r="HQ187" t="e">
        <f>AND(Sheet1!#REF!,"AAAAAH+i++A=")</f>
        <v>#REF!</v>
      </c>
      <c r="HR187" t="e">
        <f>AND(Sheet1!#REF!,"AAAAAH+i++E=")</f>
        <v>#REF!</v>
      </c>
      <c r="HS187">
        <f>IF(Sheet1!2519:2519,"AAAAAH+i++I=",0)</f>
        <v>0</v>
      </c>
      <c r="HT187" t="e">
        <f>AND(Sheet1!A2519,"AAAAAH+i++M=")</f>
        <v>#VALUE!</v>
      </c>
      <c r="HU187" t="e">
        <f>AND(Sheet1!B2519,"AAAAAH+i++Q=")</f>
        <v>#VALUE!</v>
      </c>
      <c r="HV187" t="e">
        <f>AND(Sheet1!C2519,"AAAAAH+i++U=")</f>
        <v>#VALUE!</v>
      </c>
      <c r="HW187" t="e">
        <f>AND(Sheet1!D2519,"AAAAAH+i++Y=")</f>
        <v>#VALUE!</v>
      </c>
      <c r="HX187" t="e">
        <f>AND(Sheet1!E2519,"AAAAAH+i++c=")</f>
        <v>#VALUE!</v>
      </c>
      <c r="HY187" t="e">
        <f>AND(Sheet1!F2519,"AAAAAH+i++g=")</f>
        <v>#VALUE!</v>
      </c>
      <c r="HZ187" t="e">
        <f>AND(Sheet1!G2519,"AAAAAH+i++k=")</f>
        <v>#VALUE!</v>
      </c>
      <c r="IA187" t="e">
        <f>AND(Sheet1!H2519,"AAAAAH+i++o=")</f>
        <v>#VALUE!</v>
      </c>
      <c r="IB187" t="e">
        <f>AND(Sheet1!I2519,"AAAAAH+i++s=")</f>
        <v>#VALUE!</v>
      </c>
      <c r="IC187" t="e">
        <f>AND(Sheet1!J2519,"AAAAAH+i++w=")</f>
        <v>#VALUE!</v>
      </c>
      <c r="ID187" t="e">
        <f>AND(Sheet1!K2519,"AAAAAH+i++0=")</f>
        <v>#VALUE!</v>
      </c>
      <c r="IE187" t="e">
        <f>AND(Sheet1!L2519,"AAAAAH+i++4=")</f>
        <v>#VALUE!</v>
      </c>
      <c r="IF187" t="e">
        <f>AND(Sheet1!M2519,"AAAAAH+i++8=")</f>
        <v>#VALUE!</v>
      </c>
      <c r="IG187" t="e">
        <f>AND(Sheet1!N2519,"AAAAAH+i+/A=")</f>
        <v>#VALUE!</v>
      </c>
      <c r="IH187" t="e">
        <f>AND(Sheet1!#REF!,"AAAAAH+i+/E=")</f>
        <v>#REF!</v>
      </c>
      <c r="II187" t="e">
        <f>AND(Sheet1!#REF!,"AAAAAH+i+/I=")</f>
        <v>#REF!</v>
      </c>
      <c r="IJ187" t="e">
        <f>AND(Sheet1!#REF!,"AAAAAH+i+/M=")</f>
        <v>#REF!</v>
      </c>
      <c r="IK187" t="e">
        <f>AND(Sheet1!#REF!,"AAAAAH+i+/Q=")</f>
        <v>#REF!</v>
      </c>
      <c r="IL187">
        <f>IF(Sheet1!2520:2520,"AAAAAH+i+/U=",0)</f>
        <v>0</v>
      </c>
      <c r="IM187" t="e">
        <f>AND(Sheet1!A2520,"AAAAAH+i+/Y=")</f>
        <v>#VALUE!</v>
      </c>
      <c r="IN187" t="e">
        <f>AND(Sheet1!B2520,"AAAAAH+i+/c=")</f>
        <v>#VALUE!</v>
      </c>
      <c r="IO187" t="e">
        <f>AND(Sheet1!C2520,"AAAAAH+i+/g=")</f>
        <v>#VALUE!</v>
      </c>
      <c r="IP187" t="e">
        <f>AND(Sheet1!D2520,"AAAAAH+i+/k=")</f>
        <v>#VALUE!</v>
      </c>
      <c r="IQ187" t="e">
        <f>AND(Sheet1!E2520,"AAAAAH+i+/o=")</f>
        <v>#VALUE!</v>
      </c>
      <c r="IR187" t="e">
        <f>AND(Sheet1!F2520,"AAAAAH+i+/s=")</f>
        <v>#VALUE!</v>
      </c>
      <c r="IS187" t="e">
        <f>AND(Sheet1!G2520,"AAAAAH+i+/w=")</f>
        <v>#VALUE!</v>
      </c>
      <c r="IT187" t="e">
        <f>AND(Sheet1!H2520,"AAAAAH+i+/0=")</f>
        <v>#VALUE!</v>
      </c>
      <c r="IU187" t="e">
        <f>AND(Sheet1!I2520,"AAAAAH+i+/4=")</f>
        <v>#VALUE!</v>
      </c>
      <c r="IV187" t="e">
        <f>AND(Sheet1!J2520,"AAAAAH+i+/8=")</f>
        <v>#VALUE!</v>
      </c>
    </row>
    <row r="188" spans="1:256" x14ac:dyDescent="0.2">
      <c r="A188" t="e">
        <f>AND(Sheet1!K2520,"AAAAAB/z9wA=")</f>
        <v>#VALUE!</v>
      </c>
      <c r="B188" t="e">
        <f>AND(Sheet1!L2520,"AAAAAB/z9wE=")</f>
        <v>#VALUE!</v>
      </c>
      <c r="C188" t="e">
        <f>AND(Sheet1!M2520,"AAAAAB/z9wI=")</f>
        <v>#VALUE!</v>
      </c>
      <c r="D188" t="e">
        <f>AND(Sheet1!N2520,"AAAAAB/z9wM=")</f>
        <v>#VALUE!</v>
      </c>
      <c r="E188" t="e">
        <f>AND(Sheet1!#REF!,"AAAAAB/z9wQ=")</f>
        <v>#REF!</v>
      </c>
      <c r="F188" t="e">
        <f>AND(Sheet1!#REF!,"AAAAAB/z9wU=")</f>
        <v>#REF!</v>
      </c>
      <c r="G188" t="e">
        <f>AND(Sheet1!#REF!,"AAAAAB/z9wY=")</f>
        <v>#REF!</v>
      </c>
      <c r="H188" t="e">
        <f>AND(Sheet1!#REF!,"AAAAAB/z9wc=")</f>
        <v>#REF!</v>
      </c>
      <c r="I188">
        <f>IF(Sheet1!2521:2521,"AAAAAB/z9wg=",0)</f>
        <v>0</v>
      </c>
      <c r="J188" t="e">
        <f>AND(Sheet1!A2521,"AAAAAB/z9wk=")</f>
        <v>#VALUE!</v>
      </c>
      <c r="K188" t="e">
        <f>AND(Sheet1!B2521,"AAAAAB/z9wo=")</f>
        <v>#VALUE!</v>
      </c>
      <c r="L188" t="e">
        <f>AND(Sheet1!C2521,"AAAAAB/z9ws=")</f>
        <v>#VALUE!</v>
      </c>
      <c r="M188" t="e">
        <f>AND(Sheet1!D2521,"AAAAAB/z9ww=")</f>
        <v>#VALUE!</v>
      </c>
      <c r="N188" t="e">
        <f>AND(Sheet1!E2521,"AAAAAB/z9w0=")</f>
        <v>#VALUE!</v>
      </c>
      <c r="O188" t="e">
        <f>AND(Sheet1!F2521,"AAAAAB/z9w4=")</f>
        <v>#VALUE!</v>
      </c>
      <c r="P188" t="e">
        <f>AND(Sheet1!G2521,"AAAAAB/z9w8=")</f>
        <v>#VALUE!</v>
      </c>
      <c r="Q188" t="e">
        <f>AND(Sheet1!H2521,"AAAAAB/z9xA=")</f>
        <v>#VALUE!</v>
      </c>
      <c r="R188" t="e">
        <f>AND(Sheet1!I2521,"AAAAAB/z9xE=")</f>
        <v>#VALUE!</v>
      </c>
      <c r="S188" t="e">
        <f>AND(Sheet1!J2521,"AAAAAB/z9xI=")</f>
        <v>#VALUE!</v>
      </c>
      <c r="T188" t="e">
        <f>AND(Sheet1!K2521,"AAAAAB/z9xM=")</f>
        <v>#VALUE!</v>
      </c>
      <c r="U188" t="e">
        <f>AND(Sheet1!L2521,"AAAAAB/z9xQ=")</f>
        <v>#VALUE!</v>
      </c>
      <c r="V188" t="e">
        <f>AND(Sheet1!M2521,"AAAAAB/z9xU=")</f>
        <v>#VALUE!</v>
      </c>
      <c r="W188" t="e">
        <f>AND(Sheet1!N2521,"AAAAAB/z9xY=")</f>
        <v>#VALUE!</v>
      </c>
      <c r="X188" t="e">
        <f>AND(Sheet1!#REF!,"AAAAAB/z9xc=")</f>
        <v>#REF!</v>
      </c>
      <c r="Y188" t="e">
        <f>AND(Sheet1!#REF!,"AAAAAB/z9xg=")</f>
        <v>#REF!</v>
      </c>
      <c r="Z188" t="e">
        <f>AND(Sheet1!#REF!,"AAAAAB/z9xk=")</f>
        <v>#REF!</v>
      </c>
      <c r="AA188" t="e">
        <f>AND(Sheet1!#REF!,"AAAAAB/z9xo=")</f>
        <v>#REF!</v>
      </c>
      <c r="AB188">
        <f>IF(Sheet1!2522:2522,"AAAAAB/z9xs=",0)</f>
        <v>0</v>
      </c>
      <c r="AC188" t="e">
        <f>AND(Sheet1!A2522,"AAAAAB/z9xw=")</f>
        <v>#VALUE!</v>
      </c>
      <c r="AD188" t="e">
        <f>AND(Sheet1!B2522,"AAAAAB/z9x0=")</f>
        <v>#VALUE!</v>
      </c>
      <c r="AE188" t="e">
        <f>AND(Sheet1!C2522,"AAAAAB/z9x4=")</f>
        <v>#VALUE!</v>
      </c>
      <c r="AF188" t="e">
        <f>AND(Sheet1!D2522,"AAAAAB/z9x8=")</f>
        <v>#VALUE!</v>
      </c>
      <c r="AG188" t="e">
        <f>AND(Sheet1!E2522,"AAAAAB/z9yA=")</f>
        <v>#VALUE!</v>
      </c>
      <c r="AH188" t="e">
        <f>AND(Sheet1!F2522,"AAAAAB/z9yE=")</f>
        <v>#VALUE!</v>
      </c>
      <c r="AI188" t="e">
        <f>AND(Sheet1!G2522,"AAAAAB/z9yI=")</f>
        <v>#VALUE!</v>
      </c>
      <c r="AJ188" t="e">
        <f>AND(Sheet1!H2522,"AAAAAB/z9yM=")</f>
        <v>#VALUE!</v>
      </c>
      <c r="AK188" t="e">
        <f>AND(Sheet1!I2522,"AAAAAB/z9yQ=")</f>
        <v>#VALUE!</v>
      </c>
      <c r="AL188" t="e">
        <f>AND(Sheet1!J2522,"AAAAAB/z9yU=")</f>
        <v>#VALUE!</v>
      </c>
      <c r="AM188" t="e">
        <f>AND(Sheet1!K2522,"AAAAAB/z9yY=")</f>
        <v>#VALUE!</v>
      </c>
      <c r="AN188" t="e">
        <f>AND(Sheet1!L2522,"AAAAAB/z9yc=")</f>
        <v>#VALUE!</v>
      </c>
      <c r="AO188" t="e">
        <f>AND(Sheet1!M2522,"AAAAAB/z9yg=")</f>
        <v>#VALUE!</v>
      </c>
      <c r="AP188" t="e">
        <f>AND(Sheet1!N2522,"AAAAAB/z9yk=")</f>
        <v>#VALUE!</v>
      </c>
      <c r="AQ188" t="e">
        <f>AND(Sheet1!#REF!,"AAAAAB/z9yo=")</f>
        <v>#REF!</v>
      </c>
      <c r="AR188" t="e">
        <f>AND(Sheet1!#REF!,"AAAAAB/z9ys=")</f>
        <v>#REF!</v>
      </c>
      <c r="AS188" t="e">
        <f>AND(Sheet1!#REF!,"AAAAAB/z9yw=")</f>
        <v>#REF!</v>
      </c>
      <c r="AT188" t="e">
        <f>AND(Sheet1!#REF!,"AAAAAB/z9y0=")</f>
        <v>#REF!</v>
      </c>
      <c r="AU188">
        <f>IF(Sheet1!2523:2523,"AAAAAB/z9y4=",0)</f>
        <v>0</v>
      </c>
      <c r="AV188" t="e">
        <f>AND(Sheet1!A2523,"AAAAAB/z9y8=")</f>
        <v>#VALUE!</v>
      </c>
      <c r="AW188" t="e">
        <f>AND(Sheet1!B2523,"AAAAAB/z9zA=")</f>
        <v>#VALUE!</v>
      </c>
      <c r="AX188" t="e">
        <f>AND(Sheet1!C2523,"AAAAAB/z9zE=")</f>
        <v>#VALUE!</v>
      </c>
      <c r="AY188" t="e">
        <f>AND(Sheet1!D2523,"AAAAAB/z9zI=")</f>
        <v>#VALUE!</v>
      </c>
      <c r="AZ188" t="e">
        <f>AND(Sheet1!E2523,"AAAAAB/z9zM=")</f>
        <v>#VALUE!</v>
      </c>
      <c r="BA188" t="e">
        <f>AND(Sheet1!F2523,"AAAAAB/z9zQ=")</f>
        <v>#VALUE!</v>
      </c>
      <c r="BB188" t="e">
        <f>AND(Sheet1!G2523,"AAAAAB/z9zU=")</f>
        <v>#VALUE!</v>
      </c>
      <c r="BC188" t="e">
        <f>AND(Sheet1!H2523,"AAAAAB/z9zY=")</f>
        <v>#VALUE!</v>
      </c>
      <c r="BD188" t="e">
        <f>AND(Sheet1!I2523,"AAAAAB/z9zc=")</f>
        <v>#VALUE!</v>
      </c>
      <c r="BE188" t="e">
        <f>AND(Sheet1!J2523,"AAAAAB/z9zg=")</f>
        <v>#VALUE!</v>
      </c>
      <c r="BF188" t="e">
        <f>AND(Sheet1!K2523,"AAAAAB/z9zk=")</f>
        <v>#VALUE!</v>
      </c>
      <c r="BG188" t="e">
        <f>AND(Sheet1!L2523,"AAAAAB/z9zo=")</f>
        <v>#VALUE!</v>
      </c>
      <c r="BH188" t="e">
        <f>AND(Sheet1!M2523,"AAAAAB/z9zs=")</f>
        <v>#VALUE!</v>
      </c>
      <c r="BI188" t="e">
        <f>AND(Sheet1!N2523,"AAAAAB/z9zw=")</f>
        <v>#VALUE!</v>
      </c>
      <c r="BJ188" t="e">
        <f>AND(Sheet1!#REF!,"AAAAAB/z9z0=")</f>
        <v>#REF!</v>
      </c>
      <c r="BK188" t="e">
        <f>AND(Sheet1!#REF!,"AAAAAB/z9z4=")</f>
        <v>#REF!</v>
      </c>
      <c r="BL188" t="e">
        <f>AND(Sheet1!#REF!,"AAAAAB/z9z8=")</f>
        <v>#REF!</v>
      </c>
      <c r="BM188" t="e">
        <f>AND(Sheet1!#REF!,"AAAAAB/z90A=")</f>
        <v>#REF!</v>
      </c>
      <c r="BN188">
        <f>IF(Sheet1!2524:2524,"AAAAAB/z90E=",0)</f>
        <v>0</v>
      </c>
      <c r="BO188" t="e">
        <f>AND(Sheet1!A2524,"AAAAAB/z90I=")</f>
        <v>#VALUE!</v>
      </c>
      <c r="BP188" t="e">
        <f>AND(Sheet1!B2524,"AAAAAB/z90M=")</f>
        <v>#VALUE!</v>
      </c>
      <c r="BQ188" t="e">
        <f>AND(Sheet1!C2524,"AAAAAB/z90Q=")</f>
        <v>#VALUE!</v>
      </c>
      <c r="BR188" t="e">
        <f>AND(Sheet1!D2524,"AAAAAB/z90U=")</f>
        <v>#VALUE!</v>
      </c>
      <c r="BS188" t="e">
        <f>AND(Sheet1!E2524,"AAAAAB/z90Y=")</f>
        <v>#VALUE!</v>
      </c>
      <c r="BT188" t="e">
        <f>AND(Sheet1!F2524,"AAAAAB/z90c=")</f>
        <v>#VALUE!</v>
      </c>
      <c r="BU188" t="e">
        <f>AND(Sheet1!G2524,"AAAAAB/z90g=")</f>
        <v>#VALUE!</v>
      </c>
      <c r="BV188" t="e">
        <f>AND(Sheet1!H2524,"AAAAAB/z90k=")</f>
        <v>#VALUE!</v>
      </c>
      <c r="BW188" t="e">
        <f>AND(Sheet1!I2524,"AAAAAB/z90o=")</f>
        <v>#VALUE!</v>
      </c>
      <c r="BX188" t="e">
        <f>AND(Sheet1!J2524,"AAAAAB/z90s=")</f>
        <v>#VALUE!</v>
      </c>
      <c r="BY188" t="e">
        <f>AND(Sheet1!K2524,"AAAAAB/z90w=")</f>
        <v>#VALUE!</v>
      </c>
      <c r="BZ188" t="e">
        <f>AND(Sheet1!L2524,"AAAAAB/z900=")</f>
        <v>#VALUE!</v>
      </c>
      <c r="CA188" t="e">
        <f>AND(Sheet1!M2524,"AAAAAB/z904=")</f>
        <v>#VALUE!</v>
      </c>
      <c r="CB188" t="e">
        <f>AND(Sheet1!N2524,"AAAAAB/z908=")</f>
        <v>#VALUE!</v>
      </c>
      <c r="CC188" t="e">
        <f>AND(Sheet1!#REF!,"AAAAAB/z91A=")</f>
        <v>#REF!</v>
      </c>
      <c r="CD188" t="e">
        <f>AND(Sheet1!#REF!,"AAAAAB/z91E=")</f>
        <v>#REF!</v>
      </c>
      <c r="CE188" t="e">
        <f>AND(Sheet1!#REF!,"AAAAAB/z91I=")</f>
        <v>#REF!</v>
      </c>
      <c r="CF188" t="e">
        <f>AND(Sheet1!#REF!,"AAAAAB/z91M=")</f>
        <v>#REF!</v>
      </c>
      <c r="CG188">
        <f>IF(Sheet1!2525:2525,"AAAAAB/z91Q=",0)</f>
        <v>0</v>
      </c>
      <c r="CH188" t="e">
        <f>AND(Sheet1!A2525,"AAAAAB/z91U=")</f>
        <v>#VALUE!</v>
      </c>
      <c r="CI188" t="e">
        <f>AND(Sheet1!B2525,"AAAAAB/z91Y=")</f>
        <v>#VALUE!</v>
      </c>
      <c r="CJ188" t="e">
        <f>AND(Sheet1!C2525,"AAAAAB/z91c=")</f>
        <v>#VALUE!</v>
      </c>
      <c r="CK188" t="e">
        <f>AND(Sheet1!D2525,"AAAAAB/z91g=")</f>
        <v>#VALUE!</v>
      </c>
      <c r="CL188" t="e">
        <f>AND(Sheet1!E2525,"AAAAAB/z91k=")</f>
        <v>#VALUE!</v>
      </c>
      <c r="CM188" t="e">
        <f>AND(Sheet1!F2525,"AAAAAB/z91o=")</f>
        <v>#VALUE!</v>
      </c>
      <c r="CN188" t="e">
        <f>AND(Sheet1!G2525,"AAAAAB/z91s=")</f>
        <v>#VALUE!</v>
      </c>
      <c r="CO188" t="e">
        <f>AND(Sheet1!H2525,"AAAAAB/z91w=")</f>
        <v>#VALUE!</v>
      </c>
      <c r="CP188" t="e">
        <f>AND(Sheet1!I2525,"AAAAAB/z910=")</f>
        <v>#VALUE!</v>
      </c>
      <c r="CQ188" t="e">
        <f>AND(Sheet1!J2525,"AAAAAB/z914=")</f>
        <v>#VALUE!</v>
      </c>
      <c r="CR188" t="e">
        <f>AND(Sheet1!K2525,"AAAAAB/z918=")</f>
        <v>#VALUE!</v>
      </c>
      <c r="CS188" t="e">
        <f>AND(Sheet1!L2525,"AAAAAB/z92A=")</f>
        <v>#VALUE!</v>
      </c>
      <c r="CT188" t="e">
        <f>AND(Sheet1!M2525,"AAAAAB/z92E=")</f>
        <v>#VALUE!</v>
      </c>
      <c r="CU188" t="e">
        <f>AND(Sheet1!N2525,"AAAAAB/z92I=")</f>
        <v>#VALUE!</v>
      </c>
      <c r="CV188" t="e">
        <f>AND(Sheet1!#REF!,"AAAAAB/z92M=")</f>
        <v>#REF!</v>
      </c>
      <c r="CW188" t="e">
        <f>AND(Sheet1!#REF!,"AAAAAB/z92Q=")</f>
        <v>#REF!</v>
      </c>
      <c r="CX188" t="e">
        <f>AND(Sheet1!#REF!,"AAAAAB/z92U=")</f>
        <v>#REF!</v>
      </c>
      <c r="CY188" t="e">
        <f>AND(Sheet1!#REF!,"AAAAAB/z92Y=")</f>
        <v>#REF!</v>
      </c>
      <c r="CZ188">
        <f>IF(Sheet1!2526:2526,"AAAAAB/z92c=",0)</f>
        <v>0</v>
      </c>
      <c r="DA188" t="e">
        <f>AND(Sheet1!A2526,"AAAAAB/z92g=")</f>
        <v>#VALUE!</v>
      </c>
      <c r="DB188" t="e">
        <f>AND(Sheet1!B2526,"AAAAAB/z92k=")</f>
        <v>#VALUE!</v>
      </c>
      <c r="DC188" t="e">
        <f>AND(Sheet1!C2526,"AAAAAB/z92o=")</f>
        <v>#VALUE!</v>
      </c>
      <c r="DD188" t="e">
        <f>AND(Sheet1!D2526,"AAAAAB/z92s=")</f>
        <v>#VALUE!</v>
      </c>
      <c r="DE188" t="e">
        <f>AND(Sheet1!E2526,"AAAAAB/z92w=")</f>
        <v>#VALUE!</v>
      </c>
      <c r="DF188" t="e">
        <f>AND(Sheet1!F2526,"AAAAAB/z920=")</f>
        <v>#VALUE!</v>
      </c>
      <c r="DG188" t="e">
        <f>AND(Sheet1!G2526,"AAAAAB/z924=")</f>
        <v>#VALUE!</v>
      </c>
      <c r="DH188" t="e">
        <f>AND(Sheet1!H2526,"AAAAAB/z928=")</f>
        <v>#VALUE!</v>
      </c>
      <c r="DI188" t="e">
        <f>AND(Sheet1!I2526,"AAAAAB/z93A=")</f>
        <v>#VALUE!</v>
      </c>
      <c r="DJ188" t="e">
        <f>AND(Sheet1!J2526,"AAAAAB/z93E=")</f>
        <v>#VALUE!</v>
      </c>
      <c r="DK188" t="e">
        <f>AND(Sheet1!K2526,"AAAAAB/z93I=")</f>
        <v>#VALUE!</v>
      </c>
      <c r="DL188" t="e">
        <f>AND(Sheet1!L2526,"AAAAAB/z93M=")</f>
        <v>#VALUE!</v>
      </c>
      <c r="DM188" t="e">
        <f>AND(Sheet1!M2526,"AAAAAB/z93Q=")</f>
        <v>#VALUE!</v>
      </c>
      <c r="DN188" t="e">
        <f>AND(Sheet1!N2526,"AAAAAB/z93U=")</f>
        <v>#VALUE!</v>
      </c>
      <c r="DO188" t="e">
        <f>AND(Sheet1!#REF!,"AAAAAB/z93Y=")</f>
        <v>#REF!</v>
      </c>
      <c r="DP188" t="e">
        <f>AND(Sheet1!#REF!,"AAAAAB/z93c=")</f>
        <v>#REF!</v>
      </c>
      <c r="DQ188" t="e">
        <f>AND(Sheet1!#REF!,"AAAAAB/z93g=")</f>
        <v>#REF!</v>
      </c>
      <c r="DR188" t="e">
        <f>AND(Sheet1!#REF!,"AAAAAB/z93k=")</f>
        <v>#REF!</v>
      </c>
      <c r="DS188">
        <f>IF(Sheet1!2527:2527,"AAAAAB/z93o=",0)</f>
        <v>0</v>
      </c>
      <c r="DT188" t="e">
        <f>AND(Sheet1!A2527,"AAAAAB/z93s=")</f>
        <v>#VALUE!</v>
      </c>
      <c r="DU188" t="e">
        <f>AND(Sheet1!B2527,"AAAAAB/z93w=")</f>
        <v>#VALUE!</v>
      </c>
      <c r="DV188" t="e">
        <f>AND(Sheet1!C2527,"AAAAAB/z930=")</f>
        <v>#VALUE!</v>
      </c>
      <c r="DW188" t="e">
        <f>AND(Sheet1!D2527,"AAAAAB/z934=")</f>
        <v>#VALUE!</v>
      </c>
      <c r="DX188" t="e">
        <f>AND(Sheet1!E2527,"AAAAAB/z938=")</f>
        <v>#VALUE!</v>
      </c>
      <c r="DY188" t="e">
        <f>AND(Sheet1!F2527,"AAAAAB/z94A=")</f>
        <v>#VALUE!</v>
      </c>
      <c r="DZ188" t="e">
        <f>AND(Sheet1!G2527,"AAAAAB/z94E=")</f>
        <v>#VALUE!</v>
      </c>
      <c r="EA188" t="e">
        <f>AND(Sheet1!H2527,"AAAAAB/z94I=")</f>
        <v>#VALUE!</v>
      </c>
      <c r="EB188" t="e">
        <f>AND(Sheet1!I2527,"AAAAAB/z94M=")</f>
        <v>#VALUE!</v>
      </c>
      <c r="EC188" t="e">
        <f>AND(Sheet1!J2527,"AAAAAB/z94Q=")</f>
        <v>#VALUE!</v>
      </c>
      <c r="ED188" t="e">
        <f>AND(Sheet1!K2527,"AAAAAB/z94U=")</f>
        <v>#VALUE!</v>
      </c>
      <c r="EE188" t="e">
        <f>AND(Sheet1!L2527,"AAAAAB/z94Y=")</f>
        <v>#VALUE!</v>
      </c>
      <c r="EF188" t="e">
        <f>AND(Sheet1!M2527,"AAAAAB/z94c=")</f>
        <v>#VALUE!</v>
      </c>
      <c r="EG188" t="e">
        <f>AND(Sheet1!N2527,"AAAAAB/z94g=")</f>
        <v>#VALUE!</v>
      </c>
      <c r="EH188" t="e">
        <f>AND(Sheet1!#REF!,"AAAAAB/z94k=")</f>
        <v>#REF!</v>
      </c>
      <c r="EI188" t="e">
        <f>AND(Sheet1!#REF!,"AAAAAB/z94o=")</f>
        <v>#REF!</v>
      </c>
      <c r="EJ188" t="e">
        <f>AND(Sheet1!#REF!,"AAAAAB/z94s=")</f>
        <v>#REF!</v>
      </c>
      <c r="EK188" t="e">
        <f>AND(Sheet1!#REF!,"AAAAAB/z94w=")</f>
        <v>#REF!</v>
      </c>
      <c r="EL188">
        <f>IF(Sheet1!2528:2528,"AAAAAB/z940=",0)</f>
        <v>0</v>
      </c>
      <c r="EM188" t="e">
        <f>AND(Sheet1!A2528,"AAAAAB/z944=")</f>
        <v>#VALUE!</v>
      </c>
      <c r="EN188" t="e">
        <f>AND(Sheet1!B2528,"AAAAAB/z948=")</f>
        <v>#VALUE!</v>
      </c>
      <c r="EO188" t="e">
        <f>AND(Sheet1!C2528,"AAAAAB/z95A=")</f>
        <v>#VALUE!</v>
      </c>
      <c r="EP188" t="e">
        <f>AND(Sheet1!D2528,"AAAAAB/z95E=")</f>
        <v>#VALUE!</v>
      </c>
      <c r="EQ188" t="e">
        <f>AND(Sheet1!E2528,"AAAAAB/z95I=")</f>
        <v>#VALUE!</v>
      </c>
      <c r="ER188" t="e">
        <f>AND(Sheet1!F2528,"AAAAAB/z95M=")</f>
        <v>#VALUE!</v>
      </c>
      <c r="ES188" t="e">
        <f>AND(Sheet1!G2528,"AAAAAB/z95Q=")</f>
        <v>#VALUE!</v>
      </c>
      <c r="ET188" t="e">
        <f>AND(Sheet1!H2528,"AAAAAB/z95U=")</f>
        <v>#VALUE!</v>
      </c>
      <c r="EU188" t="e">
        <f>AND(Sheet1!I2528,"AAAAAB/z95Y=")</f>
        <v>#VALUE!</v>
      </c>
      <c r="EV188" t="e">
        <f>AND(Sheet1!J2528,"AAAAAB/z95c=")</f>
        <v>#VALUE!</v>
      </c>
      <c r="EW188" t="e">
        <f>AND(Sheet1!K2528,"AAAAAB/z95g=")</f>
        <v>#VALUE!</v>
      </c>
      <c r="EX188" t="e">
        <f>AND(Sheet1!L2528,"AAAAAB/z95k=")</f>
        <v>#VALUE!</v>
      </c>
      <c r="EY188" t="e">
        <f>AND(Sheet1!M2528,"AAAAAB/z95o=")</f>
        <v>#VALUE!</v>
      </c>
      <c r="EZ188" t="e">
        <f>AND(Sheet1!N2528,"AAAAAB/z95s=")</f>
        <v>#VALUE!</v>
      </c>
      <c r="FA188" t="e">
        <f>AND(Sheet1!#REF!,"AAAAAB/z95w=")</f>
        <v>#REF!</v>
      </c>
      <c r="FB188" t="e">
        <f>AND(Sheet1!#REF!,"AAAAAB/z950=")</f>
        <v>#REF!</v>
      </c>
      <c r="FC188" t="e">
        <f>AND(Sheet1!#REF!,"AAAAAB/z954=")</f>
        <v>#REF!</v>
      </c>
      <c r="FD188" t="e">
        <f>AND(Sheet1!#REF!,"AAAAAB/z958=")</f>
        <v>#REF!</v>
      </c>
      <c r="FE188">
        <f>IF(Sheet1!2529:2529,"AAAAAB/z96A=",0)</f>
        <v>0</v>
      </c>
      <c r="FF188" t="e">
        <f>AND(Sheet1!A2529,"AAAAAB/z96E=")</f>
        <v>#VALUE!</v>
      </c>
      <c r="FG188" t="e">
        <f>AND(Sheet1!B2529,"AAAAAB/z96I=")</f>
        <v>#VALUE!</v>
      </c>
      <c r="FH188" t="e">
        <f>AND(Sheet1!C2529,"AAAAAB/z96M=")</f>
        <v>#VALUE!</v>
      </c>
      <c r="FI188" t="e">
        <f>AND(Sheet1!D2529,"AAAAAB/z96Q=")</f>
        <v>#VALUE!</v>
      </c>
      <c r="FJ188" t="e">
        <f>AND(Sheet1!E2529,"AAAAAB/z96U=")</f>
        <v>#VALUE!</v>
      </c>
      <c r="FK188" t="e">
        <f>AND(Sheet1!F2529,"AAAAAB/z96Y=")</f>
        <v>#VALUE!</v>
      </c>
      <c r="FL188" t="e">
        <f>AND(Sheet1!G2529,"AAAAAB/z96c=")</f>
        <v>#VALUE!</v>
      </c>
      <c r="FM188" t="e">
        <f>AND(Sheet1!H2529,"AAAAAB/z96g=")</f>
        <v>#VALUE!</v>
      </c>
      <c r="FN188" t="e">
        <f>AND(Sheet1!I2529,"AAAAAB/z96k=")</f>
        <v>#VALUE!</v>
      </c>
      <c r="FO188" t="e">
        <f>AND(Sheet1!J2529,"AAAAAB/z96o=")</f>
        <v>#VALUE!</v>
      </c>
      <c r="FP188" t="e">
        <f>AND(Sheet1!K2529,"AAAAAB/z96s=")</f>
        <v>#VALUE!</v>
      </c>
      <c r="FQ188" t="e">
        <f>AND(Sheet1!L2529,"AAAAAB/z96w=")</f>
        <v>#VALUE!</v>
      </c>
      <c r="FR188" t="e">
        <f>AND(Sheet1!M2529,"AAAAAB/z960=")</f>
        <v>#VALUE!</v>
      </c>
      <c r="FS188" t="e">
        <f>AND(Sheet1!N2529,"AAAAAB/z964=")</f>
        <v>#VALUE!</v>
      </c>
      <c r="FT188" t="e">
        <f>AND(Sheet1!#REF!,"AAAAAB/z968=")</f>
        <v>#REF!</v>
      </c>
      <c r="FU188" t="e">
        <f>AND(Sheet1!#REF!,"AAAAAB/z97A=")</f>
        <v>#REF!</v>
      </c>
      <c r="FV188" t="e">
        <f>AND(Sheet1!#REF!,"AAAAAB/z97E=")</f>
        <v>#REF!</v>
      </c>
      <c r="FW188" t="e">
        <f>AND(Sheet1!#REF!,"AAAAAB/z97I=")</f>
        <v>#REF!</v>
      </c>
      <c r="FX188">
        <f>IF(Sheet1!2530:2530,"AAAAAB/z97M=",0)</f>
        <v>0</v>
      </c>
      <c r="FY188" t="e">
        <f>AND(Sheet1!A2530,"AAAAAB/z97Q=")</f>
        <v>#VALUE!</v>
      </c>
      <c r="FZ188" t="e">
        <f>AND(Sheet1!B2530,"AAAAAB/z97U=")</f>
        <v>#VALUE!</v>
      </c>
      <c r="GA188" t="e">
        <f>AND(Sheet1!C2530,"AAAAAB/z97Y=")</f>
        <v>#VALUE!</v>
      </c>
      <c r="GB188" t="e">
        <f>AND(Sheet1!D2530,"AAAAAB/z97c=")</f>
        <v>#VALUE!</v>
      </c>
      <c r="GC188" t="e">
        <f>AND(Sheet1!E2530,"AAAAAB/z97g=")</f>
        <v>#VALUE!</v>
      </c>
      <c r="GD188" t="e">
        <f>AND(Sheet1!F2530,"AAAAAB/z97k=")</f>
        <v>#VALUE!</v>
      </c>
      <c r="GE188" t="e">
        <f>AND(Sheet1!G2530,"AAAAAB/z97o=")</f>
        <v>#VALUE!</v>
      </c>
      <c r="GF188" t="e">
        <f>AND(Sheet1!H2530,"AAAAAB/z97s=")</f>
        <v>#VALUE!</v>
      </c>
      <c r="GG188" t="e">
        <f>AND(Sheet1!I2530,"AAAAAB/z97w=")</f>
        <v>#VALUE!</v>
      </c>
      <c r="GH188" t="e">
        <f>AND(Sheet1!J2530,"AAAAAB/z970=")</f>
        <v>#VALUE!</v>
      </c>
      <c r="GI188" t="e">
        <f>AND(Sheet1!K2530,"AAAAAB/z974=")</f>
        <v>#VALUE!</v>
      </c>
      <c r="GJ188" t="e">
        <f>AND(Sheet1!L2530,"AAAAAB/z978=")</f>
        <v>#VALUE!</v>
      </c>
      <c r="GK188" t="e">
        <f>AND(Sheet1!M2530,"AAAAAB/z98A=")</f>
        <v>#VALUE!</v>
      </c>
      <c r="GL188" t="e">
        <f>AND(Sheet1!N2530,"AAAAAB/z98E=")</f>
        <v>#VALUE!</v>
      </c>
      <c r="GM188" t="e">
        <f>AND(Sheet1!#REF!,"AAAAAB/z98I=")</f>
        <v>#REF!</v>
      </c>
      <c r="GN188" t="e">
        <f>AND(Sheet1!#REF!,"AAAAAB/z98M=")</f>
        <v>#REF!</v>
      </c>
      <c r="GO188" t="e">
        <f>AND(Sheet1!#REF!,"AAAAAB/z98Q=")</f>
        <v>#REF!</v>
      </c>
      <c r="GP188" t="e">
        <f>AND(Sheet1!#REF!,"AAAAAB/z98U=")</f>
        <v>#REF!</v>
      </c>
      <c r="GQ188">
        <f>IF(Sheet1!2531:2531,"AAAAAB/z98Y=",0)</f>
        <v>0</v>
      </c>
      <c r="GR188" t="e">
        <f>AND(Sheet1!A2531,"AAAAAB/z98c=")</f>
        <v>#VALUE!</v>
      </c>
      <c r="GS188" t="e">
        <f>AND(Sheet1!B2531,"AAAAAB/z98g=")</f>
        <v>#VALUE!</v>
      </c>
      <c r="GT188" t="e">
        <f>AND(Sheet1!C2531,"AAAAAB/z98k=")</f>
        <v>#VALUE!</v>
      </c>
      <c r="GU188" t="e">
        <f>AND(Sheet1!D2531,"AAAAAB/z98o=")</f>
        <v>#VALUE!</v>
      </c>
      <c r="GV188" t="e">
        <f>AND(Sheet1!E2531,"AAAAAB/z98s=")</f>
        <v>#VALUE!</v>
      </c>
      <c r="GW188" t="e">
        <f>AND(Sheet1!F2531,"AAAAAB/z98w=")</f>
        <v>#VALUE!</v>
      </c>
      <c r="GX188" t="e">
        <f>AND(Sheet1!G2531,"AAAAAB/z980=")</f>
        <v>#VALUE!</v>
      </c>
      <c r="GY188" t="e">
        <f>AND(Sheet1!H2531,"AAAAAB/z984=")</f>
        <v>#VALUE!</v>
      </c>
      <c r="GZ188" t="e">
        <f>AND(Sheet1!I2531,"AAAAAB/z988=")</f>
        <v>#VALUE!</v>
      </c>
      <c r="HA188" t="e">
        <f>AND(Sheet1!J2531,"AAAAAB/z99A=")</f>
        <v>#VALUE!</v>
      </c>
      <c r="HB188" t="e">
        <f>AND(Sheet1!K2531,"AAAAAB/z99E=")</f>
        <v>#VALUE!</v>
      </c>
      <c r="HC188" t="e">
        <f>AND(Sheet1!L2531,"AAAAAB/z99I=")</f>
        <v>#VALUE!</v>
      </c>
      <c r="HD188" t="e">
        <f>AND(Sheet1!M2531,"AAAAAB/z99M=")</f>
        <v>#VALUE!</v>
      </c>
      <c r="HE188" t="e">
        <f>AND(Sheet1!N2531,"AAAAAB/z99Q=")</f>
        <v>#VALUE!</v>
      </c>
      <c r="HF188" t="e">
        <f>AND(Sheet1!#REF!,"AAAAAB/z99U=")</f>
        <v>#REF!</v>
      </c>
      <c r="HG188" t="e">
        <f>AND(Sheet1!#REF!,"AAAAAB/z99Y=")</f>
        <v>#REF!</v>
      </c>
      <c r="HH188" t="e">
        <f>AND(Sheet1!#REF!,"AAAAAB/z99c=")</f>
        <v>#REF!</v>
      </c>
      <c r="HI188" t="e">
        <f>AND(Sheet1!#REF!,"AAAAAB/z99g=")</f>
        <v>#REF!</v>
      </c>
      <c r="HJ188">
        <f>IF(Sheet1!2532:2532,"AAAAAB/z99k=",0)</f>
        <v>0</v>
      </c>
      <c r="HK188" t="e">
        <f>AND(Sheet1!A2532,"AAAAAB/z99o=")</f>
        <v>#VALUE!</v>
      </c>
      <c r="HL188" t="e">
        <f>AND(Sheet1!B2532,"AAAAAB/z99s=")</f>
        <v>#VALUE!</v>
      </c>
      <c r="HM188" t="e">
        <f>AND(Sheet1!C2532,"AAAAAB/z99w=")</f>
        <v>#VALUE!</v>
      </c>
      <c r="HN188" t="e">
        <f>AND(Sheet1!D2532,"AAAAAB/z990=")</f>
        <v>#VALUE!</v>
      </c>
      <c r="HO188" t="e">
        <f>AND(Sheet1!E2532,"AAAAAB/z994=")</f>
        <v>#VALUE!</v>
      </c>
      <c r="HP188" t="e">
        <f>AND(Sheet1!F2532,"AAAAAB/z998=")</f>
        <v>#VALUE!</v>
      </c>
      <c r="HQ188" t="e">
        <f>AND(Sheet1!G2532,"AAAAAB/z9+A=")</f>
        <v>#VALUE!</v>
      </c>
      <c r="HR188" t="e">
        <f>AND(Sheet1!H2532,"AAAAAB/z9+E=")</f>
        <v>#VALUE!</v>
      </c>
      <c r="HS188" t="e">
        <f>AND(Sheet1!I2532,"AAAAAB/z9+I=")</f>
        <v>#VALUE!</v>
      </c>
      <c r="HT188" t="e">
        <f>AND(Sheet1!J2532,"AAAAAB/z9+M=")</f>
        <v>#VALUE!</v>
      </c>
      <c r="HU188" t="e">
        <f>AND(Sheet1!K2532,"AAAAAB/z9+Q=")</f>
        <v>#VALUE!</v>
      </c>
      <c r="HV188" t="e">
        <f>AND(Sheet1!L2532,"AAAAAB/z9+U=")</f>
        <v>#VALUE!</v>
      </c>
      <c r="HW188" t="e">
        <f>AND(Sheet1!M2532,"AAAAAB/z9+Y=")</f>
        <v>#VALUE!</v>
      </c>
      <c r="HX188" t="e">
        <f>AND(Sheet1!N2532,"AAAAAB/z9+c=")</f>
        <v>#VALUE!</v>
      </c>
      <c r="HY188" t="e">
        <f>AND(Sheet1!#REF!,"AAAAAB/z9+g=")</f>
        <v>#REF!</v>
      </c>
      <c r="HZ188" t="e">
        <f>AND(Sheet1!#REF!,"AAAAAB/z9+k=")</f>
        <v>#REF!</v>
      </c>
      <c r="IA188" t="e">
        <f>AND(Sheet1!#REF!,"AAAAAB/z9+o=")</f>
        <v>#REF!</v>
      </c>
      <c r="IB188" t="e">
        <f>AND(Sheet1!#REF!,"AAAAAB/z9+s=")</f>
        <v>#REF!</v>
      </c>
      <c r="IC188">
        <f>IF(Sheet1!2533:2533,"AAAAAB/z9+w=",0)</f>
        <v>0</v>
      </c>
      <c r="ID188" t="e">
        <f>AND(Sheet1!A2533,"AAAAAB/z9+0=")</f>
        <v>#VALUE!</v>
      </c>
      <c r="IE188" t="e">
        <f>AND(Sheet1!B2533,"AAAAAB/z9+4=")</f>
        <v>#VALUE!</v>
      </c>
      <c r="IF188" t="e">
        <f>AND(Sheet1!C2533,"AAAAAB/z9+8=")</f>
        <v>#VALUE!</v>
      </c>
      <c r="IG188" t="e">
        <f>AND(Sheet1!D2533,"AAAAAB/z9/A=")</f>
        <v>#VALUE!</v>
      </c>
      <c r="IH188" t="e">
        <f>AND(Sheet1!E2533,"AAAAAB/z9/E=")</f>
        <v>#VALUE!</v>
      </c>
      <c r="II188" t="e">
        <f>AND(Sheet1!F2533,"AAAAAB/z9/I=")</f>
        <v>#VALUE!</v>
      </c>
      <c r="IJ188" t="e">
        <f>AND(Sheet1!G2533,"AAAAAB/z9/M=")</f>
        <v>#VALUE!</v>
      </c>
      <c r="IK188" t="e">
        <f>AND(Sheet1!H2533,"AAAAAB/z9/Q=")</f>
        <v>#VALUE!</v>
      </c>
      <c r="IL188" t="e">
        <f>AND(Sheet1!I2533,"AAAAAB/z9/U=")</f>
        <v>#VALUE!</v>
      </c>
      <c r="IM188" t="e">
        <f>AND(Sheet1!J2533,"AAAAAB/z9/Y=")</f>
        <v>#VALUE!</v>
      </c>
      <c r="IN188" t="e">
        <f>AND(Sheet1!K2533,"AAAAAB/z9/c=")</f>
        <v>#VALUE!</v>
      </c>
      <c r="IO188" t="e">
        <f>AND(Sheet1!L2533,"AAAAAB/z9/g=")</f>
        <v>#VALUE!</v>
      </c>
      <c r="IP188" t="e">
        <f>AND(Sheet1!M2533,"AAAAAB/z9/k=")</f>
        <v>#VALUE!</v>
      </c>
      <c r="IQ188" t="e">
        <f>AND(Sheet1!N2533,"AAAAAB/z9/o=")</f>
        <v>#VALUE!</v>
      </c>
      <c r="IR188" t="e">
        <f>AND(Sheet1!#REF!,"AAAAAB/z9/s=")</f>
        <v>#REF!</v>
      </c>
      <c r="IS188" t="e">
        <f>AND(Sheet1!#REF!,"AAAAAB/z9/w=")</f>
        <v>#REF!</v>
      </c>
      <c r="IT188" t="e">
        <f>AND(Sheet1!#REF!,"AAAAAB/z9/0=")</f>
        <v>#REF!</v>
      </c>
      <c r="IU188" t="e">
        <f>AND(Sheet1!#REF!,"AAAAAB/z9/4=")</f>
        <v>#REF!</v>
      </c>
      <c r="IV188">
        <f>IF(Sheet1!2534:2534,"AAAAAB/z9/8=",0)</f>
        <v>0</v>
      </c>
    </row>
    <row r="189" spans="1:256" x14ac:dyDescent="0.2">
      <c r="A189" t="e">
        <f>AND(Sheet1!A2534,"AAAAAFdvzgA=")</f>
        <v>#VALUE!</v>
      </c>
      <c r="B189" t="e">
        <f>AND(Sheet1!B2534,"AAAAAFdvzgE=")</f>
        <v>#VALUE!</v>
      </c>
      <c r="C189" t="e">
        <f>AND(Sheet1!C2534,"AAAAAFdvzgI=")</f>
        <v>#VALUE!</v>
      </c>
      <c r="D189" t="e">
        <f>AND(Sheet1!D2534,"AAAAAFdvzgM=")</f>
        <v>#VALUE!</v>
      </c>
      <c r="E189" t="e">
        <f>AND(Sheet1!E2534,"AAAAAFdvzgQ=")</f>
        <v>#VALUE!</v>
      </c>
      <c r="F189" t="e">
        <f>AND(Sheet1!F2534,"AAAAAFdvzgU=")</f>
        <v>#VALUE!</v>
      </c>
      <c r="G189" t="e">
        <f>AND(Sheet1!G2534,"AAAAAFdvzgY=")</f>
        <v>#VALUE!</v>
      </c>
      <c r="H189" t="e">
        <f>AND(Sheet1!H2534,"AAAAAFdvzgc=")</f>
        <v>#VALUE!</v>
      </c>
      <c r="I189" t="e">
        <f>AND(Sheet1!I2534,"AAAAAFdvzgg=")</f>
        <v>#VALUE!</v>
      </c>
      <c r="J189" t="e">
        <f>AND(Sheet1!J2534,"AAAAAFdvzgk=")</f>
        <v>#VALUE!</v>
      </c>
      <c r="K189" t="e">
        <f>AND(Sheet1!K2534,"AAAAAFdvzgo=")</f>
        <v>#VALUE!</v>
      </c>
      <c r="L189" t="e">
        <f>AND(Sheet1!L2534,"AAAAAFdvzgs=")</f>
        <v>#VALUE!</v>
      </c>
      <c r="M189" t="e">
        <f>AND(Sheet1!M2534,"AAAAAFdvzgw=")</f>
        <v>#VALUE!</v>
      </c>
      <c r="N189" t="e">
        <f>AND(Sheet1!N2534,"AAAAAFdvzg0=")</f>
        <v>#VALUE!</v>
      </c>
      <c r="O189" t="e">
        <f>AND(Sheet1!#REF!,"AAAAAFdvzg4=")</f>
        <v>#REF!</v>
      </c>
      <c r="P189" t="e">
        <f>AND(Sheet1!#REF!,"AAAAAFdvzg8=")</f>
        <v>#REF!</v>
      </c>
      <c r="Q189" t="e">
        <f>AND(Sheet1!#REF!,"AAAAAFdvzhA=")</f>
        <v>#REF!</v>
      </c>
      <c r="R189" t="e">
        <f>AND(Sheet1!#REF!,"AAAAAFdvzhE=")</f>
        <v>#REF!</v>
      </c>
      <c r="S189">
        <f>IF(Sheet1!2535:2535,"AAAAAFdvzhI=",0)</f>
        <v>0</v>
      </c>
      <c r="T189" t="e">
        <f>AND(Sheet1!A2535,"AAAAAFdvzhM=")</f>
        <v>#VALUE!</v>
      </c>
      <c r="U189" t="e">
        <f>AND(Sheet1!B2535,"AAAAAFdvzhQ=")</f>
        <v>#VALUE!</v>
      </c>
      <c r="V189" t="e">
        <f>AND(Sheet1!C2535,"AAAAAFdvzhU=")</f>
        <v>#VALUE!</v>
      </c>
      <c r="W189" t="e">
        <f>AND(Sheet1!D2535,"AAAAAFdvzhY=")</f>
        <v>#VALUE!</v>
      </c>
      <c r="X189" t="e">
        <f>AND(Sheet1!E2535,"AAAAAFdvzhc=")</f>
        <v>#VALUE!</v>
      </c>
      <c r="Y189" t="e">
        <f>AND(Sheet1!F2535,"AAAAAFdvzhg=")</f>
        <v>#VALUE!</v>
      </c>
      <c r="Z189" t="e">
        <f>AND(Sheet1!G2535,"AAAAAFdvzhk=")</f>
        <v>#VALUE!</v>
      </c>
      <c r="AA189" t="e">
        <f>AND(Sheet1!H2535,"AAAAAFdvzho=")</f>
        <v>#VALUE!</v>
      </c>
      <c r="AB189" t="e">
        <f>AND(Sheet1!I2535,"AAAAAFdvzhs=")</f>
        <v>#VALUE!</v>
      </c>
      <c r="AC189" t="e">
        <f>AND(Sheet1!J2535,"AAAAAFdvzhw=")</f>
        <v>#VALUE!</v>
      </c>
      <c r="AD189" t="e">
        <f>AND(Sheet1!K2535,"AAAAAFdvzh0=")</f>
        <v>#VALUE!</v>
      </c>
      <c r="AE189" t="e">
        <f>AND(Sheet1!L2535,"AAAAAFdvzh4=")</f>
        <v>#VALUE!</v>
      </c>
      <c r="AF189" t="e">
        <f>AND(Sheet1!M2535,"AAAAAFdvzh8=")</f>
        <v>#VALUE!</v>
      </c>
      <c r="AG189" t="e">
        <f>AND(Sheet1!N2535,"AAAAAFdvziA=")</f>
        <v>#VALUE!</v>
      </c>
      <c r="AH189" t="e">
        <f>AND(Sheet1!#REF!,"AAAAAFdvziE=")</f>
        <v>#REF!</v>
      </c>
      <c r="AI189" t="e">
        <f>AND(Sheet1!#REF!,"AAAAAFdvziI=")</f>
        <v>#REF!</v>
      </c>
      <c r="AJ189" t="e">
        <f>AND(Sheet1!#REF!,"AAAAAFdvziM=")</f>
        <v>#REF!</v>
      </c>
      <c r="AK189" t="e">
        <f>AND(Sheet1!#REF!,"AAAAAFdvziQ=")</f>
        <v>#REF!</v>
      </c>
      <c r="AL189">
        <f>IF(Sheet1!2536:2536,"AAAAAFdvziU=",0)</f>
        <v>0</v>
      </c>
      <c r="AM189" t="e">
        <f>AND(Sheet1!A2536,"AAAAAFdvziY=")</f>
        <v>#VALUE!</v>
      </c>
      <c r="AN189" t="e">
        <f>AND(Sheet1!B2536,"AAAAAFdvzic=")</f>
        <v>#VALUE!</v>
      </c>
      <c r="AO189" t="e">
        <f>AND(Sheet1!C2536,"AAAAAFdvzig=")</f>
        <v>#VALUE!</v>
      </c>
      <c r="AP189" t="e">
        <f>AND(Sheet1!D2536,"AAAAAFdvzik=")</f>
        <v>#VALUE!</v>
      </c>
      <c r="AQ189" t="e">
        <f>AND(Sheet1!E2536,"AAAAAFdvzio=")</f>
        <v>#VALUE!</v>
      </c>
      <c r="AR189" t="e">
        <f>AND(Sheet1!F2536,"AAAAAFdvzis=")</f>
        <v>#VALUE!</v>
      </c>
      <c r="AS189" t="e">
        <f>AND(Sheet1!G2536,"AAAAAFdvziw=")</f>
        <v>#VALUE!</v>
      </c>
      <c r="AT189" t="e">
        <f>AND(Sheet1!H2536,"AAAAAFdvzi0=")</f>
        <v>#VALUE!</v>
      </c>
      <c r="AU189" t="e">
        <f>AND(Sheet1!I2536,"AAAAAFdvzi4=")</f>
        <v>#VALUE!</v>
      </c>
      <c r="AV189" t="e">
        <f>AND(Sheet1!J2536,"AAAAAFdvzi8=")</f>
        <v>#VALUE!</v>
      </c>
      <c r="AW189" t="e">
        <f>AND(Sheet1!K2536,"AAAAAFdvzjA=")</f>
        <v>#VALUE!</v>
      </c>
      <c r="AX189" t="e">
        <f>AND(Sheet1!L2536,"AAAAAFdvzjE=")</f>
        <v>#VALUE!</v>
      </c>
      <c r="AY189" t="e">
        <f>AND(Sheet1!M2536,"AAAAAFdvzjI=")</f>
        <v>#VALUE!</v>
      </c>
      <c r="AZ189" t="e">
        <f>AND(Sheet1!N2536,"AAAAAFdvzjM=")</f>
        <v>#VALUE!</v>
      </c>
      <c r="BA189" t="e">
        <f>AND(Sheet1!#REF!,"AAAAAFdvzjQ=")</f>
        <v>#REF!</v>
      </c>
      <c r="BB189" t="e">
        <f>AND(Sheet1!#REF!,"AAAAAFdvzjU=")</f>
        <v>#REF!</v>
      </c>
      <c r="BC189" t="e">
        <f>AND(Sheet1!#REF!,"AAAAAFdvzjY=")</f>
        <v>#REF!</v>
      </c>
      <c r="BD189" t="e">
        <f>AND(Sheet1!#REF!,"AAAAAFdvzjc=")</f>
        <v>#REF!</v>
      </c>
      <c r="BE189">
        <f>IF(Sheet1!2537:2537,"AAAAAFdvzjg=",0)</f>
        <v>0</v>
      </c>
      <c r="BF189" t="e">
        <f>AND(Sheet1!A2537,"AAAAAFdvzjk=")</f>
        <v>#VALUE!</v>
      </c>
      <c r="BG189" t="e">
        <f>AND(Sheet1!B2537,"AAAAAFdvzjo=")</f>
        <v>#VALUE!</v>
      </c>
      <c r="BH189" t="e">
        <f>AND(Sheet1!C2537,"AAAAAFdvzjs=")</f>
        <v>#VALUE!</v>
      </c>
      <c r="BI189" t="e">
        <f>AND(Sheet1!D2537,"AAAAAFdvzjw=")</f>
        <v>#VALUE!</v>
      </c>
      <c r="BJ189" t="e">
        <f>AND(Sheet1!E2537,"AAAAAFdvzj0=")</f>
        <v>#VALUE!</v>
      </c>
      <c r="BK189" t="e">
        <f>AND(Sheet1!F2537,"AAAAAFdvzj4=")</f>
        <v>#VALUE!</v>
      </c>
      <c r="BL189" t="e">
        <f>AND(Sheet1!G2537,"AAAAAFdvzj8=")</f>
        <v>#VALUE!</v>
      </c>
      <c r="BM189" t="e">
        <f>AND(Sheet1!H2537,"AAAAAFdvzkA=")</f>
        <v>#VALUE!</v>
      </c>
      <c r="BN189" t="e">
        <f>AND(Sheet1!I2537,"AAAAAFdvzkE=")</f>
        <v>#VALUE!</v>
      </c>
      <c r="BO189" t="e">
        <f>AND(Sheet1!J2537,"AAAAAFdvzkI=")</f>
        <v>#VALUE!</v>
      </c>
      <c r="BP189" t="e">
        <f>AND(Sheet1!K2537,"AAAAAFdvzkM=")</f>
        <v>#VALUE!</v>
      </c>
      <c r="BQ189" t="e">
        <f>AND(Sheet1!L2537,"AAAAAFdvzkQ=")</f>
        <v>#VALUE!</v>
      </c>
      <c r="BR189" t="e">
        <f>AND(Sheet1!M2537,"AAAAAFdvzkU=")</f>
        <v>#VALUE!</v>
      </c>
      <c r="BS189" t="e">
        <f>AND(Sheet1!N2537,"AAAAAFdvzkY=")</f>
        <v>#VALUE!</v>
      </c>
      <c r="BT189" t="e">
        <f>AND(Sheet1!#REF!,"AAAAAFdvzkc=")</f>
        <v>#REF!</v>
      </c>
      <c r="BU189" t="e">
        <f>AND(Sheet1!#REF!,"AAAAAFdvzkg=")</f>
        <v>#REF!</v>
      </c>
      <c r="BV189" t="e">
        <f>AND(Sheet1!#REF!,"AAAAAFdvzkk=")</f>
        <v>#REF!</v>
      </c>
      <c r="BW189" t="e">
        <f>AND(Sheet1!#REF!,"AAAAAFdvzko=")</f>
        <v>#REF!</v>
      </c>
      <c r="BX189">
        <f>IF(Sheet1!2538:2538,"AAAAAFdvzks=",0)</f>
        <v>0</v>
      </c>
      <c r="BY189" t="e">
        <f>AND(Sheet1!A2538,"AAAAAFdvzkw=")</f>
        <v>#VALUE!</v>
      </c>
      <c r="BZ189" t="e">
        <f>AND(Sheet1!B2538,"AAAAAFdvzk0=")</f>
        <v>#VALUE!</v>
      </c>
      <c r="CA189" t="e">
        <f>AND(Sheet1!C2538,"AAAAAFdvzk4=")</f>
        <v>#VALUE!</v>
      </c>
      <c r="CB189" t="e">
        <f>AND(Sheet1!D2538,"AAAAAFdvzk8=")</f>
        <v>#VALUE!</v>
      </c>
      <c r="CC189" t="e">
        <f>AND(Sheet1!E2538,"AAAAAFdvzlA=")</f>
        <v>#VALUE!</v>
      </c>
      <c r="CD189" t="e">
        <f>AND(Sheet1!F2538,"AAAAAFdvzlE=")</f>
        <v>#VALUE!</v>
      </c>
      <c r="CE189" t="e">
        <f>AND(Sheet1!G2538,"AAAAAFdvzlI=")</f>
        <v>#VALUE!</v>
      </c>
      <c r="CF189" t="e">
        <f>AND(Sheet1!H2538,"AAAAAFdvzlM=")</f>
        <v>#VALUE!</v>
      </c>
      <c r="CG189" t="e">
        <f>AND(Sheet1!I2538,"AAAAAFdvzlQ=")</f>
        <v>#VALUE!</v>
      </c>
      <c r="CH189" t="e">
        <f>AND(Sheet1!J2538,"AAAAAFdvzlU=")</f>
        <v>#VALUE!</v>
      </c>
      <c r="CI189" t="e">
        <f>AND(Sheet1!K2538,"AAAAAFdvzlY=")</f>
        <v>#VALUE!</v>
      </c>
      <c r="CJ189" t="e">
        <f>AND(Sheet1!L2538,"AAAAAFdvzlc=")</f>
        <v>#VALUE!</v>
      </c>
      <c r="CK189" t="e">
        <f>AND(Sheet1!M2538,"AAAAAFdvzlg=")</f>
        <v>#VALUE!</v>
      </c>
      <c r="CL189" t="e">
        <f>AND(Sheet1!N2538,"AAAAAFdvzlk=")</f>
        <v>#VALUE!</v>
      </c>
      <c r="CM189" t="e">
        <f>AND(Sheet1!#REF!,"AAAAAFdvzlo=")</f>
        <v>#REF!</v>
      </c>
      <c r="CN189" t="e">
        <f>AND(Sheet1!#REF!,"AAAAAFdvzls=")</f>
        <v>#REF!</v>
      </c>
      <c r="CO189" t="e">
        <f>AND(Sheet1!#REF!,"AAAAAFdvzlw=")</f>
        <v>#REF!</v>
      </c>
      <c r="CP189" t="e">
        <f>AND(Sheet1!#REF!,"AAAAAFdvzl0=")</f>
        <v>#REF!</v>
      </c>
      <c r="CQ189">
        <f>IF(Sheet1!2539:2539,"AAAAAFdvzl4=",0)</f>
        <v>0</v>
      </c>
      <c r="CR189" t="e">
        <f>AND(Sheet1!A2539,"AAAAAFdvzl8=")</f>
        <v>#VALUE!</v>
      </c>
      <c r="CS189" t="e">
        <f>AND(Sheet1!B2539,"AAAAAFdvzmA=")</f>
        <v>#VALUE!</v>
      </c>
      <c r="CT189" t="e">
        <f>AND(Sheet1!C2539,"AAAAAFdvzmE=")</f>
        <v>#VALUE!</v>
      </c>
      <c r="CU189" t="e">
        <f>AND(Sheet1!D2539,"AAAAAFdvzmI=")</f>
        <v>#VALUE!</v>
      </c>
      <c r="CV189" t="e">
        <f>AND(Sheet1!E2539,"AAAAAFdvzmM=")</f>
        <v>#VALUE!</v>
      </c>
      <c r="CW189" t="e">
        <f>AND(Sheet1!F2539,"AAAAAFdvzmQ=")</f>
        <v>#VALUE!</v>
      </c>
      <c r="CX189" t="e">
        <f>AND(Sheet1!G2539,"AAAAAFdvzmU=")</f>
        <v>#VALUE!</v>
      </c>
      <c r="CY189" t="e">
        <f>AND(Sheet1!H2539,"AAAAAFdvzmY=")</f>
        <v>#VALUE!</v>
      </c>
      <c r="CZ189" t="e">
        <f>AND(Sheet1!I2539,"AAAAAFdvzmc=")</f>
        <v>#VALUE!</v>
      </c>
      <c r="DA189" t="e">
        <f>AND(Sheet1!J2539,"AAAAAFdvzmg=")</f>
        <v>#VALUE!</v>
      </c>
      <c r="DB189" t="e">
        <f>AND(Sheet1!K2539,"AAAAAFdvzmk=")</f>
        <v>#VALUE!</v>
      </c>
      <c r="DC189" t="e">
        <f>AND(Sheet1!L2539,"AAAAAFdvzmo=")</f>
        <v>#VALUE!</v>
      </c>
      <c r="DD189" t="e">
        <f>AND(Sheet1!M2539,"AAAAAFdvzms=")</f>
        <v>#VALUE!</v>
      </c>
      <c r="DE189" t="e">
        <f>AND(Sheet1!N2539,"AAAAAFdvzmw=")</f>
        <v>#VALUE!</v>
      </c>
      <c r="DF189" t="e">
        <f>AND(Sheet1!#REF!,"AAAAAFdvzm0=")</f>
        <v>#REF!</v>
      </c>
      <c r="DG189" t="e">
        <f>AND(Sheet1!#REF!,"AAAAAFdvzm4=")</f>
        <v>#REF!</v>
      </c>
      <c r="DH189" t="e">
        <f>AND(Sheet1!#REF!,"AAAAAFdvzm8=")</f>
        <v>#REF!</v>
      </c>
      <c r="DI189" t="e">
        <f>AND(Sheet1!#REF!,"AAAAAFdvznA=")</f>
        <v>#REF!</v>
      </c>
      <c r="DJ189">
        <f>IF(Sheet1!2540:2540,"AAAAAFdvznE=",0)</f>
        <v>0</v>
      </c>
      <c r="DK189" t="e">
        <f>AND(Sheet1!A2540,"AAAAAFdvznI=")</f>
        <v>#VALUE!</v>
      </c>
      <c r="DL189" t="e">
        <f>AND(Sheet1!B2540,"AAAAAFdvznM=")</f>
        <v>#VALUE!</v>
      </c>
      <c r="DM189" t="e">
        <f>AND(Sheet1!C2540,"AAAAAFdvznQ=")</f>
        <v>#VALUE!</v>
      </c>
      <c r="DN189" t="e">
        <f>AND(Sheet1!D2540,"AAAAAFdvznU=")</f>
        <v>#VALUE!</v>
      </c>
      <c r="DO189" t="e">
        <f>AND(Sheet1!E2540,"AAAAAFdvznY=")</f>
        <v>#VALUE!</v>
      </c>
      <c r="DP189" t="e">
        <f>AND(Sheet1!F2540,"AAAAAFdvznc=")</f>
        <v>#VALUE!</v>
      </c>
      <c r="DQ189" t="e">
        <f>AND(Sheet1!G2540,"AAAAAFdvzng=")</f>
        <v>#VALUE!</v>
      </c>
      <c r="DR189" t="e">
        <f>AND(Sheet1!H2540,"AAAAAFdvznk=")</f>
        <v>#VALUE!</v>
      </c>
      <c r="DS189" t="e">
        <f>AND(Sheet1!I2540,"AAAAAFdvzno=")</f>
        <v>#VALUE!</v>
      </c>
      <c r="DT189" t="e">
        <f>AND(Sheet1!J2540,"AAAAAFdvzns=")</f>
        <v>#VALUE!</v>
      </c>
      <c r="DU189" t="e">
        <f>AND(Sheet1!K2540,"AAAAAFdvznw=")</f>
        <v>#VALUE!</v>
      </c>
      <c r="DV189" t="e">
        <f>AND(Sheet1!L2540,"AAAAAFdvzn0=")</f>
        <v>#VALUE!</v>
      </c>
      <c r="DW189" t="e">
        <f>AND(Sheet1!M2540,"AAAAAFdvzn4=")</f>
        <v>#VALUE!</v>
      </c>
      <c r="DX189" t="e">
        <f>AND(Sheet1!N2540,"AAAAAFdvzn8=")</f>
        <v>#VALUE!</v>
      </c>
      <c r="DY189" t="e">
        <f>AND(Sheet1!#REF!,"AAAAAFdvzoA=")</f>
        <v>#REF!</v>
      </c>
      <c r="DZ189" t="e">
        <f>AND(Sheet1!#REF!,"AAAAAFdvzoE=")</f>
        <v>#REF!</v>
      </c>
      <c r="EA189" t="e">
        <f>AND(Sheet1!#REF!,"AAAAAFdvzoI=")</f>
        <v>#REF!</v>
      </c>
      <c r="EB189" t="e">
        <f>AND(Sheet1!#REF!,"AAAAAFdvzoM=")</f>
        <v>#REF!</v>
      </c>
      <c r="EC189">
        <f>IF(Sheet1!2541:2541,"AAAAAFdvzoQ=",0)</f>
        <v>0</v>
      </c>
      <c r="ED189" t="e">
        <f>AND(Sheet1!A2541,"AAAAAFdvzoU=")</f>
        <v>#VALUE!</v>
      </c>
      <c r="EE189" t="e">
        <f>AND(Sheet1!B2541,"AAAAAFdvzoY=")</f>
        <v>#VALUE!</v>
      </c>
      <c r="EF189" t="e">
        <f>AND(Sheet1!C2541,"AAAAAFdvzoc=")</f>
        <v>#VALUE!</v>
      </c>
      <c r="EG189" t="e">
        <f>AND(Sheet1!D2541,"AAAAAFdvzog=")</f>
        <v>#VALUE!</v>
      </c>
      <c r="EH189" t="e">
        <f>AND(Sheet1!E2541,"AAAAAFdvzok=")</f>
        <v>#VALUE!</v>
      </c>
      <c r="EI189" t="e">
        <f>AND(Sheet1!F2541,"AAAAAFdvzoo=")</f>
        <v>#VALUE!</v>
      </c>
      <c r="EJ189" t="e">
        <f>AND(Sheet1!G2541,"AAAAAFdvzos=")</f>
        <v>#VALUE!</v>
      </c>
      <c r="EK189" t="e">
        <f>AND(Sheet1!H2541,"AAAAAFdvzow=")</f>
        <v>#VALUE!</v>
      </c>
      <c r="EL189" t="e">
        <f>AND(Sheet1!I2541,"AAAAAFdvzo0=")</f>
        <v>#VALUE!</v>
      </c>
      <c r="EM189" t="e">
        <f>AND(Sheet1!J2541,"AAAAAFdvzo4=")</f>
        <v>#VALUE!</v>
      </c>
      <c r="EN189" t="e">
        <f>AND(Sheet1!K2541,"AAAAAFdvzo8=")</f>
        <v>#VALUE!</v>
      </c>
      <c r="EO189" t="e">
        <f>AND(Sheet1!L2541,"AAAAAFdvzpA=")</f>
        <v>#VALUE!</v>
      </c>
      <c r="EP189" t="e">
        <f>AND(Sheet1!M2541,"AAAAAFdvzpE=")</f>
        <v>#VALUE!</v>
      </c>
      <c r="EQ189" t="e">
        <f>AND(Sheet1!N2541,"AAAAAFdvzpI=")</f>
        <v>#VALUE!</v>
      </c>
      <c r="ER189" t="e">
        <f>AND(Sheet1!#REF!,"AAAAAFdvzpM=")</f>
        <v>#REF!</v>
      </c>
      <c r="ES189" t="e">
        <f>AND(Sheet1!#REF!,"AAAAAFdvzpQ=")</f>
        <v>#REF!</v>
      </c>
      <c r="ET189" t="e">
        <f>AND(Sheet1!#REF!,"AAAAAFdvzpU=")</f>
        <v>#REF!</v>
      </c>
      <c r="EU189" t="e">
        <f>AND(Sheet1!#REF!,"AAAAAFdvzpY=")</f>
        <v>#REF!</v>
      </c>
      <c r="EV189">
        <f>IF(Sheet1!2542:2542,"AAAAAFdvzpc=",0)</f>
        <v>0</v>
      </c>
      <c r="EW189" t="e">
        <f>AND(Sheet1!A2542,"AAAAAFdvzpg=")</f>
        <v>#VALUE!</v>
      </c>
      <c r="EX189" t="e">
        <f>AND(Sheet1!B2542,"AAAAAFdvzpk=")</f>
        <v>#VALUE!</v>
      </c>
      <c r="EY189" t="e">
        <f>AND(Sheet1!C2542,"AAAAAFdvzpo=")</f>
        <v>#VALUE!</v>
      </c>
      <c r="EZ189" t="e">
        <f>AND(Sheet1!D2542,"AAAAAFdvzps=")</f>
        <v>#VALUE!</v>
      </c>
      <c r="FA189" t="e">
        <f>AND(Sheet1!E2542,"AAAAAFdvzpw=")</f>
        <v>#VALUE!</v>
      </c>
      <c r="FB189" t="e">
        <f>AND(Sheet1!F2542,"AAAAAFdvzp0=")</f>
        <v>#VALUE!</v>
      </c>
      <c r="FC189" t="e">
        <f>AND(Sheet1!G2542,"AAAAAFdvzp4=")</f>
        <v>#VALUE!</v>
      </c>
      <c r="FD189" t="e">
        <f>AND(Sheet1!H2542,"AAAAAFdvzp8=")</f>
        <v>#VALUE!</v>
      </c>
      <c r="FE189" t="e">
        <f>AND(Sheet1!I2542,"AAAAAFdvzqA=")</f>
        <v>#VALUE!</v>
      </c>
      <c r="FF189" t="e">
        <f>AND(Sheet1!J2542,"AAAAAFdvzqE=")</f>
        <v>#VALUE!</v>
      </c>
      <c r="FG189" t="e">
        <f>AND(Sheet1!K2542,"AAAAAFdvzqI=")</f>
        <v>#VALUE!</v>
      </c>
      <c r="FH189" t="e">
        <f>AND(Sheet1!L2542,"AAAAAFdvzqM=")</f>
        <v>#VALUE!</v>
      </c>
      <c r="FI189" t="e">
        <f>AND(Sheet1!M2542,"AAAAAFdvzqQ=")</f>
        <v>#VALUE!</v>
      </c>
      <c r="FJ189" t="e">
        <f>AND(Sheet1!N2542,"AAAAAFdvzqU=")</f>
        <v>#VALUE!</v>
      </c>
      <c r="FK189" t="e">
        <f>AND(Sheet1!#REF!,"AAAAAFdvzqY=")</f>
        <v>#REF!</v>
      </c>
      <c r="FL189" t="e">
        <f>AND(Sheet1!#REF!,"AAAAAFdvzqc=")</f>
        <v>#REF!</v>
      </c>
      <c r="FM189" t="e">
        <f>AND(Sheet1!#REF!,"AAAAAFdvzqg=")</f>
        <v>#REF!</v>
      </c>
      <c r="FN189" t="e">
        <f>AND(Sheet1!#REF!,"AAAAAFdvzqk=")</f>
        <v>#REF!</v>
      </c>
      <c r="FO189">
        <f>IF(Sheet1!2543:2543,"AAAAAFdvzqo=",0)</f>
        <v>0</v>
      </c>
      <c r="FP189" t="e">
        <f>AND(Sheet1!A2543,"AAAAAFdvzqs=")</f>
        <v>#VALUE!</v>
      </c>
      <c r="FQ189" t="e">
        <f>AND(Sheet1!B2543,"AAAAAFdvzqw=")</f>
        <v>#VALUE!</v>
      </c>
      <c r="FR189" t="e">
        <f>AND(Sheet1!C2543,"AAAAAFdvzq0=")</f>
        <v>#VALUE!</v>
      </c>
      <c r="FS189" t="e">
        <f>AND(Sheet1!D2543,"AAAAAFdvzq4=")</f>
        <v>#VALUE!</v>
      </c>
      <c r="FT189" t="e">
        <f>AND(Sheet1!E2543,"AAAAAFdvzq8=")</f>
        <v>#VALUE!</v>
      </c>
      <c r="FU189" t="e">
        <f>AND(Sheet1!F2543,"AAAAAFdvzrA=")</f>
        <v>#VALUE!</v>
      </c>
      <c r="FV189" t="e">
        <f>AND(Sheet1!G2543,"AAAAAFdvzrE=")</f>
        <v>#VALUE!</v>
      </c>
      <c r="FW189" t="e">
        <f>AND(Sheet1!H2543,"AAAAAFdvzrI=")</f>
        <v>#VALUE!</v>
      </c>
      <c r="FX189" t="e">
        <f>AND(Sheet1!I2543,"AAAAAFdvzrM=")</f>
        <v>#VALUE!</v>
      </c>
      <c r="FY189" t="e">
        <f>AND(Sheet1!J2543,"AAAAAFdvzrQ=")</f>
        <v>#VALUE!</v>
      </c>
      <c r="FZ189" t="e">
        <f>AND(Sheet1!K2543,"AAAAAFdvzrU=")</f>
        <v>#VALUE!</v>
      </c>
      <c r="GA189" t="e">
        <f>AND(Sheet1!L2543,"AAAAAFdvzrY=")</f>
        <v>#VALUE!</v>
      </c>
      <c r="GB189" t="e">
        <f>AND(Sheet1!M2543,"AAAAAFdvzrc=")</f>
        <v>#VALUE!</v>
      </c>
      <c r="GC189" t="e">
        <f>AND(Sheet1!N2543,"AAAAAFdvzrg=")</f>
        <v>#VALUE!</v>
      </c>
      <c r="GD189" t="e">
        <f>AND(Sheet1!#REF!,"AAAAAFdvzrk=")</f>
        <v>#REF!</v>
      </c>
      <c r="GE189" t="e">
        <f>AND(Sheet1!#REF!,"AAAAAFdvzro=")</f>
        <v>#REF!</v>
      </c>
      <c r="GF189" t="e">
        <f>AND(Sheet1!#REF!,"AAAAAFdvzrs=")</f>
        <v>#REF!</v>
      </c>
      <c r="GG189" t="e">
        <f>AND(Sheet1!#REF!,"AAAAAFdvzrw=")</f>
        <v>#REF!</v>
      </c>
      <c r="GH189">
        <f>IF(Sheet1!2544:2544,"AAAAAFdvzr0=",0)</f>
        <v>0</v>
      </c>
      <c r="GI189" t="e">
        <f>AND(Sheet1!A2544,"AAAAAFdvzr4=")</f>
        <v>#VALUE!</v>
      </c>
      <c r="GJ189" t="e">
        <f>AND(Sheet1!B2544,"AAAAAFdvzr8=")</f>
        <v>#VALUE!</v>
      </c>
      <c r="GK189" t="e">
        <f>AND(Sheet1!C2544,"AAAAAFdvzsA=")</f>
        <v>#VALUE!</v>
      </c>
      <c r="GL189" t="e">
        <f>AND(Sheet1!D2544,"AAAAAFdvzsE=")</f>
        <v>#VALUE!</v>
      </c>
      <c r="GM189" t="e">
        <f>AND(Sheet1!E2544,"AAAAAFdvzsI=")</f>
        <v>#VALUE!</v>
      </c>
      <c r="GN189" t="e">
        <f>AND(Sheet1!F2544,"AAAAAFdvzsM=")</f>
        <v>#VALUE!</v>
      </c>
      <c r="GO189" t="e">
        <f>AND(Sheet1!G2544,"AAAAAFdvzsQ=")</f>
        <v>#VALUE!</v>
      </c>
      <c r="GP189" t="e">
        <f>AND(Sheet1!H2544,"AAAAAFdvzsU=")</f>
        <v>#VALUE!</v>
      </c>
      <c r="GQ189" t="e">
        <f>AND(Sheet1!I2544,"AAAAAFdvzsY=")</f>
        <v>#VALUE!</v>
      </c>
      <c r="GR189" t="e">
        <f>AND(Sheet1!J2544,"AAAAAFdvzsc=")</f>
        <v>#VALUE!</v>
      </c>
      <c r="GS189" t="e">
        <f>AND(Sheet1!K2544,"AAAAAFdvzsg=")</f>
        <v>#VALUE!</v>
      </c>
      <c r="GT189" t="e">
        <f>AND(Sheet1!L2544,"AAAAAFdvzsk=")</f>
        <v>#VALUE!</v>
      </c>
      <c r="GU189" t="e">
        <f>AND(Sheet1!M2544,"AAAAAFdvzso=")</f>
        <v>#VALUE!</v>
      </c>
      <c r="GV189" t="e">
        <f>AND(Sheet1!N2544,"AAAAAFdvzss=")</f>
        <v>#VALUE!</v>
      </c>
      <c r="GW189" t="e">
        <f>AND(Sheet1!#REF!,"AAAAAFdvzsw=")</f>
        <v>#REF!</v>
      </c>
      <c r="GX189" t="e">
        <f>AND(Sheet1!#REF!,"AAAAAFdvzs0=")</f>
        <v>#REF!</v>
      </c>
      <c r="GY189" t="e">
        <f>AND(Sheet1!#REF!,"AAAAAFdvzs4=")</f>
        <v>#REF!</v>
      </c>
      <c r="GZ189" t="e">
        <f>AND(Sheet1!#REF!,"AAAAAFdvzs8=")</f>
        <v>#REF!</v>
      </c>
      <c r="HA189">
        <f>IF(Sheet1!2545:2545,"AAAAAFdvztA=",0)</f>
        <v>0</v>
      </c>
      <c r="HB189" t="e">
        <f>AND(Sheet1!A2545,"AAAAAFdvztE=")</f>
        <v>#VALUE!</v>
      </c>
      <c r="HC189" t="e">
        <f>AND(Sheet1!B2545,"AAAAAFdvztI=")</f>
        <v>#VALUE!</v>
      </c>
      <c r="HD189" t="e">
        <f>AND(Sheet1!C2545,"AAAAAFdvztM=")</f>
        <v>#VALUE!</v>
      </c>
      <c r="HE189" t="e">
        <f>AND(Sheet1!D2545,"AAAAAFdvztQ=")</f>
        <v>#VALUE!</v>
      </c>
      <c r="HF189" t="e">
        <f>AND(Sheet1!E2545,"AAAAAFdvztU=")</f>
        <v>#VALUE!</v>
      </c>
      <c r="HG189" t="e">
        <f>AND(Sheet1!F2545,"AAAAAFdvztY=")</f>
        <v>#VALUE!</v>
      </c>
      <c r="HH189" t="e">
        <f>AND(Sheet1!G2545,"AAAAAFdvztc=")</f>
        <v>#VALUE!</v>
      </c>
      <c r="HI189" t="e">
        <f>AND(Sheet1!H2545,"AAAAAFdvztg=")</f>
        <v>#VALUE!</v>
      </c>
      <c r="HJ189" t="e">
        <f>AND(Sheet1!I2545,"AAAAAFdvztk=")</f>
        <v>#VALUE!</v>
      </c>
      <c r="HK189" t="e">
        <f>AND(Sheet1!J2545,"AAAAAFdvzto=")</f>
        <v>#VALUE!</v>
      </c>
      <c r="HL189" t="e">
        <f>AND(Sheet1!K2545,"AAAAAFdvzts=")</f>
        <v>#VALUE!</v>
      </c>
      <c r="HM189" t="e">
        <f>AND(Sheet1!L2545,"AAAAAFdvztw=")</f>
        <v>#VALUE!</v>
      </c>
      <c r="HN189" t="e">
        <f>AND(Sheet1!M2545,"AAAAAFdvzt0=")</f>
        <v>#VALUE!</v>
      </c>
      <c r="HO189" t="e">
        <f>AND(Sheet1!N2545,"AAAAAFdvzt4=")</f>
        <v>#VALUE!</v>
      </c>
      <c r="HP189" t="e">
        <f>AND(Sheet1!#REF!,"AAAAAFdvzt8=")</f>
        <v>#REF!</v>
      </c>
      <c r="HQ189" t="e">
        <f>AND(Sheet1!#REF!,"AAAAAFdvzuA=")</f>
        <v>#REF!</v>
      </c>
      <c r="HR189" t="e">
        <f>AND(Sheet1!#REF!,"AAAAAFdvzuE=")</f>
        <v>#REF!</v>
      </c>
      <c r="HS189" t="e">
        <f>AND(Sheet1!#REF!,"AAAAAFdvzuI=")</f>
        <v>#REF!</v>
      </c>
      <c r="HT189">
        <f>IF(Sheet1!2546:2546,"AAAAAFdvzuM=",0)</f>
        <v>0</v>
      </c>
      <c r="HU189" t="e">
        <f>AND(Sheet1!A2546,"AAAAAFdvzuQ=")</f>
        <v>#VALUE!</v>
      </c>
      <c r="HV189" t="e">
        <f>AND(Sheet1!B2546,"AAAAAFdvzuU=")</f>
        <v>#VALUE!</v>
      </c>
      <c r="HW189" t="e">
        <f>AND(Sheet1!C2546,"AAAAAFdvzuY=")</f>
        <v>#VALUE!</v>
      </c>
      <c r="HX189" t="e">
        <f>AND(Sheet1!D2546,"AAAAAFdvzuc=")</f>
        <v>#VALUE!</v>
      </c>
      <c r="HY189" t="e">
        <f>AND(Sheet1!E2546,"AAAAAFdvzug=")</f>
        <v>#VALUE!</v>
      </c>
      <c r="HZ189" t="e">
        <f>AND(Sheet1!F2546,"AAAAAFdvzuk=")</f>
        <v>#VALUE!</v>
      </c>
      <c r="IA189" t="e">
        <f>AND(Sheet1!G2546,"AAAAAFdvzuo=")</f>
        <v>#VALUE!</v>
      </c>
      <c r="IB189" t="e">
        <f>AND(Sheet1!H2546,"AAAAAFdvzus=")</f>
        <v>#VALUE!</v>
      </c>
      <c r="IC189" t="e">
        <f>AND(Sheet1!I2546,"AAAAAFdvzuw=")</f>
        <v>#VALUE!</v>
      </c>
      <c r="ID189" t="e">
        <f>AND(Sheet1!J2546,"AAAAAFdvzu0=")</f>
        <v>#VALUE!</v>
      </c>
      <c r="IE189" t="e">
        <f>AND(Sheet1!K2546,"AAAAAFdvzu4=")</f>
        <v>#VALUE!</v>
      </c>
      <c r="IF189" t="e">
        <f>AND(Sheet1!L2546,"AAAAAFdvzu8=")</f>
        <v>#VALUE!</v>
      </c>
      <c r="IG189" t="e">
        <f>AND(Sheet1!M2546,"AAAAAFdvzvA=")</f>
        <v>#VALUE!</v>
      </c>
      <c r="IH189" t="e">
        <f>AND(Sheet1!N2546,"AAAAAFdvzvE=")</f>
        <v>#VALUE!</v>
      </c>
      <c r="II189" t="e">
        <f>AND(Sheet1!#REF!,"AAAAAFdvzvI=")</f>
        <v>#REF!</v>
      </c>
      <c r="IJ189" t="e">
        <f>AND(Sheet1!#REF!,"AAAAAFdvzvM=")</f>
        <v>#REF!</v>
      </c>
      <c r="IK189" t="e">
        <f>AND(Sheet1!#REF!,"AAAAAFdvzvQ=")</f>
        <v>#REF!</v>
      </c>
      <c r="IL189" t="e">
        <f>AND(Sheet1!#REF!,"AAAAAFdvzvU=")</f>
        <v>#REF!</v>
      </c>
      <c r="IM189">
        <f>IF(Sheet1!2547:2547,"AAAAAFdvzvY=",0)</f>
        <v>0</v>
      </c>
      <c r="IN189" t="e">
        <f>AND(Sheet1!A2547,"AAAAAFdvzvc=")</f>
        <v>#VALUE!</v>
      </c>
      <c r="IO189" t="e">
        <f>AND(Sheet1!B2547,"AAAAAFdvzvg=")</f>
        <v>#VALUE!</v>
      </c>
      <c r="IP189" t="e">
        <f>AND(Sheet1!C2547,"AAAAAFdvzvk=")</f>
        <v>#VALUE!</v>
      </c>
      <c r="IQ189" t="e">
        <f>AND(Sheet1!D2547,"AAAAAFdvzvo=")</f>
        <v>#VALUE!</v>
      </c>
      <c r="IR189" t="e">
        <f>AND(Sheet1!E2547,"AAAAAFdvzvs=")</f>
        <v>#VALUE!</v>
      </c>
      <c r="IS189" t="e">
        <f>AND(Sheet1!F2547,"AAAAAFdvzvw=")</f>
        <v>#VALUE!</v>
      </c>
      <c r="IT189" t="e">
        <f>AND(Sheet1!G2547,"AAAAAFdvzv0=")</f>
        <v>#VALUE!</v>
      </c>
      <c r="IU189" t="e">
        <f>AND(Sheet1!H2547,"AAAAAFdvzv4=")</f>
        <v>#VALUE!</v>
      </c>
      <c r="IV189" t="e">
        <f>AND(Sheet1!I2547,"AAAAAFdvzv8=")</f>
        <v>#VALUE!</v>
      </c>
    </row>
    <row r="190" spans="1:256" x14ac:dyDescent="0.2">
      <c r="A190" t="e">
        <f>AND(Sheet1!J2547,"AAAAAB1f+wA=")</f>
        <v>#VALUE!</v>
      </c>
      <c r="B190" t="e">
        <f>AND(Sheet1!K2547,"AAAAAB1f+wE=")</f>
        <v>#VALUE!</v>
      </c>
      <c r="C190" t="e">
        <f>AND(Sheet1!L2547,"AAAAAB1f+wI=")</f>
        <v>#VALUE!</v>
      </c>
      <c r="D190" t="e">
        <f>AND(Sheet1!M2547,"AAAAAB1f+wM=")</f>
        <v>#VALUE!</v>
      </c>
      <c r="E190" t="e">
        <f>AND(Sheet1!N2547,"AAAAAB1f+wQ=")</f>
        <v>#VALUE!</v>
      </c>
      <c r="F190" t="e">
        <f>AND(Sheet1!#REF!,"AAAAAB1f+wU=")</f>
        <v>#REF!</v>
      </c>
      <c r="G190" t="e">
        <f>AND(Sheet1!#REF!,"AAAAAB1f+wY=")</f>
        <v>#REF!</v>
      </c>
      <c r="H190" t="e">
        <f>AND(Sheet1!#REF!,"AAAAAB1f+wc=")</f>
        <v>#REF!</v>
      </c>
      <c r="I190" t="e">
        <f>AND(Sheet1!#REF!,"AAAAAB1f+wg=")</f>
        <v>#REF!</v>
      </c>
      <c r="J190" t="e">
        <f>IF(Sheet1!2548:2548,"AAAAAB1f+wk=",0)</f>
        <v>#VALUE!</v>
      </c>
      <c r="K190" t="e">
        <f>AND(Sheet1!A2548,"AAAAAB1f+wo=")</f>
        <v>#VALUE!</v>
      </c>
      <c r="L190" t="e">
        <f>AND(Sheet1!B2548,"AAAAAB1f+ws=")</f>
        <v>#VALUE!</v>
      </c>
      <c r="M190" t="e">
        <f>AND(Sheet1!C2548,"AAAAAB1f+ww=")</f>
        <v>#VALUE!</v>
      </c>
      <c r="N190" t="e">
        <f>AND(Sheet1!D2548,"AAAAAB1f+w0=")</f>
        <v>#VALUE!</v>
      </c>
      <c r="O190" t="e">
        <f>AND(Sheet1!E2548,"AAAAAB1f+w4=")</f>
        <v>#VALUE!</v>
      </c>
      <c r="P190" t="e">
        <f>AND(Sheet1!F2548,"AAAAAB1f+w8=")</f>
        <v>#VALUE!</v>
      </c>
      <c r="Q190" t="e">
        <f>AND(Sheet1!G2548,"AAAAAB1f+xA=")</f>
        <v>#VALUE!</v>
      </c>
      <c r="R190" t="e">
        <f>AND(Sheet1!H2548,"AAAAAB1f+xE=")</f>
        <v>#VALUE!</v>
      </c>
      <c r="S190" t="e">
        <f>AND(Sheet1!I2548,"AAAAAB1f+xI=")</f>
        <v>#VALUE!</v>
      </c>
      <c r="T190" t="e">
        <f>AND(Sheet1!J2548,"AAAAAB1f+xM=")</f>
        <v>#VALUE!</v>
      </c>
      <c r="U190" t="e">
        <f>AND(Sheet1!K2548,"AAAAAB1f+xQ=")</f>
        <v>#VALUE!</v>
      </c>
      <c r="V190" t="e">
        <f>AND(Sheet1!L2548,"AAAAAB1f+xU=")</f>
        <v>#VALUE!</v>
      </c>
      <c r="W190" t="e">
        <f>AND(Sheet1!M2548,"AAAAAB1f+xY=")</f>
        <v>#VALUE!</v>
      </c>
      <c r="X190" t="e">
        <f>AND(Sheet1!N2548,"AAAAAB1f+xc=")</f>
        <v>#VALUE!</v>
      </c>
      <c r="Y190" t="e">
        <f>AND(Sheet1!#REF!,"AAAAAB1f+xg=")</f>
        <v>#REF!</v>
      </c>
      <c r="Z190" t="e">
        <f>AND(Sheet1!#REF!,"AAAAAB1f+xk=")</f>
        <v>#REF!</v>
      </c>
      <c r="AA190" t="e">
        <f>AND(Sheet1!#REF!,"AAAAAB1f+xo=")</f>
        <v>#REF!</v>
      </c>
      <c r="AB190" t="e">
        <f>AND(Sheet1!#REF!,"AAAAAB1f+xs=")</f>
        <v>#REF!</v>
      </c>
      <c r="AC190">
        <f>IF(Sheet1!2549:2549,"AAAAAB1f+xw=",0)</f>
        <v>0</v>
      </c>
      <c r="AD190" t="e">
        <f>AND(Sheet1!A2549,"AAAAAB1f+x0=")</f>
        <v>#VALUE!</v>
      </c>
      <c r="AE190" t="e">
        <f>AND(Sheet1!B2549,"AAAAAB1f+x4=")</f>
        <v>#VALUE!</v>
      </c>
      <c r="AF190" t="e">
        <f>AND(Sheet1!C2549,"AAAAAB1f+x8=")</f>
        <v>#VALUE!</v>
      </c>
      <c r="AG190" t="e">
        <f>AND(Sheet1!D2549,"AAAAAB1f+yA=")</f>
        <v>#VALUE!</v>
      </c>
      <c r="AH190" t="e">
        <f>AND(Sheet1!E2549,"AAAAAB1f+yE=")</f>
        <v>#VALUE!</v>
      </c>
      <c r="AI190" t="e">
        <f>AND(Sheet1!F2549,"AAAAAB1f+yI=")</f>
        <v>#VALUE!</v>
      </c>
      <c r="AJ190" t="e">
        <f>AND(Sheet1!G2549,"AAAAAB1f+yM=")</f>
        <v>#VALUE!</v>
      </c>
      <c r="AK190" t="e">
        <f>AND(Sheet1!H2549,"AAAAAB1f+yQ=")</f>
        <v>#VALUE!</v>
      </c>
      <c r="AL190" t="e">
        <f>AND(Sheet1!I2549,"AAAAAB1f+yU=")</f>
        <v>#VALUE!</v>
      </c>
      <c r="AM190" t="e">
        <f>AND(Sheet1!J2549,"AAAAAB1f+yY=")</f>
        <v>#VALUE!</v>
      </c>
      <c r="AN190" t="e">
        <f>AND(Sheet1!K2549,"AAAAAB1f+yc=")</f>
        <v>#VALUE!</v>
      </c>
      <c r="AO190" t="e">
        <f>AND(Sheet1!L2549,"AAAAAB1f+yg=")</f>
        <v>#VALUE!</v>
      </c>
      <c r="AP190" t="e">
        <f>AND(Sheet1!M2549,"AAAAAB1f+yk=")</f>
        <v>#VALUE!</v>
      </c>
      <c r="AQ190" t="e">
        <f>AND(Sheet1!N2549,"AAAAAB1f+yo=")</f>
        <v>#VALUE!</v>
      </c>
      <c r="AR190" t="e">
        <f>AND(Sheet1!#REF!,"AAAAAB1f+ys=")</f>
        <v>#REF!</v>
      </c>
      <c r="AS190" t="e">
        <f>AND(Sheet1!#REF!,"AAAAAB1f+yw=")</f>
        <v>#REF!</v>
      </c>
      <c r="AT190" t="e">
        <f>AND(Sheet1!#REF!,"AAAAAB1f+y0=")</f>
        <v>#REF!</v>
      </c>
      <c r="AU190" t="e">
        <f>AND(Sheet1!#REF!,"AAAAAB1f+y4=")</f>
        <v>#REF!</v>
      </c>
      <c r="AV190">
        <f>IF(Sheet1!2550:2550,"AAAAAB1f+y8=",0)</f>
        <v>0</v>
      </c>
      <c r="AW190" t="e">
        <f>AND(Sheet1!A2550,"AAAAAB1f+zA=")</f>
        <v>#VALUE!</v>
      </c>
      <c r="AX190" t="e">
        <f>AND(Sheet1!B2550,"AAAAAB1f+zE=")</f>
        <v>#VALUE!</v>
      </c>
      <c r="AY190" t="e">
        <f>AND(Sheet1!C2550,"AAAAAB1f+zI=")</f>
        <v>#VALUE!</v>
      </c>
      <c r="AZ190" t="e">
        <f>AND(Sheet1!D2550,"AAAAAB1f+zM=")</f>
        <v>#VALUE!</v>
      </c>
      <c r="BA190" t="e">
        <f>AND(Sheet1!E2550,"AAAAAB1f+zQ=")</f>
        <v>#VALUE!</v>
      </c>
      <c r="BB190" t="e">
        <f>AND(Sheet1!F2550,"AAAAAB1f+zU=")</f>
        <v>#VALUE!</v>
      </c>
      <c r="BC190" t="e">
        <f>AND(Sheet1!G2550,"AAAAAB1f+zY=")</f>
        <v>#VALUE!</v>
      </c>
      <c r="BD190" t="e">
        <f>AND(Sheet1!H2550,"AAAAAB1f+zc=")</f>
        <v>#VALUE!</v>
      </c>
      <c r="BE190" t="e">
        <f>AND(Sheet1!I2550,"AAAAAB1f+zg=")</f>
        <v>#VALUE!</v>
      </c>
      <c r="BF190" t="e">
        <f>AND(Sheet1!J2550,"AAAAAB1f+zk=")</f>
        <v>#VALUE!</v>
      </c>
      <c r="BG190" t="e">
        <f>AND(Sheet1!K2550,"AAAAAB1f+zo=")</f>
        <v>#VALUE!</v>
      </c>
      <c r="BH190" t="e">
        <f>AND(Sheet1!L2550,"AAAAAB1f+zs=")</f>
        <v>#VALUE!</v>
      </c>
      <c r="BI190" t="e">
        <f>AND(Sheet1!M2550,"AAAAAB1f+zw=")</f>
        <v>#VALUE!</v>
      </c>
      <c r="BJ190" t="e">
        <f>AND(Sheet1!N2550,"AAAAAB1f+z0=")</f>
        <v>#VALUE!</v>
      </c>
      <c r="BK190" t="e">
        <f>AND(Sheet1!#REF!,"AAAAAB1f+z4=")</f>
        <v>#REF!</v>
      </c>
      <c r="BL190" t="e">
        <f>AND(Sheet1!#REF!,"AAAAAB1f+z8=")</f>
        <v>#REF!</v>
      </c>
      <c r="BM190" t="e">
        <f>AND(Sheet1!#REF!,"AAAAAB1f+0A=")</f>
        <v>#REF!</v>
      </c>
      <c r="BN190" t="e">
        <f>AND(Sheet1!#REF!,"AAAAAB1f+0E=")</f>
        <v>#REF!</v>
      </c>
      <c r="BO190">
        <f>IF(Sheet1!2551:2551,"AAAAAB1f+0I=",0)</f>
        <v>0</v>
      </c>
      <c r="BP190" t="e">
        <f>AND(Sheet1!A2551,"AAAAAB1f+0M=")</f>
        <v>#VALUE!</v>
      </c>
      <c r="BQ190" t="e">
        <f>AND(Sheet1!B2551,"AAAAAB1f+0Q=")</f>
        <v>#VALUE!</v>
      </c>
      <c r="BR190" t="e">
        <f>AND(Sheet1!C2551,"AAAAAB1f+0U=")</f>
        <v>#VALUE!</v>
      </c>
      <c r="BS190" t="e">
        <f>AND(Sheet1!D2551,"AAAAAB1f+0Y=")</f>
        <v>#VALUE!</v>
      </c>
      <c r="BT190" t="e">
        <f>AND(Sheet1!E2551,"AAAAAB1f+0c=")</f>
        <v>#VALUE!</v>
      </c>
      <c r="BU190" t="e">
        <f>AND(Sheet1!F2551,"AAAAAB1f+0g=")</f>
        <v>#VALUE!</v>
      </c>
      <c r="BV190" t="e">
        <f>AND(Sheet1!G2551,"AAAAAB1f+0k=")</f>
        <v>#VALUE!</v>
      </c>
      <c r="BW190" t="e">
        <f>AND(Sheet1!H2551,"AAAAAB1f+0o=")</f>
        <v>#VALUE!</v>
      </c>
      <c r="BX190" t="e">
        <f>AND(Sheet1!I2551,"AAAAAB1f+0s=")</f>
        <v>#VALUE!</v>
      </c>
      <c r="BY190" t="e">
        <f>AND(Sheet1!J2551,"AAAAAB1f+0w=")</f>
        <v>#VALUE!</v>
      </c>
      <c r="BZ190" t="e">
        <f>AND(Sheet1!K2551,"AAAAAB1f+00=")</f>
        <v>#VALUE!</v>
      </c>
      <c r="CA190" t="e">
        <f>AND(Sheet1!L2551,"AAAAAB1f+04=")</f>
        <v>#VALUE!</v>
      </c>
      <c r="CB190" t="e">
        <f>AND(Sheet1!M2551,"AAAAAB1f+08=")</f>
        <v>#VALUE!</v>
      </c>
      <c r="CC190" t="e">
        <f>AND(Sheet1!N2551,"AAAAAB1f+1A=")</f>
        <v>#VALUE!</v>
      </c>
      <c r="CD190" t="e">
        <f>AND(Sheet1!#REF!,"AAAAAB1f+1E=")</f>
        <v>#REF!</v>
      </c>
      <c r="CE190" t="e">
        <f>AND(Sheet1!#REF!,"AAAAAB1f+1I=")</f>
        <v>#REF!</v>
      </c>
      <c r="CF190" t="e">
        <f>AND(Sheet1!#REF!,"AAAAAB1f+1M=")</f>
        <v>#REF!</v>
      </c>
      <c r="CG190" t="e">
        <f>AND(Sheet1!#REF!,"AAAAAB1f+1Q=")</f>
        <v>#REF!</v>
      </c>
      <c r="CH190">
        <f>IF(Sheet1!2552:2552,"AAAAAB1f+1U=",0)</f>
        <v>0</v>
      </c>
      <c r="CI190" t="e">
        <f>AND(Sheet1!A2552,"AAAAAB1f+1Y=")</f>
        <v>#VALUE!</v>
      </c>
      <c r="CJ190" t="e">
        <f>AND(Sheet1!B2552,"AAAAAB1f+1c=")</f>
        <v>#VALUE!</v>
      </c>
      <c r="CK190" t="e">
        <f>AND(Sheet1!C2552,"AAAAAB1f+1g=")</f>
        <v>#VALUE!</v>
      </c>
      <c r="CL190" t="e">
        <f>AND(Sheet1!D2552,"AAAAAB1f+1k=")</f>
        <v>#VALUE!</v>
      </c>
      <c r="CM190" t="e">
        <f>AND(Sheet1!E2552,"AAAAAB1f+1o=")</f>
        <v>#VALUE!</v>
      </c>
      <c r="CN190" t="e">
        <f>AND(Sheet1!F2552,"AAAAAB1f+1s=")</f>
        <v>#VALUE!</v>
      </c>
      <c r="CO190" t="e">
        <f>AND(Sheet1!G2552,"AAAAAB1f+1w=")</f>
        <v>#VALUE!</v>
      </c>
      <c r="CP190" t="e">
        <f>AND(Sheet1!H2552,"AAAAAB1f+10=")</f>
        <v>#VALUE!</v>
      </c>
      <c r="CQ190" t="e">
        <f>AND(Sheet1!I2552,"AAAAAB1f+14=")</f>
        <v>#VALUE!</v>
      </c>
      <c r="CR190" t="e">
        <f>AND(Sheet1!J2552,"AAAAAB1f+18=")</f>
        <v>#VALUE!</v>
      </c>
      <c r="CS190" t="e">
        <f>AND(Sheet1!K2552,"AAAAAB1f+2A=")</f>
        <v>#VALUE!</v>
      </c>
      <c r="CT190" t="e">
        <f>AND(Sheet1!L2552,"AAAAAB1f+2E=")</f>
        <v>#VALUE!</v>
      </c>
      <c r="CU190" t="e">
        <f>AND(Sheet1!M2552,"AAAAAB1f+2I=")</f>
        <v>#VALUE!</v>
      </c>
      <c r="CV190" t="e">
        <f>AND(Sheet1!N2552,"AAAAAB1f+2M=")</f>
        <v>#VALUE!</v>
      </c>
      <c r="CW190" t="e">
        <f>AND(Sheet1!#REF!,"AAAAAB1f+2Q=")</f>
        <v>#REF!</v>
      </c>
      <c r="CX190" t="e">
        <f>AND(Sheet1!#REF!,"AAAAAB1f+2U=")</f>
        <v>#REF!</v>
      </c>
      <c r="CY190" t="e">
        <f>AND(Sheet1!#REF!,"AAAAAB1f+2Y=")</f>
        <v>#REF!</v>
      </c>
      <c r="CZ190" t="e">
        <f>AND(Sheet1!#REF!,"AAAAAB1f+2c=")</f>
        <v>#REF!</v>
      </c>
      <c r="DA190">
        <f>IF(Sheet1!2553:2553,"AAAAAB1f+2g=",0)</f>
        <v>0</v>
      </c>
      <c r="DB190" t="e">
        <f>AND(Sheet1!A2553,"AAAAAB1f+2k=")</f>
        <v>#VALUE!</v>
      </c>
      <c r="DC190" t="e">
        <f>AND(Sheet1!B2553,"AAAAAB1f+2o=")</f>
        <v>#VALUE!</v>
      </c>
      <c r="DD190" t="e">
        <f>AND(Sheet1!C2553,"AAAAAB1f+2s=")</f>
        <v>#VALUE!</v>
      </c>
      <c r="DE190" t="e">
        <f>AND(Sheet1!D2553,"AAAAAB1f+2w=")</f>
        <v>#VALUE!</v>
      </c>
      <c r="DF190" t="e">
        <f>AND(Sheet1!E2553,"AAAAAB1f+20=")</f>
        <v>#VALUE!</v>
      </c>
      <c r="DG190" t="e">
        <f>AND(Sheet1!F2553,"AAAAAB1f+24=")</f>
        <v>#VALUE!</v>
      </c>
      <c r="DH190" t="e">
        <f>AND(Sheet1!G2553,"AAAAAB1f+28=")</f>
        <v>#VALUE!</v>
      </c>
      <c r="DI190" t="e">
        <f>AND(Sheet1!H2553,"AAAAAB1f+3A=")</f>
        <v>#VALUE!</v>
      </c>
      <c r="DJ190" t="e">
        <f>AND(Sheet1!I2553,"AAAAAB1f+3E=")</f>
        <v>#VALUE!</v>
      </c>
      <c r="DK190" t="e">
        <f>AND(Sheet1!J2553,"AAAAAB1f+3I=")</f>
        <v>#VALUE!</v>
      </c>
      <c r="DL190" t="e">
        <f>AND(Sheet1!K2553,"AAAAAB1f+3M=")</f>
        <v>#VALUE!</v>
      </c>
      <c r="DM190" t="e">
        <f>AND(Sheet1!L2553,"AAAAAB1f+3Q=")</f>
        <v>#VALUE!</v>
      </c>
      <c r="DN190" t="e">
        <f>AND(Sheet1!M2553,"AAAAAB1f+3U=")</f>
        <v>#VALUE!</v>
      </c>
      <c r="DO190" t="e">
        <f>AND(Sheet1!N2553,"AAAAAB1f+3Y=")</f>
        <v>#VALUE!</v>
      </c>
      <c r="DP190" t="e">
        <f>AND(Sheet1!#REF!,"AAAAAB1f+3c=")</f>
        <v>#REF!</v>
      </c>
      <c r="DQ190" t="e">
        <f>AND(Sheet1!#REF!,"AAAAAB1f+3g=")</f>
        <v>#REF!</v>
      </c>
      <c r="DR190" t="e">
        <f>AND(Sheet1!#REF!,"AAAAAB1f+3k=")</f>
        <v>#REF!</v>
      </c>
      <c r="DS190" t="e">
        <f>AND(Sheet1!#REF!,"AAAAAB1f+3o=")</f>
        <v>#REF!</v>
      </c>
      <c r="DT190">
        <f>IF(Sheet1!2554:2554,"AAAAAB1f+3s=",0)</f>
        <v>0</v>
      </c>
      <c r="DU190" t="e">
        <f>AND(Sheet1!A2554,"AAAAAB1f+3w=")</f>
        <v>#VALUE!</v>
      </c>
      <c r="DV190" t="e">
        <f>AND(Sheet1!B2554,"AAAAAB1f+30=")</f>
        <v>#VALUE!</v>
      </c>
      <c r="DW190" t="e">
        <f>AND(Sheet1!C2554,"AAAAAB1f+34=")</f>
        <v>#VALUE!</v>
      </c>
      <c r="DX190" t="e">
        <f>AND(Sheet1!D2554,"AAAAAB1f+38=")</f>
        <v>#VALUE!</v>
      </c>
      <c r="DY190" t="e">
        <f>AND(Sheet1!E2554,"AAAAAB1f+4A=")</f>
        <v>#VALUE!</v>
      </c>
      <c r="DZ190" t="e">
        <f>AND(Sheet1!F2554,"AAAAAB1f+4E=")</f>
        <v>#VALUE!</v>
      </c>
      <c r="EA190" t="e">
        <f>AND(Sheet1!G2554,"AAAAAB1f+4I=")</f>
        <v>#VALUE!</v>
      </c>
      <c r="EB190" t="e">
        <f>AND(Sheet1!H2554,"AAAAAB1f+4M=")</f>
        <v>#VALUE!</v>
      </c>
      <c r="EC190" t="e">
        <f>AND(Sheet1!I2554,"AAAAAB1f+4Q=")</f>
        <v>#VALUE!</v>
      </c>
      <c r="ED190" t="e">
        <f>AND(Sheet1!J2554,"AAAAAB1f+4U=")</f>
        <v>#VALUE!</v>
      </c>
      <c r="EE190" t="e">
        <f>AND(Sheet1!K2554,"AAAAAB1f+4Y=")</f>
        <v>#VALUE!</v>
      </c>
      <c r="EF190" t="e">
        <f>AND(Sheet1!L2554,"AAAAAB1f+4c=")</f>
        <v>#VALUE!</v>
      </c>
      <c r="EG190" t="e">
        <f>AND(Sheet1!M2554,"AAAAAB1f+4g=")</f>
        <v>#VALUE!</v>
      </c>
      <c r="EH190" t="e">
        <f>AND(Sheet1!N2554,"AAAAAB1f+4k=")</f>
        <v>#VALUE!</v>
      </c>
      <c r="EI190" t="e">
        <f>AND(Sheet1!#REF!,"AAAAAB1f+4o=")</f>
        <v>#REF!</v>
      </c>
      <c r="EJ190" t="e">
        <f>AND(Sheet1!#REF!,"AAAAAB1f+4s=")</f>
        <v>#REF!</v>
      </c>
      <c r="EK190" t="e">
        <f>AND(Sheet1!#REF!,"AAAAAB1f+4w=")</f>
        <v>#REF!</v>
      </c>
      <c r="EL190" t="e">
        <f>AND(Sheet1!#REF!,"AAAAAB1f+40=")</f>
        <v>#REF!</v>
      </c>
      <c r="EM190">
        <f>IF(Sheet1!2555:2555,"AAAAAB1f+44=",0)</f>
        <v>0</v>
      </c>
      <c r="EN190" t="e">
        <f>AND(Sheet1!A2555,"AAAAAB1f+48=")</f>
        <v>#VALUE!</v>
      </c>
      <c r="EO190" t="e">
        <f>AND(Sheet1!B2555,"AAAAAB1f+5A=")</f>
        <v>#VALUE!</v>
      </c>
      <c r="EP190" t="e">
        <f>AND(Sheet1!C2555,"AAAAAB1f+5E=")</f>
        <v>#VALUE!</v>
      </c>
      <c r="EQ190" t="e">
        <f>AND(Sheet1!D2555,"AAAAAB1f+5I=")</f>
        <v>#VALUE!</v>
      </c>
      <c r="ER190" t="e">
        <f>AND(Sheet1!E2555,"AAAAAB1f+5M=")</f>
        <v>#VALUE!</v>
      </c>
      <c r="ES190" t="e">
        <f>AND(Sheet1!F2555,"AAAAAB1f+5Q=")</f>
        <v>#VALUE!</v>
      </c>
      <c r="ET190" t="e">
        <f>AND(Sheet1!G2555,"AAAAAB1f+5U=")</f>
        <v>#VALUE!</v>
      </c>
      <c r="EU190" t="e">
        <f>AND(Sheet1!H2555,"AAAAAB1f+5Y=")</f>
        <v>#VALUE!</v>
      </c>
      <c r="EV190" t="e">
        <f>AND(Sheet1!I2555,"AAAAAB1f+5c=")</f>
        <v>#VALUE!</v>
      </c>
      <c r="EW190" t="e">
        <f>AND(Sheet1!J2555,"AAAAAB1f+5g=")</f>
        <v>#VALUE!</v>
      </c>
      <c r="EX190" t="e">
        <f>AND(Sheet1!K2555,"AAAAAB1f+5k=")</f>
        <v>#VALUE!</v>
      </c>
      <c r="EY190" t="e">
        <f>AND(Sheet1!L2555,"AAAAAB1f+5o=")</f>
        <v>#VALUE!</v>
      </c>
      <c r="EZ190" t="e">
        <f>AND(Sheet1!M2555,"AAAAAB1f+5s=")</f>
        <v>#VALUE!</v>
      </c>
      <c r="FA190" t="e">
        <f>AND(Sheet1!N2555,"AAAAAB1f+5w=")</f>
        <v>#VALUE!</v>
      </c>
      <c r="FB190" t="e">
        <f>AND(Sheet1!#REF!,"AAAAAB1f+50=")</f>
        <v>#REF!</v>
      </c>
      <c r="FC190" t="e">
        <f>AND(Sheet1!#REF!,"AAAAAB1f+54=")</f>
        <v>#REF!</v>
      </c>
      <c r="FD190" t="e">
        <f>AND(Sheet1!#REF!,"AAAAAB1f+58=")</f>
        <v>#REF!</v>
      </c>
      <c r="FE190" t="e">
        <f>AND(Sheet1!#REF!,"AAAAAB1f+6A=")</f>
        <v>#REF!</v>
      </c>
      <c r="FF190">
        <f>IF(Sheet1!2556:2556,"AAAAAB1f+6E=",0)</f>
        <v>0</v>
      </c>
      <c r="FG190" t="e">
        <f>AND(Sheet1!A2556,"AAAAAB1f+6I=")</f>
        <v>#VALUE!</v>
      </c>
      <c r="FH190" t="e">
        <f>AND(Sheet1!B2556,"AAAAAB1f+6M=")</f>
        <v>#VALUE!</v>
      </c>
      <c r="FI190" t="e">
        <f>AND(Sheet1!C2556,"AAAAAB1f+6Q=")</f>
        <v>#VALUE!</v>
      </c>
      <c r="FJ190" t="e">
        <f>AND(Sheet1!D2556,"AAAAAB1f+6U=")</f>
        <v>#VALUE!</v>
      </c>
      <c r="FK190" t="e">
        <f>AND(Sheet1!E2556,"AAAAAB1f+6Y=")</f>
        <v>#VALUE!</v>
      </c>
      <c r="FL190" t="e">
        <f>AND(Sheet1!F2556,"AAAAAB1f+6c=")</f>
        <v>#VALUE!</v>
      </c>
      <c r="FM190" t="e">
        <f>AND(Sheet1!G2556,"AAAAAB1f+6g=")</f>
        <v>#VALUE!</v>
      </c>
      <c r="FN190" t="e">
        <f>AND(Sheet1!H2556,"AAAAAB1f+6k=")</f>
        <v>#VALUE!</v>
      </c>
      <c r="FO190" t="e">
        <f>AND(Sheet1!I2556,"AAAAAB1f+6o=")</f>
        <v>#VALUE!</v>
      </c>
      <c r="FP190" t="e">
        <f>AND(Sheet1!J2556,"AAAAAB1f+6s=")</f>
        <v>#VALUE!</v>
      </c>
      <c r="FQ190" t="e">
        <f>AND(Sheet1!K2556,"AAAAAB1f+6w=")</f>
        <v>#VALUE!</v>
      </c>
      <c r="FR190" t="e">
        <f>AND(Sheet1!L2556,"AAAAAB1f+60=")</f>
        <v>#VALUE!</v>
      </c>
      <c r="FS190" t="e">
        <f>AND(Sheet1!M2556,"AAAAAB1f+64=")</f>
        <v>#VALUE!</v>
      </c>
      <c r="FT190" t="e">
        <f>AND(Sheet1!N2556,"AAAAAB1f+68=")</f>
        <v>#VALUE!</v>
      </c>
      <c r="FU190" t="e">
        <f>AND(Sheet1!#REF!,"AAAAAB1f+7A=")</f>
        <v>#REF!</v>
      </c>
      <c r="FV190" t="e">
        <f>AND(Sheet1!#REF!,"AAAAAB1f+7E=")</f>
        <v>#REF!</v>
      </c>
      <c r="FW190" t="e">
        <f>AND(Sheet1!#REF!,"AAAAAB1f+7I=")</f>
        <v>#REF!</v>
      </c>
      <c r="FX190" t="e">
        <f>AND(Sheet1!#REF!,"AAAAAB1f+7M=")</f>
        <v>#REF!</v>
      </c>
      <c r="FY190">
        <f>IF(Sheet1!2557:2557,"AAAAAB1f+7Q=",0)</f>
        <v>0</v>
      </c>
      <c r="FZ190" t="e">
        <f>AND(Sheet1!A2557,"AAAAAB1f+7U=")</f>
        <v>#VALUE!</v>
      </c>
      <c r="GA190" t="e">
        <f>AND(Sheet1!B2557,"AAAAAB1f+7Y=")</f>
        <v>#VALUE!</v>
      </c>
      <c r="GB190" t="e">
        <f>AND(Sheet1!C2557,"AAAAAB1f+7c=")</f>
        <v>#VALUE!</v>
      </c>
      <c r="GC190" t="e">
        <f>AND(Sheet1!D2557,"AAAAAB1f+7g=")</f>
        <v>#VALUE!</v>
      </c>
      <c r="GD190" t="e">
        <f>AND(Sheet1!E2557,"AAAAAB1f+7k=")</f>
        <v>#VALUE!</v>
      </c>
      <c r="GE190" t="e">
        <f>AND(Sheet1!F2557,"AAAAAB1f+7o=")</f>
        <v>#VALUE!</v>
      </c>
      <c r="GF190" t="e">
        <f>AND(Sheet1!G2557,"AAAAAB1f+7s=")</f>
        <v>#VALUE!</v>
      </c>
      <c r="GG190" t="e">
        <f>AND(Sheet1!H2557,"AAAAAB1f+7w=")</f>
        <v>#VALUE!</v>
      </c>
      <c r="GH190" t="e">
        <f>AND(Sheet1!I2557,"AAAAAB1f+70=")</f>
        <v>#VALUE!</v>
      </c>
      <c r="GI190" t="e">
        <f>AND(Sheet1!J2557,"AAAAAB1f+74=")</f>
        <v>#VALUE!</v>
      </c>
      <c r="GJ190" t="e">
        <f>AND(Sheet1!K2557,"AAAAAB1f+78=")</f>
        <v>#VALUE!</v>
      </c>
      <c r="GK190" t="e">
        <f>AND(Sheet1!L2557,"AAAAAB1f+8A=")</f>
        <v>#VALUE!</v>
      </c>
      <c r="GL190" t="e">
        <f>AND(Sheet1!M2557,"AAAAAB1f+8E=")</f>
        <v>#VALUE!</v>
      </c>
      <c r="GM190" t="e">
        <f>AND(Sheet1!N2557,"AAAAAB1f+8I=")</f>
        <v>#VALUE!</v>
      </c>
      <c r="GN190" t="e">
        <f>AND(Sheet1!#REF!,"AAAAAB1f+8M=")</f>
        <v>#REF!</v>
      </c>
      <c r="GO190" t="e">
        <f>AND(Sheet1!#REF!,"AAAAAB1f+8Q=")</f>
        <v>#REF!</v>
      </c>
      <c r="GP190" t="e">
        <f>AND(Sheet1!#REF!,"AAAAAB1f+8U=")</f>
        <v>#REF!</v>
      </c>
      <c r="GQ190" t="e">
        <f>AND(Sheet1!#REF!,"AAAAAB1f+8Y=")</f>
        <v>#REF!</v>
      </c>
      <c r="GR190">
        <f>IF(Sheet1!2558:2558,"AAAAAB1f+8c=",0)</f>
        <v>0</v>
      </c>
      <c r="GS190" t="e">
        <f>AND(Sheet1!A2558,"AAAAAB1f+8g=")</f>
        <v>#VALUE!</v>
      </c>
      <c r="GT190" t="e">
        <f>AND(Sheet1!B2558,"AAAAAB1f+8k=")</f>
        <v>#VALUE!</v>
      </c>
      <c r="GU190" t="e">
        <f>AND(Sheet1!C2558,"AAAAAB1f+8o=")</f>
        <v>#VALUE!</v>
      </c>
      <c r="GV190" t="e">
        <f>AND(Sheet1!D2558,"AAAAAB1f+8s=")</f>
        <v>#VALUE!</v>
      </c>
      <c r="GW190" t="e">
        <f>AND(Sheet1!E2558,"AAAAAB1f+8w=")</f>
        <v>#VALUE!</v>
      </c>
      <c r="GX190" t="e">
        <f>AND(Sheet1!F2558,"AAAAAB1f+80=")</f>
        <v>#VALUE!</v>
      </c>
      <c r="GY190" t="e">
        <f>AND(Sheet1!G2558,"AAAAAB1f+84=")</f>
        <v>#VALUE!</v>
      </c>
      <c r="GZ190" t="e">
        <f>AND(Sheet1!H2558,"AAAAAB1f+88=")</f>
        <v>#VALUE!</v>
      </c>
      <c r="HA190" t="e">
        <f>AND(Sheet1!I2558,"AAAAAB1f+9A=")</f>
        <v>#VALUE!</v>
      </c>
      <c r="HB190" t="e">
        <f>AND(Sheet1!J2558,"AAAAAB1f+9E=")</f>
        <v>#VALUE!</v>
      </c>
      <c r="HC190" t="e">
        <f>AND(Sheet1!K2558,"AAAAAB1f+9I=")</f>
        <v>#VALUE!</v>
      </c>
      <c r="HD190" t="e">
        <f>AND(Sheet1!L2558,"AAAAAB1f+9M=")</f>
        <v>#VALUE!</v>
      </c>
      <c r="HE190" t="e">
        <f>AND(Sheet1!M2558,"AAAAAB1f+9Q=")</f>
        <v>#VALUE!</v>
      </c>
      <c r="HF190" t="e">
        <f>AND(Sheet1!N2558,"AAAAAB1f+9U=")</f>
        <v>#VALUE!</v>
      </c>
      <c r="HG190" t="e">
        <f>AND(Sheet1!#REF!,"AAAAAB1f+9Y=")</f>
        <v>#REF!</v>
      </c>
      <c r="HH190" t="e">
        <f>AND(Sheet1!#REF!,"AAAAAB1f+9c=")</f>
        <v>#REF!</v>
      </c>
      <c r="HI190" t="e">
        <f>AND(Sheet1!#REF!,"AAAAAB1f+9g=")</f>
        <v>#REF!</v>
      </c>
      <c r="HJ190" t="e">
        <f>AND(Sheet1!#REF!,"AAAAAB1f+9k=")</f>
        <v>#REF!</v>
      </c>
      <c r="HK190">
        <f>IF(Sheet1!2559:2559,"AAAAAB1f+9o=",0)</f>
        <v>0</v>
      </c>
      <c r="HL190" t="e">
        <f>AND(Sheet1!A2559,"AAAAAB1f+9s=")</f>
        <v>#VALUE!</v>
      </c>
      <c r="HM190" t="e">
        <f>AND(Sheet1!B2559,"AAAAAB1f+9w=")</f>
        <v>#VALUE!</v>
      </c>
      <c r="HN190" t="e">
        <f>AND(Sheet1!C2559,"AAAAAB1f+90=")</f>
        <v>#VALUE!</v>
      </c>
      <c r="HO190" t="e">
        <f>AND(Sheet1!D2559,"AAAAAB1f+94=")</f>
        <v>#VALUE!</v>
      </c>
      <c r="HP190" t="e">
        <f>AND(Sheet1!E2559,"AAAAAB1f+98=")</f>
        <v>#VALUE!</v>
      </c>
      <c r="HQ190" t="e">
        <f>AND(Sheet1!F2559,"AAAAAB1f++A=")</f>
        <v>#VALUE!</v>
      </c>
      <c r="HR190" t="e">
        <f>AND(Sheet1!G2559,"AAAAAB1f++E=")</f>
        <v>#VALUE!</v>
      </c>
      <c r="HS190" t="e">
        <f>AND(Sheet1!H2559,"AAAAAB1f++I=")</f>
        <v>#VALUE!</v>
      </c>
      <c r="HT190" t="e">
        <f>AND(Sheet1!I2559,"AAAAAB1f++M=")</f>
        <v>#VALUE!</v>
      </c>
      <c r="HU190" t="e">
        <f>AND(Sheet1!J2559,"AAAAAB1f++Q=")</f>
        <v>#VALUE!</v>
      </c>
      <c r="HV190" t="e">
        <f>AND(Sheet1!K2559,"AAAAAB1f++U=")</f>
        <v>#VALUE!</v>
      </c>
      <c r="HW190" t="e">
        <f>AND(Sheet1!L2559,"AAAAAB1f++Y=")</f>
        <v>#VALUE!</v>
      </c>
      <c r="HX190" t="e">
        <f>AND(Sheet1!M2559,"AAAAAB1f++c=")</f>
        <v>#VALUE!</v>
      </c>
      <c r="HY190" t="e">
        <f>AND(Sheet1!N2559,"AAAAAB1f++g=")</f>
        <v>#VALUE!</v>
      </c>
      <c r="HZ190" t="e">
        <f>AND(Sheet1!#REF!,"AAAAAB1f++k=")</f>
        <v>#REF!</v>
      </c>
      <c r="IA190" t="e">
        <f>AND(Sheet1!#REF!,"AAAAAB1f++o=")</f>
        <v>#REF!</v>
      </c>
      <c r="IB190" t="e">
        <f>AND(Sheet1!#REF!,"AAAAAB1f++s=")</f>
        <v>#REF!</v>
      </c>
      <c r="IC190" t="e">
        <f>AND(Sheet1!#REF!,"AAAAAB1f++w=")</f>
        <v>#REF!</v>
      </c>
      <c r="ID190">
        <f>IF(Sheet1!2560:2560,"AAAAAB1f++0=",0)</f>
        <v>0</v>
      </c>
      <c r="IE190" t="e">
        <f>AND(Sheet1!A2560,"AAAAAB1f++4=")</f>
        <v>#VALUE!</v>
      </c>
      <c r="IF190" t="e">
        <f>AND(Sheet1!B2560,"AAAAAB1f++8=")</f>
        <v>#VALUE!</v>
      </c>
      <c r="IG190" t="e">
        <f>AND(Sheet1!C2560,"AAAAAB1f+/A=")</f>
        <v>#VALUE!</v>
      </c>
      <c r="IH190" t="e">
        <f>AND(Sheet1!D2560,"AAAAAB1f+/E=")</f>
        <v>#VALUE!</v>
      </c>
      <c r="II190" t="e">
        <f>AND(Sheet1!E2560,"AAAAAB1f+/I=")</f>
        <v>#VALUE!</v>
      </c>
      <c r="IJ190" t="e">
        <f>AND(Sheet1!F2560,"AAAAAB1f+/M=")</f>
        <v>#VALUE!</v>
      </c>
      <c r="IK190" t="e">
        <f>AND(Sheet1!G2560,"AAAAAB1f+/Q=")</f>
        <v>#VALUE!</v>
      </c>
      <c r="IL190" t="e">
        <f>AND(Sheet1!H2560,"AAAAAB1f+/U=")</f>
        <v>#VALUE!</v>
      </c>
      <c r="IM190" t="e">
        <f>AND(Sheet1!I2560,"AAAAAB1f+/Y=")</f>
        <v>#VALUE!</v>
      </c>
      <c r="IN190" t="e">
        <f>AND(Sheet1!J2560,"AAAAAB1f+/c=")</f>
        <v>#VALUE!</v>
      </c>
      <c r="IO190" t="e">
        <f>AND(Sheet1!K2560,"AAAAAB1f+/g=")</f>
        <v>#VALUE!</v>
      </c>
      <c r="IP190" t="e">
        <f>AND(Sheet1!L2560,"AAAAAB1f+/k=")</f>
        <v>#VALUE!</v>
      </c>
      <c r="IQ190" t="e">
        <f>AND(Sheet1!M2560,"AAAAAB1f+/o=")</f>
        <v>#VALUE!</v>
      </c>
      <c r="IR190" t="e">
        <f>AND(Sheet1!N2560,"AAAAAB1f+/s=")</f>
        <v>#VALUE!</v>
      </c>
      <c r="IS190" t="e">
        <f>AND(Sheet1!#REF!,"AAAAAB1f+/w=")</f>
        <v>#REF!</v>
      </c>
      <c r="IT190" t="e">
        <f>AND(Sheet1!#REF!,"AAAAAB1f+/0=")</f>
        <v>#REF!</v>
      </c>
      <c r="IU190" t="e">
        <f>AND(Sheet1!#REF!,"AAAAAB1f+/4=")</f>
        <v>#REF!</v>
      </c>
      <c r="IV190" t="e">
        <f>AND(Sheet1!#REF!,"AAAAAB1f+/8=")</f>
        <v>#REF!</v>
      </c>
    </row>
    <row r="191" spans="1:256" x14ac:dyDescent="0.2">
      <c r="A191" t="e">
        <f>IF(Sheet1!2561:2561,"AAAAACbu3AA=",0)</f>
        <v>#VALUE!</v>
      </c>
      <c r="B191" t="e">
        <f>AND(Sheet1!A2561,"AAAAACbu3AE=")</f>
        <v>#VALUE!</v>
      </c>
      <c r="C191" t="e">
        <f>AND(Sheet1!B2561,"AAAAACbu3AI=")</f>
        <v>#VALUE!</v>
      </c>
      <c r="D191" t="e">
        <f>AND(Sheet1!C2561,"AAAAACbu3AM=")</f>
        <v>#VALUE!</v>
      </c>
      <c r="E191" t="e">
        <f>AND(Sheet1!D2561,"AAAAACbu3AQ=")</f>
        <v>#VALUE!</v>
      </c>
      <c r="F191" t="e">
        <f>AND(Sheet1!E2561,"AAAAACbu3AU=")</f>
        <v>#VALUE!</v>
      </c>
      <c r="G191" t="e">
        <f>AND(Sheet1!F2561,"AAAAACbu3AY=")</f>
        <v>#VALUE!</v>
      </c>
      <c r="H191" t="e">
        <f>AND(Sheet1!G2561,"AAAAACbu3Ac=")</f>
        <v>#VALUE!</v>
      </c>
      <c r="I191" t="e">
        <f>AND(Sheet1!H2561,"AAAAACbu3Ag=")</f>
        <v>#VALUE!</v>
      </c>
      <c r="J191" t="e">
        <f>AND(Sheet1!I2561,"AAAAACbu3Ak=")</f>
        <v>#VALUE!</v>
      </c>
      <c r="K191" t="e">
        <f>AND(Sheet1!J2561,"AAAAACbu3Ao=")</f>
        <v>#VALUE!</v>
      </c>
      <c r="L191" t="e">
        <f>AND(Sheet1!K2561,"AAAAACbu3As=")</f>
        <v>#VALUE!</v>
      </c>
      <c r="M191" t="e">
        <f>AND(Sheet1!L2561,"AAAAACbu3Aw=")</f>
        <v>#VALUE!</v>
      </c>
      <c r="N191" t="e">
        <f>AND(Sheet1!M2561,"AAAAACbu3A0=")</f>
        <v>#VALUE!</v>
      </c>
      <c r="O191" t="e">
        <f>AND(Sheet1!N2561,"AAAAACbu3A4=")</f>
        <v>#VALUE!</v>
      </c>
      <c r="P191" t="e">
        <f>AND(Sheet1!#REF!,"AAAAACbu3A8=")</f>
        <v>#REF!</v>
      </c>
      <c r="Q191" t="e">
        <f>AND(Sheet1!#REF!,"AAAAACbu3BA=")</f>
        <v>#REF!</v>
      </c>
      <c r="R191" t="e">
        <f>AND(Sheet1!#REF!,"AAAAACbu3BE=")</f>
        <v>#REF!</v>
      </c>
      <c r="S191" t="e">
        <f>AND(Sheet1!#REF!,"AAAAACbu3BI=")</f>
        <v>#REF!</v>
      </c>
      <c r="T191">
        <f>IF(Sheet1!2562:2562,"AAAAACbu3BM=",0)</f>
        <v>0</v>
      </c>
      <c r="U191" t="e">
        <f>AND(Sheet1!A2562,"AAAAACbu3BQ=")</f>
        <v>#VALUE!</v>
      </c>
      <c r="V191" t="e">
        <f>AND(Sheet1!B2562,"AAAAACbu3BU=")</f>
        <v>#VALUE!</v>
      </c>
      <c r="W191" t="e">
        <f>AND(Sheet1!C2562,"AAAAACbu3BY=")</f>
        <v>#VALUE!</v>
      </c>
      <c r="X191" t="e">
        <f>AND(Sheet1!D2562,"AAAAACbu3Bc=")</f>
        <v>#VALUE!</v>
      </c>
      <c r="Y191" t="e">
        <f>AND(Sheet1!E2562,"AAAAACbu3Bg=")</f>
        <v>#VALUE!</v>
      </c>
      <c r="Z191" t="e">
        <f>AND(Sheet1!F2562,"AAAAACbu3Bk=")</f>
        <v>#VALUE!</v>
      </c>
      <c r="AA191" t="e">
        <f>AND(Sheet1!G2562,"AAAAACbu3Bo=")</f>
        <v>#VALUE!</v>
      </c>
      <c r="AB191" t="e">
        <f>AND(Sheet1!H2562,"AAAAACbu3Bs=")</f>
        <v>#VALUE!</v>
      </c>
      <c r="AC191" t="e">
        <f>AND(Sheet1!I2562,"AAAAACbu3Bw=")</f>
        <v>#VALUE!</v>
      </c>
      <c r="AD191" t="e">
        <f>AND(Sheet1!J2562,"AAAAACbu3B0=")</f>
        <v>#VALUE!</v>
      </c>
      <c r="AE191" t="e">
        <f>AND(Sheet1!K2562,"AAAAACbu3B4=")</f>
        <v>#VALUE!</v>
      </c>
      <c r="AF191" t="e">
        <f>AND(Sheet1!L2562,"AAAAACbu3B8=")</f>
        <v>#VALUE!</v>
      </c>
      <c r="AG191" t="e">
        <f>AND(Sheet1!M2562,"AAAAACbu3CA=")</f>
        <v>#VALUE!</v>
      </c>
      <c r="AH191" t="e">
        <f>AND(Sheet1!N2562,"AAAAACbu3CE=")</f>
        <v>#VALUE!</v>
      </c>
      <c r="AI191" t="e">
        <f>AND(Sheet1!#REF!,"AAAAACbu3CI=")</f>
        <v>#REF!</v>
      </c>
      <c r="AJ191" t="e">
        <f>AND(Sheet1!#REF!,"AAAAACbu3CM=")</f>
        <v>#REF!</v>
      </c>
      <c r="AK191" t="e">
        <f>AND(Sheet1!#REF!,"AAAAACbu3CQ=")</f>
        <v>#REF!</v>
      </c>
      <c r="AL191" t="e">
        <f>AND(Sheet1!#REF!,"AAAAACbu3CU=")</f>
        <v>#REF!</v>
      </c>
      <c r="AM191">
        <f>IF(Sheet1!2563:2563,"AAAAACbu3CY=",0)</f>
        <v>0</v>
      </c>
      <c r="AN191" t="e">
        <f>AND(Sheet1!A2563,"AAAAACbu3Cc=")</f>
        <v>#VALUE!</v>
      </c>
      <c r="AO191" t="e">
        <f>AND(Sheet1!B2563,"AAAAACbu3Cg=")</f>
        <v>#VALUE!</v>
      </c>
      <c r="AP191" t="e">
        <f>AND(Sheet1!C2563,"AAAAACbu3Ck=")</f>
        <v>#VALUE!</v>
      </c>
      <c r="AQ191" t="e">
        <f>AND(Sheet1!D2563,"AAAAACbu3Co=")</f>
        <v>#VALUE!</v>
      </c>
      <c r="AR191" t="e">
        <f>AND(Sheet1!E2563,"AAAAACbu3Cs=")</f>
        <v>#VALUE!</v>
      </c>
      <c r="AS191" t="e">
        <f>AND(Sheet1!F2563,"AAAAACbu3Cw=")</f>
        <v>#VALUE!</v>
      </c>
      <c r="AT191" t="e">
        <f>AND(Sheet1!G2563,"AAAAACbu3C0=")</f>
        <v>#VALUE!</v>
      </c>
      <c r="AU191" t="e">
        <f>AND(Sheet1!H2563,"AAAAACbu3C4=")</f>
        <v>#VALUE!</v>
      </c>
      <c r="AV191" t="e">
        <f>AND(Sheet1!I2563,"AAAAACbu3C8=")</f>
        <v>#VALUE!</v>
      </c>
      <c r="AW191" t="e">
        <f>AND(Sheet1!J2563,"AAAAACbu3DA=")</f>
        <v>#VALUE!</v>
      </c>
      <c r="AX191" t="e">
        <f>AND(Sheet1!K2563,"AAAAACbu3DE=")</f>
        <v>#VALUE!</v>
      </c>
      <c r="AY191" t="e">
        <f>AND(Sheet1!L2563,"AAAAACbu3DI=")</f>
        <v>#VALUE!</v>
      </c>
      <c r="AZ191" t="e">
        <f>AND(Sheet1!M2563,"AAAAACbu3DM=")</f>
        <v>#VALUE!</v>
      </c>
      <c r="BA191" t="e">
        <f>AND(Sheet1!N2563,"AAAAACbu3DQ=")</f>
        <v>#VALUE!</v>
      </c>
      <c r="BB191" t="e">
        <f>AND(Sheet1!#REF!,"AAAAACbu3DU=")</f>
        <v>#REF!</v>
      </c>
      <c r="BC191" t="e">
        <f>AND(Sheet1!#REF!,"AAAAACbu3DY=")</f>
        <v>#REF!</v>
      </c>
      <c r="BD191" t="e">
        <f>AND(Sheet1!#REF!,"AAAAACbu3Dc=")</f>
        <v>#REF!</v>
      </c>
      <c r="BE191" t="e">
        <f>AND(Sheet1!#REF!,"AAAAACbu3Dg=")</f>
        <v>#REF!</v>
      </c>
      <c r="BF191">
        <f>IF(Sheet1!2564:2564,"AAAAACbu3Dk=",0)</f>
        <v>0</v>
      </c>
      <c r="BG191" t="e">
        <f>AND(Sheet1!A2564,"AAAAACbu3Do=")</f>
        <v>#VALUE!</v>
      </c>
      <c r="BH191" t="e">
        <f>AND(Sheet1!B2564,"AAAAACbu3Ds=")</f>
        <v>#VALUE!</v>
      </c>
      <c r="BI191" t="e">
        <f>AND(Sheet1!C2564,"AAAAACbu3Dw=")</f>
        <v>#VALUE!</v>
      </c>
      <c r="BJ191" t="e">
        <f>AND(Sheet1!D2564,"AAAAACbu3D0=")</f>
        <v>#VALUE!</v>
      </c>
      <c r="BK191" t="e">
        <f>AND(Sheet1!E2564,"AAAAACbu3D4=")</f>
        <v>#VALUE!</v>
      </c>
      <c r="BL191" t="e">
        <f>AND(Sheet1!F2564,"AAAAACbu3D8=")</f>
        <v>#VALUE!</v>
      </c>
      <c r="BM191" t="e">
        <f>AND(Sheet1!G2564,"AAAAACbu3EA=")</f>
        <v>#VALUE!</v>
      </c>
      <c r="BN191" t="e">
        <f>AND(Sheet1!H2564,"AAAAACbu3EE=")</f>
        <v>#VALUE!</v>
      </c>
      <c r="BO191" t="e">
        <f>AND(Sheet1!I2564,"AAAAACbu3EI=")</f>
        <v>#VALUE!</v>
      </c>
      <c r="BP191" t="e">
        <f>AND(Sheet1!J2564,"AAAAACbu3EM=")</f>
        <v>#VALUE!</v>
      </c>
      <c r="BQ191" t="e">
        <f>AND(Sheet1!K2564,"AAAAACbu3EQ=")</f>
        <v>#VALUE!</v>
      </c>
      <c r="BR191" t="e">
        <f>AND(Sheet1!L2564,"AAAAACbu3EU=")</f>
        <v>#VALUE!</v>
      </c>
      <c r="BS191" t="e">
        <f>AND(Sheet1!M2564,"AAAAACbu3EY=")</f>
        <v>#VALUE!</v>
      </c>
      <c r="BT191" t="e">
        <f>AND(Sheet1!N2564,"AAAAACbu3Ec=")</f>
        <v>#VALUE!</v>
      </c>
      <c r="BU191" t="e">
        <f>AND(Sheet1!#REF!,"AAAAACbu3Eg=")</f>
        <v>#REF!</v>
      </c>
      <c r="BV191" t="e">
        <f>AND(Sheet1!#REF!,"AAAAACbu3Ek=")</f>
        <v>#REF!</v>
      </c>
      <c r="BW191" t="e">
        <f>AND(Sheet1!#REF!,"AAAAACbu3Eo=")</f>
        <v>#REF!</v>
      </c>
      <c r="BX191" t="e">
        <f>AND(Sheet1!#REF!,"AAAAACbu3Es=")</f>
        <v>#REF!</v>
      </c>
      <c r="BY191">
        <f>IF(Sheet1!2565:2565,"AAAAACbu3Ew=",0)</f>
        <v>0</v>
      </c>
      <c r="BZ191" t="e">
        <f>AND(Sheet1!A2565,"AAAAACbu3E0=")</f>
        <v>#VALUE!</v>
      </c>
      <c r="CA191" t="e">
        <f>AND(Sheet1!B2565,"AAAAACbu3E4=")</f>
        <v>#VALUE!</v>
      </c>
      <c r="CB191" t="e">
        <f>AND(Sheet1!C2565,"AAAAACbu3E8=")</f>
        <v>#VALUE!</v>
      </c>
      <c r="CC191" t="e">
        <f>AND(Sheet1!D2565,"AAAAACbu3FA=")</f>
        <v>#VALUE!</v>
      </c>
      <c r="CD191" t="e">
        <f>AND(Sheet1!E2565,"AAAAACbu3FE=")</f>
        <v>#VALUE!</v>
      </c>
      <c r="CE191" t="e">
        <f>AND(Sheet1!F2565,"AAAAACbu3FI=")</f>
        <v>#VALUE!</v>
      </c>
      <c r="CF191" t="e">
        <f>AND(Sheet1!G2565,"AAAAACbu3FM=")</f>
        <v>#VALUE!</v>
      </c>
      <c r="CG191" t="e">
        <f>AND(Sheet1!H2565,"AAAAACbu3FQ=")</f>
        <v>#VALUE!</v>
      </c>
      <c r="CH191" t="e">
        <f>AND(Sheet1!I2565,"AAAAACbu3FU=")</f>
        <v>#VALUE!</v>
      </c>
      <c r="CI191" t="e">
        <f>AND(Sheet1!J2565,"AAAAACbu3FY=")</f>
        <v>#VALUE!</v>
      </c>
      <c r="CJ191" t="e">
        <f>AND(Sheet1!K2565,"AAAAACbu3Fc=")</f>
        <v>#VALUE!</v>
      </c>
      <c r="CK191" t="e">
        <f>AND(Sheet1!L2565,"AAAAACbu3Fg=")</f>
        <v>#VALUE!</v>
      </c>
      <c r="CL191" t="e">
        <f>AND(Sheet1!M2565,"AAAAACbu3Fk=")</f>
        <v>#VALUE!</v>
      </c>
      <c r="CM191" t="e">
        <f>AND(Sheet1!N2565,"AAAAACbu3Fo=")</f>
        <v>#VALUE!</v>
      </c>
      <c r="CN191" t="e">
        <f>AND(Sheet1!#REF!,"AAAAACbu3Fs=")</f>
        <v>#REF!</v>
      </c>
      <c r="CO191" t="e">
        <f>AND(Sheet1!#REF!,"AAAAACbu3Fw=")</f>
        <v>#REF!</v>
      </c>
      <c r="CP191" t="e">
        <f>AND(Sheet1!#REF!,"AAAAACbu3F0=")</f>
        <v>#REF!</v>
      </c>
      <c r="CQ191" t="e">
        <f>AND(Sheet1!#REF!,"AAAAACbu3F4=")</f>
        <v>#REF!</v>
      </c>
      <c r="CR191">
        <f>IF(Sheet1!2566:2566,"AAAAACbu3F8=",0)</f>
        <v>0</v>
      </c>
      <c r="CS191" t="e">
        <f>AND(Sheet1!A2566,"AAAAACbu3GA=")</f>
        <v>#VALUE!</v>
      </c>
      <c r="CT191" t="e">
        <f>AND(Sheet1!B2566,"AAAAACbu3GE=")</f>
        <v>#VALUE!</v>
      </c>
      <c r="CU191" t="e">
        <f>AND(Sheet1!C2566,"AAAAACbu3GI=")</f>
        <v>#VALUE!</v>
      </c>
      <c r="CV191" t="e">
        <f>AND(Sheet1!D2566,"AAAAACbu3GM=")</f>
        <v>#VALUE!</v>
      </c>
      <c r="CW191" t="e">
        <f>AND(Sheet1!E2566,"AAAAACbu3GQ=")</f>
        <v>#VALUE!</v>
      </c>
      <c r="CX191" t="e">
        <f>AND(Sheet1!F2566,"AAAAACbu3GU=")</f>
        <v>#VALUE!</v>
      </c>
      <c r="CY191" t="e">
        <f>AND(Sheet1!G2566,"AAAAACbu3GY=")</f>
        <v>#VALUE!</v>
      </c>
      <c r="CZ191" t="e">
        <f>AND(Sheet1!H2566,"AAAAACbu3Gc=")</f>
        <v>#VALUE!</v>
      </c>
      <c r="DA191" t="e">
        <f>AND(Sheet1!I2566,"AAAAACbu3Gg=")</f>
        <v>#VALUE!</v>
      </c>
      <c r="DB191" t="e">
        <f>AND(Sheet1!J2566,"AAAAACbu3Gk=")</f>
        <v>#VALUE!</v>
      </c>
      <c r="DC191" t="e">
        <f>AND(Sheet1!K2566,"AAAAACbu3Go=")</f>
        <v>#VALUE!</v>
      </c>
      <c r="DD191" t="e">
        <f>AND(Sheet1!L2566,"AAAAACbu3Gs=")</f>
        <v>#VALUE!</v>
      </c>
      <c r="DE191" t="e">
        <f>AND(Sheet1!M2566,"AAAAACbu3Gw=")</f>
        <v>#VALUE!</v>
      </c>
      <c r="DF191" t="e">
        <f>AND(Sheet1!N2566,"AAAAACbu3G0=")</f>
        <v>#VALUE!</v>
      </c>
      <c r="DG191" t="e">
        <f>AND(Sheet1!#REF!,"AAAAACbu3G4=")</f>
        <v>#REF!</v>
      </c>
      <c r="DH191" t="e">
        <f>AND(Sheet1!#REF!,"AAAAACbu3G8=")</f>
        <v>#REF!</v>
      </c>
      <c r="DI191" t="e">
        <f>AND(Sheet1!#REF!,"AAAAACbu3HA=")</f>
        <v>#REF!</v>
      </c>
      <c r="DJ191" t="e">
        <f>AND(Sheet1!#REF!,"AAAAACbu3HE=")</f>
        <v>#REF!</v>
      </c>
      <c r="DK191">
        <f>IF(Sheet1!2567:2567,"AAAAACbu3HI=",0)</f>
        <v>0</v>
      </c>
      <c r="DL191" t="e">
        <f>AND(Sheet1!A2567,"AAAAACbu3HM=")</f>
        <v>#VALUE!</v>
      </c>
      <c r="DM191" t="e">
        <f>AND(Sheet1!B2567,"AAAAACbu3HQ=")</f>
        <v>#VALUE!</v>
      </c>
      <c r="DN191" t="e">
        <f>AND(Sheet1!C2567,"AAAAACbu3HU=")</f>
        <v>#VALUE!</v>
      </c>
      <c r="DO191" t="e">
        <f>AND(Sheet1!D2567,"AAAAACbu3HY=")</f>
        <v>#VALUE!</v>
      </c>
      <c r="DP191" t="e">
        <f>AND(Sheet1!E2567,"AAAAACbu3Hc=")</f>
        <v>#VALUE!</v>
      </c>
      <c r="DQ191" t="e">
        <f>AND(Sheet1!F2567,"AAAAACbu3Hg=")</f>
        <v>#VALUE!</v>
      </c>
      <c r="DR191" t="e">
        <f>AND(Sheet1!G2567,"AAAAACbu3Hk=")</f>
        <v>#VALUE!</v>
      </c>
      <c r="DS191" t="e">
        <f>AND(Sheet1!H2567,"AAAAACbu3Ho=")</f>
        <v>#VALUE!</v>
      </c>
      <c r="DT191" t="e">
        <f>AND(Sheet1!I2567,"AAAAACbu3Hs=")</f>
        <v>#VALUE!</v>
      </c>
      <c r="DU191" t="e">
        <f>AND(Sheet1!J2567,"AAAAACbu3Hw=")</f>
        <v>#VALUE!</v>
      </c>
      <c r="DV191" t="e">
        <f>AND(Sheet1!K2567,"AAAAACbu3H0=")</f>
        <v>#VALUE!</v>
      </c>
      <c r="DW191" t="e">
        <f>AND(Sheet1!L2567,"AAAAACbu3H4=")</f>
        <v>#VALUE!</v>
      </c>
      <c r="DX191" t="e">
        <f>AND(Sheet1!M2567,"AAAAACbu3H8=")</f>
        <v>#VALUE!</v>
      </c>
      <c r="DY191" t="e">
        <f>AND(Sheet1!N2567,"AAAAACbu3IA=")</f>
        <v>#VALUE!</v>
      </c>
      <c r="DZ191" t="e">
        <f>AND(Sheet1!#REF!,"AAAAACbu3IE=")</f>
        <v>#REF!</v>
      </c>
      <c r="EA191" t="e">
        <f>AND(Sheet1!#REF!,"AAAAACbu3II=")</f>
        <v>#REF!</v>
      </c>
      <c r="EB191" t="e">
        <f>AND(Sheet1!#REF!,"AAAAACbu3IM=")</f>
        <v>#REF!</v>
      </c>
      <c r="EC191" t="e">
        <f>AND(Sheet1!#REF!,"AAAAACbu3IQ=")</f>
        <v>#REF!</v>
      </c>
      <c r="ED191">
        <f>IF(Sheet1!2568:2568,"AAAAACbu3IU=",0)</f>
        <v>0</v>
      </c>
      <c r="EE191" t="e">
        <f>AND(Sheet1!A2568,"AAAAACbu3IY=")</f>
        <v>#VALUE!</v>
      </c>
      <c r="EF191" t="e">
        <f>AND(Sheet1!B2568,"AAAAACbu3Ic=")</f>
        <v>#VALUE!</v>
      </c>
      <c r="EG191" t="e">
        <f>AND(Sheet1!C2568,"AAAAACbu3Ig=")</f>
        <v>#VALUE!</v>
      </c>
      <c r="EH191" t="e">
        <f>AND(Sheet1!D2568,"AAAAACbu3Ik=")</f>
        <v>#VALUE!</v>
      </c>
      <c r="EI191" t="e">
        <f>AND(Sheet1!E2568,"AAAAACbu3Io=")</f>
        <v>#VALUE!</v>
      </c>
      <c r="EJ191" t="e">
        <f>AND(Sheet1!F2568,"AAAAACbu3Is=")</f>
        <v>#VALUE!</v>
      </c>
      <c r="EK191" t="e">
        <f>AND(Sheet1!G2568,"AAAAACbu3Iw=")</f>
        <v>#VALUE!</v>
      </c>
      <c r="EL191" t="e">
        <f>AND(Sheet1!H2568,"AAAAACbu3I0=")</f>
        <v>#VALUE!</v>
      </c>
      <c r="EM191" t="e">
        <f>AND(Sheet1!I2568,"AAAAACbu3I4=")</f>
        <v>#VALUE!</v>
      </c>
      <c r="EN191" t="e">
        <f>AND(Sheet1!J2568,"AAAAACbu3I8=")</f>
        <v>#VALUE!</v>
      </c>
      <c r="EO191" t="e">
        <f>AND(Sheet1!K2568,"AAAAACbu3JA=")</f>
        <v>#VALUE!</v>
      </c>
      <c r="EP191" t="e">
        <f>AND(Sheet1!L2568,"AAAAACbu3JE=")</f>
        <v>#VALUE!</v>
      </c>
      <c r="EQ191" t="e">
        <f>AND(Sheet1!M2568,"AAAAACbu3JI=")</f>
        <v>#VALUE!</v>
      </c>
      <c r="ER191" t="e">
        <f>AND(Sheet1!N2568,"AAAAACbu3JM=")</f>
        <v>#VALUE!</v>
      </c>
      <c r="ES191" t="e">
        <f>AND(Sheet1!#REF!,"AAAAACbu3JQ=")</f>
        <v>#REF!</v>
      </c>
      <c r="ET191" t="e">
        <f>AND(Sheet1!#REF!,"AAAAACbu3JU=")</f>
        <v>#REF!</v>
      </c>
      <c r="EU191" t="e">
        <f>AND(Sheet1!#REF!,"AAAAACbu3JY=")</f>
        <v>#REF!</v>
      </c>
      <c r="EV191" t="e">
        <f>AND(Sheet1!#REF!,"AAAAACbu3Jc=")</f>
        <v>#REF!</v>
      </c>
      <c r="EW191">
        <f>IF(Sheet1!2569:2569,"AAAAACbu3Jg=",0)</f>
        <v>0</v>
      </c>
      <c r="EX191" t="e">
        <f>AND(Sheet1!A2569,"AAAAACbu3Jk=")</f>
        <v>#VALUE!</v>
      </c>
      <c r="EY191" t="e">
        <f>AND(Sheet1!B2569,"AAAAACbu3Jo=")</f>
        <v>#VALUE!</v>
      </c>
      <c r="EZ191" t="e">
        <f>AND(Sheet1!C2569,"AAAAACbu3Js=")</f>
        <v>#VALUE!</v>
      </c>
      <c r="FA191" t="e">
        <f>AND(Sheet1!D2569,"AAAAACbu3Jw=")</f>
        <v>#VALUE!</v>
      </c>
      <c r="FB191" t="e">
        <f>AND(Sheet1!E2569,"AAAAACbu3J0=")</f>
        <v>#VALUE!</v>
      </c>
      <c r="FC191" t="e">
        <f>AND(Sheet1!F2569,"AAAAACbu3J4=")</f>
        <v>#VALUE!</v>
      </c>
      <c r="FD191" t="e">
        <f>AND(Sheet1!G2569,"AAAAACbu3J8=")</f>
        <v>#VALUE!</v>
      </c>
      <c r="FE191" t="e">
        <f>AND(Sheet1!H2569,"AAAAACbu3KA=")</f>
        <v>#VALUE!</v>
      </c>
      <c r="FF191" t="e">
        <f>AND(Sheet1!I2569,"AAAAACbu3KE=")</f>
        <v>#VALUE!</v>
      </c>
      <c r="FG191" t="e">
        <f>AND(Sheet1!J2569,"AAAAACbu3KI=")</f>
        <v>#VALUE!</v>
      </c>
      <c r="FH191" t="e">
        <f>AND(Sheet1!K2569,"AAAAACbu3KM=")</f>
        <v>#VALUE!</v>
      </c>
      <c r="FI191" t="e">
        <f>AND(Sheet1!L2569,"AAAAACbu3KQ=")</f>
        <v>#VALUE!</v>
      </c>
      <c r="FJ191" t="e">
        <f>AND(Sheet1!M2569,"AAAAACbu3KU=")</f>
        <v>#VALUE!</v>
      </c>
      <c r="FK191" t="e">
        <f>AND(Sheet1!N2569,"AAAAACbu3KY=")</f>
        <v>#VALUE!</v>
      </c>
      <c r="FL191" t="e">
        <f>AND(Sheet1!#REF!,"AAAAACbu3Kc=")</f>
        <v>#REF!</v>
      </c>
      <c r="FM191" t="e">
        <f>AND(Sheet1!#REF!,"AAAAACbu3Kg=")</f>
        <v>#REF!</v>
      </c>
      <c r="FN191" t="e">
        <f>AND(Sheet1!#REF!,"AAAAACbu3Kk=")</f>
        <v>#REF!</v>
      </c>
      <c r="FO191" t="e">
        <f>AND(Sheet1!#REF!,"AAAAACbu3Ko=")</f>
        <v>#REF!</v>
      </c>
      <c r="FP191">
        <f>IF(Sheet1!2570:2570,"AAAAACbu3Ks=",0)</f>
        <v>0</v>
      </c>
      <c r="FQ191" t="e">
        <f>AND(Sheet1!A2570,"AAAAACbu3Kw=")</f>
        <v>#VALUE!</v>
      </c>
      <c r="FR191" t="e">
        <f>AND(Sheet1!B2570,"AAAAACbu3K0=")</f>
        <v>#VALUE!</v>
      </c>
      <c r="FS191" t="e">
        <f>AND(Sheet1!C2570,"AAAAACbu3K4=")</f>
        <v>#VALUE!</v>
      </c>
      <c r="FT191" t="e">
        <f>AND(Sheet1!D2570,"AAAAACbu3K8=")</f>
        <v>#VALUE!</v>
      </c>
      <c r="FU191" t="e">
        <f>AND(Sheet1!E2570,"AAAAACbu3LA=")</f>
        <v>#VALUE!</v>
      </c>
      <c r="FV191" t="e">
        <f>AND(Sheet1!F2570,"AAAAACbu3LE=")</f>
        <v>#VALUE!</v>
      </c>
      <c r="FW191" t="e">
        <f>AND(Sheet1!G2570,"AAAAACbu3LI=")</f>
        <v>#VALUE!</v>
      </c>
      <c r="FX191" t="e">
        <f>AND(Sheet1!H2570,"AAAAACbu3LM=")</f>
        <v>#VALUE!</v>
      </c>
      <c r="FY191" t="e">
        <f>AND(Sheet1!I2570,"AAAAACbu3LQ=")</f>
        <v>#VALUE!</v>
      </c>
      <c r="FZ191" t="e">
        <f>AND(Sheet1!J2570,"AAAAACbu3LU=")</f>
        <v>#VALUE!</v>
      </c>
      <c r="GA191" t="e">
        <f>AND(Sheet1!K2570,"AAAAACbu3LY=")</f>
        <v>#VALUE!</v>
      </c>
      <c r="GB191" t="e">
        <f>AND(Sheet1!L2570,"AAAAACbu3Lc=")</f>
        <v>#VALUE!</v>
      </c>
      <c r="GC191" t="e">
        <f>AND(Sheet1!M2570,"AAAAACbu3Lg=")</f>
        <v>#VALUE!</v>
      </c>
      <c r="GD191" t="e">
        <f>AND(Sheet1!N2570,"AAAAACbu3Lk=")</f>
        <v>#VALUE!</v>
      </c>
      <c r="GE191" t="e">
        <f>AND(Sheet1!#REF!,"AAAAACbu3Lo=")</f>
        <v>#REF!</v>
      </c>
      <c r="GF191" t="e">
        <f>AND(Sheet1!#REF!,"AAAAACbu3Ls=")</f>
        <v>#REF!</v>
      </c>
      <c r="GG191" t="e">
        <f>AND(Sheet1!#REF!,"AAAAACbu3Lw=")</f>
        <v>#REF!</v>
      </c>
      <c r="GH191" t="e">
        <f>AND(Sheet1!#REF!,"AAAAACbu3L0=")</f>
        <v>#REF!</v>
      </c>
      <c r="GI191">
        <f>IF(Sheet1!2571:2571,"AAAAACbu3L4=",0)</f>
        <v>0</v>
      </c>
      <c r="GJ191" t="e">
        <f>AND(Sheet1!A2571,"AAAAACbu3L8=")</f>
        <v>#VALUE!</v>
      </c>
      <c r="GK191" t="e">
        <f>AND(Sheet1!B2571,"AAAAACbu3MA=")</f>
        <v>#VALUE!</v>
      </c>
      <c r="GL191" t="e">
        <f>AND(Sheet1!C2571,"AAAAACbu3ME=")</f>
        <v>#VALUE!</v>
      </c>
      <c r="GM191" t="e">
        <f>AND(Sheet1!D2571,"AAAAACbu3MI=")</f>
        <v>#VALUE!</v>
      </c>
      <c r="GN191" t="e">
        <f>AND(Sheet1!E2571,"AAAAACbu3MM=")</f>
        <v>#VALUE!</v>
      </c>
      <c r="GO191" t="e">
        <f>AND(Sheet1!F2571,"AAAAACbu3MQ=")</f>
        <v>#VALUE!</v>
      </c>
      <c r="GP191" t="e">
        <f>AND(Sheet1!G2571,"AAAAACbu3MU=")</f>
        <v>#VALUE!</v>
      </c>
      <c r="GQ191" t="e">
        <f>AND(Sheet1!H2571,"AAAAACbu3MY=")</f>
        <v>#VALUE!</v>
      </c>
      <c r="GR191" t="e">
        <f>AND(Sheet1!I2571,"AAAAACbu3Mc=")</f>
        <v>#VALUE!</v>
      </c>
      <c r="GS191" t="e">
        <f>AND(Sheet1!J2571,"AAAAACbu3Mg=")</f>
        <v>#VALUE!</v>
      </c>
      <c r="GT191" t="e">
        <f>AND(Sheet1!K2571,"AAAAACbu3Mk=")</f>
        <v>#VALUE!</v>
      </c>
      <c r="GU191" t="e">
        <f>AND(Sheet1!L2571,"AAAAACbu3Mo=")</f>
        <v>#VALUE!</v>
      </c>
      <c r="GV191" t="e">
        <f>AND(Sheet1!M2571,"AAAAACbu3Ms=")</f>
        <v>#VALUE!</v>
      </c>
      <c r="GW191" t="e">
        <f>AND(Sheet1!N2571,"AAAAACbu3Mw=")</f>
        <v>#VALUE!</v>
      </c>
      <c r="GX191" t="e">
        <f>AND(Sheet1!#REF!,"AAAAACbu3M0=")</f>
        <v>#REF!</v>
      </c>
      <c r="GY191" t="e">
        <f>AND(Sheet1!#REF!,"AAAAACbu3M4=")</f>
        <v>#REF!</v>
      </c>
      <c r="GZ191" t="e">
        <f>AND(Sheet1!#REF!,"AAAAACbu3M8=")</f>
        <v>#REF!</v>
      </c>
      <c r="HA191" t="e">
        <f>AND(Sheet1!#REF!,"AAAAACbu3NA=")</f>
        <v>#REF!</v>
      </c>
      <c r="HB191">
        <f>IF(Sheet1!2572:2572,"AAAAACbu3NE=",0)</f>
        <v>0</v>
      </c>
      <c r="HC191" t="e">
        <f>AND(Sheet1!A2572,"AAAAACbu3NI=")</f>
        <v>#VALUE!</v>
      </c>
      <c r="HD191" t="e">
        <f>AND(Sheet1!B2572,"AAAAACbu3NM=")</f>
        <v>#VALUE!</v>
      </c>
      <c r="HE191" t="e">
        <f>AND(Sheet1!C2572,"AAAAACbu3NQ=")</f>
        <v>#VALUE!</v>
      </c>
      <c r="HF191" t="e">
        <f>AND(Sheet1!D2572,"AAAAACbu3NU=")</f>
        <v>#VALUE!</v>
      </c>
      <c r="HG191" t="e">
        <f>AND(Sheet1!E2572,"AAAAACbu3NY=")</f>
        <v>#VALUE!</v>
      </c>
      <c r="HH191" t="e">
        <f>AND(Sheet1!F2572,"AAAAACbu3Nc=")</f>
        <v>#VALUE!</v>
      </c>
      <c r="HI191" t="e">
        <f>AND(Sheet1!G2572,"AAAAACbu3Ng=")</f>
        <v>#VALUE!</v>
      </c>
      <c r="HJ191" t="e">
        <f>AND(Sheet1!H2572,"AAAAACbu3Nk=")</f>
        <v>#VALUE!</v>
      </c>
      <c r="HK191" t="e">
        <f>AND(Sheet1!I2572,"AAAAACbu3No=")</f>
        <v>#VALUE!</v>
      </c>
      <c r="HL191" t="e">
        <f>AND(Sheet1!J2572,"AAAAACbu3Ns=")</f>
        <v>#VALUE!</v>
      </c>
      <c r="HM191" t="e">
        <f>AND(Sheet1!K2572,"AAAAACbu3Nw=")</f>
        <v>#VALUE!</v>
      </c>
      <c r="HN191" t="e">
        <f>AND(Sheet1!L2572,"AAAAACbu3N0=")</f>
        <v>#VALUE!</v>
      </c>
      <c r="HO191" t="e">
        <f>AND(Sheet1!M2572,"AAAAACbu3N4=")</f>
        <v>#VALUE!</v>
      </c>
      <c r="HP191" t="e">
        <f>AND(Sheet1!N2572,"AAAAACbu3N8=")</f>
        <v>#VALUE!</v>
      </c>
      <c r="HQ191" t="e">
        <f>AND(Sheet1!#REF!,"AAAAACbu3OA=")</f>
        <v>#REF!</v>
      </c>
      <c r="HR191" t="e">
        <f>AND(Sheet1!#REF!,"AAAAACbu3OE=")</f>
        <v>#REF!</v>
      </c>
      <c r="HS191" t="e">
        <f>AND(Sheet1!#REF!,"AAAAACbu3OI=")</f>
        <v>#REF!</v>
      </c>
      <c r="HT191" t="e">
        <f>AND(Sheet1!#REF!,"AAAAACbu3OM=")</f>
        <v>#REF!</v>
      </c>
      <c r="HU191">
        <f>IF(Sheet1!2573:2573,"AAAAACbu3OQ=",0)</f>
        <v>0</v>
      </c>
      <c r="HV191" t="e">
        <f>AND(Sheet1!A2573,"AAAAACbu3OU=")</f>
        <v>#VALUE!</v>
      </c>
      <c r="HW191" t="e">
        <f>AND(Sheet1!B2573,"AAAAACbu3OY=")</f>
        <v>#VALUE!</v>
      </c>
      <c r="HX191" t="e">
        <f>AND(Sheet1!C2573,"AAAAACbu3Oc=")</f>
        <v>#VALUE!</v>
      </c>
      <c r="HY191" t="e">
        <f>AND(Sheet1!D2573,"AAAAACbu3Og=")</f>
        <v>#VALUE!</v>
      </c>
      <c r="HZ191" t="e">
        <f>AND(Sheet1!E2573,"AAAAACbu3Ok=")</f>
        <v>#VALUE!</v>
      </c>
      <c r="IA191" t="e">
        <f>AND(Sheet1!F2573,"AAAAACbu3Oo=")</f>
        <v>#VALUE!</v>
      </c>
      <c r="IB191" t="e">
        <f>AND(Sheet1!G2573,"AAAAACbu3Os=")</f>
        <v>#VALUE!</v>
      </c>
      <c r="IC191" t="e">
        <f>AND(Sheet1!H2573,"AAAAACbu3Ow=")</f>
        <v>#VALUE!</v>
      </c>
      <c r="ID191" t="e">
        <f>AND(Sheet1!I2573,"AAAAACbu3O0=")</f>
        <v>#VALUE!</v>
      </c>
      <c r="IE191" t="e">
        <f>AND(Sheet1!J2573,"AAAAACbu3O4=")</f>
        <v>#VALUE!</v>
      </c>
      <c r="IF191" t="e">
        <f>AND(Sheet1!K2573,"AAAAACbu3O8=")</f>
        <v>#VALUE!</v>
      </c>
      <c r="IG191" t="e">
        <f>AND(Sheet1!L2573,"AAAAACbu3PA=")</f>
        <v>#VALUE!</v>
      </c>
      <c r="IH191" t="e">
        <f>AND(Sheet1!M2573,"AAAAACbu3PE=")</f>
        <v>#VALUE!</v>
      </c>
      <c r="II191" t="e">
        <f>AND(Sheet1!N2573,"AAAAACbu3PI=")</f>
        <v>#VALUE!</v>
      </c>
      <c r="IJ191" t="e">
        <f>AND(Sheet1!#REF!,"AAAAACbu3PM=")</f>
        <v>#REF!</v>
      </c>
      <c r="IK191" t="e">
        <f>AND(Sheet1!#REF!,"AAAAACbu3PQ=")</f>
        <v>#REF!</v>
      </c>
      <c r="IL191" t="e">
        <f>AND(Sheet1!#REF!,"AAAAACbu3PU=")</f>
        <v>#REF!</v>
      </c>
      <c r="IM191" t="e">
        <f>AND(Sheet1!#REF!,"AAAAACbu3PY=")</f>
        <v>#REF!</v>
      </c>
      <c r="IN191">
        <f>IF(Sheet1!2574:2574,"AAAAACbu3Pc=",0)</f>
        <v>0</v>
      </c>
      <c r="IO191" t="e">
        <f>AND(Sheet1!A2574,"AAAAACbu3Pg=")</f>
        <v>#VALUE!</v>
      </c>
      <c r="IP191" t="e">
        <f>AND(Sheet1!B2574,"AAAAACbu3Pk=")</f>
        <v>#VALUE!</v>
      </c>
      <c r="IQ191" t="e">
        <f>AND(Sheet1!C2574,"AAAAACbu3Po=")</f>
        <v>#VALUE!</v>
      </c>
      <c r="IR191" t="e">
        <f>AND(Sheet1!D2574,"AAAAACbu3Ps=")</f>
        <v>#VALUE!</v>
      </c>
      <c r="IS191" t="e">
        <f>AND(Sheet1!E2574,"AAAAACbu3Pw=")</f>
        <v>#VALUE!</v>
      </c>
      <c r="IT191" t="e">
        <f>AND(Sheet1!F2574,"AAAAACbu3P0=")</f>
        <v>#VALUE!</v>
      </c>
      <c r="IU191" t="e">
        <f>AND(Sheet1!G2574,"AAAAACbu3P4=")</f>
        <v>#VALUE!</v>
      </c>
      <c r="IV191" t="e">
        <f>AND(Sheet1!H2574,"AAAAACbu3P8=")</f>
        <v>#VALUE!</v>
      </c>
    </row>
    <row r="192" spans="1:256" x14ac:dyDescent="0.2">
      <c r="A192" t="e">
        <f>AND(Sheet1!I2574,"AAAAAH7FcwA=")</f>
        <v>#VALUE!</v>
      </c>
      <c r="B192" t="e">
        <f>AND(Sheet1!J2574,"AAAAAH7FcwE=")</f>
        <v>#VALUE!</v>
      </c>
      <c r="C192" t="e">
        <f>AND(Sheet1!K2574,"AAAAAH7FcwI=")</f>
        <v>#VALUE!</v>
      </c>
      <c r="D192" t="e">
        <f>AND(Sheet1!L2574,"AAAAAH7FcwM=")</f>
        <v>#VALUE!</v>
      </c>
      <c r="E192" t="e">
        <f>AND(Sheet1!M2574,"AAAAAH7FcwQ=")</f>
        <v>#VALUE!</v>
      </c>
      <c r="F192" t="e">
        <f>AND(Sheet1!N2574,"AAAAAH7FcwU=")</f>
        <v>#VALUE!</v>
      </c>
      <c r="G192" t="e">
        <f>AND(Sheet1!#REF!,"AAAAAH7FcwY=")</f>
        <v>#REF!</v>
      </c>
      <c r="H192" t="e">
        <f>AND(Sheet1!#REF!,"AAAAAH7Fcwc=")</f>
        <v>#REF!</v>
      </c>
      <c r="I192" t="e">
        <f>AND(Sheet1!#REF!,"AAAAAH7Fcwg=")</f>
        <v>#REF!</v>
      </c>
      <c r="J192" t="e">
        <f>AND(Sheet1!#REF!,"AAAAAH7Fcwk=")</f>
        <v>#REF!</v>
      </c>
      <c r="K192" t="e">
        <f>IF(Sheet1!2575:2575,"AAAAAH7Fcwo=",0)</f>
        <v>#VALUE!</v>
      </c>
      <c r="L192" t="e">
        <f>AND(Sheet1!A2575,"AAAAAH7Fcws=")</f>
        <v>#VALUE!</v>
      </c>
      <c r="M192" t="e">
        <f>AND(Sheet1!B2575,"AAAAAH7Fcww=")</f>
        <v>#VALUE!</v>
      </c>
      <c r="N192" t="e">
        <f>AND(Sheet1!C2575,"AAAAAH7Fcw0=")</f>
        <v>#VALUE!</v>
      </c>
      <c r="O192" t="e">
        <f>AND(Sheet1!D2575,"AAAAAH7Fcw4=")</f>
        <v>#VALUE!</v>
      </c>
      <c r="P192" t="e">
        <f>AND(Sheet1!E2575,"AAAAAH7Fcw8=")</f>
        <v>#VALUE!</v>
      </c>
      <c r="Q192" t="e">
        <f>AND(Sheet1!F2575,"AAAAAH7FcxA=")</f>
        <v>#VALUE!</v>
      </c>
      <c r="R192" t="e">
        <f>AND(Sheet1!G2575,"AAAAAH7FcxE=")</f>
        <v>#VALUE!</v>
      </c>
      <c r="S192" t="e">
        <f>AND(Sheet1!H2575,"AAAAAH7FcxI=")</f>
        <v>#VALUE!</v>
      </c>
      <c r="T192" t="e">
        <f>AND(Sheet1!I2575,"AAAAAH7FcxM=")</f>
        <v>#VALUE!</v>
      </c>
      <c r="U192" t="e">
        <f>AND(Sheet1!J2575,"AAAAAH7FcxQ=")</f>
        <v>#VALUE!</v>
      </c>
      <c r="V192" t="e">
        <f>AND(Sheet1!K2575,"AAAAAH7FcxU=")</f>
        <v>#VALUE!</v>
      </c>
      <c r="W192" t="e">
        <f>AND(Sheet1!L2575,"AAAAAH7FcxY=")</f>
        <v>#VALUE!</v>
      </c>
      <c r="X192" t="e">
        <f>AND(Sheet1!M2575,"AAAAAH7Fcxc=")</f>
        <v>#VALUE!</v>
      </c>
      <c r="Y192" t="e">
        <f>AND(Sheet1!N2575,"AAAAAH7Fcxg=")</f>
        <v>#VALUE!</v>
      </c>
      <c r="Z192" t="e">
        <f>AND(Sheet1!#REF!,"AAAAAH7Fcxk=")</f>
        <v>#REF!</v>
      </c>
      <c r="AA192" t="e">
        <f>AND(Sheet1!#REF!,"AAAAAH7Fcxo=")</f>
        <v>#REF!</v>
      </c>
      <c r="AB192" t="e">
        <f>AND(Sheet1!#REF!,"AAAAAH7Fcxs=")</f>
        <v>#REF!</v>
      </c>
      <c r="AC192" t="e">
        <f>AND(Sheet1!#REF!,"AAAAAH7Fcxw=")</f>
        <v>#REF!</v>
      </c>
      <c r="AD192">
        <f>IF(Sheet1!2576:2576,"AAAAAH7Fcx0=",0)</f>
        <v>0</v>
      </c>
      <c r="AE192" t="e">
        <f>AND(Sheet1!A2576,"AAAAAH7Fcx4=")</f>
        <v>#VALUE!</v>
      </c>
      <c r="AF192" t="e">
        <f>AND(Sheet1!B2576,"AAAAAH7Fcx8=")</f>
        <v>#VALUE!</v>
      </c>
      <c r="AG192" t="e">
        <f>AND(Sheet1!C2576,"AAAAAH7FcyA=")</f>
        <v>#VALUE!</v>
      </c>
      <c r="AH192" t="e">
        <f>AND(Sheet1!D2576,"AAAAAH7FcyE=")</f>
        <v>#VALUE!</v>
      </c>
      <c r="AI192" t="e">
        <f>AND(Sheet1!E2576,"AAAAAH7FcyI=")</f>
        <v>#VALUE!</v>
      </c>
      <c r="AJ192" t="e">
        <f>AND(Sheet1!F2576,"AAAAAH7FcyM=")</f>
        <v>#VALUE!</v>
      </c>
      <c r="AK192" t="e">
        <f>AND(Sheet1!G2576,"AAAAAH7FcyQ=")</f>
        <v>#VALUE!</v>
      </c>
      <c r="AL192" t="e">
        <f>AND(Sheet1!H2576,"AAAAAH7FcyU=")</f>
        <v>#VALUE!</v>
      </c>
      <c r="AM192" t="e">
        <f>AND(Sheet1!I2576,"AAAAAH7FcyY=")</f>
        <v>#VALUE!</v>
      </c>
      <c r="AN192" t="e">
        <f>AND(Sheet1!J2576,"AAAAAH7Fcyc=")</f>
        <v>#VALUE!</v>
      </c>
      <c r="AO192" t="e">
        <f>AND(Sheet1!K2576,"AAAAAH7Fcyg=")</f>
        <v>#VALUE!</v>
      </c>
      <c r="AP192" t="e">
        <f>AND(Sheet1!L2576,"AAAAAH7Fcyk=")</f>
        <v>#VALUE!</v>
      </c>
      <c r="AQ192" t="e">
        <f>AND(Sheet1!M2576,"AAAAAH7Fcyo=")</f>
        <v>#VALUE!</v>
      </c>
      <c r="AR192" t="e">
        <f>AND(Sheet1!N2576,"AAAAAH7Fcys=")</f>
        <v>#VALUE!</v>
      </c>
      <c r="AS192" t="e">
        <f>AND(Sheet1!#REF!,"AAAAAH7Fcyw=")</f>
        <v>#REF!</v>
      </c>
      <c r="AT192" t="e">
        <f>AND(Sheet1!#REF!,"AAAAAH7Fcy0=")</f>
        <v>#REF!</v>
      </c>
      <c r="AU192" t="e">
        <f>AND(Sheet1!#REF!,"AAAAAH7Fcy4=")</f>
        <v>#REF!</v>
      </c>
      <c r="AV192" t="e">
        <f>AND(Sheet1!#REF!,"AAAAAH7Fcy8=")</f>
        <v>#REF!</v>
      </c>
      <c r="AW192">
        <f>IF(Sheet1!2577:2577,"AAAAAH7FczA=",0)</f>
        <v>0</v>
      </c>
      <c r="AX192" t="e">
        <f>AND(Sheet1!A2577,"AAAAAH7FczE=")</f>
        <v>#VALUE!</v>
      </c>
      <c r="AY192" t="e">
        <f>AND(Sheet1!B2577,"AAAAAH7FczI=")</f>
        <v>#VALUE!</v>
      </c>
      <c r="AZ192" t="e">
        <f>AND(Sheet1!C2577,"AAAAAH7FczM=")</f>
        <v>#VALUE!</v>
      </c>
      <c r="BA192" t="e">
        <f>AND(Sheet1!D2577,"AAAAAH7FczQ=")</f>
        <v>#VALUE!</v>
      </c>
      <c r="BB192" t="e">
        <f>AND(Sheet1!E2577,"AAAAAH7FczU=")</f>
        <v>#VALUE!</v>
      </c>
      <c r="BC192" t="e">
        <f>AND(Sheet1!F2577,"AAAAAH7FczY=")</f>
        <v>#VALUE!</v>
      </c>
      <c r="BD192" t="e">
        <f>AND(Sheet1!G2577,"AAAAAH7Fczc=")</f>
        <v>#VALUE!</v>
      </c>
      <c r="BE192" t="e">
        <f>AND(Sheet1!H2577,"AAAAAH7Fczg=")</f>
        <v>#VALUE!</v>
      </c>
      <c r="BF192" t="e">
        <f>AND(Sheet1!I2577,"AAAAAH7Fczk=")</f>
        <v>#VALUE!</v>
      </c>
      <c r="BG192" t="e">
        <f>AND(Sheet1!J2577,"AAAAAH7Fczo=")</f>
        <v>#VALUE!</v>
      </c>
      <c r="BH192" t="e">
        <f>AND(Sheet1!K2577,"AAAAAH7Fczs=")</f>
        <v>#VALUE!</v>
      </c>
      <c r="BI192" t="e">
        <f>AND(Sheet1!L2577,"AAAAAH7Fczw=")</f>
        <v>#VALUE!</v>
      </c>
      <c r="BJ192" t="e">
        <f>AND(Sheet1!M2577,"AAAAAH7Fcz0=")</f>
        <v>#VALUE!</v>
      </c>
      <c r="BK192" t="e">
        <f>AND(Sheet1!N2577,"AAAAAH7Fcz4=")</f>
        <v>#VALUE!</v>
      </c>
      <c r="BL192" t="e">
        <f>AND(Sheet1!#REF!,"AAAAAH7Fcz8=")</f>
        <v>#REF!</v>
      </c>
      <c r="BM192" t="e">
        <f>AND(Sheet1!#REF!,"AAAAAH7Fc0A=")</f>
        <v>#REF!</v>
      </c>
      <c r="BN192" t="e">
        <f>AND(Sheet1!#REF!,"AAAAAH7Fc0E=")</f>
        <v>#REF!</v>
      </c>
      <c r="BO192" t="e">
        <f>AND(Sheet1!#REF!,"AAAAAH7Fc0I=")</f>
        <v>#REF!</v>
      </c>
      <c r="BP192">
        <f>IF(Sheet1!2578:2578,"AAAAAH7Fc0M=",0)</f>
        <v>0</v>
      </c>
      <c r="BQ192" t="e">
        <f>AND(Sheet1!A2578,"AAAAAH7Fc0Q=")</f>
        <v>#VALUE!</v>
      </c>
      <c r="BR192" t="e">
        <f>AND(Sheet1!B2578,"AAAAAH7Fc0U=")</f>
        <v>#VALUE!</v>
      </c>
      <c r="BS192" t="e">
        <f>AND(Sheet1!C2578,"AAAAAH7Fc0Y=")</f>
        <v>#VALUE!</v>
      </c>
      <c r="BT192" t="e">
        <f>AND(Sheet1!D2578,"AAAAAH7Fc0c=")</f>
        <v>#VALUE!</v>
      </c>
      <c r="BU192" t="e">
        <f>AND(Sheet1!E2578,"AAAAAH7Fc0g=")</f>
        <v>#VALUE!</v>
      </c>
      <c r="BV192" t="e">
        <f>AND(Sheet1!F2578,"AAAAAH7Fc0k=")</f>
        <v>#VALUE!</v>
      </c>
      <c r="BW192" t="e">
        <f>AND(Sheet1!G2578,"AAAAAH7Fc0o=")</f>
        <v>#VALUE!</v>
      </c>
      <c r="BX192" t="e">
        <f>AND(Sheet1!H2578,"AAAAAH7Fc0s=")</f>
        <v>#VALUE!</v>
      </c>
      <c r="BY192" t="e">
        <f>AND(Sheet1!I2578,"AAAAAH7Fc0w=")</f>
        <v>#VALUE!</v>
      </c>
      <c r="BZ192" t="e">
        <f>AND(Sheet1!J2578,"AAAAAH7Fc00=")</f>
        <v>#VALUE!</v>
      </c>
      <c r="CA192" t="e">
        <f>AND(Sheet1!K2578,"AAAAAH7Fc04=")</f>
        <v>#VALUE!</v>
      </c>
      <c r="CB192" t="e">
        <f>AND(Sheet1!L2578,"AAAAAH7Fc08=")</f>
        <v>#VALUE!</v>
      </c>
      <c r="CC192" t="e">
        <f>AND(Sheet1!M2578,"AAAAAH7Fc1A=")</f>
        <v>#VALUE!</v>
      </c>
      <c r="CD192" t="e">
        <f>AND(Sheet1!N2578,"AAAAAH7Fc1E=")</f>
        <v>#VALUE!</v>
      </c>
      <c r="CE192" t="e">
        <f>AND(Sheet1!#REF!,"AAAAAH7Fc1I=")</f>
        <v>#REF!</v>
      </c>
      <c r="CF192" t="e">
        <f>AND(Sheet1!#REF!,"AAAAAH7Fc1M=")</f>
        <v>#REF!</v>
      </c>
      <c r="CG192" t="e">
        <f>AND(Sheet1!#REF!,"AAAAAH7Fc1Q=")</f>
        <v>#REF!</v>
      </c>
      <c r="CH192" t="e">
        <f>AND(Sheet1!#REF!,"AAAAAH7Fc1U=")</f>
        <v>#REF!</v>
      </c>
      <c r="CI192">
        <f>IF(Sheet1!2579:2579,"AAAAAH7Fc1Y=",0)</f>
        <v>0</v>
      </c>
      <c r="CJ192" t="e">
        <f>AND(Sheet1!A2579,"AAAAAH7Fc1c=")</f>
        <v>#VALUE!</v>
      </c>
      <c r="CK192" t="e">
        <f>AND(Sheet1!B2579,"AAAAAH7Fc1g=")</f>
        <v>#VALUE!</v>
      </c>
      <c r="CL192" t="e">
        <f>AND(Sheet1!C2579,"AAAAAH7Fc1k=")</f>
        <v>#VALUE!</v>
      </c>
      <c r="CM192" t="e">
        <f>AND(Sheet1!D2579,"AAAAAH7Fc1o=")</f>
        <v>#VALUE!</v>
      </c>
      <c r="CN192" t="e">
        <f>AND(Sheet1!E2579,"AAAAAH7Fc1s=")</f>
        <v>#VALUE!</v>
      </c>
      <c r="CO192" t="e">
        <f>AND(Sheet1!F2579,"AAAAAH7Fc1w=")</f>
        <v>#VALUE!</v>
      </c>
      <c r="CP192" t="e">
        <f>AND(Sheet1!G2579,"AAAAAH7Fc10=")</f>
        <v>#VALUE!</v>
      </c>
      <c r="CQ192" t="e">
        <f>AND(Sheet1!H2579,"AAAAAH7Fc14=")</f>
        <v>#VALUE!</v>
      </c>
      <c r="CR192" t="e">
        <f>AND(Sheet1!I2579,"AAAAAH7Fc18=")</f>
        <v>#VALUE!</v>
      </c>
      <c r="CS192" t="e">
        <f>AND(Sheet1!J2579,"AAAAAH7Fc2A=")</f>
        <v>#VALUE!</v>
      </c>
      <c r="CT192" t="e">
        <f>AND(Sheet1!K2579,"AAAAAH7Fc2E=")</f>
        <v>#VALUE!</v>
      </c>
      <c r="CU192" t="e">
        <f>AND(Sheet1!L2579,"AAAAAH7Fc2I=")</f>
        <v>#VALUE!</v>
      </c>
      <c r="CV192" t="e">
        <f>AND(Sheet1!M2579,"AAAAAH7Fc2M=")</f>
        <v>#VALUE!</v>
      </c>
      <c r="CW192" t="e">
        <f>AND(Sheet1!N2579,"AAAAAH7Fc2Q=")</f>
        <v>#VALUE!</v>
      </c>
      <c r="CX192" t="e">
        <f>AND(Sheet1!#REF!,"AAAAAH7Fc2U=")</f>
        <v>#REF!</v>
      </c>
      <c r="CY192" t="e">
        <f>AND(Sheet1!#REF!,"AAAAAH7Fc2Y=")</f>
        <v>#REF!</v>
      </c>
      <c r="CZ192" t="e">
        <f>AND(Sheet1!#REF!,"AAAAAH7Fc2c=")</f>
        <v>#REF!</v>
      </c>
      <c r="DA192" t="e">
        <f>AND(Sheet1!#REF!,"AAAAAH7Fc2g=")</f>
        <v>#REF!</v>
      </c>
      <c r="DB192">
        <f>IF(Sheet1!2580:2580,"AAAAAH7Fc2k=",0)</f>
        <v>0</v>
      </c>
      <c r="DC192" t="e">
        <f>AND(Sheet1!A2580,"AAAAAH7Fc2o=")</f>
        <v>#VALUE!</v>
      </c>
      <c r="DD192" t="e">
        <f>AND(Sheet1!B2580,"AAAAAH7Fc2s=")</f>
        <v>#VALUE!</v>
      </c>
      <c r="DE192" t="e">
        <f>AND(Sheet1!C2580,"AAAAAH7Fc2w=")</f>
        <v>#VALUE!</v>
      </c>
      <c r="DF192" t="e">
        <f>AND(Sheet1!D2580,"AAAAAH7Fc20=")</f>
        <v>#VALUE!</v>
      </c>
      <c r="DG192" t="e">
        <f>AND(Sheet1!E2580,"AAAAAH7Fc24=")</f>
        <v>#VALUE!</v>
      </c>
      <c r="DH192" t="e">
        <f>AND(Sheet1!F2580,"AAAAAH7Fc28=")</f>
        <v>#VALUE!</v>
      </c>
      <c r="DI192" t="e">
        <f>AND(Sheet1!G2580,"AAAAAH7Fc3A=")</f>
        <v>#VALUE!</v>
      </c>
      <c r="DJ192" t="e">
        <f>AND(Sheet1!H2580,"AAAAAH7Fc3E=")</f>
        <v>#VALUE!</v>
      </c>
      <c r="DK192" t="e">
        <f>AND(Sheet1!I2580,"AAAAAH7Fc3I=")</f>
        <v>#VALUE!</v>
      </c>
      <c r="DL192" t="e">
        <f>AND(Sheet1!J2580,"AAAAAH7Fc3M=")</f>
        <v>#VALUE!</v>
      </c>
      <c r="DM192" t="e">
        <f>AND(Sheet1!K2580,"AAAAAH7Fc3Q=")</f>
        <v>#VALUE!</v>
      </c>
      <c r="DN192" t="e">
        <f>AND(Sheet1!L2580,"AAAAAH7Fc3U=")</f>
        <v>#VALUE!</v>
      </c>
      <c r="DO192" t="e">
        <f>AND(Sheet1!M2580,"AAAAAH7Fc3Y=")</f>
        <v>#VALUE!</v>
      </c>
      <c r="DP192" t="e">
        <f>AND(Sheet1!N2580,"AAAAAH7Fc3c=")</f>
        <v>#VALUE!</v>
      </c>
      <c r="DQ192" t="e">
        <f>AND(Sheet1!#REF!,"AAAAAH7Fc3g=")</f>
        <v>#REF!</v>
      </c>
      <c r="DR192" t="e">
        <f>AND(Sheet1!#REF!,"AAAAAH7Fc3k=")</f>
        <v>#REF!</v>
      </c>
      <c r="DS192" t="e">
        <f>AND(Sheet1!#REF!,"AAAAAH7Fc3o=")</f>
        <v>#REF!</v>
      </c>
      <c r="DT192" t="e">
        <f>AND(Sheet1!#REF!,"AAAAAH7Fc3s=")</f>
        <v>#REF!</v>
      </c>
      <c r="DU192">
        <f>IF(Sheet1!2581:2581,"AAAAAH7Fc3w=",0)</f>
        <v>0</v>
      </c>
      <c r="DV192" t="e">
        <f>AND(Sheet1!A2581,"AAAAAH7Fc30=")</f>
        <v>#VALUE!</v>
      </c>
      <c r="DW192" t="e">
        <f>AND(Sheet1!B2581,"AAAAAH7Fc34=")</f>
        <v>#VALUE!</v>
      </c>
      <c r="DX192" t="e">
        <f>AND(Sheet1!C2581,"AAAAAH7Fc38=")</f>
        <v>#VALUE!</v>
      </c>
      <c r="DY192" t="e">
        <f>AND(Sheet1!D2581,"AAAAAH7Fc4A=")</f>
        <v>#VALUE!</v>
      </c>
      <c r="DZ192" t="e">
        <f>AND(Sheet1!E2581,"AAAAAH7Fc4E=")</f>
        <v>#VALUE!</v>
      </c>
      <c r="EA192" t="e">
        <f>AND(Sheet1!F2581,"AAAAAH7Fc4I=")</f>
        <v>#VALUE!</v>
      </c>
      <c r="EB192" t="e">
        <f>AND(Sheet1!G2581,"AAAAAH7Fc4M=")</f>
        <v>#VALUE!</v>
      </c>
      <c r="EC192" t="e">
        <f>AND(Sheet1!H2581,"AAAAAH7Fc4Q=")</f>
        <v>#VALUE!</v>
      </c>
      <c r="ED192" t="e">
        <f>AND(Sheet1!I2581,"AAAAAH7Fc4U=")</f>
        <v>#VALUE!</v>
      </c>
      <c r="EE192" t="e">
        <f>AND(Sheet1!J2581,"AAAAAH7Fc4Y=")</f>
        <v>#VALUE!</v>
      </c>
      <c r="EF192" t="e">
        <f>AND(Sheet1!K2581,"AAAAAH7Fc4c=")</f>
        <v>#VALUE!</v>
      </c>
      <c r="EG192" t="e">
        <f>AND(Sheet1!L2581,"AAAAAH7Fc4g=")</f>
        <v>#VALUE!</v>
      </c>
      <c r="EH192" t="e">
        <f>AND(Sheet1!M2581,"AAAAAH7Fc4k=")</f>
        <v>#VALUE!</v>
      </c>
      <c r="EI192" t="e">
        <f>AND(Sheet1!N2581,"AAAAAH7Fc4o=")</f>
        <v>#VALUE!</v>
      </c>
      <c r="EJ192" t="e">
        <f>AND(Sheet1!#REF!,"AAAAAH7Fc4s=")</f>
        <v>#REF!</v>
      </c>
      <c r="EK192" t="e">
        <f>AND(Sheet1!#REF!,"AAAAAH7Fc4w=")</f>
        <v>#REF!</v>
      </c>
      <c r="EL192" t="e">
        <f>AND(Sheet1!#REF!,"AAAAAH7Fc40=")</f>
        <v>#REF!</v>
      </c>
      <c r="EM192" t="e">
        <f>AND(Sheet1!#REF!,"AAAAAH7Fc44=")</f>
        <v>#REF!</v>
      </c>
      <c r="EN192">
        <f>IF(Sheet1!2582:2582,"AAAAAH7Fc48=",0)</f>
        <v>0</v>
      </c>
      <c r="EO192" t="e">
        <f>AND(Sheet1!A2582,"AAAAAH7Fc5A=")</f>
        <v>#VALUE!</v>
      </c>
      <c r="EP192" t="e">
        <f>AND(Sheet1!B2582,"AAAAAH7Fc5E=")</f>
        <v>#VALUE!</v>
      </c>
      <c r="EQ192" t="e">
        <f>AND(Sheet1!C2582,"AAAAAH7Fc5I=")</f>
        <v>#VALUE!</v>
      </c>
      <c r="ER192" t="e">
        <f>AND(Sheet1!D2582,"AAAAAH7Fc5M=")</f>
        <v>#VALUE!</v>
      </c>
      <c r="ES192" t="e">
        <f>AND(Sheet1!E2582,"AAAAAH7Fc5Q=")</f>
        <v>#VALUE!</v>
      </c>
      <c r="ET192" t="e">
        <f>AND(Sheet1!F2582,"AAAAAH7Fc5U=")</f>
        <v>#VALUE!</v>
      </c>
      <c r="EU192" t="e">
        <f>AND(Sheet1!G2582,"AAAAAH7Fc5Y=")</f>
        <v>#VALUE!</v>
      </c>
      <c r="EV192" t="e">
        <f>AND(Sheet1!H2582,"AAAAAH7Fc5c=")</f>
        <v>#VALUE!</v>
      </c>
      <c r="EW192" t="e">
        <f>AND(Sheet1!I2582,"AAAAAH7Fc5g=")</f>
        <v>#VALUE!</v>
      </c>
      <c r="EX192" t="e">
        <f>AND(Sheet1!J2582,"AAAAAH7Fc5k=")</f>
        <v>#VALUE!</v>
      </c>
      <c r="EY192" t="e">
        <f>AND(Sheet1!K2582,"AAAAAH7Fc5o=")</f>
        <v>#VALUE!</v>
      </c>
      <c r="EZ192" t="e">
        <f>AND(Sheet1!L2582,"AAAAAH7Fc5s=")</f>
        <v>#VALUE!</v>
      </c>
      <c r="FA192" t="e">
        <f>AND(Sheet1!M2582,"AAAAAH7Fc5w=")</f>
        <v>#VALUE!</v>
      </c>
      <c r="FB192" t="e">
        <f>AND(Sheet1!N2582,"AAAAAH7Fc50=")</f>
        <v>#VALUE!</v>
      </c>
      <c r="FC192" t="e">
        <f>AND(Sheet1!#REF!,"AAAAAH7Fc54=")</f>
        <v>#REF!</v>
      </c>
      <c r="FD192" t="e">
        <f>AND(Sheet1!#REF!,"AAAAAH7Fc58=")</f>
        <v>#REF!</v>
      </c>
      <c r="FE192" t="e">
        <f>AND(Sheet1!#REF!,"AAAAAH7Fc6A=")</f>
        <v>#REF!</v>
      </c>
      <c r="FF192" t="e">
        <f>AND(Sheet1!#REF!,"AAAAAH7Fc6E=")</f>
        <v>#REF!</v>
      </c>
      <c r="FG192">
        <f>IF(Sheet1!2583:2583,"AAAAAH7Fc6I=",0)</f>
        <v>0</v>
      </c>
      <c r="FH192" t="e">
        <f>AND(Sheet1!A2583,"AAAAAH7Fc6M=")</f>
        <v>#VALUE!</v>
      </c>
      <c r="FI192" t="e">
        <f>AND(Sheet1!B2583,"AAAAAH7Fc6Q=")</f>
        <v>#VALUE!</v>
      </c>
      <c r="FJ192" t="e">
        <f>AND(Sheet1!C2583,"AAAAAH7Fc6U=")</f>
        <v>#VALUE!</v>
      </c>
      <c r="FK192" t="e">
        <f>AND(Sheet1!D2583,"AAAAAH7Fc6Y=")</f>
        <v>#VALUE!</v>
      </c>
      <c r="FL192" t="e">
        <f>AND(Sheet1!E2583,"AAAAAH7Fc6c=")</f>
        <v>#VALUE!</v>
      </c>
      <c r="FM192" t="e">
        <f>AND(Sheet1!F2583,"AAAAAH7Fc6g=")</f>
        <v>#VALUE!</v>
      </c>
      <c r="FN192" t="e">
        <f>AND(Sheet1!G2583,"AAAAAH7Fc6k=")</f>
        <v>#VALUE!</v>
      </c>
      <c r="FO192" t="e">
        <f>AND(Sheet1!H2583,"AAAAAH7Fc6o=")</f>
        <v>#VALUE!</v>
      </c>
      <c r="FP192" t="e">
        <f>AND(Sheet1!I2583,"AAAAAH7Fc6s=")</f>
        <v>#VALUE!</v>
      </c>
      <c r="FQ192" t="e">
        <f>AND(Sheet1!J2583,"AAAAAH7Fc6w=")</f>
        <v>#VALUE!</v>
      </c>
      <c r="FR192" t="e">
        <f>AND(Sheet1!K2583,"AAAAAH7Fc60=")</f>
        <v>#VALUE!</v>
      </c>
      <c r="FS192" t="e">
        <f>AND(Sheet1!L2583,"AAAAAH7Fc64=")</f>
        <v>#VALUE!</v>
      </c>
      <c r="FT192" t="e">
        <f>AND(Sheet1!M2583,"AAAAAH7Fc68=")</f>
        <v>#VALUE!</v>
      </c>
      <c r="FU192" t="e">
        <f>AND(Sheet1!N2583,"AAAAAH7Fc7A=")</f>
        <v>#VALUE!</v>
      </c>
      <c r="FV192" t="e">
        <f>AND(Sheet1!#REF!,"AAAAAH7Fc7E=")</f>
        <v>#REF!</v>
      </c>
      <c r="FW192" t="e">
        <f>AND(Sheet1!#REF!,"AAAAAH7Fc7I=")</f>
        <v>#REF!</v>
      </c>
      <c r="FX192" t="e">
        <f>AND(Sheet1!#REF!,"AAAAAH7Fc7M=")</f>
        <v>#REF!</v>
      </c>
      <c r="FY192" t="e">
        <f>AND(Sheet1!#REF!,"AAAAAH7Fc7Q=")</f>
        <v>#REF!</v>
      </c>
      <c r="FZ192">
        <f>IF(Sheet1!2584:2584,"AAAAAH7Fc7U=",0)</f>
        <v>0</v>
      </c>
      <c r="GA192" t="e">
        <f>AND(Sheet1!A2584,"AAAAAH7Fc7Y=")</f>
        <v>#VALUE!</v>
      </c>
      <c r="GB192" t="e">
        <f>AND(Sheet1!B2584,"AAAAAH7Fc7c=")</f>
        <v>#VALUE!</v>
      </c>
      <c r="GC192" t="e">
        <f>AND(Sheet1!C2584,"AAAAAH7Fc7g=")</f>
        <v>#VALUE!</v>
      </c>
      <c r="GD192" t="e">
        <f>AND(Sheet1!D2584,"AAAAAH7Fc7k=")</f>
        <v>#VALUE!</v>
      </c>
      <c r="GE192" t="e">
        <f>AND(Sheet1!E2584,"AAAAAH7Fc7o=")</f>
        <v>#VALUE!</v>
      </c>
      <c r="GF192" t="e">
        <f>AND(Sheet1!F2584,"AAAAAH7Fc7s=")</f>
        <v>#VALUE!</v>
      </c>
      <c r="GG192" t="e">
        <f>AND(Sheet1!G2584,"AAAAAH7Fc7w=")</f>
        <v>#VALUE!</v>
      </c>
      <c r="GH192" t="e">
        <f>AND(Sheet1!H2584,"AAAAAH7Fc70=")</f>
        <v>#VALUE!</v>
      </c>
      <c r="GI192" t="e">
        <f>AND(Sheet1!I2584,"AAAAAH7Fc74=")</f>
        <v>#VALUE!</v>
      </c>
      <c r="GJ192" t="e">
        <f>AND(Sheet1!J2584,"AAAAAH7Fc78=")</f>
        <v>#VALUE!</v>
      </c>
      <c r="GK192" t="e">
        <f>AND(Sheet1!K2584,"AAAAAH7Fc8A=")</f>
        <v>#VALUE!</v>
      </c>
      <c r="GL192" t="e">
        <f>AND(Sheet1!L2584,"AAAAAH7Fc8E=")</f>
        <v>#VALUE!</v>
      </c>
      <c r="GM192" t="e">
        <f>AND(Sheet1!M2584,"AAAAAH7Fc8I=")</f>
        <v>#VALUE!</v>
      </c>
      <c r="GN192" t="e">
        <f>AND(Sheet1!N2584,"AAAAAH7Fc8M=")</f>
        <v>#VALUE!</v>
      </c>
      <c r="GO192" t="e">
        <f>AND(Sheet1!#REF!,"AAAAAH7Fc8Q=")</f>
        <v>#REF!</v>
      </c>
      <c r="GP192" t="e">
        <f>AND(Sheet1!#REF!,"AAAAAH7Fc8U=")</f>
        <v>#REF!</v>
      </c>
      <c r="GQ192" t="e">
        <f>AND(Sheet1!#REF!,"AAAAAH7Fc8Y=")</f>
        <v>#REF!</v>
      </c>
      <c r="GR192" t="e">
        <f>AND(Sheet1!#REF!,"AAAAAH7Fc8c=")</f>
        <v>#REF!</v>
      </c>
      <c r="GS192">
        <f>IF(Sheet1!2585:2585,"AAAAAH7Fc8g=",0)</f>
        <v>0</v>
      </c>
      <c r="GT192" t="e">
        <f>AND(Sheet1!A2585,"AAAAAH7Fc8k=")</f>
        <v>#VALUE!</v>
      </c>
      <c r="GU192" t="e">
        <f>AND(Sheet1!B2585,"AAAAAH7Fc8o=")</f>
        <v>#VALUE!</v>
      </c>
      <c r="GV192" t="e">
        <f>AND(Sheet1!C2585,"AAAAAH7Fc8s=")</f>
        <v>#VALUE!</v>
      </c>
      <c r="GW192" t="e">
        <f>AND(Sheet1!D2585,"AAAAAH7Fc8w=")</f>
        <v>#VALUE!</v>
      </c>
      <c r="GX192" t="e">
        <f>AND(Sheet1!E2585,"AAAAAH7Fc80=")</f>
        <v>#VALUE!</v>
      </c>
      <c r="GY192" t="e">
        <f>AND(Sheet1!F2585,"AAAAAH7Fc84=")</f>
        <v>#VALUE!</v>
      </c>
      <c r="GZ192" t="e">
        <f>AND(Sheet1!G2585,"AAAAAH7Fc88=")</f>
        <v>#VALUE!</v>
      </c>
      <c r="HA192" t="e">
        <f>AND(Sheet1!H2585,"AAAAAH7Fc9A=")</f>
        <v>#VALUE!</v>
      </c>
      <c r="HB192" t="e">
        <f>AND(Sheet1!I2585,"AAAAAH7Fc9E=")</f>
        <v>#VALUE!</v>
      </c>
      <c r="HC192" t="e">
        <f>AND(Sheet1!J2585,"AAAAAH7Fc9I=")</f>
        <v>#VALUE!</v>
      </c>
      <c r="HD192" t="e">
        <f>AND(Sheet1!K2585,"AAAAAH7Fc9M=")</f>
        <v>#VALUE!</v>
      </c>
      <c r="HE192" t="e">
        <f>AND(Sheet1!L2585,"AAAAAH7Fc9Q=")</f>
        <v>#VALUE!</v>
      </c>
      <c r="HF192" t="e">
        <f>AND(Sheet1!M2585,"AAAAAH7Fc9U=")</f>
        <v>#VALUE!</v>
      </c>
      <c r="HG192" t="e">
        <f>AND(Sheet1!N2585,"AAAAAH7Fc9Y=")</f>
        <v>#VALUE!</v>
      </c>
      <c r="HH192" t="e">
        <f>AND(Sheet1!#REF!,"AAAAAH7Fc9c=")</f>
        <v>#REF!</v>
      </c>
      <c r="HI192" t="e">
        <f>AND(Sheet1!#REF!,"AAAAAH7Fc9g=")</f>
        <v>#REF!</v>
      </c>
      <c r="HJ192" t="e">
        <f>AND(Sheet1!#REF!,"AAAAAH7Fc9k=")</f>
        <v>#REF!</v>
      </c>
      <c r="HK192" t="e">
        <f>AND(Sheet1!#REF!,"AAAAAH7Fc9o=")</f>
        <v>#REF!</v>
      </c>
      <c r="HL192">
        <f>IF(Sheet1!2586:2586,"AAAAAH7Fc9s=",0)</f>
        <v>0</v>
      </c>
      <c r="HM192" t="e">
        <f>AND(Sheet1!A2586,"AAAAAH7Fc9w=")</f>
        <v>#VALUE!</v>
      </c>
      <c r="HN192" t="e">
        <f>AND(Sheet1!B2586,"AAAAAH7Fc90=")</f>
        <v>#VALUE!</v>
      </c>
      <c r="HO192" t="e">
        <f>AND(Sheet1!C2586,"AAAAAH7Fc94=")</f>
        <v>#VALUE!</v>
      </c>
      <c r="HP192" t="e">
        <f>AND(Sheet1!D2586,"AAAAAH7Fc98=")</f>
        <v>#VALUE!</v>
      </c>
      <c r="HQ192" t="e">
        <f>AND(Sheet1!E2586,"AAAAAH7Fc+A=")</f>
        <v>#VALUE!</v>
      </c>
      <c r="HR192" t="e">
        <f>AND(Sheet1!F2586,"AAAAAH7Fc+E=")</f>
        <v>#VALUE!</v>
      </c>
      <c r="HS192" t="e">
        <f>AND(Sheet1!G2586,"AAAAAH7Fc+I=")</f>
        <v>#VALUE!</v>
      </c>
      <c r="HT192" t="e">
        <f>AND(Sheet1!H2586,"AAAAAH7Fc+M=")</f>
        <v>#VALUE!</v>
      </c>
      <c r="HU192" t="e">
        <f>AND(Sheet1!I2586,"AAAAAH7Fc+Q=")</f>
        <v>#VALUE!</v>
      </c>
      <c r="HV192" t="e">
        <f>AND(Sheet1!J2586,"AAAAAH7Fc+U=")</f>
        <v>#VALUE!</v>
      </c>
      <c r="HW192" t="e">
        <f>AND(Sheet1!K2586,"AAAAAH7Fc+Y=")</f>
        <v>#VALUE!</v>
      </c>
      <c r="HX192" t="e">
        <f>AND(Sheet1!L2586,"AAAAAH7Fc+c=")</f>
        <v>#VALUE!</v>
      </c>
      <c r="HY192" t="e">
        <f>AND(Sheet1!M2586,"AAAAAH7Fc+g=")</f>
        <v>#VALUE!</v>
      </c>
      <c r="HZ192" t="e">
        <f>AND(Sheet1!N2586,"AAAAAH7Fc+k=")</f>
        <v>#VALUE!</v>
      </c>
      <c r="IA192" t="e">
        <f>AND(Sheet1!#REF!,"AAAAAH7Fc+o=")</f>
        <v>#REF!</v>
      </c>
      <c r="IB192" t="e">
        <f>AND(Sheet1!#REF!,"AAAAAH7Fc+s=")</f>
        <v>#REF!</v>
      </c>
      <c r="IC192" t="e">
        <f>AND(Sheet1!#REF!,"AAAAAH7Fc+w=")</f>
        <v>#REF!</v>
      </c>
      <c r="ID192" t="e">
        <f>AND(Sheet1!#REF!,"AAAAAH7Fc+0=")</f>
        <v>#REF!</v>
      </c>
      <c r="IE192">
        <f>IF(Sheet1!2587:2587,"AAAAAH7Fc+4=",0)</f>
        <v>0</v>
      </c>
      <c r="IF192" t="e">
        <f>AND(Sheet1!A2587,"AAAAAH7Fc+8=")</f>
        <v>#VALUE!</v>
      </c>
      <c r="IG192" t="e">
        <f>AND(Sheet1!B2587,"AAAAAH7Fc/A=")</f>
        <v>#VALUE!</v>
      </c>
      <c r="IH192" t="e">
        <f>AND(Sheet1!C2587,"AAAAAH7Fc/E=")</f>
        <v>#VALUE!</v>
      </c>
      <c r="II192" t="e">
        <f>AND(Sheet1!D2587,"AAAAAH7Fc/I=")</f>
        <v>#VALUE!</v>
      </c>
      <c r="IJ192" t="e">
        <f>AND(Sheet1!E2587,"AAAAAH7Fc/M=")</f>
        <v>#VALUE!</v>
      </c>
      <c r="IK192" t="e">
        <f>AND(Sheet1!F2587,"AAAAAH7Fc/Q=")</f>
        <v>#VALUE!</v>
      </c>
      <c r="IL192" t="e">
        <f>AND(Sheet1!G2587,"AAAAAH7Fc/U=")</f>
        <v>#VALUE!</v>
      </c>
      <c r="IM192" t="e">
        <f>AND(Sheet1!H2587,"AAAAAH7Fc/Y=")</f>
        <v>#VALUE!</v>
      </c>
      <c r="IN192" t="e">
        <f>AND(Sheet1!I2587,"AAAAAH7Fc/c=")</f>
        <v>#VALUE!</v>
      </c>
      <c r="IO192" t="e">
        <f>AND(Sheet1!J2587,"AAAAAH7Fc/g=")</f>
        <v>#VALUE!</v>
      </c>
      <c r="IP192" t="e">
        <f>AND(Sheet1!K2587,"AAAAAH7Fc/k=")</f>
        <v>#VALUE!</v>
      </c>
      <c r="IQ192" t="e">
        <f>AND(Sheet1!L2587,"AAAAAH7Fc/o=")</f>
        <v>#VALUE!</v>
      </c>
      <c r="IR192" t="e">
        <f>AND(Sheet1!M2587,"AAAAAH7Fc/s=")</f>
        <v>#VALUE!</v>
      </c>
      <c r="IS192" t="e">
        <f>AND(Sheet1!N2587,"AAAAAH7Fc/w=")</f>
        <v>#VALUE!</v>
      </c>
      <c r="IT192" t="e">
        <f>AND(Sheet1!#REF!,"AAAAAH7Fc/0=")</f>
        <v>#REF!</v>
      </c>
      <c r="IU192" t="e">
        <f>AND(Sheet1!#REF!,"AAAAAH7Fc/4=")</f>
        <v>#REF!</v>
      </c>
      <c r="IV192" t="e">
        <f>AND(Sheet1!#REF!,"AAAAAH7Fc/8=")</f>
        <v>#REF!</v>
      </c>
    </row>
    <row r="193" spans="1:256" x14ac:dyDescent="0.2">
      <c r="A193" t="e">
        <f>AND(Sheet1!#REF!,"AAAAACz//wA=")</f>
        <v>#REF!</v>
      </c>
      <c r="B193" t="e">
        <f>IF(Sheet1!2588:2588,"AAAAACz//wE=",0)</f>
        <v>#VALUE!</v>
      </c>
      <c r="C193" t="e">
        <f>AND(Sheet1!A2588,"AAAAACz//wI=")</f>
        <v>#VALUE!</v>
      </c>
      <c r="D193" t="e">
        <f>AND(Sheet1!B2588,"AAAAACz//wM=")</f>
        <v>#VALUE!</v>
      </c>
      <c r="E193" t="e">
        <f>AND(Sheet1!C2588,"AAAAACz//wQ=")</f>
        <v>#VALUE!</v>
      </c>
      <c r="F193" t="e">
        <f>AND(Sheet1!D2588,"AAAAACz//wU=")</f>
        <v>#VALUE!</v>
      </c>
      <c r="G193" t="e">
        <f>AND(Sheet1!E2588,"AAAAACz//wY=")</f>
        <v>#VALUE!</v>
      </c>
      <c r="H193" t="e">
        <f>AND(Sheet1!F2588,"AAAAACz//wc=")</f>
        <v>#VALUE!</v>
      </c>
      <c r="I193" t="e">
        <f>AND(Sheet1!G2588,"AAAAACz//wg=")</f>
        <v>#VALUE!</v>
      </c>
      <c r="J193" t="e">
        <f>AND(Sheet1!H2588,"AAAAACz//wk=")</f>
        <v>#VALUE!</v>
      </c>
      <c r="K193" t="e">
        <f>AND(Sheet1!I2588,"AAAAACz//wo=")</f>
        <v>#VALUE!</v>
      </c>
      <c r="L193" t="e">
        <f>AND(Sheet1!J2588,"AAAAACz//ws=")</f>
        <v>#VALUE!</v>
      </c>
      <c r="M193" t="e">
        <f>AND(Sheet1!K2588,"AAAAACz//ww=")</f>
        <v>#VALUE!</v>
      </c>
      <c r="N193" t="e">
        <f>AND(Sheet1!L2588,"AAAAACz//w0=")</f>
        <v>#VALUE!</v>
      </c>
      <c r="O193" t="e">
        <f>AND(Sheet1!M2588,"AAAAACz//w4=")</f>
        <v>#VALUE!</v>
      </c>
      <c r="P193" t="e">
        <f>AND(Sheet1!N2588,"AAAAACz//w8=")</f>
        <v>#VALUE!</v>
      </c>
      <c r="Q193" t="e">
        <f>AND(Sheet1!#REF!,"AAAAACz//xA=")</f>
        <v>#REF!</v>
      </c>
      <c r="R193" t="e">
        <f>AND(Sheet1!#REF!,"AAAAACz//xE=")</f>
        <v>#REF!</v>
      </c>
      <c r="S193" t="e">
        <f>AND(Sheet1!#REF!,"AAAAACz//xI=")</f>
        <v>#REF!</v>
      </c>
      <c r="T193" t="e">
        <f>AND(Sheet1!#REF!,"AAAAACz//xM=")</f>
        <v>#REF!</v>
      </c>
      <c r="U193">
        <f>IF(Sheet1!2589:2589,"AAAAACz//xQ=",0)</f>
        <v>0</v>
      </c>
      <c r="V193" t="e">
        <f>AND(Sheet1!A2589,"AAAAACz//xU=")</f>
        <v>#VALUE!</v>
      </c>
      <c r="W193" t="e">
        <f>AND(Sheet1!B2589,"AAAAACz//xY=")</f>
        <v>#VALUE!</v>
      </c>
      <c r="X193" t="e">
        <f>AND(Sheet1!C2589,"AAAAACz//xc=")</f>
        <v>#VALUE!</v>
      </c>
      <c r="Y193" t="e">
        <f>AND(Sheet1!D2589,"AAAAACz//xg=")</f>
        <v>#VALUE!</v>
      </c>
      <c r="Z193" t="e">
        <f>AND(Sheet1!E2589,"AAAAACz//xk=")</f>
        <v>#VALUE!</v>
      </c>
      <c r="AA193" t="e">
        <f>AND(Sheet1!F2589,"AAAAACz//xo=")</f>
        <v>#VALUE!</v>
      </c>
      <c r="AB193" t="e">
        <f>AND(Sheet1!G2589,"AAAAACz//xs=")</f>
        <v>#VALUE!</v>
      </c>
      <c r="AC193" t="e">
        <f>AND(Sheet1!H2589,"AAAAACz//xw=")</f>
        <v>#VALUE!</v>
      </c>
      <c r="AD193" t="e">
        <f>AND(Sheet1!I2589,"AAAAACz//x0=")</f>
        <v>#VALUE!</v>
      </c>
      <c r="AE193" t="e">
        <f>AND(Sheet1!J2589,"AAAAACz//x4=")</f>
        <v>#VALUE!</v>
      </c>
      <c r="AF193" t="e">
        <f>AND(Sheet1!K2589,"AAAAACz//x8=")</f>
        <v>#VALUE!</v>
      </c>
      <c r="AG193" t="e">
        <f>AND(Sheet1!L2589,"AAAAACz//yA=")</f>
        <v>#VALUE!</v>
      </c>
      <c r="AH193" t="e">
        <f>AND(Sheet1!M2589,"AAAAACz//yE=")</f>
        <v>#VALUE!</v>
      </c>
      <c r="AI193" t="e">
        <f>AND(Sheet1!N2589,"AAAAACz//yI=")</f>
        <v>#VALUE!</v>
      </c>
      <c r="AJ193" t="e">
        <f>AND(Sheet1!#REF!,"AAAAACz//yM=")</f>
        <v>#REF!</v>
      </c>
      <c r="AK193" t="e">
        <f>AND(Sheet1!#REF!,"AAAAACz//yQ=")</f>
        <v>#REF!</v>
      </c>
      <c r="AL193" t="e">
        <f>AND(Sheet1!#REF!,"AAAAACz//yU=")</f>
        <v>#REF!</v>
      </c>
      <c r="AM193" t="e">
        <f>AND(Sheet1!#REF!,"AAAAACz//yY=")</f>
        <v>#REF!</v>
      </c>
      <c r="AN193">
        <f>IF(Sheet1!2590:2590,"AAAAACz//yc=",0)</f>
        <v>0</v>
      </c>
      <c r="AO193" t="e">
        <f>AND(Sheet1!A2590,"AAAAACz//yg=")</f>
        <v>#VALUE!</v>
      </c>
      <c r="AP193" t="e">
        <f>AND(Sheet1!B2590,"AAAAACz//yk=")</f>
        <v>#VALUE!</v>
      </c>
      <c r="AQ193" t="e">
        <f>AND(Sheet1!C2590,"AAAAACz//yo=")</f>
        <v>#VALUE!</v>
      </c>
      <c r="AR193" t="e">
        <f>AND(Sheet1!D2590,"AAAAACz//ys=")</f>
        <v>#VALUE!</v>
      </c>
      <c r="AS193" t="e">
        <f>AND(Sheet1!E2590,"AAAAACz//yw=")</f>
        <v>#VALUE!</v>
      </c>
      <c r="AT193" t="e">
        <f>AND(Sheet1!F2590,"AAAAACz//y0=")</f>
        <v>#VALUE!</v>
      </c>
      <c r="AU193" t="e">
        <f>AND(Sheet1!G2590,"AAAAACz//y4=")</f>
        <v>#VALUE!</v>
      </c>
      <c r="AV193" t="e">
        <f>AND(Sheet1!H2590,"AAAAACz//y8=")</f>
        <v>#VALUE!</v>
      </c>
      <c r="AW193" t="e">
        <f>AND(Sheet1!I2590,"AAAAACz//zA=")</f>
        <v>#VALUE!</v>
      </c>
      <c r="AX193" t="e">
        <f>AND(Sheet1!J2590,"AAAAACz//zE=")</f>
        <v>#VALUE!</v>
      </c>
      <c r="AY193" t="e">
        <f>AND(Sheet1!K2590,"AAAAACz//zI=")</f>
        <v>#VALUE!</v>
      </c>
      <c r="AZ193" t="e">
        <f>AND(Sheet1!L2590,"AAAAACz//zM=")</f>
        <v>#VALUE!</v>
      </c>
      <c r="BA193" t="e">
        <f>AND(Sheet1!M2590,"AAAAACz//zQ=")</f>
        <v>#VALUE!</v>
      </c>
      <c r="BB193" t="e">
        <f>AND(Sheet1!N2590,"AAAAACz//zU=")</f>
        <v>#VALUE!</v>
      </c>
      <c r="BC193" t="e">
        <f>AND(Sheet1!#REF!,"AAAAACz//zY=")</f>
        <v>#REF!</v>
      </c>
      <c r="BD193" t="e">
        <f>AND(Sheet1!#REF!,"AAAAACz//zc=")</f>
        <v>#REF!</v>
      </c>
      <c r="BE193" t="e">
        <f>AND(Sheet1!#REF!,"AAAAACz//zg=")</f>
        <v>#REF!</v>
      </c>
      <c r="BF193" t="e">
        <f>AND(Sheet1!#REF!,"AAAAACz//zk=")</f>
        <v>#REF!</v>
      </c>
      <c r="BG193">
        <f>IF(Sheet1!2591:2591,"AAAAACz//zo=",0)</f>
        <v>0</v>
      </c>
      <c r="BH193" t="e">
        <f>AND(Sheet1!A2591,"AAAAACz//zs=")</f>
        <v>#VALUE!</v>
      </c>
      <c r="BI193" t="e">
        <f>AND(Sheet1!B2591,"AAAAACz//zw=")</f>
        <v>#VALUE!</v>
      </c>
      <c r="BJ193" t="e">
        <f>AND(Sheet1!C2591,"AAAAACz//z0=")</f>
        <v>#VALUE!</v>
      </c>
      <c r="BK193" t="e">
        <f>AND(Sheet1!D2591,"AAAAACz//z4=")</f>
        <v>#VALUE!</v>
      </c>
      <c r="BL193" t="e">
        <f>AND(Sheet1!E2591,"AAAAACz//z8=")</f>
        <v>#VALUE!</v>
      </c>
      <c r="BM193" t="e">
        <f>AND(Sheet1!F2591,"AAAAACz//0A=")</f>
        <v>#VALUE!</v>
      </c>
      <c r="BN193" t="e">
        <f>AND(Sheet1!G2591,"AAAAACz//0E=")</f>
        <v>#VALUE!</v>
      </c>
      <c r="BO193" t="e">
        <f>AND(Sheet1!H2591,"AAAAACz//0I=")</f>
        <v>#VALUE!</v>
      </c>
      <c r="BP193" t="e">
        <f>AND(Sheet1!I2591,"AAAAACz//0M=")</f>
        <v>#VALUE!</v>
      </c>
      <c r="BQ193" t="e">
        <f>AND(Sheet1!J2591,"AAAAACz//0Q=")</f>
        <v>#VALUE!</v>
      </c>
      <c r="BR193" t="e">
        <f>AND(Sheet1!K2591,"AAAAACz//0U=")</f>
        <v>#VALUE!</v>
      </c>
      <c r="BS193" t="e">
        <f>AND(Sheet1!L2591,"AAAAACz//0Y=")</f>
        <v>#VALUE!</v>
      </c>
      <c r="BT193" t="e">
        <f>AND(Sheet1!M2591,"AAAAACz//0c=")</f>
        <v>#VALUE!</v>
      </c>
      <c r="BU193" t="e">
        <f>AND(Sheet1!N2591,"AAAAACz//0g=")</f>
        <v>#VALUE!</v>
      </c>
      <c r="BV193" t="e">
        <f>AND(Sheet1!#REF!,"AAAAACz//0k=")</f>
        <v>#REF!</v>
      </c>
      <c r="BW193" t="e">
        <f>AND(Sheet1!#REF!,"AAAAACz//0o=")</f>
        <v>#REF!</v>
      </c>
      <c r="BX193" t="e">
        <f>AND(Sheet1!#REF!,"AAAAACz//0s=")</f>
        <v>#REF!</v>
      </c>
      <c r="BY193" t="e">
        <f>AND(Sheet1!#REF!,"AAAAACz//0w=")</f>
        <v>#REF!</v>
      </c>
      <c r="BZ193">
        <f>IF(Sheet1!2592:2592,"AAAAACz//00=",0)</f>
        <v>0</v>
      </c>
      <c r="CA193" t="e">
        <f>AND(Sheet1!A2592,"AAAAACz//04=")</f>
        <v>#VALUE!</v>
      </c>
      <c r="CB193" t="e">
        <f>AND(Sheet1!B2592,"AAAAACz//08=")</f>
        <v>#VALUE!</v>
      </c>
      <c r="CC193" t="e">
        <f>AND(Sheet1!C2592,"AAAAACz//1A=")</f>
        <v>#VALUE!</v>
      </c>
      <c r="CD193" t="e">
        <f>AND(Sheet1!D2592,"AAAAACz//1E=")</f>
        <v>#VALUE!</v>
      </c>
      <c r="CE193" t="e">
        <f>AND(Sheet1!E2592,"AAAAACz//1I=")</f>
        <v>#VALUE!</v>
      </c>
      <c r="CF193" t="e">
        <f>AND(Sheet1!F2592,"AAAAACz//1M=")</f>
        <v>#VALUE!</v>
      </c>
      <c r="CG193" t="e">
        <f>AND(Sheet1!G2592,"AAAAACz//1Q=")</f>
        <v>#VALUE!</v>
      </c>
      <c r="CH193" t="e">
        <f>AND(Sheet1!H2592,"AAAAACz//1U=")</f>
        <v>#VALUE!</v>
      </c>
      <c r="CI193" t="e">
        <f>AND(Sheet1!I2592,"AAAAACz//1Y=")</f>
        <v>#VALUE!</v>
      </c>
      <c r="CJ193" t="e">
        <f>AND(Sheet1!J2592,"AAAAACz//1c=")</f>
        <v>#VALUE!</v>
      </c>
      <c r="CK193" t="e">
        <f>AND(Sheet1!K2592,"AAAAACz//1g=")</f>
        <v>#VALUE!</v>
      </c>
      <c r="CL193" t="e">
        <f>AND(Sheet1!L2592,"AAAAACz//1k=")</f>
        <v>#VALUE!</v>
      </c>
      <c r="CM193" t="e">
        <f>AND(Sheet1!M2592,"AAAAACz//1o=")</f>
        <v>#VALUE!</v>
      </c>
      <c r="CN193" t="e">
        <f>AND(Sheet1!N2592,"AAAAACz//1s=")</f>
        <v>#VALUE!</v>
      </c>
      <c r="CO193" t="e">
        <f>AND(Sheet1!#REF!,"AAAAACz//1w=")</f>
        <v>#REF!</v>
      </c>
      <c r="CP193" t="e">
        <f>AND(Sheet1!#REF!,"AAAAACz//10=")</f>
        <v>#REF!</v>
      </c>
      <c r="CQ193" t="e">
        <f>AND(Sheet1!#REF!,"AAAAACz//14=")</f>
        <v>#REF!</v>
      </c>
      <c r="CR193" t="e">
        <f>AND(Sheet1!#REF!,"AAAAACz//18=")</f>
        <v>#REF!</v>
      </c>
      <c r="CS193">
        <f>IF(Sheet1!2593:2593,"AAAAACz//2A=",0)</f>
        <v>0</v>
      </c>
      <c r="CT193" t="e">
        <f>AND(Sheet1!A2593,"AAAAACz//2E=")</f>
        <v>#VALUE!</v>
      </c>
      <c r="CU193" t="e">
        <f>AND(Sheet1!B2593,"AAAAACz//2I=")</f>
        <v>#VALUE!</v>
      </c>
      <c r="CV193" t="e">
        <f>AND(Sheet1!C2593,"AAAAACz//2M=")</f>
        <v>#VALUE!</v>
      </c>
      <c r="CW193" t="e">
        <f>AND(Sheet1!D2593,"AAAAACz//2Q=")</f>
        <v>#VALUE!</v>
      </c>
      <c r="CX193" t="e">
        <f>AND(Sheet1!E2593,"AAAAACz//2U=")</f>
        <v>#VALUE!</v>
      </c>
      <c r="CY193" t="e">
        <f>AND(Sheet1!F2593,"AAAAACz//2Y=")</f>
        <v>#VALUE!</v>
      </c>
      <c r="CZ193" t="e">
        <f>AND(Sheet1!G2593,"AAAAACz//2c=")</f>
        <v>#VALUE!</v>
      </c>
      <c r="DA193" t="e">
        <f>AND(Sheet1!H2593,"AAAAACz//2g=")</f>
        <v>#VALUE!</v>
      </c>
      <c r="DB193" t="e">
        <f>AND(Sheet1!I2593,"AAAAACz//2k=")</f>
        <v>#VALUE!</v>
      </c>
      <c r="DC193" t="e">
        <f>AND(Sheet1!J2593,"AAAAACz//2o=")</f>
        <v>#VALUE!</v>
      </c>
      <c r="DD193" t="e">
        <f>AND(Sheet1!K2593,"AAAAACz//2s=")</f>
        <v>#VALUE!</v>
      </c>
      <c r="DE193" t="e">
        <f>AND(Sheet1!L2593,"AAAAACz//2w=")</f>
        <v>#VALUE!</v>
      </c>
      <c r="DF193" t="e">
        <f>AND(Sheet1!M2593,"AAAAACz//20=")</f>
        <v>#VALUE!</v>
      </c>
      <c r="DG193" t="e">
        <f>AND(Sheet1!N2593,"AAAAACz//24=")</f>
        <v>#VALUE!</v>
      </c>
      <c r="DH193" t="e">
        <f>AND(Sheet1!#REF!,"AAAAACz//28=")</f>
        <v>#REF!</v>
      </c>
      <c r="DI193" t="e">
        <f>AND(Sheet1!#REF!,"AAAAACz//3A=")</f>
        <v>#REF!</v>
      </c>
      <c r="DJ193" t="e">
        <f>AND(Sheet1!#REF!,"AAAAACz//3E=")</f>
        <v>#REF!</v>
      </c>
      <c r="DK193" t="e">
        <f>AND(Sheet1!#REF!,"AAAAACz//3I=")</f>
        <v>#REF!</v>
      </c>
      <c r="DL193">
        <f>IF(Sheet1!2594:2594,"AAAAACz//3M=",0)</f>
        <v>0</v>
      </c>
      <c r="DM193" t="e">
        <f>AND(Sheet1!A2594,"AAAAACz//3Q=")</f>
        <v>#VALUE!</v>
      </c>
      <c r="DN193" t="e">
        <f>AND(Sheet1!B2594,"AAAAACz//3U=")</f>
        <v>#VALUE!</v>
      </c>
      <c r="DO193" t="e">
        <f>AND(Sheet1!C2594,"AAAAACz//3Y=")</f>
        <v>#VALUE!</v>
      </c>
      <c r="DP193" t="e">
        <f>AND(Sheet1!D2594,"AAAAACz//3c=")</f>
        <v>#VALUE!</v>
      </c>
      <c r="DQ193" t="e">
        <f>AND(Sheet1!E2594,"AAAAACz//3g=")</f>
        <v>#VALUE!</v>
      </c>
      <c r="DR193" t="e">
        <f>AND(Sheet1!F2594,"AAAAACz//3k=")</f>
        <v>#VALUE!</v>
      </c>
      <c r="DS193" t="e">
        <f>AND(Sheet1!G2594,"AAAAACz//3o=")</f>
        <v>#VALUE!</v>
      </c>
      <c r="DT193" t="e">
        <f>AND(Sheet1!H2594,"AAAAACz//3s=")</f>
        <v>#VALUE!</v>
      </c>
      <c r="DU193" t="e">
        <f>AND(Sheet1!I2594,"AAAAACz//3w=")</f>
        <v>#VALUE!</v>
      </c>
      <c r="DV193" t="e">
        <f>AND(Sheet1!J2594,"AAAAACz//30=")</f>
        <v>#VALUE!</v>
      </c>
      <c r="DW193" t="e">
        <f>AND(Sheet1!K2594,"AAAAACz//34=")</f>
        <v>#VALUE!</v>
      </c>
      <c r="DX193" t="e">
        <f>AND(Sheet1!L2594,"AAAAACz//38=")</f>
        <v>#VALUE!</v>
      </c>
      <c r="DY193" t="e">
        <f>AND(Sheet1!M2594,"AAAAACz//4A=")</f>
        <v>#VALUE!</v>
      </c>
      <c r="DZ193" t="e">
        <f>AND(Sheet1!N2594,"AAAAACz//4E=")</f>
        <v>#VALUE!</v>
      </c>
      <c r="EA193" t="e">
        <f>AND(Sheet1!#REF!,"AAAAACz//4I=")</f>
        <v>#REF!</v>
      </c>
      <c r="EB193" t="e">
        <f>AND(Sheet1!#REF!,"AAAAACz//4M=")</f>
        <v>#REF!</v>
      </c>
      <c r="EC193" t="e">
        <f>AND(Sheet1!#REF!,"AAAAACz//4Q=")</f>
        <v>#REF!</v>
      </c>
      <c r="ED193" t="e">
        <f>AND(Sheet1!#REF!,"AAAAACz//4U=")</f>
        <v>#REF!</v>
      </c>
      <c r="EE193">
        <f>IF(Sheet1!2595:2595,"AAAAACz//4Y=",0)</f>
        <v>0</v>
      </c>
      <c r="EF193" t="e">
        <f>AND(Sheet1!A2595,"AAAAACz//4c=")</f>
        <v>#VALUE!</v>
      </c>
      <c r="EG193" t="e">
        <f>AND(Sheet1!B2595,"AAAAACz//4g=")</f>
        <v>#VALUE!</v>
      </c>
      <c r="EH193" t="e">
        <f>AND(Sheet1!C2595,"AAAAACz//4k=")</f>
        <v>#VALUE!</v>
      </c>
      <c r="EI193" t="e">
        <f>AND(Sheet1!D2595,"AAAAACz//4o=")</f>
        <v>#VALUE!</v>
      </c>
      <c r="EJ193" t="e">
        <f>AND(Sheet1!E2595,"AAAAACz//4s=")</f>
        <v>#VALUE!</v>
      </c>
      <c r="EK193" t="e">
        <f>AND(Sheet1!F2595,"AAAAACz//4w=")</f>
        <v>#VALUE!</v>
      </c>
      <c r="EL193" t="e">
        <f>AND(Sheet1!G2595,"AAAAACz//40=")</f>
        <v>#VALUE!</v>
      </c>
      <c r="EM193" t="e">
        <f>AND(Sheet1!H2595,"AAAAACz//44=")</f>
        <v>#VALUE!</v>
      </c>
      <c r="EN193" t="e">
        <f>AND(Sheet1!I2595,"AAAAACz//48=")</f>
        <v>#VALUE!</v>
      </c>
      <c r="EO193" t="e">
        <f>AND(Sheet1!J2595,"AAAAACz//5A=")</f>
        <v>#VALUE!</v>
      </c>
      <c r="EP193" t="e">
        <f>AND(Sheet1!K2595,"AAAAACz//5E=")</f>
        <v>#VALUE!</v>
      </c>
      <c r="EQ193" t="e">
        <f>AND(Sheet1!L2595,"AAAAACz//5I=")</f>
        <v>#VALUE!</v>
      </c>
      <c r="ER193" t="e">
        <f>AND(Sheet1!M2595,"AAAAACz//5M=")</f>
        <v>#VALUE!</v>
      </c>
      <c r="ES193" t="e">
        <f>AND(Sheet1!N2595,"AAAAACz//5Q=")</f>
        <v>#VALUE!</v>
      </c>
      <c r="ET193" t="e">
        <f>AND(Sheet1!#REF!,"AAAAACz//5U=")</f>
        <v>#REF!</v>
      </c>
      <c r="EU193" t="e">
        <f>AND(Sheet1!#REF!,"AAAAACz//5Y=")</f>
        <v>#REF!</v>
      </c>
      <c r="EV193" t="e">
        <f>AND(Sheet1!#REF!,"AAAAACz//5c=")</f>
        <v>#REF!</v>
      </c>
      <c r="EW193" t="e">
        <f>AND(Sheet1!#REF!,"AAAAACz//5g=")</f>
        <v>#REF!</v>
      </c>
      <c r="EX193">
        <f>IF(Sheet1!2596:2596,"AAAAACz//5k=",0)</f>
        <v>0</v>
      </c>
      <c r="EY193" t="e">
        <f>AND(Sheet1!A2596,"AAAAACz//5o=")</f>
        <v>#VALUE!</v>
      </c>
      <c r="EZ193" t="e">
        <f>AND(Sheet1!B2596,"AAAAACz//5s=")</f>
        <v>#VALUE!</v>
      </c>
      <c r="FA193" t="e">
        <f>AND(Sheet1!C2596,"AAAAACz//5w=")</f>
        <v>#VALUE!</v>
      </c>
      <c r="FB193" t="e">
        <f>AND(Sheet1!D2596,"AAAAACz//50=")</f>
        <v>#VALUE!</v>
      </c>
      <c r="FC193" t="e">
        <f>AND(Sheet1!E2596,"AAAAACz//54=")</f>
        <v>#VALUE!</v>
      </c>
      <c r="FD193" t="e">
        <f>AND(Sheet1!F2596,"AAAAACz//58=")</f>
        <v>#VALUE!</v>
      </c>
      <c r="FE193" t="e">
        <f>AND(Sheet1!G2596,"AAAAACz//6A=")</f>
        <v>#VALUE!</v>
      </c>
      <c r="FF193" t="e">
        <f>AND(Sheet1!H2596,"AAAAACz//6E=")</f>
        <v>#VALUE!</v>
      </c>
      <c r="FG193" t="e">
        <f>AND(Sheet1!I2596,"AAAAACz//6I=")</f>
        <v>#VALUE!</v>
      </c>
      <c r="FH193" t="e">
        <f>AND(Sheet1!J2596,"AAAAACz//6M=")</f>
        <v>#VALUE!</v>
      </c>
      <c r="FI193" t="e">
        <f>AND(Sheet1!K2596,"AAAAACz//6Q=")</f>
        <v>#VALUE!</v>
      </c>
      <c r="FJ193" t="e">
        <f>AND(Sheet1!L2596,"AAAAACz//6U=")</f>
        <v>#VALUE!</v>
      </c>
      <c r="FK193" t="e">
        <f>AND(Sheet1!M2596,"AAAAACz//6Y=")</f>
        <v>#VALUE!</v>
      </c>
      <c r="FL193" t="e">
        <f>AND(Sheet1!N2596,"AAAAACz//6c=")</f>
        <v>#VALUE!</v>
      </c>
      <c r="FM193" t="e">
        <f>AND(Sheet1!#REF!,"AAAAACz//6g=")</f>
        <v>#REF!</v>
      </c>
      <c r="FN193" t="e">
        <f>AND(Sheet1!#REF!,"AAAAACz//6k=")</f>
        <v>#REF!</v>
      </c>
      <c r="FO193" t="e">
        <f>AND(Sheet1!#REF!,"AAAAACz//6o=")</f>
        <v>#REF!</v>
      </c>
      <c r="FP193" t="e">
        <f>AND(Sheet1!#REF!,"AAAAACz//6s=")</f>
        <v>#REF!</v>
      </c>
      <c r="FQ193">
        <f>IF(Sheet1!2597:2597,"AAAAACz//6w=",0)</f>
        <v>0</v>
      </c>
      <c r="FR193" t="e">
        <f>AND(Sheet1!A2597,"AAAAACz//60=")</f>
        <v>#VALUE!</v>
      </c>
      <c r="FS193" t="e">
        <f>AND(Sheet1!B2597,"AAAAACz//64=")</f>
        <v>#VALUE!</v>
      </c>
      <c r="FT193" t="e">
        <f>AND(Sheet1!C2597,"AAAAACz//68=")</f>
        <v>#VALUE!</v>
      </c>
      <c r="FU193" t="e">
        <f>AND(Sheet1!D2597,"AAAAACz//7A=")</f>
        <v>#VALUE!</v>
      </c>
      <c r="FV193" t="e">
        <f>AND(Sheet1!E2597,"AAAAACz//7E=")</f>
        <v>#VALUE!</v>
      </c>
      <c r="FW193" t="e">
        <f>AND(Sheet1!F2597,"AAAAACz//7I=")</f>
        <v>#VALUE!</v>
      </c>
      <c r="FX193" t="e">
        <f>AND(Sheet1!G2597,"AAAAACz//7M=")</f>
        <v>#VALUE!</v>
      </c>
      <c r="FY193" t="e">
        <f>AND(Sheet1!H2597,"AAAAACz//7Q=")</f>
        <v>#VALUE!</v>
      </c>
      <c r="FZ193" t="e">
        <f>AND(Sheet1!I2597,"AAAAACz//7U=")</f>
        <v>#VALUE!</v>
      </c>
      <c r="GA193" t="e">
        <f>AND(Sheet1!J2597,"AAAAACz//7Y=")</f>
        <v>#VALUE!</v>
      </c>
      <c r="GB193" t="e">
        <f>AND(Sheet1!K2597,"AAAAACz//7c=")</f>
        <v>#VALUE!</v>
      </c>
      <c r="GC193" t="e">
        <f>AND(Sheet1!L2597,"AAAAACz//7g=")</f>
        <v>#VALUE!</v>
      </c>
      <c r="GD193" t="e">
        <f>AND(Sheet1!M2597,"AAAAACz//7k=")</f>
        <v>#VALUE!</v>
      </c>
      <c r="GE193" t="e">
        <f>AND(Sheet1!N2597,"AAAAACz//7o=")</f>
        <v>#VALUE!</v>
      </c>
      <c r="GF193" t="e">
        <f>AND(Sheet1!#REF!,"AAAAACz//7s=")</f>
        <v>#REF!</v>
      </c>
      <c r="GG193" t="e">
        <f>AND(Sheet1!#REF!,"AAAAACz//7w=")</f>
        <v>#REF!</v>
      </c>
      <c r="GH193" t="e">
        <f>AND(Sheet1!#REF!,"AAAAACz//70=")</f>
        <v>#REF!</v>
      </c>
      <c r="GI193" t="e">
        <f>AND(Sheet1!#REF!,"AAAAACz//74=")</f>
        <v>#REF!</v>
      </c>
      <c r="GJ193">
        <f>IF(Sheet1!2598:2598,"AAAAACz//78=",0)</f>
        <v>0</v>
      </c>
      <c r="GK193" t="e">
        <f>AND(Sheet1!A2598,"AAAAACz//8A=")</f>
        <v>#VALUE!</v>
      </c>
      <c r="GL193" t="e">
        <f>AND(Sheet1!B2598,"AAAAACz//8E=")</f>
        <v>#VALUE!</v>
      </c>
      <c r="GM193" t="e">
        <f>AND(Sheet1!C2598,"AAAAACz//8I=")</f>
        <v>#VALUE!</v>
      </c>
      <c r="GN193" t="e">
        <f>AND(Sheet1!D2598,"AAAAACz//8M=")</f>
        <v>#VALUE!</v>
      </c>
      <c r="GO193" t="e">
        <f>AND(Sheet1!E2598,"AAAAACz//8Q=")</f>
        <v>#VALUE!</v>
      </c>
      <c r="GP193" t="e">
        <f>AND(Sheet1!F2598,"AAAAACz//8U=")</f>
        <v>#VALUE!</v>
      </c>
      <c r="GQ193" t="e">
        <f>AND(Sheet1!G2598,"AAAAACz//8Y=")</f>
        <v>#VALUE!</v>
      </c>
      <c r="GR193" t="e">
        <f>AND(Sheet1!H2598,"AAAAACz//8c=")</f>
        <v>#VALUE!</v>
      </c>
      <c r="GS193" t="e">
        <f>AND(Sheet1!I2598,"AAAAACz//8g=")</f>
        <v>#VALUE!</v>
      </c>
      <c r="GT193" t="e">
        <f>AND(Sheet1!J2598,"AAAAACz//8k=")</f>
        <v>#VALUE!</v>
      </c>
      <c r="GU193" t="e">
        <f>AND(Sheet1!K2598,"AAAAACz//8o=")</f>
        <v>#VALUE!</v>
      </c>
      <c r="GV193" t="e">
        <f>AND(Sheet1!L2598,"AAAAACz//8s=")</f>
        <v>#VALUE!</v>
      </c>
      <c r="GW193" t="e">
        <f>AND(Sheet1!M2598,"AAAAACz//8w=")</f>
        <v>#VALUE!</v>
      </c>
      <c r="GX193" t="e">
        <f>AND(Sheet1!N2598,"AAAAACz//80=")</f>
        <v>#VALUE!</v>
      </c>
      <c r="GY193" t="e">
        <f>AND(Sheet1!#REF!,"AAAAACz//84=")</f>
        <v>#REF!</v>
      </c>
      <c r="GZ193" t="e">
        <f>AND(Sheet1!#REF!,"AAAAACz//88=")</f>
        <v>#REF!</v>
      </c>
      <c r="HA193" t="e">
        <f>AND(Sheet1!#REF!,"AAAAACz//9A=")</f>
        <v>#REF!</v>
      </c>
      <c r="HB193" t="e">
        <f>AND(Sheet1!#REF!,"AAAAACz//9E=")</f>
        <v>#REF!</v>
      </c>
      <c r="HC193">
        <f>IF(Sheet1!2599:2599,"AAAAACz//9I=",0)</f>
        <v>0</v>
      </c>
      <c r="HD193" t="e">
        <f>AND(Sheet1!A2599,"AAAAACz//9M=")</f>
        <v>#VALUE!</v>
      </c>
      <c r="HE193" t="e">
        <f>AND(Sheet1!B2599,"AAAAACz//9Q=")</f>
        <v>#VALUE!</v>
      </c>
      <c r="HF193" t="e">
        <f>AND(Sheet1!C2599,"AAAAACz//9U=")</f>
        <v>#VALUE!</v>
      </c>
      <c r="HG193" t="e">
        <f>AND(Sheet1!D2599,"AAAAACz//9Y=")</f>
        <v>#VALUE!</v>
      </c>
      <c r="HH193" t="e">
        <f>AND(Sheet1!E2599,"AAAAACz//9c=")</f>
        <v>#VALUE!</v>
      </c>
      <c r="HI193" t="e">
        <f>AND(Sheet1!F2599,"AAAAACz//9g=")</f>
        <v>#VALUE!</v>
      </c>
      <c r="HJ193" t="e">
        <f>AND(Sheet1!G2599,"AAAAACz//9k=")</f>
        <v>#VALUE!</v>
      </c>
      <c r="HK193" t="e">
        <f>AND(Sheet1!H2599,"AAAAACz//9o=")</f>
        <v>#VALUE!</v>
      </c>
      <c r="HL193" t="e">
        <f>AND(Sheet1!I2599,"AAAAACz//9s=")</f>
        <v>#VALUE!</v>
      </c>
      <c r="HM193" t="e">
        <f>AND(Sheet1!J2599,"AAAAACz//9w=")</f>
        <v>#VALUE!</v>
      </c>
      <c r="HN193" t="e">
        <f>AND(Sheet1!K2599,"AAAAACz//90=")</f>
        <v>#VALUE!</v>
      </c>
      <c r="HO193" t="e">
        <f>AND(Sheet1!L2599,"AAAAACz//94=")</f>
        <v>#VALUE!</v>
      </c>
      <c r="HP193" t="e">
        <f>AND(Sheet1!M2599,"AAAAACz//98=")</f>
        <v>#VALUE!</v>
      </c>
      <c r="HQ193" t="e">
        <f>AND(Sheet1!N2599,"AAAAACz//+A=")</f>
        <v>#VALUE!</v>
      </c>
      <c r="HR193" t="e">
        <f>AND(Sheet1!#REF!,"AAAAACz//+E=")</f>
        <v>#REF!</v>
      </c>
      <c r="HS193" t="e">
        <f>AND(Sheet1!#REF!,"AAAAACz//+I=")</f>
        <v>#REF!</v>
      </c>
      <c r="HT193" t="e">
        <f>AND(Sheet1!#REF!,"AAAAACz//+M=")</f>
        <v>#REF!</v>
      </c>
      <c r="HU193" t="e">
        <f>AND(Sheet1!#REF!,"AAAAACz//+Q=")</f>
        <v>#REF!</v>
      </c>
      <c r="HV193">
        <f>IF(Sheet1!2600:2600,"AAAAACz//+U=",0)</f>
        <v>0</v>
      </c>
      <c r="HW193" t="e">
        <f>AND(Sheet1!A2600,"AAAAACz//+Y=")</f>
        <v>#VALUE!</v>
      </c>
      <c r="HX193" t="e">
        <f>AND(Sheet1!B2600,"AAAAACz//+c=")</f>
        <v>#VALUE!</v>
      </c>
      <c r="HY193" t="e">
        <f>AND(Sheet1!C2600,"AAAAACz//+g=")</f>
        <v>#VALUE!</v>
      </c>
      <c r="HZ193" t="e">
        <f>AND(Sheet1!D2600,"AAAAACz//+k=")</f>
        <v>#VALUE!</v>
      </c>
      <c r="IA193" t="e">
        <f>AND(Sheet1!E2600,"AAAAACz//+o=")</f>
        <v>#VALUE!</v>
      </c>
      <c r="IB193" t="e">
        <f>AND(Sheet1!F2600,"AAAAACz//+s=")</f>
        <v>#VALUE!</v>
      </c>
      <c r="IC193" t="e">
        <f>AND(Sheet1!G2600,"AAAAACz//+w=")</f>
        <v>#VALUE!</v>
      </c>
      <c r="ID193" t="e">
        <f>AND(Sheet1!H2600,"AAAAACz//+0=")</f>
        <v>#VALUE!</v>
      </c>
      <c r="IE193" t="e">
        <f>AND(Sheet1!I2600,"AAAAACz//+4=")</f>
        <v>#VALUE!</v>
      </c>
      <c r="IF193" t="e">
        <f>AND(Sheet1!J2600,"AAAAACz//+8=")</f>
        <v>#VALUE!</v>
      </c>
      <c r="IG193" t="e">
        <f>AND(Sheet1!K2600,"AAAAACz///A=")</f>
        <v>#VALUE!</v>
      </c>
      <c r="IH193" t="e">
        <f>AND(Sheet1!L2600,"AAAAACz///E=")</f>
        <v>#VALUE!</v>
      </c>
      <c r="II193" t="e">
        <f>AND(Sheet1!M2600,"AAAAACz///I=")</f>
        <v>#VALUE!</v>
      </c>
      <c r="IJ193" t="e">
        <f>AND(Sheet1!N2600,"AAAAACz///M=")</f>
        <v>#VALUE!</v>
      </c>
      <c r="IK193" t="e">
        <f>AND(Sheet1!#REF!,"AAAAACz///Q=")</f>
        <v>#REF!</v>
      </c>
      <c r="IL193" t="e">
        <f>AND(Sheet1!#REF!,"AAAAACz///U=")</f>
        <v>#REF!</v>
      </c>
      <c r="IM193" t="e">
        <f>AND(Sheet1!#REF!,"AAAAACz///Y=")</f>
        <v>#REF!</v>
      </c>
      <c r="IN193" t="e">
        <f>AND(Sheet1!#REF!,"AAAAACz///c=")</f>
        <v>#REF!</v>
      </c>
      <c r="IO193">
        <f>IF(Sheet1!2601:2601,"AAAAACz///g=",0)</f>
        <v>0</v>
      </c>
      <c r="IP193" t="e">
        <f>AND(Sheet1!A2601,"AAAAACz///k=")</f>
        <v>#VALUE!</v>
      </c>
      <c r="IQ193" t="e">
        <f>AND(Sheet1!B2601,"AAAAACz///o=")</f>
        <v>#VALUE!</v>
      </c>
      <c r="IR193" t="e">
        <f>AND(Sheet1!C2601,"AAAAACz///s=")</f>
        <v>#VALUE!</v>
      </c>
      <c r="IS193" t="e">
        <f>AND(Sheet1!D2601,"AAAAACz///w=")</f>
        <v>#VALUE!</v>
      </c>
      <c r="IT193" t="e">
        <f>AND(Sheet1!E2601,"AAAAACz///0=")</f>
        <v>#VALUE!</v>
      </c>
      <c r="IU193" t="e">
        <f>AND(Sheet1!F2601,"AAAAACz///4=")</f>
        <v>#VALUE!</v>
      </c>
      <c r="IV193" t="e">
        <f>AND(Sheet1!G2601,"AAAAACz///8=")</f>
        <v>#VALUE!</v>
      </c>
    </row>
    <row r="194" spans="1:256" x14ac:dyDescent="0.2">
      <c r="A194" t="e">
        <f>AND(Sheet1!H2601,"AAAAAD19/wA=")</f>
        <v>#VALUE!</v>
      </c>
      <c r="B194" t="e">
        <f>AND(Sheet1!I2601,"AAAAAD19/wE=")</f>
        <v>#VALUE!</v>
      </c>
      <c r="C194" t="e">
        <f>AND(Sheet1!J2601,"AAAAAD19/wI=")</f>
        <v>#VALUE!</v>
      </c>
      <c r="D194" t="e">
        <f>AND(Sheet1!K2601,"AAAAAD19/wM=")</f>
        <v>#VALUE!</v>
      </c>
      <c r="E194" t="e">
        <f>AND(Sheet1!L2601,"AAAAAD19/wQ=")</f>
        <v>#VALUE!</v>
      </c>
      <c r="F194" t="e">
        <f>AND(Sheet1!M2601,"AAAAAD19/wU=")</f>
        <v>#VALUE!</v>
      </c>
      <c r="G194" t="e">
        <f>AND(Sheet1!N2601,"AAAAAD19/wY=")</f>
        <v>#VALUE!</v>
      </c>
      <c r="H194" t="e">
        <f>AND(Sheet1!#REF!,"AAAAAD19/wc=")</f>
        <v>#REF!</v>
      </c>
      <c r="I194" t="e">
        <f>AND(Sheet1!#REF!,"AAAAAD19/wg=")</f>
        <v>#REF!</v>
      </c>
      <c r="J194" t="e">
        <f>AND(Sheet1!#REF!,"AAAAAD19/wk=")</f>
        <v>#REF!</v>
      </c>
      <c r="K194" t="e">
        <f>AND(Sheet1!#REF!,"AAAAAD19/wo=")</f>
        <v>#REF!</v>
      </c>
      <c r="L194">
        <f>IF(Sheet1!2602:2602,"AAAAAD19/ws=",0)</f>
        <v>0</v>
      </c>
      <c r="M194" t="e">
        <f>AND(Sheet1!A2602,"AAAAAD19/ww=")</f>
        <v>#VALUE!</v>
      </c>
      <c r="N194" t="e">
        <f>AND(Sheet1!B2602,"AAAAAD19/w0=")</f>
        <v>#VALUE!</v>
      </c>
      <c r="O194" t="e">
        <f>AND(Sheet1!C2602,"AAAAAD19/w4=")</f>
        <v>#VALUE!</v>
      </c>
      <c r="P194" t="e">
        <f>AND(Sheet1!D2602,"AAAAAD19/w8=")</f>
        <v>#VALUE!</v>
      </c>
      <c r="Q194" t="e">
        <f>AND(Sheet1!E2602,"AAAAAD19/xA=")</f>
        <v>#VALUE!</v>
      </c>
      <c r="R194" t="e">
        <f>AND(Sheet1!F2602,"AAAAAD19/xE=")</f>
        <v>#VALUE!</v>
      </c>
      <c r="S194" t="e">
        <f>AND(Sheet1!G2602,"AAAAAD19/xI=")</f>
        <v>#VALUE!</v>
      </c>
      <c r="T194" t="e">
        <f>AND(Sheet1!H2602,"AAAAAD19/xM=")</f>
        <v>#VALUE!</v>
      </c>
      <c r="U194" t="e">
        <f>AND(Sheet1!I2602,"AAAAAD19/xQ=")</f>
        <v>#VALUE!</v>
      </c>
      <c r="V194" t="e">
        <f>AND(Sheet1!J2602,"AAAAAD19/xU=")</f>
        <v>#VALUE!</v>
      </c>
      <c r="W194" t="e">
        <f>AND(Sheet1!K2602,"AAAAAD19/xY=")</f>
        <v>#VALUE!</v>
      </c>
      <c r="X194" t="e">
        <f>AND(Sheet1!L2602,"AAAAAD19/xc=")</f>
        <v>#VALUE!</v>
      </c>
      <c r="Y194" t="e">
        <f>AND(Sheet1!M2602,"AAAAAD19/xg=")</f>
        <v>#VALUE!</v>
      </c>
      <c r="Z194" t="e">
        <f>AND(Sheet1!N2602,"AAAAAD19/xk=")</f>
        <v>#VALUE!</v>
      </c>
      <c r="AA194" t="e">
        <f>AND(Sheet1!#REF!,"AAAAAD19/xo=")</f>
        <v>#REF!</v>
      </c>
      <c r="AB194" t="e">
        <f>AND(Sheet1!#REF!,"AAAAAD19/xs=")</f>
        <v>#REF!</v>
      </c>
      <c r="AC194" t="e">
        <f>AND(Sheet1!#REF!,"AAAAAD19/xw=")</f>
        <v>#REF!</v>
      </c>
      <c r="AD194" t="e">
        <f>AND(Sheet1!#REF!,"AAAAAD19/x0=")</f>
        <v>#REF!</v>
      </c>
      <c r="AE194">
        <f>IF(Sheet1!2603:2603,"AAAAAD19/x4=",0)</f>
        <v>0</v>
      </c>
      <c r="AF194" t="e">
        <f>AND(Sheet1!A2603,"AAAAAD19/x8=")</f>
        <v>#VALUE!</v>
      </c>
      <c r="AG194" t="e">
        <f>AND(Sheet1!B2603,"AAAAAD19/yA=")</f>
        <v>#VALUE!</v>
      </c>
      <c r="AH194" t="e">
        <f>AND(Sheet1!C2603,"AAAAAD19/yE=")</f>
        <v>#VALUE!</v>
      </c>
      <c r="AI194" t="e">
        <f>AND(Sheet1!D2603,"AAAAAD19/yI=")</f>
        <v>#VALUE!</v>
      </c>
      <c r="AJ194" t="e">
        <f>AND(Sheet1!E2603,"AAAAAD19/yM=")</f>
        <v>#VALUE!</v>
      </c>
      <c r="AK194" t="e">
        <f>AND(Sheet1!F2603,"AAAAAD19/yQ=")</f>
        <v>#VALUE!</v>
      </c>
      <c r="AL194" t="e">
        <f>AND(Sheet1!G2603,"AAAAAD19/yU=")</f>
        <v>#VALUE!</v>
      </c>
      <c r="AM194" t="e">
        <f>AND(Sheet1!H2603,"AAAAAD19/yY=")</f>
        <v>#VALUE!</v>
      </c>
      <c r="AN194" t="e">
        <f>AND(Sheet1!I2603,"AAAAAD19/yc=")</f>
        <v>#VALUE!</v>
      </c>
      <c r="AO194" t="e">
        <f>AND(Sheet1!J2603,"AAAAAD19/yg=")</f>
        <v>#VALUE!</v>
      </c>
      <c r="AP194" t="e">
        <f>AND(Sheet1!K2603,"AAAAAD19/yk=")</f>
        <v>#VALUE!</v>
      </c>
      <c r="AQ194" t="e">
        <f>AND(Sheet1!L2603,"AAAAAD19/yo=")</f>
        <v>#VALUE!</v>
      </c>
      <c r="AR194" t="e">
        <f>AND(Sheet1!M2603,"AAAAAD19/ys=")</f>
        <v>#VALUE!</v>
      </c>
      <c r="AS194" t="e">
        <f>AND(Sheet1!N2603,"AAAAAD19/yw=")</f>
        <v>#VALUE!</v>
      </c>
      <c r="AT194" t="e">
        <f>AND(Sheet1!#REF!,"AAAAAD19/y0=")</f>
        <v>#REF!</v>
      </c>
      <c r="AU194" t="e">
        <f>AND(Sheet1!#REF!,"AAAAAD19/y4=")</f>
        <v>#REF!</v>
      </c>
      <c r="AV194" t="e">
        <f>AND(Sheet1!#REF!,"AAAAAD19/y8=")</f>
        <v>#REF!</v>
      </c>
      <c r="AW194" t="e">
        <f>AND(Sheet1!#REF!,"AAAAAD19/zA=")</f>
        <v>#REF!</v>
      </c>
      <c r="AX194">
        <f>IF(Sheet1!2604:2604,"AAAAAD19/zE=",0)</f>
        <v>0</v>
      </c>
      <c r="AY194" t="e">
        <f>AND(Sheet1!A2604,"AAAAAD19/zI=")</f>
        <v>#VALUE!</v>
      </c>
      <c r="AZ194" t="e">
        <f>AND(Sheet1!B2604,"AAAAAD19/zM=")</f>
        <v>#VALUE!</v>
      </c>
      <c r="BA194" t="e">
        <f>AND(Sheet1!C2604,"AAAAAD19/zQ=")</f>
        <v>#VALUE!</v>
      </c>
      <c r="BB194" t="e">
        <f>AND(Sheet1!D2604,"AAAAAD19/zU=")</f>
        <v>#VALUE!</v>
      </c>
      <c r="BC194" t="e">
        <f>AND(Sheet1!E2604,"AAAAAD19/zY=")</f>
        <v>#VALUE!</v>
      </c>
      <c r="BD194" t="e">
        <f>AND(Sheet1!F2604,"AAAAAD19/zc=")</f>
        <v>#VALUE!</v>
      </c>
      <c r="BE194" t="e">
        <f>AND(Sheet1!G2604,"AAAAAD19/zg=")</f>
        <v>#VALUE!</v>
      </c>
      <c r="BF194" t="e">
        <f>AND(Sheet1!H2604,"AAAAAD19/zk=")</f>
        <v>#VALUE!</v>
      </c>
      <c r="BG194" t="e">
        <f>AND(Sheet1!I2604,"AAAAAD19/zo=")</f>
        <v>#VALUE!</v>
      </c>
      <c r="BH194" t="e">
        <f>AND(Sheet1!J2604,"AAAAAD19/zs=")</f>
        <v>#VALUE!</v>
      </c>
      <c r="BI194" t="e">
        <f>AND(Sheet1!K2604,"AAAAAD19/zw=")</f>
        <v>#VALUE!</v>
      </c>
      <c r="BJ194" t="e">
        <f>AND(Sheet1!L2604,"AAAAAD19/z0=")</f>
        <v>#VALUE!</v>
      </c>
      <c r="BK194" t="e">
        <f>AND(Sheet1!M2604,"AAAAAD19/z4=")</f>
        <v>#VALUE!</v>
      </c>
      <c r="BL194" t="e">
        <f>AND(Sheet1!N2604,"AAAAAD19/z8=")</f>
        <v>#VALUE!</v>
      </c>
      <c r="BM194" t="e">
        <f>AND(Sheet1!#REF!,"AAAAAD19/0A=")</f>
        <v>#REF!</v>
      </c>
      <c r="BN194" t="e">
        <f>AND(Sheet1!#REF!,"AAAAAD19/0E=")</f>
        <v>#REF!</v>
      </c>
      <c r="BO194" t="e">
        <f>AND(Sheet1!#REF!,"AAAAAD19/0I=")</f>
        <v>#REF!</v>
      </c>
      <c r="BP194" t="e">
        <f>AND(Sheet1!#REF!,"AAAAAD19/0M=")</f>
        <v>#REF!</v>
      </c>
      <c r="BQ194">
        <f>IF(Sheet1!2605:2605,"AAAAAD19/0Q=",0)</f>
        <v>0</v>
      </c>
      <c r="BR194" t="e">
        <f>AND(Sheet1!A2605,"AAAAAD19/0U=")</f>
        <v>#VALUE!</v>
      </c>
      <c r="BS194" t="e">
        <f>AND(Sheet1!B2605,"AAAAAD19/0Y=")</f>
        <v>#VALUE!</v>
      </c>
      <c r="BT194" t="e">
        <f>AND(Sheet1!C2605,"AAAAAD19/0c=")</f>
        <v>#VALUE!</v>
      </c>
      <c r="BU194" t="e">
        <f>AND(Sheet1!D2605,"AAAAAD19/0g=")</f>
        <v>#VALUE!</v>
      </c>
      <c r="BV194" t="e">
        <f>AND(Sheet1!E2605,"AAAAAD19/0k=")</f>
        <v>#VALUE!</v>
      </c>
      <c r="BW194" t="e">
        <f>AND(Sheet1!F2605,"AAAAAD19/0o=")</f>
        <v>#VALUE!</v>
      </c>
      <c r="BX194" t="e">
        <f>AND(Sheet1!G2605,"AAAAAD19/0s=")</f>
        <v>#VALUE!</v>
      </c>
      <c r="BY194" t="e">
        <f>AND(Sheet1!H2605,"AAAAAD19/0w=")</f>
        <v>#VALUE!</v>
      </c>
      <c r="BZ194" t="e">
        <f>AND(Sheet1!I2605,"AAAAAD19/00=")</f>
        <v>#VALUE!</v>
      </c>
      <c r="CA194" t="e">
        <f>AND(Sheet1!J2605,"AAAAAD19/04=")</f>
        <v>#VALUE!</v>
      </c>
      <c r="CB194" t="e">
        <f>AND(Sheet1!K2605,"AAAAAD19/08=")</f>
        <v>#VALUE!</v>
      </c>
      <c r="CC194" t="e">
        <f>AND(Sheet1!L2605,"AAAAAD19/1A=")</f>
        <v>#VALUE!</v>
      </c>
      <c r="CD194" t="e">
        <f>AND(Sheet1!M2605,"AAAAAD19/1E=")</f>
        <v>#VALUE!</v>
      </c>
      <c r="CE194" t="e">
        <f>AND(Sheet1!N2605,"AAAAAD19/1I=")</f>
        <v>#VALUE!</v>
      </c>
      <c r="CF194" t="e">
        <f>AND(Sheet1!#REF!,"AAAAAD19/1M=")</f>
        <v>#REF!</v>
      </c>
      <c r="CG194" t="e">
        <f>AND(Sheet1!#REF!,"AAAAAD19/1Q=")</f>
        <v>#REF!</v>
      </c>
      <c r="CH194" t="e">
        <f>AND(Sheet1!#REF!,"AAAAAD19/1U=")</f>
        <v>#REF!</v>
      </c>
      <c r="CI194" t="e">
        <f>AND(Sheet1!#REF!,"AAAAAD19/1Y=")</f>
        <v>#REF!</v>
      </c>
      <c r="CJ194">
        <f>IF(Sheet1!2606:2606,"AAAAAD19/1c=",0)</f>
        <v>0</v>
      </c>
      <c r="CK194" t="e">
        <f>AND(Sheet1!A2606,"AAAAAD19/1g=")</f>
        <v>#VALUE!</v>
      </c>
      <c r="CL194" t="e">
        <f>AND(Sheet1!B2606,"AAAAAD19/1k=")</f>
        <v>#VALUE!</v>
      </c>
      <c r="CM194" t="e">
        <f>AND(Sheet1!C2606,"AAAAAD19/1o=")</f>
        <v>#VALUE!</v>
      </c>
      <c r="CN194" t="e">
        <f>AND(Sheet1!D2606,"AAAAAD19/1s=")</f>
        <v>#VALUE!</v>
      </c>
      <c r="CO194" t="e">
        <f>AND(Sheet1!E2606,"AAAAAD19/1w=")</f>
        <v>#VALUE!</v>
      </c>
      <c r="CP194" t="e">
        <f>AND(Sheet1!F2606,"AAAAAD19/10=")</f>
        <v>#VALUE!</v>
      </c>
      <c r="CQ194" t="e">
        <f>AND(Sheet1!G2606,"AAAAAD19/14=")</f>
        <v>#VALUE!</v>
      </c>
      <c r="CR194" t="e">
        <f>AND(Sheet1!H2606,"AAAAAD19/18=")</f>
        <v>#VALUE!</v>
      </c>
      <c r="CS194" t="e">
        <f>AND(Sheet1!I2606,"AAAAAD19/2A=")</f>
        <v>#VALUE!</v>
      </c>
      <c r="CT194" t="e">
        <f>AND(Sheet1!J2606,"AAAAAD19/2E=")</f>
        <v>#VALUE!</v>
      </c>
      <c r="CU194" t="e">
        <f>AND(Sheet1!K2606,"AAAAAD19/2I=")</f>
        <v>#VALUE!</v>
      </c>
      <c r="CV194" t="e">
        <f>AND(Sheet1!L2606,"AAAAAD19/2M=")</f>
        <v>#VALUE!</v>
      </c>
      <c r="CW194" t="e">
        <f>AND(Sheet1!M2606,"AAAAAD19/2Q=")</f>
        <v>#VALUE!</v>
      </c>
      <c r="CX194" t="e">
        <f>AND(Sheet1!N2606,"AAAAAD19/2U=")</f>
        <v>#VALUE!</v>
      </c>
      <c r="CY194" t="e">
        <f>AND(Sheet1!#REF!,"AAAAAD19/2Y=")</f>
        <v>#REF!</v>
      </c>
      <c r="CZ194" t="e">
        <f>AND(Sheet1!#REF!,"AAAAAD19/2c=")</f>
        <v>#REF!</v>
      </c>
      <c r="DA194" t="e">
        <f>AND(Sheet1!#REF!,"AAAAAD19/2g=")</f>
        <v>#REF!</v>
      </c>
      <c r="DB194" t="e">
        <f>AND(Sheet1!#REF!,"AAAAAD19/2k=")</f>
        <v>#REF!</v>
      </c>
      <c r="DC194">
        <f>IF(Sheet1!2607:2607,"AAAAAD19/2o=",0)</f>
        <v>0</v>
      </c>
      <c r="DD194" t="e">
        <f>AND(Sheet1!A2607,"AAAAAD19/2s=")</f>
        <v>#VALUE!</v>
      </c>
      <c r="DE194" t="e">
        <f>AND(Sheet1!B2607,"AAAAAD19/2w=")</f>
        <v>#VALUE!</v>
      </c>
      <c r="DF194" t="e">
        <f>AND(Sheet1!C2607,"AAAAAD19/20=")</f>
        <v>#VALUE!</v>
      </c>
      <c r="DG194" t="e">
        <f>AND(Sheet1!D2607,"AAAAAD19/24=")</f>
        <v>#VALUE!</v>
      </c>
      <c r="DH194" t="e">
        <f>AND(Sheet1!E2607,"AAAAAD19/28=")</f>
        <v>#VALUE!</v>
      </c>
      <c r="DI194" t="e">
        <f>AND(Sheet1!F2607,"AAAAAD19/3A=")</f>
        <v>#VALUE!</v>
      </c>
      <c r="DJ194" t="e">
        <f>AND(Sheet1!G2607,"AAAAAD19/3E=")</f>
        <v>#VALUE!</v>
      </c>
      <c r="DK194" t="e">
        <f>AND(Sheet1!H2607,"AAAAAD19/3I=")</f>
        <v>#VALUE!</v>
      </c>
      <c r="DL194" t="e">
        <f>AND(Sheet1!I2607,"AAAAAD19/3M=")</f>
        <v>#VALUE!</v>
      </c>
      <c r="DM194" t="e">
        <f>AND(Sheet1!J2607,"AAAAAD19/3Q=")</f>
        <v>#VALUE!</v>
      </c>
      <c r="DN194" t="e">
        <f>AND(Sheet1!K2607,"AAAAAD19/3U=")</f>
        <v>#VALUE!</v>
      </c>
      <c r="DO194" t="e">
        <f>AND(Sheet1!L2607,"AAAAAD19/3Y=")</f>
        <v>#VALUE!</v>
      </c>
      <c r="DP194" t="e">
        <f>AND(Sheet1!M2607,"AAAAAD19/3c=")</f>
        <v>#VALUE!</v>
      </c>
      <c r="DQ194" t="e">
        <f>AND(Sheet1!N2607,"AAAAAD19/3g=")</f>
        <v>#VALUE!</v>
      </c>
      <c r="DR194" t="e">
        <f>AND(Sheet1!#REF!,"AAAAAD19/3k=")</f>
        <v>#REF!</v>
      </c>
      <c r="DS194" t="e">
        <f>AND(Sheet1!#REF!,"AAAAAD19/3o=")</f>
        <v>#REF!</v>
      </c>
      <c r="DT194" t="e">
        <f>AND(Sheet1!#REF!,"AAAAAD19/3s=")</f>
        <v>#REF!</v>
      </c>
      <c r="DU194" t="e">
        <f>AND(Sheet1!#REF!,"AAAAAD19/3w=")</f>
        <v>#REF!</v>
      </c>
      <c r="DV194">
        <f>IF(Sheet1!2608:2608,"AAAAAD19/30=",0)</f>
        <v>0</v>
      </c>
      <c r="DW194" t="e">
        <f>AND(Sheet1!A2608,"AAAAAD19/34=")</f>
        <v>#VALUE!</v>
      </c>
      <c r="DX194" t="e">
        <f>AND(Sheet1!B2608,"AAAAAD19/38=")</f>
        <v>#VALUE!</v>
      </c>
      <c r="DY194" t="e">
        <f>AND(Sheet1!C2608,"AAAAAD19/4A=")</f>
        <v>#VALUE!</v>
      </c>
      <c r="DZ194" t="e">
        <f>AND(Sheet1!D2608,"AAAAAD19/4E=")</f>
        <v>#VALUE!</v>
      </c>
      <c r="EA194" t="e">
        <f>AND(Sheet1!E2608,"AAAAAD19/4I=")</f>
        <v>#VALUE!</v>
      </c>
      <c r="EB194" t="e">
        <f>AND(Sheet1!F2608,"AAAAAD19/4M=")</f>
        <v>#VALUE!</v>
      </c>
      <c r="EC194" t="e">
        <f>AND(Sheet1!G2608,"AAAAAD19/4Q=")</f>
        <v>#VALUE!</v>
      </c>
      <c r="ED194" t="e">
        <f>AND(Sheet1!H2608,"AAAAAD19/4U=")</f>
        <v>#VALUE!</v>
      </c>
      <c r="EE194" t="e">
        <f>AND(Sheet1!I2608,"AAAAAD19/4Y=")</f>
        <v>#VALUE!</v>
      </c>
      <c r="EF194" t="e">
        <f>AND(Sheet1!J2608,"AAAAAD19/4c=")</f>
        <v>#VALUE!</v>
      </c>
      <c r="EG194" t="e">
        <f>AND(Sheet1!K2608,"AAAAAD19/4g=")</f>
        <v>#VALUE!</v>
      </c>
      <c r="EH194" t="e">
        <f>AND(Sheet1!L2608,"AAAAAD19/4k=")</f>
        <v>#VALUE!</v>
      </c>
      <c r="EI194" t="e">
        <f>AND(Sheet1!M2608,"AAAAAD19/4o=")</f>
        <v>#VALUE!</v>
      </c>
      <c r="EJ194" t="e">
        <f>AND(Sheet1!N2608,"AAAAAD19/4s=")</f>
        <v>#VALUE!</v>
      </c>
      <c r="EK194" t="e">
        <f>AND(Sheet1!#REF!,"AAAAAD19/4w=")</f>
        <v>#REF!</v>
      </c>
      <c r="EL194" t="e">
        <f>AND(Sheet1!#REF!,"AAAAAD19/40=")</f>
        <v>#REF!</v>
      </c>
      <c r="EM194" t="e">
        <f>AND(Sheet1!#REF!,"AAAAAD19/44=")</f>
        <v>#REF!</v>
      </c>
      <c r="EN194" t="e">
        <f>AND(Sheet1!#REF!,"AAAAAD19/48=")</f>
        <v>#REF!</v>
      </c>
      <c r="EO194">
        <f>IF(Sheet1!2609:2609,"AAAAAD19/5A=",0)</f>
        <v>0</v>
      </c>
      <c r="EP194" t="e">
        <f>AND(Sheet1!A2609,"AAAAAD19/5E=")</f>
        <v>#VALUE!</v>
      </c>
      <c r="EQ194" t="e">
        <f>AND(Sheet1!B2609,"AAAAAD19/5I=")</f>
        <v>#VALUE!</v>
      </c>
      <c r="ER194" t="e">
        <f>AND(Sheet1!C2609,"AAAAAD19/5M=")</f>
        <v>#VALUE!</v>
      </c>
      <c r="ES194" t="e">
        <f>AND(Sheet1!D2609,"AAAAAD19/5Q=")</f>
        <v>#VALUE!</v>
      </c>
      <c r="ET194" t="e">
        <f>AND(Sheet1!E2609,"AAAAAD19/5U=")</f>
        <v>#VALUE!</v>
      </c>
      <c r="EU194" t="e">
        <f>AND(Sheet1!F2609,"AAAAAD19/5Y=")</f>
        <v>#VALUE!</v>
      </c>
      <c r="EV194" t="e">
        <f>AND(Sheet1!G2609,"AAAAAD19/5c=")</f>
        <v>#VALUE!</v>
      </c>
      <c r="EW194" t="e">
        <f>AND(Sheet1!H2609,"AAAAAD19/5g=")</f>
        <v>#VALUE!</v>
      </c>
      <c r="EX194" t="e">
        <f>AND(Sheet1!I2609,"AAAAAD19/5k=")</f>
        <v>#VALUE!</v>
      </c>
      <c r="EY194" t="e">
        <f>AND(Sheet1!J2609,"AAAAAD19/5o=")</f>
        <v>#VALUE!</v>
      </c>
      <c r="EZ194" t="e">
        <f>AND(Sheet1!K2609,"AAAAAD19/5s=")</f>
        <v>#VALUE!</v>
      </c>
      <c r="FA194" t="e">
        <f>AND(Sheet1!L2609,"AAAAAD19/5w=")</f>
        <v>#VALUE!</v>
      </c>
      <c r="FB194" t="e">
        <f>AND(Sheet1!M2609,"AAAAAD19/50=")</f>
        <v>#VALUE!</v>
      </c>
      <c r="FC194" t="e">
        <f>AND(Sheet1!N2609,"AAAAAD19/54=")</f>
        <v>#VALUE!</v>
      </c>
      <c r="FD194" t="e">
        <f>AND(Sheet1!#REF!,"AAAAAD19/58=")</f>
        <v>#REF!</v>
      </c>
      <c r="FE194" t="e">
        <f>AND(Sheet1!#REF!,"AAAAAD19/6A=")</f>
        <v>#REF!</v>
      </c>
      <c r="FF194" t="e">
        <f>AND(Sheet1!#REF!,"AAAAAD19/6E=")</f>
        <v>#REF!</v>
      </c>
      <c r="FG194" t="e">
        <f>AND(Sheet1!#REF!,"AAAAAD19/6I=")</f>
        <v>#REF!</v>
      </c>
      <c r="FH194">
        <f>IF(Sheet1!2610:2610,"AAAAAD19/6M=",0)</f>
        <v>0</v>
      </c>
      <c r="FI194" t="e">
        <f>AND(Sheet1!A2610,"AAAAAD19/6Q=")</f>
        <v>#VALUE!</v>
      </c>
      <c r="FJ194" t="e">
        <f>AND(Sheet1!B2610,"AAAAAD19/6U=")</f>
        <v>#VALUE!</v>
      </c>
      <c r="FK194" t="e">
        <f>AND(Sheet1!C2610,"AAAAAD19/6Y=")</f>
        <v>#VALUE!</v>
      </c>
      <c r="FL194" t="e">
        <f>AND(Sheet1!D2610,"AAAAAD19/6c=")</f>
        <v>#VALUE!</v>
      </c>
      <c r="FM194" t="e">
        <f>AND(Sheet1!E2610,"AAAAAD19/6g=")</f>
        <v>#VALUE!</v>
      </c>
      <c r="FN194" t="e">
        <f>AND(Sheet1!F2610,"AAAAAD19/6k=")</f>
        <v>#VALUE!</v>
      </c>
      <c r="FO194" t="e">
        <f>AND(Sheet1!G2610,"AAAAAD19/6o=")</f>
        <v>#VALUE!</v>
      </c>
      <c r="FP194" t="e">
        <f>AND(Sheet1!H2610,"AAAAAD19/6s=")</f>
        <v>#VALUE!</v>
      </c>
      <c r="FQ194" t="e">
        <f>AND(Sheet1!I2610,"AAAAAD19/6w=")</f>
        <v>#VALUE!</v>
      </c>
      <c r="FR194" t="e">
        <f>AND(Sheet1!J2610,"AAAAAD19/60=")</f>
        <v>#VALUE!</v>
      </c>
      <c r="FS194" t="e">
        <f>AND(Sheet1!K2610,"AAAAAD19/64=")</f>
        <v>#VALUE!</v>
      </c>
      <c r="FT194" t="e">
        <f>AND(Sheet1!L2610,"AAAAAD19/68=")</f>
        <v>#VALUE!</v>
      </c>
      <c r="FU194" t="e">
        <f>AND(Sheet1!M2610,"AAAAAD19/7A=")</f>
        <v>#VALUE!</v>
      </c>
      <c r="FV194" t="e">
        <f>AND(Sheet1!N2610,"AAAAAD19/7E=")</f>
        <v>#VALUE!</v>
      </c>
      <c r="FW194" t="e">
        <f>AND(Sheet1!#REF!,"AAAAAD19/7I=")</f>
        <v>#REF!</v>
      </c>
      <c r="FX194" t="e">
        <f>AND(Sheet1!#REF!,"AAAAAD19/7M=")</f>
        <v>#REF!</v>
      </c>
      <c r="FY194" t="e">
        <f>AND(Sheet1!#REF!,"AAAAAD19/7Q=")</f>
        <v>#REF!</v>
      </c>
      <c r="FZ194" t="e">
        <f>AND(Sheet1!#REF!,"AAAAAD19/7U=")</f>
        <v>#REF!</v>
      </c>
      <c r="GA194">
        <f>IF(Sheet1!2611:2611,"AAAAAD19/7Y=",0)</f>
        <v>0</v>
      </c>
      <c r="GB194" t="e">
        <f>AND(Sheet1!A2611,"AAAAAD19/7c=")</f>
        <v>#VALUE!</v>
      </c>
      <c r="GC194" t="e">
        <f>AND(Sheet1!B2611,"AAAAAD19/7g=")</f>
        <v>#VALUE!</v>
      </c>
      <c r="GD194" t="e">
        <f>AND(Sheet1!C2611,"AAAAAD19/7k=")</f>
        <v>#VALUE!</v>
      </c>
      <c r="GE194" t="e">
        <f>AND(Sheet1!D2611,"AAAAAD19/7o=")</f>
        <v>#VALUE!</v>
      </c>
      <c r="GF194" t="e">
        <f>AND(Sheet1!E2611,"AAAAAD19/7s=")</f>
        <v>#VALUE!</v>
      </c>
      <c r="GG194" t="e">
        <f>AND(Sheet1!F2611,"AAAAAD19/7w=")</f>
        <v>#VALUE!</v>
      </c>
      <c r="GH194" t="e">
        <f>AND(Sheet1!G2611,"AAAAAD19/70=")</f>
        <v>#VALUE!</v>
      </c>
      <c r="GI194" t="e">
        <f>AND(Sheet1!H2611,"AAAAAD19/74=")</f>
        <v>#VALUE!</v>
      </c>
      <c r="GJ194" t="e">
        <f>AND(Sheet1!I2611,"AAAAAD19/78=")</f>
        <v>#VALUE!</v>
      </c>
      <c r="GK194" t="e">
        <f>AND(Sheet1!J2611,"AAAAAD19/8A=")</f>
        <v>#VALUE!</v>
      </c>
      <c r="GL194" t="e">
        <f>AND(Sheet1!K2611,"AAAAAD19/8E=")</f>
        <v>#VALUE!</v>
      </c>
      <c r="GM194" t="e">
        <f>AND(Sheet1!L2611,"AAAAAD19/8I=")</f>
        <v>#VALUE!</v>
      </c>
      <c r="GN194" t="e">
        <f>AND(Sheet1!M2611,"AAAAAD19/8M=")</f>
        <v>#VALUE!</v>
      </c>
      <c r="GO194" t="e">
        <f>AND(Sheet1!N2611,"AAAAAD19/8Q=")</f>
        <v>#VALUE!</v>
      </c>
      <c r="GP194" t="e">
        <f>AND(Sheet1!#REF!,"AAAAAD19/8U=")</f>
        <v>#REF!</v>
      </c>
      <c r="GQ194" t="e">
        <f>AND(Sheet1!#REF!,"AAAAAD19/8Y=")</f>
        <v>#REF!</v>
      </c>
      <c r="GR194" t="e">
        <f>AND(Sheet1!#REF!,"AAAAAD19/8c=")</f>
        <v>#REF!</v>
      </c>
      <c r="GS194" t="e">
        <f>AND(Sheet1!#REF!,"AAAAAD19/8g=")</f>
        <v>#REF!</v>
      </c>
      <c r="GT194">
        <f>IF(Sheet1!2612:2612,"AAAAAD19/8k=",0)</f>
        <v>0</v>
      </c>
      <c r="GU194" t="e">
        <f>AND(Sheet1!A2612,"AAAAAD19/8o=")</f>
        <v>#VALUE!</v>
      </c>
      <c r="GV194" t="e">
        <f>AND(Sheet1!B2612,"AAAAAD19/8s=")</f>
        <v>#VALUE!</v>
      </c>
      <c r="GW194" t="e">
        <f>AND(Sheet1!C2612,"AAAAAD19/8w=")</f>
        <v>#VALUE!</v>
      </c>
      <c r="GX194" t="e">
        <f>AND(Sheet1!D2612,"AAAAAD19/80=")</f>
        <v>#VALUE!</v>
      </c>
      <c r="GY194" t="e">
        <f>AND(Sheet1!E2612,"AAAAAD19/84=")</f>
        <v>#VALUE!</v>
      </c>
      <c r="GZ194" t="e">
        <f>AND(Sheet1!F2612,"AAAAAD19/88=")</f>
        <v>#VALUE!</v>
      </c>
      <c r="HA194" t="e">
        <f>AND(Sheet1!G2612,"AAAAAD19/9A=")</f>
        <v>#VALUE!</v>
      </c>
      <c r="HB194" t="e">
        <f>AND(Sheet1!H2612,"AAAAAD19/9E=")</f>
        <v>#VALUE!</v>
      </c>
      <c r="HC194" t="e">
        <f>AND(Sheet1!I2612,"AAAAAD19/9I=")</f>
        <v>#VALUE!</v>
      </c>
      <c r="HD194" t="e">
        <f>AND(Sheet1!J2612,"AAAAAD19/9M=")</f>
        <v>#VALUE!</v>
      </c>
      <c r="HE194" t="e">
        <f>AND(Sheet1!K2612,"AAAAAD19/9Q=")</f>
        <v>#VALUE!</v>
      </c>
      <c r="HF194" t="e">
        <f>AND(Sheet1!L2612,"AAAAAD19/9U=")</f>
        <v>#VALUE!</v>
      </c>
      <c r="HG194" t="e">
        <f>AND(Sheet1!M2612,"AAAAAD19/9Y=")</f>
        <v>#VALUE!</v>
      </c>
      <c r="HH194" t="e">
        <f>AND(Sheet1!N2612,"AAAAAD19/9c=")</f>
        <v>#VALUE!</v>
      </c>
      <c r="HI194" t="e">
        <f>AND(Sheet1!#REF!,"AAAAAD19/9g=")</f>
        <v>#REF!</v>
      </c>
      <c r="HJ194" t="e">
        <f>AND(Sheet1!#REF!,"AAAAAD19/9k=")</f>
        <v>#REF!</v>
      </c>
      <c r="HK194" t="e">
        <f>AND(Sheet1!#REF!,"AAAAAD19/9o=")</f>
        <v>#REF!</v>
      </c>
      <c r="HL194" t="e">
        <f>AND(Sheet1!#REF!,"AAAAAD19/9s=")</f>
        <v>#REF!</v>
      </c>
      <c r="HM194">
        <f>IF(Sheet1!2613:2613,"AAAAAD19/9w=",0)</f>
        <v>0</v>
      </c>
      <c r="HN194" t="e">
        <f>AND(Sheet1!A2613,"AAAAAD19/90=")</f>
        <v>#VALUE!</v>
      </c>
      <c r="HO194" t="e">
        <f>AND(Sheet1!B2613,"AAAAAD19/94=")</f>
        <v>#VALUE!</v>
      </c>
      <c r="HP194" t="e">
        <f>AND(Sheet1!C2613,"AAAAAD19/98=")</f>
        <v>#VALUE!</v>
      </c>
      <c r="HQ194" t="e">
        <f>AND(Sheet1!D2613,"AAAAAD19/+A=")</f>
        <v>#VALUE!</v>
      </c>
      <c r="HR194" t="e">
        <f>AND(Sheet1!E2613,"AAAAAD19/+E=")</f>
        <v>#VALUE!</v>
      </c>
      <c r="HS194" t="e">
        <f>AND(Sheet1!F2613,"AAAAAD19/+I=")</f>
        <v>#VALUE!</v>
      </c>
      <c r="HT194" t="e">
        <f>AND(Sheet1!G2613,"AAAAAD19/+M=")</f>
        <v>#VALUE!</v>
      </c>
      <c r="HU194" t="e">
        <f>AND(Sheet1!H2613,"AAAAAD19/+Q=")</f>
        <v>#VALUE!</v>
      </c>
      <c r="HV194" t="e">
        <f>AND(Sheet1!I2613,"AAAAAD19/+U=")</f>
        <v>#VALUE!</v>
      </c>
      <c r="HW194" t="e">
        <f>AND(Sheet1!J2613,"AAAAAD19/+Y=")</f>
        <v>#VALUE!</v>
      </c>
      <c r="HX194" t="e">
        <f>AND(Sheet1!K2613,"AAAAAD19/+c=")</f>
        <v>#VALUE!</v>
      </c>
      <c r="HY194" t="e">
        <f>AND(Sheet1!L2613,"AAAAAD19/+g=")</f>
        <v>#VALUE!</v>
      </c>
      <c r="HZ194" t="e">
        <f>AND(Sheet1!M2613,"AAAAAD19/+k=")</f>
        <v>#VALUE!</v>
      </c>
      <c r="IA194" t="e">
        <f>AND(Sheet1!N2613,"AAAAAD19/+o=")</f>
        <v>#VALUE!</v>
      </c>
      <c r="IB194" t="e">
        <f>AND(Sheet1!#REF!,"AAAAAD19/+s=")</f>
        <v>#REF!</v>
      </c>
      <c r="IC194" t="e">
        <f>AND(Sheet1!#REF!,"AAAAAD19/+w=")</f>
        <v>#REF!</v>
      </c>
      <c r="ID194" t="e">
        <f>AND(Sheet1!#REF!,"AAAAAD19/+0=")</f>
        <v>#REF!</v>
      </c>
      <c r="IE194" t="e">
        <f>AND(Sheet1!#REF!,"AAAAAD19/+4=")</f>
        <v>#REF!</v>
      </c>
      <c r="IF194">
        <f>IF(Sheet1!2614:2614,"AAAAAD19/+8=",0)</f>
        <v>0</v>
      </c>
      <c r="IG194" t="e">
        <f>AND(Sheet1!A2614,"AAAAAD19//A=")</f>
        <v>#VALUE!</v>
      </c>
      <c r="IH194" t="e">
        <f>AND(Sheet1!B2614,"AAAAAD19//E=")</f>
        <v>#VALUE!</v>
      </c>
      <c r="II194" t="e">
        <f>AND(Sheet1!C2614,"AAAAAD19//I=")</f>
        <v>#VALUE!</v>
      </c>
      <c r="IJ194" t="e">
        <f>AND(Sheet1!D2614,"AAAAAD19//M=")</f>
        <v>#VALUE!</v>
      </c>
      <c r="IK194" t="e">
        <f>AND(Sheet1!E2614,"AAAAAD19//Q=")</f>
        <v>#VALUE!</v>
      </c>
      <c r="IL194" t="e">
        <f>AND(Sheet1!F2614,"AAAAAD19//U=")</f>
        <v>#VALUE!</v>
      </c>
      <c r="IM194" t="e">
        <f>AND(Sheet1!G2614,"AAAAAD19//Y=")</f>
        <v>#VALUE!</v>
      </c>
      <c r="IN194" t="e">
        <f>AND(Sheet1!H2614,"AAAAAD19//c=")</f>
        <v>#VALUE!</v>
      </c>
      <c r="IO194" t="e">
        <f>AND(Sheet1!I2614,"AAAAAD19//g=")</f>
        <v>#VALUE!</v>
      </c>
      <c r="IP194" t="e">
        <f>AND(Sheet1!J2614,"AAAAAD19//k=")</f>
        <v>#VALUE!</v>
      </c>
      <c r="IQ194" t="e">
        <f>AND(Sheet1!K2614,"AAAAAD19//o=")</f>
        <v>#VALUE!</v>
      </c>
      <c r="IR194" t="e">
        <f>AND(Sheet1!L2614,"AAAAAD19//s=")</f>
        <v>#VALUE!</v>
      </c>
      <c r="IS194" t="e">
        <f>AND(Sheet1!M2614,"AAAAAD19//w=")</f>
        <v>#VALUE!</v>
      </c>
      <c r="IT194" t="e">
        <f>AND(Sheet1!N2614,"AAAAAD19//0=")</f>
        <v>#VALUE!</v>
      </c>
      <c r="IU194" t="e">
        <f>AND(Sheet1!#REF!,"AAAAAD19//4=")</f>
        <v>#REF!</v>
      </c>
      <c r="IV194" t="e">
        <f>AND(Sheet1!#REF!,"AAAAAD19//8=")</f>
        <v>#REF!</v>
      </c>
    </row>
    <row r="195" spans="1:256" x14ac:dyDescent="0.2">
      <c r="A195" t="e">
        <f>AND(Sheet1!#REF!,"AAAAAGn22wA=")</f>
        <v>#REF!</v>
      </c>
      <c r="B195" t="e">
        <f>AND(Sheet1!#REF!,"AAAAAGn22wE=")</f>
        <v>#REF!</v>
      </c>
      <c r="C195" t="e">
        <f>IF(Sheet1!2615:2615,"AAAAAGn22wI=",0)</f>
        <v>#VALUE!</v>
      </c>
      <c r="D195" t="e">
        <f>AND(Sheet1!A2615,"AAAAAGn22wM=")</f>
        <v>#VALUE!</v>
      </c>
      <c r="E195" t="e">
        <f>AND(Sheet1!B2615,"AAAAAGn22wQ=")</f>
        <v>#VALUE!</v>
      </c>
      <c r="F195" t="e">
        <f>AND(Sheet1!C2615,"AAAAAGn22wU=")</f>
        <v>#VALUE!</v>
      </c>
      <c r="G195" t="e">
        <f>AND(Sheet1!D2615,"AAAAAGn22wY=")</f>
        <v>#VALUE!</v>
      </c>
      <c r="H195" t="e">
        <f>AND(Sheet1!E2615,"AAAAAGn22wc=")</f>
        <v>#VALUE!</v>
      </c>
      <c r="I195" t="e">
        <f>AND(Sheet1!F2615,"AAAAAGn22wg=")</f>
        <v>#VALUE!</v>
      </c>
      <c r="J195" t="e">
        <f>AND(Sheet1!G2615,"AAAAAGn22wk=")</f>
        <v>#VALUE!</v>
      </c>
      <c r="K195" t="e">
        <f>AND(Sheet1!H2615,"AAAAAGn22wo=")</f>
        <v>#VALUE!</v>
      </c>
      <c r="L195" t="e">
        <f>AND(Sheet1!I2615,"AAAAAGn22ws=")</f>
        <v>#VALUE!</v>
      </c>
      <c r="M195" t="e">
        <f>AND(Sheet1!J2615,"AAAAAGn22ww=")</f>
        <v>#VALUE!</v>
      </c>
      <c r="N195" t="e">
        <f>AND(Sheet1!K2615,"AAAAAGn22w0=")</f>
        <v>#VALUE!</v>
      </c>
      <c r="O195" t="e">
        <f>AND(Sheet1!L2615,"AAAAAGn22w4=")</f>
        <v>#VALUE!</v>
      </c>
      <c r="P195" t="e">
        <f>AND(Sheet1!M2615,"AAAAAGn22w8=")</f>
        <v>#VALUE!</v>
      </c>
      <c r="Q195" t="e">
        <f>AND(Sheet1!N2615,"AAAAAGn22xA=")</f>
        <v>#VALUE!</v>
      </c>
      <c r="R195" t="e">
        <f>AND(Sheet1!#REF!,"AAAAAGn22xE=")</f>
        <v>#REF!</v>
      </c>
      <c r="S195" t="e">
        <f>AND(Sheet1!#REF!,"AAAAAGn22xI=")</f>
        <v>#REF!</v>
      </c>
      <c r="T195" t="e">
        <f>AND(Sheet1!#REF!,"AAAAAGn22xM=")</f>
        <v>#REF!</v>
      </c>
      <c r="U195" t="e">
        <f>AND(Sheet1!#REF!,"AAAAAGn22xQ=")</f>
        <v>#REF!</v>
      </c>
      <c r="V195">
        <f>IF(Sheet1!2616:2616,"AAAAAGn22xU=",0)</f>
        <v>0</v>
      </c>
      <c r="W195" t="e">
        <f>AND(Sheet1!A2616,"AAAAAGn22xY=")</f>
        <v>#VALUE!</v>
      </c>
      <c r="X195" t="e">
        <f>AND(Sheet1!B2616,"AAAAAGn22xc=")</f>
        <v>#VALUE!</v>
      </c>
      <c r="Y195" t="e">
        <f>AND(Sheet1!C2616,"AAAAAGn22xg=")</f>
        <v>#VALUE!</v>
      </c>
      <c r="Z195" t="e">
        <f>AND(Sheet1!D2616,"AAAAAGn22xk=")</f>
        <v>#VALUE!</v>
      </c>
      <c r="AA195" t="e">
        <f>AND(Sheet1!E2616,"AAAAAGn22xo=")</f>
        <v>#VALUE!</v>
      </c>
      <c r="AB195" t="e">
        <f>AND(Sheet1!F2616,"AAAAAGn22xs=")</f>
        <v>#VALUE!</v>
      </c>
      <c r="AC195" t="e">
        <f>AND(Sheet1!G2616,"AAAAAGn22xw=")</f>
        <v>#VALUE!</v>
      </c>
      <c r="AD195" t="e">
        <f>AND(Sheet1!H2616,"AAAAAGn22x0=")</f>
        <v>#VALUE!</v>
      </c>
      <c r="AE195" t="e">
        <f>AND(Sheet1!I2616,"AAAAAGn22x4=")</f>
        <v>#VALUE!</v>
      </c>
      <c r="AF195" t="e">
        <f>AND(Sheet1!J2616,"AAAAAGn22x8=")</f>
        <v>#VALUE!</v>
      </c>
      <c r="AG195" t="e">
        <f>AND(Sheet1!K2616,"AAAAAGn22yA=")</f>
        <v>#VALUE!</v>
      </c>
      <c r="AH195" t="e">
        <f>AND(Sheet1!L2616,"AAAAAGn22yE=")</f>
        <v>#VALUE!</v>
      </c>
      <c r="AI195" t="e">
        <f>AND(Sheet1!M2616,"AAAAAGn22yI=")</f>
        <v>#VALUE!</v>
      </c>
      <c r="AJ195" t="e">
        <f>AND(Sheet1!N2616,"AAAAAGn22yM=")</f>
        <v>#VALUE!</v>
      </c>
      <c r="AK195" t="e">
        <f>AND(Sheet1!#REF!,"AAAAAGn22yQ=")</f>
        <v>#REF!</v>
      </c>
      <c r="AL195" t="e">
        <f>AND(Sheet1!#REF!,"AAAAAGn22yU=")</f>
        <v>#REF!</v>
      </c>
      <c r="AM195" t="e">
        <f>AND(Sheet1!#REF!,"AAAAAGn22yY=")</f>
        <v>#REF!</v>
      </c>
      <c r="AN195" t="e">
        <f>AND(Sheet1!#REF!,"AAAAAGn22yc=")</f>
        <v>#REF!</v>
      </c>
      <c r="AO195">
        <f>IF(Sheet1!2617:2617,"AAAAAGn22yg=",0)</f>
        <v>0</v>
      </c>
      <c r="AP195" t="e">
        <f>AND(Sheet1!A2617,"AAAAAGn22yk=")</f>
        <v>#VALUE!</v>
      </c>
      <c r="AQ195" t="e">
        <f>AND(Sheet1!B2617,"AAAAAGn22yo=")</f>
        <v>#VALUE!</v>
      </c>
      <c r="AR195" t="e">
        <f>AND(Sheet1!C2617,"AAAAAGn22ys=")</f>
        <v>#VALUE!</v>
      </c>
      <c r="AS195" t="e">
        <f>AND(Sheet1!D2617,"AAAAAGn22yw=")</f>
        <v>#VALUE!</v>
      </c>
      <c r="AT195" t="e">
        <f>AND(Sheet1!E2617,"AAAAAGn22y0=")</f>
        <v>#VALUE!</v>
      </c>
      <c r="AU195" t="e">
        <f>AND(Sheet1!F2617,"AAAAAGn22y4=")</f>
        <v>#VALUE!</v>
      </c>
      <c r="AV195" t="e">
        <f>AND(Sheet1!G2617,"AAAAAGn22y8=")</f>
        <v>#VALUE!</v>
      </c>
      <c r="AW195" t="e">
        <f>AND(Sheet1!H2617,"AAAAAGn22zA=")</f>
        <v>#VALUE!</v>
      </c>
      <c r="AX195" t="e">
        <f>AND(Sheet1!I2617,"AAAAAGn22zE=")</f>
        <v>#VALUE!</v>
      </c>
      <c r="AY195" t="e">
        <f>AND(Sheet1!J2617,"AAAAAGn22zI=")</f>
        <v>#VALUE!</v>
      </c>
      <c r="AZ195" t="e">
        <f>AND(Sheet1!K2617,"AAAAAGn22zM=")</f>
        <v>#VALUE!</v>
      </c>
      <c r="BA195" t="e">
        <f>AND(Sheet1!L2617,"AAAAAGn22zQ=")</f>
        <v>#VALUE!</v>
      </c>
      <c r="BB195" t="e">
        <f>AND(Sheet1!M2617,"AAAAAGn22zU=")</f>
        <v>#VALUE!</v>
      </c>
      <c r="BC195" t="e">
        <f>AND(Sheet1!N2617,"AAAAAGn22zY=")</f>
        <v>#VALUE!</v>
      </c>
      <c r="BD195" t="e">
        <f>AND(Sheet1!#REF!,"AAAAAGn22zc=")</f>
        <v>#REF!</v>
      </c>
      <c r="BE195" t="e">
        <f>AND(Sheet1!#REF!,"AAAAAGn22zg=")</f>
        <v>#REF!</v>
      </c>
      <c r="BF195" t="e">
        <f>AND(Sheet1!#REF!,"AAAAAGn22zk=")</f>
        <v>#REF!</v>
      </c>
      <c r="BG195" t="e">
        <f>AND(Sheet1!#REF!,"AAAAAGn22zo=")</f>
        <v>#REF!</v>
      </c>
      <c r="BH195">
        <f>IF(Sheet1!2618:2618,"AAAAAGn22zs=",0)</f>
        <v>0</v>
      </c>
      <c r="BI195" t="e">
        <f>AND(Sheet1!A2618,"AAAAAGn22zw=")</f>
        <v>#VALUE!</v>
      </c>
      <c r="BJ195" t="e">
        <f>AND(Sheet1!B2618,"AAAAAGn22z0=")</f>
        <v>#VALUE!</v>
      </c>
      <c r="BK195" t="e">
        <f>AND(Sheet1!C2618,"AAAAAGn22z4=")</f>
        <v>#VALUE!</v>
      </c>
      <c r="BL195" t="e">
        <f>AND(Sheet1!D2618,"AAAAAGn22z8=")</f>
        <v>#VALUE!</v>
      </c>
      <c r="BM195" t="e">
        <f>AND(Sheet1!E2618,"AAAAAGn220A=")</f>
        <v>#VALUE!</v>
      </c>
      <c r="BN195" t="e">
        <f>AND(Sheet1!F2618,"AAAAAGn220E=")</f>
        <v>#VALUE!</v>
      </c>
      <c r="BO195" t="e">
        <f>AND(Sheet1!G2618,"AAAAAGn220I=")</f>
        <v>#VALUE!</v>
      </c>
      <c r="BP195" t="e">
        <f>AND(Sheet1!H2618,"AAAAAGn220M=")</f>
        <v>#VALUE!</v>
      </c>
      <c r="BQ195" t="e">
        <f>AND(Sheet1!I2618,"AAAAAGn220Q=")</f>
        <v>#VALUE!</v>
      </c>
      <c r="BR195" t="e">
        <f>AND(Sheet1!J2618,"AAAAAGn220U=")</f>
        <v>#VALUE!</v>
      </c>
      <c r="BS195" t="e">
        <f>AND(Sheet1!K2618,"AAAAAGn220Y=")</f>
        <v>#VALUE!</v>
      </c>
      <c r="BT195" t="e">
        <f>AND(Sheet1!L2618,"AAAAAGn220c=")</f>
        <v>#VALUE!</v>
      </c>
      <c r="BU195" t="e">
        <f>AND(Sheet1!M2618,"AAAAAGn220g=")</f>
        <v>#VALUE!</v>
      </c>
      <c r="BV195" t="e">
        <f>AND(Sheet1!N2618,"AAAAAGn220k=")</f>
        <v>#VALUE!</v>
      </c>
      <c r="BW195" t="e">
        <f>AND(Sheet1!#REF!,"AAAAAGn220o=")</f>
        <v>#REF!</v>
      </c>
      <c r="BX195" t="e">
        <f>AND(Sheet1!#REF!,"AAAAAGn220s=")</f>
        <v>#REF!</v>
      </c>
      <c r="BY195" t="e">
        <f>AND(Sheet1!#REF!,"AAAAAGn220w=")</f>
        <v>#REF!</v>
      </c>
      <c r="BZ195" t="e">
        <f>AND(Sheet1!#REF!,"AAAAAGn2200=")</f>
        <v>#REF!</v>
      </c>
      <c r="CA195">
        <f>IF(Sheet1!2619:2619,"AAAAAGn2204=",0)</f>
        <v>0</v>
      </c>
      <c r="CB195" t="e">
        <f>AND(Sheet1!A2619,"AAAAAGn2208=")</f>
        <v>#VALUE!</v>
      </c>
      <c r="CC195" t="e">
        <f>AND(Sheet1!B2619,"AAAAAGn221A=")</f>
        <v>#VALUE!</v>
      </c>
      <c r="CD195" t="e">
        <f>AND(Sheet1!C2619,"AAAAAGn221E=")</f>
        <v>#VALUE!</v>
      </c>
      <c r="CE195" t="e">
        <f>AND(Sheet1!D2619,"AAAAAGn221I=")</f>
        <v>#VALUE!</v>
      </c>
      <c r="CF195" t="e">
        <f>AND(Sheet1!E2619,"AAAAAGn221M=")</f>
        <v>#VALUE!</v>
      </c>
      <c r="CG195" t="e">
        <f>AND(Sheet1!F2619,"AAAAAGn221Q=")</f>
        <v>#VALUE!</v>
      </c>
      <c r="CH195" t="e">
        <f>AND(Sheet1!G2619,"AAAAAGn221U=")</f>
        <v>#VALUE!</v>
      </c>
      <c r="CI195" t="e">
        <f>AND(Sheet1!H2619,"AAAAAGn221Y=")</f>
        <v>#VALUE!</v>
      </c>
      <c r="CJ195" t="e">
        <f>AND(Sheet1!I2619,"AAAAAGn221c=")</f>
        <v>#VALUE!</v>
      </c>
      <c r="CK195" t="e">
        <f>AND(Sheet1!J2619,"AAAAAGn221g=")</f>
        <v>#VALUE!</v>
      </c>
      <c r="CL195" t="e">
        <f>AND(Sheet1!K2619,"AAAAAGn221k=")</f>
        <v>#VALUE!</v>
      </c>
      <c r="CM195" t="e">
        <f>AND(Sheet1!L2619,"AAAAAGn221o=")</f>
        <v>#VALUE!</v>
      </c>
      <c r="CN195" t="e">
        <f>AND(Sheet1!M2619,"AAAAAGn221s=")</f>
        <v>#VALUE!</v>
      </c>
      <c r="CO195" t="e">
        <f>AND(Sheet1!N2619,"AAAAAGn221w=")</f>
        <v>#VALUE!</v>
      </c>
      <c r="CP195" t="e">
        <f>AND(Sheet1!#REF!,"AAAAAGn2210=")</f>
        <v>#REF!</v>
      </c>
      <c r="CQ195" t="e">
        <f>AND(Sheet1!#REF!,"AAAAAGn2214=")</f>
        <v>#REF!</v>
      </c>
      <c r="CR195" t="e">
        <f>AND(Sheet1!#REF!,"AAAAAGn2218=")</f>
        <v>#REF!</v>
      </c>
      <c r="CS195" t="e">
        <f>AND(Sheet1!#REF!,"AAAAAGn222A=")</f>
        <v>#REF!</v>
      </c>
      <c r="CT195">
        <f>IF(Sheet1!2620:2620,"AAAAAGn222E=",0)</f>
        <v>0</v>
      </c>
      <c r="CU195" t="e">
        <f>AND(Sheet1!A2620,"AAAAAGn222I=")</f>
        <v>#VALUE!</v>
      </c>
      <c r="CV195" t="e">
        <f>AND(Sheet1!B2620,"AAAAAGn222M=")</f>
        <v>#VALUE!</v>
      </c>
      <c r="CW195" t="e">
        <f>AND(Sheet1!C2620,"AAAAAGn222Q=")</f>
        <v>#VALUE!</v>
      </c>
      <c r="CX195" t="e">
        <f>AND(Sheet1!D2620,"AAAAAGn222U=")</f>
        <v>#VALUE!</v>
      </c>
      <c r="CY195" t="e">
        <f>AND(Sheet1!E2620,"AAAAAGn222Y=")</f>
        <v>#VALUE!</v>
      </c>
      <c r="CZ195" t="e">
        <f>AND(Sheet1!F2620,"AAAAAGn222c=")</f>
        <v>#VALUE!</v>
      </c>
      <c r="DA195" t="e">
        <f>AND(Sheet1!G2620,"AAAAAGn222g=")</f>
        <v>#VALUE!</v>
      </c>
      <c r="DB195" t="e">
        <f>AND(Sheet1!H2620,"AAAAAGn222k=")</f>
        <v>#VALUE!</v>
      </c>
      <c r="DC195" t="e">
        <f>AND(Sheet1!I2620,"AAAAAGn222o=")</f>
        <v>#VALUE!</v>
      </c>
      <c r="DD195" t="e">
        <f>AND(Sheet1!J2620,"AAAAAGn222s=")</f>
        <v>#VALUE!</v>
      </c>
      <c r="DE195" t="e">
        <f>AND(Sheet1!K2620,"AAAAAGn222w=")</f>
        <v>#VALUE!</v>
      </c>
      <c r="DF195" t="e">
        <f>AND(Sheet1!L2620,"AAAAAGn2220=")</f>
        <v>#VALUE!</v>
      </c>
      <c r="DG195" t="e">
        <f>AND(Sheet1!M2620,"AAAAAGn2224=")</f>
        <v>#VALUE!</v>
      </c>
      <c r="DH195" t="e">
        <f>AND(Sheet1!N2620,"AAAAAGn2228=")</f>
        <v>#VALUE!</v>
      </c>
      <c r="DI195" t="e">
        <f>AND(Sheet1!#REF!,"AAAAAGn223A=")</f>
        <v>#REF!</v>
      </c>
      <c r="DJ195" t="e">
        <f>AND(Sheet1!#REF!,"AAAAAGn223E=")</f>
        <v>#REF!</v>
      </c>
      <c r="DK195" t="e">
        <f>AND(Sheet1!#REF!,"AAAAAGn223I=")</f>
        <v>#REF!</v>
      </c>
      <c r="DL195" t="e">
        <f>AND(Sheet1!#REF!,"AAAAAGn223M=")</f>
        <v>#REF!</v>
      </c>
      <c r="DM195">
        <f>IF(Sheet1!2621:2621,"AAAAAGn223Q=",0)</f>
        <v>0</v>
      </c>
      <c r="DN195" t="e">
        <f>AND(Sheet1!A2621,"AAAAAGn223U=")</f>
        <v>#VALUE!</v>
      </c>
      <c r="DO195" t="e">
        <f>AND(Sheet1!B2621,"AAAAAGn223Y=")</f>
        <v>#VALUE!</v>
      </c>
      <c r="DP195" t="e">
        <f>AND(Sheet1!C2621,"AAAAAGn223c=")</f>
        <v>#VALUE!</v>
      </c>
      <c r="DQ195" t="e">
        <f>AND(Sheet1!D2621,"AAAAAGn223g=")</f>
        <v>#VALUE!</v>
      </c>
      <c r="DR195" t="e">
        <f>AND(Sheet1!E2621,"AAAAAGn223k=")</f>
        <v>#VALUE!</v>
      </c>
      <c r="DS195" t="e">
        <f>AND(Sheet1!F2621,"AAAAAGn223o=")</f>
        <v>#VALUE!</v>
      </c>
      <c r="DT195" t="e">
        <f>AND(Sheet1!G2621,"AAAAAGn223s=")</f>
        <v>#VALUE!</v>
      </c>
      <c r="DU195" t="e">
        <f>AND(Sheet1!H2621,"AAAAAGn223w=")</f>
        <v>#VALUE!</v>
      </c>
      <c r="DV195" t="e">
        <f>AND(Sheet1!I2621,"AAAAAGn2230=")</f>
        <v>#VALUE!</v>
      </c>
      <c r="DW195" t="e">
        <f>AND(Sheet1!J2621,"AAAAAGn2234=")</f>
        <v>#VALUE!</v>
      </c>
      <c r="DX195" t="e">
        <f>AND(Sheet1!K2621,"AAAAAGn2238=")</f>
        <v>#VALUE!</v>
      </c>
      <c r="DY195" t="e">
        <f>AND(Sheet1!L2621,"AAAAAGn224A=")</f>
        <v>#VALUE!</v>
      </c>
      <c r="DZ195" t="e">
        <f>AND(Sheet1!M2621,"AAAAAGn224E=")</f>
        <v>#VALUE!</v>
      </c>
      <c r="EA195" t="e">
        <f>AND(Sheet1!N2621,"AAAAAGn224I=")</f>
        <v>#VALUE!</v>
      </c>
      <c r="EB195" t="e">
        <f>AND(Sheet1!#REF!,"AAAAAGn224M=")</f>
        <v>#REF!</v>
      </c>
      <c r="EC195" t="e">
        <f>AND(Sheet1!#REF!,"AAAAAGn224Q=")</f>
        <v>#REF!</v>
      </c>
      <c r="ED195" t="e">
        <f>AND(Sheet1!#REF!,"AAAAAGn224U=")</f>
        <v>#REF!</v>
      </c>
      <c r="EE195" t="e">
        <f>AND(Sheet1!#REF!,"AAAAAGn224Y=")</f>
        <v>#REF!</v>
      </c>
      <c r="EF195">
        <f>IF(Sheet1!2622:2622,"AAAAAGn224c=",0)</f>
        <v>0</v>
      </c>
      <c r="EG195" t="e">
        <f>AND(Sheet1!A2622,"AAAAAGn224g=")</f>
        <v>#VALUE!</v>
      </c>
      <c r="EH195" t="e">
        <f>AND(Sheet1!B2622,"AAAAAGn224k=")</f>
        <v>#VALUE!</v>
      </c>
      <c r="EI195" t="e">
        <f>AND(Sheet1!C2622,"AAAAAGn224o=")</f>
        <v>#VALUE!</v>
      </c>
      <c r="EJ195" t="e">
        <f>AND(Sheet1!D2622,"AAAAAGn224s=")</f>
        <v>#VALUE!</v>
      </c>
      <c r="EK195" t="e">
        <f>AND(Sheet1!E2622,"AAAAAGn224w=")</f>
        <v>#VALUE!</v>
      </c>
      <c r="EL195" t="e">
        <f>AND(Sheet1!F2622,"AAAAAGn2240=")</f>
        <v>#VALUE!</v>
      </c>
      <c r="EM195" t="e">
        <f>AND(Sheet1!G2622,"AAAAAGn2244=")</f>
        <v>#VALUE!</v>
      </c>
      <c r="EN195" t="e">
        <f>AND(Sheet1!H2622,"AAAAAGn2248=")</f>
        <v>#VALUE!</v>
      </c>
      <c r="EO195" t="e">
        <f>AND(Sheet1!I2622,"AAAAAGn225A=")</f>
        <v>#VALUE!</v>
      </c>
      <c r="EP195" t="e">
        <f>AND(Sheet1!J2622,"AAAAAGn225E=")</f>
        <v>#VALUE!</v>
      </c>
      <c r="EQ195" t="e">
        <f>AND(Sheet1!K2622,"AAAAAGn225I=")</f>
        <v>#VALUE!</v>
      </c>
      <c r="ER195" t="e">
        <f>AND(Sheet1!L2622,"AAAAAGn225M=")</f>
        <v>#VALUE!</v>
      </c>
      <c r="ES195" t="e">
        <f>AND(Sheet1!M2622,"AAAAAGn225Q=")</f>
        <v>#VALUE!</v>
      </c>
      <c r="ET195" t="e">
        <f>AND(Sheet1!N2622,"AAAAAGn225U=")</f>
        <v>#VALUE!</v>
      </c>
      <c r="EU195" t="e">
        <f>AND(Sheet1!#REF!,"AAAAAGn225Y=")</f>
        <v>#REF!</v>
      </c>
      <c r="EV195" t="e">
        <f>AND(Sheet1!#REF!,"AAAAAGn225c=")</f>
        <v>#REF!</v>
      </c>
      <c r="EW195" t="e">
        <f>AND(Sheet1!#REF!,"AAAAAGn225g=")</f>
        <v>#REF!</v>
      </c>
      <c r="EX195" t="e">
        <f>AND(Sheet1!#REF!,"AAAAAGn225k=")</f>
        <v>#REF!</v>
      </c>
      <c r="EY195">
        <f>IF(Sheet1!2623:2623,"AAAAAGn225o=",0)</f>
        <v>0</v>
      </c>
      <c r="EZ195" t="e">
        <f>AND(Sheet1!A2623,"AAAAAGn225s=")</f>
        <v>#VALUE!</v>
      </c>
      <c r="FA195" t="e">
        <f>AND(Sheet1!B2623,"AAAAAGn225w=")</f>
        <v>#VALUE!</v>
      </c>
      <c r="FB195" t="e">
        <f>AND(Sheet1!C2623,"AAAAAGn2250=")</f>
        <v>#VALUE!</v>
      </c>
      <c r="FC195" t="e">
        <f>AND(Sheet1!D2623,"AAAAAGn2254=")</f>
        <v>#VALUE!</v>
      </c>
      <c r="FD195" t="e">
        <f>AND(Sheet1!E2623,"AAAAAGn2258=")</f>
        <v>#VALUE!</v>
      </c>
      <c r="FE195" t="e">
        <f>AND(Sheet1!F2623,"AAAAAGn226A=")</f>
        <v>#VALUE!</v>
      </c>
      <c r="FF195" t="e">
        <f>AND(Sheet1!G2623,"AAAAAGn226E=")</f>
        <v>#VALUE!</v>
      </c>
      <c r="FG195" t="e">
        <f>AND(Sheet1!H2623,"AAAAAGn226I=")</f>
        <v>#VALUE!</v>
      </c>
      <c r="FH195" t="e">
        <f>AND(Sheet1!I2623,"AAAAAGn226M=")</f>
        <v>#VALUE!</v>
      </c>
      <c r="FI195" t="e">
        <f>AND(Sheet1!J2623,"AAAAAGn226Q=")</f>
        <v>#VALUE!</v>
      </c>
      <c r="FJ195" t="e">
        <f>AND(Sheet1!K2623,"AAAAAGn226U=")</f>
        <v>#VALUE!</v>
      </c>
      <c r="FK195" t="e">
        <f>AND(Sheet1!L2623,"AAAAAGn226Y=")</f>
        <v>#VALUE!</v>
      </c>
      <c r="FL195" t="e">
        <f>AND(Sheet1!M2623,"AAAAAGn226c=")</f>
        <v>#VALUE!</v>
      </c>
      <c r="FM195" t="e">
        <f>AND(Sheet1!N2623,"AAAAAGn226g=")</f>
        <v>#VALUE!</v>
      </c>
      <c r="FN195" t="e">
        <f>AND(Sheet1!#REF!,"AAAAAGn226k=")</f>
        <v>#REF!</v>
      </c>
      <c r="FO195" t="e">
        <f>AND(Sheet1!#REF!,"AAAAAGn226o=")</f>
        <v>#REF!</v>
      </c>
      <c r="FP195" t="e">
        <f>AND(Sheet1!#REF!,"AAAAAGn226s=")</f>
        <v>#REF!</v>
      </c>
      <c r="FQ195" t="e">
        <f>AND(Sheet1!#REF!,"AAAAAGn226w=")</f>
        <v>#REF!</v>
      </c>
      <c r="FR195">
        <f>IF(Sheet1!2624:2624,"AAAAAGn2260=",0)</f>
        <v>0</v>
      </c>
      <c r="FS195" t="e">
        <f>AND(Sheet1!A2624,"AAAAAGn2264=")</f>
        <v>#VALUE!</v>
      </c>
      <c r="FT195" t="e">
        <f>AND(Sheet1!B2624,"AAAAAGn2268=")</f>
        <v>#VALUE!</v>
      </c>
      <c r="FU195" t="e">
        <f>AND(Sheet1!C2624,"AAAAAGn227A=")</f>
        <v>#VALUE!</v>
      </c>
      <c r="FV195" t="e">
        <f>AND(Sheet1!D2624,"AAAAAGn227E=")</f>
        <v>#VALUE!</v>
      </c>
      <c r="FW195" t="e">
        <f>AND(Sheet1!E2624,"AAAAAGn227I=")</f>
        <v>#VALUE!</v>
      </c>
      <c r="FX195" t="e">
        <f>AND(Sheet1!F2624,"AAAAAGn227M=")</f>
        <v>#VALUE!</v>
      </c>
      <c r="FY195" t="e">
        <f>AND(Sheet1!G2624,"AAAAAGn227Q=")</f>
        <v>#VALUE!</v>
      </c>
      <c r="FZ195" t="e">
        <f>AND(Sheet1!H2624,"AAAAAGn227U=")</f>
        <v>#VALUE!</v>
      </c>
      <c r="GA195" t="e">
        <f>AND(Sheet1!I2624,"AAAAAGn227Y=")</f>
        <v>#VALUE!</v>
      </c>
      <c r="GB195" t="e">
        <f>AND(Sheet1!J2624,"AAAAAGn227c=")</f>
        <v>#VALUE!</v>
      </c>
      <c r="GC195" t="e">
        <f>AND(Sheet1!K2624,"AAAAAGn227g=")</f>
        <v>#VALUE!</v>
      </c>
      <c r="GD195" t="e">
        <f>AND(Sheet1!L2624,"AAAAAGn227k=")</f>
        <v>#VALUE!</v>
      </c>
      <c r="GE195" t="e">
        <f>AND(Sheet1!M2624,"AAAAAGn227o=")</f>
        <v>#VALUE!</v>
      </c>
      <c r="GF195" t="e">
        <f>AND(Sheet1!N2624,"AAAAAGn227s=")</f>
        <v>#VALUE!</v>
      </c>
      <c r="GG195" t="e">
        <f>AND(Sheet1!#REF!,"AAAAAGn227w=")</f>
        <v>#REF!</v>
      </c>
      <c r="GH195" t="e">
        <f>AND(Sheet1!#REF!,"AAAAAGn2270=")</f>
        <v>#REF!</v>
      </c>
      <c r="GI195" t="e">
        <f>AND(Sheet1!#REF!,"AAAAAGn2274=")</f>
        <v>#REF!</v>
      </c>
      <c r="GJ195" t="e">
        <f>AND(Sheet1!#REF!,"AAAAAGn2278=")</f>
        <v>#REF!</v>
      </c>
      <c r="GK195">
        <f>IF(Sheet1!2625:2625,"AAAAAGn228A=",0)</f>
        <v>0</v>
      </c>
      <c r="GL195" t="e">
        <f>AND(Sheet1!A2625,"AAAAAGn228E=")</f>
        <v>#VALUE!</v>
      </c>
      <c r="GM195" t="e">
        <f>AND(Sheet1!B2625,"AAAAAGn228I=")</f>
        <v>#VALUE!</v>
      </c>
      <c r="GN195" t="e">
        <f>AND(Sheet1!C2625,"AAAAAGn228M=")</f>
        <v>#VALUE!</v>
      </c>
      <c r="GO195" t="e">
        <f>AND(Sheet1!D2625,"AAAAAGn228Q=")</f>
        <v>#VALUE!</v>
      </c>
      <c r="GP195" t="e">
        <f>AND(Sheet1!E2625,"AAAAAGn228U=")</f>
        <v>#VALUE!</v>
      </c>
      <c r="GQ195" t="e">
        <f>AND(Sheet1!F2625,"AAAAAGn228Y=")</f>
        <v>#VALUE!</v>
      </c>
      <c r="GR195" t="e">
        <f>AND(Sheet1!G2625,"AAAAAGn228c=")</f>
        <v>#VALUE!</v>
      </c>
      <c r="GS195" t="e">
        <f>AND(Sheet1!H2625,"AAAAAGn228g=")</f>
        <v>#VALUE!</v>
      </c>
      <c r="GT195" t="e">
        <f>AND(Sheet1!I2625,"AAAAAGn228k=")</f>
        <v>#VALUE!</v>
      </c>
      <c r="GU195" t="e">
        <f>AND(Sheet1!J2625,"AAAAAGn228o=")</f>
        <v>#VALUE!</v>
      </c>
      <c r="GV195" t="e">
        <f>AND(Sheet1!K2625,"AAAAAGn228s=")</f>
        <v>#VALUE!</v>
      </c>
      <c r="GW195" t="e">
        <f>AND(Sheet1!L2625,"AAAAAGn228w=")</f>
        <v>#VALUE!</v>
      </c>
      <c r="GX195" t="e">
        <f>AND(Sheet1!M2625,"AAAAAGn2280=")</f>
        <v>#VALUE!</v>
      </c>
      <c r="GY195" t="e">
        <f>AND(Sheet1!N2625,"AAAAAGn2284=")</f>
        <v>#VALUE!</v>
      </c>
      <c r="GZ195" t="e">
        <f>AND(Sheet1!#REF!,"AAAAAGn2288=")</f>
        <v>#REF!</v>
      </c>
      <c r="HA195" t="e">
        <f>AND(Sheet1!#REF!,"AAAAAGn229A=")</f>
        <v>#REF!</v>
      </c>
      <c r="HB195" t="e">
        <f>AND(Sheet1!#REF!,"AAAAAGn229E=")</f>
        <v>#REF!</v>
      </c>
      <c r="HC195" t="e">
        <f>AND(Sheet1!#REF!,"AAAAAGn229I=")</f>
        <v>#REF!</v>
      </c>
      <c r="HD195">
        <f>IF(Sheet1!2626:2626,"AAAAAGn229M=",0)</f>
        <v>0</v>
      </c>
      <c r="HE195" t="e">
        <f>AND(Sheet1!A2626,"AAAAAGn229Q=")</f>
        <v>#VALUE!</v>
      </c>
      <c r="HF195" t="e">
        <f>AND(Sheet1!B2626,"AAAAAGn229U=")</f>
        <v>#VALUE!</v>
      </c>
      <c r="HG195" t="e">
        <f>AND(Sheet1!C2626,"AAAAAGn229Y=")</f>
        <v>#VALUE!</v>
      </c>
      <c r="HH195" t="e">
        <f>AND(Sheet1!D2626,"AAAAAGn229c=")</f>
        <v>#VALUE!</v>
      </c>
      <c r="HI195" t="e">
        <f>AND(Sheet1!E2626,"AAAAAGn229g=")</f>
        <v>#VALUE!</v>
      </c>
      <c r="HJ195" t="e">
        <f>AND(Sheet1!F2626,"AAAAAGn229k=")</f>
        <v>#VALUE!</v>
      </c>
      <c r="HK195" t="e">
        <f>AND(Sheet1!G2626,"AAAAAGn229o=")</f>
        <v>#VALUE!</v>
      </c>
      <c r="HL195" t="e">
        <f>AND(Sheet1!H2626,"AAAAAGn229s=")</f>
        <v>#VALUE!</v>
      </c>
      <c r="HM195" t="e">
        <f>AND(Sheet1!I2626,"AAAAAGn229w=")</f>
        <v>#VALUE!</v>
      </c>
      <c r="HN195" t="e">
        <f>AND(Sheet1!J2626,"AAAAAGn2290=")</f>
        <v>#VALUE!</v>
      </c>
      <c r="HO195" t="e">
        <f>AND(Sheet1!K2626,"AAAAAGn2294=")</f>
        <v>#VALUE!</v>
      </c>
      <c r="HP195" t="e">
        <f>AND(Sheet1!L2626,"AAAAAGn2298=")</f>
        <v>#VALUE!</v>
      </c>
      <c r="HQ195" t="e">
        <f>AND(Sheet1!M2626,"AAAAAGn22+A=")</f>
        <v>#VALUE!</v>
      </c>
      <c r="HR195" t="e">
        <f>AND(Sheet1!N2626,"AAAAAGn22+E=")</f>
        <v>#VALUE!</v>
      </c>
      <c r="HS195" t="e">
        <f>AND(Sheet1!#REF!,"AAAAAGn22+I=")</f>
        <v>#REF!</v>
      </c>
      <c r="HT195" t="e">
        <f>AND(Sheet1!#REF!,"AAAAAGn22+M=")</f>
        <v>#REF!</v>
      </c>
      <c r="HU195" t="e">
        <f>AND(Sheet1!#REF!,"AAAAAGn22+Q=")</f>
        <v>#REF!</v>
      </c>
      <c r="HV195" t="e">
        <f>AND(Sheet1!#REF!,"AAAAAGn22+U=")</f>
        <v>#REF!</v>
      </c>
      <c r="HW195">
        <f>IF(Sheet1!2627:2627,"AAAAAGn22+Y=",0)</f>
        <v>0</v>
      </c>
      <c r="HX195" t="e">
        <f>AND(Sheet1!A2627,"AAAAAGn22+c=")</f>
        <v>#VALUE!</v>
      </c>
      <c r="HY195" t="e">
        <f>AND(Sheet1!B2627,"AAAAAGn22+g=")</f>
        <v>#VALUE!</v>
      </c>
      <c r="HZ195" t="e">
        <f>AND(Sheet1!C2627,"AAAAAGn22+k=")</f>
        <v>#VALUE!</v>
      </c>
      <c r="IA195" t="e">
        <f>AND(Sheet1!D2627,"AAAAAGn22+o=")</f>
        <v>#VALUE!</v>
      </c>
      <c r="IB195" t="e">
        <f>AND(Sheet1!E2627,"AAAAAGn22+s=")</f>
        <v>#VALUE!</v>
      </c>
      <c r="IC195" t="e">
        <f>AND(Sheet1!F2627,"AAAAAGn22+w=")</f>
        <v>#VALUE!</v>
      </c>
      <c r="ID195" t="e">
        <f>AND(Sheet1!G2627,"AAAAAGn22+0=")</f>
        <v>#VALUE!</v>
      </c>
      <c r="IE195" t="e">
        <f>AND(Sheet1!H2627,"AAAAAGn22+4=")</f>
        <v>#VALUE!</v>
      </c>
      <c r="IF195" t="e">
        <f>AND(Sheet1!I2627,"AAAAAGn22+8=")</f>
        <v>#VALUE!</v>
      </c>
      <c r="IG195" t="e">
        <f>AND(Sheet1!J2627,"AAAAAGn22/A=")</f>
        <v>#VALUE!</v>
      </c>
      <c r="IH195" t="e">
        <f>AND(Sheet1!K2627,"AAAAAGn22/E=")</f>
        <v>#VALUE!</v>
      </c>
      <c r="II195" t="e">
        <f>AND(Sheet1!L2627,"AAAAAGn22/I=")</f>
        <v>#VALUE!</v>
      </c>
      <c r="IJ195" t="e">
        <f>AND(Sheet1!M2627,"AAAAAGn22/M=")</f>
        <v>#VALUE!</v>
      </c>
      <c r="IK195" t="e">
        <f>AND(Sheet1!N2627,"AAAAAGn22/Q=")</f>
        <v>#VALUE!</v>
      </c>
      <c r="IL195" t="e">
        <f>AND(Sheet1!#REF!,"AAAAAGn22/U=")</f>
        <v>#REF!</v>
      </c>
      <c r="IM195" t="e">
        <f>AND(Sheet1!#REF!,"AAAAAGn22/Y=")</f>
        <v>#REF!</v>
      </c>
      <c r="IN195" t="e">
        <f>AND(Sheet1!#REF!,"AAAAAGn22/c=")</f>
        <v>#REF!</v>
      </c>
      <c r="IO195" t="e">
        <f>AND(Sheet1!#REF!,"AAAAAGn22/g=")</f>
        <v>#REF!</v>
      </c>
      <c r="IP195">
        <f>IF(Sheet1!2628:2628,"AAAAAGn22/k=",0)</f>
        <v>0</v>
      </c>
      <c r="IQ195" t="e">
        <f>AND(Sheet1!A2628,"AAAAAGn22/o=")</f>
        <v>#VALUE!</v>
      </c>
      <c r="IR195" t="e">
        <f>AND(Sheet1!B2628,"AAAAAGn22/s=")</f>
        <v>#VALUE!</v>
      </c>
      <c r="IS195" t="e">
        <f>AND(Sheet1!C2628,"AAAAAGn22/w=")</f>
        <v>#VALUE!</v>
      </c>
      <c r="IT195" t="e">
        <f>AND(Sheet1!D2628,"AAAAAGn22/0=")</f>
        <v>#VALUE!</v>
      </c>
      <c r="IU195" t="e">
        <f>AND(Sheet1!E2628,"AAAAAGn22/4=")</f>
        <v>#VALUE!</v>
      </c>
      <c r="IV195" t="e">
        <f>AND(Sheet1!F2628,"AAAAAGn22/8=")</f>
        <v>#VALUE!</v>
      </c>
    </row>
    <row r="196" spans="1:256" x14ac:dyDescent="0.2">
      <c r="A196" t="e">
        <f>AND(Sheet1!G2628,"AAAAAG4E/QA=")</f>
        <v>#VALUE!</v>
      </c>
      <c r="B196" t="e">
        <f>AND(Sheet1!H2628,"AAAAAG4E/QE=")</f>
        <v>#VALUE!</v>
      </c>
      <c r="C196" t="e">
        <f>AND(Sheet1!I2628,"AAAAAG4E/QI=")</f>
        <v>#VALUE!</v>
      </c>
      <c r="D196" t="e">
        <f>AND(Sheet1!J2628,"AAAAAG4E/QM=")</f>
        <v>#VALUE!</v>
      </c>
      <c r="E196" t="e">
        <f>AND(Sheet1!K2628,"AAAAAG4E/QQ=")</f>
        <v>#VALUE!</v>
      </c>
      <c r="F196" t="e">
        <f>AND(Sheet1!L2628,"AAAAAG4E/QU=")</f>
        <v>#VALUE!</v>
      </c>
      <c r="G196" t="e">
        <f>AND(Sheet1!M2628,"AAAAAG4E/QY=")</f>
        <v>#VALUE!</v>
      </c>
      <c r="H196" t="e">
        <f>AND(Sheet1!N2628,"AAAAAG4E/Qc=")</f>
        <v>#VALUE!</v>
      </c>
      <c r="I196" t="e">
        <f>AND(Sheet1!#REF!,"AAAAAG4E/Qg=")</f>
        <v>#REF!</v>
      </c>
      <c r="J196" t="e">
        <f>AND(Sheet1!#REF!,"AAAAAG4E/Qk=")</f>
        <v>#REF!</v>
      </c>
      <c r="K196" t="e">
        <f>AND(Sheet1!#REF!,"AAAAAG4E/Qo=")</f>
        <v>#REF!</v>
      </c>
      <c r="L196" t="e">
        <f>AND(Sheet1!#REF!,"AAAAAG4E/Qs=")</f>
        <v>#REF!</v>
      </c>
      <c r="M196" t="str">
        <f>IF(Sheet1!2629:2629,"AAAAAG4E/Qw=",0)</f>
        <v>AAAAAG4E/Qw=</v>
      </c>
      <c r="N196" t="e">
        <f>AND(Sheet1!A2629,"AAAAAG4E/Q0=")</f>
        <v>#VALUE!</v>
      </c>
      <c r="O196" t="e">
        <f>AND(Sheet1!B2629,"AAAAAG4E/Q4=")</f>
        <v>#VALUE!</v>
      </c>
      <c r="P196" t="e">
        <f>AND(Sheet1!C2629,"AAAAAG4E/Q8=")</f>
        <v>#VALUE!</v>
      </c>
      <c r="Q196" t="e">
        <f>AND(Sheet1!D2629,"AAAAAG4E/RA=")</f>
        <v>#VALUE!</v>
      </c>
      <c r="R196" t="e">
        <f>AND(Sheet1!E2629,"AAAAAG4E/RE=")</f>
        <v>#VALUE!</v>
      </c>
      <c r="S196" t="e">
        <f>AND(Sheet1!F2629,"AAAAAG4E/RI=")</f>
        <v>#VALUE!</v>
      </c>
      <c r="T196" t="e">
        <f>AND(Sheet1!G2629,"AAAAAG4E/RM=")</f>
        <v>#VALUE!</v>
      </c>
      <c r="U196" t="e">
        <f>AND(Sheet1!H2629,"AAAAAG4E/RQ=")</f>
        <v>#VALUE!</v>
      </c>
      <c r="V196" t="e">
        <f>AND(Sheet1!I2629,"AAAAAG4E/RU=")</f>
        <v>#VALUE!</v>
      </c>
      <c r="W196" t="e">
        <f>AND(Sheet1!J2629,"AAAAAG4E/RY=")</f>
        <v>#VALUE!</v>
      </c>
      <c r="X196" t="e">
        <f>AND(Sheet1!K2629,"AAAAAG4E/Rc=")</f>
        <v>#VALUE!</v>
      </c>
      <c r="Y196" t="e">
        <f>AND(Sheet1!L2629,"AAAAAG4E/Rg=")</f>
        <v>#VALUE!</v>
      </c>
      <c r="Z196" t="e">
        <f>AND(Sheet1!M2629,"AAAAAG4E/Rk=")</f>
        <v>#VALUE!</v>
      </c>
      <c r="AA196" t="e">
        <f>AND(Sheet1!N2629,"AAAAAG4E/Ro=")</f>
        <v>#VALUE!</v>
      </c>
      <c r="AB196" t="e">
        <f>AND(Sheet1!#REF!,"AAAAAG4E/Rs=")</f>
        <v>#REF!</v>
      </c>
      <c r="AC196" t="e">
        <f>AND(Sheet1!#REF!,"AAAAAG4E/Rw=")</f>
        <v>#REF!</v>
      </c>
      <c r="AD196" t="e">
        <f>AND(Sheet1!#REF!,"AAAAAG4E/R0=")</f>
        <v>#REF!</v>
      </c>
      <c r="AE196" t="e">
        <f>AND(Sheet1!#REF!,"AAAAAG4E/R4=")</f>
        <v>#REF!</v>
      </c>
      <c r="AF196">
        <f>IF(Sheet1!2630:2630,"AAAAAG4E/R8=",0)</f>
        <v>0</v>
      </c>
      <c r="AG196" t="e">
        <f>AND(Sheet1!A2630,"AAAAAG4E/SA=")</f>
        <v>#VALUE!</v>
      </c>
      <c r="AH196" t="e">
        <f>AND(Sheet1!B2630,"AAAAAG4E/SE=")</f>
        <v>#VALUE!</v>
      </c>
      <c r="AI196" t="e">
        <f>AND(Sheet1!C2630,"AAAAAG4E/SI=")</f>
        <v>#VALUE!</v>
      </c>
      <c r="AJ196" t="e">
        <f>AND(Sheet1!D2630,"AAAAAG4E/SM=")</f>
        <v>#VALUE!</v>
      </c>
      <c r="AK196" t="e">
        <f>AND(Sheet1!E2630,"AAAAAG4E/SQ=")</f>
        <v>#VALUE!</v>
      </c>
      <c r="AL196" t="e">
        <f>AND(Sheet1!F2630,"AAAAAG4E/SU=")</f>
        <v>#VALUE!</v>
      </c>
      <c r="AM196" t="e">
        <f>AND(Sheet1!G2630,"AAAAAG4E/SY=")</f>
        <v>#VALUE!</v>
      </c>
      <c r="AN196" t="e">
        <f>AND(Sheet1!H2630,"AAAAAG4E/Sc=")</f>
        <v>#VALUE!</v>
      </c>
      <c r="AO196" t="e">
        <f>AND(Sheet1!I2630,"AAAAAG4E/Sg=")</f>
        <v>#VALUE!</v>
      </c>
      <c r="AP196" t="e">
        <f>AND(Sheet1!J2630,"AAAAAG4E/Sk=")</f>
        <v>#VALUE!</v>
      </c>
      <c r="AQ196" t="e">
        <f>AND(Sheet1!K2630,"AAAAAG4E/So=")</f>
        <v>#VALUE!</v>
      </c>
      <c r="AR196" t="e">
        <f>AND(Sheet1!L2630,"AAAAAG4E/Ss=")</f>
        <v>#VALUE!</v>
      </c>
      <c r="AS196" t="e">
        <f>AND(Sheet1!M2630,"AAAAAG4E/Sw=")</f>
        <v>#VALUE!</v>
      </c>
      <c r="AT196" t="e">
        <f>AND(Sheet1!N2630,"AAAAAG4E/S0=")</f>
        <v>#VALUE!</v>
      </c>
      <c r="AU196" t="e">
        <f>AND(Sheet1!#REF!,"AAAAAG4E/S4=")</f>
        <v>#REF!</v>
      </c>
      <c r="AV196" t="e">
        <f>AND(Sheet1!#REF!,"AAAAAG4E/S8=")</f>
        <v>#REF!</v>
      </c>
      <c r="AW196" t="e">
        <f>AND(Sheet1!#REF!,"AAAAAG4E/TA=")</f>
        <v>#REF!</v>
      </c>
      <c r="AX196" t="e">
        <f>AND(Sheet1!#REF!,"AAAAAG4E/TE=")</f>
        <v>#REF!</v>
      </c>
      <c r="AY196">
        <f>IF(Sheet1!2631:2631,"AAAAAG4E/TI=",0)</f>
        <v>0</v>
      </c>
      <c r="AZ196" t="e">
        <f>AND(Sheet1!A2631,"AAAAAG4E/TM=")</f>
        <v>#VALUE!</v>
      </c>
      <c r="BA196" t="e">
        <f>AND(Sheet1!B2631,"AAAAAG4E/TQ=")</f>
        <v>#VALUE!</v>
      </c>
      <c r="BB196" t="e">
        <f>AND(Sheet1!C2631,"AAAAAG4E/TU=")</f>
        <v>#VALUE!</v>
      </c>
      <c r="BC196" t="e">
        <f>AND(Sheet1!D2631,"AAAAAG4E/TY=")</f>
        <v>#VALUE!</v>
      </c>
      <c r="BD196" t="e">
        <f>AND(Sheet1!E2631,"AAAAAG4E/Tc=")</f>
        <v>#VALUE!</v>
      </c>
      <c r="BE196" t="e">
        <f>AND(Sheet1!F2631,"AAAAAG4E/Tg=")</f>
        <v>#VALUE!</v>
      </c>
      <c r="BF196" t="e">
        <f>AND(Sheet1!G2631,"AAAAAG4E/Tk=")</f>
        <v>#VALUE!</v>
      </c>
      <c r="BG196" t="e">
        <f>AND(Sheet1!H2631,"AAAAAG4E/To=")</f>
        <v>#VALUE!</v>
      </c>
      <c r="BH196" t="e">
        <f>AND(Sheet1!I2631,"AAAAAG4E/Ts=")</f>
        <v>#VALUE!</v>
      </c>
      <c r="BI196" t="e">
        <f>AND(Sheet1!J2631,"AAAAAG4E/Tw=")</f>
        <v>#VALUE!</v>
      </c>
      <c r="BJ196" t="e">
        <f>AND(Sheet1!K2631,"AAAAAG4E/T0=")</f>
        <v>#VALUE!</v>
      </c>
      <c r="BK196" t="e">
        <f>AND(Sheet1!L2631,"AAAAAG4E/T4=")</f>
        <v>#VALUE!</v>
      </c>
      <c r="BL196" t="e">
        <f>AND(Sheet1!M2631,"AAAAAG4E/T8=")</f>
        <v>#VALUE!</v>
      </c>
      <c r="BM196" t="e">
        <f>AND(Sheet1!N2631,"AAAAAG4E/UA=")</f>
        <v>#VALUE!</v>
      </c>
      <c r="BN196" t="e">
        <f>AND(Sheet1!#REF!,"AAAAAG4E/UE=")</f>
        <v>#REF!</v>
      </c>
      <c r="BO196" t="e">
        <f>AND(Sheet1!#REF!,"AAAAAG4E/UI=")</f>
        <v>#REF!</v>
      </c>
      <c r="BP196" t="e">
        <f>AND(Sheet1!#REF!,"AAAAAG4E/UM=")</f>
        <v>#REF!</v>
      </c>
      <c r="BQ196" t="e">
        <f>AND(Sheet1!#REF!,"AAAAAG4E/UQ=")</f>
        <v>#REF!</v>
      </c>
      <c r="BR196">
        <f>IF(Sheet1!2632:2632,"AAAAAG4E/UU=",0)</f>
        <v>0</v>
      </c>
      <c r="BS196" t="e">
        <f>AND(Sheet1!A2632,"AAAAAG4E/UY=")</f>
        <v>#VALUE!</v>
      </c>
      <c r="BT196" t="e">
        <f>AND(Sheet1!B2632,"AAAAAG4E/Uc=")</f>
        <v>#VALUE!</v>
      </c>
      <c r="BU196" t="e">
        <f>AND(Sheet1!C2632,"AAAAAG4E/Ug=")</f>
        <v>#VALUE!</v>
      </c>
      <c r="BV196" t="e">
        <f>AND(Sheet1!D2632,"AAAAAG4E/Uk=")</f>
        <v>#VALUE!</v>
      </c>
      <c r="BW196" t="e">
        <f>AND(Sheet1!E2632,"AAAAAG4E/Uo=")</f>
        <v>#VALUE!</v>
      </c>
      <c r="BX196" t="e">
        <f>AND(Sheet1!F2632,"AAAAAG4E/Us=")</f>
        <v>#VALUE!</v>
      </c>
      <c r="BY196" t="e">
        <f>AND(Sheet1!G2632,"AAAAAG4E/Uw=")</f>
        <v>#VALUE!</v>
      </c>
      <c r="BZ196" t="e">
        <f>AND(Sheet1!H2632,"AAAAAG4E/U0=")</f>
        <v>#VALUE!</v>
      </c>
      <c r="CA196" t="e">
        <f>AND(Sheet1!I2632,"AAAAAG4E/U4=")</f>
        <v>#VALUE!</v>
      </c>
      <c r="CB196" t="e">
        <f>AND(Sheet1!J2632,"AAAAAG4E/U8=")</f>
        <v>#VALUE!</v>
      </c>
      <c r="CC196" t="e">
        <f>AND(Sheet1!K2632,"AAAAAG4E/VA=")</f>
        <v>#VALUE!</v>
      </c>
      <c r="CD196" t="e">
        <f>AND(Sheet1!L2632,"AAAAAG4E/VE=")</f>
        <v>#VALUE!</v>
      </c>
      <c r="CE196" t="e">
        <f>AND(Sheet1!M2632,"AAAAAG4E/VI=")</f>
        <v>#VALUE!</v>
      </c>
      <c r="CF196" t="e">
        <f>AND(Sheet1!N2632,"AAAAAG4E/VM=")</f>
        <v>#VALUE!</v>
      </c>
      <c r="CG196" t="e">
        <f>AND(Sheet1!#REF!,"AAAAAG4E/VQ=")</f>
        <v>#REF!</v>
      </c>
      <c r="CH196" t="e">
        <f>AND(Sheet1!#REF!,"AAAAAG4E/VU=")</f>
        <v>#REF!</v>
      </c>
      <c r="CI196" t="e">
        <f>AND(Sheet1!#REF!,"AAAAAG4E/VY=")</f>
        <v>#REF!</v>
      </c>
      <c r="CJ196" t="e">
        <f>AND(Sheet1!#REF!,"AAAAAG4E/Vc=")</f>
        <v>#REF!</v>
      </c>
      <c r="CK196">
        <f>IF(Sheet1!2633:2633,"AAAAAG4E/Vg=",0)</f>
        <v>0</v>
      </c>
      <c r="CL196" t="e">
        <f>AND(Sheet1!A2633,"AAAAAG4E/Vk=")</f>
        <v>#VALUE!</v>
      </c>
      <c r="CM196" t="e">
        <f>AND(Sheet1!B2633,"AAAAAG4E/Vo=")</f>
        <v>#VALUE!</v>
      </c>
      <c r="CN196" t="e">
        <f>AND(Sheet1!C2633,"AAAAAG4E/Vs=")</f>
        <v>#VALUE!</v>
      </c>
      <c r="CO196" t="e">
        <f>AND(Sheet1!D2633,"AAAAAG4E/Vw=")</f>
        <v>#VALUE!</v>
      </c>
      <c r="CP196" t="e">
        <f>AND(Sheet1!E2633,"AAAAAG4E/V0=")</f>
        <v>#VALUE!</v>
      </c>
      <c r="CQ196" t="e">
        <f>AND(Sheet1!F2633,"AAAAAG4E/V4=")</f>
        <v>#VALUE!</v>
      </c>
      <c r="CR196" t="e">
        <f>AND(Sheet1!G2633,"AAAAAG4E/V8=")</f>
        <v>#VALUE!</v>
      </c>
      <c r="CS196" t="e">
        <f>AND(Sheet1!H2633,"AAAAAG4E/WA=")</f>
        <v>#VALUE!</v>
      </c>
      <c r="CT196" t="e">
        <f>AND(Sheet1!I2633,"AAAAAG4E/WE=")</f>
        <v>#VALUE!</v>
      </c>
      <c r="CU196" t="e">
        <f>AND(Sheet1!J2633,"AAAAAG4E/WI=")</f>
        <v>#VALUE!</v>
      </c>
      <c r="CV196" t="e">
        <f>AND(Sheet1!K2633,"AAAAAG4E/WM=")</f>
        <v>#VALUE!</v>
      </c>
      <c r="CW196" t="e">
        <f>AND(Sheet1!L2633,"AAAAAG4E/WQ=")</f>
        <v>#VALUE!</v>
      </c>
      <c r="CX196" t="e">
        <f>AND(Sheet1!M2633,"AAAAAG4E/WU=")</f>
        <v>#VALUE!</v>
      </c>
      <c r="CY196" t="e">
        <f>AND(Sheet1!N2633,"AAAAAG4E/WY=")</f>
        <v>#VALUE!</v>
      </c>
      <c r="CZ196" t="e">
        <f>AND(Sheet1!#REF!,"AAAAAG4E/Wc=")</f>
        <v>#REF!</v>
      </c>
      <c r="DA196" t="e">
        <f>AND(Sheet1!#REF!,"AAAAAG4E/Wg=")</f>
        <v>#REF!</v>
      </c>
      <c r="DB196" t="e">
        <f>AND(Sheet1!#REF!,"AAAAAG4E/Wk=")</f>
        <v>#REF!</v>
      </c>
      <c r="DC196" t="e">
        <f>AND(Sheet1!#REF!,"AAAAAG4E/Wo=")</f>
        <v>#REF!</v>
      </c>
      <c r="DD196">
        <f>IF(Sheet1!2634:2634,"AAAAAG4E/Ws=",0)</f>
        <v>0</v>
      </c>
      <c r="DE196" t="e">
        <f>AND(Sheet1!A2634,"AAAAAG4E/Ww=")</f>
        <v>#VALUE!</v>
      </c>
      <c r="DF196" t="e">
        <f>AND(Sheet1!B2634,"AAAAAG4E/W0=")</f>
        <v>#VALUE!</v>
      </c>
      <c r="DG196" t="e">
        <f>AND(Sheet1!C2634,"AAAAAG4E/W4=")</f>
        <v>#VALUE!</v>
      </c>
      <c r="DH196" t="e">
        <f>AND(Sheet1!D2634,"AAAAAG4E/W8=")</f>
        <v>#VALUE!</v>
      </c>
      <c r="DI196" t="e">
        <f>AND(Sheet1!E2634,"AAAAAG4E/XA=")</f>
        <v>#VALUE!</v>
      </c>
      <c r="DJ196" t="e">
        <f>AND(Sheet1!F2634,"AAAAAG4E/XE=")</f>
        <v>#VALUE!</v>
      </c>
      <c r="DK196" t="e">
        <f>AND(Sheet1!G2634,"AAAAAG4E/XI=")</f>
        <v>#VALUE!</v>
      </c>
      <c r="DL196" t="e">
        <f>AND(Sheet1!H2634,"AAAAAG4E/XM=")</f>
        <v>#VALUE!</v>
      </c>
      <c r="DM196" t="e">
        <f>AND(Sheet1!I2634,"AAAAAG4E/XQ=")</f>
        <v>#VALUE!</v>
      </c>
      <c r="DN196" t="e">
        <f>AND(Sheet1!J2634,"AAAAAG4E/XU=")</f>
        <v>#VALUE!</v>
      </c>
      <c r="DO196" t="e">
        <f>AND(Sheet1!K2634,"AAAAAG4E/XY=")</f>
        <v>#VALUE!</v>
      </c>
      <c r="DP196" t="e">
        <f>AND(Sheet1!L2634,"AAAAAG4E/Xc=")</f>
        <v>#VALUE!</v>
      </c>
      <c r="DQ196" t="e">
        <f>AND(Sheet1!M2634,"AAAAAG4E/Xg=")</f>
        <v>#VALUE!</v>
      </c>
      <c r="DR196" t="e">
        <f>AND(Sheet1!N2634,"AAAAAG4E/Xk=")</f>
        <v>#VALUE!</v>
      </c>
      <c r="DS196" t="e">
        <f>AND(Sheet1!#REF!,"AAAAAG4E/Xo=")</f>
        <v>#REF!</v>
      </c>
      <c r="DT196" t="e">
        <f>AND(Sheet1!#REF!,"AAAAAG4E/Xs=")</f>
        <v>#REF!</v>
      </c>
      <c r="DU196" t="e">
        <f>AND(Sheet1!#REF!,"AAAAAG4E/Xw=")</f>
        <v>#REF!</v>
      </c>
      <c r="DV196" t="e">
        <f>AND(Sheet1!#REF!,"AAAAAG4E/X0=")</f>
        <v>#REF!</v>
      </c>
      <c r="DW196">
        <f>IF(Sheet1!2635:2635,"AAAAAG4E/X4=",0)</f>
        <v>0</v>
      </c>
      <c r="DX196" t="e">
        <f>AND(Sheet1!A2635,"AAAAAG4E/X8=")</f>
        <v>#VALUE!</v>
      </c>
      <c r="DY196" t="e">
        <f>AND(Sheet1!B2635,"AAAAAG4E/YA=")</f>
        <v>#VALUE!</v>
      </c>
      <c r="DZ196" t="e">
        <f>AND(Sheet1!C2635,"AAAAAG4E/YE=")</f>
        <v>#VALUE!</v>
      </c>
      <c r="EA196" t="e">
        <f>AND(Sheet1!D2635,"AAAAAG4E/YI=")</f>
        <v>#VALUE!</v>
      </c>
      <c r="EB196" t="e">
        <f>AND(Sheet1!E2635,"AAAAAG4E/YM=")</f>
        <v>#VALUE!</v>
      </c>
      <c r="EC196" t="e">
        <f>AND(Sheet1!F2635,"AAAAAG4E/YQ=")</f>
        <v>#VALUE!</v>
      </c>
      <c r="ED196" t="e">
        <f>AND(Sheet1!G2635,"AAAAAG4E/YU=")</f>
        <v>#VALUE!</v>
      </c>
      <c r="EE196" t="e">
        <f>AND(Sheet1!H2635,"AAAAAG4E/YY=")</f>
        <v>#VALUE!</v>
      </c>
      <c r="EF196" t="e">
        <f>AND(Sheet1!I2635,"AAAAAG4E/Yc=")</f>
        <v>#VALUE!</v>
      </c>
      <c r="EG196" t="e">
        <f>AND(Sheet1!J2635,"AAAAAG4E/Yg=")</f>
        <v>#VALUE!</v>
      </c>
      <c r="EH196" t="e">
        <f>AND(Sheet1!K2635,"AAAAAG4E/Yk=")</f>
        <v>#VALUE!</v>
      </c>
      <c r="EI196" t="e">
        <f>AND(Sheet1!L2635,"AAAAAG4E/Yo=")</f>
        <v>#VALUE!</v>
      </c>
      <c r="EJ196" t="e">
        <f>AND(Sheet1!M2635,"AAAAAG4E/Ys=")</f>
        <v>#VALUE!</v>
      </c>
      <c r="EK196" t="e">
        <f>AND(Sheet1!N2635,"AAAAAG4E/Yw=")</f>
        <v>#VALUE!</v>
      </c>
      <c r="EL196" t="e">
        <f>AND(Sheet1!#REF!,"AAAAAG4E/Y0=")</f>
        <v>#REF!</v>
      </c>
      <c r="EM196" t="e">
        <f>AND(Sheet1!#REF!,"AAAAAG4E/Y4=")</f>
        <v>#REF!</v>
      </c>
      <c r="EN196" t="e">
        <f>AND(Sheet1!#REF!,"AAAAAG4E/Y8=")</f>
        <v>#REF!</v>
      </c>
      <c r="EO196" t="e">
        <f>AND(Sheet1!#REF!,"AAAAAG4E/ZA=")</f>
        <v>#REF!</v>
      </c>
      <c r="EP196">
        <f>IF(Sheet1!2636:2636,"AAAAAG4E/ZE=",0)</f>
        <v>0</v>
      </c>
      <c r="EQ196" t="e">
        <f>AND(Sheet1!A2636,"AAAAAG4E/ZI=")</f>
        <v>#VALUE!</v>
      </c>
      <c r="ER196" t="e">
        <f>AND(Sheet1!B2636,"AAAAAG4E/ZM=")</f>
        <v>#VALUE!</v>
      </c>
      <c r="ES196" t="e">
        <f>AND(Sheet1!C2636,"AAAAAG4E/ZQ=")</f>
        <v>#VALUE!</v>
      </c>
      <c r="ET196" t="e">
        <f>AND(Sheet1!D2636,"AAAAAG4E/ZU=")</f>
        <v>#VALUE!</v>
      </c>
      <c r="EU196" t="e">
        <f>AND(Sheet1!E2636,"AAAAAG4E/ZY=")</f>
        <v>#VALUE!</v>
      </c>
      <c r="EV196" t="e">
        <f>AND(Sheet1!F2636,"AAAAAG4E/Zc=")</f>
        <v>#VALUE!</v>
      </c>
      <c r="EW196" t="e">
        <f>AND(Sheet1!G2636,"AAAAAG4E/Zg=")</f>
        <v>#VALUE!</v>
      </c>
      <c r="EX196" t="e">
        <f>AND(Sheet1!H2636,"AAAAAG4E/Zk=")</f>
        <v>#VALUE!</v>
      </c>
      <c r="EY196" t="e">
        <f>AND(Sheet1!I2636,"AAAAAG4E/Zo=")</f>
        <v>#VALUE!</v>
      </c>
      <c r="EZ196" t="e">
        <f>AND(Sheet1!J2636,"AAAAAG4E/Zs=")</f>
        <v>#VALUE!</v>
      </c>
      <c r="FA196" t="e">
        <f>AND(Sheet1!K2636,"AAAAAG4E/Zw=")</f>
        <v>#VALUE!</v>
      </c>
      <c r="FB196" t="e">
        <f>AND(Sheet1!L2636,"AAAAAG4E/Z0=")</f>
        <v>#VALUE!</v>
      </c>
      <c r="FC196" t="e">
        <f>AND(Sheet1!M2636,"AAAAAG4E/Z4=")</f>
        <v>#VALUE!</v>
      </c>
      <c r="FD196" t="e">
        <f>AND(Sheet1!N2636,"AAAAAG4E/Z8=")</f>
        <v>#VALUE!</v>
      </c>
      <c r="FE196" t="e">
        <f>AND(Sheet1!#REF!,"AAAAAG4E/aA=")</f>
        <v>#REF!</v>
      </c>
      <c r="FF196" t="e">
        <f>AND(Sheet1!#REF!,"AAAAAG4E/aE=")</f>
        <v>#REF!</v>
      </c>
      <c r="FG196" t="e">
        <f>AND(Sheet1!#REF!,"AAAAAG4E/aI=")</f>
        <v>#REF!</v>
      </c>
      <c r="FH196" t="e">
        <f>AND(Sheet1!#REF!,"AAAAAG4E/aM=")</f>
        <v>#REF!</v>
      </c>
      <c r="FI196">
        <f>IF(Sheet1!2637:2637,"AAAAAG4E/aQ=",0)</f>
        <v>0</v>
      </c>
      <c r="FJ196" t="e">
        <f>AND(Sheet1!A2637,"AAAAAG4E/aU=")</f>
        <v>#VALUE!</v>
      </c>
      <c r="FK196" t="e">
        <f>AND(Sheet1!B2637,"AAAAAG4E/aY=")</f>
        <v>#VALUE!</v>
      </c>
      <c r="FL196" t="e">
        <f>AND(Sheet1!C2637,"AAAAAG4E/ac=")</f>
        <v>#VALUE!</v>
      </c>
      <c r="FM196" t="e">
        <f>AND(Sheet1!D2637,"AAAAAG4E/ag=")</f>
        <v>#VALUE!</v>
      </c>
      <c r="FN196" t="e">
        <f>AND(Sheet1!E2637,"AAAAAG4E/ak=")</f>
        <v>#VALUE!</v>
      </c>
      <c r="FO196" t="e">
        <f>AND(Sheet1!F2637,"AAAAAG4E/ao=")</f>
        <v>#VALUE!</v>
      </c>
      <c r="FP196" t="e">
        <f>AND(Sheet1!G2637,"AAAAAG4E/as=")</f>
        <v>#VALUE!</v>
      </c>
      <c r="FQ196" t="e">
        <f>AND(Sheet1!H2637,"AAAAAG4E/aw=")</f>
        <v>#VALUE!</v>
      </c>
      <c r="FR196" t="e">
        <f>AND(Sheet1!I2637,"AAAAAG4E/a0=")</f>
        <v>#VALUE!</v>
      </c>
      <c r="FS196" t="e">
        <f>AND(Sheet1!J2637,"AAAAAG4E/a4=")</f>
        <v>#VALUE!</v>
      </c>
      <c r="FT196" t="e">
        <f>AND(Sheet1!K2637,"AAAAAG4E/a8=")</f>
        <v>#VALUE!</v>
      </c>
      <c r="FU196" t="e">
        <f>AND(Sheet1!L2637,"AAAAAG4E/bA=")</f>
        <v>#VALUE!</v>
      </c>
      <c r="FV196" t="e">
        <f>AND(Sheet1!M2637,"AAAAAG4E/bE=")</f>
        <v>#VALUE!</v>
      </c>
      <c r="FW196" t="e">
        <f>AND(Sheet1!N2637,"AAAAAG4E/bI=")</f>
        <v>#VALUE!</v>
      </c>
      <c r="FX196" t="e">
        <f>AND(Sheet1!#REF!,"AAAAAG4E/bM=")</f>
        <v>#REF!</v>
      </c>
      <c r="FY196" t="e">
        <f>AND(Sheet1!#REF!,"AAAAAG4E/bQ=")</f>
        <v>#REF!</v>
      </c>
      <c r="FZ196" t="e">
        <f>AND(Sheet1!#REF!,"AAAAAG4E/bU=")</f>
        <v>#REF!</v>
      </c>
      <c r="GA196" t="e">
        <f>AND(Sheet1!#REF!,"AAAAAG4E/bY=")</f>
        <v>#REF!</v>
      </c>
      <c r="GB196">
        <f>IF(Sheet1!2638:2638,"AAAAAG4E/bc=",0)</f>
        <v>0</v>
      </c>
      <c r="GC196" t="e">
        <f>AND(Sheet1!A2638,"AAAAAG4E/bg=")</f>
        <v>#VALUE!</v>
      </c>
      <c r="GD196" t="e">
        <f>AND(Sheet1!B2638,"AAAAAG4E/bk=")</f>
        <v>#VALUE!</v>
      </c>
      <c r="GE196" t="e">
        <f>AND(Sheet1!C2638,"AAAAAG4E/bo=")</f>
        <v>#VALUE!</v>
      </c>
      <c r="GF196" t="e">
        <f>AND(Sheet1!D2638,"AAAAAG4E/bs=")</f>
        <v>#VALUE!</v>
      </c>
      <c r="GG196" t="e">
        <f>AND(Sheet1!E2638,"AAAAAG4E/bw=")</f>
        <v>#VALUE!</v>
      </c>
      <c r="GH196" t="e">
        <f>AND(Sheet1!F2638,"AAAAAG4E/b0=")</f>
        <v>#VALUE!</v>
      </c>
      <c r="GI196" t="e">
        <f>AND(Sheet1!G2638,"AAAAAG4E/b4=")</f>
        <v>#VALUE!</v>
      </c>
      <c r="GJ196" t="e">
        <f>AND(Sheet1!H2638,"AAAAAG4E/b8=")</f>
        <v>#VALUE!</v>
      </c>
      <c r="GK196" t="e">
        <f>AND(Sheet1!I2638,"AAAAAG4E/cA=")</f>
        <v>#VALUE!</v>
      </c>
      <c r="GL196" t="e">
        <f>AND(Sheet1!J2638,"AAAAAG4E/cE=")</f>
        <v>#VALUE!</v>
      </c>
      <c r="GM196" t="e">
        <f>AND(Sheet1!K2638,"AAAAAG4E/cI=")</f>
        <v>#VALUE!</v>
      </c>
      <c r="GN196" t="e">
        <f>AND(Sheet1!L2638,"AAAAAG4E/cM=")</f>
        <v>#VALUE!</v>
      </c>
      <c r="GO196" t="e">
        <f>AND(Sheet1!M2638,"AAAAAG4E/cQ=")</f>
        <v>#VALUE!</v>
      </c>
      <c r="GP196" t="e">
        <f>AND(Sheet1!N2638,"AAAAAG4E/cU=")</f>
        <v>#VALUE!</v>
      </c>
      <c r="GQ196" t="e">
        <f>AND(Sheet1!#REF!,"AAAAAG4E/cY=")</f>
        <v>#REF!</v>
      </c>
      <c r="GR196" t="e">
        <f>AND(Sheet1!#REF!,"AAAAAG4E/cc=")</f>
        <v>#REF!</v>
      </c>
      <c r="GS196" t="e">
        <f>AND(Sheet1!#REF!,"AAAAAG4E/cg=")</f>
        <v>#REF!</v>
      </c>
      <c r="GT196" t="e">
        <f>AND(Sheet1!#REF!,"AAAAAG4E/ck=")</f>
        <v>#REF!</v>
      </c>
      <c r="GU196">
        <f>IF(Sheet1!2639:2639,"AAAAAG4E/co=",0)</f>
        <v>0</v>
      </c>
      <c r="GV196" t="e">
        <f>AND(Sheet1!A2639,"AAAAAG4E/cs=")</f>
        <v>#VALUE!</v>
      </c>
      <c r="GW196" t="e">
        <f>AND(Sheet1!B2639,"AAAAAG4E/cw=")</f>
        <v>#VALUE!</v>
      </c>
      <c r="GX196" t="e">
        <f>AND(Sheet1!C2639,"AAAAAG4E/c0=")</f>
        <v>#VALUE!</v>
      </c>
      <c r="GY196" t="e">
        <f>AND(Sheet1!D2639,"AAAAAG4E/c4=")</f>
        <v>#VALUE!</v>
      </c>
      <c r="GZ196" t="e">
        <f>AND(Sheet1!E2639,"AAAAAG4E/c8=")</f>
        <v>#VALUE!</v>
      </c>
      <c r="HA196" t="e">
        <f>AND(Sheet1!F2639,"AAAAAG4E/dA=")</f>
        <v>#VALUE!</v>
      </c>
      <c r="HB196" t="e">
        <f>AND(Sheet1!G2639,"AAAAAG4E/dE=")</f>
        <v>#VALUE!</v>
      </c>
      <c r="HC196" t="e">
        <f>AND(Sheet1!H2639,"AAAAAG4E/dI=")</f>
        <v>#VALUE!</v>
      </c>
      <c r="HD196" t="e">
        <f>AND(Sheet1!I2639,"AAAAAG4E/dM=")</f>
        <v>#VALUE!</v>
      </c>
      <c r="HE196" t="e">
        <f>AND(Sheet1!J2639,"AAAAAG4E/dQ=")</f>
        <v>#VALUE!</v>
      </c>
      <c r="HF196" t="e">
        <f>AND(Sheet1!K2639,"AAAAAG4E/dU=")</f>
        <v>#VALUE!</v>
      </c>
      <c r="HG196" t="e">
        <f>AND(Sheet1!L2639,"AAAAAG4E/dY=")</f>
        <v>#VALUE!</v>
      </c>
      <c r="HH196" t="e">
        <f>AND(Sheet1!M2639,"AAAAAG4E/dc=")</f>
        <v>#VALUE!</v>
      </c>
      <c r="HI196" t="e">
        <f>AND(Sheet1!N2639,"AAAAAG4E/dg=")</f>
        <v>#VALUE!</v>
      </c>
      <c r="HJ196" t="e">
        <f>AND(Sheet1!#REF!,"AAAAAG4E/dk=")</f>
        <v>#REF!</v>
      </c>
      <c r="HK196" t="e">
        <f>AND(Sheet1!#REF!,"AAAAAG4E/do=")</f>
        <v>#REF!</v>
      </c>
      <c r="HL196" t="e">
        <f>AND(Sheet1!#REF!,"AAAAAG4E/ds=")</f>
        <v>#REF!</v>
      </c>
      <c r="HM196" t="e">
        <f>AND(Sheet1!#REF!,"AAAAAG4E/dw=")</f>
        <v>#REF!</v>
      </c>
      <c r="HN196">
        <f>IF(Sheet1!2640:2640,"AAAAAG4E/d0=",0)</f>
        <v>0</v>
      </c>
      <c r="HO196" t="e">
        <f>AND(Sheet1!A2640,"AAAAAG4E/d4=")</f>
        <v>#VALUE!</v>
      </c>
      <c r="HP196" t="e">
        <f>AND(Sheet1!B2640,"AAAAAG4E/d8=")</f>
        <v>#VALUE!</v>
      </c>
      <c r="HQ196" t="e">
        <f>AND(Sheet1!C2640,"AAAAAG4E/eA=")</f>
        <v>#VALUE!</v>
      </c>
      <c r="HR196" t="e">
        <f>AND(Sheet1!D2640,"AAAAAG4E/eE=")</f>
        <v>#VALUE!</v>
      </c>
      <c r="HS196" t="e">
        <f>AND(Sheet1!E2640,"AAAAAG4E/eI=")</f>
        <v>#VALUE!</v>
      </c>
      <c r="HT196" t="e">
        <f>AND(Sheet1!F2640,"AAAAAG4E/eM=")</f>
        <v>#VALUE!</v>
      </c>
      <c r="HU196" t="e">
        <f>AND(Sheet1!G2640,"AAAAAG4E/eQ=")</f>
        <v>#VALUE!</v>
      </c>
      <c r="HV196" t="e">
        <f>AND(Sheet1!H2640,"AAAAAG4E/eU=")</f>
        <v>#VALUE!</v>
      </c>
      <c r="HW196" t="e">
        <f>AND(Sheet1!I2640,"AAAAAG4E/eY=")</f>
        <v>#VALUE!</v>
      </c>
      <c r="HX196" t="e">
        <f>AND(Sheet1!J2640,"AAAAAG4E/ec=")</f>
        <v>#VALUE!</v>
      </c>
      <c r="HY196" t="e">
        <f>AND(Sheet1!K2640,"AAAAAG4E/eg=")</f>
        <v>#VALUE!</v>
      </c>
      <c r="HZ196" t="e">
        <f>AND(Sheet1!L2640,"AAAAAG4E/ek=")</f>
        <v>#VALUE!</v>
      </c>
      <c r="IA196" t="e">
        <f>AND(Sheet1!M2640,"AAAAAG4E/eo=")</f>
        <v>#VALUE!</v>
      </c>
      <c r="IB196" t="e">
        <f>AND(Sheet1!N2640,"AAAAAG4E/es=")</f>
        <v>#VALUE!</v>
      </c>
      <c r="IC196" t="e">
        <f>AND(Sheet1!#REF!,"AAAAAG4E/ew=")</f>
        <v>#REF!</v>
      </c>
      <c r="ID196" t="e">
        <f>AND(Sheet1!#REF!,"AAAAAG4E/e0=")</f>
        <v>#REF!</v>
      </c>
      <c r="IE196" t="e">
        <f>AND(Sheet1!#REF!,"AAAAAG4E/e4=")</f>
        <v>#REF!</v>
      </c>
      <c r="IF196" t="e">
        <f>AND(Sheet1!#REF!,"AAAAAG4E/e8=")</f>
        <v>#REF!</v>
      </c>
      <c r="IG196">
        <f>IF(Sheet1!2641:2641,"AAAAAG4E/fA=",0)</f>
        <v>0</v>
      </c>
      <c r="IH196" t="e">
        <f>AND(Sheet1!A2641,"AAAAAG4E/fE=")</f>
        <v>#VALUE!</v>
      </c>
      <c r="II196" t="e">
        <f>AND(Sheet1!B2641,"AAAAAG4E/fI=")</f>
        <v>#VALUE!</v>
      </c>
      <c r="IJ196" t="e">
        <f>AND(Sheet1!C2641,"AAAAAG4E/fM=")</f>
        <v>#VALUE!</v>
      </c>
      <c r="IK196" t="e">
        <f>AND(Sheet1!D2641,"AAAAAG4E/fQ=")</f>
        <v>#VALUE!</v>
      </c>
      <c r="IL196" t="e">
        <f>AND(Sheet1!E2641,"AAAAAG4E/fU=")</f>
        <v>#VALUE!</v>
      </c>
      <c r="IM196" t="e">
        <f>AND(Sheet1!F2641,"AAAAAG4E/fY=")</f>
        <v>#VALUE!</v>
      </c>
      <c r="IN196" t="e">
        <f>AND(Sheet1!G2641,"AAAAAG4E/fc=")</f>
        <v>#VALUE!</v>
      </c>
      <c r="IO196" t="e">
        <f>AND(Sheet1!H2641,"AAAAAG4E/fg=")</f>
        <v>#VALUE!</v>
      </c>
      <c r="IP196" t="e">
        <f>AND(Sheet1!I2641,"AAAAAG4E/fk=")</f>
        <v>#VALUE!</v>
      </c>
      <c r="IQ196" t="e">
        <f>AND(Sheet1!J2641,"AAAAAG4E/fo=")</f>
        <v>#VALUE!</v>
      </c>
      <c r="IR196" t="e">
        <f>AND(Sheet1!K2641,"AAAAAG4E/fs=")</f>
        <v>#VALUE!</v>
      </c>
      <c r="IS196" t="e">
        <f>AND(Sheet1!L2641,"AAAAAG4E/fw=")</f>
        <v>#VALUE!</v>
      </c>
      <c r="IT196" t="e">
        <f>AND(Sheet1!M2641,"AAAAAG4E/f0=")</f>
        <v>#VALUE!</v>
      </c>
      <c r="IU196" t="e">
        <f>AND(Sheet1!N2641,"AAAAAG4E/f4=")</f>
        <v>#VALUE!</v>
      </c>
      <c r="IV196" t="e">
        <f>AND(Sheet1!#REF!,"AAAAAG4E/f8=")</f>
        <v>#REF!</v>
      </c>
    </row>
    <row r="197" spans="1:256" x14ac:dyDescent="0.2">
      <c r="A197" t="e">
        <f>AND(Sheet1!#REF!,"AAAAAG9evwA=")</f>
        <v>#REF!</v>
      </c>
      <c r="B197" t="e">
        <f>AND(Sheet1!#REF!,"AAAAAG9evwE=")</f>
        <v>#REF!</v>
      </c>
      <c r="C197" t="e">
        <f>AND(Sheet1!#REF!,"AAAAAG9evwI=")</f>
        <v>#REF!</v>
      </c>
      <c r="D197" t="e">
        <f>IF(Sheet1!2642:2642,"AAAAAG9evwM=",0)</f>
        <v>#VALUE!</v>
      </c>
      <c r="E197" t="e">
        <f>AND(Sheet1!A2642,"AAAAAG9evwQ=")</f>
        <v>#VALUE!</v>
      </c>
      <c r="F197" t="e">
        <f>AND(Sheet1!B2642,"AAAAAG9evwU=")</f>
        <v>#VALUE!</v>
      </c>
      <c r="G197" t="e">
        <f>AND(Sheet1!C2642,"AAAAAG9evwY=")</f>
        <v>#VALUE!</v>
      </c>
      <c r="H197" t="e">
        <f>AND(Sheet1!D2642,"AAAAAG9evwc=")</f>
        <v>#VALUE!</v>
      </c>
      <c r="I197" t="e">
        <f>AND(Sheet1!E2642,"AAAAAG9evwg=")</f>
        <v>#VALUE!</v>
      </c>
      <c r="J197" t="e">
        <f>AND(Sheet1!F2642,"AAAAAG9evwk=")</f>
        <v>#VALUE!</v>
      </c>
      <c r="K197" t="e">
        <f>AND(Sheet1!G2642,"AAAAAG9evwo=")</f>
        <v>#VALUE!</v>
      </c>
      <c r="L197" t="e">
        <f>AND(Sheet1!H2642,"AAAAAG9evws=")</f>
        <v>#VALUE!</v>
      </c>
      <c r="M197" t="e">
        <f>AND(Sheet1!I2642,"AAAAAG9evww=")</f>
        <v>#VALUE!</v>
      </c>
      <c r="N197" t="e">
        <f>AND(Sheet1!J2642,"AAAAAG9evw0=")</f>
        <v>#VALUE!</v>
      </c>
      <c r="O197" t="e">
        <f>AND(Sheet1!K2642,"AAAAAG9evw4=")</f>
        <v>#VALUE!</v>
      </c>
      <c r="P197" t="e">
        <f>AND(Sheet1!L2642,"AAAAAG9evw8=")</f>
        <v>#VALUE!</v>
      </c>
      <c r="Q197" t="e">
        <f>AND(Sheet1!M2642,"AAAAAG9evxA=")</f>
        <v>#VALUE!</v>
      </c>
      <c r="R197" t="e">
        <f>AND(Sheet1!N2642,"AAAAAG9evxE=")</f>
        <v>#VALUE!</v>
      </c>
      <c r="S197" t="e">
        <f>AND(Sheet1!#REF!,"AAAAAG9evxI=")</f>
        <v>#REF!</v>
      </c>
      <c r="T197" t="e">
        <f>AND(Sheet1!#REF!,"AAAAAG9evxM=")</f>
        <v>#REF!</v>
      </c>
      <c r="U197" t="e">
        <f>AND(Sheet1!#REF!,"AAAAAG9evxQ=")</f>
        <v>#REF!</v>
      </c>
      <c r="V197" t="e">
        <f>AND(Sheet1!#REF!,"AAAAAG9evxU=")</f>
        <v>#REF!</v>
      </c>
      <c r="W197">
        <f>IF(Sheet1!2643:2643,"AAAAAG9evxY=",0)</f>
        <v>0</v>
      </c>
      <c r="X197" t="e">
        <f>AND(Sheet1!A2643,"AAAAAG9evxc=")</f>
        <v>#VALUE!</v>
      </c>
      <c r="Y197" t="e">
        <f>AND(Sheet1!B2643,"AAAAAG9evxg=")</f>
        <v>#VALUE!</v>
      </c>
      <c r="Z197" t="e">
        <f>AND(Sheet1!C2643,"AAAAAG9evxk=")</f>
        <v>#VALUE!</v>
      </c>
      <c r="AA197" t="e">
        <f>AND(Sheet1!D2643,"AAAAAG9evxo=")</f>
        <v>#VALUE!</v>
      </c>
      <c r="AB197" t="e">
        <f>AND(Sheet1!E2643,"AAAAAG9evxs=")</f>
        <v>#VALUE!</v>
      </c>
      <c r="AC197" t="e">
        <f>AND(Sheet1!F2643,"AAAAAG9evxw=")</f>
        <v>#VALUE!</v>
      </c>
      <c r="AD197" t="e">
        <f>AND(Sheet1!G2643,"AAAAAG9evx0=")</f>
        <v>#VALUE!</v>
      </c>
      <c r="AE197" t="e">
        <f>AND(Sheet1!H2643,"AAAAAG9evx4=")</f>
        <v>#VALUE!</v>
      </c>
      <c r="AF197" t="e">
        <f>AND(Sheet1!I2643,"AAAAAG9evx8=")</f>
        <v>#VALUE!</v>
      </c>
      <c r="AG197" t="e">
        <f>AND(Sheet1!J2643,"AAAAAG9evyA=")</f>
        <v>#VALUE!</v>
      </c>
      <c r="AH197" t="e">
        <f>AND(Sheet1!K2643,"AAAAAG9evyE=")</f>
        <v>#VALUE!</v>
      </c>
      <c r="AI197" t="e">
        <f>AND(Sheet1!L2643,"AAAAAG9evyI=")</f>
        <v>#VALUE!</v>
      </c>
      <c r="AJ197" t="e">
        <f>AND(Sheet1!M2643,"AAAAAG9evyM=")</f>
        <v>#VALUE!</v>
      </c>
      <c r="AK197" t="e">
        <f>AND(Sheet1!N2643,"AAAAAG9evyQ=")</f>
        <v>#VALUE!</v>
      </c>
      <c r="AL197" t="e">
        <f>AND(Sheet1!#REF!,"AAAAAG9evyU=")</f>
        <v>#REF!</v>
      </c>
      <c r="AM197" t="e">
        <f>AND(Sheet1!#REF!,"AAAAAG9evyY=")</f>
        <v>#REF!</v>
      </c>
      <c r="AN197" t="e">
        <f>AND(Sheet1!#REF!,"AAAAAG9evyc=")</f>
        <v>#REF!</v>
      </c>
      <c r="AO197" t="e">
        <f>AND(Sheet1!#REF!,"AAAAAG9evyg=")</f>
        <v>#REF!</v>
      </c>
      <c r="AP197">
        <f>IF(Sheet1!2644:2644,"AAAAAG9evyk=",0)</f>
        <v>0</v>
      </c>
      <c r="AQ197" t="e">
        <f>AND(Sheet1!A2644,"AAAAAG9evyo=")</f>
        <v>#VALUE!</v>
      </c>
      <c r="AR197" t="e">
        <f>AND(Sheet1!B2644,"AAAAAG9evys=")</f>
        <v>#VALUE!</v>
      </c>
      <c r="AS197" t="e">
        <f>AND(Sheet1!C2644,"AAAAAG9evyw=")</f>
        <v>#VALUE!</v>
      </c>
      <c r="AT197" t="e">
        <f>AND(Sheet1!D2644,"AAAAAG9evy0=")</f>
        <v>#VALUE!</v>
      </c>
      <c r="AU197" t="e">
        <f>AND(Sheet1!E2644,"AAAAAG9evy4=")</f>
        <v>#VALUE!</v>
      </c>
      <c r="AV197" t="e">
        <f>AND(Sheet1!F2644,"AAAAAG9evy8=")</f>
        <v>#VALUE!</v>
      </c>
      <c r="AW197" t="e">
        <f>AND(Sheet1!G2644,"AAAAAG9evzA=")</f>
        <v>#VALUE!</v>
      </c>
      <c r="AX197" t="e">
        <f>AND(Sheet1!H2644,"AAAAAG9evzE=")</f>
        <v>#VALUE!</v>
      </c>
      <c r="AY197" t="e">
        <f>AND(Sheet1!I2644,"AAAAAG9evzI=")</f>
        <v>#VALUE!</v>
      </c>
      <c r="AZ197" t="e">
        <f>AND(Sheet1!J2644,"AAAAAG9evzM=")</f>
        <v>#VALUE!</v>
      </c>
      <c r="BA197" t="e">
        <f>AND(Sheet1!K2644,"AAAAAG9evzQ=")</f>
        <v>#VALUE!</v>
      </c>
      <c r="BB197" t="e">
        <f>AND(Sheet1!L2644,"AAAAAG9evzU=")</f>
        <v>#VALUE!</v>
      </c>
      <c r="BC197" t="e">
        <f>AND(Sheet1!M2644,"AAAAAG9evzY=")</f>
        <v>#VALUE!</v>
      </c>
      <c r="BD197" t="e">
        <f>AND(Sheet1!N2644,"AAAAAG9evzc=")</f>
        <v>#VALUE!</v>
      </c>
      <c r="BE197" t="e">
        <f>AND(Sheet1!#REF!,"AAAAAG9evzg=")</f>
        <v>#REF!</v>
      </c>
      <c r="BF197" t="e">
        <f>AND(Sheet1!#REF!,"AAAAAG9evzk=")</f>
        <v>#REF!</v>
      </c>
      <c r="BG197" t="e">
        <f>AND(Sheet1!#REF!,"AAAAAG9evzo=")</f>
        <v>#REF!</v>
      </c>
      <c r="BH197" t="e">
        <f>AND(Sheet1!#REF!,"AAAAAG9evzs=")</f>
        <v>#REF!</v>
      </c>
      <c r="BI197">
        <f>IF(Sheet1!2645:2645,"AAAAAG9evzw=",0)</f>
        <v>0</v>
      </c>
      <c r="BJ197" t="e">
        <f>AND(Sheet1!A2645,"AAAAAG9evz0=")</f>
        <v>#VALUE!</v>
      </c>
      <c r="BK197" t="e">
        <f>AND(Sheet1!B2645,"AAAAAG9evz4=")</f>
        <v>#VALUE!</v>
      </c>
      <c r="BL197" t="e">
        <f>AND(Sheet1!C2645,"AAAAAG9evz8=")</f>
        <v>#VALUE!</v>
      </c>
      <c r="BM197" t="e">
        <f>AND(Sheet1!D2645,"AAAAAG9ev0A=")</f>
        <v>#VALUE!</v>
      </c>
      <c r="BN197" t="e">
        <f>AND(Sheet1!E2645,"AAAAAG9ev0E=")</f>
        <v>#VALUE!</v>
      </c>
      <c r="BO197" t="e">
        <f>AND(Sheet1!F2645,"AAAAAG9ev0I=")</f>
        <v>#VALUE!</v>
      </c>
      <c r="BP197" t="e">
        <f>AND(Sheet1!G2645,"AAAAAG9ev0M=")</f>
        <v>#VALUE!</v>
      </c>
      <c r="BQ197" t="e">
        <f>AND(Sheet1!H2645,"AAAAAG9ev0Q=")</f>
        <v>#VALUE!</v>
      </c>
      <c r="BR197" t="e">
        <f>AND(Sheet1!I2645,"AAAAAG9ev0U=")</f>
        <v>#VALUE!</v>
      </c>
      <c r="BS197" t="e">
        <f>AND(Sheet1!J2645,"AAAAAG9ev0Y=")</f>
        <v>#VALUE!</v>
      </c>
      <c r="BT197" t="e">
        <f>AND(Sheet1!K2645,"AAAAAG9ev0c=")</f>
        <v>#VALUE!</v>
      </c>
      <c r="BU197" t="e">
        <f>AND(Sheet1!L2645,"AAAAAG9ev0g=")</f>
        <v>#VALUE!</v>
      </c>
      <c r="BV197" t="e">
        <f>AND(Sheet1!M2645,"AAAAAG9ev0k=")</f>
        <v>#VALUE!</v>
      </c>
      <c r="BW197" t="e">
        <f>AND(Sheet1!N2645,"AAAAAG9ev0o=")</f>
        <v>#VALUE!</v>
      </c>
      <c r="BX197" t="e">
        <f>AND(Sheet1!#REF!,"AAAAAG9ev0s=")</f>
        <v>#REF!</v>
      </c>
      <c r="BY197" t="e">
        <f>AND(Sheet1!#REF!,"AAAAAG9ev0w=")</f>
        <v>#REF!</v>
      </c>
      <c r="BZ197" t="e">
        <f>AND(Sheet1!#REF!,"AAAAAG9ev00=")</f>
        <v>#REF!</v>
      </c>
      <c r="CA197" t="e">
        <f>AND(Sheet1!#REF!,"AAAAAG9ev04=")</f>
        <v>#REF!</v>
      </c>
      <c r="CB197">
        <f>IF(Sheet1!2646:2646,"AAAAAG9ev08=",0)</f>
        <v>0</v>
      </c>
      <c r="CC197" t="e">
        <f>AND(Sheet1!A2646,"AAAAAG9ev1A=")</f>
        <v>#VALUE!</v>
      </c>
      <c r="CD197" t="e">
        <f>AND(Sheet1!B2646,"AAAAAG9ev1E=")</f>
        <v>#VALUE!</v>
      </c>
      <c r="CE197" t="e">
        <f>AND(Sheet1!C2646,"AAAAAG9ev1I=")</f>
        <v>#VALUE!</v>
      </c>
      <c r="CF197" t="e">
        <f>AND(Sheet1!D2646,"AAAAAG9ev1M=")</f>
        <v>#VALUE!</v>
      </c>
      <c r="CG197" t="e">
        <f>AND(Sheet1!E2646,"AAAAAG9ev1Q=")</f>
        <v>#VALUE!</v>
      </c>
      <c r="CH197" t="e">
        <f>AND(Sheet1!F2646,"AAAAAG9ev1U=")</f>
        <v>#VALUE!</v>
      </c>
      <c r="CI197" t="e">
        <f>AND(Sheet1!G2646,"AAAAAG9ev1Y=")</f>
        <v>#VALUE!</v>
      </c>
      <c r="CJ197" t="e">
        <f>AND(Sheet1!H2646,"AAAAAG9ev1c=")</f>
        <v>#VALUE!</v>
      </c>
      <c r="CK197" t="e">
        <f>AND(Sheet1!I2646,"AAAAAG9ev1g=")</f>
        <v>#VALUE!</v>
      </c>
      <c r="CL197" t="e">
        <f>AND(Sheet1!J2646,"AAAAAG9ev1k=")</f>
        <v>#VALUE!</v>
      </c>
      <c r="CM197" t="e">
        <f>AND(Sheet1!K2646,"AAAAAG9ev1o=")</f>
        <v>#VALUE!</v>
      </c>
      <c r="CN197" t="e">
        <f>AND(Sheet1!L2646,"AAAAAG9ev1s=")</f>
        <v>#VALUE!</v>
      </c>
      <c r="CO197" t="e">
        <f>AND(Sheet1!M2646,"AAAAAG9ev1w=")</f>
        <v>#VALUE!</v>
      </c>
      <c r="CP197" t="e">
        <f>AND(Sheet1!N2646,"AAAAAG9ev10=")</f>
        <v>#VALUE!</v>
      </c>
      <c r="CQ197" t="e">
        <f>AND(Sheet1!#REF!,"AAAAAG9ev14=")</f>
        <v>#REF!</v>
      </c>
      <c r="CR197" t="e">
        <f>AND(Sheet1!#REF!,"AAAAAG9ev18=")</f>
        <v>#REF!</v>
      </c>
      <c r="CS197" t="e">
        <f>AND(Sheet1!#REF!,"AAAAAG9ev2A=")</f>
        <v>#REF!</v>
      </c>
      <c r="CT197" t="e">
        <f>AND(Sheet1!#REF!,"AAAAAG9ev2E=")</f>
        <v>#REF!</v>
      </c>
      <c r="CU197">
        <f>IF(Sheet1!2647:2647,"AAAAAG9ev2I=",0)</f>
        <v>0</v>
      </c>
      <c r="CV197" t="e">
        <f>AND(Sheet1!A2647,"AAAAAG9ev2M=")</f>
        <v>#VALUE!</v>
      </c>
      <c r="CW197" t="e">
        <f>AND(Sheet1!B2647,"AAAAAG9ev2Q=")</f>
        <v>#VALUE!</v>
      </c>
      <c r="CX197" t="e">
        <f>AND(Sheet1!C2647,"AAAAAG9ev2U=")</f>
        <v>#VALUE!</v>
      </c>
      <c r="CY197" t="e">
        <f>AND(Sheet1!D2647,"AAAAAG9ev2Y=")</f>
        <v>#VALUE!</v>
      </c>
      <c r="CZ197" t="e">
        <f>AND(Sheet1!E2647,"AAAAAG9ev2c=")</f>
        <v>#VALUE!</v>
      </c>
      <c r="DA197" t="e">
        <f>AND(Sheet1!F2647,"AAAAAG9ev2g=")</f>
        <v>#VALUE!</v>
      </c>
      <c r="DB197" t="e">
        <f>AND(Sheet1!G2647,"AAAAAG9ev2k=")</f>
        <v>#VALUE!</v>
      </c>
      <c r="DC197" t="e">
        <f>AND(Sheet1!H2647,"AAAAAG9ev2o=")</f>
        <v>#VALUE!</v>
      </c>
      <c r="DD197" t="e">
        <f>AND(Sheet1!I2647,"AAAAAG9ev2s=")</f>
        <v>#VALUE!</v>
      </c>
      <c r="DE197" t="e">
        <f>AND(Sheet1!J2647,"AAAAAG9ev2w=")</f>
        <v>#VALUE!</v>
      </c>
      <c r="DF197" t="e">
        <f>AND(Sheet1!K2647,"AAAAAG9ev20=")</f>
        <v>#VALUE!</v>
      </c>
      <c r="DG197" t="e">
        <f>AND(Sheet1!L2647,"AAAAAG9ev24=")</f>
        <v>#VALUE!</v>
      </c>
      <c r="DH197" t="e">
        <f>AND(Sheet1!M2647,"AAAAAG9ev28=")</f>
        <v>#VALUE!</v>
      </c>
      <c r="DI197" t="e">
        <f>AND(Sheet1!N2647,"AAAAAG9ev3A=")</f>
        <v>#VALUE!</v>
      </c>
      <c r="DJ197" t="e">
        <f>AND(Sheet1!#REF!,"AAAAAG9ev3E=")</f>
        <v>#REF!</v>
      </c>
      <c r="DK197" t="e">
        <f>AND(Sheet1!#REF!,"AAAAAG9ev3I=")</f>
        <v>#REF!</v>
      </c>
      <c r="DL197" t="e">
        <f>AND(Sheet1!#REF!,"AAAAAG9ev3M=")</f>
        <v>#REF!</v>
      </c>
      <c r="DM197" t="e">
        <f>AND(Sheet1!#REF!,"AAAAAG9ev3Q=")</f>
        <v>#REF!</v>
      </c>
      <c r="DN197">
        <f>IF(Sheet1!2648:2648,"AAAAAG9ev3U=",0)</f>
        <v>0</v>
      </c>
      <c r="DO197" t="e">
        <f>AND(Sheet1!A2648,"AAAAAG9ev3Y=")</f>
        <v>#VALUE!</v>
      </c>
      <c r="DP197" t="e">
        <f>AND(Sheet1!B2648,"AAAAAG9ev3c=")</f>
        <v>#VALUE!</v>
      </c>
      <c r="DQ197" t="e">
        <f>AND(Sheet1!C2648,"AAAAAG9ev3g=")</f>
        <v>#VALUE!</v>
      </c>
      <c r="DR197" t="e">
        <f>AND(Sheet1!D2648,"AAAAAG9ev3k=")</f>
        <v>#VALUE!</v>
      </c>
      <c r="DS197" t="e">
        <f>AND(Sheet1!E2648,"AAAAAG9ev3o=")</f>
        <v>#VALUE!</v>
      </c>
      <c r="DT197" t="e">
        <f>AND(Sheet1!F2648,"AAAAAG9ev3s=")</f>
        <v>#VALUE!</v>
      </c>
      <c r="DU197" t="e">
        <f>AND(Sheet1!G2648,"AAAAAG9ev3w=")</f>
        <v>#VALUE!</v>
      </c>
      <c r="DV197" t="e">
        <f>AND(Sheet1!H2648,"AAAAAG9ev30=")</f>
        <v>#VALUE!</v>
      </c>
      <c r="DW197" t="e">
        <f>AND(Sheet1!I2648,"AAAAAG9ev34=")</f>
        <v>#VALUE!</v>
      </c>
      <c r="DX197" t="e">
        <f>AND(Sheet1!J2648,"AAAAAG9ev38=")</f>
        <v>#VALUE!</v>
      </c>
      <c r="DY197" t="e">
        <f>AND(Sheet1!K2648,"AAAAAG9ev4A=")</f>
        <v>#VALUE!</v>
      </c>
      <c r="DZ197" t="e">
        <f>AND(Sheet1!L2648,"AAAAAG9ev4E=")</f>
        <v>#VALUE!</v>
      </c>
      <c r="EA197" t="e">
        <f>AND(Sheet1!M2648,"AAAAAG9ev4I=")</f>
        <v>#VALUE!</v>
      </c>
      <c r="EB197" t="e">
        <f>AND(Sheet1!N2648,"AAAAAG9ev4M=")</f>
        <v>#VALUE!</v>
      </c>
      <c r="EC197" t="e">
        <f>AND(Sheet1!#REF!,"AAAAAG9ev4Q=")</f>
        <v>#REF!</v>
      </c>
      <c r="ED197" t="e">
        <f>AND(Sheet1!#REF!,"AAAAAG9ev4U=")</f>
        <v>#REF!</v>
      </c>
      <c r="EE197" t="e">
        <f>AND(Sheet1!#REF!,"AAAAAG9ev4Y=")</f>
        <v>#REF!</v>
      </c>
      <c r="EF197" t="e">
        <f>AND(Sheet1!#REF!,"AAAAAG9ev4c=")</f>
        <v>#REF!</v>
      </c>
      <c r="EG197">
        <f>IF(Sheet1!2649:2649,"AAAAAG9ev4g=",0)</f>
        <v>0</v>
      </c>
      <c r="EH197" t="e">
        <f>AND(Sheet1!A2649,"AAAAAG9ev4k=")</f>
        <v>#VALUE!</v>
      </c>
      <c r="EI197" t="e">
        <f>AND(Sheet1!B2649,"AAAAAG9ev4o=")</f>
        <v>#VALUE!</v>
      </c>
      <c r="EJ197" t="e">
        <f>AND(Sheet1!C2649,"AAAAAG9ev4s=")</f>
        <v>#VALUE!</v>
      </c>
      <c r="EK197" t="e">
        <f>AND(Sheet1!D2649,"AAAAAG9ev4w=")</f>
        <v>#VALUE!</v>
      </c>
      <c r="EL197" t="e">
        <f>AND(Sheet1!E2649,"AAAAAG9ev40=")</f>
        <v>#VALUE!</v>
      </c>
      <c r="EM197" t="e">
        <f>AND(Sheet1!F2649,"AAAAAG9ev44=")</f>
        <v>#VALUE!</v>
      </c>
      <c r="EN197" t="e">
        <f>AND(Sheet1!G2649,"AAAAAG9ev48=")</f>
        <v>#VALUE!</v>
      </c>
      <c r="EO197" t="e">
        <f>AND(Sheet1!H2649,"AAAAAG9ev5A=")</f>
        <v>#VALUE!</v>
      </c>
      <c r="EP197" t="e">
        <f>AND(Sheet1!I2649,"AAAAAG9ev5E=")</f>
        <v>#VALUE!</v>
      </c>
      <c r="EQ197" t="e">
        <f>AND(Sheet1!J2649,"AAAAAG9ev5I=")</f>
        <v>#VALUE!</v>
      </c>
      <c r="ER197" t="e">
        <f>AND(Sheet1!K2649,"AAAAAG9ev5M=")</f>
        <v>#VALUE!</v>
      </c>
      <c r="ES197" t="e">
        <f>AND(Sheet1!L2649,"AAAAAG9ev5Q=")</f>
        <v>#VALUE!</v>
      </c>
      <c r="ET197" t="e">
        <f>AND(Sheet1!M2649,"AAAAAG9ev5U=")</f>
        <v>#VALUE!</v>
      </c>
      <c r="EU197" t="e">
        <f>AND(Sheet1!N2649,"AAAAAG9ev5Y=")</f>
        <v>#VALUE!</v>
      </c>
      <c r="EV197" t="e">
        <f>AND(Sheet1!#REF!,"AAAAAG9ev5c=")</f>
        <v>#REF!</v>
      </c>
      <c r="EW197" t="e">
        <f>AND(Sheet1!#REF!,"AAAAAG9ev5g=")</f>
        <v>#REF!</v>
      </c>
      <c r="EX197" t="e">
        <f>AND(Sheet1!#REF!,"AAAAAG9ev5k=")</f>
        <v>#REF!</v>
      </c>
      <c r="EY197" t="e">
        <f>AND(Sheet1!#REF!,"AAAAAG9ev5o=")</f>
        <v>#REF!</v>
      </c>
      <c r="EZ197">
        <f>IF(Sheet1!2650:2650,"AAAAAG9ev5s=",0)</f>
        <v>0</v>
      </c>
      <c r="FA197" t="e">
        <f>AND(Sheet1!A2650,"AAAAAG9ev5w=")</f>
        <v>#VALUE!</v>
      </c>
      <c r="FB197" t="e">
        <f>AND(Sheet1!B2650,"AAAAAG9ev50=")</f>
        <v>#VALUE!</v>
      </c>
      <c r="FC197" t="e">
        <f>AND(Sheet1!C2650,"AAAAAG9ev54=")</f>
        <v>#VALUE!</v>
      </c>
      <c r="FD197" t="e">
        <f>AND(Sheet1!D2650,"AAAAAG9ev58=")</f>
        <v>#VALUE!</v>
      </c>
      <c r="FE197" t="e">
        <f>AND(Sheet1!E2650,"AAAAAG9ev6A=")</f>
        <v>#VALUE!</v>
      </c>
      <c r="FF197" t="e">
        <f>AND(Sheet1!F2650,"AAAAAG9ev6E=")</f>
        <v>#VALUE!</v>
      </c>
      <c r="FG197" t="e">
        <f>AND(Sheet1!G2650,"AAAAAG9ev6I=")</f>
        <v>#VALUE!</v>
      </c>
      <c r="FH197" t="e">
        <f>AND(Sheet1!H2650,"AAAAAG9ev6M=")</f>
        <v>#VALUE!</v>
      </c>
      <c r="FI197" t="e">
        <f>AND(Sheet1!I2650,"AAAAAG9ev6Q=")</f>
        <v>#VALUE!</v>
      </c>
      <c r="FJ197" t="e">
        <f>AND(Sheet1!J2650,"AAAAAG9ev6U=")</f>
        <v>#VALUE!</v>
      </c>
      <c r="FK197" t="e">
        <f>AND(Sheet1!K2650,"AAAAAG9ev6Y=")</f>
        <v>#VALUE!</v>
      </c>
      <c r="FL197" t="e">
        <f>AND(Sheet1!L2650,"AAAAAG9ev6c=")</f>
        <v>#VALUE!</v>
      </c>
      <c r="FM197" t="e">
        <f>AND(Sheet1!M2650,"AAAAAG9ev6g=")</f>
        <v>#VALUE!</v>
      </c>
      <c r="FN197" t="e">
        <f>AND(Sheet1!N2650,"AAAAAG9ev6k=")</f>
        <v>#VALUE!</v>
      </c>
      <c r="FO197" t="e">
        <f>AND(Sheet1!#REF!,"AAAAAG9ev6o=")</f>
        <v>#REF!</v>
      </c>
      <c r="FP197" t="e">
        <f>AND(Sheet1!#REF!,"AAAAAG9ev6s=")</f>
        <v>#REF!</v>
      </c>
      <c r="FQ197" t="e">
        <f>AND(Sheet1!#REF!,"AAAAAG9ev6w=")</f>
        <v>#REF!</v>
      </c>
      <c r="FR197" t="e">
        <f>AND(Sheet1!#REF!,"AAAAAG9ev60=")</f>
        <v>#REF!</v>
      </c>
      <c r="FS197">
        <f>IF(Sheet1!2651:2651,"AAAAAG9ev64=",0)</f>
        <v>0</v>
      </c>
      <c r="FT197" t="e">
        <f>AND(Sheet1!A2651,"AAAAAG9ev68=")</f>
        <v>#VALUE!</v>
      </c>
      <c r="FU197" t="e">
        <f>AND(Sheet1!B2651,"AAAAAG9ev7A=")</f>
        <v>#VALUE!</v>
      </c>
      <c r="FV197" t="e">
        <f>AND(Sheet1!C2651,"AAAAAG9ev7E=")</f>
        <v>#VALUE!</v>
      </c>
      <c r="FW197" t="e">
        <f>AND(Sheet1!D2651,"AAAAAG9ev7I=")</f>
        <v>#VALUE!</v>
      </c>
      <c r="FX197" t="e">
        <f>AND(Sheet1!E2651,"AAAAAG9ev7M=")</f>
        <v>#VALUE!</v>
      </c>
      <c r="FY197" t="e">
        <f>AND(Sheet1!F2651,"AAAAAG9ev7Q=")</f>
        <v>#VALUE!</v>
      </c>
      <c r="FZ197" t="e">
        <f>AND(Sheet1!G2651,"AAAAAG9ev7U=")</f>
        <v>#VALUE!</v>
      </c>
      <c r="GA197" t="e">
        <f>AND(Sheet1!H2651,"AAAAAG9ev7Y=")</f>
        <v>#VALUE!</v>
      </c>
      <c r="GB197" t="e">
        <f>AND(Sheet1!I2651,"AAAAAG9ev7c=")</f>
        <v>#VALUE!</v>
      </c>
      <c r="GC197" t="e">
        <f>AND(Sheet1!J2651,"AAAAAG9ev7g=")</f>
        <v>#VALUE!</v>
      </c>
      <c r="GD197" t="e">
        <f>AND(Sheet1!K2651,"AAAAAG9ev7k=")</f>
        <v>#VALUE!</v>
      </c>
      <c r="GE197" t="e">
        <f>AND(Sheet1!L2651,"AAAAAG9ev7o=")</f>
        <v>#VALUE!</v>
      </c>
      <c r="GF197" t="e">
        <f>AND(Sheet1!M2651,"AAAAAG9ev7s=")</f>
        <v>#VALUE!</v>
      </c>
      <c r="GG197" t="e">
        <f>AND(Sheet1!N2651,"AAAAAG9ev7w=")</f>
        <v>#VALUE!</v>
      </c>
      <c r="GH197" t="e">
        <f>AND(Sheet1!#REF!,"AAAAAG9ev70=")</f>
        <v>#REF!</v>
      </c>
      <c r="GI197" t="e">
        <f>AND(Sheet1!#REF!,"AAAAAG9ev74=")</f>
        <v>#REF!</v>
      </c>
      <c r="GJ197" t="e">
        <f>AND(Sheet1!#REF!,"AAAAAG9ev78=")</f>
        <v>#REF!</v>
      </c>
      <c r="GK197" t="e">
        <f>AND(Sheet1!#REF!,"AAAAAG9ev8A=")</f>
        <v>#REF!</v>
      </c>
      <c r="GL197">
        <f>IF(Sheet1!2652:2652,"AAAAAG9ev8E=",0)</f>
        <v>0</v>
      </c>
      <c r="GM197" t="e">
        <f>AND(Sheet1!A2652,"AAAAAG9ev8I=")</f>
        <v>#VALUE!</v>
      </c>
      <c r="GN197" t="e">
        <f>AND(Sheet1!B2652,"AAAAAG9ev8M=")</f>
        <v>#VALUE!</v>
      </c>
      <c r="GO197" t="e">
        <f>AND(Sheet1!C2652,"AAAAAG9ev8Q=")</f>
        <v>#VALUE!</v>
      </c>
      <c r="GP197" t="e">
        <f>AND(Sheet1!D2652,"AAAAAG9ev8U=")</f>
        <v>#VALUE!</v>
      </c>
      <c r="GQ197" t="e">
        <f>AND(Sheet1!E2652,"AAAAAG9ev8Y=")</f>
        <v>#VALUE!</v>
      </c>
      <c r="GR197" t="e">
        <f>AND(Sheet1!F2652,"AAAAAG9ev8c=")</f>
        <v>#VALUE!</v>
      </c>
      <c r="GS197" t="e">
        <f>AND(Sheet1!G2652,"AAAAAG9ev8g=")</f>
        <v>#VALUE!</v>
      </c>
      <c r="GT197" t="e">
        <f>AND(Sheet1!H2652,"AAAAAG9ev8k=")</f>
        <v>#VALUE!</v>
      </c>
      <c r="GU197" t="e">
        <f>AND(Sheet1!I2652,"AAAAAG9ev8o=")</f>
        <v>#VALUE!</v>
      </c>
      <c r="GV197" t="e">
        <f>AND(Sheet1!J2652,"AAAAAG9ev8s=")</f>
        <v>#VALUE!</v>
      </c>
      <c r="GW197" t="e">
        <f>AND(Sheet1!K2652,"AAAAAG9ev8w=")</f>
        <v>#VALUE!</v>
      </c>
      <c r="GX197" t="e">
        <f>AND(Sheet1!L2652,"AAAAAG9ev80=")</f>
        <v>#VALUE!</v>
      </c>
      <c r="GY197" t="e">
        <f>AND(Sheet1!M2652,"AAAAAG9ev84=")</f>
        <v>#VALUE!</v>
      </c>
      <c r="GZ197" t="e">
        <f>AND(Sheet1!N2652,"AAAAAG9ev88=")</f>
        <v>#VALUE!</v>
      </c>
      <c r="HA197" t="e">
        <f>AND(Sheet1!#REF!,"AAAAAG9ev9A=")</f>
        <v>#REF!</v>
      </c>
      <c r="HB197" t="e">
        <f>AND(Sheet1!#REF!,"AAAAAG9ev9E=")</f>
        <v>#REF!</v>
      </c>
      <c r="HC197" t="e">
        <f>AND(Sheet1!#REF!,"AAAAAG9ev9I=")</f>
        <v>#REF!</v>
      </c>
      <c r="HD197" t="e">
        <f>AND(Sheet1!#REF!,"AAAAAG9ev9M=")</f>
        <v>#REF!</v>
      </c>
      <c r="HE197">
        <f>IF(Sheet1!2653:2653,"AAAAAG9ev9Q=",0)</f>
        <v>0</v>
      </c>
      <c r="HF197" t="e">
        <f>AND(Sheet1!A2653,"AAAAAG9ev9U=")</f>
        <v>#VALUE!</v>
      </c>
      <c r="HG197" t="e">
        <f>AND(Sheet1!B2653,"AAAAAG9ev9Y=")</f>
        <v>#VALUE!</v>
      </c>
      <c r="HH197" t="e">
        <f>AND(Sheet1!C2653,"AAAAAG9ev9c=")</f>
        <v>#VALUE!</v>
      </c>
      <c r="HI197" t="e">
        <f>AND(Sheet1!D2653,"AAAAAG9ev9g=")</f>
        <v>#VALUE!</v>
      </c>
      <c r="HJ197" t="e">
        <f>AND(Sheet1!E2653,"AAAAAG9ev9k=")</f>
        <v>#VALUE!</v>
      </c>
      <c r="HK197" t="e">
        <f>AND(Sheet1!F2653,"AAAAAG9ev9o=")</f>
        <v>#VALUE!</v>
      </c>
      <c r="HL197" t="e">
        <f>AND(Sheet1!G2653,"AAAAAG9ev9s=")</f>
        <v>#VALUE!</v>
      </c>
      <c r="HM197" t="e">
        <f>AND(Sheet1!H2653,"AAAAAG9ev9w=")</f>
        <v>#VALUE!</v>
      </c>
      <c r="HN197" t="e">
        <f>AND(Sheet1!I2653,"AAAAAG9ev90=")</f>
        <v>#VALUE!</v>
      </c>
      <c r="HO197" t="e">
        <f>AND(Sheet1!J2653,"AAAAAG9ev94=")</f>
        <v>#VALUE!</v>
      </c>
      <c r="HP197" t="e">
        <f>AND(Sheet1!K2653,"AAAAAG9ev98=")</f>
        <v>#VALUE!</v>
      </c>
      <c r="HQ197" t="e">
        <f>AND(Sheet1!L2653,"AAAAAG9ev+A=")</f>
        <v>#VALUE!</v>
      </c>
      <c r="HR197" t="e">
        <f>AND(Sheet1!M2653,"AAAAAG9ev+E=")</f>
        <v>#VALUE!</v>
      </c>
      <c r="HS197" t="e">
        <f>AND(Sheet1!N2653,"AAAAAG9ev+I=")</f>
        <v>#VALUE!</v>
      </c>
      <c r="HT197" t="e">
        <f>AND(Sheet1!#REF!,"AAAAAG9ev+M=")</f>
        <v>#REF!</v>
      </c>
      <c r="HU197" t="e">
        <f>AND(Sheet1!#REF!,"AAAAAG9ev+Q=")</f>
        <v>#REF!</v>
      </c>
      <c r="HV197" t="e">
        <f>AND(Sheet1!#REF!,"AAAAAG9ev+U=")</f>
        <v>#REF!</v>
      </c>
      <c r="HW197" t="e">
        <f>AND(Sheet1!#REF!,"AAAAAG9ev+Y=")</f>
        <v>#REF!</v>
      </c>
      <c r="HX197">
        <f>IF(Sheet1!2654:2654,"AAAAAG9ev+c=",0)</f>
        <v>0</v>
      </c>
      <c r="HY197" t="e">
        <f>AND(Sheet1!A2654,"AAAAAG9ev+g=")</f>
        <v>#VALUE!</v>
      </c>
      <c r="HZ197" t="e">
        <f>AND(Sheet1!B2654,"AAAAAG9ev+k=")</f>
        <v>#VALUE!</v>
      </c>
      <c r="IA197" t="e">
        <f>AND(Sheet1!C2654,"AAAAAG9ev+o=")</f>
        <v>#VALUE!</v>
      </c>
      <c r="IB197" t="e">
        <f>AND(Sheet1!D2654,"AAAAAG9ev+s=")</f>
        <v>#VALUE!</v>
      </c>
      <c r="IC197" t="e">
        <f>AND(Sheet1!E2654,"AAAAAG9ev+w=")</f>
        <v>#VALUE!</v>
      </c>
      <c r="ID197" t="e">
        <f>AND(Sheet1!F2654,"AAAAAG9ev+0=")</f>
        <v>#VALUE!</v>
      </c>
      <c r="IE197" t="e">
        <f>AND(Sheet1!G2654,"AAAAAG9ev+4=")</f>
        <v>#VALUE!</v>
      </c>
      <c r="IF197" t="e">
        <f>AND(Sheet1!H2654,"AAAAAG9ev+8=")</f>
        <v>#VALUE!</v>
      </c>
      <c r="IG197" t="e">
        <f>AND(Sheet1!I2654,"AAAAAG9ev/A=")</f>
        <v>#VALUE!</v>
      </c>
      <c r="IH197" t="e">
        <f>AND(Sheet1!J2654,"AAAAAG9ev/E=")</f>
        <v>#VALUE!</v>
      </c>
      <c r="II197" t="e">
        <f>AND(Sheet1!K2654,"AAAAAG9ev/I=")</f>
        <v>#VALUE!</v>
      </c>
      <c r="IJ197" t="e">
        <f>AND(Sheet1!L2654,"AAAAAG9ev/M=")</f>
        <v>#VALUE!</v>
      </c>
      <c r="IK197" t="e">
        <f>AND(Sheet1!M2654,"AAAAAG9ev/Q=")</f>
        <v>#VALUE!</v>
      </c>
      <c r="IL197" t="e">
        <f>AND(Sheet1!N2654,"AAAAAG9ev/U=")</f>
        <v>#VALUE!</v>
      </c>
      <c r="IM197" t="e">
        <f>AND(Sheet1!#REF!,"AAAAAG9ev/Y=")</f>
        <v>#REF!</v>
      </c>
      <c r="IN197" t="e">
        <f>AND(Sheet1!#REF!,"AAAAAG9ev/c=")</f>
        <v>#REF!</v>
      </c>
      <c r="IO197" t="e">
        <f>AND(Sheet1!#REF!,"AAAAAG9ev/g=")</f>
        <v>#REF!</v>
      </c>
      <c r="IP197" t="e">
        <f>AND(Sheet1!#REF!,"AAAAAG9ev/k=")</f>
        <v>#REF!</v>
      </c>
      <c r="IQ197">
        <f>IF(Sheet1!2655:2655,"AAAAAG9ev/o=",0)</f>
        <v>0</v>
      </c>
      <c r="IR197" t="e">
        <f>AND(Sheet1!A2655,"AAAAAG9ev/s=")</f>
        <v>#VALUE!</v>
      </c>
      <c r="IS197" t="e">
        <f>AND(Sheet1!B2655,"AAAAAG9ev/w=")</f>
        <v>#VALUE!</v>
      </c>
      <c r="IT197" t="e">
        <f>AND(Sheet1!C2655,"AAAAAG9ev/0=")</f>
        <v>#VALUE!</v>
      </c>
      <c r="IU197" t="e">
        <f>AND(Sheet1!D2655,"AAAAAG9ev/4=")</f>
        <v>#VALUE!</v>
      </c>
      <c r="IV197" t="e">
        <f>AND(Sheet1!E2655,"AAAAAG9ev/8=")</f>
        <v>#VALUE!</v>
      </c>
    </row>
    <row r="198" spans="1:256" x14ac:dyDescent="0.2">
      <c r="A198" t="e">
        <f>AND(Sheet1!F2655,"AAAAAFP//wA=")</f>
        <v>#VALUE!</v>
      </c>
      <c r="B198" t="e">
        <f>AND(Sheet1!G2655,"AAAAAFP//wE=")</f>
        <v>#VALUE!</v>
      </c>
      <c r="C198" t="e">
        <f>AND(Sheet1!H2655,"AAAAAFP//wI=")</f>
        <v>#VALUE!</v>
      </c>
      <c r="D198" t="e">
        <f>AND(Sheet1!I2655,"AAAAAFP//wM=")</f>
        <v>#VALUE!</v>
      </c>
      <c r="E198" t="e">
        <f>AND(Sheet1!J2655,"AAAAAFP//wQ=")</f>
        <v>#VALUE!</v>
      </c>
      <c r="F198" t="e">
        <f>AND(Sheet1!K2655,"AAAAAFP//wU=")</f>
        <v>#VALUE!</v>
      </c>
      <c r="G198" t="e">
        <f>AND(Sheet1!L2655,"AAAAAFP//wY=")</f>
        <v>#VALUE!</v>
      </c>
      <c r="H198" t="e">
        <f>AND(Sheet1!M2655,"AAAAAFP//wc=")</f>
        <v>#VALUE!</v>
      </c>
      <c r="I198" t="e">
        <f>AND(Sheet1!N2655,"AAAAAFP//wg=")</f>
        <v>#VALUE!</v>
      </c>
      <c r="J198" t="e">
        <f>AND(Sheet1!#REF!,"AAAAAFP//wk=")</f>
        <v>#REF!</v>
      </c>
      <c r="K198" t="e">
        <f>AND(Sheet1!#REF!,"AAAAAFP//wo=")</f>
        <v>#REF!</v>
      </c>
      <c r="L198" t="e">
        <f>AND(Sheet1!#REF!,"AAAAAFP//ws=")</f>
        <v>#REF!</v>
      </c>
      <c r="M198" t="e">
        <f>AND(Sheet1!#REF!,"AAAAAFP//ww=")</f>
        <v>#REF!</v>
      </c>
      <c r="N198" t="e">
        <f>IF(Sheet1!2656:2656,"AAAAAFP//w0=",0)</f>
        <v>#VALUE!</v>
      </c>
      <c r="O198" t="e">
        <f>AND(Sheet1!A2656,"AAAAAFP//w4=")</f>
        <v>#VALUE!</v>
      </c>
      <c r="P198" t="e">
        <f>AND(Sheet1!B2656,"AAAAAFP//w8=")</f>
        <v>#VALUE!</v>
      </c>
      <c r="Q198" t="e">
        <f>AND(Sheet1!C2656,"AAAAAFP//xA=")</f>
        <v>#VALUE!</v>
      </c>
      <c r="R198" t="e">
        <f>AND(Sheet1!D2656,"AAAAAFP//xE=")</f>
        <v>#VALUE!</v>
      </c>
      <c r="S198" t="e">
        <f>AND(Sheet1!E2656,"AAAAAFP//xI=")</f>
        <v>#VALUE!</v>
      </c>
      <c r="T198" t="e">
        <f>AND(Sheet1!F2656,"AAAAAFP//xM=")</f>
        <v>#VALUE!</v>
      </c>
      <c r="U198" t="e">
        <f>AND(Sheet1!G2656,"AAAAAFP//xQ=")</f>
        <v>#VALUE!</v>
      </c>
      <c r="V198" t="e">
        <f>AND(Sheet1!H2656,"AAAAAFP//xU=")</f>
        <v>#VALUE!</v>
      </c>
      <c r="W198" t="e">
        <f>AND(Sheet1!I2656,"AAAAAFP//xY=")</f>
        <v>#VALUE!</v>
      </c>
      <c r="X198" t="e">
        <f>AND(Sheet1!J2656,"AAAAAFP//xc=")</f>
        <v>#VALUE!</v>
      </c>
      <c r="Y198" t="e">
        <f>AND(Sheet1!K2656,"AAAAAFP//xg=")</f>
        <v>#VALUE!</v>
      </c>
      <c r="Z198" t="e">
        <f>AND(Sheet1!L2656,"AAAAAFP//xk=")</f>
        <v>#VALUE!</v>
      </c>
      <c r="AA198" t="e">
        <f>AND(Sheet1!M2656,"AAAAAFP//xo=")</f>
        <v>#VALUE!</v>
      </c>
      <c r="AB198" t="e">
        <f>AND(Sheet1!N2656,"AAAAAFP//xs=")</f>
        <v>#VALUE!</v>
      </c>
      <c r="AC198" t="e">
        <f>AND(Sheet1!#REF!,"AAAAAFP//xw=")</f>
        <v>#REF!</v>
      </c>
      <c r="AD198" t="e">
        <f>AND(Sheet1!#REF!,"AAAAAFP//x0=")</f>
        <v>#REF!</v>
      </c>
      <c r="AE198" t="e">
        <f>AND(Sheet1!#REF!,"AAAAAFP//x4=")</f>
        <v>#REF!</v>
      </c>
      <c r="AF198" t="e">
        <f>AND(Sheet1!#REF!,"AAAAAFP//x8=")</f>
        <v>#REF!</v>
      </c>
      <c r="AG198">
        <f>IF(Sheet1!2657:2657,"AAAAAFP//yA=",0)</f>
        <v>0</v>
      </c>
      <c r="AH198" t="e">
        <f>AND(Sheet1!A2657,"AAAAAFP//yE=")</f>
        <v>#VALUE!</v>
      </c>
      <c r="AI198" t="e">
        <f>AND(Sheet1!B2657,"AAAAAFP//yI=")</f>
        <v>#VALUE!</v>
      </c>
      <c r="AJ198" t="e">
        <f>AND(Sheet1!C2657,"AAAAAFP//yM=")</f>
        <v>#VALUE!</v>
      </c>
      <c r="AK198" t="e">
        <f>AND(Sheet1!D2657,"AAAAAFP//yQ=")</f>
        <v>#VALUE!</v>
      </c>
      <c r="AL198" t="e">
        <f>AND(Sheet1!E2657,"AAAAAFP//yU=")</f>
        <v>#VALUE!</v>
      </c>
      <c r="AM198" t="e">
        <f>AND(Sheet1!F2657,"AAAAAFP//yY=")</f>
        <v>#VALUE!</v>
      </c>
      <c r="AN198" t="e">
        <f>AND(Sheet1!G2657,"AAAAAFP//yc=")</f>
        <v>#VALUE!</v>
      </c>
      <c r="AO198" t="e">
        <f>AND(Sheet1!H2657,"AAAAAFP//yg=")</f>
        <v>#VALUE!</v>
      </c>
      <c r="AP198" t="e">
        <f>AND(Sheet1!I2657,"AAAAAFP//yk=")</f>
        <v>#VALUE!</v>
      </c>
      <c r="AQ198" t="e">
        <f>AND(Sheet1!J2657,"AAAAAFP//yo=")</f>
        <v>#VALUE!</v>
      </c>
      <c r="AR198" t="e">
        <f>AND(Sheet1!K2657,"AAAAAFP//ys=")</f>
        <v>#VALUE!</v>
      </c>
      <c r="AS198" t="e">
        <f>AND(Sheet1!L2657,"AAAAAFP//yw=")</f>
        <v>#VALUE!</v>
      </c>
      <c r="AT198" t="e">
        <f>AND(Sheet1!M2657,"AAAAAFP//y0=")</f>
        <v>#VALUE!</v>
      </c>
      <c r="AU198" t="e">
        <f>AND(Sheet1!N2657,"AAAAAFP//y4=")</f>
        <v>#VALUE!</v>
      </c>
      <c r="AV198" t="e">
        <f>AND(Sheet1!#REF!,"AAAAAFP//y8=")</f>
        <v>#REF!</v>
      </c>
      <c r="AW198" t="e">
        <f>AND(Sheet1!#REF!,"AAAAAFP//zA=")</f>
        <v>#REF!</v>
      </c>
      <c r="AX198" t="e">
        <f>AND(Sheet1!#REF!,"AAAAAFP//zE=")</f>
        <v>#REF!</v>
      </c>
      <c r="AY198" t="e">
        <f>AND(Sheet1!#REF!,"AAAAAFP//zI=")</f>
        <v>#REF!</v>
      </c>
      <c r="AZ198">
        <f>IF(Sheet1!2658:2658,"AAAAAFP//zM=",0)</f>
        <v>0</v>
      </c>
      <c r="BA198" t="e">
        <f>AND(Sheet1!A2658,"AAAAAFP//zQ=")</f>
        <v>#VALUE!</v>
      </c>
      <c r="BB198" t="e">
        <f>AND(Sheet1!B2658,"AAAAAFP//zU=")</f>
        <v>#VALUE!</v>
      </c>
      <c r="BC198" t="e">
        <f>AND(Sheet1!C2658,"AAAAAFP//zY=")</f>
        <v>#VALUE!</v>
      </c>
      <c r="BD198" t="e">
        <f>AND(Sheet1!D2658,"AAAAAFP//zc=")</f>
        <v>#VALUE!</v>
      </c>
      <c r="BE198" t="e">
        <f>AND(Sheet1!E2658,"AAAAAFP//zg=")</f>
        <v>#VALUE!</v>
      </c>
      <c r="BF198" t="e">
        <f>AND(Sheet1!F2658,"AAAAAFP//zk=")</f>
        <v>#VALUE!</v>
      </c>
      <c r="BG198" t="e">
        <f>AND(Sheet1!G2658,"AAAAAFP//zo=")</f>
        <v>#VALUE!</v>
      </c>
      <c r="BH198" t="e">
        <f>AND(Sheet1!H2658,"AAAAAFP//zs=")</f>
        <v>#VALUE!</v>
      </c>
      <c r="BI198" t="e">
        <f>AND(Sheet1!I2658,"AAAAAFP//zw=")</f>
        <v>#VALUE!</v>
      </c>
      <c r="BJ198" t="e">
        <f>AND(Sheet1!J2658,"AAAAAFP//z0=")</f>
        <v>#VALUE!</v>
      </c>
      <c r="BK198" t="e">
        <f>AND(Sheet1!K2658,"AAAAAFP//z4=")</f>
        <v>#VALUE!</v>
      </c>
      <c r="BL198" t="e">
        <f>AND(Sheet1!L2658,"AAAAAFP//z8=")</f>
        <v>#VALUE!</v>
      </c>
      <c r="BM198" t="e">
        <f>AND(Sheet1!M2658,"AAAAAFP//0A=")</f>
        <v>#VALUE!</v>
      </c>
      <c r="BN198" t="e">
        <f>AND(Sheet1!N2658,"AAAAAFP//0E=")</f>
        <v>#VALUE!</v>
      </c>
      <c r="BO198" t="e">
        <f>AND(Sheet1!#REF!,"AAAAAFP//0I=")</f>
        <v>#REF!</v>
      </c>
      <c r="BP198" t="e">
        <f>AND(Sheet1!#REF!,"AAAAAFP//0M=")</f>
        <v>#REF!</v>
      </c>
      <c r="BQ198" t="e">
        <f>AND(Sheet1!#REF!,"AAAAAFP//0Q=")</f>
        <v>#REF!</v>
      </c>
      <c r="BR198" t="e">
        <f>AND(Sheet1!#REF!,"AAAAAFP//0U=")</f>
        <v>#REF!</v>
      </c>
      <c r="BS198">
        <f>IF(Sheet1!2659:2659,"AAAAAFP//0Y=",0)</f>
        <v>0</v>
      </c>
      <c r="BT198" t="e">
        <f>AND(Sheet1!A2659,"AAAAAFP//0c=")</f>
        <v>#VALUE!</v>
      </c>
      <c r="BU198" t="e">
        <f>AND(Sheet1!B2659,"AAAAAFP//0g=")</f>
        <v>#VALUE!</v>
      </c>
      <c r="BV198" t="e">
        <f>AND(Sheet1!C2659,"AAAAAFP//0k=")</f>
        <v>#VALUE!</v>
      </c>
      <c r="BW198" t="e">
        <f>AND(Sheet1!D2659,"AAAAAFP//0o=")</f>
        <v>#VALUE!</v>
      </c>
      <c r="BX198" t="e">
        <f>AND(Sheet1!E2659,"AAAAAFP//0s=")</f>
        <v>#VALUE!</v>
      </c>
      <c r="BY198" t="e">
        <f>AND(Sheet1!F2659,"AAAAAFP//0w=")</f>
        <v>#VALUE!</v>
      </c>
      <c r="BZ198" t="e">
        <f>AND(Sheet1!G2659,"AAAAAFP//00=")</f>
        <v>#VALUE!</v>
      </c>
      <c r="CA198" t="e">
        <f>AND(Sheet1!H2659,"AAAAAFP//04=")</f>
        <v>#VALUE!</v>
      </c>
      <c r="CB198" t="e">
        <f>AND(Sheet1!I2659,"AAAAAFP//08=")</f>
        <v>#VALUE!</v>
      </c>
      <c r="CC198" t="e">
        <f>AND(Sheet1!J2659,"AAAAAFP//1A=")</f>
        <v>#VALUE!</v>
      </c>
      <c r="CD198" t="e">
        <f>AND(Sheet1!K2659,"AAAAAFP//1E=")</f>
        <v>#VALUE!</v>
      </c>
      <c r="CE198" t="e">
        <f>AND(Sheet1!L2659,"AAAAAFP//1I=")</f>
        <v>#VALUE!</v>
      </c>
      <c r="CF198" t="e">
        <f>AND(Sheet1!M2659,"AAAAAFP//1M=")</f>
        <v>#VALUE!</v>
      </c>
      <c r="CG198" t="e">
        <f>AND(Sheet1!N2659,"AAAAAFP//1Q=")</f>
        <v>#VALUE!</v>
      </c>
      <c r="CH198" t="e">
        <f>AND(Sheet1!#REF!,"AAAAAFP//1U=")</f>
        <v>#REF!</v>
      </c>
      <c r="CI198" t="e">
        <f>AND(Sheet1!#REF!,"AAAAAFP//1Y=")</f>
        <v>#REF!</v>
      </c>
      <c r="CJ198" t="e">
        <f>AND(Sheet1!#REF!,"AAAAAFP//1c=")</f>
        <v>#REF!</v>
      </c>
      <c r="CK198" t="e">
        <f>AND(Sheet1!#REF!,"AAAAAFP//1g=")</f>
        <v>#REF!</v>
      </c>
      <c r="CL198">
        <f>IF(Sheet1!2660:2660,"AAAAAFP//1k=",0)</f>
        <v>0</v>
      </c>
      <c r="CM198" t="e">
        <f>AND(Sheet1!A2660,"AAAAAFP//1o=")</f>
        <v>#VALUE!</v>
      </c>
      <c r="CN198" t="e">
        <f>AND(Sheet1!B2660,"AAAAAFP//1s=")</f>
        <v>#VALUE!</v>
      </c>
      <c r="CO198" t="e">
        <f>AND(Sheet1!C2660,"AAAAAFP//1w=")</f>
        <v>#VALUE!</v>
      </c>
      <c r="CP198" t="e">
        <f>AND(Sheet1!D2660,"AAAAAFP//10=")</f>
        <v>#VALUE!</v>
      </c>
      <c r="CQ198" t="e">
        <f>AND(Sheet1!E2660,"AAAAAFP//14=")</f>
        <v>#VALUE!</v>
      </c>
      <c r="CR198" t="e">
        <f>AND(Sheet1!F2660,"AAAAAFP//18=")</f>
        <v>#VALUE!</v>
      </c>
      <c r="CS198" t="e">
        <f>AND(Sheet1!G2660,"AAAAAFP//2A=")</f>
        <v>#VALUE!</v>
      </c>
      <c r="CT198" t="e">
        <f>AND(Sheet1!H2660,"AAAAAFP//2E=")</f>
        <v>#VALUE!</v>
      </c>
      <c r="CU198" t="e">
        <f>AND(Sheet1!I2660,"AAAAAFP//2I=")</f>
        <v>#VALUE!</v>
      </c>
      <c r="CV198" t="e">
        <f>AND(Sheet1!J2660,"AAAAAFP//2M=")</f>
        <v>#VALUE!</v>
      </c>
      <c r="CW198" t="e">
        <f>AND(Sheet1!K2660,"AAAAAFP//2Q=")</f>
        <v>#VALUE!</v>
      </c>
      <c r="CX198" t="e">
        <f>AND(Sheet1!L2660,"AAAAAFP//2U=")</f>
        <v>#VALUE!</v>
      </c>
      <c r="CY198" t="e">
        <f>AND(Sheet1!M2660,"AAAAAFP//2Y=")</f>
        <v>#VALUE!</v>
      </c>
      <c r="CZ198" t="e">
        <f>AND(Sheet1!N2660,"AAAAAFP//2c=")</f>
        <v>#VALUE!</v>
      </c>
      <c r="DA198" t="e">
        <f>AND(Sheet1!#REF!,"AAAAAFP//2g=")</f>
        <v>#REF!</v>
      </c>
      <c r="DB198" t="e">
        <f>AND(Sheet1!#REF!,"AAAAAFP//2k=")</f>
        <v>#REF!</v>
      </c>
      <c r="DC198" t="e">
        <f>AND(Sheet1!#REF!,"AAAAAFP//2o=")</f>
        <v>#REF!</v>
      </c>
      <c r="DD198" t="e">
        <f>AND(Sheet1!#REF!,"AAAAAFP//2s=")</f>
        <v>#REF!</v>
      </c>
      <c r="DE198">
        <f>IF(Sheet1!2661:2661,"AAAAAFP//2w=",0)</f>
        <v>0</v>
      </c>
      <c r="DF198" t="e">
        <f>AND(Sheet1!A2661,"AAAAAFP//20=")</f>
        <v>#VALUE!</v>
      </c>
      <c r="DG198" t="e">
        <f>AND(Sheet1!B2661,"AAAAAFP//24=")</f>
        <v>#VALUE!</v>
      </c>
      <c r="DH198" t="e">
        <f>AND(Sheet1!C2661,"AAAAAFP//28=")</f>
        <v>#VALUE!</v>
      </c>
      <c r="DI198" t="e">
        <f>AND(Sheet1!D2661,"AAAAAFP//3A=")</f>
        <v>#VALUE!</v>
      </c>
      <c r="DJ198" t="e">
        <f>AND(Sheet1!E2661,"AAAAAFP//3E=")</f>
        <v>#VALUE!</v>
      </c>
      <c r="DK198" t="e">
        <f>AND(Sheet1!F2661,"AAAAAFP//3I=")</f>
        <v>#VALUE!</v>
      </c>
      <c r="DL198" t="e">
        <f>AND(Sheet1!G2661,"AAAAAFP//3M=")</f>
        <v>#VALUE!</v>
      </c>
      <c r="DM198" t="e">
        <f>AND(Sheet1!H2661,"AAAAAFP//3Q=")</f>
        <v>#VALUE!</v>
      </c>
      <c r="DN198" t="e">
        <f>AND(Sheet1!I2661,"AAAAAFP//3U=")</f>
        <v>#VALUE!</v>
      </c>
      <c r="DO198" t="e">
        <f>AND(Sheet1!J2661,"AAAAAFP//3Y=")</f>
        <v>#VALUE!</v>
      </c>
      <c r="DP198" t="e">
        <f>AND(Sheet1!K2661,"AAAAAFP//3c=")</f>
        <v>#VALUE!</v>
      </c>
      <c r="DQ198" t="e">
        <f>AND(Sheet1!L2661,"AAAAAFP//3g=")</f>
        <v>#VALUE!</v>
      </c>
      <c r="DR198" t="e">
        <f>AND(Sheet1!M2661,"AAAAAFP//3k=")</f>
        <v>#VALUE!</v>
      </c>
      <c r="DS198" t="e">
        <f>AND(Sheet1!N2661,"AAAAAFP//3o=")</f>
        <v>#VALUE!</v>
      </c>
      <c r="DT198" t="e">
        <f>AND(Sheet1!#REF!,"AAAAAFP//3s=")</f>
        <v>#REF!</v>
      </c>
      <c r="DU198" t="e">
        <f>AND(Sheet1!#REF!,"AAAAAFP//3w=")</f>
        <v>#REF!</v>
      </c>
      <c r="DV198" t="e">
        <f>AND(Sheet1!#REF!,"AAAAAFP//30=")</f>
        <v>#REF!</v>
      </c>
      <c r="DW198" t="e">
        <f>AND(Sheet1!#REF!,"AAAAAFP//34=")</f>
        <v>#REF!</v>
      </c>
      <c r="DX198">
        <f>IF(Sheet1!2662:2662,"AAAAAFP//38=",0)</f>
        <v>0</v>
      </c>
      <c r="DY198" t="e">
        <f>AND(Sheet1!A2662,"AAAAAFP//4A=")</f>
        <v>#VALUE!</v>
      </c>
      <c r="DZ198" t="e">
        <f>AND(Sheet1!B2662,"AAAAAFP//4E=")</f>
        <v>#VALUE!</v>
      </c>
      <c r="EA198" t="e">
        <f>AND(Sheet1!C2662,"AAAAAFP//4I=")</f>
        <v>#VALUE!</v>
      </c>
      <c r="EB198" t="e">
        <f>AND(Sheet1!D2662,"AAAAAFP//4M=")</f>
        <v>#VALUE!</v>
      </c>
      <c r="EC198" t="e">
        <f>AND(Sheet1!E2662,"AAAAAFP//4Q=")</f>
        <v>#VALUE!</v>
      </c>
      <c r="ED198" t="e">
        <f>AND(Sheet1!F2662,"AAAAAFP//4U=")</f>
        <v>#VALUE!</v>
      </c>
      <c r="EE198" t="e">
        <f>AND(Sheet1!G2662,"AAAAAFP//4Y=")</f>
        <v>#VALUE!</v>
      </c>
      <c r="EF198" t="e">
        <f>AND(Sheet1!H2662,"AAAAAFP//4c=")</f>
        <v>#VALUE!</v>
      </c>
      <c r="EG198" t="e">
        <f>AND(Sheet1!I2662,"AAAAAFP//4g=")</f>
        <v>#VALUE!</v>
      </c>
      <c r="EH198" t="e">
        <f>AND(Sheet1!J2662,"AAAAAFP//4k=")</f>
        <v>#VALUE!</v>
      </c>
      <c r="EI198" t="e">
        <f>AND(Sheet1!K2662,"AAAAAFP//4o=")</f>
        <v>#VALUE!</v>
      </c>
      <c r="EJ198" t="e">
        <f>AND(Sheet1!L2662,"AAAAAFP//4s=")</f>
        <v>#VALUE!</v>
      </c>
      <c r="EK198" t="e">
        <f>AND(Sheet1!M2662,"AAAAAFP//4w=")</f>
        <v>#VALUE!</v>
      </c>
      <c r="EL198" t="e">
        <f>AND(Sheet1!N2662,"AAAAAFP//40=")</f>
        <v>#VALUE!</v>
      </c>
      <c r="EM198" t="e">
        <f>AND(Sheet1!#REF!,"AAAAAFP//44=")</f>
        <v>#REF!</v>
      </c>
      <c r="EN198" t="e">
        <f>AND(Sheet1!#REF!,"AAAAAFP//48=")</f>
        <v>#REF!</v>
      </c>
      <c r="EO198" t="e">
        <f>AND(Sheet1!#REF!,"AAAAAFP//5A=")</f>
        <v>#REF!</v>
      </c>
      <c r="EP198" t="e">
        <f>AND(Sheet1!#REF!,"AAAAAFP//5E=")</f>
        <v>#REF!</v>
      </c>
      <c r="EQ198">
        <f>IF(Sheet1!2663:2663,"AAAAAFP//5I=",0)</f>
        <v>0</v>
      </c>
      <c r="ER198" t="e">
        <f>AND(Sheet1!A2663,"AAAAAFP//5M=")</f>
        <v>#VALUE!</v>
      </c>
      <c r="ES198" t="e">
        <f>AND(Sheet1!B2663,"AAAAAFP//5Q=")</f>
        <v>#VALUE!</v>
      </c>
      <c r="ET198" t="e">
        <f>AND(Sheet1!C2663,"AAAAAFP//5U=")</f>
        <v>#VALUE!</v>
      </c>
      <c r="EU198" t="e">
        <f>AND(Sheet1!D2663,"AAAAAFP//5Y=")</f>
        <v>#VALUE!</v>
      </c>
      <c r="EV198" t="e">
        <f>AND(Sheet1!E2663,"AAAAAFP//5c=")</f>
        <v>#VALUE!</v>
      </c>
      <c r="EW198" t="e">
        <f>AND(Sheet1!F2663,"AAAAAFP//5g=")</f>
        <v>#VALUE!</v>
      </c>
      <c r="EX198" t="e">
        <f>AND(Sheet1!G2663,"AAAAAFP//5k=")</f>
        <v>#VALUE!</v>
      </c>
      <c r="EY198" t="e">
        <f>AND(Sheet1!H2663,"AAAAAFP//5o=")</f>
        <v>#VALUE!</v>
      </c>
      <c r="EZ198" t="e">
        <f>AND(Sheet1!I2663,"AAAAAFP//5s=")</f>
        <v>#VALUE!</v>
      </c>
      <c r="FA198" t="e">
        <f>AND(Sheet1!J2663,"AAAAAFP//5w=")</f>
        <v>#VALUE!</v>
      </c>
      <c r="FB198" t="e">
        <f>AND(Sheet1!K2663,"AAAAAFP//50=")</f>
        <v>#VALUE!</v>
      </c>
      <c r="FC198" t="e">
        <f>AND(Sheet1!L2663,"AAAAAFP//54=")</f>
        <v>#VALUE!</v>
      </c>
      <c r="FD198" t="e">
        <f>AND(Sheet1!M2663,"AAAAAFP//58=")</f>
        <v>#VALUE!</v>
      </c>
      <c r="FE198" t="e">
        <f>AND(Sheet1!N2663,"AAAAAFP//6A=")</f>
        <v>#VALUE!</v>
      </c>
      <c r="FF198" t="e">
        <f>AND(Sheet1!#REF!,"AAAAAFP//6E=")</f>
        <v>#REF!</v>
      </c>
      <c r="FG198" t="e">
        <f>AND(Sheet1!#REF!,"AAAAAFP//6I=")</f>
        <v>#REF!</v>
      </c>
      <c r="FH198" t="e">
        <f>AND(Sheet1!#REF!,"AAAAAFP//6M=")</f>
        <v>#REF!</v>
      </c>
      <c r="FI198" t="e">
        <f>AND(Sheet1!#REF!,"AAAAAFP//6Q=")</f>
        <v>#REF!</v>
      </c>
      <c r="FJ198">
        <f>IF(Sheet1!2664:2664,"AAAAAFP//6U=",0)</f>
        <v>0</v>
      </c>
      <c r="FK198" t="e">
        <f>AND(Sheet1!A2664,"AAAAAFP//6Y=")</f>
        <v>#VALUE!</v>
      </c>
      <c r="FL198" t="e">
        <f>AND(Sheet1!B2664,"AAAAAFP//6c=")</f>
        <v>#VALUE!</v>
      </c>
      <c r="FM198" t="e">
        <f>AND(Sheet1!C2664,"AAAAAFP//6g=")</f>
        <v>#VALUE!</v>
      </c>
      <c r="FN198" t="e">
        <f>AND(Sheet1!D2664,"AAAAAFP//6k=")</f>
        <v>#VALUE!</v>
      </c>
      <c r="FO198" t="e">
        <f>AND(Sheet1!E2664,"AAAAAFP//6o=")</f>
        <v>#VALUE!</v>
      </c>
      <c r="FP198" t="e">
        <f>AND(Sheet1!F2664,"AAAAAFP//6s=")</f>
        <v>#VALUE!</v>
      </c>
      <c r="FQ198" t="e">
        <f>AND(Sheet1!G2664,"AAAAAFP//6w=")</f>
        <v>#VALUE!</v>
      </c>
      <c r="FR198" t="e">
        <f>AND(Sheet1!H2664,"AAAAAFP//60=")</f>
        <v>#VALUE!</v>
      </c>
      <c r="FS198" t="e">
        <f>AND(Sheet1!I2664,"AAAAAFP//64=")</f>
        <v>#VALUE!</v>
      </c>
      <c r="FT198" t="e">
        <f>AND(Sheet1!J2664,"AAAAAFP//68=")</f>
        <v>#VALUE!</v>
      </c>
      <c r="FU198" t="e">
        <f>AND(Sheet1!K2664,"AAAAAFP//7A=")</f>
        <v>#VALUE!</v>
      </c>
      <c r="FV198" t="e">
        <f>AND(Sheet1!L2664,"AAAAAFP//7E=")</f>
        <v>#VALUE!</v>
      </c>
      <c r="FW198" t="e">
        <f>AND(Sheet1!M2664,"AAAAAFP//7I=")</f>
        <v>#VALUE!</v>
      </c>
      <c r="FX198" t="e">
        <f>AND(Sheet1!N2664,"AAAAAFP//7M=")</f>
        <v>#VALUE!</v>
      </c>
      <c r="FY198" t="e">
        <f>AND(Sheet1!#REF!,"AAAAAFP//7Q=")</f>
        <v>#REF!</v>
      </c>
      <c r="FZ198" t="e">
        <f>AND(Sheet1!#REF!,"AAAAAFP//7U=")</f>
        <v>#REF!</v>
      </c>
      <c r="GA198" t="e">
        <f>AND(Sheet1!#REF!,"AAAAAFP//7Y=")</f>
        <v>#REF!</v>
      </c>
      <c r="GB198" t="e">
        <f>AND(Sheet1!#REF!,"AAAAAFP//7c=")</f>
        <v>#REF!</v>
      </c>
      <c r="GC198">
        <f>IF(Sheet1!2665:2665,"AAAAAFP//7g=",0)</f>
        <v>0</v>
      </c>
      <c r="GD198" t="e">
        <f>AND(Sheet1!A2665,"AAAAAFP//7k=")</f>
        <v>#VALUE!</v>
      </c>
      <c r="GE198" t="e">
        <f>AND(Sheet1!B2665,"AAAAAFP//7o=")</f>
        <v>#VALUE!</v>
      </c>
      <c r="GF198" t="e">
        <f>AND(Sheet1!C2665,"AAAAAFP//7s=")</f>
        <v>#VALUE!</v>
      </c>
      <c r="GG198" t="e">
        <f>AND(Sheet1!D2665,"AAAAAFP//7w=")</f>
        <v>#VALUE!</v>
      </c>
      <c r="GH198" t="e">
        <f>AND(Sheet1!E2665,"AAAAAFP//70=")</f>
        <v>#VALUE!</v>
      </c>
      <c r="GI198" t="e">
        <f>AND(Sheet1!F2665,"AAAAAFP//74=")</f>
        <v>#VALUE!</v>
      </c>
      <c r="GJ198" t="e">
        <f>AND(Sheet1!G2665,"AAAAAFP//78=")</f>
        <v>#VALUE!</v>
      </c>
      <c r="GK198" t="e">
        <f>AND(Sheet1!H2665,"AAAAAFP//8A=")</f>
        <v>#VALUE!</v>
      </c>
      <c r="GL198" t="e">
        <f>AND(Sheet1!I2665,"AAAAAFP//8E=")</f>
        <v>#VALUE!</v>
      </c>
      <c r="GM198" t="e">
        <f>AND(Sheet1!J2665,"AAAAAFP//8I=")</f>
        <v>#VALUE!</v>
      </c>
      <c r="GN198" t="e">
        <f>AND(Sheet1!K2665,"AAAAAFP//8M=")</f>
        <v>#VALUE!</v>
      </c>
      <c r="GO198" t="e">
        <f>AND(Sheet1!L2665,"AAAAAFP//8Q=")</f>
        <v>#VALUE!</v>
      </c>
      <c r="GP198" t="e">
        <f>AND(Sheet1!M2665,"AAAAAFP//8U=")</f>
        <v>#VALUE!</v>
      </c>
      <c r="GQ198" t="e">
        <f>AND(Sheet1!N2665,"AAAAAFP//8Y=")</f>
        <v>#VALUE!</v>
      </c>
      <c r="GR198" t="e">
        <f>AND(Sheet1!#REF!,"AAAAAFP//8c=")</f>
        <v>#REF!</v>
      </c>
      <c r="GS198" t="e">
        <f>AND(Sheet1!#REF!,"AAAAAFP//8g=")</f>
        <v>#REF!</v>
      </c>
      <c r="GT198" t="e">
        <f>AND(Sheet1!#REF!,"AAAAAFP//8k=")</f>
        <v>#REF!</v>
      </c>
      <c r="GU198" t="e">
        <f>AND(Sheet1!#REF!,"AAAAAFP//8o=")</f>
        <v>#REF!</v>
      </c>
      <c r="GV198">
        <f>IF(Sheet1!2666:2666,"AAAAAFP//8s=",0)</f>
        <v>0</v>
      </c>
      <c r="GW198" t="e">
        <f>AND(Sheet1!A2666,"AAAAAFP//8w=")</f>
        <v>#VALUE!</v>
      </c>
      <c r="GX198" t="e">
        <f>AND(Sheet1!B2666,"AAAAAFP//80=")</f>
        <v>#VALUE!</v>
      </c>
      <c r="GY198" t="e">
        <f>AND(Sheet1!C2666,"AAAAAFP//84=")</f>
        <v>#VALUE!</v>
      </c>
      <c r="GZ198" t="e">
        <f>AND(Sheet1!D2666,"AAAAAFP//88=")</f>
        <v>#VALUE!</v>
      </c>
      <c r="HA198" t="e">
        <f>AND(Sheet1!E2666,"AAAAAFP//9A=")</f>
        <v>#VALUE!</v>
      </c>
      <c r="HB198" t="e">
        <f>AND(Sheet1!F2666,"AAAAAFP//9E=")</f>
        <v>#VALUE!</v>
      </c>
      <c r="HC198" t="e">
        <f>AND(Sheet1!G2666,"AAAAAFP//9I=")</f>
        <v>#VALUE!</v>
      </c>
      <c r="HD198" t="e">
        <f>AND(Sheet1!H2666,"AAAAAFP//9M=")</f>
        <v>#VALUE!</v>
      </c>
      <c r="HE198" t="e">
        <f>AND(Sheet1!I2666,"AAAAAFP//9Q=")</f>
        <v>#VALUE!</v>
      </c>
      <c r="HF198" t="e">
        <f>AND(Sheet1!J2666,"AAAAAFP//9U=")</f>
        <v>#VALUE!</v>
      </c>
      <c r="HG198" t="e">
        <f>AND(Sheet1!K2666,"AAAAAFP//9Y=")</f>
        <v>#VALUE!</v>
      </c>
      <c r="HH198" t="e">
        <f>AND(Sheet1!L2666,"AAAAAFP//9c=")</f>
        <v>#VALUE!</v>
      </c>
      <c r="HI198" t="e">
        <f>AND(Sheet1!M2666,"AAAAAFP//9g=")</f>
        <v>#VALUE!</v>
      </c>
      <c r="HJ198" t="e">
        <f>AND(Sheet1!N2666,"AAAAAFP//9k=")</f>
        <v>#VALUE!</v>
      </c>
      <c r="HK198" t="e">
        <f>AND(Sheet1!#REF!,"AAAAAFP//9o=")</f>
        <v>#REF!</v>
      </c>
      <c r="HL198" t="e">
        <f>AND(Sheet1!#REF!,"AAAAAFP//9s=")</f>
        <v>#REF!</v>
      </c>
      <c r="HM198" t="e">
        <f>AND(Sheet1!#REF!,"AAAAAFP//9w=")</f>
        <v>#REF!</v>
      </c>
      <c r="HN198" t="e">
        <f>AND(Sheet1!#REF!,"AAAAAFP//90=")</f>
        <v>#REF!</v>
      </c>
      <c r="HO198">
        <f>IF(Sheet1!2667:2667,"AAAAAFP//94=",0)</f>
        <v>0</v>
      </c>
      <c r="HP198" t="e">
        <f>AND(Sheet1!A2667,"AAAAAFP//98=")</f>
        <v>#VALUE!</v>
      </c>
      <c r="HQ198" t="e">
        <f>AND(Sheet1!B2667,"AAAAAFP//+A=")</f>
        <v>#VALUE!</v>
      </c>
      <c r="HR198" t="e">
        <f>AND(Sheet1!C2667,"AAAAAFP//+E=")</f>
        <v>#VALUE!</v>
      </c>
      <c r="HS198" t="e">
        <f>AND(Sheet1!D2667,"AAAAAFP//+I=")</f>
        <v>#VALUE!</v>
      </c>
      <c r="HT198" t="e">
        <f>AND(Sheet1!E2667,"AAAAAFP//+M=")</f>
        <v>#VALUE!</v>
      </c>
      <c r="HU198" t="e">
        <f>AND(Sheet1!F2667,"AAAAAFP//+Q=")</f>
        <v>#VALUE!</v>
      </c>
      <c r="HV198" t="e">
        <f>AND(Sheet1!G2667,"AAAAAFP//+U=")</f>
        <v>#VALUE!</v>
      </c>
      <c r="HW198" t="e">
        <f>AND(Sheet1!H2667,"AAAAAFP//+Y=")</f>
        <v>#VALUE!</v>
      </c>
      <c r="HX198" t="e">
        <f>AND(Sheet1!I2667,"AAAAAFP//+c=")</f>
        <v>#VALUE!</v>
      </c>
      <c r="HY198" t="e">
        <f>AND(Sheet1!J2667,"AAAAAFP//+g=")</f>
        <v>#VALUE!</v>
      </c>
      <c r="HZ198" t="e">
        <f>AND(Sheet1!K2667,"AAAAAFP//+k=")</f>
        <v>#VALUE!</v>
      </c>
      <c r="IA198" t="e">
        <f>AND(Sheet1!L2667,"AAAAAFP//+o=")</f>
        <v>#VALUE!</v>
      </c>
      <c r="IB198" t="e">
        <f>AND(Sheet1!M2667,"AAAAAFP//+s=")</f>
        <v>#VALUE!</v>
      </c>
      <c r="IC198" t="e">
        <f>AND(Sheet1!N2667,"AAAAAFP//+w=")</f>
        <v>#VALUE!</v>
      </c>
      <c r="ID198" t="e">
        <f>AND(Sheet1!#REF!,"AAAAAFP//+0=")</f>
        <v>#REF!</v>
      </c>
      <c r="IE198" t="e">
        <f>AND(Sheet1!#REF!,"AAAAAFP//+4=")</f>
        <v>#REF!</v>
      </c>
      <c r="IF198" t="e">
        <f>AND(Sheet1!#REF!,"AAAAAFP//+8=")</f>
        <v>#REF!</v>
      </c>
      <c r="IG198" t="e">
        <f>AND(Sheet1!#REF!,"AAAAAFP///A=")</f>
        <v>#REF!</v>
      </c>
      <c r="IH198">
        <f>IF(Sheet1!2668:2668,"AAAAAFP///E=",0)</f>
        <v>0</v>
      </c>
      <c r="II198" t="e">
        <f>AND(Sheet1!A2668,"AAAAAFP///I=")</f>
        <v>#VALUE!</v>
      </c>
      <c r="IJ198" t="e">
        <f>AND(Sheet1!B2668,"AAAAAFP///M=")</f>
        <v>#VALUE!</v>
      </c>
      <c r="IK198" t="e">
        <f>AND(Sheet1!C2668,"AAAAAFP///Q=")</f>
        <v>#VALUE!</v>
      </c>
      <c r="IL198" t="e">
        <f>AND(Sheet1!D2668,"AAAAAFP///U=")</f>
        <v>#VALUE!</v>
      </c>
      <c r="IM198" t="e">
        <f>AND(Sheet1!E2668,"AAAAAFP///Y=")</f>
        <v>#VALUE!</v>
      </c>
      <c r="IN198" t="e">
        <f>AND(Sheet1!F2668,"AAAAAFP///c=")</f>
        <v>#VALUE!</v>
      </c>
      <c r="IO198" t="e">
        <f>AND(Sheet1!G2668,"AAAAAFP///g=")</f>
        <v>#VALUE!</v>
      </c>
      <c r="IP198" t="e">
        <f>AND(Sheet1!H2668,"AAAAAFP///k=")</f>
        <v>#VALUE!</v>
      </c>
      <c r="IQ198" t="e">
        <f>AND(Sheet1!I2668,"AAAAAFP///o=")</f>
        <v>#VALUE!</v>
      </c>
      <c r="IR198" t="e">
        <f>AND(Sheet1!J2668,"AAAAAFP///s=")</f>
        <v>#VALUE!</v>
      </c>
      <c r="IS198" t="e">
        <f>AND(Sheet1!K2668,"AAAAAFP///w=")</f>
        <v>#VALUE!</v>
      </c>
      <c r="IT198" t="e">
        <f>AND(Sheet1!L2668,"AAAAAFP///0=")</f>
        <v>#VALUE!</v>
      </c>
      <c r="IU198" t="e">
        <f>AND(Sheet1!M2668,"AAAAAFP///4=")</f>
        <v>#VALUE!</v>
      </c>
      <c r="IV198" t="e">
        <f>AND(Sheet1!N2668,"AAAAAFP///8=")</f>
        <v>#VALUE!</v>
      </c>
    </row>
    <row r="199" spans="1:256" x14ac:dyDescent="0.2">
      <c r="A199" t="e">
        <f>AND(Sheet1!#REF!,"AAAAAHv3/wA=")</f>
        <v>#REF!</v>
      </c>
      <c r="B199" t="e">
        <f>AND(Sheet1!#REF!,"AAAAAHv3/wE=")</f>
        <v>#REF!</v>
      </c>
      <c r="C199" t="e">
        <f>AND(Sheet1!#REF!,"AAAAAHv3/wI=")</f>
        <v>#REF!</v>
      </c>
      <c r="D199" t="e">
        <f>AND(Sheet1!#REF!,"AAAAAHv3/wM=")</f>
        <v>#REF!</v>
      </c>
      <c r="E199" t="str">
        <f>IF(Sheet1!2669:2669,"AAAAAHv3/wQ=",0)</f>
        <v>AAAAAHv3/wQ=</v>
      </c>
      <c r="F199" t="e">
        <f>AND(Sheet1!A2669,"AAAAAHv3/wU=")</f>
        <v>#VALUE!</v>
      </c>
      <c r="G199" t="e">
        <f>AND(Sheet1!B2669,"AAAAAHv3/wY=")</f>
        <v>#VALUE!</v>
      </c>
      <c r="H199" t="e">
        <f>AND(Sheet1!C2669,"AAAAAHv3/wc=")</f>
        <v>#VALUE!</v>
      </c>
      <c r="I199" t="e">
        <f>AND(Sheet1!D2669,"AAAAAHv3/wg=")</f>
        <v>#VALUE!</v>
      </c>
      <c r="J199" t="e">
        <f>AND(Sheet1!E2669,"AAAAAHv3/wk=")</f>
        <v>#VALUE!</v>
      </c>
      <c r="K199" t="e">
        <f>AND(Sheet1!F2669,"AAAAAHv3/wo=")</f>
        <v>#VALUE!</v>
      </c>
      <c r="L199" t="e">
        <f>AND(Sheet1!G2669,"AAAAAHv3/ws=")</f>
        <v>#VALUE!</v>
      </c>
      <c r="M199" t="e">
        <f>AND(Sheet1!H2669,"AAAAAHv3/ww=")</f>
        <v>#VALUE!</v>
      </c>
      <c r="N199" t="e">
        <f>AND(Sheet1!I2669,"AAAAAHv3/w0=")</f>
        <v>#VALUE!</v>
      </c>
      <c r="O199" t="e">
        <f>AND(Sheet1!J2669,"AAAAAHv3/w4=")</f>
        <v>#VALUE!</v>
      </c>
      <c r="P199" t="e">
        <f>AND(Sheet1!K2669,"AAAAAHv3/w8=")</f>
        <v>#VALUE!</v>
      </c>
      <c r="Q199" t="e">
        <f>AND(Sheet1!L2669,"AAAAAHv3/xA=")</f>
        <v>#VALUE!</v>
      </c>
      <c r="R199" t="e">
        <f>AND(Sheet1!M2669,"AAAAAHv3/xE=")</f>
        <v>#VALUE!</v>
      </c>
      <c r="S199" t="e">
        <f>AND(Sheet1!N2669,"AAAAAHv3/xI=")</f>
        <v>#VALUE!</v>
      </c>
      <c r="T199" t="e">
        <f>AND(Sheet1!#REF!,"AAAAAHv3/xM=")</f>
        <v>#REF!</v>
      </c>
      <c r="U199" t="e">
        <f>AND(Sheet1!#REF!,"AAAAAHv3/xQ=")</f>
        <v>#REF!</v>
      </c>
      <c r="V199" t="e">
        <f>AND(Sheet1!#REF!,"AAAAAHv3/xU=")</f>
        <v>#REF!</v>
      </c>
      <c r="W199" t="e">
        <f>AND(Sheet1!#REF!,"AAAAAHv3/xY=")</f>
        <v>#REF!</v>
      </c>
      <c r="X199">
        <f>IF(Sheet1!2670:2670,"AAAAAHv3/xc=",0)</f>
        <v>0</v>
      </c>
      <c r="Y199" t="e">
        <f>AND(Sheet1!A2670,"AAAAAHv3/xg=")</f>
        <v>#VALUE!</v>
      </c>
      <c r="Z199" t="e">
        <f>AND(Sheet1!B2670,"AAAAAHv3/xk=")</f>
        <v>#VALUE!</v>
      </c>
      <c r="AA199" t="e">
        <f>AND(Sheet1!C2670,"AAAAAHv3/xo=")</f>
        <v>#VALUE!</v>
      </c>
      <c r="AB199" t="e">
        <f>AND(Sheet1!D2670,"AAAAAHv3/xs=")</f>
        <v>#VALUE!</v>
      </c>
      <c r="AC199" t="e">
        <f>AND(Sheet1!E2670,"AAAAAHv3/xw=")</f>
        <v>#VALUE!</v>
      </c>
      <c r="AD199" t="e">
        <f>AND(Sheet1!F2670,"AAAAAHv3/x0=")</f>
        <v>#VALUE!</v>
      </c>
      <c r="AE199" t="e">
        <f>AND(Sheet1!G2670,"AAAAAHv3/x4=")</f>
        <v>#VALUE!</v>
      </c>
      <c r="AF199" t="e">
        <f>AND(Sheet1!H2670,"AAAAAHv3/x8=")</f>
        <v>#VALUE!</v>
      </c>
      <c r="AG199" t="e">
        <f>AND(Sheet1!I2670,"AAAAAHv3/yA=")</f>
        <v>#VALUE!</v>
      </c>
      <c r="AH199" t="e">
        <f>AND(Sheet1!J2670,"AAAAAHv3/yE=")</f>
        <v>#VALUE!</v>
      </c>
      <c r="AI199" t="e">
        <f>AND(Sheet1!K2670,"AAAAAHv3/yI=")</f>
        <v>#VALUE!</v>
      </c>
      <c r="AJ199" t="e">
        <f>AND(Sheet1!L2670,"AAAAAHv3/yM=")</f>
        <v>#VALUE!</v>
      </c>
      <c r="AK199" t="e">
        <f>AND(Sheet1!M2670,"AAAAAHv3/yQ=")</f>
        <v>#VALUE!</v>
      </c>
      <c r="AL199" t="e">
        <f>AND(Sheet1!N2670,"AAAAAHv3/yU=")</f>
        <v>#VALUE!</v>
      </c>
      <c r="AM199" t="e">
        <f>AND(Sheet1!#REF!,"AAAAAHv3/yY=")</f>
        <v>#REF!</v>
      </c>
      <c r="AN199" t="e">
        <f>AND(Sheet1!#REF!,"AAAAAHv3/yc=")</f>
        <v>#REF!</v>
      </c>
      <c r="AO199" t="e">
        <f>AND(Sheet1!#REF!,"AAAAAHv3/yg=")</f>
        <v>#REF!</v>
      </c>
      <c r="AP199" t="e">
        <f>AND(Sheet1!#REF!,"AAAAAHv3/yk=")</f>
        <v>#REF!</v>
      </c>
      <c r="AQ199">
        <f>IF(Sheet1!2671:2671,"AAAAAHv3/yo=",0)</f>
        <v>0</v>
      </c>
      <c r="AR199" t="e">
        <f>AND(Sheet1!A2671,"AAAAAHv3/ys=")</f>
        <v>#VALUE!</v>
      </c>
      <c r="AS199" t="e">
        <f>AND(Sheet1!B2671,"AAAAAHv3/yw=")</f>
        <v>#VALUE!</v>
      </c>
      <c r="AT199" t="e">
        <f>AND(Sheet1!C2671,"AAAAAHv3/y0=")</f>
        <v>#VALUE!</v>
      </c>
      <c r="AU199" t="e">
        <f>AND(Sheet1!D2671,"AAAAAHv3/y4=")</f>
        <v>#VALUE!</v>
      </c>
      <c r="AV199" t="e">
        <f>AND(Sheet1!E2671,"AAAAAHv3/y8=")</f>
        <v>#VALUE!</v>
      </c>
      <c r="AW199" t="e">
        <f>AND(Sheet1!F2671,"AAAAAHv3/zA=")</f>
        <v>#VALUE!</v>
      </c>
      <c r="AX199" t="e">
        <f>AND(Sheet1!G2671,"AAAAAHv3/zE=")</f>
        <v>#VALUE!</v>
      </c>
      <c r="AY199" t="e">
        <f>AND(Sheet1!H2671,"AAAAAHv3/zI=")</f>
        <v>#VALUE!</v>
      </c>
      <c r="AZ199" t="e">
        <f>AND(Sheet1!I2671,"AAAAAHv3/zM=")</f>
        <v>#VALUE!</v>
      </c>
      <c r="BA199" t="e">
        <f>AND(Sheet1!J2671,"AAAAAHv3/zQ=")</f>
        <v>#VALUE!</v>
      </c>
      <c r="BB199" t="e">
        <f>AND(Sheet1!K2671,"AAAAAHv3/zU=")</f>
        <v>#VALUE!</v>
      </c>
      <c r="BC199" t="e">
        <f>AND(Sheet1!L2671,"AAAAAHv3/zY=")</f>
        <v>#VALUE!</v>
      </c>
      <c r="BD199" t="e">
        <f>AND(Sheet1!M2671,"AAAAAHv3/zc=")</f>
        <v>#VALUE!</v>
      </c>
      <c r="BE199" t="e">
        <f>AND(Sheet1!N2671,"AAAAAHv3/zg=")</f>
        <v>#VALUE!</v>
      </c>
      <c r="BF199" t="e">
        <f>AND(Sheet1!#REF!,"AAAAAHv3/zk=")</f>
        <v>#REF!</v>
      </c>
      <c r="BG199" t="e">
        <f>AND(Sheet1!#REF!,"AAAAAHv3/zo=")</f>
        <v>#REF!</v>
      </c>
      <c r="BH199" t="e">
        <f>AND(Sheet1!#REF!,"AAAAAHv3/zs=")</f>
        <v>#REF!</v>
      </c>
      <c r="BI199" t="e">
        <f>AND(Sheet1!#REF!,"AAAAAHv3/zw=")</f>
        <v>#REF!</v>
      </c>
      <c r="BJ199">
        <f>IF(Sheet1!2672:2672,"AAAAAHv3/z0=",0)</f>
        <v>0</v>
      </c>
      <c r="BK199" t="e">
        <f>AND(Sheet1!A2672,"AAAAAHv3/z4=")</f>
        <v>#VALUE!</v>
      </c>
      <c r="BL199" t="e">
        <f>AND(Sheet1!B2672,"AAAAAHv3/z8=")</f>
        <v>#VALUE!</v>
      </c>
      <c r="BM199" t="e">
        <f>AND(Sheet1!C2672,"AAAAAHv3/0A=")</f>
        <v>#VALUE!</v>
      </c>
      <c r="BN199" t="e">
        <f>AND(Sheet1!D2672,"AAAAAHv3/0E=")</f>
        <v>#VALUE!</v>
      </c>
      <c r="BO199" t="e">
        <f>AND(Sheet1!E2672,"AAAAAHv3/0I=")</f>
        <v>#VALUE!</v>
      </c>
      <c r="BP199" t="e">
        <f>AND(Sheet1!F2672,"AAAAAHv3/0M=")</f>
        <v>#VALUE!</v>
      </c>
      <c r="BQ199" t="e">
        <f>AND(Sheet1!G2672,"AAAAAHv3/0Q=")</f>
        <v>#VALUE!</v>
      </c>
      <c r="BR199" t="e">
        <f>AND(Sheet1!H2672,"AAAAAHv3/0U=")</f>
        <v>#VALUE!</v>
      </c>
      <c r="BS199" t="e">
        <f>AND(Sheet1!I2672,"AAAAAHv3/0Y=")</f>
        <v>#VALUE!</v>
      </c>
      <c r="BT199" t="e">
        <f>AND(Sheet1!J2672,"AAAAAHv3/0c=")</f>
        <v>#VALUE!</v>
      </c>
      <c r="BU199" t="e">
        <f>AND(Sheet1!K2672,"AAAAAHv3/0g=")</f>
        <v>#VALUE!</v>
      </c>
      <c r="BV199" t="e">
        <f>AND(Sheet1!L2672,"AAAAAHv3/0k=")</f>
        <v>#VALUE!</v>
      </c>
      <c r="BW199" t="e">
        <f>AND(Sheet1!M2672,"AAAAAHv3/0o=")</f>
        <v>#VALUE!</v>
      </c>
      <c r="BX199" t="e">
        <f>AND(Sheet1!N2672,"AAAAAHv3/0s=")</f>
        <v>#VALUE!</v>
      </c>
      <c r="BY199" t="e">
        <f>AND(Sheet1!#REF!,"AAAAAHv3/0w=")</f>
        <v>#REF!</v>
      </c>
      <c r="BZ199" t="e">
        <f>AND(Sheet1!#REF!,"AAAAAHv3/00=")</f>
        <v>#REF!</v>
      </c>
      <c r="CA199" t="e">
        <f>AND(Sheet1!#REF!,"AAAAAHv3/04=")</f>
        <v>#REF!</v>
      </c>
      <c r="CB199" t="e">
        <f>AND(Sheet1!#REF!,"AAAAAHv3/08=")</f>
        <v>#REF!</v>
      </c>
      <c r="CC199">
        <f>IF(Sheet1!2673:2673,"AAAAAHv3/1A=",0)</f>
        <v>0</v>
      </c>
      <c r="CD199" t="e">
        <f>AND(Sheet1!A2673,"AAAAAHv3/1E=")</f>
        <v>#VALUE!</v>
      </c>
      <c r="CE199" t="e">
        <f>AND(Sheet1!B2673,"AAAAAHv3/1I=")</f>
        <v>#VALUE!</v>
      </c>
      <c r="CF199" t="e">
        <f>AND(Sheet1!C2673,"AAAAAHv3/1M=")</f>
        <v>#VALUE!</v>
      </c>
      <c r="CG199" t="e">
        <f>AND(Sheet1!D2673,"AAAAAHv3/1Q=")</f>
        <v>#VALUE!</v>
      </c>
      <c r="CH199" t="e">
        <f>AND(Sheet1!E2673,"AAAAAHv3/1U=")</f>
        <v>#VALUE!</v>
      </c>
      <c r="CI199" t="e">
        <f>AND(Sheet1!F2673,"AAAAAHv3/1Y=")</f>
        <v>#VALUE!</v>
      </c>
      <c r="CJ199" t="e">
        <f>AND(Sheet1!G2673,"AAAAAHv3/1c=")</f>
        <v>#VALUE!</v>
      </c>
      <c r="CK199" t="e">
        <f>AND(Sheet1!H2673,"AAAAAHv3/1g=")</f>
        <v>#VALUE!</v>
      </c>
      <c r="CL199" t="e">
        <f>AND(Sheet1!I2673,"AAAAAHv3/1k=")</f>
        <v>#VALUE!</v>
      </c>
      <c r="CM199" t="e">
        <f>AND(Sheet1!J2673,"AAAAAHv3/1o=")</f>
        <v>#VALUE!</v>
      </c>
      <c r="CN199" t="e">
        <f>AND(Sheet1!K2673,"AAAAAHv3/1s=")</f>
        <v>#VALUE!</v>
      </c>
      <c r="CO199" t="e">
        <f>AND(Sheet1!L2673,"AAAAAHv3/1w=")</f>
        <v>#VALUE!</v>
      </c>
      <c r="CP199" t="e">
        <f>AND(Sheet1!M2673,"AAAAAHv3/10=")</f>
        <v>#VALUE!</v>
      </c>
      <c r="CQ199" t="e">
        <f>AND(Sheet1!N2673,"AAAAAHv3/14=")</f>
        <v>#VALUE!</v>
      </c>
      <c r="CR199" t="e">
        <f>AND(Sheet1!#REF!,"AAAAAHv3/18=")</f>
        <v>#REF!</v>
      </c>
      <c r="CS199" t="e">
        <f>AND(Sheet1!#REF!,"AAAAAHv3/2A=")</f>
        <v>#REF!</v>
      </c>
      <c r="CT199" t="e">
        <f>AND(Sheet1!#REF!,"AAAAAHv3/2E=")</f>
        <v>#REF!</v>
      </c>
      <c r="CU199" t="e">
        <f>AND(Sheet1!#REF!,"AAAAAHv3/2I=")</f>
        <v>#REF!</v>
      </c>
      <c r="CV199">
        <f>IF(Sheet1!2674:2674,"AAAAAHv3/2M=",0)</f>
        <v>0</v>
      </c>
      <c r="CW199" t="e">
        <f>AND(Sheet1!A2674,"AAAAAHv3/2Q=")</f>
        <v>#VALUE!</v>
      </c>
      <c r="CX199" t="e">
        <f>AND(Sheet1!B2674,"AAAAAHv3/2U=")</f>
        <v>#VALUE!</v>
      </c>
      <c r="CY199" t="e">
        <f>AND(Sheet1!C2674,"AAAAAHv3/2Y=")</f>
        <v>#VALUE!</v>
      </c>
      <c r="CZ199" t="e">
        <f>AND(Sheet1!D2674,"AAAAAHv3/2c=")</f>
        <v>#VALUE!</v>
      </c>
      <c r="DA199" t="e">
        <f>AND(Sheet1!E2674,"AAAAAHv3/2g=")</f>
        <v>#VALUE!</v>
      </c>
      <c r="DB199" t="e">
        <f>AND(Sheet1!F2674,"AAAAAHv3/2k=")</f>
        <v>#VALUE!</v>
      </c>
      <c r="DC199" t="e">
        <f>AND(Sheet1!G2674,"AAAAAHv3/2o=")</f>
        <v>#VALUE!</v>
      </c>
      <c r="DD199" t="e">
        <f>AND(Sheet1!H2674,"AAAAAHv3/2s=")</f>
        <v>#VALUE!</v>
      </c>
      <c r="DE199" t="e">
        <f>AND(Sheet1!I2674,"AAAAAHv3/2w=")</f>
        <v>#VALUE!</v>
      </c>
      <c r="DF199" t="e">
        <f>AND(Sheet1!J2674,"AAAAAHv3/20=")</f>
        <v>#VALUE!</v>
      </c>
      <c r="DG199" t="e">
        <f>AND(Sheet1!K2674,"AAAAAHv3/24=")</f>
        <v>#VALUE!</v>
      </c>
      <c r="DH199" t="e">
        <f>AND(Sheet1!L2674,"AAAAAHv3/28=")</f>
        <v>#VALUE!</v>
      </c>
      <c r="DI199" t="e">
        <f>AND(Sheet1!M2674,"AAAAAHv3/3A=")</f>
        <v>#VALUE!</v>
      </c>
      <c r="DJ199" t="e">
        <f>AND(Sheet1!N2674,"AAAAAHv3/3E=")</f>
        <v>#VALUE!</v>
      </c>
      <c r="DK199" t="e">
        <f>AND(Sheet1!#REF!,"AAAAAHv3/3I=")</f>
        <v>#REF!</v>
      </c>
      <c r="DL199" t="e">
        <f>AND(Sheet1!#REF!,"AAAAAHv3/3M=")</f>
        <v>#REF!</v>
      </c>
      <c r="DM199" t="e">
        <f>AND(Sheet1!#REF!,"AAAAAHv3/3Q=")</f>
        <v>#REF!</v>
      </c>
      <c r="DN199" t="e">
        <f>AND(Sheet1!#REF!,"AAAAAHv3/3U=")</f>
        <v>#REF!</v>
      </c>
      <c r="DO199">
        <f>IF(Sheet1!2675:2675,"AAAAAHv3/3Y=",0)</f>
        <v>0</v>
      </c>
      <c r="DP199" t="e">
        <f>AND(Sheet1!A2675,"AAAAAHv3/3c=")</f>
        <v>#VALUE!</v>
      </c>
      <c r="DQ199" t="e">
        <f>AND(Sheet1!B2675,"AAAAAHv3/3g=")</f>
        <v>#VALUE!</v>
      </c>
      <c r="DR199" t="e">
        <f>AND(Sheet1!C2675,"AAAAAHv3/3k=")</f>
        <v>#VALUE!</v>
      </c>
      <c r="DS199" t="e">
        <f>AND(Sheet1!D2675,"AAAAAHv3/3o=")</f>
        <v>#VALUE!</v>
      </c>
      <c r="DT199" t="e">
        <f>AND(Sheet1!E2675,"AAAAAHv3/3s=")</f>
        <v>#VALUE!</v>
      </c>
      <c r="DU199" t="e">
        <f>AND(Sheet1!F2675,"AAAAAHv3/3w=")</f>
        <v>#VALUE!</v>
      </c>
      <c r="DV199" t="e">
        <f>AND(Sheet1!G2675,"AAAAAHv3/30=")</f>
        <v>#VALUE!</v>
      </c>
      <c r="DW199" t="e">
        <f>AND(Sheet1!H2675,"AAAAAHv3/34=")</f>
        <v>#VALUE!</v>
      </c>
      <c r="DX199" t="e">
        <f>AND(Sheet1!I2675,"AAAAAHv3/38=")</f>
        <v>#VALUE!</v>
      </c>
      <c r="DY199" t="e">
        <f>AND(Sheet1!J2675,"AAAAAHv3/4A=")</f>
        <v>#VALUE!</v>
      </c>
      <c r="DZ199" t="e">
        <f>AND(Sheet1!K2675,"AAAAAHv3/4E=")</f>
        <v>#VALUE!</v>
      </c>
      <c r="EA199" t="e">
        <f>AND(Sheet1!L2675,"AAAAAHv3/4I=")</f>
        <v>#VALUE!</v>
      </c>
      <c r="EB199" t="e">
        <f>AND(Sheet1!M2675,"AAAAAHv3/4M=")</f>
        <v>#VALUE!</v>
      </c>
      <c r="EC199" t="e">
        <f>AND(Sheet1!N2675,"AAAAAHv3/4Q=")</f>
        <v>#VALUE!</v>
      </c>
      <c r="ED199" t="e">
        <f>AND(Sheet1!#REF!,"AAAAAHv3/4U=")</f>
        <v>#REF!</v>
      </c>
      <c r="EE199" t="e">
        <f>AND(Sheet1!#REF!,"AAAAAHv3/4Y=")</f>
        <v>#REF!</v>
      </c>
      <c r="EF199" t="e">
        <f>AND(Sheet1!#REF!,"AAAAAHv3/4c=")</f>
        <v>#REF!</v>
      </c>
      <c r="EG199" t="e">
        <f>AND(Sheet1!#REF!,"AAAAAHv3/4g=")</f>
        <v>#REF!</v>
      </c>
      <c r="EH199">
        <f>IF(Sheet1!2676:2676,"AAAAAHv3/4k=",0)</f>
        <v>0</v>
      </c>
      <c r="EI199" t="e">
        <f>AND(Sheet1!A2676,"AAAAAHv3/4o=")</f>
        <v>#VALUE!</v>
      </c>
      <c r="EJ199" t="e">
        <f>AND(Sheet1!B2676,"AAAAAHv3/4s=")</f>
        <v>#VALUE!</v>
      </c>
      <c r="EK199" t="e">
        <f>AND(Sheet1!C2676,"AAAAAHv3/4w=")</f>
        <v>#VALUE!</v>
      </c>
      <c r="EL199" t="e">
        <f>AND(Sheet1!D2676,"AAAAAHv3/40=")</f>
        <v>#VALUE!</v>
      </c>
      <c r="EM199" t="e">
        <f>AND(Sheet1!E2676,"AAAAAHv3/44=")</f>
        <v>#VALUE!</v>
      </c>
      <c r="EN199" t="e">
        <f>AND(Sheet1!F2676,"AAAAAHv3/48=")</f>
        <v>#VALUE!</v>
      </c>
      <c r="EO199" t="e">
        <f>AND(Sheet1!G2676,"AAAAAHv3/5A=")</f>
        <v>#VALUE!</v>
      </c>
      <c r="EP199" t="e">
        <f>AND(Sheet1!H2676,"AAAAAHv3/5E=")</f>
        <v>#VALUE!</v>
      </c>
      <c r="EQ199" t="e">
        <f>AND(Sheet1!I2676,"AAAAAHv3/5I=")</f>
        <v>#VALUE!</v>
      </c>
      <c r="ER199" t="e">
        <f>AND(Sheet1!J2676,"AAAAAHv3/5M=")</f>
        <v>#VALUE!</v>
      </c>
      <c r="ES199" t="e">
        <f>AND(Sheet1!K2676,"AAAAAHv3/5Q=")</f>
        <v>#VALUE!</v>
      </c>
      <c r="ET199" t="e">
        <f>AND(Sheet1!L2676,"AAAAAHv3/5U=")</f>
        <v>#VALUE!</v>
      </c>
      <c r="EU199" t="e">
        <f>AND(Sheet1!M2676,"AAAAAHv3/5Y=")</f>
        <v>#VALUE!</v>
      </c>
      <c r="EV199" t="e">
        <f>AND(Sheet1!N2676,"AAAAAHv3/5c=")</f>
        <v>#VALUE!</v>
      </c>
      <c r="EW199" t="e">
        <f>AND(Sheet1!#REF!,"AAAAAHv3/5g=")</f>
        <v>#REF!</v>
      </c>
      <c r="EX199" t="e">
        <f>AND(Sheet1!#REF!,"AAAAAHv3/5k=")</f>
        <v>#REF!</v>
      </c>
      <c r="EY199" t="e">
        <f>AND(Sheet1!#REF!,"AAAAAHv3/5o=")</f>
        <v>#REF!</v>
      </c>
      <c r="EZ199" t="e">
        <f>AND(Sheet1!#REF!,"AAAAAHv3/5s=")</f>
        <v>#REF!</v>
      </c>
      <c r="FA199">
        <f>IF(Sheet1!2677:2677,"AAAAAHv3/5w=",0)</f>
        <v>0</v>
      </c>
      <c r="FB199" t="e">
        <f>AND(Sheet1!A2677,"AAAAAHv3/50=")</f>
        <v>#VALUE!</v>
      </c>
      <c r="FC199" t="e">
        <f>AND(Sheet1!B2677,"AAAAAHv3/54=")</f>
        <v>#VALUE!</v>
      </c>
      <c r="FD199" t="e">
        <f>AND(Sheet1!C2677,"AAAAAHv3/58=")</f>
        <v>#VALUE!</v>
      </c>
      <c r="FE199" t="e">
        <f>AND(Sheet1!D2677,"AAAAAHv3/6A=")</f>
        <v>#VALUE!</v>
      </c>
      <c r="FF199" t="e">
        <f>AND(Sheet1!E2677,"AAAAAHv3/6E=")</f>
        <v>#VALUE!</v>
      </c>
      <c r="FG199" t="e">
        <f>AND(Sheet1!F2677,"AAAAAHv3/6I=")</f>
        <v>#VALUE!</v>
      </c>
      <c r="FH199" t="e">
        <f>AND(Sheet1!G2677,"AAAAAHv3/6M=")</f>
        <v>#VALUE!</v>
      </c>
      <c r="FI199" t="e">
        <f>AND(Sheet1!H2677,"AAAAAHv3/6Q=")</f>
        <v>#VALUE!</v>
      </c>
      <c r="FJ199" t="e">
        <f>AND(Sheet1!I2677,"AAAAAHv3/6U=")</f>
        <v>#VALUE!</v>
      </c>
      <c r="FK199" t="e">
        <f>AND(Sheet1!J2677,"AAAAAHv3/6Y=")</f>
        <v>#VALUE!</v>
      </c>
      <c r="FL199" t="e">
        <f>AND(Sheet1!K2677,"AAAAAHv3/6c=")</f>
        <v>#VALUE!</v>
      </c>
      <c r="FM199" t="e">
        <f>AND(Sheet1!L2677,"AAAAAHv3/6g=")</f>
        <v>#VALUE!</v>
      </c>
      <c r="FN199" t="e">
        <f>AND(Sheet1!M2677,"AAAAAHv3/6k=")</f>
        <v>#VALUE!</v>
      </c>
      <c r="FO199" t="e">
        <f>AND(Sheet1!N2677,"AAAAAHv3/6o=")</f>
        <v>#VALUE!</v>
      </c>
      <c r="FP199" t="e">
        <f>AND(Sheet1!#REF!,"AAAAAHv3/6s=")</f>
        <v>#REF!</v>
      </c>
      <c r="FQ199" t="e">
        <f>AND(Sheet1!#REF!,"AAAAAHv3/6w=")</f>
        <v>#REF!</v>
      </c>
      <c r="FR199" t="e">
        <f>AND(Sheet1!#REF!,"AAAAAHv3/60=")</f>
        <v>#REF!</v>
      </c>
      <c r="FS199" t="e">
        <f>AND(Sheet1!#REF!,"AAAAAHv3/64=")</f>
        <v>#REF!</v>
      </c>
      <c r="FT199">
        <f>IF(Sheet1!2678:2678,"AAAAAHv3/68=",0)</f>
        <v>0</v>
      </c>
      <c r="FU199" t="e">
        <f>AND(Sheet1!A2678,"AAAAAHv3/7A=")</f>
        <v>#VALUE!</v>
      </c>
      <c r="FV199" t="e">
        <f>AND(Sheet1!B2678,"AAAAAHv3/7E=")</f>
        <v>#VALUE!</v>
      </c>
      <c r="FW199" t="e">
        <f>AND(Sheet1!C2678,"AAAAAHv3/7I=")</f>
        <v>#VALUE!</v>
      </c>
      <c r="FX199" t="e">
        <f>AND(Sheet1!D2678,"AAAAAHv3/7M=")</f>
        <v>#VALUE!</v>
      </c>
      <c r="FY199" t="e">
        <f>AND(Sheet1!E2678,"AAAAAHv3/7Q=")</f>
        <v>#VALUE!</v>
      </c>
      <c r="FZ199" t="e">
        <f>AND(Sheet1!F2678,"AAAAAHv3/7U=")</f>
        <v>#VALUE!</v>
      </c>
      <c r="GA199" t="e">
        <f>AND(Sheet1!G2678,"AAAAAHv3/7Y=")</f>
        <v>#VALUE!</v>
      </c>
      <c r="GB199" t="e">
        <f>AND(Sheet1!H2678,"AAAAAHv3/7c=")</f>
        <v>#VALUE!</v>
      </c>
      <c r="GC199" t="e">
        <f>AND(Sheet1!I2678,"AAAAAHv3/7g=")</f>
        <v>#VALUE!</v>
      </c>
      <c r="GD199" t="e">
        <f>AND(Sheet1!J2678,"AAAAAHv3/7k=")</f>
        <v>#VALUE!</v>
      </c>
      <c r="GE199" t="e">
        <f>AND(Sheet1!K2678,"AAAAAHv3/7o=")</f>
        <v>#VALUE!</v>
      </c>
      <c r="GF199" t="e">
        <f>AND(Sheet1!L2678,"AAAAAHv3/7s=")</f>
        <v>#VALUE!</v>
      </c>
      <c r="GG199" t="e">
        <f>AND(Sheet1!M2678,"AAAAAHv3/7w=")</f>
        <v>#VALUE!</v>
      </c>
      <c r="GH199" t="e">
        <f>AND(Sheet1!N2678,"AAAAAHv3/70=")</f>
        <v>#VALUE!</v>
      </c>
      <c r="GI199" t="e">
        <f>AND(Sheet1!#REF!,"AAAAAHv3/74=")</f>
        <v>#REF!</v>
      </c>
      <c r="GJ199" t="e">
        <f>AND(Sheet1!#REF!,"AAAAAHv3/78=")</f>
        <v>#REF!</v>
      </c>
      <c r="GK199" t="e">
        <f>AND(Sheet1!#REF!,"AAAAAHv3/8A=")</f>
        <v>#REF!</v>
      </c>
      <c r="GL199" t="e">
        <f>AND(Sheet1!#REF!,"AAAAAHv3/8E=")</f>
        <v>#REF!</v>
      </c>
      <c r="GM199">
        <f>IF(Sheet1!2679:2679,"AAAAAHv3/8I=",0)</f>
        <v>0</v>
      </c>
      <c r="GN199" t="e">
        <f>AND(Sheet1!A2679,"AAAAAHv3/8M=")</f>
        <v>#VALUE!</v>
      </c>
      <c r="GO199" t="e">
        <f>AND(Sheet1!B2679,"AAAAAHv3/8Q=")</f>
        <v>#VALUE!</v>
      </c>
      <c r="GP199" t="e">
        <f>AND(Sheet1!C2679,"AAAAAHv3/8U=")</f>
        <v>#VALUE!</v>
      </c>
      <c r="GQ199" t="e">
        <f>AND(Sheet1!D2679,"AAAAAHv3/8Y=")</f>
        <v>#VALUE!</v>
      </c>
      <c r="GR199" t="e">
        <f>AND(Sheet1!E2679,"AAAAAHv3/8c=")</f>
        <v>#VALUE!</v>
      </c>
      <c r="GS199" t="e">
        <f>AND(Sheet1!F2679,"AAAAAHv3/8g=")</f>
        <v>#VALUE!</v>
      </c>
      <c r="GT199" t="e">
        <f>AND(Sheet1!G2679,"AAAAAHv3/8k=")</f>
        <v>#VALUE!</v>
      </c>
      <c r="GU199" t="e">
        <f>AND(Sheet1!H2679,"AAAAAHv3/8o=")</f>
        <v>#VALUE!</v>
      </c>
      <c r="GV199" t="e">
        <f>AND(Sheet1!I2679,"AAAAAHv3/8s=")</f>
        <v>#VALUE!</v>
      </c>
      <c r="GW199" t="e">
        <f>AND(Sheet1!J2679,"AAAAAHv3/8w=")</f>
        <v>#VALUE!</v>
      </c>
      <c r="GX199" t="e">
        <f>AND(Sheet1!K2679,"AAAAAHv3/80=")</f>
        <v>#VALUE!</v>
      </c>
      <c r="GY199" t="e">
        <f>AND(Sheet1!L2679,"AAAAAHv3/84=")</f>
        <v>#VALUE!</v>
      </c>
      <c r="GZ199" t="e">
        <f>AND(Sheet1!M2679,"AAAAAHv3/88=")</f>
        <v>#VALUE!</v>
      </c>
      <c r="HA199" t="e">
        <f>AND(Sheet1!N2679,"AAAAAHv3/9A=")</f>
        <v>#VALUE!</v>
      </c>
      <c r="HB199" t="e">
        <f>AND(Sheet1!#REF!,"AAAAAHv3/9E=")</f>
        <v>#REF!</v>
      </c>
      <c r="HC199" t="e">
        <f>AND(Sheet1!#REF!,"AAAAAHv3/9I=")</f>
        <v>#REF!</v>
      </c>
      <c r="HD199" t="e">
        <f>AND(Sheet1!#REF!,"AAAAAHv3/9M=")</f>
        <v>#REF!</v>
      </c>
      <c r="HE199" t="e">
        <f>AND(Sheet1!#REF!,"AAAAAHv3/9Q=")</f>
        <v>#REF!</v>
      </c>
      <c r="HF199">
        <f>IF(Sheet1!2680:2680,"AAAAAHv3/9U=",0)</f>
        <v>0</v>
      </c>
      <c r="HG199" t="e">
        <f>AND(Sheet1!A2680,"AAAAAHv3/9Y=")</f>
        <v>#VALUE!</v>
      </c>
      <c r="HH199" t="e">
        <f>AND(Sheet1!B2680,"AAAAAHv3/9c=")</f>
        <v>#VALUE!</v>
      </c>
      <c r="HI199" t="e">
        <f>AND(Sheet1!C2680,"AAAAAHv3/9g=")</f>
        <v>#VALUE!</v>
      </c>
      <c r="HJ199" t="e">
        <f>AND(Sheet1!D2680,"AAAAAHv3/9k=")</f>
        <v>#VALUE!</v>
      </c>
      <c r="HK199" t="e">
        <f>AND(Sheet1!E2680,"AAAAAHv3/9o=")</f>
        <v>#VALUE!</v>
      </c>
      <c r="HL199" t="e">
        <f>AND(Sheet1!F2680,"AAAAAHv3/9s=")</f>
        <v>#VALUE!</v>
      </c>
      <c r="HM199" t="e">
        <f>AND(Sheet1!G2680,"AAAAAHv3/9w=")</f>
        <v>#VALUE!</v>
      </c>
      <c r="HN199" t="e">
        <f>AND(Sheet1!H2680,"AAAAAHv3/90=")</f>
        <v>#VALUE!</v>
      </c>
      <c r="HO199" t="e">
        <f>AND(Sheet1!I2680,"AAAAAHv3/94=")</f>
        <v>#VALUE!</v>
      </c>
      <c r="HP199" t="e">
        <f>AND(Sheet1!J2680,"AAAAAHv3/98=")</f>
        <v>#VALUE!</v>
      </c>
      <c r="HQ199" t="e">
        <f>AND(Sheet1!K2680,"AAAAAHv3/+A=")</f>
        <v>#VALUE!</v>
      </c>
      <c r="HR199" t="e">
        <f>AND(Sheet1!L2680,"AAAAAHv3/+E=")</f>
        <v>#VALUE!</v>
      </c>
      <c r="HS199" t="e">
        <f>AND(Sheet1!M2680,"AAAAAHv3/+I=")</f>
        <v>#VALUE!</v>
      </c>
      <c r="HT199" t="e">
        <f>AND(Sheet1!N2680,"AAAAAHv3/+M=")</f>
        <v>#VALUE!</v>
      </c>
      <c r="HU199" t="e">
        <f>AND(Sheet1!#REF!,"AAAAAHv3/+Q=")</f>
        <v>#REF!</v>
      </c>
      <c r="HV199" t="e">
        <f>AND(Sheet1!#REF!,"AAAAAHv3/+U=")</f>
        <v>#REF!</v>
      </c>
      <c r="HW199" t="e">
        <f>AND(Sheet1!#REF!,"AAAAAHv3/+Y=")</f>
        <v>#REF!</v>
      </c>
      <c r="HX199" t="e">
        <f>AND(Sheet1!#REF!,"AAAAAHv3/+c=")</f>
        <v>#REF!</v>
      </c>
      <c r="HY199">
        <f>IF(Sheet1!2681:2681,"AAAAAHv3/+g=",0)</f>
        <v>0</v>
      </c>
      <c r="HZ199" t="e">
        <f>AND(Sheet1!A2681,"AAAAAHv3/+k=")</f>
        <v>#VALUE!</v>
      </c>
      <c r="IA199" t="e">
        <f>AND(Sheet1!B2681,"AAAAAHv3/+o=")</f>
        <v>#VALUE!</v>
      </c>
      <c r="IB199" t="e">
        <f>AND(Sheet1!C2681,"AAAAAHv3/+s=")</f>
        <v>#VALUE!</v>
      </c>
      <c r="IC199" t="e">
        <f>AND(Sheet1!D2681,"AAAAAHv3/+w=")</f>
        <v>#VALUE!</v>
      </c>
      <c r="ID199" t="e">
        <f>AND(Sheet1!E2681,"AAAAAHv3/+0=")</f>
        <v>#VALUE!</v>
      </c>
      <c r="IE199" t="e">
        <f>AND(Sheet1!F2681,"AAAAAHv3/+4=")</f>
        <v>#VALUE!</v>
      </c>
      <c r="IF199" t="e">
        <f>AND(Sheet1!G2681,"AAAAAHv3/+8=")</f>
        <v>#VALUE!</v>
      </c>
      <c r="IG199" t="e">
        <f>AND(Sheet1!H2681,"AAAAAHv3//A=")</f>
        <v>#VALUE!</v>
      </c>
      <c r="IH199" t="e">
        <f>AND(Sheet1!I2681,"AAAAAHv3//E=")</f>
        <v>#VALUE!</v>
      </c>
      <c r="II199" t="e">
        <f>AND(Sheet1!J2681,"AAAAAHv3//I=")</f>
        <v>#VALUE!</v>
      </c>
      <c r="IJ199" t="e">
        <f>AND(Sheet1!K2681,"AAAAAHv3//M=")</f>
        <v>#VALUE!</v>
      </c>
      <c r="IK199" t="e">
        <f>AND(Sheet1!L2681,"AAAAAHv3//Q=")</f>
        <v>#VALUE!</v>
      </c>
      <c r="IL199" t="e">
        <f>AND(Sheet1!M2681,"AAAAAHv3//U=")</f>
        <v>#VALUE!</v>
      </c>
      <c r="IM199" t="e">
        <f>AND(Sheet1!N2681,"AAAAAHv3//Y=")</f>
        <v>#VALUE!</v>
      </c>
      <c r="IN199" t="e">
        <f>AND(Sheet1!#REF!,"AAAAAHv3//c=")</f>
        <v>#REF!</v>
      </c>
      <c r="IO199" t="e">
        <f>AND(Sheet1!#REF!,"AAAAAHv3//g=")</f>
        <v>#REF!</v>
      </c>
      <c r="IP199" t="e">
        <f>AND(Sheet1!#REF!,"AAAAAHv3//k=")</f>
        <v>#REF!</v>
      </c>
      <c r="IQ199" t="e">
        <f>AND(Sheet1!#REF!,"AAAAAHv3//o=")</f>
        <v>#REF!</v>
      </c>
      <c r="IR199">
        <f>IF(Sheet1!2682:2682,"AAAAAHv3//s=",0)</f>
        <v>0</v>
      </c>
      <c r="IS199" t="e">
        <f>AND(Sheet1!A2682,"AAAAAHv3//w=")</f>
        <v>#VALUE!</v>
      </c>
      <c r="IT199" t="e">
        <f>AND(Sheet1!B2682,"AAAAAHv3//0=")</f>
        <v>#VALUE!</v>
      </c>
      <c r="IU199" t="e">
        <f>AND(Sheet1!C2682,"AAAAAHv3//4=")</f>
        <v>#VALUE!</v>
      </c>
      <c r="IV199" t="e">
        <f>AND(Sheet1!D2682,"AAAAAHv3//8=")</f>
        <v>#VALUE!</v>
      </c>
    </row>
    <row r="200" spans="1:256" x14ac:dyDescent="0.2">
      <c r="A200" t="e">
        <f>AND(Sheet1!E2682,"AAAAAHfvtQA=")</f>
        <v>#VALUE!</v>
      </c>
      <c r="B200" t="e">
        <f>AND(Sheet1!F2682,"AAAAAHfvtQE=")</f>
        <v>#VALUE!</v>
      </c>
      <c r="C200" t="e">
        <f>AND(Sheet1!G2682,"AAAAAHfvtQI=")</f>
        <v>#VALUE!</v>
      </c>
      <c r="D200" t="e">
        <f>AND(Sheet1!H2682,"AAAAAHfvtQM=")</f>
        <v>#VALUE!</v>
      </c>
      <c r="E200" t="e">
        <f>AND(Sheet1!I2682,"AAAAAHfvtQQ=")</f>
        <v>#VALUE!</v>
      </c>
      <c r="F200" t="e">
        <f>AND(Sheet1!J2682,"AAAAAHfvtQU=")</f>
        <v>#VALUE!</v>
      </c>
      <c r="G200" t="e">
        <f>AND(Sheet1!K2682,"AAAAAHfvtQY=")</f>
        <v>#VALUE!</v>
      </c>
      <c r="H200" t="e">
        <f>AND(Sheet1!L2682,"AAAAAHfvtQc=")</f>
        <v>#VALUE!</v>
      </c>
      <c r="I200" t="e">
        <f>AND(Sheet1!M2682,"AAAAAHfvtQg=")</f>
        <v>#VALUE!</v>
      </c>
      <c r="J200" t="e">
        <f>AND(Sheet1!N2682,"AAAAAHfvtQk=")</f>
        <v>#VALUE!</v>
      </c>
      <c r="K200" t="e">
        <f>AND(Sheet1!#REF!,"AAAAAHfvtQo=")</f>
        <v>#REF!</v>
      </c>
      <c r="L200" t="e">
        <f>AND(Sheet1!#REF!,"AAAAAHfvtQs=")</f>
        <v>#REF!</v>
      </c>
      <c r="M200" t="e">
        <f>AND(Sheet1!#REF!,"AAAAAHfvtQw=")</f>
        <v>#REF!</v>
      </c>
      <c r="N200" t="e">
        <f>AND(Sheet1!#REF!,"AAAAAHfvtQ0=")</f>
        <v>#REF!</v>
      </c>
      <c r="O200">
        <f>IF(Sheet1!2683:2683,"AAAAAHfvtQ4=",0)</f>
        <v>0</v>
      </c>
      <c r="P200" t="e">
        <f>AND(Sheet1!A2683,"AAAAAHfvtQ8=")</f>
        <v>#VALUE!</v>
      </c>
      <c r="Q200" t="e">
        <f>AND(Sheet1!B2683,"AAAAAHfvtRA=")</f>
        <v>#VALUE!</v>
      </c>
      <c r="R200" t="e">
        <f>AND(Sheet1!C2683,"AAAAAHfvtRE=")</f>
        <v>#VALUE!</v>
      </c>
      <c r="S200" t="e">
        <f>AND(Sheet1!D2683,"AAAAAHfvtRI=")</f>
        <v>#VALUE!</v>
      </c>
      <c r="T200" t="e">
        <f>AND(Sheet1!E2683,"AAAAAHfvtRM=")</f>
        <v>#VALUE!</v>
      </c>
      <c r="U200" t="e">
        <f>AND(Sheet1!F2683,"AAAAAHfvtRQ=")</f>
        <v>#VALUE!</v>
      </c>
      <c r="V200" t="e">
        <f>AND(Sheet1!G2683,"AAAAAHfvtRU=")</f>
        <v>#VALUE!</v>
      </c>
      <c r="W200" t="e">
        <f>AND(Sheet1!H2683,"AAAAAHfvtRY=")</f>
        <v>#VALUE!</v>
      </c>
      <c r="X200" t="e">
        <f>AND(Sheet1!I2683,"AAAAAHfvtRc=")</f>
        <v>#VALUE!</v>
      </c>
      <c r="Y200" t="e">
        <f>AND(Sheet1!J2683,"AAAAAHfvtRg=")</f>
        <v>#VALUE!</v>
      </c>
      <c r="Z200" t="e">
        <f>AND(Sheet1!K2683,"AAAAAHfvtRk=")</f>
        <v>#VALUE!</v>
      </c>
      <c r="AA200" t="e">
        <f>AND(Sheet1!L2683,"AAAAAHfvtRo=")</f>
        <v>#VALUE!</v>
      </c>
      <c r="AB200" t="e">
        <f>AND(Sheet1!M2683,"AAAAAHfvtRs=")</f>
        <v>#VALUE!</v>
      </c>
      <c r="AC200" t="e">
        <f>AND(Sheet1!N2683,"AAAAAHfvtRw=")</f>
        <v>#VALUE!</v>
      </c>
      <c r="AD200" t="e">
        <f>AND(Sheet1!#REF!,"AAAAAHfvtR0=")</f>
        <v>#REF!</v>
      </c>
      <c r="AE200" t="e">
        <f>AND(Sheet1!#REF!,"AAAAAHfvtR4=")</f>
        <v>#REF!</v>
      </c>
      <c r="AF200" t="e">
        <f>AND(Sheet1!#REF!,"AAAAAHfvtR8=")</f>
        <v>#REF!</v>
      </c>
      <c r="AG200" t="e">
        <f>AND(Sheet1!#REF!,"AAAAAHfvtSA=")</f>
        <v>#REF!</v>
      </c>
      <c r="AH200">
        <f>IF(Sheet1!2684:2684,"AAAAAHfvtSE=",0)</f>
        <v>0</v>
      </c>
      <c r="AI200" t="e">
        <f>AND(Sheet1!A2684,"AAAAAHfvtSI=")</f>
        <v>#VALUE!</v>
      </c>
      <c r="AJ200" t="e">
        <f>AND(Sheet1!B2684,"AAAAAHfvtSM=")</f>
        <v>#VALUE!</v>
      </c>
      <c r="AK200" t="e">
        <f>AND(Sheet1!C2684,"AAAAAHfvtSQ=")</f>
        <v>#VALUE!</v>
      </c>
      <c r="AL200" t="e">
        <f>AND(Sheet1!D2684,"AAAAAHfvtSU=")</f>
        <v>#VALUE!</v>
      </c>
      <c r="AM200" t="e">
        <f>AND(Sheet1!E2684,"AAAAAHfvtSY=")</f>
        <v>#VALUE!</v>
      </c>
      <c r="AN200" t="e">
        <f>AND(Sheet1!F2684,"AAAAAHfvtSc=")</f>
        <v>#VALUE!</v>
      </c>
      <c r="AO200" t="e">
        <f>AND(Sheet1!G2684,"AAAAAHfvtSg=")</f>
        <v>#VALUE!</v>
      </c>
      <c r="AP200" t="e">
        <f>AND(Sheet1!H2684,"AAAAAHfvtSk=")</f>
        <v>#VALUE!</v>
      </c>
      <c r="AQ200" t="e">
        <f>AND(Sheet1!I2684,"AAAAAHfvtSo=")</f>
        <v>#VALUE!</v>
      </c>
      <c r="AR200" t="e">
        <f>AND(Sheet1!J2684,"AAAAAHfvtSs=")</f>
        <v>#VALUE!</v>
      </c>
      <c r="AS200" t="e">
        <f>AND(Sheet1!K2684,"AAAAAHfvtSw=")</f>
        <v>#VALUE!</v>
      </c>
      <c r="AT200" t="e">
        <f>AND(Sheet1!L2684,"AAAAAHfvtS0=")</f>
        <v>#VALUE!</v>
      </c>
      <c r="AU200" t="e">
        <f>AND(Sheet1!M2684,"AAAAAHfvtS4=")</f>
        <v>#VALUE!</v>
      </c>
      <c r="AV200" t="e">
        <f>AND(Sheet1!N2684,"AAAAAHfvtS8=")</f>
        <v>#VALUE!</v>
      </c>
      <c r="AW200" t="e">
        <f>AND(Sheet1!#REF!,"AAAAAHfvtTA=")</f>
        <v>#REF!</v>
      </c>
      <c r="AX200" t="e">
        <f>AND(Sheet1!#REF!,"AAAAAHfvtTE=")</f>
        <v>#REF!</v>
      </c>
      <c r="AY200" t="e">
        <f>AND(Sheet1!#REF!,"AAAAAHfvtTI=")</f>
        <v>#REF!</v>
      </c>
      <c r="AZ200" t="e">
        <f>AND(Sheet1!#REF!,"AAAAAHfvtTM=")</f>
        <v>#REF!</v>
      </c>
      <c r="BA200">
        <f>IF(Sheet1!2685:2685,"AAAAAHfvtTQ=",0)</f>
        <v>0</v>
      </c>
      <c r="BB200" t="e">
        <f>AND(Sheet1!A2685,"AAAAAHfvtTU=")</f>
        <v>#VALUE!</v>
      </c>
      <c r="BC200" t="e">
        <f>AND(Sheet1!B2685,"AAAAAHfvtTY=")</f>
        <v>#VALUE!</v>
      </c>
      <c r="BD200" t="e">
        <f>AND(Sheet1!C2685,"AAAAAHfvtTc=")</f>
        <v>#VALUE!</v>
      </c>
      <c r="BE200" t="e">
        <f>AND(Sheet1!D2685,"AAAAAHfvtTg=")</f>
        <v>#VALUE!</v>
      </c>
      <c r="BF200" t="e">
        <f>AND(Sheet1!E2685,"AAAAAHfvtTk=")</f>
        <v>#VALUE!</v>
      </c>
      <c r="BG200" t="e">
        <f>AND(Sheet1!F2685,"AAAAAHfvtTo=")</f>
        <v>#VALUE!</v>
      </c>
      <c r="BH200" t="e">
        <f>AND(Sheet1!G2685,"AAAAAHfvtTs=")</f>
        <v>#VALUE!</v>
      </c>
      <c r="BI200" t="e">
        <f>AND(Sheet1!H2685,"AAAAAHfvtTw=")</f>
        <v>#VALUE!</v>
      </c>
      <c r="BJ200" t="e">
        <f>AND(Sheet1!I2685,"AAAAAHfvtT0=")</f>
        <v>#VALUE!</v>
      </c>
      <c r="BK200" t="e">
        <f>AND(Sheet1!J2685,"AAAAAHfvtT4=")</f>
        <v>#VALUE!</v>
      </c>
      <c r="BL200" t="e">
        <f>AND(Sheet1!K2685,"AAAAAHfvtT8=")</f>
        <v>#VALUE!</v>
      </c>
      <c r="BM200" t="e">
        <f>AND(Sheet1!L2685,"AAAAAHfvtUA=")</f>
        <v>#VALUE!</v>
      </c>
      <c r="BN200" t="e">
        <f>AND(Sheet1!M2685,"AAAAAHfvtUE=")</f>
        <v>#VALUE!</v>
      </c>
      <c r="BO200" t="e">
        <f>AND(Sheet1!N2685,"AAAAAHfvtUI=")</f>
        <v>#VALUE!</v>
      </c>
      <c r="BP200" t="e">
        <f>AND(Sheet1!#REF!,"AAAAAHfvtUM=")</f>
        <v>#REF!</v>
      </c>
      <c r="BQ200" t="e">
        <f>AND(Sheet1!#REF!,"AAAAAHfvtUQ=")</f>
        <v>#REF!</v>
      </c>
      <c r="BR200" t="e">
        <f>AND(Sheet1!#REF!,"AAAAAHfvtUU=")</f>
        <v>#REF!</v>
      </c>
      <c r="BS200" t="e">
        <f>AND(Sheet1!#REF!,"AAAAAHfvtUY=")</f>
        <v>#REF!</v>
      </c>
      <c r="BT200">
        <f>IF(Sheet1!2686:2686,"AAAAAHfvtUc=",0)</f>
        <v>0</v>
      </c>
      <c r="BU200" t="e">
        <f>AND(Sheet1!A2686,"AAAAAHfvtUg=")</f>
        <v>#VALUE!</v>
      </c>
      <c r="BV200" t="e">
        <f>AND(Sheet1!B2686,"AAAAAHfvtUk=")</f>
        <v>#VALUE!</v>
      </c>
      <c r="BW200" t="e">
        <f>AND(Sheet1!C2686,"AAAAAHfvtUo=")</f>
        <v>#VALUE!</v>
      </c>
      <c r="BX200" t="e">
        <f>AND(Sheet1!D2686,"AAAAAHfvtUs=")</f>
        <v>#VALUE!</v>
      </c>
      <c r="BY200" t="e">
        <f>AND(Sheet1!E2686,"AAAAAHfvtUw=")</f>
        <v>#VALUE!</v>
      </c>
      <c r="BZ200" t="e">
        <f>AND(Sheet1!F2686,"AAAAAHfvtU0=")</f>
        <v>#VALUE!</v>
      </c>
      <c r="CA200" t="e">
        <f>AND(Sheet1!G2686,"AAAAAHfvtU4=")</f>
        <v>#VALUE!</v>
      </c>
      <c r="CB200" t="e">
        <f>AND(Sheet1!H2686,"AAAAAHfvtU8=")</f>
        <v>#VALUE!</v>
      </c>
      <c r="CC200" t="e">
        <f>AND(Sheet1!I2686,"AAAAAHfvtVA=")</f>
        <v>#VALUE!</v>
      </c>
      <c r="CD200" t="e">
        <f>AND(Sheet1!J2686,"AAAAAHfvtVE=")</f>
        <v>#VALUE!</v>
      </c>
      <c r="CE200" t="e">
        <f>AND(Sheet1!K2686,"AAAAAHfvtVI=")</f>
        <v>#VALUE!</v>
      </c>
      <c r="CF200" t="e">
        <f>AND(Sheet1!L2686,"AAAAAHfvtVM=")</f>
        <v>#VALUE!</v>
      </c>
      <c r="CG200" t="e">
        <f>AND(Sheet1!M2686,"AAAAAHfvtVQ=")</f>
        <v>#VALUE!</v>
      </c>
      <c r="CH200" t="e">
        <f>AND(Sheet1!N2686,"AAAAAHfvtVU=")</f>
        <v>#VALUE!</v>
      </c>
      <c r="CI200" t="e">
        <f>AND(Sheet1!#REF!,"AAAAAHfvtVY=")</f>
        <v>#REF!</v>
      </c>
      <c r="CJ200" t="e">
        <f>AND(Sheet1!#REF!,"AAAAAHfvtVc=")</f>
        <v>#REF!</v>
      </c>
      <c r="CK200" t="e">
        <f>AND(Sheet1!#REF!,"AAAAAHfvtVg=")</f>
        <v>#REF!</v>
      </c>
      <c r="CL200" t="e">
        <f>AND(Sheet1!#REF!,"AAAAAHfvtVk=")</f>
        <v>#REF!</v>
      </c>
      <c r="CM200">
        <f>IF(Sheet1!2687:2687,"AAAAAHfvtVo=",0)</f>
        <v>0</v>
      </c>
      <c r="CN200" t="e">
        <f>AND(Sheet1!A2687,"AAAAAHfvtVs=")</f>
        <v>#VALUE!</v>
      </c>
      <c r="CO200" t="e">
        <f>AND(Sheet1!B2687,"AAAAAHfvtVw=")</f>
        <v>#VALUE!</v>
      </c>
      <c r="CP200" t="e">
        <f>AND(Sheet1!C2687,"AAAAAHfvtV0=")</f>
        <v>#VALUE!</v>
      </c>
      <c r="CQ200" t="e">
        <f>AND(Sheet1!D2687,"AAAAAHfvtV4=")</f>
        <v>#VALUE!</v>
      </c>
      <c r="CR200" t="e">
        <f>AND(Sheet1!E2687,"AAAAAHfvtV8=")</f>
        <v>#VALUE!</v>
      </c>
      <c r="CS200" t="e">
        <f>AND(Sheet1!F2687,"AAAAAHfvtWA=")</f>
        <v>#VALUE!</v>
      </c>
      <c r="CT200" t="e">
        <f>AND(Sheet1!G2687,"AAAAAHfvtWE=")</f>
        <v>#VALUE!</v>
      </c>
      <c r="CU200" t="e">
        <f>AND(Sheet1!H2687,"AAAAAHfvtWI=")</f>
        <v>#VALUE!</v>
      </c>
      <c r="CV200" t="e">
        <f>AND(Sheet1!I2687,"AAAAAHfvtWM=")</f>
        <v>#VALUE!</v>
      </c>
      <c r="CW200" t="e">
        <f>AND(Sheet1!J2687,"AAAAAHfvtWQ=")</f>
        <v>#VALUE!</v>
      </c>
      <c r="CX200" t="e">
        <f>AND(Sheet1!K2687,"AAAAAHfvtWU=")</f>
        <v>#VALUE!</v>
      </c>
      <c r="CY200" t="e">
        <f>AND(Sheet1!L2687,"AAAAAHfvtWY=")</f>
        <v>#VALUE!</v>
      </c>
      <c r="CZ200" t="e">
        <f>AND(Sheet1!M2687,"AAAAAHfvtWc=")</f>
        <v>#VALUE!</v>
      </c>
      <c r="DA200" t="e">
        <f>AND(Sheet1!N2687,"AAAAAHfvtWg=")</f>
        <v>#VALUE!</v>
      </c>
      <c r="DB200" t="e">
        <f>AND(Sheet1!#REF!,"AAAAAHfvtWk=")</f>
        <v>#REF!</v>
      </c>
      <c r="DC200" t="e">
        <f>AND(Sheet1!#REF!,"AAAAAHfvtWo=")</f>
        <v>#REF!</v>
      </c>
      <c r="DD200" t="e">
        <f>AND(Sheet1!#REF!,"AAAAAHfvtWs=")</f>
        <v>#REF!</v>
      </c>
      <c r="DE200" t="e">
        <f>AND(Sheet1!#REF!,"AAAAAHfvtWw=")</f>
        <v>#REF!</v>
      </c>
      <c r="DF200">
        <f>IF(Sheet1!2688:2688,"AAAAAHfvtW0=",0)</f>
        <v>0</v>
      </c>
      <c r="DG200" t="e">
        <f>AND(Sheet1!A2688,"AAAAAHfvtW4=")</f>
        <v>#VALUE!</v>
      </c>
      <c r="DH200" t="e">
        <f>AND(Sheet1!B2688,"AAAAAHfvtW8=")</f>
        <v>#VALUE!</v>
      </c>
      <c r="DI200" t="e">
        <f>AND(Sheet1!C2688,"AAAAAHfvtXA=")</f>
        <v>#VALUE!</v>
      </c>
      <c r="DJ200" t="e">
        <f>AND(Sheet1!D2688,"AAAAAHfvtXE=")</f>
        <v>#VALUE!</v>
      </c>
      <c r="DK200" t="e">
        <f>AND(Sheet1!E2688,"AAAAAHfvtXI=")</f>
        <v>#VALUE!</v>
      </c>
      <c r="DL200" t="e">
        <f>AND(Sheet1!F2688,"AAAAAHfvtXM=")</f>
        <v>#VALUE!</v>
      </c>
      <c r="DM200" t="e">
        <f>AND(Sheet1!G2688,"AAAAAHfvtXQ=")</f>
        <v>#VALUE!</v>
      </c>
      <c r="DN200" t="e">
        <f>AND(Sheet1!H2688,"AAAAAHfvtXU=")</f>
        <v>#VALUE!</v>
      </c>
      <c r="DO200" t="e">
        <f>AND(Sheet1!I2688,"AAAAAHfvtXY=")</f>
        <v>#VALUE!</v>
      </c>
      <c r="DP200" t="e">
        <f>AND(Sheet1!J2688,"AAAAAHfvtXc=")</f>
        <v>#VALUE!</v>
      </c>
      <c r="DQ200" t="e">
        <f>AND(Sheet1!K2688,"AAAAAHfvtXg=")</f>
        <v>#VALUE!</v>
      </c>
      <c r="DR200" t="e">
        <f>AND(Sheet1!L2688,"AAAAAHfvtXk=")</f>
        <v>#VALUE!</v>
      </c>
      <c r="DS200" t="e">
        <f>AND(Sheet1!M2688,"AAAAAHfvtXo=")</f>
        <v>#VALUE!</v>
      </c>
      <c r="DT200" t="e">
        <f>AND(Sheet1!N2688,"AAAAAHfvtXs=")</f>
        <v>#VALUE!</v>
      </c>
      <c r="DU200" t="e">
        <f>AND(Sheet1!#REF!,"AAAAAHfvtXw=")</f>
        <v>#REF!</v>
      </c>
      <c r="DV200" t="e">
        <f>AND(Sheet1!#REF!,"AAAAAHfvtX0=")</f>
        <v>#REF!</v>
      </c>
      <c r="DW200" t="e">
        <f>AND(Sheet1!#REF!,"AAAAAHfvtX4=")</f>
        <v>#REF!</v>
      </c>
      <c r="DX200" t="e">
        <f>AND(Sheet1!#REF!,"AAAAAHfvtX8=")</f>
        <v>#REF!</v>
      </c>
      <c r="DY200">
        <f>IF(Sheet1!2689:2689,"AAAAAHfvtYA=",0)</f>
        <v>0</v>
      </c>
      <c r="DZ200" t="e">
        <f>AND(Sheet1!A2689,"AAAAAHfvtYE=")</f>
        <v>#VALUE!</v>
      </c>
      <c r="EA200" t="e">
        <f>AND(Sheet1!B2689,"AAAAAHfvtYI=")</f>
        <v>#VALUE!</v>
      </c>
      <c r="EB200" t="e">
        <f>AND(Sheet1!C2689,"AAAAAHfvtYM=")</f>
        <v>#VALUE!</v>
      </c>
      <c r="EC200" t="e">
        <f>AND(Sheet1!D2689,"AAAAAHfvtYQ=")</f>
        <v>#VALUE!</v>
      </c>
      <c r="ED200" t="e">
        <f>AND(Sheet1!E2689,"AAAAAHfvtYU=")</f>
        <v>#VALUE!</v>
      </c>
      <c r="EE200" t="e">
        <f>AND(Sheet1!F2689,"AAAAAHfvtYY=")</f>
        <v>#VALUE!</v>
      </c>
      <c r="EF200" t="e">
        <f>AND(Sheet1!G2689,"AAAAAHfvtYc=")</f>
        <v>#VALUE!</v>
      </c>
      <c r="EG200" t="e">
        <f>AND(Sheet1!H2689,"AAAAAHfvtYg=")</f>
        <v>#VALUE!</v>
      </c>
      <c r="EH200" t="e">
        <f>AND(Sheet1!I2689,"AAAAAHfvtYk=")</f>
        <v>#VALUE!</v>
      </c>
      <c r="EI200" t="e">
        <f>AND(Sheet1!J2689,"AAAAAHfvtYo=")</f>
        <v>#VALUE!</v>
      </c>
      <c r="EJ200" t="e">
        <f>AND(Sheet1!K2689,"AAAAAHfvtYs=")</f>
        <v>#VALUE!</v>
      </c>
      <c r="EK200" t="e">
        <f>AND(Sheet1!L2689,"AAAAAHfvtYw=")</f>
        <v>#VALUE!</v>
      </c>
      <c r="EL200" t="e">
        <f>AND(Sheet1!M2689,"AAAAAHfvtY0=")</f>
        <v>#VALUE!</v>
      </c>
      <c r="EM200" t="e">
        <f>AND(Sheet1!N2689,"AAAAAHfvtY4=")</f>
        <v>#VALUE!</v>
      </c>
      <c r="EN200" t="e">
        <f>AND(Sheet1!#REF!,"AAAAAHfvtY8=")</f>
        <v>#REF!</v>
      </c>
      <c r="EO200" t="e">
        <f>AND(Sheet1!#REF!,"AAAAAHfvtZA=")</f>
        <v>#REF!</v>
      </c>
      <c r="EP200" t="e">
        <f>AND(Sheet1!#REF!,"AAAAAHfvtZE=")</f>
        <v>#REF!</v>
      </c>
      <c r="EQ200" t="e">
        <f>AND(Sheet1!#REF!,"AAAAAHfvtZI=")</f>
        <v>#REF!</v>
      </c>
      <c r="ER200">
        <f>IF(Sheet1!2690:2690,"AAAAAHfvtZM=",0)</f>
        <v>0</v>
      </c>
      <c r="ES200" t="e">
        <f>AND(Sheet1!A2690,"AAAAAHfvtZQ=")</f>
        <v>#VALUE!</v>
      </c>
      <c r="ET200" t="e">
        <f>AND(Sheet1!B2690,"AAAAAHfvtZU=")</f>
        <v>#VALUE!</v>
      </c>
      <c r="EU200" t="e">
        <f>AND(Sheet1!C2690,"AAAAAHfvtZY=")</f>
        <v>#VALUE!</v>
      </c>
      <c r="EV200" t="e">
        <f>AND(Sheet1!D2690,"AAAAAHfvtZc=")</f>
        <v>#VALUE!</v>
      </c>
      <c r="EW200" t="e">
        <f>AND(Sheet1!E2690,"AAAAAHfvtZg=")</f>
        <v>#VALUE!</v>
      </c>
      <c r="EX200" t="e">
        <f>AND(Sheet1!F2690,"AAAAAHfvtZk=")</f>
        <v>#VALUE!</v>
      </c>
      <c r="EY200" t="e">
        <f>AND(Sheet1!G2690,"AAAAAHfvtZo=")</f>
        <v>#VALUE!</v>
      </c>
      <c r="EZ200" t="e">
        <f>AND(Sheet1!H2690,"AAAAAHfvtZs=")</f>
        <v>#VALUE!</v>
      </c>
      <c r="FA200" t="e">
        <f>AND(Sheet1!I2690,"AAAAAHfvtZw=")</f>
        <v>#VALUE!</v>
      </c>
      <c r="FB200" t="e">
        <f>AND(Sheet1!J2690,"AAAAAHfvtZ0=")</f>
        <v>#VALUE!</v>
      </c>
      <c r="FC200" t="e">
        <f>AND(Sheet1!K2690,"AAAAAHfvtZ4=")</f>
        <v>#VALUE!</v>
      </c>
      <c r="FD200" t="e">
        <f>AND(Sheet1!L2690,"AAAAAHfvtZ8=")</f>
        <v>#VALUE!</v>
      </c>
      <c r="FE200" t="e">
        <f>AND(Sheet1!M2690,"AAAAAHfvtaA=")</f>
        <v>#VALUE!</v>
      </c>
      <c r="FF200" t="e">
        <f>AND(Sheet1!N2690,"AAAAAHfvtaE=")</f>
        <v>#VALUE!</v>
      </c>
      <c r="FG200" t="e">
        <f>AND(Sheet1!#REF!,"AAAAAHfvtaI=")</f>
        <v>#REF!</v>
      </c>
      <c r="FH200" t="e">
        <f>AND(Sheet1!#REF!,"AAAAAHfvtaM=")</f>
        <v>#REF!</v>
      </c>
      <c r="FI200" t="e">
        <f>AND(Sheet1!#REF!,"AAAAAHfvtaQ=")</f>
        <v>#REF!</v>
      </c>
      <c r="FJ200" t="e">
        <f>AND(Sheet1!#REF!,"AAAAAHfvtaU=")</f>
        <v>#REF!</v>
      </c>
      <c r="FK200">
        <f>IF(Sheet1!2691:2691,"AAAAAHfvtaY=",0)</f>
        <v>0</v>
      </c>
      <c r="FL200" t="e">
        <f>AND(Sheet1!A2691,"AAAAAHfvtac=")</f>
        <v>#VALUE!</v>
      </c>
      <c r="FM200" t="e">
        <f>AND(Sheet1!B2691,"AAAAAHfvtag=")</f>
        <v>#VALUE!</v>
      </c>
      <c r="FN200" t="e">
        <f>AND(Sheet1!C2691,"AAAAAHfvtak=")</f>
        <v>#VALUE!</v>
      </c>
      <c r="FO200" t="e">
        <f>AND(Sheet1!D2691,"AAAAAHfvtao=")</f>
        <v>#VALUE!</v>
      </c>
      <c r="FP200" t="e">
        <f>AND(Sheet1!E2691,"AAAAAHfvtas=")</f>
        <v>#VALUE!</v>
      </c>
      <c r="FQ200" t="e">
        <f>AND(Sheet1!F2691,"AAAAAHfvtaw=")</f>
        <v>#VALUE!</v>
      </c>
      <c r="FR200" t="e">
        <f>AND(Sheet1!G2691,"AAAAAHfvta0=")</f>
        <v>#VALUE!</v>
      </c>
      <c r="FS200" t="e">
        <f>AND(Sheet1!H2691,"AAAAAHfvta4=")</f>
        <v>#VALUE!</v>
      </c>
      <c r="FT200" t="e">
        <f>AND(Sheet1!I2691,"AAAAAHfvta8=")</f>
        <v>#VALUE!</v>
      </c>
      <c r="FU200" t="e">
        <f>AND(Sheet1!J2691,"AAAAAHfvtbA=")</f>
        <v>#VALUE!</v>
      </c>
      <c r="FV200" t="e">
        <f>AND(Sheet1!K2691,"AAAAAHfvtbE=")</f>
        <v>#VALUE!</v>
      </c>
      <c r="FW200" t="e">
        <f>AND(Sheet1!L2691,"AAAAAHfvtbI=")</f>
        <v>#VALUE!</v>
      </c>
      <c r="FX200" t="e">
        <f>AND(Sheet1!M2691,"AAAAAHfvtbM=")</f>
        <v>#VALUE!</v>
      </c>
      <c r="FY200" t="e">
        <f>AND(Sheet1!N2691,"AAAAAHfvtbQ=")</f>
        <v>#VALUE!</v>
      </c>
      <c r="FZ200" t="e">
        <f>AND(Sheet1!#REF!,"AAAAAHfvtbU=")</f>
        <v>#REF!</v>
      </c>
      <c r="GA200" t="e">
        <f>AND(Sheet1!#REF!,"AAAAAHfvtbY=")</f>
        <v>#REF!</v>
      </c>
      <c r="GB200" t="e">
        <f>AND(Sheet1!#REF!,"AAAAAHfvtbc=")</f>
        <v>#REF!</v>
      </c>
      <c r="GC200" t="e">
        <f>AND(Sheet1!#REF!,"AAAAAHfvtbg=")</f>
        <v>#REF!</v>
      </c>
      <c r="GD200">
        <f>IF(Sheet1!2692:2692,"AAAAAHfvtbk=",0)</f>
        <v>0</v>
      </c>
      <c r="GE200" t="e">
        <f>AND(Sheet1!A2692,"AAAAAHfvtbo=")</f>
        <v>#VALUE!</v>
      </c>
      <c r="GF200" t="e">
        <f>AND(Sheet1!B2692,"AAAAAHfvtbs=")</f>
        <v>#VALUE!</v>
      </c>
      <c r="GG200" t="e">
        <f>AND(Sheet1!C2692,"AAAAAHfvtbw=")</f>
        <v>#VALUE!</v>
      </c>
      <c r="GH200" t="e">
        <f>AND(Sheet1!D2692,"AAAAAHfvtb0=")</f>
        <v>#VALUE!</v>
      </c>
      <c r="GI200" t="e">
        <f>AND(Sheet1!E2692,"AAAAAHfvtb4=")</f>
        <v>#VALUE!</v>
      </c>
      <c r="GJ200" t="e">
        <f>AND(Sheet1!F2692,"AAAAAHfvtb8=")</f>
        <v>#VALUE!</v>
      </c>
      <c r="GK200" t="e">
        <f>AND(Sheet1!G2692,"AAAAAHfvtcA=")</f>
        <v>#VALUE!</v>
      </c>
      <c r="GL200" t="e">
        <f>AND(Sheet1!H2692,"AAAAAHfvtcE=")</f>
        <v>#VALUE!</v>
      </c>
      <c r="GM200" t="e">
        <f>AND(Sheet1!I2692,"AAAAAHfvtcI=")</f>
        <v>#VALUE!</v>
      </c>
      <c r="GN200" t="e">
        <f>AND(Sheet1!J2692,"AAAAAHfvtcM=")</f>
        <v>#VALUE!</v>
      </c>
      <c r="GO200" t="e">
        <f>AND(Sheet1!K2692,"AAAAAHfvtcQ=")</f>
        <v>#VALUE!</v>
      </c>
      <c r="GP200" t="e">
        <f>AND(Sheet1!L2692,"AAAAAHfvtcU=")</f>
        <v>#VALUE!</v>
      </c>
      <c r="GQ200" t="e">
        <f>AND(Sheet1!M2692,"AAAAAHfvtcY=")</f>
        <v>#VALUE!</v>
      </c>
      <c r="GR200" t="e">
        <f>AND(Sheet1!N2692,"AAAAAHfvtcc=")</f>
        <v>#VALUE!</v>
      </c>
      <c r="GS200" t="e">
        <f>AND(Sheet1!#REF!,"AAAAAHfvtcg=")</f>
        <v>#REF!</v>
      </c>
      <c r="GT200" t="e">
        <f>AND(Sheet1!#REF!,"AAAAAHfvtck=")</f>
        <v>#REF!</v>
      </c>
      <c r="GU200" t="e">
        <f>AND(Sheet1!#REF!,"AAAAAHfvtco=")</f>
        <v>#REF!</v>
      </c>
      <c r="GV200" t="e">
        <f>AND(Sheet1!#REF!,"AAAAAHfvtcs=")</f>
        <v>#REF!</v>
      </c>
      <c r="GW200">
        <f>IF(Sheet1!2693:2693,"AAAAAHfvtcw=",0)</f>
        <v>0</v>
      </c>
      <c r="GX200" t="e">
        <f>AND(Sheet1!A2693,"AAAAAHfvtc0=")</f>
        <v>#VALUE!</v>
      </c>
      <c r="GY200" t="e">
        <f>AND(Sheet1!B2693,"AAAAAHfvtc4=")</f>
        <v>#VALUE!</v>
      </c>
      <c r="GZ200" t="e">
        <f>AND(Sheet1!C2693,"AAAAAHfvtc8=")</f>
        <v>#VALUE!</v>
      </c>
      <c r="HA200" t="e">
        <f>AND(Sheet1!D2693,"AAAAAHfvtdA=")</f>
        <v>#VALUE!</v>
      </c>
      <c r="HB200" t="e">
        <f>AND(Sheet1!E2693,"AAAAAHfvtdE=")</f>
        <v>#VALUE!</v>
      </c>
      <c r="HC200" t="e">
        <f>AND(Sheet1!F2693,"AAAAAHfvtdI=")</f>
        <v>#VALUE!</v>
      </c>
      <c r="HD200" t="e">
        <f>AND(Sheet1!G2693,"AAAAAHfvtdM=")</f>
        <v>#VALUE!</v>
      </c>
      <c r="HE200" t="e">
        <f>AND(Sheet1!H2693,"AAAAAHfvtdQ=")</f>
        <v>#VALUE!</v>
      </c>
      <c r="HF200" t="e">
        <f>AND(Sheet1!I2693,"AAAAAHfvtdU=")</f>
        <v>#VALUE!</v>
      </c>
      <c r="HG200" t="e">
        <f>AND(Sheet1!J2693,"AAAAAHfvtdY=")</f>
        <v>#VALUE!</v>
      </c>
      <c r="HH200" t="e">
        <f>AND(Sheet1!K2693,"AAAAAHfvtdc=")</f>
        <v>#VALUE!</v>
      </c>
      <c r="HI200" t="e">
        <f>AND(Sheet1!L2693,"AAAAAHfvtdg=")</f>
        <v>#VALUE!</v>
      </c>
      <c r="HJ200" t="e">
        <f>AND(Sheet1!M2693,"AAAAAHfvtdk=")</f>
        <v>#VALUE!</v>
      </c>
      <c r="HK200" t="e">
        <f>AND(Sheet1!N2693,"AAAAAHfvtdo=")</f>
        <v>#VALUE!</v>
      </c>
      <c r="HL200" t="e">
        <f>AND(Sheet1!#REF!,"AAAAAHfvtds=")</f>
        <v>#REF!</v>
      </c>
      <c r="HM200" t="e">
        <f>AND(Sheet1!#REF!,"AAAAAHfvtdw=")</f>
        <v>#REF!</v>
      </c>
      <c r="HN200" t="e">
        <f>AND(Sheet1!#REF!,"AAAAAHfvtd0=")</f>
        <v>#REF!</v>
      </c>
      <c r="HO200" t="e">
        <f>AND(Sheet1!#REF!,"AAAAAHfvtd4=")</f>
        <v>#REF!</v>
      </c>
      <c r="HP200">
        <f>IF(Sheet1!2694:2694,"AAAAAHfvtd8=",0)</f>
        <v>0</v>
      </c>
      <c r="HQ200" t="e">
        <f>AND(Sheet1!A2694,"AAAAAHfvteA=")</f>
        <v>#VALUE!</v>
      </c>
      <c r="HR200" t="e">
        <f>AND(Sheet1!B2694,"AAAAAHfvteE=")</f>
        <v>#VALUE!</v>
      </c>
      <c r="HS200" t="e">
        <f>AND(Sheet1!C2694,"AAAAAHfvteI=")</f>
        <v>#VALUE!</v>
      </c>
      <c r="HT200" t="e">
        <f>AND(Sheet1!D2694,"AAAAAHfvteM=")</f>
        <v>#VALUE!</v>
      </c>
      <c r="HU200" t="e">
        <f>AND(Sheet1!E2694,"AAAAAHfvteQ=")</f>
        <v>#VALUE!</v>
      </c>
      <c r="HV200" t="e">
        <f>AND(Sheet1!F2694,"AAAAAHfvteU=")</f>
        <v>#VALUE!</v>
      </c>
      <c r="HW200" t="e">
        <f>AND(Sheet1!G2694,"AAAAAHfvteY=")</f>
        <v>#VALUE!</v>
      </c>
      <c r="HX200" t="e">
        <f>AND(Sheet1!H2694,"AAAAAHfvtec=")</f>
        <v>#VALUE!</v>
      </c>
      <c r="HY200" t="e">
        <f>AND(Sheet1!I2694,"AAAAAHfvteg=")</f>
        <v>#VALUE!</v>
      </c>
      <c r="HZ200" t="e">
        <f>AND(Sheet1!J2694,"AAAAAHfvtek=")</f>
        <v>#VALUE!</v>
      </c>
      <c r="IA200" t="e">
        <f>AND(Sheet1!K2694,"AAAAAHfvteo=")</f>
        <v>#VALUE!</v>
      </c>
      <c r="IB200" t="e">
        <f>AND(Sheet1!L2694,"AAAAAHfvtes=")</f>
        <v>#VALUE!</v>
      </c>
      <c r="IC200" t="e">
        <f>AND(Sheet1!M2694,"AAAAAHfvtew=")</f>
        <v>#VALUE!</v>
      </c>
      <c r="ID200" t="e">
        <f>AND(Sheet1!N2694,"AAAAAHfvte0=")</f>
        <v>#VALUE!</v>
      </c>
      <c r="IE200" t="e">
        <f>AND(Sheet1!#REF!,"AAAAAHfvte4=")</f>
        <v>#REF!</v>
      </c>
      <c r="IF200" t="e">
        <f>AND(Sheet1!#REF!,"AAAAAHfvte8=")</f>
        <v>#REF!</v>
      </c>
      <c r="IG200" t="e">
        <f>AND(Sheet1!#REF!,"AAAAAHfvtfA=")</f>
        <v>#REF!</v>
      </c>
      <c r="IH200" t="e">
        <f>AND(Sheet1!#REF!,"AAAAAHfvtfE=")</f>
        <v>#REF!</v>
      </c>
      <c r="II200">
        <f>IF(Sheet1!2695:2695,"AAAAAHfvtfI=",0)</f>
        <v>0</v>
      </c>
      <c r="IJ200" t="e">
        <f>AND(Sheet1!A2695,"AAAAAHfvtfM=")</f>
        <v>#VALUE!</v>
      </c>
      <c r="IK200" t="e">
        <f>AND(Sheet1!B2695,"AAAAAHfvtfQ=")</f>
        <v>#VALUE!</v>
      </c>
      <c r="IL200" t="e">
        <f>AND(Sheet1!C2695,"AAAAAHfvtfU=")</f>
        <v>#VALUE!</v>
      </c>
      <c r="IM200" t="e">
        <f>AND(Sheet1!D2695,"AAAAAHfvtfY=")</f>
        <v>#VALUE!</v>
      </c>
      <c r="IN200" t="e">
        <f>AND(Sheet1!E2695,"AAAAAHfvtfc=")</f>
        <v>#VALUE!</v>
      </c>
      <c r="IO200" t="e">
        <f>AND(Sheet1!F2695,"AAAAAHfvtfg=")</f>
        <v>#VALUE!</v>
      </c>
      <c r="IP200" t="e">
        <f>AND(Sheet1!G2695,"AAAAAHfvtfk=")</f>
        <v>#VALUE!</v>
      </c>
      <c r="IQ200" t="e">
        <f>AND(Sheet1!H2695,"AAAAAHfvtfo=")</f>
        <v>#VALUE!</v>
      </c>
      <c r="IR200" t="e">
        <f>AND(Sheet1!I2695,"AAAAAHfvtfs=")</f>
        <v>#VALUE!</v>
      </c>
      <c r="IS200" t="e">
        <f>AND(Sheet1!J2695,"AAAAAHfvtfw=")</f>
        <v>#VALUE!</v>
      </c>
      <c r="IT200" t="e">
        <f>AND(Sheet1!K2695,"AAAAAHfvtf0=")</f>
        <v>#VALUE!</v>
      </c>
      <c r="IU200" t="e">
        <f>AND(Sheet1!L2695,"AAAAAHfvtf4=")</f>
        <v>#VALUE!</v>
      </c>
      <c r="IV200" t="e">
        <f>AND(Sheet1!M2695,"AAAAAHfvtf8=")</f>
        <v>#VALUE!</v>
      </c>
    </row>
    <row r="201" spans="1:256" x14ac:dyDescent="0.2">
      <c r="A201" t="e">
        <f>AND(Sheet1!N2695,"AAAAAGc/9gA=")</f>
        <v>#VALUE!</v>
      </c>
      <c r="B201" t="e">
        <f>AND(Sheet1!#REF!,"AAAAAGc/9gE=")</f>
        <v>#REF!</v>
      </c>
      <c r="C201" t="e">
        <f>AND(Sheet1!#REF!,"AAAAAGc/9gI=")</f>
        <v>#REF!</v>
      </c>
      <c r="D201" t="e">
        <f>AND(Sheet1!#REF!,"AAAAAGc/9gM=")</f>
        <v>#REF!</v>
      </c>
      <c r="E201" t="e">
        <f>AND(Sheet1!#REF!,"AAAAAGc/9gQ=")</f>
        <v>#REF!</v>
      </c>
      <c r="F201" t="e">
        <f>IF(Sheet1!2696:2696,"AAAAAGc/9gU=",0)</f>
        <v>#VALUE!</v>
      </c>
      <c r="G201" t="e">
        <f>AND(Sheet1!A2696,"AAAAAGc/9gY=")</f>
        <v>#VALUE!</v>
      </c>
      <c r="H201" t="e">
        <f>AND(Sheet1!B2696,"AAAAAGc/9gc=")</f>
        <v>#VALUE!</v>
      </c>
      <c r="I201" t="e">
        <f>AND(Sheet1!C2696,"AAAAAGc/9gg=")</f>
        <v>#VALUE!</v>
      </c>
      <c r="J201" t="e">
        <f>AND(Sheet1!D2696,"AAAAAGc/9gk=")</f>
        <v>#VALUE!</v>
      </c>
      <c r="K201" t="e">
        <f>AND(Sheet1!E2696,"AAAAAGc/9go=")</f>
        <v>#VALUE!</v>
      </c>
      <c r="L201" t="e">
        <f>AND(Sheet1!F2696,"AAAAAGc/9gs=")</f>
        <v>#VALUE!</v>
      </c>
      <c r="M201" t="e">
        <f>AND(Sheet1!G2696,"AAAAAGc/9gw=")</f>
        <v>#VALUE!</v>
      </c>
      <c r="N201" t="e">
        <f>AND(Sheet1!H2696,"AAAAAGc/9g0=")</f>
        <v>#VALUE!</v>
      </c>
      <c r="O201" t="e">
        <f>AND(Sheet1!I2696,"AAAAAGc/9g4=")</f>
        <v>#VALUE!</v>
      </c>
      <c r="P201" t="e">
        <f>AND(Sheet1!J2696,"AAAAAGc/9g8=")</f>
        <v>#VALUE!</v>
      </c>
      <c r="Q201" t="e">
        <f>AND(Sheet1!K2696,"AAAAAGc/9hA=")</f>
        <v>#VALUE!</v>
      </c>
      <c r="R201" t="e">
        <f>AND(Sheet1!L2696,"AAAAAGc/9hE=")</f>
        <v>#VALUE!</v>
      </c>
      <c r="S201" t="e">
        <f>AND(Sheet1!M2696,"AAAAAGc/9hI=")</f>
        <v>#VALUE!</v>
      </c>
      <c r="T201" t="e">
        <f>AND(Sheet1!N2696,"AAAAAGc/9hM=")</f>
        <v>#VALUE!</v>
      </c>
      <c r="U201" t="e">
        <f>AND(Sheet1!#REF!,"AAAAAGc/9hQ=")</f>
        <v>#REF!</v>
      </c>
      <c r="V201" t="e">
        <f>AND(Sheet1!#REF!,"AAAAAGc/9hU=")</f>
        <v>#REF!</v>
      </c>
      <c r="W201" t="e">
        <f>AND(Sheet1!#REF!,"AAAAAGc/9hY=")</f>
        <v>#REF!</v>
      </c>
      <c r="X201" t="e">
        <f>AND(Sheet1!#REF!,"AAAAAGc/9hc=")</f>
        <v>#REF!</v>
      </c>
      <c r="Y201">
        <f>IF(Sheet1!2697:2697,"AAAAAGc/9hg=",0)</f>
        <v>0</v>
      </c>
      <c r="Z201" t="e">
        <f>AND(Sheet1!A2697,"AAAAAGc/9hk=")</f>
        <v>#VALUE!</v>
      </c>
      <c r="AA201" t="e">
        <f>AND(Sheet1!B2697,"AAAAAGc/9ho=")</f>
        <v>#VALUE!</v>
      </c>
      <c r="AB201" t="e">
        <f>AND(Sheet1!C2697,"AAAAAGc/9hs=")</f>
        <v>#VALUE!</v>
      </c>
      <c r="AC201" t="e">
        <f>AND(Sheet1!D2697,"AAAAAGc/9hw=")</f>
        <v>#VALUE!</v>
      </c>
      <c r="AD201" t="e">
        <f>AND(Sheet1!E2697,"AAAAAGc/9h0=")</f>
        <v>#VALUE!</v>
      </c>
      <c r="AE201" t="e">
        <f>AND(Sheet1!F2697,"AAAAAGc/9h4=")</f>
        <v>#VALUE!</v>
      </c>
      <c r="AF201" t="e">
        <f>AND(Sheet1!G2697,"AAAAAGc/9h8=")</f>
        <v>#VALUE!</v>
      </c>
      <c r="AG201" t="e">
        <f>AND(Sheet1!H2697,"AAAAAGc/9iA=")</f>
        <v>#VALUE!</v>
      </c>
      <c r="AH201" t="e">
        <f>AND(Sheet1!I2697,"AAAAAGc/9iE=")</f>
        <v>#VALUE!</v>
      </c>
      <c r="AI201" t="e">
        <f>AND(Sheet1!J2697,"AAAAAGc/9iI=")</f>
        <v>#VALUE!</v>
      </c>
      <c r="AJ201" t="e">
        <f>AND(Sheet1!K2697,"AAAAAGc/9iM=")</f>
        <v>#VALUE!</v>
      </c>
      <c r="AK201" t="e">
        <f>AND(Sheet1!L2697,"AAAAAGc/9iQ=")</f>
        <v>#VALUE!</v>
      </c>
      <c r="AL201" t="e">
        <f>AND(Sheet1!M2697,"AAAAAGc/9iU=")</f>
        <v>#VALUE!</v>
      </c>
      <c r="AM201" t="e">
        <f>AND(Sheet1!N2697,"AAAAAGc/9iY=")</f>
        <v>#VALUE!</v>
      </c>
      <c r="AN201" t="e">
        <f>AND(Sheet1!#REF!,"AAAAAGc/9ic=")</f>
        <v>#REF!</v>
      </c>
      <c r="AO201" t="e">
        <f>AND(Sheet1!#REF!,"AAAAAGc/9ig=")</f>
        <v>#REF!</v>
      </c>
      <c r="AP201" t="e">
        <f>AND(Sheet1!#REF!,"AAAAAGc/9ik=")</f>
        <v>#REF!</v>
      </c>
      <c r="AQ201" t="e">
        <f>AND(Sheet1!#REF!,"AAAAAGc/9io=")</f>
        <v>#REF!</v>
      </c>
      <c r="AR201">
        <f>IF(Sheet1!2698:2698,"AAAAAGc/9is=",0)</f>
        <v>0</v>
      </c>
      <c r="AS201" t="e">
        <f>AND(Sheet1!A2698,"AAAAAGc/9iw=")</f>
        <v>#VALUE!</v>
      </c>
      <c r="AT201" t="e">
        <f>AND(Sheet1!B2698,"AAAAAGc/9i0=")</f>
        <v>#VALUE!</v>
      </c>
      <c r="AU201" t="e">
        <f>AND(Sheet1!C2698,"AAAAAGc/9i4=")</f>
        <v>#VALUE!</v>
      </c>
      <c r="AV201" t="e">
        <f>AND(Sheet1!D2698,"AAAAAGc/9i8=")</f>
        <v>#VALUE!</v>
      </c>
      <c r="AW201" t="e">
        <f>AND(Sheet1!E2698,"AAAAAGc/9jA=")</f>
        <v>#VALUE!</v>
      </c>
      <c r="AX201" t="e">
        <f>AND(Sheet1!F2698,"AAAAAGc/9jE=")</f>
        <v>#VALUE!</v>
      </c>
      <c r="AY201" t="e">
        <f>AND(Sheet1!G2698,"AAAAAGc/9jI=")</f>
        <v>#VALUE!</v>
      </c>
      <c r="AZ201" t="e">
        <f>AND(Sheet1!H2698,"AAAAAGc/9jM=")</f>
        <v>#VALUE!</v>
      </c>
      <c r="BA201" t="e">
        <f>AND(Sheet1!I2698,"AAAAAGc/9jQ=")</f>
        <v>#VALUE!</v>
      </c>
      <c r="BB201" t="e">
        <f>AND(Sheet1!J2698,"AAAAAGc/9jU=")</f>
        <v>#VALUE!</v>
      </c>
      <c r="BC201" t="e">
        <f>AND(Sheet1!K2698,"AAAAAGc/9jY=")</f>
        <v>#VALUE!</v>
      </c>
      <c r="BD201" t="e">
        <f>AND(Sheet1!L2698,"AAAAAGc/9jc=")</f>
        <v>#VALUE!</v>
      </c>
      <c r="BE201" t="e">
        <f>AND(Sheet1!M2698,"AAAAAGc/9jg=")</f>
        <v>#VALUE!</v>
      </c>
      <c r="BF201" t="e">
        <f>AND(Sheet1!N2698,"AAAAAGc/9jk=")</f>
        <v>#VALUE!</v>
      </c>
      <c r="BG201" t="e">
        <f>AND(Sheet1!#REF!,"AAAAAGc/9jo=")</f>
        <v>#REF!</v>
      </c>
      <c r="BH201" t="e">
        <f>AND(Sheet1!#REF!,"AAAAAGc/9js=")</f>
        <v>#REF!</v>
      </c>
      <c r="BI201" t="e">
        <f>AND(Sheet1!#REF!,"AAAAAGc/9jw=")</f>
        <v>#REF!</v>
      </c>
      <c r="BJ201" t="e">
        <f>AND(Sheet1!#REF!,"AAAAAGc/9j0=")</f>
        <v>#REF!</v>
      </c>
      <c r="BK201">
        <f>IF(Sheet1!2699:2699,"AAAAAGc/9j4=",0)</f>
        <v>0</v>
      </c>
      <c r="BL201" t="e">
        <f>AND(Sheet1!A2699,"AAAAAGc/9j8=")</f>
        <v>#VALUE!</v>
      </c>
      <c r="BM201" t="e">
        <f>AND(Sheet1!B2699,"AAAAAGc/9kA=")</f>
        <v>#VALUE!</v>
      </c>
      <c r="BN201" t="e">
        <f>AND(Sheet1!C2699,"AAAAAGc/9kE=")</f>
        <v>#VALUE!</v>
      </c>
      <c r="BO201" t="e">
        <f>AND(Sheet1!D2699,"AAAAAGc/9kI=")</f>
        <v>#VALUE!</v>
      </c>
      <c r="BP201" t="e">
        <f>AND(Sheet1!E2699,"AAAAAGc/9kM=")</f>
        <v>#VALUE!</v>
      </c>
      <c r="BQ201" t="e">
        <f>AND(Sheet1!F2699,"AAAAAGc/9kQ=")</f>
        <v>#VALUE!</v>
      </c>
      <c r="BR201" t="e">
        <f>AND(Sheet1!G2699,"AAAAAGc/9kU=")</f>
        <v>#VALUE!</v>
      </c>
      <c r="BS201" t="e">
        <f>AND(Sheet1!H2699,"AAAAAGc/9kY=")</f>
        <v>#VALUE!</v>
      </c>
      <c r="BT201" t="e">
        <f>AND(Sheet1!I2699,"AAAAAGc/9kc=")</f>
        <v>#VALUE!</v>
      </c>
      <c r="BU201" t="e">
        <f>AND(Sheet1!J2699,"AAAAAGc/9kg=")</f>
        <v>#VALUE!</v>
      </c>
      <c r="BV201" t="e">
        <f>AND(Sheet1!K2699,"AAAAAGc/9kk=")</f>
        <v>#VALUE!</v>
      </c>
      <c r="BW201" t="e">
        <f>AND(Sheet1!L2699,"AAAAAGc/9ko=")</f>
        <v>#VALUE!</v>
      </c>
      <c r="BX201" t="e">
        <f>AND(Sheet1!M2699,"AAAAAGc/9ks=")</f>
        <v>#VALUE!</v>
      </c>
      <c r="BY201" t="e">
        <f>AND(Sheet1!N2699,"AAAAAGc/9kw=")</f>
        <v>#VALUE!</v>
      </c>
      <c r="BZ201" t="e">
        <f>AND(Sheet1!#REF!,"AAAAAGc/9k0=")</f>
        <v>#REF!</v>
      </c>
      <c r="CA201" t="e">
        <f>AND(Sheet1!#REF!,"AAAAAGc/9k4=")</f>
        <v>#REF!</v>
      </c>
      <c r="CB201" t="e">
        <f>AND(Sheet1!#REF!,"AAAAAGc/9k8=")</f>
        <v>#REF!</v>
      </c>
      <c r="CC201" t="e">
        <f>AND(Sheet1!#REF!,"AAAAAGc/9lA=")</f>
        <v>#REF!</v>
      </c>
      <c r="CD201">
        <f>IF(Sheet1!2700:2700,"AAAAAGc/9lE=",0)</f>
        <v>0</v>
      </c>
      <c r="CE201" t="e">
        <f>AND(Sheet1!A2700,"AAAAAGc/9lI=")</f>
        <v>#VALUE!</v>
      </c>
      <c r="CF201" t="e">
        <f>AND(Sheet1!B2700,"AAAAAGc/9lM=")</f>
        <v>#VALUE!</v>
      </c>
      <c r="CG201" t="e">
        <f>AND(Sheet1!C2700,"AAAAAGc/9lQ=")</f>
        <v>#VALUE!</v>
      </c>
      <c r="CH201" t="e">
        <f>AND(Sheet1!D2700,"AAAAAGc/9lU=")</f>
        <v>#VALUE!</v>
      </c>
      <c r="CI201" t="e">
        <f>AND(Sheet1!E2700,"AAAAAGc/9lY=")</f>
        <v>#VALUE!</v>
      </c>
      <c r="CJ201" t="e">
        <f>AND(Sheet1!F2700,"AAAAAGc/9lc=")</f>
        <v>#VALUE!</v>
      </c>
      <c r="CK201" t="e">
        <f>AND(Sheet1!G2700,"AAAAAGc/9lg=")</f>
        <v>#VALUE!</v>
      </c>
      <c r="CL201" t="e">
        <f>AND(Sheet1!H2700,"AAAAAGc/9lk=")</f>
        <v>#VALUE!</v>
      </c>
      <c r="CM201" t="e">
        <f>AND(Sheet1!I2700,"AAAAAGc/9lo=")</f>
        <v>#VALUE!</v>
      </c>
      <c r="CN201" t="e">
        <f>AND(Sheet1!J2700,"AAAAAGc/9ls=")</f>
        <v>#VALUE!</v>
      </c>
      <c r="CO201" t="e">
        <f>AND(Sheet1!K2700,"AAAAAGc/9lw=")</f>
        <v>#VALUE!</v>
      </c>
      <c r="CP201" t="e">
        <f>AND(Sheet1!L2700,"AAAAAGc/9l0=")</f>
        <v>#VALUE!</v>
      </c>
      <c r="CQ201" t="e">
        <f>AND(Sheet1!M2700,"AAAAAGc/9l4=")</f>
        <v>#VALUE!</v>
      </c>
      <c r="CR201" t="e">
        <f>AND(Sheet1!N2700,"AAAAAGc/9l8=")</f>
        <v>#VALUE!</v>
      </c>
      <c r="CS201" t="e">
        <f>AND(Sheet1!#REF!,"AAAAAGc/9mA=")</f>
        <v>#REF!</v>
      </c>
      <c r="CT201" t="e">
        <f>AND(Sheet1!#REF!,"AAAAAGc/9mE=")</f>
        <v>#REF!</v>
      </c>
      <c r="CU201" t="e">
        <f>AND(Sheet1!#REF!,"AAAAAGc/9mI=")</f>
        <v>#REF!</v>
      </c>
      <c r="CV201" t="e">
        <f>AND(Sheet1!#REF!,"AAAAAGc/9mM=")</f>
        <v>#REF!</v>
      </c>
      <c r="CW201">
        <f>IF(Sheet1!2701:2701,"AAAAAGc/9mQ=",0)</f>
        <v>0</v>
      </c>
      <c r="CX201" t="e">
        <f>AND(Sheet1!A2701,"AAAAAGc/9mU=")</f>
        <v>#VALUE!</v>
      </c>
      <c r="CY201" t="e">
        <f>AND(Sheet1!B2701,"AAAAAGc/9mY=")</f>
        <v>#VALUE!</v>
      </c>
      <c r="CZ201" t="e">
        <f>AND(Sheet1!C2701,"AAAAAGc/9mc=")</f>
        <v>#VALUE!</v>
      </c>
      <c r="DA201" t="e">
        <f>AND(Sheet1!D2701,"AAAAAGc/9mg=")</f>
        <v>#VALUE!</v>
      </c>
      <c r="DB201" t="e">
        <f>AND(Sheet1!E2701,"AAAAAGc/9mk=")</f>
        <v>#VALUE!</v>
      </c>
      <c r="DC201" t="e">
        <f>AND(Sheet1!F2701,"AAAAAGc/9mo=")</f>
        <v>#VALUE!</v>
      </c>
      <c r="DD201" t="e">
        <f>AND(Sheet1!G2701,"AAAAAGc/9ms=")</f>
        <v>#VALUE!</v>
      </c>
      <c r="DE201" t="e">
        <f>AND(Sheet1!H2701,"AAAAAGc/9mw=")</f>
        <v>#VALUE!</v>
      </c>
      <c r="DF201" t="e">
        <f>AND(Sheet1!I2701,"AAAAAGc/9m0=")</f>
        <v>#VALUE!</v>
      </c>
      <c r="DG201" t="e">
        <f>AND(Sheet1!J2701,"AAAAAGc/9m4=")</f>
        <v>#VALUE!</v>
      </c>
      <c r="DH201" t="e">
        <f>AND(Sheet1!K2701,"AAAAAGc/9m8=")</f>
        <v>#VALUE!</v>
      </c>
      <c r="DI201" t="e">
        <f>AND(Sheet1!L2701,"AAAAAGc/9nA=")</f>
        <v>#VALUE!</v>
      </c>
      <c r="DJ201" t="e">
        <f>AND(Sheet1!M2701,"AAAAAGc/9nE=")</f>
        <v>#VALUE!</v>
      </c>
      <c r="DK201" t="e">
        <f>AND(Sheet1!N2701,"AAAAAGc/9nI=")</f>
        <v>#VALUE!</v>
      </c>
      <c r="DL201" t="e">
        <f>AND(Sheet1!#REF!,"AAAAAGc/9nM=")</f>
        <v>#REF!</v>
      </c>
      <c r="DM201" t="e">
        <f>AND(Sheet1!#REF!,"AAAAAGc/9nQ=")</f>
        <v>#REF!</v>
      </c>
      <c r="DN201" t="e">
        <f>AND(Sheet1!#REF!,"AAAAAGc/9nU=")</f>
        <v>#REF!</v>
      </c>
      <c r="DO201" t="e">
        <f>AND(Sheet1!#REF!,"AAAAAGc/9nY=")</f>
        <v>#REF!</v>
      </c>
      <c r="DP201">
        <f>IF(Sheet1!2702:2702,"AAAAAGc/9nc=",0)</f>
        <v>0</v>
      </c>
      <c r="DQ201" t="e">
        <f>AND(Sheet1!A2702,"AAAAAGc/9ng=")</f>
        <v>#VALUE!</v>
      </c>
      <c r="DR201" t="e">
        <f>AND(Sheet1!B2702,"AAAAAGc/9nk=")</f>
        <v>#VALUE!</v>
      </c>
      <c r="DS201" t="e">
        <f>AND(Sheet1!C2702,"AAAAAGc/9no=")</f>
        <v>#VALUE!</v>
      </c>
      <c r="DT201" t="e">
        <f>AND(Sheet1!D2702,"AAAAAGc/9ns=")</f>
        <v>#VALUE!</v>
      </c>
      <c r="DU201" t="e">
        <f>AND(Sheet1!E2702,"AAAAAGc/9nw=")</f>
        <v>#VALUE!</v>
      </c>
      <c r="DV201" t="e">
        <f>AND(Sheet1!F2702,"AAAAAGc/9n0=")</f>
        <v>#VALUE!</v>
      </c>
      <c r="DW201" t="e">
        <f>AND(Sheet1!G2702,"AAAAAGc/9n4=")</f>
        <v>#VALUE!</v>
      </c>
      <c r="DX201" t="e">
        <f>AND(Sheet1!H2702,"AAAAAGc/9n8=")</f>
        <v>#VALUE!</v>
      </c>
      <c r="DY201" t="e">
        <f>AND(Sheet1!I2702,"AAAAAGc/9oA=")</f>
        <v>#VALUE!</v>
      </c>
      <c r="DZ201" t="e">
        <f>AND(Sheet1!J2702,"AAAAAGc/9oE=")</f>
        <v>#VALUE!</v>
      </c>
      <c r="EA201" t="e">
        <f>AND(Sheet1!K2702,"AAAAAGc/9oI=")</f>
        <v>#VALUE!</v>
      </c>
      <c r="EB201" t="e">
        <f>AND(Sheet1!L2702,"AAAAAGc/9oM=")</f>
        <v>#VALUE!</v>
      </c>
      <c r="EC201" t="e">
        <f>AND(Sheet1!M2702,"AAAAAGc/9oQ=")</f>
        <v>#VALUE!</v>
      </c>
      <c r="ED201" t="e">
        <f>AND(Sheet1!N2702,"AAAAAGc/9oU=")</f>
        <v>#VALUE!</v>
      </c>
      <c r="EE201" t="e">
        <f>AND(Sheet1!#REF!,"AAAAAGc/9oY=")</f>
        <v>#REF!</v>
      </c>
      <c r="EF201" t="e">
        <f>AND(Sheet1!#REF!,"AAAAAGc/9oc=")</f>
        <v>#REF!</v>
      </c>
      <c r="EG201" t="e">
        <f>AND(Sheet1!#REF!,"AAAAAGc/9og=")</f>
        <v>#REF!</v>
      </c>
      <c r="EH201" t="e">
        <f>AND(Sheet1!#REF!,"AAAAAGc/9ok=")</f>
        <v>#REF!</v>
      </c>
      <c r="EI201">
        <f>IF(Sheet1!2703:2703,"AAAAAGc/9oo=",0)</f>
        <v>0</v>
      </c>
      <c r="EJ201" t="e">
        <f>AND(Sheet1!A2703,"AAAAAGc/9os=")</f>
        <v>#VALUE!</v>
      </c>
      <c r="EK201" t="e">
        <f>AND(Sheet1!B2703,"AAAAAGc/9ow=")</f>
        <v>#VALUE!</v>
      </c>
      <c r="EL201" t="e">
        <f>AND(Sheet1!C2703,"AAAAAGc/9o0=")</f>
        <v>#VALUE!</v>
      </c>
      <c r="EM201" t="e">
        <f>AND(Sheet1!D2703,"AAAAAGc/9o4=")</f>
        <v>#VALUE!</v>
      </c>
      <c r="EN201" t="e">
        <f>AND(Sheet1!E2703,"AAAAAGc/9o8=")</f>
        <v>#VALUE!</v>
      </c>
      <c r="EO201" t="e">
        <f>AND(Sheet1!F2703,"AAAAAGc/9pA=")</f>
        <v>#VALUE!</v>
      </c>
      <c r="EP201" t="e">
        <f>AND(Sheet1!G2703,"AAAAAGc/9pE=")</f>
        <v>#VALUE!</v>
      </c>
      <c r="EQ201" t="e">
        <f>AND(Sheet1!H2703,"AAAAAGc/9pI=")</f>
        <v>#VALUE!</v>
      </c>
      <c r="ER201" t="e">
        <f>AND(Sheet1!I2703,"AAAAAGc/9pM=")</f>
        <v>#VALUE!</v>
      </c>
      <c r="ES201" t="e">
        <f>AND(Sheet1!J2703,"AAAAAGc/9pQ=")</f>
        <v>#VALUE!</v>
      </c>
      <c r="ET201" t="e">
        <f>AND(Sheet1!K2703,"AAAAAGc/9pU=")</f>
        <v>#VALUE!</v>
      </c>
      <c r="EU201" t="e">
        <f>AND(Sheet1!L2703,"AAAAAGc/9pY=")</f>
        <v>#VALUE!</v>
      </c>
      <c r="EV201" t="e">
        <f>AND(Sheet1!M2703,"AAAAAGc/9pc=")</f>
        <v>#VALUE!</v>
      </c>
      <c r="EW201" t="e">
        <f>AND(Sheet1!N2703,"AAAAAGc/9pg=")</f>
        <v>#VALUE!</v>
      </c>
      <c r="EX201" t="e">
        <f>AND(Sheet1!#REF!,"AAAAAGc/9pk=")</f>
        <v>#REF!</v>
      </c>
      <c r="EY201" t="e">
        <f>AND(Sheet1!#REF!,"AAAAAGc/9po=")</f>
        <v>#REF!</v>
      </c>
      <c r="EZ201" t="e">
        <f>AND(Sheet1!#REF!,"AAAAAGc/9ps=")</f>
        <v>#REF!</v>
      </c>
      <c r="FA201" t="e">
        <f>AND(Sheet1!#REF!,"AAAAAGc/9pw=")</f>
        <v>#REF!</v>
      </c>
      <c r="FB201">
        <f>IF(Sheet1!2704:2704,"AAAAAGc/9p0=",0)</f>
        <v>0</v>
      </c>
      <c r="FC201" t="e">
        <f>AND(Sheet1!A2704,"AAAAAGc/9p4=")</f>
        <v>#VALUE!</v>
      </c>
      <c r="FD201" t="e">
        <f>AND(Sheet1!B2704,"AAAAAGc/9p8=")</f>
        <v>#VALUE!</v>
      </c>
      <c r="FE201" t="e">
        <f>AND(Sheet1!C2704,"AAAAAGc/9qA=")</f>
        <v>#VALUE!</v>
      </c>
      <c r="FF201" t="e">
        <f>AND(Sheet1!D2704,"AAAAAGc/9qE=")</f>
        <v>#VALUE!</v>
      </c>
      <c r="FG201" t="e">
        <f>AND(Sheet1!E2704,"AAAAAGc/9qI=")</f>
        <v>#VALUE!</v>
      </c>
      <c r="FH201" t="e">
        <f>AND(Sheet1!F2704,"AAAAAGc/9qM=")</f>
        <v>#VALUE!</v>
      </c>
      <c r="FI201" t="e">
        <f>AND(Sheet1!G2704,"AAAAAGc/9qQ=")</f>
        <v>#VALUE!</v>
      </c>
      <c r="FJ201" t="e">
        <f>AND(Sheet1!H2704,"AAAAAGc/9qU=")</f>
        <v>#VALUE!</v>
      </c>
      <c r="FK201" t="e">
        <f>AND(Sheet1!I2704,"AAAAAGc/9qY=")</f>
        <v>#VALUE!</v>
      </c>
      <c r="FL201" t="e">
        <f>AND(Sheet1!J2704,"AAAAAGc/9qc=")</f>
        <v>#VALUE!</v>
      </c>
      <c r="FM201" t="e">
        <f>AND(Sheet1!K2704,"AAAAAGc/9qg=")</f>
        <v>#VALUE!</v>
      </c>
      <c r="FN201" t="e">
        <f>AND(Sheet1!L2704,"AAAAAGc/9qk=")</f>
        <v>#VALUE!</v>
      </c>
      <c r="FO201" t="e">
        <f>AND(Sheet1!M2704,"AAAAAGc/9qo=")</f>
        <v>#VALUE!</v>
      </c>
      <c r="FP201" t="e">
        <f>AND(Sheet1!N2704,"AAAAAGc/9qs=")</f>
        <v>#VALUE!</v>
      </c>
      <c r="FQ201" t="e">
        <f>AND(Sheet1!#REF!,"AAAAAGc/9qw=")</f>
        <v>#REF!</v>
      </c>
      <c r="FR201" t="e">
        <f>AND(Sheet1!#REF!,"AAAAAGc/9q0=")</f>
        <v>#REF!</v>
      </c>
      <c r="FS201" t="e">
        <f>AND(Sheet1!#REF!,"AAAAAGc/9q4=")</f>
        <v>#REF!</v>
      </c>
      <c r="FT201" t="e">
        <f>AND(Sheet1!#REF!,"AAAAAGc/9q8=")</f>
        <v>#REF!</v>
      </c>
      <c r="FU201">
        <f>IF(Sheet1!2705:2705,"AAAAAGc/9rA=",0)</f>
        <v>0</v>
      </c>
      <c r="FV201" t="e">
        <f>AND(Sheet1!A2705,"AAAAAGc/9rE=")</f>
        <v>#VALUE!</v>
      </c>
      <c r="FW201" t="e">
        <f>AND(Sheet1!B2705,"AAAAAGc/9rI=")</f>
        <v>#VALUE!</v>
      </c>
      <c r="FX201" t="e">
        <f>AND(Sheet1!C2705,"AAAAAGc/9rM=")</f>
        <v>#VALUE!</v>
      </c>
      <c r="FY201" t="e">
        <f>AND(Sheet1!D2705,"AAAAAGc/9rQ=")</f>
        <v>#VALUE!</v>
      </c>
      <c r="FZ201" t="e">
        <f>AND(Sheet1!E2705,"AAAAAGc/9rU=")</f>
        <v>#VALUE!</v>
      </c>
      <c r="GA201" t="e">
        <f>AND(Sheet1!F2705,"AAAAAGc/9rY=")</f>
        <v>#VALUE!</v>
      </c>
      <c r="GB201" t="e">
        <f>AND(Sheet1!G2705,"AAAAAGc/9rc=")</f>
        <v>#VALUE!</v>
      </c>
      <c r="GC201" t="e">
        <f>AND(Sheet1!H2705,"AAAAAGc/9rg=")</f>
        <v>#VALUE!</v>
      </c>
      <c r="GD201" t="e">
        <f>AND(Sheet1!I2705,"AAAAAGc/9rk=")</f>
        <v>#VALUE!</v>
      </c>
      <c r="GE201" t="e">
        <f>AND(Sheet1!J2705,"AAAAAGc/9ro=")</f>
        <v>#VALUE!</v>
      </c>
      <c r="GF201" t="e">
        <f>AND(Sheet1!K2705,"AAAAAGc/9rs=")</f>
        <v>#VALUE!</v>
      </c>
      <c r="GG201" t="e">
        <f>AND(Sheet1!L2705,"AAAAAGc/9rw=")</f>
        <v>#VALUE!</v>
      </c>
      <c r="GH201" t="e">
        <f>AND(Sheet1!M2705,"AAAAAGc/9r0=")</f>
        <v>#VALUE!</v>
      </c>
      <c r="GI201" t="e">
        <f>AND(Sheet1!N2705,"AAAAAGc/9r4=")</f>
        <v>#VALUE!</v>
      </c>
      <c r="GJ201" t="e">
        <f>AND(Sheet1!#REF!,"AAAAAGc/9r8=")</f>
        <v>#REF!</v>
      </c>
      <c r="GK201" t="e">
        <f>AND(Sheet1!#REF!,"AAAAAGc/9sA=")</f>
        <v>#REF!</v>
      </c>
      <c r="GL201" t="e">
        <f>AND(Sheet1!#REF!,"AAAAAGc/9sE=")</f>
        <v>#REF!</v>
      </c>
      <c r="GM201" t="e">
        <f>AND(Sheet1!#REF!,"AAAAAGc/9sI=")</f>
        <v>#REF!</v>
      </c>
      <c r="GN201">
        <f>IF(Sheet1!2706:2706,"AAAAAGc/9sM=",0)</f>
        <v>0</v>
      </c>
      <c r="GO201" t="e">
        <f>AND(Sheet1!A2706,"AAAAAGc/9sQ=")</f>
        <v>#VALUE!</v>
      </c>
      <c r="GP201" t="e">
        <f>AND(Sheet1!B2706,"AAAAAGc/9sU=")</f>
        <v>#VALUE!</v>
      </c>
      <c r="GQ201" t="e">
        <f>AND(Sheet1!C2706,"AAAAAGc/9sY=")</f>
        <v>#VALUE!</v>
      </c>
      <c r="GR201" t="e">
        <f>AND(Sheet1!D2706,"AAAAAGc/9sc=")</f>
        <v>#VALUE!</v>
      </c>
      <c r="GS201" t="e">
        <f>AND(Sheet1!E2706,"AAAAAGc/9sg=")</f>
        <v>#VALUE!</v>
      </c>
      <c r="GT201" t="e">
        <f>AND(Sheet1!F2706,"AAAAAGc/9sk=")</f>
        <v>#VALUE!</v>
      </c>
      <c r="GU201" t="e">
        <f>AND(Sheet1!G2706,"AAAAAGc/9so=")</f>
        <v>#VALUE!</v>
      </c>
      <c r="GV201" t="e">
        <f>AND(Sheet1!H2706,"AAAAAGc/9ss=")</f>
        <v>#VALUE!</v>
      </c>
      <c r="GW201" t="e">
        <f>AND(Sheet1!I2706,"AAAAAGc/9sw=")</f>
        <v>#VALUE!</v>
      </c>
      <c r="GX201" t="e">
        <f>AND(Sheet1!J2706,"AAAAAGc/9s0=")</f>
        <v>#VALUE!</v>
      </c>
      <c r="GY201" t="e">
        <f>AND(Sheet1!K2706,"AAAAAGc/9s4=")</f>
        <v>#VALUE!</v>
      </c>
      <c r="GZ201" t="e">
        <f>AND(Sheet1!L2706,"AAAAAGc/9s8=")</f>
        <v>#VALUE!</v>
      </c>
      <c r="HA201" t="e">
        <f>AND(Sheet1!M2706,"AAAAAGc/9tA=")</f>
        <v>#VALUE!</v>
      </c>
      <c r="HB201" t="e">
        <f>AND(Sheet1!N2706,"AAAAAGc/9tE=")</f>
        <v>#VALUE!</v>
      </c>
      <c r="HC201" t="e">
        <f>AND(Sheet1!#REF!,"AAAAAGc/9tI=")</f>
        <v>#REF!</v>
      </c>
      <c r="HD201" t="e">
        <f>AND(Sheet1!#REF!,"AAAAAGc/9tM=")</f>
        <v>#REF!</v>
      </c>
      <c r="HE201" t="e">
        <f>AND(Sheet1!#REF!,"AAAAAGc/9tQ=")</f>
        <v>#REF!</v>
      </c>
      <c r="HF201" t="e">
        <f>AND(Sheet1!#REF!,"AAAAAGc/9tU=")</f>
        <v>#REF!</v>
      </c>
      <c r="HG201">
        <f>IF(Sheet1!2707:2707,"AAAAAGc/9tY=",0)</f>
        <v>0</v>
      </c>
      <c r="HH201" t="e">
        <f>AND(Sheet1!A2707,"AAAAAGc/9tc=")</f>
        <v>#VALUE!</v>
      </c>
      <c r="HI201" t="e">
        <f>AND(Sheet1!B2707,"AAAAAGc/9tg=")</f>
        <v>#VALUE!</v>
      </c>
      <c r="HJ201" t="e">
        <f>AND(Sheet1!C2707,"AAAAAGc/9tk=")</f>
        <v>#VALUE!</v>
      </c>
      <c r="HK201" t="e">
        <f>AND(Sheet1!D2707,"AAAAAGc/9to=")</f>
        <v>#VALUE!</v>
      </c>
      <c r="HL201" t="e">
        <f>AND(Sheet1!E2707,"AAAAAGc/9ts=")</f>
        <v>#VALUE!</v>
      </c>
      <c r="HM201" t="e">
        <f>AND(Sheet1!F2707,"AAAAAGc/9tw=")</f>
        <v>#VALUE!</v>
      </c>
      <c r="HN201" t="e">
        <f>AND(Sheet1!G2707,"AAAAAGc/9t0=")</f>
        <v>#VALUE!</v>
      </c>
      <c r="HO201" t="e">
        <f>AND(Sheet1!H2707,"AAAAAGc/9t4=")</f>
        <v>#VALUE!</v>
      </c>
      <c r="HP201" t="e">
        <f>AND(Sheet1!I2707,"AAAAAGc/9t8=")</f>
        <v>#VALUE!</v>
      </c>
      <c r="HQ201" t="e">
        <f>AND(Sheet1!J2707,"AAAAAGc/9uA=")</f>
        <v>#VALUE!</v>
      </c>
      <c r="HR201" t="e">
        <f>AND(Sheet1!K2707,"AAAAAGc/9uE=")</f>
        <v>#VALUE!</v>
      </c>
      <c r="HS201" t="e">
        <f>AND(Sheet1!L2707,"AAAAAGc/9uI=")</f>
        <v>#VALUE!</v>
      </c>
      <c r="HT201" t="e">
        <f>AND(Sheet1!M2707,"AAAAAGc/9uM=")</f>
        <v>#VALUE!</v>
      </c>
      <c r="HU201" t="e">
        <f>AND(Sheet1!N2707,"AAAAAGc/9uQ=")</f>
        <v>#VALUE!</v>
      </c>
      <c r="HV201" t="e">
        <f>AND(Sheet1!#REF!,"AAAAAGc/9uU=")</f>
        <v>#REF!</v>
      </c>
      <c r="HW201" t="e">
        <f>AND(Sheet1!#REF!,"AAAAAGc/9uY=")</f>
        <v>#REF!</v>
      </c>
      <c r="HX201" t="e">
        <f>AND(Sheet1!#REF!,"AAAAAGc/9uc=")</f>
        <v>#REF!</v>
      </c>
      <c r="HY201" t="e">
        <f>AND(Sheet1!#REF!,"AAAAAGc/9ug=")</f>
        <v>#REF!</v>
      </c>
      <c r="HZ201">
        <f>IF(Sheet1!2708:2708,"AAAAAGc/9uk=",0)</f>
        <v>0</v>
      </c>
      <c r="IA201" t="e">
        <f>AND(Sheet1!A2708,"AAAAAGc/9uo=")</f>
        <v>#VALUE!</v>
      </c>
      <c r="IB201" t="e">
        <f>AND(Sheet1!B2708,"AAAAAGc/9us=")</f>
        <v>#VALUE!</v>
      </c>
      <c r="IC201" t="e">
        <f>AND(Sheet1!C2708,"AAAAAGc/9uw=")</f>
        <v>#VALUE!</v>
      </c>
      <c r="ID201" t="e">
        <f>AND(Sheet1!D2708,"AAAAAGc/9u0=")</f>
        <v>#VALUE!</v>
      </c>
      <c r="IE201" t="e">
        <f>AND(Sheet1!E2708,"AAAAAGc/9u4=")</f>
        <v>#VALUE!</v>
      </c>
      <c r="IF201" t="e">
        <f>AND(Sheet1!F2708,"AAAAAGc/9u8=")</f>
        <v>#VALUE!</v>
      </c>
      <c r="IG201" t="e">
        <f>AND(Sheet1!G2708,"AAAAAGc/9vA=")</f>
        <v>#VALUE!</v>
      </c>
      <c r="IH201" t="e">
        <f>AND(Sheet1!H2708,"AAAAAGc/9vE=")</f>
        <v>#VALUE!</v>
      </c>
      <c r="II201" t="e">
        <f>AND(Sheet1!I2708,"AAAAAGc/9vI=")</f>
        <v>#VALUE!</v>
      </c>
      <c r="IJ201" t="e">
        <f>AND(Sheet1!J2708,"AAAAAGc/9vM=")</f>
        <v>#VALUE!</v>
      </c>
      <c r="IK201" t="e">
        <f>AND(Sheet1!K2708,"AAAAAGc/9vQ=")</f>
        <v>#VALUE!</v>
      </c>
      <c r="IL201" t="e">
        <f>AND(Sheet1!L2708,"AAAAAGc/9vU=")</f>
        <v>#VALUE!</v>
      </c>
      <c r="IM201" t="e">
        <f>AND(Sheet1!M2708,"AAAAAGc/9vY=")</f>
        <v>#VALUE!</v>
      </c>
      <c r="IN201" t="e">
        <f>AND(Sheet1!N2708,"AAAAAGc/9vc=")</f>
        <v>#VALUE!</v>
      </c>
      <c r="IO201" t="e">
        <f>AND(Sheet1!#REF!,"AAAAAGc/9vg=")</f>
        <v>#REF!</v>
      </c>
      <c r="IP201" t="e">
        <f>AND(Sheet1!#REF!,"AAAAAGc/9vk=")</f>
        <v>#REF!</v>
      </c>
      <c r="IQ201" t="e">
        <f>AND(Sheet1!#REF!,"AAAAAGc/9vo=")</f>
        <v>#REF!</v>
      </c>
      <c r="IR201" t="e">
        <f>AND(Sheet1!#REF!,"AAAAAGc/9vs=")</f>
        <v>#REF!</v>
      </c>
      <c r="IS201">
        <f>IF(Sheet1!2709:2709,"AAAAAGc/9vw=",0)</f>
        <v>0</v>
      </c>
      <c r="IT201" t="e">
        <f>AND(Sheet1!A2709,"AAAAAGc/9v0=")</f>
        <v>#VALUE!</v>
      </c>
      <c r="IU201" t="e">
        <f>AND(Sheet1!B2709,"AAAAAGc/9v4=")</f>
        <v>#VALUE!</v>
      </c>
      <c r="IV201" t="e">
        <f>AND(Sheet1!C2709,"AAAAAGc/9v8=")</f>
        <v>#VALUE!</v>
      </c>
    </row>
    <row r="202" spans="1:256" x14ac:dyDescent="0.2">
      <c r="A202" t="e">
        <f>AND(Sheet1!D2709,"AAAAAH2X9QA=")</f>
        <v>#VALUE!</v>
      </c>
      <c r="B202" t="e">
        <f>AND(Sheet1!E2709,"AAAAAH2X9QE=")</f>
        <v>#VALUE!</v>
      </c>
      <c r="C202" t="e">
        <f>AND(Sheet1!F2709,"AAAAAH2X9QI=")</f>
        <v>#VALUE!</v>
      </c>
      <c r="D202" t="e">
        <f>AND(Sheet1!G2709,"AAAAAH2X9QM=")</f>
        <v>#VALUE!</v>
      </c>
      <c r="E202" t="e">
        <f>AND(Sheet1!H2709,"AAAAAH2X9QQ=")</f>
        <v>#VALUE!</v>
      </c>
      <c r="F202" t="e">
        <f>AND(Sheet1!I2709,"AAAAAH2X9QU=")</f>
        <v>#VALUE!</v>
      </c>
      <c r="G202" t="e">
        <f>AND(Sheet1!J2709,"AAAAAH2X9QY=")</f>
        <v>#VALUE!</v>
      </c>
      <c r="H202" t="e">
        <f>AND(Sheet1!K2709,"AAAAAH2X9Qc=")</f>
        <v>#VALUE!</v>
      </c>
      <c r="I202" t="e">
        <f>AND(Sheet1!L2709,"AAAAAH2X9Qg=")</f>
        <v>#VALUE!</v>
      </c>
      <c r="J202" t="e">
        <f>AND(Sheet1!M2709,"AAAAAH2X9Qk=")</f>
        <v>#VALUE!</v>
      </c>
      <c r="K202" t="e">
        <f>AND(Sheet1!N2709,"AAAAAH2X9Qo=")</f>
        <v>#VALUE!</v>
      </c>
      <c r="L202" t="e">
        <f>AND(Sheet1!#REF!,"AAAAAH2X9Qs=")</f>
        <v>#REF!</v>
      </c>
      <c r="M202" t="e">
        <f>AND(Sheet1!#REF!,"AAAAAH2X9Qw=")</f>
        <v>#REF!</v>
      </c>
      <c r="N202" t="e">
        <f>AND(Sheet1!#REF!,"AAAAAH2X9Q0=")</f>
        <v>#REF!</v>
      </c>
      <c r="O202" t="e">
        <f>AND(Sheet1!#REF!,"AAAAAH2X9Q4=")</f>
        <v>#REF!</v>
      </c>
      <c r="P202">
        <f>IF(Sheet1!2710:2710,"AAAAAH2X9Q8=",0)</f>
        <v>0</v>
      </c>
      <c r="Q202" t="e">
        <f>AND(Sheet1!A2710,"AAAAAH2X9RA=")</f>
        <v>#VALUE!</v>
      </c>
      <c r="R202" t="e">
        <f>AND(Sheet1!B2710,"AAAAAH2X9RE=")</f>
        <v>#VALUE!</v>
      </c>
      <c r="S202" t="e">
        <f>AND(Sheet1!C2710,"AAAAAH2X9RI=")</f>
        <v>#VALUE!</v>
      </c>
      <c r="T202" t="e">
        <f>AND(Sheet1!D2710,"AAAAAH2X9RM=")</f>
        <v>#VALUE!</v>
      </c>
      <c r="U202" t="e">
        <f>AND(Sheet1!E2710,"AAAAAH2X9RQ=")</f>
        <v>#VALUE!</v>
      </c>
      <c r="V202" t="e">
        <f>AND(Sheet1!F2710,"AAAAAH2X9RU=")</f>
        <v>#VALUE!</v>
      </c>
      <c r="W202" t="e">
        <f>AND(Sheet1!G2710,"AAAAAH2X9RY=")</f>
        <v>#VALUE!</v>
      </c>
      <c r="X202" t="e">
        <f>AND(Sheet1!H2710,"AAAAAH2X9Rc=")</f>
        <v>#VALUE!</v>
      </c>
      <c r="Y202" t="e">
        <f>AND(Sheet1!I2710,"AAAAAH2X9Rg=")</f>
        <v>#VALUE!</v>
      </c>
      <c r="Z202" t="e">
        <f>AND(Sheet1!J2710,"AAAAAH2X9Rk=")</f>
        <v>#VALUE!</v>
      </c>
      <c r="AA202" t="e">
        <f>AND(Sheet1!K2710,"AAAAAH2X9Ro=")</f>
        <v>#VALUE!</v>
      </c>
      <c r="AB202" t="e">
        <f>AND(Sheet1!L2710,"AAAAAH2X9Rs=")</f>
        <v>#VALUE!</v>
      </c>
      <c r="AC202" t="e">
        <f>AND(Sheet1!M2710,"AAAAAH2X9Rw=")</f>
        <v>#VALUE!</v>
      </c>
      <c r="AD202" t="e">
        <f>AND(Sheet1!N2710,"AAAAAH2X9R0=")</f>
        <v>#VALUE!</v>
      </c>
      <c r="AE202" t="e">
        <f>AND(Sheet1!#REF!,"AAAAAH2X9R4=")</f>
        <v>#REF!</v>
      </c>
      <c r="AF202" t="e">
        <f>AND(Sheet1!#REF!,"AAAAAH2X9R8=")</f>
        <v>#REF!</v>
      </c>
      <c r="AG202" t="e">
        <f>AND(Sheet1!#REF!,"AAAAAH2X9SA=")</f>
        <v>#REF!</v>
      </c>
      <c r="AH202" t="e">
        <f>AND(Sheet1!#REF!,"AAAAAH2X9SE=")</f>
        <v>#REF!</v>
      </c>
      <c r="AI202">
        <f>IF(Sheet1!2711:2711,"AAAAAH2X9SI=",0)</f>
        <v>0</v>
      </c>
      <c r="AJ202" t="e">
        <f>AND(Sheet1!A2711,"AAAAAH2X9SM=")</f>
        <v>#VALUE!</v>
      </c>
      <c r="AK202" t="e">
        <f>AND(Sheet1!B2711,"AAAAAH2X9SQ=")</f>
        <v>#VALUE!</v>
      </c>
      <c r="AL202" t="e">
        <f>AND(Sheet1!C2711,"AAAAAH2X9SU=")</f>
        <v>#VALUE!</v>
      </c>
      <c r="AM202" t="e">
        <f>AND(Sheet1!D2711,"AAAAAH2X9SY=")</f>
        <v>#VALUE!</v>
      </c>
      <c r="AN202" t="e">
        <f>AND(Sheet1!E2711,"AAAAAH2X9Sc=")</f>
        <v>#VALUE!</v>
      </c>
      <c r="AO202" t="e">
        <f>AND(Sheet1!F2711,"AAAAAH2X9Sg=")</f>
        <v>#VALUE!</v>
      </c>
      <c r="AP202" t="e">
        <f>AND(Sheet1!G2711,"AAAAAH2X9Sk=")</f>
        <v>#VALUE!</v>
      </c>
      <c r="AQ202" t="e">
        <f>AND(Sheet1!H2711,"AAAAAH2X9So=")</f>
        <v>#VALUE!</v>
      </c>
      <c r="AR202" t="e">
        <f>AND(Sheet1!I2711,"AAAAAH2X9Ss=")</f>
        <v>#VALUE!</v>
      </c>
      <c r="AS202" t="e">
        <f>AND(Sheet1!J2711,"AAAAAH2X9Sw=")</f>
        <v>#VALUE!</v>
      </c>
      <c r="AT202" t="e">
        <f>AND(Sheet1!K2711,"AAAAAH2X9S0=")</f>
        <v>#VALUE!</v>
      </c>
      <c r="AU202" t="e">
        <f>AND(Sheet1!L2711,"AAAAAH2X9S4=")</f>
        <v>#VALUE!</v>
      </c>
      <c r="AV202" t="e">
        <f>AND(Sheet1!M2711,"AAAAAH2X9S8=")</f>
        <v>#VALUE!</v>
      </c>
      <c r="AW202" t="e">
        <f>AND(Sheet1!N2711,"AAAAAH2X9TA=")</f>
        <v>#VALUE!</v>
      </c>
      <c r="AX202" t="e">
        <f>AND(Sheet1!#REF!,"AAAAAH2X9TE=")</f>
        <v>#REF!</v>
      </c>
      <c r="AY202" t="e">
        <f>AND(Sheet1!#REF!,"AAAAAH2X9TI=")</f>
        <v>#REF!</v>
      </c>
      <c r="AZ202" t="e">
        <f>AND(Sheet1!#REF!,"AAAAAH2X9TM=")</f>
        <v>#REF!</v>
      </c>
      <c r="BA202" t="e">
        <f>AND(Sheet1!#REF!,"AAAAAH2X9TQ=")</f>
        <v>#REF!</v>
      </c>
      <c r="BB202">
        <f>IF(Sheet1!2712:2712,"AAAAAH2X9TU=",0)</f>
        <v>0</v>
      </c>
      <c r="BC202" t="e">
        <f>AND(Sheet1!A2712,"AAAAAH2X9TY=")</f>
        <v>#VALUE!</v>
      </c>
      <c r="BD202" t="e">
        <f>AND(Sheet1!B2712,"AAAAAH2X9Tc=")</f>
        <v>#VALUE!</v>
      </c>
      <c r="BE202" t="e">
        <f>AND(Sheet1!C2712,"AAAAAH2X9Tg=")</f>
        <v>#VALUE!</v>
      </c>
      <c r="BF202" t="e">
        <f>AND(Sheet1!D2712,"AAAAAH2X9Tk=")</f>
        <v>#VALUE!</v>
      </c>
      <c r="BG202" t="e">
        <f>AND(Sheet1!E2712,"AAAAAH2X9To=")</f>
        <v>#VALUE!</v>
      </c>
      <c r="BH202" t="e">
        <f>AND(Sheet1!F2712,"AAAAAH2X9Ts=")</f>
        <v>#VALUE!</v>
      </c>
      <c r="BI202" t="e">
        <f>AND(Sheet1!G2712,"AAAAAH2X9Tw=")</f>
        <v>#VALUE!</v>
      </c>
      <c r="BJ202" t="e">
        <f>AND(Sheet1!H2712,"AAAAAH2X9T0=")</f>
        <v>#VALUE!</v>
      </c>
      <c r="BK202" t="e">
        <f>AND(Sheet1!I2712,"AAAAAH2X9T4=")</f>
        <v>#VALUE!</v>
      </c>
      <c r="BL202" t="e">
        <f>AND(Sheet1!J2712,"AAAAAH2X9T8=")</f>
        <v>#VALUE!</v>
      </c>
      <c r="BM202" t="e">
        <f>AND(Sheet1!K2712,"AAAAAH2X9UA=")</f>
        <v>#VALUE!</v>
      </c>
      <c r="BN202" t="e">
        <f>AND(Sheet1!L2712,"AAAAAH2X9UE=")</f>
        <v>#VALUE!</v>
      </c>
      <c r="BO202" t="e">
        <f>AND(Sheet1!M2712,"AAAAAH2X9UI=")</f>
        <v>#VALUE!</v>
      </c>
      <c r="BP202" t="e">
        <f>AND(Sheet1!N2712,"AAAAAH2X9UM=")</f>
        <v>#VALUE!</v>
      </c>
      <c r="BQ202" t="e">
        <f>AND(Sheet1!#REF!,"AAAAAH2X9UQ=")</f>
        <v>#REF!</v>
      </c>
      <c r="BR202" t="e">
        <f>AND(Sheet1!#REF!,"AAAAAH2X9UU=")</f>
        <v>#REF!</v>
      </c>
      <c r="BS202" t="e">
        <f>AND(Sheet1!#REF!,"AAAAAH2X9UY=")</f>
        <v>#REF!</v>
      </c>
      <c r="BT202" t="e">
        <f>AND(Sheet1!#REF!,"AAAAAH2X9Uc=")</f>
        <v>#REF!</v>
      </c>
      <c r="BU202">
        <f>IF(Sheet1!2713:2713,"AAAAAH2X9Ug=",0)</f>
        <v>0</v>
      </c>
      <c r="BV202" t="e">
        <f>AND(Sheet1!A2713,"AAAAAH2X9Uk=")</f>
        <v>#VALUE!</v>
      </c>
      <c r="BW202" t="e">
        <f>AND(Sheet1!B2713,"AAAAAH2X9Uo=")</f>
        <v>#VALUE!</v>
      </c>
      <c r="BX202" t="e">
        <f>AND(Sheet1!C2713,"AAAAAH2X9Us=")</f>
        <v>#VALUE!</v>
      </c>
      <c r="BY202" t="e">
        <f>AND(Sheet1!D2713,"AAAAAH2X9Uw=")</f>
        <v>#VALUE!</v>
      </c>
      <c r="BZ202" t="e">
        <f>AND(Sheet1!E2713,"AAAAAH2X9U0=")</f>
        <v>#VALUE!</v>
      </c>
      <c r="CA202" t="e">
        <f>AND(Sheet1!F2713,"AAAAAH2X9U4=")</f>
        <v>#VALUE!</v>
      </c>
      <c r="CB202" t="e">
        <f>AND(Sheet1!G2713,"AAAAAH2X9U8=")</f>
        <v>#VALUE!</v>
      </c>
      <c r="CC202" t="e">
        <f>AND(Sheet1!H2713,"AAAAAH2X9VA=")</f>
        <v>#VALUE!</v>
      </c>
      <c r="CD202" t="e">
        <f>AND(Sheet1!I2713,"AAAAAH2X9VE=")</f>
        <v>#VALUE!</v>
      </c>
      <c r="CE202" t="e">
        <f>AND(Sheet1!J2713,"AAAAAH2X9VI=")</f>
        <v>#VALUE!</v>
      </c>
      <c r="CF202" t="e">
        <f>AND(Sheet1!K2713,"AAAAAH2X9VM=")</f>
        <v>#VALUE!</v>
      </c>
      <c r="CG202" t="e">
        <f>AND(Sheet1!L2713,"AAAAAH2X9VQ=")</f>
        <v>#VALUE!</v>
      </c>
      <c r="CH202" t="e">
        <f>AND(Sheet1!M2713,"AAAAAH2X9VU=")</f>
        <v>#VALUE!</v>
      </c>
      <c r="CI202" t="e">
        <f>AND(Sheet1!N2713,"AAAAAH2X9VY=")</f>
        <v>#VALUE!</v>
      </c>
      <c r="CJ202" t="e">
        <f>AND(Sheet1!#REF!,"AAAAAH2X9Vc=")</f>
        <v>#REF!</v>
      </c>
      <c r="CK202" t="e">
        <f>AND(Sheet1!#REF!,"AAAAAH2X9Vg=")</f>
        <v>#REF!</v>
      </c>
      <c r="CL202" t="e">
        <f>AND(Sheet1!#REF!,"AAAAAH2X9Vk=")</f>
        <v>#REF!</v>
      </c>
      <c r="CM202" t="e">
        <f>AND(Sheet1!#REF!,"AAAAAH2X9Vo=")</f>
        <v>#REF!</v>
      </c>
      <c r="CN202">
        <f>IF(Sheet1!2714:2714,"AAAAAH2X9Vs=",0)</f>
        <v>0</v>
      </c>
      <c r="CO202" t="e">
        <f>AND(Sheet1!A2714,"AAAAAH2X9Vw=")</f>
        <v>#VALUE!</v>
      </c>
      <c r="CP202" t="e">
        <f>AND(Sheet1!B2714,"AAAAAH2X9V0=")</f>
        <v>#VALUE!</v>
      </c>
      <c r="CQ202" t="e">
        <f>AND(Sheet1!C2714,"AAAAAH2X9V4=")</f>
        <v>#VALUE!</v>
      </c>
      <c r="CR202" t="e">
        <f>AND(Sheet1!D2714,"AAAAAH2X9V8=")</f>
        <v>#VALUE!</v>
      </c>
      <c r="CS202" t="e">
        <f>AND(Sheet1!E2714,"AAAAAH2X9WA=")</f>
        <v>#VALUE!</v>
      </c>
      <c r="CT202" t="e">
        <f>AND(Sheet1!F2714,"AAAAAH2X9WE=")</f>
        <v>#VALUE!</v>
      </c>
      <c r="CU202" t="e">
        <f>AND(Sheet1!G2714,"AAAAAH2X9WI=")</f>
        <v>#VALUE!</v>
      </c>
      <c r="CV202" t="e">
        <f>AND(Sheet1!H2714,"AAAAAH2X9WM=")</f>
        <v>#VALUE!</v>
      </c>
      <c r="CW202" t="e">
        <f>AND(Sheet1!I2714,"AAAAAH2X9WQ=")</f>
        <v>#VALUE!</v>
      </c>
      <c r="CX202" t="e">
        <f>AND(Sheet1!J2714,"AAAAAH2X9WU=")</f>
        <v>#VALUE!</v>
      </c>
      <c r="CY202" t="e">
        <f>AND(Sheet1!K2714,"AAAAAH2X9WY=")</f>
        <v>#VALUE!</v>
      </c>
      <c r="CZ202" t="e">
        <f>AND(Sheet1!L2714,"AAAAAH2X9Wc=")</f>
        <v>#VALUE!</v>
      </c>
      <c r="DA202" t="e">
        <f>AND(Sheet1!M2714,"AAAAAH2X9Wg=")</f>
        <v>#VALUE!</v>
      </c>
      <c r="DB202" t="e">
        <f>AND(Sheet1!N2714,"AAAAAH2X9Wk=")</f>
        <v>#VALUE!</v>
      </c>
      <c r="DC202" t="e">
        <f>AND(Sheet1!#REF!,"AAAAAH2X9Wo=")</f>
        <v>#REF!</v>
      </c>
      <c r="DD202" t="e">
        <f>AND(Sheet1!#REF!,"AAAAAH2X9Ws=")</f>
        <v>#REF!</v>
      </c>
      <c r="DE202" t="e">
        <f>AND(Sheet1!#REF!,"AAAAAH2X9Ww=")</f>
        <v>#REF!</v>
      </c>
      <c r="DF202" t="e">
        <f>AND(Sheet1!#REF!,"AAAAAH2X9W0=")</f>
        <v>#REF!</v>
      </c>
      <c r="DG202">
        <f>IF(Sheet1!2715:2715,"AAAAAH2X9W4=",0)</f>
        <v>0</v>
      </c>
      <c r="DH202" t="e">
        <f>AND(Sheet1!A2715,"AAAAAH2X9W8=")</f>
        <v>#VALUE!</v>
      </c>
      <c r="DI202" t="e">
        <f>AND(Sheet1!B2715,"AAAAAH2X9XA=")</f>
        <v>#VALUE!</v>
      </c>
      <c r="DJ202" t="e">
        <f>AND(Sheet1!C2715,"AAAAAH2X9XE=")</f>
        <v>#VALUE!</v>
      </c>
      <c r="DK202" t="e">
        <f>AND(Sheet1!D2715,"AAAAAH2X9XI=")</f>
        <v>#VALUE!</v>
      </c>
      <c r="DL202" t="e">
        <f>AND(Sheet1!E2715,"AAAAAH2X9XM=")</f>
        <v>#VALUE!</v>
      </c>
      <c r="DM202" t="e">
        <f>AND(Sheet1!F2715,"AAAAAH2X9XQ=")</f>
        <v>#VALUE!</v>
      </c>
      <c r="DN202" t="e">
        <f>AND(Sheet1!G2715,"AAAAAH2X9XU=")</f>
        <v>#VALUE!</v>
      </c>
      <c r="DO202" t="e">
        <f>AND(Sheet1!H2715,"AAAAAH2X9XY=")</f>
        <v>#VALUE!</v>
      </c>
      <c r="DP202" t="e">
        <f>AND(Sheet1!I2715,"AAAAAH2X9Xc=")</f>
        <v>#VALUE!</v>
      </c>
      <c r="DQ202" t="e">
        <f>AND(Sheet1!J2715,"AAAAAH2X9Xg=")</f>
        <v>#VALUE!</v>
      </c>
      <c r="DR202" t="e">
        <f>AND(Sheet1!K2715,"AAAAAH2X9Xk=")</f>
        <v>#VALUE!</v>
      </c>
      <c r="DS202" t="e">
        <f>AND(Sheet1!L2715,"AAAAAH2X9Xo=")</f>
        <v>#VALUE!</v>
      </c>
      <c r="DT202" t="e">
        <f>AND(Sheet1!M2715,"AAAAAH2X9Xs=")</f>
        <v>#VALUE!</v>
      </c>
      <c r="DU202" t="e">
        <f>AND(Sheet1!N2715,"AAAAAH2X9Xw=")</f>
        <v>#VALUE!</v>
      </c>
      <c r="DV202" t="e">
        <f>AND(Sheet1!#REF!,"AAAAAH2X9X0=")</f>
        <v>#REF!</v>
      </c>
      <c r="DW202" t="e">
        <f>AND(Sheet1!#REF!,"AAAAAH2X9X4=")</f>
        <v>#REF!</v>
      </c>
      <c r="DX202" t="e">
        <f>AND(Sheet1!#REF!,"AAAAAH2X9X8=")</f>
        <v>#REF!</v>
      </c>
      <c r="DY202" t="e">
        <f>AND(Sheet1!#REF!,"AAAAAH2X9YA=")</f>
        <v>#REF!</v>
      </c>
      <c r="DZ202">
        <f>IF(Sheet1!2716:2716,"AAAAAH2X9YE=",0)</f>
        <v>0</v>
      </c>
      <c r="EA202" t="e">
        <f>AND(Sheet1!A2716,"AAAAAH2X9YI=")</f>
        <v>#VALUE!</v>
      </c>
      <c r="EB202" t="e">
        <f>AND(Sheet1!B2716,"AAAAAH2X9YM=")</f>
        <v>#VALUE!</v>
      </c>
      <c r="EC202" t="e">
        <f>AND(Sheet1!C2716,"AAAAAH2X9YQ=")</f>
        <v>#VALUE!</v>
      </c>
      <c r="ED202" t="e">
        <f>AND(Sheet1!D2716,"AAAAAH2X9YU=")</f>
        <v>#VALUE!</v>
      </c>
      <c r="EE202" t="e">
        <f>AND(Sheet1!E2716,"AAAAAH2X9YY=")</f>
        <v>#VALUE!</v>
      </c>
      <c r="EF202" t="e">
        <f>AND(Sheet1!F2716,"AAAAAH2X9Yc=")</f>
        <v>#VALUE!</v>
      </c>
      <c r="EG202" t="e">
        <f>AND(Sheet1!G2716,"AAAAAH2X9Yg=")</f>
        <v>#VALUE!</v>
      </c>
      <c r="EH202" t="e">
        <f>AND(Sheet1!H2716,"AAAAAH2X9Yk=")</f>
        <v>#VALUE!</v>
      </c>
      <c r="EI202" t="e">
        <f>AND(Sheet1!I2716,"AAAAAH2X9Yo=")</f>
        <v>#VALUE!</v>
      </c>
      <c r="EJ202" t="e">
        <f>AND(Sheet1!J2716,"AAAAAH2X9Ys=")</f>
        <v>#VALUE!</v>
      </c>
      <c r="EK202" t="e">
        <f>AND(Sheet1!K2716,"AAAAAH2X9Yw=")</f>
        <v>#VALUE!</v>
      </c>
      <c r="EL202" t="e">
        <f>AND(Sheet1!L2716,"AAAAAH2X9Y0=")</f>
        <v>#VALUE!</v>
      </c>
      <c r="EM202" t="e">
        <f>AND(Sheet1!M2716,"AAAAAH2X9Y4=")</f>
        <v>#VALUE!</v>
      </c>
      <c r="EN202" t="e">
        <f>AND(Sheet1!N2716,"AAAAAH2X9Y8=")</f>
        <v>#VALUE!</v>
      </c>
      <c r="EO202" t="e">
        <f>AND(Sheet1!#REF!,"AAAAAH2X9ZA=")</f>
        <v>#REF!</v>
      </c>
      <c r="EP202" t="e">
        <f>AND(Sheet1!#REF!,"AAAAAH2X9ZE=")</f>
        <v>#REF!</v>
      </c>
      <c r="EQ202" t="e">
        <f>AND(Sheet1!#REF!,"AAAAAH2X9ZI=")</f>
        <v>#REF!</v>
      </c>
      <c r="ER202" t="e">
        <f>AND(Sheet1!#REF!,"AAAAAH2X9ZM=")</f>
        <v>#REF!</v>
      </c>
      <c r="ES202">
        <f>IF(Sheet1!2717:2717,"AAAAAH2X9ZQ=",0)</f>
        <v>0</v>
      </c>
      <c r="ET202" t="e">
        <f>AND(Sheet1!A2717,"AAAAAH2X9ZU=")</f>
        <v>#VALUE!</v>
      </c>
      <c r="EU202" t="e">
        <f>AND(Sheet1!B2717,"AAAAAH2X9ZY=")</f>
        <v>#VALUE!</v>
      </c>
      <c r="EV202" t="e">
        <f>AND(Sheet1!C2717,"AAAAAH2X9Zc=")</f>
        <v>#VALUE!</v>
      </c>
      <c r="EW202" t="e">
        <f>AND(Sheet1!D2717,"AAAAAH2X9Zg=")</f>
        <v>#VALUE!</v>
      </c>
      <c r="EX202" t="e">
        <f>AND(Sheet1!E2717,"AAAAAH2X9Zk=")</f>
        <v>#VALUE!</v>
      </c>
      <c r="EY202" t="e">
        <f>AND(Sheet1!F2717,"AAAAAH2X9Zo=")</f>
        <v>#VALUE!</v>
      </c>
      <c r="EZ202" t="e">
        <f>AND(Sheet1!G2717,"AAAAAH2X9Zs=")</f>
        <v>#VALUE!</v>
      </c>
      <c r="FA202" t="e">
        <f>AND(Sheet1!H2717,"AAAAAH2X9Zw=")</f>
        <v>#VALUE!</v>
      </c>
      <c r="FB202" t="e">
        <f>AND(Sheet1!I2717,"AAAAAH2X9Z0=")</f>
        <v>#VALUE!</v>
      </c>
      <c r="FC202" t="e">
        <f>AND(Sheet1!J2717,"AAAAAH2X9Z4=")</f>
        <v>#VALUE!</v>
      </c>
      <c r="FD202" t="e">
        <f>AND(Sheet1!K2717,"AAAAAH2X9Z8=")</f>
        <v>#VALUE!</v>
      </c>
      <c r="FE202" t="e">
        <f>AND(Sheet1!L2717,"AAAAAH2X9aA=")</f>
        <v>#VALUE!</v>
      </c>
      <c r="FF202" t="e">
        <f>AND(Sheet1!M2717,"AAAAAH2X9aE=")</f>
        <v>#VALUE!</v>
      </c>
      <c r="FG202" t="e">
        <f>AND(Sheet1!N2717,"AAAAAH2X9aI=")</f>
        <v>#VALUE!</v>
      </c>
      <c r="FH202" t="e">
        <f>AND(Sheet1!#REF!,"AAAAAH2X9aM=")</f>
        <v>#REF!</v>
      </c>
      <c r="FI202" t="e">
        <f>AND(Sheet1!#REF!,"AAAAAH2X9aQ=")</f>
        <v>#REF!</v>
      </c>
      <c r="FJ202" t="e">
        <f>AND(Sheet1!#REF!,"AAAAAH2X9aU=")</f>
        <v>#REF!</v>
      </c>
      <c r="FK202" t="e">
        <f>AND(Sheet1!#REF!,"AAAAAH2X9aY=")</f>
        <v>#REF!</v>
      </c>
      <c r="FL202">
        <f>IF(Sheet1!2718:2718,"AAAAAH2X9ac=",0)</f>
        <v>0</v>
      </c>
      <c r="FM202" t="e">
        <f>AND(Sheet1!A2718,"AAAAAH2X9ag=")</f>
        <v>#VALUE!</v>
      </c>
      <c r="FN202" t="e">
        <f>AND(Sheet1!B2718,"AAAAAH2X9ak=")</f>
        <v>#VALUE!</v>
      </c>
      <c r="FO202" t="e">
        <f>AND(Sheet1!C2718,"AAAAAH2X9ao=")</f>
        <v>#VALUE!</v>
      </c>
      <c r="FP202" t="e">
        <f>AND(Sheet1!D2718,"AAAAAH2X9as=")</f>
        <v>#VALUE!</v>
      </c>
      <c r="FQ202" t="e">
        <f>AND(Sheet1!E2718,"AAAAAH2X9aw=")</f>
        <v>#VALUE!</v>
      </c>
      <c r="FR202" t="e">
        <f>AND(Sheet1!F2718,"AAAAAH2X9a0=")</f>
        <v>#VALUE!</v>
      </c>
      <c r="FS202" t="e">
        <f>AND(Sheet1!G2718,"AAAAAH2X9a4=")</f>
        <v>#VALUE!</v>
      </c>
      <c r="FT202" t="e">
        <f>AND(Sheet1!H2718,"AAAAAH2X9a8=")</f>
        <v>#VALUE!</v>
      </c>
      <c r="FU202" t="e">
        <f>AND(Sheet1!I2718,"AAAAAH2X9bA=")</f>
        <v>#VALUE!</v>
      </c>
      <c r="FV202" t="e">
        <f>AND(Sheet1!J2718,"AAAAAH2X9bE=")</f>
        <v>#VALUE!</v>
      </c>
      <c r="FW202" t="e">
        <f>AND(Sheet1!K2718,"AAAAAH2X9bI=")</f>
        <v>#VALUE!</v>
      </c>
      <c r="FX202" t="e">
        <f>AND(Sheet1!L2718,"AAAAAH2X9bM=")</f>
        <v>#VALUE!</v>
      </c>
      <c r="FY202" t="e">
        <f>AND(Sheet1!M2718,"AAAAAH2X9bQ=")</f>
        <v>#VALUE!</v>
      </c>
      <c r="FZ202" t="e">
        <f>AND(Sheet1!N2718,"AAAAAH2X9bU=")</f>
        <v>#VALUE!</v>
      </c>
      <c r="GA202" t="e">
        <f>AND(Sheet1!#REF!,"AAAAAH2X9bY=")</f>
        <v>#REF!</v>
      </c>
      <c r="GB202" t="e">
        <f>AND(Sheet1!#REF!,"AAAAAH2X9bc=")</f>
        <v>#REF!</v>
      </c>
      <c r="GC202" t="e">
        <f>AND(Sheet1!#REF!,"AAAAAH2X9bg=")</f>
        <v>#REF!</v>
      </c>
      <c r="GD202" t="e">
        <f>AND(Sheet1!#REF!,"AAAAAH2X9bk=")</f>
        <v>#REF!</v>
      </c>
      <c r="GE202">
        <f>IF(Sheet1!2719:2719,"AAAAAH2X9bo=",0)</f>
        <v>0</v>
      </c>
      <c r="GF202" t="e">
        <f>AND(Sheet1!A2719,"AAAAAH2X9bs=")</f>
        <v>#VALUE!</v>
      </c>
      <c r="GG202" t="e">
        <f>AND(Sheet1!B2719,"AAAAAH2X9bw=")</f>
        <v>#VALUE!</v>
      </c>
      <c r="GH202" t="e">
        <f>AND(Sheet1!C2719,"AAAAAH2X9b0=")</f>
        <v>#VALUE!</v>
      </c>
      <c r="GI202" t="e">
        <f>AND(Sheet1!D2719,"AAAAAH2X9b4=")</f>
        <v>#VALUE!</v>
      </c>
      <c r="GJ202" t="e">
        <f>AND(Sheet1!E2719,"AAAAAH2X9b8=")</f>
        <v>#VALUE!</v>
      </c>
      <c r="GK202" t="e">
        <f>AND(Sheet1!F2719,"AAAAAH2X9cA=")</f>
        <v>#VALUE!</v>
      </c>
      <c r="GL202" t="e">
        <f>AND(Sheet1!G2719,"AAAAAH2X9cE=")</f>
        <v>#VALUE!</v>
      </c>
      <c r="GM202" t="e">
        <f>AND(Sheet1!H2719,"AAAAAH2X9cI=")</f>
        <v>#VALUE!</v>
      </c>
      <c r="GN202" t="e">
        <f>AND(Sheet1!I2719,"AAAAAH2X9cM=")</f>
        <v>#VALUE!</v>
      </c>
      <c r="GO202" t="e">
        <f>AND(Sheet1!J2719,"AAAAAH2X9cQ=")</f>
        <v>#VALUE!</v>
      </c>
      <c r="GP202" t="e">
        <f>AND(Sheet1!K2719,"AAAAAH2X9cU=")</f>
        <v>#VALUE!</v>
      </c>
      <c r="GQ202" t="e">
        <f>AND(Sheet1!L2719,"AAAAAH2X9cY=")</f>
        <v>#VALUE!</v>
      </c>
      <c r="GR202" t="e">
        <f>AND(Sheet1!M2719,"AAAAAH2X9cc=")</f>
        <v>#VALUE!</v>
      </c>
      <c r="GS202" t="e">
        <f>AND(Sheet1!N2719,"AAAAAH2X9cg=")</f>
        <v>#VALUE!</v>
      </c>
      <c r="GT202" t="e">
        <f>AND(Sheet1!#REF!,"AAAAAH2X9ck=")</f>
        <v>#REF!</v>
      </c>
      <c r="GU202" t="e">
        <f>AND(Sheet1!#REF!,"AAAAAH2X9co=")</f>
        <v>#REF!</v>
      </c>
      <c r="GV202" t="e">
        <f>AND(Sheet1!#REF!,"AAAAAH2X9cs=")</f>
        <v>#REF!</v>
      </c>
      <c r="GW202" t="e">
        <f>AND(Sheet1!#REF!,"AAAAAH2X9cw=")</f>
        <v>#REF!</v>
      </c>
      <c r="GX202">
        <f>IF(Sheet1!2720:2720,"AAAAAH2X9c0=",0)</f>
        <v>0</v>
      </c>
      <c r="GY202" t="e">
        <f>AND(Sheet1!A2720,"AAAAAH2X9c4=")</f>
        <v>#VALUE!</v>
      </c>
      <c r="GZ202" t="e">
        <f>AND(Sheet1!B2720,"AAAAAH2X9c8=")</f>
        <v>#VALUE!</v>
      </c>
      <c r="HA202" t="e">
        <f>AND(Sheet1!C2720,"AAAAAH2X9dA=")</f>
        <v>#VALUE!</v>
      </c>
      <c r="HB202" t="e">
        <f>AND(Sheet1!D2720,"AAAAAH2X9dE=")</f>
        <v>#VALUE!</v>
      </c>
      <c r="HC202" t="e">
        <f>AND(Sheet1!E2720,"AAAAAH2X9dI=")</f>
        <v>#VALUE!</v>
      </c>
      <c r="HD202" t="e">
        <f>AND(Sheet1!F2720,"AAAAAH2X9dM=")</f>
        <v>#VALUE!</v>
      </c>
      <c r="HE202" t="e">
        <f>AND(Sheet1!G2720,"AAAAAH2X9dQ=")</f>
        <v>#VALUE!</v>
      </c>
      <c r="HF202" t="e">
        <f>AND(Sheet1!H2720,"AAAAAH2X9dU=")</f>
        <v>#VALUE!</v>
      </c>
      <c r="HG202" t="e">
        <f>AND(Sheet1!I2720,"AAAAAH2X9dY=")</f>
        <v>#VALUE!</v>
      </c>
      <c r="HH202" t="e">
        <f>AND(Sheet1!J2720,"AAAAAH2X9dc=")</f>
        <v>#VALUE!</v>
      </c>
      <c r="HI202" t="e">
        <f>AND(Sheet1!K2720,"AAAAAH2X9dg=")</f>
        <v>#VALUE!</v>
      </c>
      <c r="HJ202" t="e">
        <f>AND(Sheet1!L2720,"AAAAAH2X9dk=")</f>
        <v>#VALUE!</v>
      </c>
      <c r="HK202" t="e">
        <f>AND(Sheet1!M2720,"AAAAAH2X9do=")</f>
        <v>#VALUE!</v>
      </c>
      <c r="HL202" t="e">
        <f>AND(Sheet1!N2720,"AAAAAH2X9ds=")</f>
        <v>#VALUE!</v>
      </c>
      <c r="HM202" t="e">
        <f>AND(Sheet1!#REF!,"AAAAAH2X9dw=")</f>
        <v>#REF!</v>
      </c>
      <c r="HN202" t="e">
        <f>AND(Sheet1!#REF!,"AAAAAH2X9d0=")</f>
        <v>#REF!</v>
      </c>
      <c r="HO202" t="e">
        <f>AND(Sheet1!#REF!,"AAAAAH2X9d4=")</f>
        <v>#REF!</v>
      </c>
      <c r="HP202" t="e">
        <f>AND(Sheet1!#REF!,"AAAAAH2X9d8=")</f>
        <v>#REF!</v>
      </c>
      <c r="HQ202">
        <f>IF(Sheet1!2721:2721,"AAAAAH2X9eA=",0)</f>
        <v>0</v>
      </c>
      <c r="HR202" t="e">
        <f>AND(Sheet1!A2721,"AAAAAH2X9eE=")</f>
        <v>#VALUE!</v>
      </c>
      <c r="HS202" t="e">
        <f>AND(Sheet1!B2721,"AAAAAH2X9eI=")</f>
        <v>#VALUE!</v>
      </c>
      <c r="HT202" t="e">
        <f>AND(Sheet1!C2721,"AAAAAH2X9eM=")</f>
        <v>#VALUE!</v>
      </c>
      <c r="HU202" t="e">
        <f>AND(Sheet1!D2721,"AAAAAH2X9eQ=")</f>
        <v>#VALUE!</v>
      </c>
      <c r="HV202" t="e">
        <f>AND(Sheet1!E2721,"AAAAAH2X9eU=")</f>
        <v>#VALUE!</v>
      </c>
      <c r="HW202" t="e">
        <f>AND(Sheet1!F2721,"AAAAAH2X9eY=")</f>
        <v>#VALUE!</v>
      </c>
      <c r="HX202" t="e">
        <f>AND(Sheet1!G2721,"AAAAAH2X9ec=")</f>
        <v>#VALUE!</v>
      </c>
      <c r="HY202" t="e">
        <f>AND(Sheet1!H2721,"AAAAAH2X9eg=")</f>
        <v>#VALUE!</v>
      </c>
      <c r="HZ202" t="e">
        <f>AND(Sheet1!I2721,"AAAAAH2X9ek=")</f>
        <v>#VALUE!</v>
      </c>
      <c r="IA202" t="e">
        <f>AND(Sheet1!J2721,"AAAAAH2X9eo=")</f>
        <v>#VALUE!</v>
      </c>
      <c r="IB202" t="e">
        <f>AND(Sheet1!K2721,"AAAAAH2X9es=")</f>
        <v>#VALUE!</v>
      </c>
      <c r="IC202" t="e">
        <f>AND(Sheet1!L2721,"AAAAAH2X9ew=")</f>
        <v>#VALUE!</v>
      </c>
      <c r="ID202" t="e">
        <f>AND(Sheet1!M2721,"AAAAAH2X9e0=")</f>
        <v>#VALUE!</v>
      </c>
      <c r="IE202" t="e">
        <f>AND(Sheet1!N2721,"AAAAAH2X9e4=")</f>
        <v>#VALUE!</v>
      </c>
      <c r="IF202" t="e">
        <f>AND(Sheet1!#REF!,"AAAAAH2X9e8=")</f>
        <v>#REF!</v>
      </c>
      <c r="IG202" t="e">
        <f>AND(Sheet1!#REF!,"AAAAAH2X9fA=")</f>
        <v>#REF!</v>
      </c>
      <c r="IH202" t="e">
        <f>AND(Sheet1!#REF!,"AAAAAH2X9fE=")</f>
        <v>#REF!</v>
      </c>
      <c r="II202" t="e">
        <f>AND(Sheet1!#REF!,"AAAAAH2X9fI=")</f>
        <v>#REF!</v>
      </c>
      <c r="IJ202">
        <f>IF(Sheet1!2722:2722,"AAAAAH2X9fM=",0)</f>
        <v>0</v>
      </c>
      <c r="IK202" t="e">
        <f>AND(Sheet1!A2722,"AAAAAH2X9fQ=")</f>
        <v>#VALUE!</v>
      </c>
      <c r="IL202" t="e">
        <f>AND(Sheet1!B2722,"AAAAAH2X9fU=")</f>
        <v>#VALUE!</v>
      </c>
      <c r="IM202" t="e">
        <f>AND(Sheet1!C2722,"AAAAAH2X9fY=")</f>
        <v>#VALUE!</v>
      </c>
      <c r="IN202" t="e">
        <f>AND(Sheet1!D2722,"AAAAAH2X9fc=")</f>
        <v>#VALUE!</v>
      </c>
      <c r="IO202" t="e">
        <f>AND(Sheet1!E2722,"AAAAAH2X9fg=")</f>
        <v>#VALUE!</v>
      </c>
      <c r="IP202" t="e">
        <f>AND(Sheet1!F2722,"AAAAAH2X9fk=")</f>
        <v>#VALUE!</v>
      </c>
      <c r="IQ202" t="e">
        <f>AND(Sheet1!G2722,"AAAAAH2X9fo=")</f>
        <v>#VALUE!</v>
      </c>
      <c r="IR202" t="e">
        <f>AND(Sheet1!H2722,"AAAAAH2X9fs=")</f>
        <v>#VALUE!</v>
      </c>
      <c r="IS202" t="e">
        <f>AND(Sheet1!I2722,"AAAAAH2X9fw=")</f>
        <v>#VALUE!</v>
      </c>
      <c r="IT202" t="e">
        <f>AND(Sheet1!J2722,"AAAAAH2X9f0=")</f>
        <v>#VALUE!</v>
      </c>
      <c r="IU202" t="e">
        <f>AND(Sheet1!K2722,"AAAAAH2X9f4=")</f>
        <v>#VALUE!</v>
      </c>
      <c r="IV202" t="e">
        <f>AND(Sheet1!L2722,"AAAAAH2X9f8=")</f>
        <v>#VALUE!</v>
      </c>
    </row>
    <row r="203" spans="1:256" x14ac:dyDescent="0.2">
      <c r="A203" t="e">
        <f>AND(Sheet1!M2722,"AAAAAGt++wA=")</f>
        <v>#VALUE!</v>
      </c>
      <c r="B203" t="e">
        <f>AND(Sheet1!N2722,"AAAAAGt++wE=")</f>
        <v>#VALUE!</v>
      </c>
      <c r="C203" t="e">
        <f>AND(Sheet1!#REF!,"AAAAAGt++wI=")</f>
        <v>#REF!</v>
      </c>
      <c r="D203" t="e">
        <f>AND(Sheet1!#REF!,"AAAAAGt++wM=")</f>
        <v>#REF!</v>
      </c>
      <c r="E203" t="e">
        <f>AND(Sheet1!#REF!,"AAAAAGt++wQ=")</f>
        <v>#REF!</v>
      </c>
      <c r="F203" t="e">
        <f>AND(Sheet1!#REF!,"AAAAAGt++wU=")</f>
        <v>#REF!</v>
      </c>
      <c r="G203" t="str">
        <f>IF(Sheet1!2723:2723,"AAAAAGt++wY=",0)</f>
        <v>AAAAAGt++wY=</v>
      </c>
      <c r="H203" t="e">
        <f>AND(Sheet1!A2723,"AAAAAGt++wc=")</f>
        <v>#VALUE!</v>
      </c>
      <c r="I203" t="e">
        <f>AND(Sheet1!B2723,"AAAAAGt++wg=")</f>
        <v>#VALUE!</v>
      </c>
      <c r="J203" t="e">
        <f>AND(Sheet1!C2723,"AAAAAGt++wk=")</f>
        <v>#VALUE!</v>
      </c>
      <c r="K203" t="e">
        <f>AND(Sheet1!D2723,"AAAAAGt++wo=")</f>
        <v>#VALUE!</v>
      </c>
      <c r="L203" t="e">
        <f>AND(Sheet1!E2723,"AAAAAGt++ws=")</f>
        <v>#VALUE!</v>
      </c>
      <c r="M203" t="e">
        <f>AND(Sheet1!F2723,"AAAAAGt++ww=")</f>
        <v>#VALUE!</v>
      </c>
      <c r="N203" t="e">
        <f>AND(Sheet1!G2723,"AAAAAGt++w0=")</f>
        <v>#VALUE!</v>
      </c>
      <c r="O203" t="e">
        <f>AND(Sheet1!H2723,"AAAAAGt++w4=")</f>
        <v>#VALUE!</v>
      </c>
      <c r="P203" t="e">
        <f>AND(Sheet1!I2723,"AAAAAGt++w8=")</f>
        <v>#VALUE!</v>
      </c>
      <c r="Q203" t="e">
        <f>AND(Sheet1!J2723,"AAAAAGt++xA=")</f>
        <v>#VALUE!</v>
      </c>
      <c r="R203" t="e">
        <f>AND(Sheet1!K2723,"AAAAAGt++xE=")</f>
        <v>#VALUE!</v>
      </c>
      <c r="S203" t="e">
        <f>AND(Sheet1!L2723,"AAAAAGt++xI=")</f>
        <v>#VALUE!</v>
      </c>
      <c r="T203" t="e">
        <f>AND(Sheet1!M2723,"AAAAAGt++xM=")</f>
        <v>#VALUE!</v>
      </c>
      <c r="U203" t="e">
        <f>AND(Sheet1!N2723,"AAAAAGt++xQ=")</f>
        <v>#VALUE!</v>
      </c>
      <c r="V203" t="e">
        <f>AND(Sheet1!#REF!,"AAAAAGt++xU=")</f>
        <v>#REF!</v>
      </c>
      <c r="W203" t="e">
        <f>AND(Sheet1!#REF!,"AAAAAGt++xY=")</f>
        <v>#REF!</v>
      </c>
      <c r="X203" t="e">
        <f>AND(Sheet1!#REF!,"AAAAAGt++xc=")</f>
        <v>#REF!</v>
      </c>
      <c r="Y203" t="e">
        <f>AND(Sheet1!#REF!,"AAAAAGt++xg=")</f>
        <v>#REF!</v>
      </c>
      <c r="Z203">
        <f>IF(Sheet1!2724:2724,"AAAAAGt++xk=",0)</f>
        <v>0</v>
      </c>
      <c r="AA203" t="e">
        <f>AND(Sheet1!A2724,"AAAAAGt++xo=")</f>
        <v>#VALUE!</v>
      </c>
      <c r="AB203" t="e">
        <f>AND(Sheet1!B2724,"AAAAAGt++xs=")</f>
        <v>#VALUE!</v>
      </c>
      <c r="AC203" t="e">
        <f>AND(Sheet1!C2724,"AAAAAGt++xw=")</f>
        <v>#VALUE!</v>
      </c>
      <c r="AD203" t="e">
        <f>AND(Sheet1!D2724,"AAAAAGt++x0=")</f>
        <v>#VALUE!</v>
      </c>
      <c r="AE203" t="e">
        <f>AND(Sheet1!E2724,"AAAAAGt++x4=")</f>
        <v>#VALUE!</v>
      </c>
      <c r="AF203" t="e">
        <f>AND(Sheet1!F2724,"AAAAAGt++x8=")</f>
        <v>#VALUE!</v>
      </c>
      <c r="AG203" t="e">
        <f>AND(Sheet1!G2724,"AAAAAGt++yA=")</f>
        <v>#VALUE!</v>
      </c>
      <c r="AH203" t="e">
        <f>AND(Sheet1!H2724,"AAAAAGt++yE=")</f>
        <v>#VALUE!</v>
      </c>
      <c r="AI203" t="e">
        <f>AND(Sheet1!I2724,"AAAAAGt++yI=")</f>
        <v>#VALUE!</v>
      </c>
      <c r="AJ203" t="e">
        <f>AND(Sheet1!J2724,"AAAAAGt++yM=")</f>
        <v>#VALUE!</v>
      </c>
      <c r="AK203" t="e">
        <f>AND(Sheet1!K2724,"AAAAAGt++yQ=")</f>
        <v>#VALUE!</v>
      </c>
      <c r="AL203" t="e">
        <f>AND(Sheet1!L2724,"AAAAAGt++yU=")</f>
        <v>#VALUE!</v>
      </c>
      <c r="AM203" t="e">
        <f>AND(Sheet1!M2724,"AAAAAGt++yY=")</f>
        <v>#VALUE!</v>
      </c>
      <c r="AN203" t="e">
        <f>AND(Sheet1!N2724,"AAAAAGt++yc=")</f>
        <v>#VALUE!</v>
      </c>
      <c r="AO203" t="e">
        <f>AND(Sheet1!#REF!,"AAAAAGt++yg=")</f>
        <v>#REF!</v>
      </c>
      <c r="AP203" t="e">
        <f>AND(Sheet1!#REF!,"AAAAAGt++yk=")</f>
        <v>#REF!</v>
      </c>
      <c r="AQ203" t="e">
        <f>AND(Sheet1!#REF!,"AAAAAGt++yo=")</f>
        <v>#REF!</v>
      </c>
      <c r="AR203" t="e">
        <f>AND(Sheet1!#REF!,"AAAAAGt++ys=")</f>
        <v>#REF!</v>
      </c>
      <c r="AS203">
        <f>IF(Sheet1!2725:2725,"AAAAAGt++yw=",0)</f>
        <v>0</v>
      </c>
      <c r="AT203" t="e">
        <f>AND(Sheet1!A2725,"AAAAAGt++y0=")</f>
        <v>#VALUE!</v>
      </c>
      <c r="AU203" t="e">
        <f>AND(Sheet1!B2725,"AAAAAGt++y4=")</f>
        <v>#VALUE!</v>
      </c>
      <c r="AV203" t="e">
        <f>AND(Sheet1!C2725,"AAAAAGt++y8=")</f>
        <v>#VALUE!</v>
      </c>
      <c r="AW203" t="e">
        <f>AND(Sheet1!D2725,"AAAAAGt++zA=")</f>
        <v>#VALUE!</v>
      </c>
      <c r="AX203" t="e">
        <f>AND(Sheet1!E2725,"AAAAAGt++zE=")</f>
        <v>#VALUE!</v>
      </c>
      <c r="AY203" t="e">
        <f>AND(Sheet1!F2725,"AAAAAGt++zI=")</f>
        <v>#VALUE!</v>
      </c>
      <c r="AZ203" t="e">
        <f>AND(Sheet1!G2725,"AAAAAGt++zM=")</f>
        <v>#VALUE!</v>
      </c>
      <c r="BA203" t="e">
        <f>AND(Sheet1!H2725,"AAAAAGt++zQ=")</f>
        <v>#VALUE!</v>
      </c>
      <c r="BB203" t="e">
        <f>AND(Sheet1!I2725,"AAAAAGt++zU=")</f>
        <v>#VALUE!</v>
      </c>
      <c r="BC203" t="e">
        <f>AND(Sheet1!J2725,"AAAAAGt++zY=")</f>
        <v>#VALUE!</v>
      </c>
      <c r="BD203" t="e">
        <f>AND(Sheet1!K2725,"AAAAAGt++zc=")</f>
        <v>#VALUE!</v>
      </c>
      <c r="BE203" t="e">
        <f>AND(Sheet1!L2725,"AAAAAGt++zg=")</f>
        <v>#VALUE!</v>
      </c>
      <c r="BF203" t="e">
        <f>AND(Sheet1!M2725,"AAAAAGt++zk=")</f>
        <v>#VALUE!</v>
      </c>
      <c r="BG203" t="e">
        <f>AND(Sheet1!N2725,"AAAAAGt++zo=")</f>
        <v>#VALUE!</v>
      </c>
      <c r="BH203" t="e">
        <f>AND(Sheet1!#REF!,"AAAAAGt++zs=")</f>
        <v>#REF!</v>
      </c>
      <c r="BI203" t="e">
        <f>AND(Sheet1!#REF!,"AAAAAGt++zw=")</f>
        <v>#REF!</v>
      </c>
      <c r="BJ203" t="e">
        <f>AND(Sheet1!#REF!,"AAAAAGt++z0=")</f>
        <v>#REF!</v>
      </c>
      <c r="BK203" t="e">
        <f>AND(Sheet1!#REF!,"AAAAAGt++z4=")</f>
        <v>#REF!</v>
      </c>
      <c r="BL203">
        <f>IF(Sheet1!2726:2726,"AAAAAGt++z8=",0)</f>
        <v>0</v>
      </c>
      <c r="BM203" t="e">
        <f>AND(Sheet1!A2726,"AAAAAGt++0A=")</f>
        <v>#VALUE!</v>
      </c>
      <c r="BN203" t="e">
        <f>AND(Sheet1!B2726,"AAAAAGt++0E=")</f>
        <v>#VALUE!</v>
      </c>
      <c r="BO203" t="e">
        <f>AND(Sheet1!C2726,"AAAAAGt++0I=")</f>
        <v>#VALUE!</v>
      </c>
      <c r="BP203" t="e">
        <f>AND(Sheet1!D2726,"AAAAAGt++0M=")</f>
        <v>#VALUE!</v>
      </c>
      <c r="BQ203" t="e">
        <f>AND(Sheet1!E2726,"AAAAAGt++0Q=")</f>
        <v>#VALUE!</v>
      </c>
      <c r="BR203" t="e">
        <f>AND(Sheet1!F2726,"AAAAAGt++0U=")</f>
        <v>#VALUE!</v>
      </c>
      <c r="BS203" t="e">
        <f>AND(Sheet1!G2726,"AAAAAGt++0Y=")</f>
        <v>#VALUE!</v>
      </c>
      <c r="BT203" t="e">
        <f>AND(Sheet1!H2726,"AAAAAGt++0c=")</f>
        <v>#VALUE!</v>
      </c>
      <c r="BU203" t="e">
        <f>AND(Sheet1!I2726,"AAAAAGt++0g=")</f>
        <v>#VALUE!</v>
      </c>
      <c r="BV203" t="e">
        <f>AND(Sheet1!J2726,"AAAAAGt++0k=")</f>
        <v>#VALUE!</v>
      </c>
      <c r="BW203" t="e">
        <f>AND(Sheet1!K2726,"AAAAAGt++0o=")</f>
        <v>#VALUE!</v>
      </c>
      <c r="BX203" t="e">
        <f>AND(Sheet1!L2726,"AAAAAGt++0s=")</f>
        <v>#VALUE!</v>
      </c>
      <c r="BY203" t="e">
        <f>AND(Sheet1!M2726,"AAAAAGt++0w=")</f>
        <v>#VALUE!</v>
      </c>
      <c r="BZ203" t="e">
        <f>AND(Sheet1!N2726,"AAAAAGt++00=")</f>
        <v>#VALUE!</v>
      </c>
      <c r="CA203" t="e">
        <f>AND(Sheet1!#REF!,"AAAAAGt++04=")</f>
        <v>#REF!</v>
      </c>
      <c r="CB203" t="e">
        <f>AND(Sheet1!#REF!,"AAAAAGt++08=")</f>
        <v>#REF!</v>
      </c>
      <c r="CC203" t="e">
        <f>AND(Sheet1!#REF!,"AAAAAGt++1A=")</f>
        <v>#REF!</v>
      </c>
      <c r="CD203" t="e">
        <f>AND(Sheet1!#REF!,"AAAAAGt++1E=")</f>
        <v>#REF!</v>
      </c>
      <c r="CE203">
        <f>IF(Sheet1!2727:2727,"AAAAAGt++1I=",0)</f>
        <v>0</v>
      </c>
      <c r="CF203" t="e">
        <f>AND(Sheet1!A2727,"AAAAAGt++1M=")</f>
        <v>#VALUE!</v>
      </c>
      <c r="CG203" t="e">
        <f>AND(Sheet1!B2727,"AAAAAGt++1Q=")</f>
        <v>#VALUE!</v>
      </c>
      <c r="CH203" t="e">
        <f>AND(Sheet1!C2727,"AAAAAGt++1U=")</f>
        <v>#VALUE!</v>
      </c>
      <c r="CI203" t="e">
        <f>AND(Sheet1!D2727,"AAAAAGt++1Y=")</f>
        <v>#VALUE!</v>
      </c>
      <c r="CJ203" t="e">
        <f>AND(Sheet1!E2727,"AAAAAGt++1c=")</f>
        <v>#VALUE!</v>
      </c>
      <c r="CK203" t="e">
        <f>AND(Sheet1!F2727,"AAAAAGt++1g=")</f>
        <v>#VALUE!</v>
      </c>
      <c r="CL203" t="e">
        <f>AND(Sheet1!G2727,"AAAAAGt++1k=")</f>
        <v>#VALUE!</v>
      </c>
      <c r="CM203" t="e">
        <f>AND(Sheet1!H2727,"AAAAAGt++1o=")</f>
        <v>#VALUE!</v>
      </c>
      <c r="CN203" t="e">
        <f>AND(Sheet1!I2727,"AAAAAGt++1s=")</f>
        <v>#VALUE!</v>
      </c>
      <c r="CO203" t="e">
        <f>AND(Sheet1!J2727,"AAAAAGt++1w=")</f>
        <v>#VALUE!</v>
      </c>
      <c r="CP203" t="e">
        <f>AND(Sheet1!K2727,"AAAAAGt++10=")</f>
        <v>#VALUE!</v>
      </c>
      <c r="CQ203" t="e">
        <f>AND(Sheet1!L2727,"AAAAAGt++14=")</f>
        <v>#VALUE!</v>
      </c>
      <c r="CR203" t="e">
        <f>AND(Sheet1!M2727,"AAAAAGt++18=")</f>
        <v>#VALUE!</v>
      </c>
      <c r="CS203" t="e">
        <f>AND(Sheet1!N2727,"AAAAAGt++2A=")</f>
        <v>#VALUE!</v>
      </c>
      <c r="CT203" t="e">
        <f>AND(Sheet1!#REF!,"AAAAAGt++2E=")</f>
        <v>#REF!</v>
      </c>
      <c r="CU203" t="e">
        <f>AND(Sheet1!#REF!,"AAAAAGt++2I=")</f>
        <v>#REF!</v>
      </c>
      <c r="CV203" t="e">
        <f>AND(Sheet1!#REF!,"AAAAAGt++2M=")</f>
        <v>#REF!</v>
      </c>
      <c r="CW203" t="e">
        <f>AND(Sheet1!#REF!,"AAAAAGt++2Q=")</f>
        <v>#REF!</v>
      </c>
      <c r="CX203">
        <f>IF(Sheet1!2728:2728,"AAAAAGt++2U=",0)</f>
        <v>0</v>
      </c>
      <c r="CY203" t="e">
        <f>AND(Sheet1!A2728,"AAAAAGt++2Y=")</f>
        <v>#VALUE!</v>
      </c>
      <c r="CZ203" t="e">
        <f>AND(Sheet1!B2728,"AAAAAGt++2c=")</f>
        <v>#VALUE!</v>
      </c>
      <c r="DA203" t="e">
        <f>AND(Sheet1!C2728,"AAAAAGt++2g=")</f>
        <v>#VALUE!</v>
      </c>
      <c r="DB203" t="e">
        <f>AND(Sheet1!D2728,"AAAAAGt++2k=")</f>
        <v>#VALUE!</v>
      </c>
      <c r="DC203" t="e">
        <f>AND(Sheet1!E2728,"AAAAAGt++2o=")</f>
        <v>#VALUE!</v>
      </c>
      <c r="DD203" t="e">
        <f>AND(Sheet1!F2728,"AAAAAGt++2s=")</f>
        <v>#VALUE!</v>
      </c>
      <c r="DE203" t="e">
        <f>AND(Sheet1!G2728,"AAAAAGt++2w=")</f>
        <v>#VALUE!</v>
      </c>
      <c r="DF203" t="e">
        <f>AND(Sheet1!H2728,"AAAAAGt++20=")</f>
        <v>#VALUE!</v>
      </c>
      <c r="DG203" t="e">
        <f>AND(Sheet1!I2728,"AAAAAGt++24=")</f>
        <v>#VALUE!</v>
      </c>
      <c r="DH203" t="e">
        <f>AND(Sheet1!J2728,"AAAAAGt++28=")</f>
        <v>#VALUE!</v>
      </c>
      <c r="DI203" t="e">
        <f>AND(Sheet1!K2728,"AAAAAGt++3A=")</f>
        <v>#VALUE!</v>
      </c>
      <c r="DJ203" t="e">
        <f>AND(Sheet1!L2728,"AAAAAGt++3E=")</f>
        <v>#VALUE!</v>
      </c>
      <c r="DK203" t="e">
        <f>AND(Sheet1!M2728,"AAAAAGt++3I=")</f>
        <v>#VALUE!</v>
      </c>
      <c r="DL203" t="e">
        <f>AND(Sheet1!N2728,"AAAAAGt++3M=")</f>
        <v>#VALUE!</v>
      </c>
      <c r="DM203" t="e">
        <f>AND(Sheet1!#REF!,"AAAAAGt++3Q=")</f>
        <v>#REF!</v>
      </c>
      <c r="DN203" t="e">
        <f>AND(Sheet1!#REF!,"AAAAAGt++3U=")</f>
        <v>#REF!</v>
      </c>
      <c r="DO203" t="e">
        <f>AND(Sheet1!#REF!,"AAAAAGt++3Y=")</f>
        <v>#REF!</v>
      </c>
      <c r="DP203" t="e">
        <f>AND(Sheet1!#REF!,"AAAAAGt++3c=")</f>
        <v>#REF!</v>
      </c>
      <c r="DQ203">
        <f>IF(Sheet1!2729:2729,"AAAAAGt++3g=",0)</f>
        <v>0</v>
      </c>
      <c r="DR203" t="e">
        <f>AND(Sheet1!A2729,"AAAAAGt++3k=")</f>
        <v>#VALUE!</v>
      </c>
      <c r="DS203" t="e">
        <f>AND(Sheet1!B2729,"AAAAAGt++3o=")</f>
        <v>#VALUE!</v>
      </c>
      <c r="DT203" t="e">
        <f>AND(Sheet1!C2729,"AAAAAGt++3s=")</f>
        <v>#VALUE!</v>
      </c>
      <c r="DU203" t="e">
        <f>AND(Sheet1!D2729,"AAAAAGt++3w=")</f>
        <v>#VALUE!</v>
      </c>
      <c r="DV203" t="e">
        <f>AND(Sheet1!E2729,"AAAAAGt++30=")</f>
        <v>#VALUE!</v>
      </c>
      <c r="DW203" t="e">
        <f>AND(Sheet1!F2729,"AAAAAGt++34=")</f>
        <v>#VALUE!</v>
      </c>
      <c r="DX203" t="e">
        <f>AND(Sheet1!G2729,"AAAAAGt++38=")</f>
        <v>#VALUE!</v>
      </c>
      <c r="DY203" t="e">
        <f>AND(Sheet1!H2729,"AAAAAGt++4A=")</f>
        <v>#VALUE!</v>
      </c>
      <c r="DZ203" t="e">
        <f>AND(Sheet1!I2729,"AAAAAGt++4E=")</f>
        <v>#VALUE!</v>
      </c>
      <c r="EA203" t="e">
        <f>AND(Sheet1!J2729,"AAAAAGt++4I=")</f>
        <v>#VALUE!</v>
      </c>
      <c r="EB203" t="e">
        <f>AND(Sheet1!K2729,"AAAAAGt++4M=")</f>
        <v>#VALUE!</v>
      </c>
      <c r="EC203" t="e">
        <f>AND(Sheet1!L2729,"AAAAAGt++4Q=")</f>
        <v>#VALUE!</v>
      </c>
      <c r="ED203" t="e">
        <f>AND(Sheet1!M2729,"AAAAAGt++4U=")</f>
        <v>#VALUE!</v>
      </c>
      <c r="EE203" t="e">
        <f>AND(Sheet1!N2729,"AAAAAGt++4Y=")</f>
        <v>#VALUE!</v>
      </c>
      <c r="EF203" t="e">
        <f>AND(Sheet1!#REF!,"AAAAAGt++4c=")</f>
        <v>#REF!</v>
      </c>
      <c r="EG203" t="e">
        <f>AND(Sheet1!#REF!,"AAAAAGt++4g=")</f>
        <v>#REF!</v>
      </c>
      <c r="EH203" t="e">
        <f>AND(Sheet1!#REF!,"AAAAAGt++4k=")</f>
        <v>#REF!</v>
      </c>
      <c r="EI203" t="e">
        <f>AND(Sheet1!#REF!,"AAAAAGt++4o=")</f>
        <v>#REF!</v>
      </c>
      <c r="EJ203">
        <f>IF(Sheet1!2730:2730,"AAAAAGt++4s=",0)</f>
        <v>0</v>
      </c>
      <c r="EK203" t="e">
        <f>AND(Sheet1!A2730,"AAAAAGt++4w=")</f>
        <v>#VALUE!</v>
      </c>
      <c r="EL203" t="e">
        <f>AND(Sheet1!B2730,"AAAAAGt++40=")</f>
        <v>#VALUE!</v>
      </c>
      <c r="EM203" t="e">
        <f>AND(Sheet1!C2730,"AAAAAGt++44=")</f>
        <v>#VALUE!</v>
      </c>
      <c r="EN203" t="e">
        <f>AND(Sheet1!D2730,"AAAAAGt++48=")</f>
        <v>#VALUE!</v>
      </c>
      <c r="EO203" t="e">
        <f>AND(Sheet1!E2730,"AAAAAGt++5A=")</f>
        <v>#VALUE!</v>
      </c>
      <c r="EP203" t="e">
        <f>AND(Sheet1!F2730,"AAAAAGt++5E=")</f>
        <v>#VALUE!</v>
      </c>
      <c r="EQ203" t="e">
        <f>AND(Sheet1!G2730,"AAAAAGt++5I=")</f>
        <v>#VALUE!</v>
      </c>
      <c r="ER203" t="e">
        <f>AND(Sheet1!H2730,"AAAAAGt++5M=")</f>
        <v>#VALUE!</v>
      </c>
      <c r="ES203" t="e">
        <f>AND(Sheet1!I2730,"AAAAAGt++5Q=")</f>
        <v>#VALUE!</v>
      </c>
      <c r="ET203" t="e">
        <f>AND(Sheet1!J2730,"AAAAAGt++5U=")</f>
        <v>#VALUE!</v>
      </c>
      <c r="EU203" t="e">
        <f>AND(Sheet1!K2730,"AAAAAGt++5Y=")</f>
        <v>#VALUE!</v>
      </c>
      <c r="EV203" t="e">
        <f>AND(Sheet1!L2730,"AAAAAGt++5c=")</f>
        <v>#VALUE!</v>
      </c>
      <c r="EW203" t="e">
        <f>AND(Sheet1!M2730,"AAAAAGt++5g=")</f>
        <v>#VALUE!</v>
      </c>
      <c r="EX203" t="e">
        <f>AND(Sheet1!N2730,"AAAAAGt++5k=")</f>
        <v>#VALUE!</v>
      </c>
      <c r="EY203" t="e">
        <f>AND(Sheet1!#REF!,"AAAAAGt++5o=")</f>
        <v>#REF!</v>
      </c>
      <c r="EZ203" t="e">
        <f>AND(Sheet1!#REF!,"AAAAAGt++5s=")</f>
        <v>#REF!</v>
      </c>
      <c r="FA203" t="e">
        <f>AND(Sheet1!#REF!,"AAAAAGt++5w=")</f>
        <v>#REF!</v>
      </c>
      <c r="FB203" t="e">
        <f>AND(Sheet1!#REF!,"AAAAAGt++50=")</f>
        <v>#REF!</v>
      </c>
      <c r="FC203">
        <f>IF(Sheet1!2731:2731,"AAAAAGt++54=",0)</f>
        <v>0</v>
      </c>
      <c r="FD203" t="e">
        <f>AND(Sheet1!A2731,"AAAAAGt++58=")</f>
        <v>#VALUE!</v>
      </c>
      <c r="FE203" t="e">
        <f>AND(Sheet1!B2731,"AAAAAGt++6A=")</f>
        <v>#VALUE!</v>
      </c>
      <c r="FF203" t="e">
        <f>AND(Sheet1!C2731,"AAAAAGt++6E=")</f>
        <v>#VALUE!</v>
      </c>
      <c r="FG203" t="e">
        <f>AND(Sheet1!D2731,"AAAAAGt++6I=")</f>
        <v>#VALUE!</v>
      </c>
      <c r="FH203" t="e">
        <f>AND(Sheet1!E2731,"AAAAAGt++6M=")</f>
        <v>#VALUE!</v>
      </c>
      <c r="FI203" t="e">
        <f>AND(Sheet1!F2731,"AAAAAGt++6Q=")</f>
        <v>#VALUE!</v>
      </c>
      <c r="FJ203" t="e">
        <f>AND(Sheet1!G2731,"AAAAAGt++6U=")</f>
        <v>#VALUE!</v>
      </c>
      <c r="FK203" t="e">
        <f>AND(Sheet1!H2731,"AAAAAGt++6Y=")</f>
        <v>#VALUE!</v>
      </c>
      <c r="FL203" t="e">
        <f>AND(Sheet1!I2731,"AAAAAGt++6c=")</f>
        <v>#VALUE!</v>
      </c>
      <c r="FM203" t="e">
        <f>AND(Sheet1!J2731,"AAAAAGt++6g=")</f>
        <v>#VALUE!</v>
      </c>
      <c r="FN203" t="e">
        <f>AND(Sheet1!K2731,"AAAAAGt++6k=")</f>
        <v>#VALUE!</v>
      </c>
      <c r="FO203" t="e">
        <f>AND(Sheet1!L2731,"AAAAAGt++6o=")</f>
        <v>#VALUE!</v>
      </c>
      <c r="FP203" t="e">
        <f>AND(Sheet1!M2731,"AAAAAGt++6s=")</f>
        <v>#VALUE!</v>
      </c>
      <c r="FQ203" t="e">
        <f>AND(Sheet1!N2731,"AAAAAGt++6w=")</f>
        <v>#VALUE!</v>
      </c>
      <c r="FR203" t="e">
        <f>AND(Sheet1!#REF!,"AAAAAGt++60=")</f>
        <v>#REF!</v>
      </c>
      <c r="FS203" t="e">
        <f>AND(Sheet1!#REF!,"AAAAAGt++64=")</f>
        <v>#REF!</v>
      </c>
      <c r="FT203" t="e">
        <f>AND(Sheet1!#REF!,"AAAAAGt++68=")</f>
        <v>#REF!</v>
      </c>
      <c r="FU203" t="e">
        <f>AND(Sheet1!#REF!,"AAAAAGt++7A=")</f>
        <v>#REF!</v>
      </c>
      <c r="FV203">
        <f>IF(Sheet1!2732:2732,"AAAAAGt++7E=",0)</f>
        <v>0</v>
      </c>
      <c r="FW203" t="e">
        <f>AND(Sheet1!A2732,"AAAAAGt++7I=")</f>
        <v>#VALUE!</v>
      </c>
      <c r="FX203" t="e">
        <f>AND(Sheet1!B2732,"AAAAAGt++7M=")</f>
        <v>#VALUE!</v>
      </c>
      <c r="FY203" t="e">
        <f>AND(Sheet1!C2732,"AAAAAGt++7Q=")</f>
        <v>#VALUE!</v>
      </c>
      <c r="FZ203" t="e">
        <f>AND(Sheet1!D2732,"AAAAAGt++7U=")</f>
        <v>#VALUE!</v>
      </c>
      <c r="GA203" t="e">
        <f>AND(Sheet1!E2732,"AAAAAGt++7Y=")</f>
        <v>#VALUE!</v>
      </c>
      <c r="GB203" t="e">
        <f>AND(Sheet1!F2732,"AAAAAGt++7c=")</f>
        <v>#VALUE!</v>
      </c>
      <c r="GC203" t="e">
        <f>AND(Sheet1!G2732,"AAAAAGt++7g=")</f>
        <v>#VALUE!</v>
      </c>
      <c r="GD203" t="e">
        <f>AND(Sheet1!H2732,"AAAAAGt++7k=")</f>
        <v>#VALUE!</v>
      </c>
      <c r="GE203" t="e">
        <f>AND(Sheet1!I2732,"AAAAAGt++7o=")</f>
        <v>#VALUE!</v>
      </c>
      <c r="GF203" t="e">
        <f>AND(Sheet1!J2732,"AAAAAGt++7s=")</f>
        <v>#VALUE!</v>
      </c>
      <c r="GG203" t="e">
        <f>AND(Sheet1!K2732,"AAAAAGt++7w=")</f>
        <v>#VALUE!</v>
      </c>
      <c r="GH203" t="e">
        <f>AND(Sheet1!L2732,"AAAAAGt++70=")</f>
        <v>#VALUE!</v>
      </c>
      <c r="GI203" t="e">
        <f>AND(Sheet1!M2732,"AAAAAGt++74=")</f>
        <v>#VALUE!</v>
      </c>
      <c r="GJ203" t="e">
        <f>AND(Sheet1!N2732,"AAAAAGt++78=")</f>
        <v>#VALUE!</v>
      </c>
      <c r="GK203" t="e">
        <f>AND(Sheet1!#REF!,"AAAAAGt++8A=")</f>
        <v>#REF!</v>
      </c>
      <c r="GL203" t="e">
        <f>AND(Sheet1!#REF!,"AAAAAGt++8E=")</f>
        <v>#REF!</v>
      </c>
      <c r="GM203" t="e">
        <f>AND(Sheet1!#REF!,"AAAAAGt++8I=")</f>
        <v>#REF!</v>
      </c>
      <c r="GN203" t="e">
        <f>AND(Sheet1!#REF!,"AAAAAGt++8M=")</f>
        <v>#REF!</v>
      </c>
      <c r="GO203">
        <f>IF(Sheet1!2733:2733,"AAAAAGt++8Q=",0)</f>
        <v>0</v>
      </c>
      <c r="GP203" t="e">
        <f>AND(Sheet1!A2733,"AAAAAGt++8U=")</f>
        <v>#VALUE!</v>
      </c>
      <c r="GQ203" t="e">
        <f>AND(Sheet1!B2733,"AAAAAGt++8Y=")</f>
        <v>#VALUE!</v>
      </c>
      <c r="GR203" t="e">
        <f>AND(Sheet1!C2733,"AAAAAGt++8c=")</f>
        <v>#VALUE!</v>
      </c>
      <c r="GS203" t="e">
        <f>AND(Sheet1!D2733,"AAAAAGt++8g=")</f>
        <v>#VALUE!</v>
      </c>
      <c r="GT203" t="e">
        <f>AND(Sheet1!E2733,"AAAAAGt++8k=")</f>
        <v>#VALUE!</v>
      </c>
      <c r="GU203" t="e">
        <f>AND(Sheet1!F2733,"AAAAAGt++8o=")</f>
        <v>#VALUE!</v>
      </c>
      <c r="GV203" t="e">
        <f>AND(Sheet1!G2733,"AAAAAGt++8s=")</f>
        <v>#VALUE!</v>
      </c>
      <c r="GW203" t="e">
        <f>AND(Sheet1!H2733,"AAAAAGt++8w=")</f>
        <v>#VALUE!</v>
      </c>
      <c r="GX203" t="e">
        <f>AND(Sheet1!I2733,"AAAAAGt++80=")</f>
        <v>#VALUE!</v>
      </c>
      <c r="GY203" t="e">
        <f>AND(Sheet1!J2733,"AAAAAGt++84=")</f>
        <v>#VALUE!</v>
      </c>
      <c r="GZ203" t="e">
        <f>AND(Sheet1!K2733,"AAAAAGt++88=")</f>
        <v>#VALUE!</v>
      </c>
      <c r="HA203" t="e">
        <f>AND(Sheet1!L2733,"AAAAAGt++9A=")</f>
        <v>#VALUE!</v>
      </c>
      <c r="HB203" t="e">
        <f>AND(Sheet1!M2733,"AAAAAGt++9E=")</f>
        <v>#VALUE!</v>
      </c>
      <c r="HC203" t="e">
        <f>AND(Sheet1!N2733,"AAAAAGt++9I=")</f>
        <v>#VALUE!</v>
      </c>
      <c r="HD203" t="e">
        <f>AND(Sheet1!#REF!,"AAAAAGt++9M=")</f>
        <v>#REF!</v>
      </c>
      <c r="HE203" t="e">
        <f>AND(Sheet1!#REF!,"AAAAAGt++9Q=")</f>
        <v>#REF!</v>
      </c>
      <c r="HF203" t="e">
        <f>AND(Sheet1!#REF!,"AAAAAGt++9U=")</f>
        <v>#REF!</v>
      </c>
      <c r="HG203" t="e">
        <f>AND(Sheet1!#REF!,"AAAAAGt++9Y=")</f>
        <v>#REF!</v>
      </c>
      <c r="HH203">
        <f>IF(Sheet1!2734:2734,"AAAAAGt++9c=",0)</f>
        <v>0</v>
      </c>
      <c r="HI203" t="e">
        <f>AND(Sheet1!A2734,"AAAAAGt++9g=")</f>
        <v>#VALUE!</v>
      </c>
      <c r="HJ203" t="e">
        <f>AND(Sheet1!B2734,"AAAAAGt++9k=")</f>
        <v>#VALUE!</v>
      </c>
      <c r="HK203" t="e">
        <f>AND(Sheet1!C2734,"AAAAAGt++9o=")</f>
        <v>#VALUE!</v>
      </c>
      <c r="HL203" t="e">
        <f>AND(Sheet1!D2734,"AAAAAGt++9s=")</f>
        <v>#VALUE!</v>
      </c>
      <c r="HM203" t="e">
        <f>AND(Sheet1!E2734,"AAAAAGt++9w=")</f>
        <v>#VALUE!</v>
      </c>
      <c r="HN203" t="e">
        <f>AND(Sheet1!F2734,"AAAAAGt++90=")</f>
        <v>#VALUE!</v>
      </c>
      <c r="HO203" t="e">
        <f>AND(Sheet1!G2734,"AAAAAGt++94=")</f>
        <v>#VALUE!</v>
      </c>
      <c r="HP203" t="e">
        <f>AND(Sheet1!H2734,"AAAAAGt++98=")</f>
        <v>#VALUE!</v>
      </c>
      <c r="HQ203" t="e">
        <f>AND(Sheet1!I2734,"AAAAAGt+++A=")</f>
        <v>#VALUE!</v>
      </c>
      <c r="HR203" t="e">
        <f>AND(Sheet1!J2734,"AAAAAGt+++E=")</f>
        <v>#VALUE!</v>
      </c>
      <c r="HS203" t="e">
        <f>AND(Sheet1!K2734,"AAAAAGt+++I=")</f>
        <v>#VALUE!</v>
      </c>
      <c r="HT203" t="e">
        <f>AND(Sheet1!L2734,"AAAAAGt+++M=")</f>
        <v>#VALUE!</v>
      </c>
      <c r="HU203" t="e">
        <f>AND(Sheet1!M2734,"AAAAAGt+++Q=")</f>
        <v>#VALUE!</v>
      </c>
      <c r="HV203" t="e">
        <f>AND(Sheet1!N2734,"AAAAAGt+++U=")</f>
        <v>#VALUE!</v>
      </c>
      <c r="HW203" t="e">
        <f>AND(Sheet1!#REF!,"AAAAAGt+++Y=")</f>
        <v>#REF!</v>
      </c>
      <c r="HX203" t="e">
        <f>AND(Sheet1!#REF!,"AAAAAGt+++c=")</f>
        <v>#REF!</v>
      </c>
      <c r="HY203" t="e">
        <f>AND(Sheet1!#REF!,"AAAAAGt+++g=")</f>
        <v>#REF!</v>
      </c>
      <c r="HZ203" t="e">
        <f>AND(Sheet1!#REF!,"AAAAAGt+++k=")</f>
        <v>#REF!</v>
      </c>
      <c r="IA203">
        <f>IF(Sheet1!2735:2735,"AAAAAGt+++o=",0)</f>
        <v>0</v>
      </c>
      <c r="IB203" t="e">
        <f>AND(Sheet1!A2735,"AAAAAGt+++s=")</f>
        <v>#VALUE!</v>
      </c>
      <c r="IC203" t="e">
        <f>AND(Sheet1!B2735,"AAAAAGt+++w=")</f>
        <v>#VALUE!</v>
      </c>
      <c r="ID203" t="e">
        <f>AND(Sheet1!C2735,"AAAAAGt+++0=")</f>
        <v>#VALUE!</v>
      </c>
      <c r="IE203" t="e">
        <f>AND(Sheet1!D2735,"AAAAAGt+++4=")</f>
        <v>#VALUE!</v>
      </c>
      <c r="IF203" t="e">
        <f>AND(Sheet1!E2735,"AAAAAGt+++8=")</f>
        <v>#VALUE!</v>
      </c>
      <c r="IG203" t="e">
        <f>AND(Sheet1!F2735,"AAAAAGt++/A=")</f>
        <v>#VALUE!</v>
      </c>
      <c r="IH203" t="e">
        <f>AND(Sheet1!G2735,"AAAAAGt++/E=")</f>
        <v>#VALUE!</v>
      </c>
      <c r="II203" t="e">
        <f>AND(Sheet1!H2735,"AAAAAGt++/I=")</f>
        <v>#VALUE!</v>
      </c>
      <c r="IJ203" t="e">
        <f>AND(Sheet1!I2735,"AAAAAGt++/M=")</f>
        <v>#VALUE!</v>
      </c>
      <c r="IK203" t="e">
        <f>AND(Sheet1!J2735,"AAAAAGt++/Q=")</f>
        <v>#VALUE!</v>
      </c>
      <c r="IL203" t="e">
        <f>AND(Sheet1!K2735,"AAAAAGt++/U=")</f>
        <v>#VALUE!</v>
      </c>
      <c r="IM203" t="e">
        <f>AND(Sheet1!L2735,"AAAAAGt++/Y=")</f>
        <v>#VALUE!</v>
      </c>
      <c r="IN203" t="e">
        <f>AND(Sheet1!M2735,"AAAAAGt++/c=")</f>
        <v>#VALUE!</v>
      </c>
      <c r="IO203" t="e">
        <f>AND(Sheet1!N2735,"AAAAAGt++/g=")</f>
        <v>#VALUE!</v>
      </c>
      <c r="IP203" t="e">
        <f>AND(Sheet1!#REF!,"AAAAAGt++/k=")</f>
        <v>#REF!</v>
      </c>
      <c r="IQ203" t="e">
        <f>AND(Sheet1!#REF!,"AAAAAGt++/o=")</f>
        <v>#REF!</v>
      </c>
      <c r="IR203" t="e">
        <f>AND(Sheet1!#REF!,"AAAAAGt++/s=")</f>
        <v>#REF!</v>
      </c>
      <c r="IS203" t="e">
        <f>AND(Sheet1!#REF!,"AAAAAGt++/w=")</f>
        <v>#REF!</v>
      </c>
      <c r="IT203">
        <f>IF(Sheet1!2736:2736,"AAAAAGt++/0=",0)</f>
        <v>0</v>
      </c>
      <c r="IU203" t="e">
        <f>AND(Sheet1!A2736,"AAAAAGt++/4=")</f>
        <v>#VALUE!</v>
      </c>
      <c r="IV203" t="e">
        <f>AND(Sheet1!B2736,"AAAAAGt++/8=")</f>
        <v>#VALUE!</v>
      </c>
    </row>
    <row r="204" spans="1:256" x14ac:dyDescent="0.2">
      <c r="A204" t="e">
        <f>AND(Sheet1!C2736,"AAAAAGPm3wA=")</f>
        <v>#VALUE!</v>
      </c>
      <c r="B204" t="e">
        <f>AND(Sheet1!D2736,"AAAAAGPm3wE=")</f>
        <v>#VALUE!</v>
      </c>
      <c r="C204" t="e">
        <f>AND(Sheet1!E2736,"AAAAAGPm3wI=")</f>
        <v>#VALUE!</v>
      </c>
      <c r="D204" t="e">
        <f>AND(Sheet1!F2736,"AAAAAGPm3wM=")</f>
        <v>#VALUE!</v>
      </c>
      <c r="E204" t="e">
        <f>AND(Sheet1!G2736,"AAAAAGPm3wQ=")</f>
        <v>#VALUE!</v>
      </c>
      <c r="F204" t="e">
        <f>AND(Sheet1!H2736,"AAAAAGPm3wU=")</f>
        <v>#VALUE!</v>
      </c>
      <c r="G204" t="e">
        <f>AND(Sheet1!I2736,"AAAAAGPm3wY=")</f>
        <v>#VALUE!</v>
      </c>
      <c r="H204" t="e">
        <f>AND(Sheet1!J2736,"AAAAAGPm3wc=")</f>
        <v>#VALUE!</v>
      </c>
      <c r="I204" t="e">
        <f>AND(Sheet1!K2736,"AAAAAGPm3wg=")</f>
        <v>#VALUE!</v>
      </c>
      <c r="J204" t="e">
        <f>AND(Sheet1!L2736,"AAAAAGPm3wk=")</f>
        <v>#VALUE!</v>
      </c>
      <c r="K204" t="e">
        <f>AND(Sheet1!M2736,"AAAAAGPm3wo=")</f>
        <v>#VALUE!</v>
      </c>
      <c r="L204" t="e">
        <f>AND(Sheet1!N2736,"AAAAAGPm3ws=")</f>
        <v>#VALUE!</v>
      </c>
      <c r="M204" t="e">
        <f>AND(Sheet1!#REF!,"AAAAAGPm3ww=")</f>
        <v>#REF!</v>
      </c>
      <c r="N204" t="e">
        <f>AND(Sheet1!#REF!,"AAAAAGPm3w0=")</f>
        <v>#REF!</v>
      </c>
      <c r="O204" t="e">
        <f>AND(Sheet1!#REF!,"AAAAAGPm3w4=")</f>
        <v>#REF!</v>
      </c>
      <c r="P204" t="e">
        <f>AND(Sheet1!#REF!,"AAAAAGPm3w8=")</f>
        <v>#REF!</v>
      </c>
      <c r="Q204">
        <f>IF(Sheet1!2737:2737,"AAAAAGPm3xA=",0)</f>
        <v>0</v>
      </c>
      <c r="R204" t="e">
        <f>AND(Sheet1!A2737,"AAAAAGPm3xE=")</f>
        <v>#VALUE!</v>
      </c>
      <c r="S204" t="e">
        <f>AND(Sheet1!B2737,"AAAAAGPm3xI=")</f>
        <v>#VALUE!</v>
      </c>
      <c r="T204" t="e">
        <f>AND(Sheet1!C2737,"AAAAAGPm3xM=")</f>
        <v>#VALUE!</v>
      </c>
      <c r="U204" t="e">
        <f>AND(Sheet1!D2737,"AAAAAGPm3xQ=")</f>
        <v>#VALUE!</v>
      </c>
      <c r="V204" t="e">
        <f>AND(Sheet1!E2737,"AAAAAGPm3xU=")</f>
        <v>#VALUE!</v>
      </c>
      <c r="W204" t="e">
        <f>AND(Sheet1!F2737,"AAAAAGPm3xY=")</f>
        <v>#VALUE!</v>
      </c>
      <c r="X204" t="e">
        <f>AND(Sheet1!G2737,"AAAAAGPm3xc=")</f>
        <v>#VALUE!</v>
      </c>
      <c r="Y204" t="e">
        <f>AND(Sheet1!H2737,"AAAAAGPm3xg=")</f>
        <v>#VALUE!</v>
      </c>
      <c r="Z204" t="e">
        <f>AND(Sheet1!I2737,"AAAAAGPm3xk=")</f>
        <v>#VALUE!</v>
      </c>
      <c r="AA204" t="e">
        <f>AND(Sheet1!J2737,"AAAAAGPm3xo=")</f>
        <v>#VALUE!</v>
      </c>
      <c r="AB204" t="e">
        <f>AND(Sheet1!K2737,"AAAAAGPm3xs=")</f>
        <v>#VALUE!</v>
      </c>
      <c r="AC204" t="e">
        <f>AND(Sheet1!L2737,"AAAAAGPm3xw=")</f>
        <v>#VALUE!</v>
      </c>
      <c r="AD204" t="e">
        <f>AND(Sheet1!M2737,"AAAAAGPm3x0=")</f>
        <v>#VALUE!</v>
      </c>
      <c r="AE204" t="e">
        <f>AND(Sheet1!N2737,"AAAAAGPm3x4=")</f>
        <v>#VALUE!</v>
      </c>
      <c r="AF204" t="e">
        <f>AND(Sheet1!#REF!,"AAAAAGPm3x8=")</f>
        <v>#REF!</v>
      </c>
      <c r="AG204" t="e">
        <f>AND(Sheet1!#REF!,"AAAAAGPm3yA=")</f>
        <v>#REF!</v>
      </c>
      <c r="AH204" t="e">
        <f>AND(Sheet1!#REF!,"AAAAAGPm3yE=")</f>
        <v>#REF!</v>
      </c>
      <c r="AI204" t="e">
        <f>AND(Sheet1!#REF!,"AAAAAGPm3yI=")</f>
        <v>#REF!</v>
      </c>
      <c r="AJ204">
        <f>IF(Sheet1!2738:2738,"AAAAAGPm3yM=",0)</f>
        <v>0</v>
      </c>
      <c r="AK204" t="e">
        <f>AND(Sheet1!A2738,"AAAAAGPm3yQ=")</f>
        <v>#VALUE!</v>
      </c>
      <c r="AL204" t="e">
        <f>AND(Sheet1!B2738,"AAAAAGPm3yU=")</f>
        <v>#VALUE!</v>
      </c>
      <c r="AM204" t="e">
        <f>AND(Sheet1!C2738,"AAAAAGPm3yY=")</f>
        <v>#VALUE!</v>
      </c>
      <c r="AN204" t="e">
        <f>AND(Sheet1!D2738,"AAAAAGPm3yc=")</f>
        <v>#VALUE!</v>
      </c>
      <c r="AO204" t="e">
        <f>AND(Sheet1!E2738,"AAAAAGPm3yg=")</f>
        <v>#VALUE!</v>
      </c>
      <c r="AP204" t="e">
        <f>AND(Sheet1!F2738,"AAAAAGPm3yk=")</f>
        <v>#VALUE!</v>
      </c>
      <c r="AQ204" t="e">
        <f>AND(Sheet1!G2738,"AAAAAGPm3yo=")</f>
        <v>#VALUE!</v>
      </c>
      <c r="AR204" t="e">
        <f>AND(Sheet1!H2738,"AAAAAGPm3ys=")</f>
        <v>#VALUE!</v>
      </c>
      <c r="AS204" t="e">
        <f>AND(Sheet1!I2738,"AAAAAGPm3yw=")</f>
        <v>#VALUE!</v>
      </c>
      <c r="AT204" t="e">
        <f>AND(Sheet1!J2738,"AAAAAGPm3y0=")</f>
        <v>#VALUE!</v>
      </c>
      <c r="AU204" t="e">
        <f>AND(Sheet1!K2738,"AAAAAGPm3y4=")</f>
        <v>#VALUE!</v>
      </c>
      <c r="AV204" t="e">
        <f>AND(Sheet1!L2738,"AAAAAGPm3y8=")</f>
        <v>#VALUE!</v>
      </c>
      <c r="AW204" t="e">
        <f>AND(Sheet1!M2738,"AAAAAGPm3zA=")</f>
        <v>#VALUE!</v>
      </c>
      <c r="AX204" t="e">
        <f>AND(Sheet1!N2738,"AAAAAGPm3zE=")</f>
        <v>#VALUE!</v>
      </c>
      <c r="AY204" t="e">
        <f>AND(Sheet1!#REF!,"AAAAAGPm3zI=")</f>
        <v>#REF!</v>
      </c>
      <c r="AZ204" t="e">
        <f>AND(Sheet1!#REF!,"AAAAAGPm3zM=")</f>
        <v>#REF!</v>
      </c>
      <c r="BA204" t="e">
        <f>AND(Sheet1!#REF!,"AAAAAGPm3zQ=")</f>
        <v>#REF!</v>
      </c>
      <c r="BB204" t="e">
        <f>AND(Sheet1!#REF!,"AAAAAGPm3zU=")</f>
        <v>#REF!</v>
      </c>
      <c r="BC204">
        <f>IF(Sheet1!2739:2739,"AAAAAGPm3zY=",0)</f>
        <v>0</v>
      </c>
      <c r="BD204" t="e">
        <f>AND(Sheet1!A2739,"AAAAAGPm3zc=")</f>
        <v>#VALUE!</v>
      </c>
      <c r="BE204" t="e">
        <f>AND(Sheet1!B2739,"AAAAAGPm3zg=")</f>
        <v>#VALUE!</v>
      </c>
      <c r="BF204" t="e">
        <f>AND(Sheet1!C2739,"AAAAAGPm3zk=")</f>
        <v>#VALUE!</v>
      </c>
      <c r="BG204" t="e">
        <f>AND(Sheet1!D2739,"AAAAAGPm3zo=")</f>
        <v>#VALUE!</v>
      </c>
      <c r="BH204" t="e">
        <f>AND(Sheet1!E2739,"AAAAAGPm3zs=")</f>
        <v>#VALUE!</v>
      </c>
      <c r="BI204" t="e">
        <f>AND(Sheet1!F2739,"AAAAAGPm3zw=")</f>
        <v>#VALUE!</v>
      </c>
      <c r="BJ204" t="e">
        <f>AND(Sheet1!G2739,"AAAAAGPm3z0=")</f>
        <v>#VALUE!</v>
      </c>
      <c r="BK204" t="e">
        <f>AND(Sheet1!H2739,"AAAAAGPm3z4=")</f>
        <v>#VALUE!</v>
      </c>
      <c r="BL204" t="e">
        <f>AND(Sheet1!I2739,"AAAAAGPm3z8=")</f>
        <v>#VALUE!</v>
      </c>
      <c r="BM204" t="e">
        <f>AND(Sheet1!J2739,"AAAAAGPm30A=")</f>
        <v>#VALUE!</v>
      </c>
      <c r="BN204" t="e">
        <f>AND(Sheet1!K2739,"AAAAAGPm30E=")</f>
        <v>#VALUE!</v>
      </c>
      <c r="BO204" t="e">
        <f>AND(Sheet1!L2739,"AAAAAGPm30I=")</f>
        <v>#VALUE!</v>
      </c>
      <c r="BP204" t="e">
        <f>AND(Sheet1!M2739,"AAAAAGPm30M=")</f>
        <v>#VALUE!</v>
      </c>
      <c r="BQ204" t="e">
        <f>AND(Sheet1!N2739,"AAAAAGPm30Q=")</f>
        <v>#VALUE!</v>
      </c>
      <c r="BR204" t="e">
        <f>AND(Sheet1!#REF!,"AAAAAGPm30U=")</f>
        <v>#REF!</v>
      </c>
      <c r="BS204" t="e">
        <f>AND(Sheet1!#REF!,"AAAAAGPm30Y=")</f>
        <v>#REF!</v>
      </c>
      <c r="BT204" t="e">
        <f>AND(Sheet1!#REF!,"AAAAAGPm30c=")</f>
        <v>#REF!</v>
      </c>
      <c r="BU204" t="e">
        <f>AND(Sheet1!#REF!,"AAAAAGPm30g=")</f>
        <v>#REF!</v>
      </c>
      <c r="BV204">
        <f>IF(Sheet1!2740:2740,"AAAAAGPm30k=",0)</f>
        <v>0</v>
      </c>
      <c r="BW204" t="e">
        <f>AND(Sheet1!A2740,"AAAAAGPm30o=")</f>
        <v>#VALUE!</v>
      </c>
      <c r="BX204" t="e">
        <f>AND(Sheet1!B2740,"AAAAAGPm30s=")</f>
        <v>#VALUE!</v>
      </c>
      <c r="BY204" t="e">
        <f>AND(Sheet1!C2740,"AAAAAGPm30w=")</f>
        <v>#VALUE!</v>
      </c>
      <c r="BZ204" t="e">
        <f>AND(Sheet1!D2740,"AAAAAGPm300=")</f>
        <v>#VALUE!</v>
      </c>
      <c r="CA204" t="e">
        <f>AND(Sheet1!E2740,"AAAAAGPm304=")</f>
        <v>#VALUE!</v>
      </c>
      <c r="CB204" t="e">
        <f>AND(Sheet1!F2740,"AAAAAGPm308=")</f>
        <v>#VALUE!</v>
      </c>
      <c r="CC204" t="e">
        <f>AND(Sheet1!G2740,"AAAAAGPm31A=")</f>
        <v>#VALUE!</v>
      </c>
      <c r="CD204" t="e">
        <f>AND(Sheet1!H2740,"AAAAAGPm31E=")</f>
        <v>#VALUE!</v>
      </c>
      <c r="CE204" t="e">
        <f>AND(Sheet1!I2740,"AAAAAGPm31I=")</f>
        <v>#VALUE!</v>
      </c>
      <c r="CF204" t="e">
        <f>AND(Sheet1!J2740,"AAAAAGPm31M=")</f>
        <v>#VALUE!</v>
      </c>
      <c r="CG204" t="e">
        <f>AND(Sheet1!K2740,"AAAAAGPm31Q=")</f>
        <v>#VALUE!</v>
      </c>
      <c r="CH204" t="e">
        <f>AND(Sheet1!L2740,"AAAAAGPm31U=")</f>
        <v>#VALUE!</v>
      </c>
      <c r="CI204" t="e">
        <f>AND(Sheet1!M2740,"AAAAAGPm31Y=")</f>
        <v>#VALUE!</v>
      </c>
      <c r="CJ204" t="e">
        <f>AND(Sheet1!N2740,"AAAAAGPm31c=")</f>
        <v>#VALUE!</v>
      </c>
      <c r="CK204" t="e">
        <f>AND(Sheet1!#REF!,"AAAAAGPm31g=")</f>
        <v>#REF!</v>
      </c>
      <c r="CL204" t="e">
        <f>AND(Sheet1!#REF!,"AAAAAGPm31k=")</f>
        <v>#REF!</v>
      </c>
      <c r="CM204" t="e">
        <f>AND(Sheet1!#REF!,"AAAAAGPm31o=")</f>
        <v>#REF!</v>
      </c>
      <c r="CN204" t="e">
        <f>AND(Sheet1!#REF!,"AAAAAGPm31s=")</f>
        <v>#REF!</v>
      </c>
      <c r="CO204">
        <f>IF(Sheet1!2741:2741,"AAAAAGPm31w=",0)</f>
        <v>0</v>
      </c>
      <c r="CP204" t="e">
        <f>AND(Sheet1!A2741,"AAAAAGPm310=")</f>
        <v>#VALUE!</v>
      </c>
      <c r="CQ204" t="e">
        <f>AND(Sheet1!B2741,"AAAAAGPm314=")</f>
        <v>#VALUE!</v>
      </c>
      <c r="CR204" t="e">
        <f>AND(Sheet1!C2741,"AAAAAGPm318=")</f>
        <v>#VALUE!</v>
      </c>
      <c r="CS204" t="e">
        <f>AND(Sheet1!D2741,"AAAAAGPm32A=")</f>
        <v>#VALUE!</v>
      </c>
      <c r="CT204" t="e">
        <f>AND(Sheet1!E2741,"AAAAAGPm32E=")</f>
        <v>#VALUE!</v>
      </c>
      <c r="CU204" t="e">
        <f>AND(Sheet1!F2741,"AAAAAGPm32I=")</f>
        <v>#VALUE!</v>
      </c>
      <c r="CV204" t="e">
        <f>AND(Sheet1!G2741,"AAAAAGPm32M=")</f>
        <v>#VALUE!</v>
      </c>
      <c r="CW204" t="e">
        <f>AND(Sheet1!H2741,"AAAAAGPm32Q=")</f>
        <v>#VALUE!</v>
      </c>
      <c r="CX204" t="e">
        <f>AND(Sheet1!I2741,"AAAAAGPm32U=")</f>
        <v>#VALUE!</v>
      </c>
      <c r="CY204" t="e">
        <f>AND(Sheet1!J2741,"AAAAAGPm32Y=")</f>
        <v>#VALUE!</v>
      </c>
      <c r="CZ204" t="e">
        <f>AND(Sheet1!K2741,"AAAAAGPm32c=")</f>
        <v>#VALUE!</v>
      </c>
      <c r="DA204" t="e">
        <f>AND(Sheet1!L2741,"AAAAAGPm32g=")</f>
        <v>#VALUE!</v>
      </c>
      <c r="DB204" t="e">
        <f>AND(Sheet1!M2741,"AAAAAGPm32k=")</f>
        <v>#VALUE!</v>
      </c>
      <c r="DC204" t="e">
        <f>AND(Sheet1!N2741,"AAAAAGPm32o=")</f>
        <v>#VALUE!</v>
      </c>
      <c r="DD204" t="e">
        <f>AND(Sheet1!#REF!,"AAAAAGPm32s=")</f>
        <v>#REF!</v>
      </c>
      <c r="DE204" t="e">
        <f>AND(Sheet1!#REF!,"AAAAAGPm32w=")</f>
        <v>#REF!</v>
      </c>
      <c r="DF204" t="e">
        <f>AND(Sheet1!#REF!,"AAAAAGPm320=")</f>
        <v>#REF!</v>
      </c>
      <c r="DG204" t="e">
        <f>AND(Sheet1!#REF!,"AAAAAGPm324=")</f>
        <v>#REF!</v>
      </c>
      <c r="DH204">
        <f>IF(Sheet1!2742:2742,"AAAAAGPm328=",0)</f>
        <v>0</v>
      </c>
      <c r="DI204" t="e">
        <f>AND(Sheet1!A2742,"AAAAAGPm33A=")</f>
        <v>#VALUE!</v>
      </c>
      <c r="DJ204" t="e">
        <f>AND(Sheet1!B2742,"AAAAAGPm33E=")</f>
        <v>#VALUE!</v>
      </c>
      <c r="DK204" t="e">
        <f>AND(Sheet1!C2742,"AAAAAGPm33I=")</f>
        <v>#VALUE!</v>
      </c>
      <c r="DL204" t="e">
        <f>AND(Sheet1!D2742,"AAAAAGPm33M=")</f>
        <v>#VALUE!</v>
      </c>
      <c r="DM204" t="e">
        <f>AND(Sheet1!E2742,"AAAAAGPm33Q=")</f>
        <v>#VALUE!</v>
      </c>
      <c r="DN204" t="e">
        <f>AND(Sheet1!F2742,"AAAAAGPm33U=")</f>
        <v>#VALUE!</v>
      </c>
      <c r="DO204" t="e">
        <f>AND(Sheet1!G2742,"AAAAAGPm33Y=")</f>
        <v>#VALUE!</v>
      </c>
      <c r="DP204" t="e">
        <f>AND(Sheet1!H2742,"AAAAAGPm33c=")</f>
        <v>#VALUE!</v>
      </c>
      <c r="DQ204" t="e">
        <f>AND(Sheet1!I2742,"AAAAAGPm33g=")</f>
        <v>#VALUE!</v>
      </c>
      <c r="DR204" t="e">
        <f>AND(Sheet1!J2742,"AAAAAGPm33k=")</f>
        <v>#VALUE!</v>
      </c>
      <c r="DS204" t="e">
        <f>AND(Sheet1!K2742,"AAAAAGPm33o=")</f>
        <v>#VALUE!</v>
      </c>
      <c r="DT204" t="e">
        <f>AND(Sheet1!L2742,"AAAAAGPm33s=")</f>
        <v>#VALUE!</v>
      </c>
      <c r="DU204" t="e">
        <f>AND(Sheet1!M2742,"AAAAAGPm33w=")</f>
        <v>#VALUE!</v>
      </c>
      <c r="DV204" t="e">
        <f>AND(Sheet1!N2742,"AAAAAGPm330=")</f>
        <v>#VALUE!</v>
      </c>
      <c r="DW204" t="e">
        <f>AND(Sheet1!#REF!,"AAAAAGPm334=")</f>
        <v>#REF!</v>
      </c>
      <c r="DX204" t="e">
        <f>AND(Sheet1!#REF!,"AAAAAGPm338=")</f>
        <v>#REF!</v>
      </c>
      <c r="DY204" t="e">
        <f>AND(Sheet1!#REF!,"AAAAAGPm34A=")</f>
        <v>#REF!</v>
      </c>
      <c r="DZ204" t="e">
        <f>AND(Sheet1!#REF!,"AAAAAGPm34E=")</f>
        <v>#REF!</v>
      </c>
      <c r="EA204">
        <f>IF(Sheet1!2743:2743,"AAAAAGPm34I=",0)</f>
        <v>0</v>
      </c>
      <c r="EB204" t="e">
        <f>AND(Sheet1!A2743,"AAAAAGPm34M=")</f>
        <v>#VALUE!</v>
      </c>
      <c r="EC204" t="e">
        <f>AND(Sheet1!B2743,"AAAAAGPm34Q=")</f>
        <v>#VALUE!</v>
      </c>
      <c r="ED204" t="e">
        <f>AND(Sheet1!C2743,"AAAAAGPm34U=")</f>
        <v>#VALUE!</v>
      </c>
      <c r="EE204" t="e">
        <f>AND(Sheet1!D2743,"AAAAAGPm34Y=")</f>
        <v>#VALUE!</v>
      </c>
      <c r="EF204" t="e">
        <f>AND(Sheet1!E2743,"AAAAAGPm34c=")</f>
        <v>#VALUE!</v>
      </c>
      <c r="EG204" t="e">
        <f>AND(Sheet1!F2743,"AAAAAGPm34g=")</f>
        <v>#VALUE!</v>
      </c>
      <c r="EH204" t="e">
        <f>AND(Sheet1!G2743,"AAAAAGPm34k=")</f>
        <v>#VALUE!</v>
      </c>
      <c r="EI204" t="e">
        <f>AND(Sheet1!H2743,"AAAAAGPm34o=")</f>
        <v>#VALUE!</v>
      </c>
      <c r="EJ204" t="e">
        <f>AND(Sheet1!I2743,"AAAAAGPm34s=")</f>
        <v>#VALUE!</v>
      </c>
      <c r="EK204" t="e">
        <f>AND(Sheet1!J2743,"AAAAAGPm34w=")</f>
        <v>#VALUE!</v>
      </c>
      <c r="EL204" t="e">
        <f>AND(Sheet1!K2743,"AAAAAGPm340=")</f>
        <v>#VALUE!</v>
      </c>
      <c r="EM204" t="e">
        <f>AND(Sheet1!L2743,"AAAAAGPm344=")</f>
        <v>#VALUE!</v>
      </c>
      <c r="EN204" t="e">
        <f>AND(Sheet1!M2743,"AAAAAGPm348=")</f>
        <v>#VALUE!</v>
      </c>
      <c r="EO204" t="e">
        <f>AND(Sheet1!N2743,"AAAAAGPm35A=")</f>
        <v>#VALUE!</v>
      </c>
      <c r="EP204" t="e">
        <f>AND(Sheet1!#REF!,"AAAAAGPm35E=")</f>
        <v>#REF!</v>
      </c>
      <c r="EQ204" t="e">
        <f>AND(Sheet1!#REF!,"AAAAAGPm35I=")</f>
        <v>#REF!</v>
      </c>
      <c r="ER204" t="e">
        <f>AND(Sheet1!#REF!,"AAAAAGPm35M=")</f>
        <v>#REF!</v>
      </c>
      <c r="ES204" t="e">
        <f>AND(Sheet1!#REF!,"AAAAAGPm35Q=")</f>
        <v>#REF!</v>
      </c>
      <c r="ET204">
        <f>IF(Sheet1!2744:2744,"AAAAAGPm35U=",0)</f>
        <v>0</v>
      </c>
      <c r="EU204" t="e">
        <f>AND(Sheet1!A2744,"AAAAAGPm35Y=")</f>
        <v>#VALUE!</v>
      </c>
      <c r="EV204" t="e">
        <f>AND(Sheet1!B2744,"AAAAAGPm35c=")</f>
        <v>#VALUE!</v>
      </c>
      <c r="EW204" t="e">
        <f>AND(Sheet1!C2744,"AAAAAGPm35g=")</f>
        <v>#VALUE!</v>
      </c>
      <c r="EX204" t="e">
        <f>AND(Sheet1!D2744,"AAAAAGPm35k=")</f>
        <v>#VALUE!</v>
      </c>
      <c r="EY204" t="e">
        <f>AND(Sheet1!E2744,"AAAAAGPm35o=")</f>
        <v>#VALUE!</v>
      </c>
      <c r="EZ204" t="e">
        <f>AND(Sheet1!F2744,"AAAAAGPm35s=")</f>
        <v>#VALUE!</v>
      </c>
      <c r="FA204" t="e">
        <f>AND(Sheet1!G2744,"AAAAAGPm35w=")</f>
        <v>#VALUE!</v>
      </c>
      <c r="FB204" t="e">
        <f>AND(Sheet1!H2744,"AAAAAGPm350=")</f>
        <v>#VALUE!</v>
      </c>
      <c r="FC204" t="e">
        <f>AND(Sheet1!I2744,"AAAAAGPm354=")</f>
        <v>#VALUE!</v>
      </c>
      <c r="FD204" t="e">
        <f>AND(Sheet1!J2744,"AAAAAGPm358=")</f>
        <v>#VALUE!</v>
      </c>
      <c r="FE204" t="e">
        <f>AND(Sheet1!K2744,"AAAAAGPm36A=")</f>
        <v>#VALUE!</v>
      </c>
      <c r="FF204" t="e">
        <f>AND(Sheet1!L2744,"AAAAAGPm36E=")</f>
        <v>#VALUE!</v>
      </c>
      <c r="FG204" t="e">
        <f>AND(Sheet1!M2744,"AAAAAGPm36I=")</f>
        <v>#VALUE!</v>
      </c>
      <c r="FH204" t="e">
        <f>AND(Sheet1!N2744,"AAAAAGPm36M=")</f>
        <v>#VALUE!</v>
      </c>
      <c r="FI204" t="e">
        <f>AND(Sheet1!#REF!,"AAAAAGPm36Q=")</f>
        <v>#REF!</v>
      </c>
      <c r="FJ204" t="e">
        <f>AND(Sheet1!#REF!,"AAAAAGPm36U=")</f>
        <v>#REF!</v>
      </c>
      <c r="FK204" t="e">
        <f>AND(Sheet1!#REF!,"AAAAAGPm36Y=")</f>
        <v>#REF!</v>
      </c>
      <c r="FL204" t="e">
        <f>AND(Sheet1!#REF!,"AAAAAGPm36c=")</f>
        <v>#REF!</v>
      </c>
      <c r="FM204">
        <f>IF(Sheet1!2745:2745,"AAAAAGPm36g=",0)</f>
        <v>0</v>
      </c>
      <c r="FN204" t="e">
        <f>AND(Sheet1!A2745,"AAAAAGPm36k=")</f>
        <v>#VALUE!</v>
      </c>
      <c r="FO204" t="e">
        <f>AND(Sheet1!B2745,"AAAAAGPm36o=")</f>
        <v>#VALUE!</v>
      </c>
      <c r="FP204" t="e">
        <f>AND(Sheet1!C2745,"AAAAAGPm36s=")</f>
        <v>#VALUE!</v>
      </c>
      <c r="FQ204" t="e">
        <f>AND(Sheet1!D2745,"AAAAAGPm36w=")</f>
        <v>#VALUE!</v>
      </c>
      <c r="FR204" t="e">
        <f>AND(Sheet1!E2745,"AAAAAGPm360=")</f>
        <v>#VALUE!</v>
      </c>
      <c r="FS204" t="e">
        <f>AND(Sheet1!F2745,"AAAAAGPm364=")</f>
        <v>#VALUE!</v>
      </c>
      <c r="FT204" t="e">
        <f>AND(Sheet1!G2745,"AAAAAGPm368=")</f>
        <v>#VALUE!</v>
      </c>
      <c r="FU204" t="e">
        <f>AND(Sheet1!H2745,"AAAAAGPm37A=")</f>
        <v>#VALUE!</v>
      </c>
      <c r="FV204" t="e">
        <f>AND(Sheet1!I2745,"AAAAAGPm37E=")</f>
        <v>#VALUE!</v>
      </c>
      <c r="FW204" t="e">
        <f>AND(Sheet1!J2745,"AAAAAGPm37I=")</f>
        <v>#VALUE!</v>
      </c>
      <c r="FX204" t="e">
        <f>AND(Sheet1!K2745,"AAAAAGPm37M=")</f>
        <v>#VALUE!</v>
      </c>
      <c r="FY204" t="e">
        <f>AND(Sheet1!L2745,"AAAAAGPm37Q=")</f>
        <v>#VALUE!</v>
      </c>
      <c r="FZ204" t="e">
        <f>AND(Sheet1!M2745,"AAAAAGPm37U=")</f>
        <v>#VALUE!</v>
      </c>
      <c r="GA204" t="e">
        <f>AND(Sheet1!N2745,"AAAAAGPm37Y=")</f>
        <v>#VALUE!</v>
      </c>
      <c r="GB204" t="e">
        <f>AND(Sheet1!#REF!,"AAAAAGPm37c=")</f>
        <v>#REF!</v>
      </c>
      <c r="GC204" t="e">
        <f>AND(Sheet1!#REF!,"AAAAAGPm37g=")</f>
        <v>#REF!</v>
      </c>
      <c r="GD204" t="e">
        <f>AND(Sheet1!#REF!,"AAAAAGPm37k=")</f>
        <v>#REF!</v>
      </c>
      <c r="GE204" t="e">
        <f>AND(Sheet1!#REF!,"AAAAAGPm37o=")</f>
        <v>#REF!</v>
      </c>
      <c r="GF204">
        <f>IF(Sheet1!2746:2746,"AAAAAGPm37s=",0)</f>
        <v>0</v>
      </c>
      <c r="GG204" t="e">
        <f>AND(Sheet1!A2746,"AAAAAGPm37w=")</f>
        <v>#VALUE!</v>
      </c>
      <c r="GH204" t="e">
        <f>AND(Sheet1!B2746,"AAAAAGPm370=")</f>
        <v>#VALUE!</v>
      </c>
      <c r="GI204" t="e">
        <f>AND(Sheet1!C2746,"AAAAAGPm374=")</f>
        <v>#VALUE!</v>
      </c>
      <c r="GJ204" t="e">
        <f>AND(Sheet1!D2746,"AAAAAGPm378=")</f>
        <v>#VALUE!</v>
      </c>
      <c r="GK204" t="e">
        <f>AND(Sheet1!E2746,"AAAAAGPm38A=")</f>
        <v>#VALUE!</v>
      </c>
      <c r="GL204" t="e">
        <f>AND(Sheet1!F2746,"AAAAAGPm38E=")</f>
        <v>#VALUE!</v>
      </c>
      <c r="GM204" t="e">
        <f>AND(Sheet1!G2746,"AAAAAGPm38I=")</f>
        <v>#VALUE!</v>
      </c>
      <c r="GN204" t="e">
        <f>AND(Sheet1!H2746,"AAAAAGPm38M=")</f>
        <v>#VALUE!</v>
      </c>
      <c r="GO204" t="e">
        <f>AND(Sheet1!I2746,"AAAAAGPm38Q=")</f>
        <v>#VALUE!</v>
      </c>
      <c r="GP204" t="e">
        <f>AND(Sheet1!J2746,"AAAAAGPm38U=")</f>
        <v>#VALUE!</v>
      </c>
      <c r="GQ204" t="e">
        <f>AND(Sheet1!K2746,"AAAAAGPm38Y=")</f>
        <v>#VALUE!</v>
      </c>
      <c r="GR204" t="e">
        <f>AND(Sheet1!L2746,"AAAAAGPm38c=")</f>
        <v>#VALUE!</v>
      </c>
      <c r="GS204" t="e">
        <f>AND(Sheet1!M2746,"AAAAAGPm38g=")</f>
        <v>#VALUE!</v>
      </c>
      <c r="GT204" t="e">
        <f>AND(Sheet1!N2746,"AAAAAGPm38k=")</f>
        <v>#VALUE!</v>
      </c>
      <c r="GU204" t="e">
        <f>AND(Sheet1!#REF!,"AAAAAGPm38o=")</f>
        <v>#REF!</v>
      </c>
      <c r="GV204" t="e">
        <f>AND(Sheet1!#REF!,"AAAAAGPm38s=")</f>
        <v>#REF!</v>
      </c>
      <c r="GW204" t="e">
        <f>AND(Sheet1!#REF!,"AAAAAGPm38w=")</f>
        <v>#REF!</v>
      </c>
      <c r="GX204" t="e">
        <f>AND(Sheet1!#REF!,"AAAAAGPm380=")</f>
        <v>#REF!</v>
      </c>
      <c r="GY204">
        <f>IF(Sheet1!2747:2747,"AAAAAGPm384=",0)</f>
        <v>0</v>
      </c>
      <c r="GZ204" t="e">
        <f>AND(Sheet1!A2747,"AAAAAGPm388=")</f>
        <v>#VALUE!</v>
      </c>
      <c r="HA204" t="e">
        <f>AND(Sheet1!B2747,"AAAAAGPm39A=")</f>
        <v>#VALUE!</v>
      </c>
      <c r="HB204" t="e">
        <f>AND(Sheet1!C2747,"AAAAAGPm39E=")</f>
        <v>#VALUE!</v>
      </c>
      <c r="HC204" t="e">
        <f>AND(Sheet1!D2747,"AAAAAGPm39I=")</f>
        <v>#VALUE!</v>
      </c>
      <c r="HD204" t="e">
        <f>AND(Sheet1!E2747,"AAAAAGPm39M=")</f>
        <v>#VALUE!</v>
      </c>
      <c r="HE204" t="e">
        <f>AND(Sheet1!F2747,"AAAAAGPm39Q=")</f>
        <v>#VALUE!</v>
      </c>
      <c r="HF204" t="e">
        <f>AND(Sheet1!G2747,"AAAAAGPm39U=")</f>
        <v>#VALUE!</v>
      </c>
      <c r="HG204" t="e">
        <f>AND(Sheet1!H2747,"AAAAAGPm39Y=")</f>
        <v>#VALUE!</v>
      </c>
      <c r="HH204" t="e">
        <f>AND(Sheet1!I2747,"AAAAAGPm39c=")</f>
        <v>#VALUE!</v>
      </c>
      <c r="HI204" t="e">
        <f>AND(Sheet1!J2747,"AAAAAGPm39g=")</f>
        <v>#VALUE!</v>
      </c>
      <c r="HJ204" t="e">
        <f>AND(Sheet1!K2747,"AAAAAGPm39k=")</f>
        <v>#VALUE!</v>
      </c>
      <c r="HK204" t="e">
        <f>AND(Sheet1!L2747,"AAAAAGPm39o=")</f>
        <v>#VALUE!</v>
      </c>
      <c r="HL204" t="e">
        <f>AND(Sheet1!M2747,"AAAAAGPm39s=")</f>
        <v>#VALUE!</v>
      </c>
      <c r="HM204" t="e">
        <f>AND(Sheet1!N2747,"AAAAAGPm39w=")</f>
        <v>#VALUE!</v>
      </c>
      <c r="HN204" t="e">
        <f>AND(Sheet1!#REF!,"AAAAAGPm390=")</f>
        <v>#REF!</v>
      </c>
      <c r="HO204" t="e">
        <f>AND(Sheet1!#REF!,"AAAAAGPm394=")</f>
        <v>#REF!</v>
      </c>
      <c r="HP204" t="e">
        <f>AND(Sheet1!#REF!,"AAAAAGPm398=")</f>
        <v>#REF!</v>
      </c>
      <c r="HQ204" t="e">
        <f>AND(Sheet1!#REF!,"AAAAAGPm3+A=")</f>
        <v>#REF!</v>
      </c>
      <c r="HR204">
        <f>IF(Sheet1!2748:2748,"AAAAAGPm3+E=",0)</f>
        <v>0</v>
      </c>
      <c r="HS204" t="e">
        <f>AND(Sheet1!A2748,"AAAAAGPm3+I=")</f>
        <v>#VALUE!</v>
      </c>
      <c r="HT204" t="e">
        <f>AND(Sheet1!B2748,"AAAAAGPm3+M=")</f>
        <v>#VALUE!</v>
      </c>
      <c r="HU204" t="e">
        <f>AND(Sheet1!C2748,"AAAAAGPm3+Q=")</f>
        <v>#VALUE!</v>
      </c>
      <c r="HV204" t="e">
        <f>AND(Sheet1!D2748,"AAAAAGPm3+U=")</f>
        <v>#VALUE!</v>
      </c>
      <c r="HW204" t="e">
        <f>AND(Sheet1!E2748,"AAAAAGPm3+Y=")</f>
        <v>#VALUE!</v>
      </c>
      <c r="HX204" t="e">
        <f>AND(Sheet1!F2748,"AAAAAGPm3+c=")</f>
        <v>#VALUE!</v>
      </c>
      <c r="HY204" t="e">
        <f>AND(Sheet1!G2748,"AAAAAGPm3+g=")</f>
        <v>#VALUE!</v>
      </c>
      <c r="HZ204" t="e">
        <f>AND(Sheet1!H2748,"AAAAAGPm3+k=")</f>
        <v>#VALUE!</v>
      </c>
      <c r="IA204" t="e">
        <f>AND(Sheet1!I2748,"AAAAAGPm3+o=")</f>
        <v>#VALUE!</v>
      </c>
      <c r="IB204" t="e">
        <f>AND(Sheet1!J2748,"AAAAAGPm3+s=")</f>
        <v>#VALUE!</v>
      </c>
      <c r="IC204" t="e">
        <f>AND(Sheet1!K2748,"AAAAAGPm3+w=")</f>
        <v>#VALUE!</v>
      </c>
      <c r="ID204" t="e">
        <f>AND(Sheet1!L2748,"AAAAAGPm3+0=")</f>
        <v>#VALUE!</v>
      </c>
      <c r="IE204" t="e">
        <f>AND(Sheet1!M2748,"AAAAAGPm3+4=")</f>
        <v>#VALUE!</v>
      </c>
      <c r="IF204" t="e">
        <f>AND(Sheet1!N2748,"AAAAAGPm3+8=")</f>
        <v>#VALUE!</v>
      </c>
      <c r="IG204" t="e">
        <f>AND(Sheet1!#REF!,"AAAAAGPm3/A=")</f>
        <v>#REF!</v>
      </c>
      <c r="IH204" t="e">
        <f>AND(Sheet1!#REF!,"AAAAAGPm3/E=")</f>
        <v>#REF!</v>
      </c>
      <c r="II204" t="e">
        <f>AND(Sheet1!#REF!,"AAAAAGPm3/I=")</f>
        <v>#REF!</v>
      </c>
      <c r="IJ204" t="e">
        <f>AND(Sheet1!#REF!,"AAAAAGPm3/M=")</f>
        <v>#REF!</v>
      </c>
      <c r="IK204">
        <f>IF(Sheet1!2749:2749,"AAAAAGPm3/Q=",0)</f>
        <v>0</v>
      </c>
      <c r="IL204" t="e">
        <f>AND(Sheet1!A2749,"AAAAAGPm3/U=")</f>
        <v>#VALUE!</v>
      </c>
      <c r="IM204" t="e">
        <f>AND(Sheet1!B2749,"AAAAAGPm3/Y=")</f>
        <v>#VALUE!</v>
      </c>
      <c r="IN204" t="e">
        <f>AND(Sheet1!C2749,"AAAAAGPm3/c=")</f>
        <v>#VALUE!</v>
      </c>
      <c r="IO204" t="e">
        <f>AND(Sheet1!D2749,"AAAAAGPm3/g=")</f>
        <v>#VALUE!</v>
      </c>
      <c r="IP204" t="e">
        <f>AND(Sheet1!E2749,"AAAAAGPm3/k=")</f>
        <v>#VALUE!</v>
      </c>
      <c r="IQ204" t="e">
        <f>AND(Sheet1!F2749,"AAAAAGPm3/o=")</f>
        <v>#VALUE!</v>
      </c>
      <c r="IR204" t="e">
        <f>AND(Sheet1!G2749,"AAAAAGPm3/s=")</f>
        <v>#VALUE!</v>
      </c>
      <c r="IS204" t="e">
        <f>AND(Sheet1!H2749,"AAAAAGPm3/w=")</f>
        <v>#VALUE!</v>
      </c>
      <c r="IT204" t="e">
        <f>AND(Sheet1!I2749,"AAAAAGPm3/0=")</f>
        <v>#VALUE!</v>
      </c>
      <c r="IU204" t="e">
        <f>AND(Sheet1!J2749,"AAAAAGPm3/4=")</f>
        <v>#VALUE!</v>
      </c>
      <c r="IV204" t="e">
        <f>AND(Sheet1!K2749,"AAAAAGPm3/8=")</f>
        <v>#VALUE!</v>
      </c>
    </row>
    <row r="205" spans="1:256" x14ac:dyDescent="0.2">
      <c r="A205" t="e">
        <f>AND(Sheet1!L2749,"AAAAAGu++gA=")</f>
        <v>#VALUE!</v>
      </c>
      <c r="B205" t="e">
        <f>AND(Sheet1!M2749,"AAAAAGu++gE=")</f>
        <v>#VALUE!</v>
      </c>
      <c r="C205" t="e">
        <f>AND(Sheet1!N2749,"AAAAAGu++gI=")</f>
        <v>#VALUE!</v>
      </c>
      <c r="D205" t="e">
        <f>AND(Sheet1!#REF!,"AAAAAGu++gM=")</f>
        <v>#REF!</v>
      </c>
      <c r="E205" t="e">
        <f>AND(Sheet1!#REF!,"AAAAAGu++gQ=")</f>
        <v>#REF!</v>
      </c>
      <c r="F205" t="e">
        <f>AND(Sheet1!#REF!,"AAAAAGu++gU=")</f>
        <v>#REF!</v>
      </c>
      <c r="G205" t="e">
        <f>AND(Sheet1!#REF!,"AAAAAGu++gY=")</f>
        <v>#REF!</v>
      </c>
      <c r="H205" t="str">
        <f>IF(Sheet1!2750:2750,"AAAAAGu++gc=",0)</f>
        <v>AAAAAGu++gc=</v>
      </c>
      <c r="I205" t="e">
        <f>AND(Sheet1!A2750,"AAAAAGu++gg=")</f>
        <v>#VALUE!</v>
      </c>
      <c r="J205" t="e">
        <f>AND(Sheet1!B2750,"AAAAAGu++gk=")</f>
        <v>#VALUE!</v>
      </c>
      <c r="K205" t="e">
        <f>AND(Sheet1!C2750,"AAAAAGu++go=")</f>
        <v>#VALUE!</v>
      </c>
      <c r="L205" t="e">
        <f>AND(Sheet1!D2750,"AAAAAGu++gs=")</f>
        <v>#VALUE!</v>
      </c>
      <c r="M205" t="e">
        <f>AND(Sheet1!E2750,"AAAAAGu++gw=")</f>
        <v>#VALUE!</v>
      </c>
      <c r="N205" t="e">
        <f>AND(Sheet1!F2750,"AAAAAGu++g0=")</f>
        <v>#VALUE!</v>
      </c>
      <c r="O205" t="e">
        <f>AND(Sheet1!G2750,"AAAAAGu++g4=")</f>
        <v>#VALUE!</v>
      </c>
      <c r="P205" t="e">
        <f>AND(Sheet1!H2750,"AAAAAGu++g8=")</f>
        <v>#VALUE!</v>
      </c>
      <c r="Q205" t="e">
        <f>AND(Sheet1!I2750,"AAAAAGu++hA=")</f>
        <v>#VALUE!</v>
      </c>
      <c r="R205" t="e">
        <f>AND(Sheet1!J2750,"AAAAAGu++hE=")</f>
        <v>#VALUE!</v>
      </c>
      <c r="S205" t="e">
        <f>AND(Sheet1!K2750,"AAAAAGu++hI=")</f>
        <v>#VALUE!</v>
      </c>
      <c r="T205" t="e">
        <f>AND(Sheet1!L2750,"AAAAAGu++hM=")</f>
        <v>#VALUE!</v>
      </c>
      <c r="U205" t="e">
        <f>AND(Sheet1!M2750,"AAAAAGu++hQ=")</f>
        <v>#VALUE!</v>
      </c>
      <c r="V205" t="e">
        <f>AND(Sheet1!N2750,"AAAAAGu++hU=")</f>
        <v>#VALUE!</v>
      </c>
      <c r="W205" t="e">
        <f>AND(Sheet1!#REF!,"AAAAAGu++hY=")</f>
        <v>#REF!</v>
      </c>
      <c r="X205" t="e">
        <f>AND(Sheet1!#REF!,"AAAAAGu++hc=")</f>
        <v>#REF!</v>
      </c>
      <c r="Y205" t="e">
        <f>AND(Sheet1!#REF!,"AAAAAGu++hg=")</f>
        <v>#REF!</v>
      </c>
      <c r="Z205" t="e">
        <f>AND(Sheet1!#REF!,"AAAAAGu++hk=")</f>
        <v>#REF!</v>
      </c>
      <c r="AA205">
        <f>IF(Sheet1!2751:2751,"AAAAAGu++ho=",0)</f>
        <v>0</v>
      </c>
      <c r="AB205" t="e">
        <f>AND(Sheet1!A2751,"AAAAAGu++hs=")</f>
        <v>#VALUE!</v>
      </c>
      <c r="AC205" t="e">
        <f>AND(Sheet1!B2751,"AAAAAGu++hw=")</f>
        <v>#VALUE!</v>
      </c>
      <c r="AD205" t="e">
        <f>AND(Sheet1!C2751,"AAAAAGu++h0=")</f>
        <v>#VALUE!</v>
      </c>
      <c r="AE205" t="e">
        <f>AND(Sheet1!D2751,"AAAAAGu++h4=")</f>
        <v>#VALUE!</v>
      </c>
      <c r="AF205" t="e">
        <f>AND(Sheet1!E2751,"AAAAAGu++h8=")</f>
        <v>#VALUE!</v>
      </c>
      <c r="AG205" t="e">
        <f>AND(Sheet1!F2751,"AAAAAGu++iA=")</f>
        <v>#VALUE!</v>
      </c>
      <c r="AH205" t="e">
        <f>AND(Sheet1!G2751,"AAAAAGu++iE=")</f>
        <v>#VALUE!</v>
      </c>
      <c r="AI205" t="e">
        <f>AND(Sheet1!H2751,"AAAAAGu++iI=")</f>
        <v>#VALUE!</v>
      </c>
      <c r="AJ205" t="e">
        <f>AND(Sheet1!I2751,"AAAAAGu++iM=")</f>
        <v>#VALUE!</v>
      </c>
      <c r="AK205" t="e">
        <f>AND(Sheet1!J2751,"AAAAAGu++iQ=")</f>
        <v>#VALUE!</v>
      </c>
      <c r="AL205" t="e">
        <f>AND(Sheet1!K2751,"AAAAAGu++iU=")</f>
        <v>#VALUE!</v>
      </c>
      <c r="AM205" t="e">
        <f>AND(Sheet1!L2751,"AAAAAGu++iY=")</f>
        <v>#VALUE!</v>
      </c>
      <c r="AN205" t="e">
        <f>AND(Sheet1!M2751,"AAAAAGu++ic=")</f>
        <v>#VALUE!</v>
      </c>
      <c r="AO205" t="e">
        <f>AND(Sheet1!N2751,"AAAAAGu++ig=")</f>
        <v>#VALUE!</v>
      </c>
      <c r="AP205" t="e">
        <f>AND(Sheet1!#REF!,"AAAAAGu++ik=")</f>
        <v>#REF!</v>
      </c>
      <c r="AQ205" t="e">
        <f>AND(Sheet1!#REF!,"AAAAAGu++io=")</f>
        <v>#REF!</v>
      </c>
      <c r="AR205" t="e">
        <f>AND(Sheet1!#REF!,"AAAAAGu++is=")</f>
        <v>#REF!</v>
      </c>
      <c r="AS205" t="e">
        <f>AND(Sheet1!#REF!,"AAAAAGu++iw=")</f>
        <v>#REF!</v>
      </c>
      <c r="AT205">
        <f>IF(Sheet1!2752:2752,"AAAAAGu++i0=",0)</f>
        <v>0</v>
      </c>
      <c r="AU205" t="e">
        <f>AND(Sheet1!A2752,"AAAAAGu++i4=")</f>
        <v>#VALUE!</v>
      </c>
      <c r="AV205" t="e">
        <f>AND(Sheet1!B2752,"AAAAAGu++i8=")</f>
        <v>#VALUE!</v>
      </c>
      <c r="AW205" t="e">
        <f>AND(Sheet1!C2752,"AAAAAGu++jA=")</f>
        <v>#VALUE!</v>
      </c>
      <c r="AX205" t="e">
        <f>AND(Sheet1!D2752,"AAAAAGu++jE=")</f>
        <v>#VALUE!</v>
      </c>
      <c r="AY205" t="e">
        <f>AND(Sheet1!E2752,"AAAAAGu++jI=")</f>
        <v>#VALUE!</v>
      </c>
      <c r="AZ205" t="e">
        <f>AND(Sheet1!F2752,"AAAAAGu++jM=")</f>
        <v>#VALUE!</v>
      </c>
      <c r="BA205" t="e">
        <f>AND(Sheet1!G2752,"AAAAAGu++jQ=")</f>
        <v>#VALUE!</v>
      </c>
      <c r="BB205" t="e">
        <f>AND(Sheet1!H2752,"AAAAAGu++jU=")</f>
        <v>#VALUE!</v>
      </c>
      <c r="BC205" t="e">
        <f>AND(Sheet1!I2752,"AAAAAGu++jY=")</f>
        <v>#VALUE!</v>
      </c>
      <c r="BD205" t="e">
        <f>AND(Sheet1!J2752,"AAAAAGu++jc=")</f>
        <v>#VALUE!</v>
      </c>
      <c r="BE205" t="e">
        <f>AND(Sheet1!K2752,"AAAAAGu++jg=")</f>
        <v>#VALUE!</v>
      </c>
      <c r="BF205" t="e">
        <f>AND(Sheet1!L2752,"AAAAAGu++jk=")</f>
        <v>#VALUE!</v>
      </c>
      <c r="BG205" t="e">
        <f>AND(Sheet1!M2752,"AAAAAGu++jo=")</f>
        <v>#VALUE!</v>
      </c>
      <c r="BH205" t="e">
        <f>AND(Sheet1!N2752,"AAAAAGu++js=")</f>
        <v>#VALUE!</v>
      </c>
      <c r="BI205" t="e">
        <f>AND(Sheet1!#REF!,"AAAAAGu++jw=")</f>
        <v>#REF!</v>
      </c>
      <c r="BJ205" t="e">
        <f>AND(Sheet1!#REF!,"AAAAAGu++j0=")</f>
        <v>#REF!</v>
      </c>
      <c r="BK205" t="e">
        <f>AND(Sheet1!#REF!,"AAAAAGu++j4=")</f>
        <v>#REF!</v>
      </c>
      <c r="BL205" t="e">
        <f>AND(Sheet1!#REF!,"AAAAAGu++j8=")</f>
        <v>#REF!</v>
      </c>
      <c r="BM205">
        <f>IF(Sheet1!2753:2753,"AAAAAGu++kA=",0)</f>
        <v>0</v>
      </c>
      <c r="BN205" t="e">
        <f>AND(Sheet1!A2753,"AAAAAGu++kE=")</f>
        <v>#VALUE!</v>
      </c>
      <c r="BO205" t="e">
        <f>AND(Sheet1!B2753,"AAAAAGu++kI=")</f>
        <v>#VALUE!</v>
      </c>
      <c r="BP205" t="e">
        <f>AND(Sheet1!C2753,"AAAAAGu++kM=")</f>
        <v>#VALUE!</v>
      </c>
      <c r="BQ205" t="e">
        <f>AND(Sheet1!D2753,"AAAAAGu++kQ=")</f>
        <v>#VALUE!</v>
      </c>
      <c r="BR205" t="e">
        <f>AND(Sheet1!E2753,"AAAAAGu++kU=")</f>
        <v>#VALUE!</v>
      </c>
      <c r="BS205" t="e">
        <f>AND(Sheet1!F2753,"AAAAAGu++kY=")</f>
        <v>#VALUE!</v>
      </c>
      <c r="BT205" t="e">
        <f>AND(Sheet1!G2753,"AAAAAGu++kc=")</f>
        <v>#VALUE!</v>
      </c>
      <c r="BU205" t="e">
        <f>AND(Sheet1!H2753,"AAAAAGu++kg=")</f>
        <v>#VALUE!</v>
      </c>
      <c r="BV205" t="e">
        <f>AND(Sheet1!I2753,"AAAAAGu++kk=")</f>
        <v>#VALUE!</v>
      </c>
      <c r="BW205" t="e">
        <f>AND(Sheet1!J2753,"AAAAAGu++ko=")</f>
        <v>#VALUE!</v>
      </c>
      <c r="BX205" t="e">
        <f>AND(Sheet1!K2753,"AAAAAGu++ks=")</f>
        <v>#VALUE!</v>
      </c>
      <c r="BY205" t="e">
        <f>AND(Sheet1!L2753,"AAAAAGu++kw=")</f>
        <v>#VALUE!</v>
      </c>
      <c r="BZ205" t="e">
        <f>AND(Sheet1!M2753,"AAAAAGu++k0=")</f>
        <v>#VALUE!</v>
      </c>
      <c r="CA205" t="e">
        <f>AND(Sheet1!N2753,"AAAAAGu++k4=")</f>
        <v>#VALUE!</v>
      </c>
      <c r="CB205" t="e">
        <f>AND(Sheet1!#REF!,"AAAAAGu++k8=")</f>
        <v>#REF!</v>
      </c>
      <c r="CC205" t="e">
        <f>AND(Sheet1!#REF!,"AAAAAGu++lA=")</f>
        <v>#REF!</v>
      </c>
      <c r="CD205" t="e">
        <f>AND(Sheet1!#REF!,"AAAAAGu++lE=")</f>
        <v>#REF!</v>
      </c>
      <c r="CE205" t="e">
        <f>AND(Sheet1!#REF!,"AAAAAGu++lI=")</f>
        <v>#REF!</v>
      </c>
      <c r="CF205">
        <f>IF(Sheet1!2754:2754,"AAAAAGu++lM=",0)</f>
        <v>0</v>
      </c>
      <c r="CG205" t="e">
        <f>AND(Sheet1!A2754,"AAAAAGu++lQ=")</f>
        <v>#VALUE!</v>
      </c>
      <c r="CH205" t="e">
        <f>AND(Sheet1!B2754,"AAAAAGu++lU=")</f>
        <v>#VALUE!</v>
      </c>
      <c r="CI205" t="e">
        <f>AND(Sheet1!C2754,"AAAAAGu++lY=")</f>
        <v>#VALUE!</v>
      </c>
      <c r="CJ205" t="e">
        <f>AND(Sheet1!D2754,"AAAAAGu++lc=")</f>
        <v>#VALUE!</v>
      </c>
      <c r="CK205" t="e">
        <f>AND(Sheet1!E2754,"AAAAAGu++lg=")</f>
        <v>#VALUE!</v>
      </c>
      <c r="CL205" t="e">
        <f>AND(Sheet1!F2754,"AAAAAGu++lk=")</f>
        <v>#VALUE!</v>
      </c>
      <c r="CM205" t="e">
        <f>AND(Sheet1!G2754,"AAAAAGu++lo=")</f>
        <v>#VALUE!</v>
      </c>
      <c r="CN205" t="e">
        <f>AND(Sheet1!H2754,"AAAAAGu++ls=")</f>
        <v>#VALUE!</v>
      </c>
      <c r="CO205" t="e">
        <f>AND(Sheet1!I2754,"AAAAAGu++lw=")</f>
        <v>#VALUE!</v>
      </c>
      <c r="CP205" t="e">
        <f>AND(Sheet1!J2754,"AAAAAGu++l0=")</f>
        <v>#VALUE!</v>
      </c>
      <c r="CQ205" t="e">
        <f>AND(Sheet1!K2754,"AAAAAGu++l4=")</f>
        <v>#VALUE!</v>
      </c>
      <c r="CR205" t="e">
        <f>AND(Sheet1!L2754,"AAAAAGu++l8=")</f>
        <v>#VALUE!</v>
      </c>
      <c r="CS205" t="e">
        <f>AND(Sheet1!M2754,"AAAAAGu++mA=")</f>
        <v>#VALUE!</v>
      </c>
      <c r="CT205" t="e">
        <f>AND(Sheet1!N2754,"AAAAAGu++mE=")</f>
        <v>#VALUE!</v>
      </c>
      <c r="CU205" t="e">
        <f>AND(Sheet1!#REF!,"AAAAAGu++mI=")</f>
        <v>#REF!</v>
      </c>
      <c r="CV205" t="e">
        <f>AND(Sheet1!#REF!,"AAAAAGu++mM=")</f>
        <v>#REF!</v>
      </c>
      <c r="CW205" t="e">
        <f>AND(Sheet1!#REF!,"AAAAAGu++mQ=")</f>
        <v>#REF!</v>
      </c>
      <c r="CX205" t="e">
        <f>AND(Sheet1!#REF!,"AAAAAGu++mU=")</f>
        <v>#REF!</v>
      </c>
      <c r="CY205">
        <f>IF(Sheet1!2755:2755,"AAAAAGu++mY=",0)</f>
        <v>0</v>
      </c>
      <c r="CZ205" t="e">
        <f>AND(Sheet1!A2755,"AAAAAGu++mc=")</f>
        <v>#VALUE!</v>
      </c>
      <c r="DA205" t="e">
        <f>AND(Sheet1!B2755,"AAAAAGu++mg=")</f>
        <v>#VALUE!</v>
      </c>
      <c r="DB205" t="e">
        <f>AND(Sheet1!C2755,"AAAAAGu++mk=")</f>
        <v>#VALUE!</v>
      </c>
      <c r="DC205" t="e">
        <f>AND(Sheet1!D2755,"AAAAAGu++mo=")</f>
        <v>#VALUE!</v>
      </c>
      <c r="DD205" t="e">
        <f>AND(Sheet1!E2755,"AAAAAGu++ms=")</f>
        <v>#VALUE!</v>
      </c>
      <c r="DE205" t="e">
        <f>AND(Sheet1!F2755,"AAAAAGu++mw=")</f>
        <v>#VALUE!</v>
      </c>
      <c r="DF205" t="e">
        <f>AND(Sheet1!G2755,"AAAAAGu++m0=")</f>
        <v>#VALUE!</v>
      </c>
      <c r="DG205" t="e">
        <f>AND(Sheet1!H2755,"AAAAAGu++m4=")</f>
        <v>#VALUE!</v>
      </c>
      <c r="DH205" t="e">
        <f>AND(Sheet1!I2755,"AAAAAGu++m8=")</f>
        <v>#VALUE!</v>
      </c>
      <c r="DI205" t="e">
        <f>AND(Sheet1!J2755,"AAAAAGu++nA=")</f>
        <v>#VALUE!</v>
      </c>
      <c r="DJ205" t="e">
        <f>AND(Sheet1!K2755,"AAAAAGu++nE=")</f>
        <v>#VALUE!</v>
      </c>
      <c r="DK205" t="e">
        <f>AND(Sheet1!L2755,"AAAAAGu++nI=")</f>
        <v>#VALUE!</v>
      </c>
      <c r="DL205" t="e">
        <f>AND(Sheet1!M2755,"AAAAAGu++nM=")</f>
        <v>#VALUE!</v>
      </c>
      <c r="DM205" t="e">
        <f>AND(Sheet1!N2755,"AAAAAGu++nQ=")</f>
        <v>#VALUE!</v>
      </c>
      <c r="DN205" t="e">
        <f>AND(Sheet1!#REF!,"AAAAAGu++nU=")</f>
        <v>#REF!</v>
      </c>
      <c r="DO205" t="e">
        <f>AND(Sheet1!#REF!,"AAAAAGu++nY=")</f>
        <v>#REF!</v>
      </c>
      <c r="DP205" t="e">
        <f>AND(Sheet1!#REF!,"AAAAAGu++nc=")</f>
        <v>#REF!</v>
      </c>
      <c r="DQ205" t="e">
        <f>AND(Sheet1!#REF!,"AAAAAGu++ng=")</f>
        <v>#REF!</v>
      </c>
      <c r="DR205">
        <f>IF(Sheet1!2756:2756,"AAAAAGu++nk=",0)</f>
        <v>0</v>
      </c>
      <c r="DS205" t="e">
        <f>AND(Sheet1!A2756,"AAAAAGu++no=")</f>
        <v>#VALUE!</v>
      </c>
      <c r="DT205" t="e">
        <f>AND(Sheet1!B2756,"AAAAAGu++ns=")</f>
        <v>#VALUE!</v>
      </c>
      <c r="DU205" t="e">
        <f>AND(Sheet1!C2756,"AAAAAGu++nw=")</f>
        <v>#VALUE!</v>
      </c>
      <c r="DV205" t="e">
        <f>AND(Sheet1!D2756,"AAAAAGu++n0=")</f>
        <v>#VALUE!</v>
      </c>
      <c r="DW205" t="e">
        <f>AND(Sheet1!E2756,"AAAAAGu++n4=")</f>
        <v>#VALUE!</v>
      </c>
      <c r="DX205" t="e">
        <f>AND(Sheet1!F2756,"AAAAAGu++n8=")</f>
        <v>#VALUE!</v>
      </c>
      <c r="DY205" t="e">
        <f>AND(Sheet1!G2756,"AAAAAGu++oA=")</f>
        <v>#VALUE!</v>
      </c>
      <c r="DZ205" t="e">
        <f>AND(Sheet1!H2756,"AAAAAGu++oE=")</f>
        <v>#VALUE!</v>
      </c>
      <c r="EA205" t="e">
        <f>AND(Sheet1!I2756,"AAAAAGu++oI=")</f>
        <v>#VALUE!</v>
      </c>
      <c r="EB205" t="e">
        <f>AND(Sheet1!J2756,"AAAAAGu++oM=")</f>
        <v>#VALUE!</v>
      </c>
      <c r="EC205" t="e">
        <f>AND(Sheet1!K2756,"AAAAAGu++oQ=")</f>
        <v>#VALUE!</v>
      </c>
      <c r="ED205" t="e">
        <f>AND(Sheet1!L2756,"AAAAAGu++oU=")</f>
        <v>#VALUE!</v>
      </c>
      <c r="EE205" t="e">
        <f>AND(Sheet1!M2756,"AAAAAGu++oY=")</f>
        <v>#VALUE!</v>
      </c>
      <c r="EF205" t="e">
        <f>AND(Sheet1!N2756,"AAAAAGu++oc=")</f>
        <v>#VALUE!</v>
      </c>
      <c r="EG205" t="e">
        <f>AND(Sheet1!#REF!,"AAAAAGu++og=")</f>
        <v>#REF!</v>
      </c>
      <c r="EH205" t="e">
        <f>AND(Sheet1!#REF!,"AAAAAGu++ok=")</f>
        <v>#REF!</v>
      </c>
      <c r="EI205" t="e">
        <f>AND(Sheet1!#REF!,"AAAAAGu++oo=")</f>
        <v>#REF!</v>
      </c>
      <c r="EJ205" t="e">
        <f>AND(Sheet1!#REF!,"AAAAAGu++os=")</f>
        <v>#REF!</v>
      </c>
      <c r="EK205">
        <f>IF(Sheet1!2757:2757,"AAAAAGu++ow=",0)</f>
        <v>0</v>
      </c>
      <c r="EL205" t="e">
        <f>AND(Sheet1!A2757,"AAAAAGu++o0=")</f>
        <v>#VALUE!</v>
      </c>
      <c r="EM205" t="e">
        <f>AND(Sheet1!B2757,"AAAAAGu++o4=")</f>
        <v>#VALUE!</v>
      </c>
      <c r="EN205" t="e">
        <f>AND(Sheet1!C2757,"AAAAAGu++o8=")</f>
        <v>#VALUE!</v>
      </c>
      <c r="EO205" t="e">
        <f>AND(Sheet1!D2757,"AAAAAGu++pA=")</f>
        <v>#VALUE!</v>
      </c>
      <c r="EP205" t="e">
        <f>AND(Sheet1!E2757,"AAAAAGu++pE=")</f>
        <v>#VALUE!</v>
      </c>
      <c r="EQ205" t="e">
        <f>AND(Sheet1!F2757,"AAAAAGu++pI=")</f>
        <v>#VALUE!</v>
      </c>
      <c r="ER205" t="e">
        <f>AND(Sheet1!G2757,"AAAAAGu++pM=")</f>
        <v>#VALUE!</v>
      </c>
      <c r="ES205" t="e">
        <f>AND(Sheet1!H2757,"AAAAAGu++pQ=")</f>
        <v>#VALUE!</v>
      </c>
      <c r="ET205" t="e">
        <f>AND(Sheet1!I2757,"AAAAAGu++pU=")</f>
        <v>#VALUE!</v>
      </c>
      <c r="EU205" t="e">
        <f>AND(Sheet1!J2757,"AAAAAGu++pY=")</f>
        <v>#VALUE!</v>
      </c>
      <c r="EV205" t="e">
        <f>AND(Sheet1!K2757,"AAAAAGu++pc=")</f>
        <v>#VALUE!</v>
      </c>
      <c r="EW205" t="e">
        <f>AND(Sheet1!L2757,"AAAAAGu++pg=")</f>
        <v>#VALUE!</v>
      </c>
      <c r="EX205" t="e">
        <f>AND(Sheet1!M2757,"AAAAAGu++pk=")</f>
        <v>#VALUE!</v>
      </c>
      <c r="EY205" t="e">
        <f>AND(Sheet1!N2757,"AAAAAGu++po=")</f>
        <v>#VALUE!</v>
      </c>
      <c r="EZ205" t="e">
        <f>AND(Sheet1!#REF!,"AAAAAGu++ps=")</f>
        <v>#REF!</v>
      </c>
      <c r="FA205" t="e">
        <f>AND(Sheet1!#REF!,"AAAAAGu++pw=")</f>
        <v>#REF!</v>
      </c>
      <c r="FB205" t="e">
        <f>AND(Sheet1!#REF!,"AAAAAGu++p0=")</f>
        <v>#REF!</v>
      </c>
      <c r="FC205" t="e">
        <f>AND(Sheet1!#REF!,"AAAAAGu++p4=")</f>
        <v>#REF!</v>
      </c>
      <c r="FD205">
        <f>IF(Sheet1!2758:2758,"AAAAAGu++p8=",0)</f>
        <v>0</v>
      </c>
      <c r="FE205" t="e">
        <f>AND(Sheet1!A2758,"AAAAAGu++qA=")</f>
        <v>#VALUE!</v>
      </c>
      <c r="FF205" t="e">
        <f>AND(Sheet1!B2758,"AAAAAGu++qE=")</f>
        <v>#VALUE!</v>
      </c>
      <c r="FG205" t="e">
        <f>AND(Sheet1!C2758,"AAAAAGu++qI=")</f>
        <v>#VALUE!</v>
      </c>
      <c r="FH205" t="e">
        <f>AND(Sheet1!D2758,"AAAAAGu++qM=")</f>
        <v>#VALUE!</v>
      </c>
      <c r="FI205" t="e">
        <f>AND(Sheet1!E2758,"AAAAAGu++qQ=")</f>
        <v>#VALUE!</v>
      </c>
      <c r="FJ205" t="e">
        <f>AND(Sheet1!F2758,"AAAAAGu++qU=")</f>
        <v>#VALUE!</v>
      </c>
      <c r="FK205" t="e">
        <f>AND(Sheet1!G2758,"AAAAAGu++qY=")</f>
        <v>#VALUE!</v>
      </c>
      <c r="FL205" t="e">
        <f>AND(Sheet1!H2758,"AAAAAGu++qc=")</f>
        <v>#VALUE!</v>
      </c>
      <c r="FM205" t="e">
        <f>AND(Sheet1!I2758,"AAAAAGu++qg=")</f>
        <v>#VALUE!</v>
      </c>
      <c r="FN205" t="e">
        <f>AND(Sheet1!J2758,"AAAAAGu++qk=")</f>
        <v>#VALUE!</v>
      </c>
      <c r="FO205" t="e">
        <f>AND(Sheet1!K2758,"AAAAAGu++qo=")</f>
        <v>#VALUE!</v>
      </c>
      <c r="FP205" t="e">
        <f>AND(Sheet1!L2758,"AAAAAGu++qs=")</f>
        <v>#VALUE!</v>
      </c>
      <c r="FQ205" t="e">
        <f>AND(Sheet1!M2758,"AAAAAGu++qw=")</f>
        <v>#VALUE!</v>
      </c>
      <c r="FR205" t="e">
        <f>AND(Sheet1!N2758,"AAAAAGu++q0=")</f>
        <v>#VALUE!</v>
      </c>
      <c r="FS205" t="e">
        <f>AND(Sheet1!#REF!,"AAAAAGu++q4=")</f>
        <v>#REF!</v>
      </c>
      <c r="FT205" t="e">
        <f>AND(Sheet1!#REF!,"AAAAAGu++q8=")</f>
        <v>#REF!</v>
      </c>
      <c r="FU205" t="e">
        <f>AND(Sheet1!#REF!,"AAAAAGu++rA=")</f>
        <v>#REF!</v>
      </c>
      <c r="FV205" t="e">
        <f>AND(Sheet1!#REF!,"AAAAAGu++rE=")</f>
        <v>#REF!</v>
      </c>
      <c r="FW205">
        <f>IF(Sheet1!2759:2759,"AAAAAGu++rI=",0)</f>
        <v>0</v>
      </c>
      <c r="FX205" t="e">
        <f>AND(Sheet1!A2759,"AAAAAGu++rM=")</f>
        <v>#VALUE!</v>
      </c>
      <c r="FY205" t="e">
        <f>AND(Sheet1!B2759,"AAAAAGu++rQ=")</f>
        <v>#VALUE!</v>
      </c>
      <c r="FZ205" t="e">
        <f>AND(Sheet1!C2759,"AAAAAGu++rU=")</f>
        <v>#VALUE!</v>
      </c>
      <c r="GA205" t="e">
        <f>AND(Sheet1!D2759,"AAAAAGu++rY=")</f>
        <v>#VALUE!</v>
      </c>
      <c r="GB205" t="e">
        <f>AND(Sheet1!E2759,"AAAAAGu++rc=")</f>
        <v>#VALUE!</v>
      </c>
      <c r="GC205" t="e">
        <f>AND(Sheet1!F2759,"AAAAAGu++rg=")</f>
        <v>#VALUE!</v>
      </c>
      <c r="GD205" t="e">
        <f>AND(Sheet1!G2759,"AAAAAGu++rk=")</f>
        <v>#VALUE!</v>
      </c>
      <c r="GE205" t="e">
        <f>AND(Sheet1!H2759,"AAAAAGu++ro=")</f>
        <v>#VALUE!</v>
      </c>
      <c r="GF205" t="e">
        <f>AND(Sheet1!I2759,"AAAAAGu++rs=")</f>
        <v>#VALUE!</v>
      </c>
      <c r="GG205" t="e">
        <f>AND(Sheet1!J2759,"AAAAAGu++rw=")</f>
        <v>#VALUE!</v>
      </c>
      <c r="GH205" t="e">
        <f>AND(Sheet1!K2759,"AAAAAGu++r0=")</f>
        <v>#VALUE!</v>
      </c>
      <c r="GI205" t="e">
        <f>AND(Sheet1!L2759,"AAAAAGu++r4=")</f>
        <v>#VALUE!</v>
      </c>
      <c r="GJ205" t="e">
        <f>AND(Sheet1!M2759,"AAAAAGu++r8=")</f>
        <v>#VALUE!</v>
      </c>
      <c r="GK205" t="e">
        <f>AND(Sheet1!N2759,"AAAAAGu++sA=")</f>
        <v>#VALUE!</v>
      </c>
      <c r="GL205" t="e">
        <f>AND(Sheet1!#REF!,"AAAAAGu++sE=")</f>
        <v>#REF!</v>
      </c>
      <c r="GM205" t="e">
        <f>AND(Sheet1!#REF!,"AAAAAGu++sI=")</f>
        <v>#REF!</v>
      </c>
      <c r="GN205" t="e">
        <f>AND(Sheet1!#REF!,"AAAAAGu++sM=")</f>
        <v>#REF!</v>
      </c>
      <c r="GO205" t="e">
        <f>AND(Sheet1!#REF!,"AAAAAGu++sQ=")</f>
        <v>#REF!</v>
      </c>
      <c r="GP205">
        <f>IF(Sheet1!2760:2760,"AAAAAGu++sU=",0)</f>
        <v>0</v>
      </c>
      <c r="GQ205" t="e">
        <f>AND(Sheet1!A2760,"AAAAAGu++sY=")</f>
        <v>#VALUE!</v>
      </c>
      <c r="GR205" t="e">
        <f>AND(Sheet1!B2760,"AAAAAGu++sc=")</f>
        <v>#VALUE!</v>
      </c>
      <c r="GS205" t="e">
        <f>AND(Sheet1!C2760,"AAAAAGu++sg=")</f>
        <v>#VALUE!</v>
      </c>
      <c r="GT205" t="e">
        <f>AND(Sheet1!D2760,"AAAAAGu++sk=")</f>
        <v>#VALUE!</v>
      </c>
      <c r="GU205" t="e">
        <f>AND(Sheet1!E2760,"AAAAAGu++so=")</f>
        <v>#VALUE!</v>
      </c>
      <c r="GV205" t="e">
        <f>AND(Sheet1!F2760,"AAAAAGu++ss=")</f>
        <v>#VALUE!</v>
      </c>
      <c r="GW205" t="e">
        <f>AND(Sheet1!G2760,"AAAAAGu++sw=")</f>
        <v>#VALUE!</v>
      </c>
      <c r="GX205" t="e">
        <f>AND(Sheet1!H2760,"AAAAAGu++s0=")</f>
        <v>#VALUE!</v>
      </c>
      <c r="GY205" t="e">
        <f>AND(Sheet1!I2760,"AAAAAGu++s4=")</f>
        <v>#VALUE!</v>
      </c>
      <c r="GZ205" t="e">
        <f>AND(Sheet1!J2760,"AAAAAGu++s8=")</f>
        <v>#VALUE!</v>
      </c>
      <c r="HA205" t="e">
        <f>AND(Sheet1!K2760,"AAAAAGu++tA=")</f>
        <v>#VALUE!</v>
      </c>
      <c r="HB205" t="e">
        <f>AND(Sheet1!L2760,"AAAAAGu++tE=")</f>
        <v>#VALUE!</v>
      </c>
      <c r="HC205" t="e">
        <f>AND(Sheet1!M2760,"AAAAAGu++tI=")</f>
        <v>#VALUE!</v>
      </c>
      <c r="HD205" t="e">
        <f>AND(Sheet1!N2760,"AAAAAGu++tM=")</f>
        <v>#VALUE!</v>
      </c>
      <c r="HE205" t="e">
        <f>AND(Sheet1!#REF!,"AAAAAGu++tQ=")</f>
        <v>#REF!</v>
      </c>
      <c r="HF205" t="e">
        <f>AND(Sheet1!#REF!,"AAAAAGu++tU=")</f>
        <v>#REF!</v>
      </c>
      <c r="HG205" t="e">
        <f>AND(Sheet1!#REF!,"AAAAAGu++tY=")</f>
        <v>#REF!</v>
      </c>
      <c r="HH205" t="e">
        <f>AND(Sheet1!#REF!,"AAAAAGu++tc=")</f>
        <v>#REF!</v>
      </c>
      <c r="HI205">
        <f>IF(Sheet1!2761:2761,"AAAAAGu++tg=",0)</f>
        <v>0</v>
      </c>
      <c r="HJ205" t="e">
        <f>AND(Sheet1!A2761,"AAAAAGu++tk=")</f>
        <v>#VALUE!</v>
      </c>
      <c r="HK205" t="e">
        <f>AND(Sheet1!B2761,"AAAAAGu++to=")</f>
        <v>#VALUE!</v>
      </c>
      <c r="HL205" t="e">
        <f>AND(Sheet1!C2761,"AAAAAGu++ts=")</f>
        <v>#VALUE!</v>
      </c>
      <c r="HM205" t="e">
        <f>AND(Sheet1!D2761,"AAAAAGu++tw=")</f>
        <v>#VALUE!</v>
      </c>
      <c r="HN205" t="e">
        <f>AND(Sheet1!E2761,"AAAAAGu++t0=")</f>
        <v>#VALUE!</v>
      </c>
      <c r="HO205" t="e">
        <f>AND(Sheet1!F2761,"AAAAAGu++t4=")</f>
        <v>#VALUE!</v>
      </c>
      <c r="HP205" t="e">
        <f>AND(Sheet1!G2761,"AAAAAGu++t8=")</f>
        <v>#VALUE!</v>
      </c>
      <c r="HQ205" t="e">
        <f>AND(Sheet1!H2761,"AAAAAGu++uA=")</f>
        <v>#VALUE!</v>
      </c>
      <c r="HR205" t="e">
        <f>AND(Sheet1!I2761,"AAAAAGu++uE=")</f>
        <v>#VALUE!</v>
      </c>
      <c r="HS205" t="e">
        <f>AND(Sheet1!J2761,"AAAAAGu++uI=")</f>
        <v>#VALUE!</v>
      </c>
      <c r="HT205" t="e">
        <f>AND(Sheet1!K2761,"AAAAAGu++uM=")</f>
        <v>#VALUE!</v>
      </c>
      <c r="HU205" t="e">
        <f>AND(Sheet1!L2761,"AAAAAGu++uQ=")</f>
        <v>#VALUE!</v>
      </c>
      <c r="HV205" t="e">
        <f>AND(Sheet1!M2761,"AAAAAGu++uU=")</f>
        <v>#VALUE!</v>
      </c>
      <c r="HW205" t="e">
        <f>AND(Sheet1!N2761,"AAAAAGu++uY=")</f>
        <v>#VALUE!</v>
      </c>
      <c r="HX205" t="e">
        <f>AND(Sheet1!#REF!,"AAAAAGu++uc=")</f>
        <v>#REF!</v>
      </c>
      <c r="HY205" t="e">
        <f>AND(Sheet1!#REF!,"AAAAAGu++ug=")</f>
        <v>#REF!</v>
      </c>
      <c r="HZ205" t="e">
        <f>AND(Sheet1!#REF!,"AAAAAGu++uk=")</f>
        <v>#REF!</v>
      </c>
      <c r="IA205" t="e">
        <f>AND(Sheet1!#REF!,"AAAAAGu++uo=")</f>
        <v>#REF!</v>
      </c>
      <c r="IB205">
        <f>IF(Sheet1!2762:2762,"AAAAAGu++us=",0)</f>
        <v>0</v>
      </c>
      <c r="IC205" t="e">
        <f>AND(Sheet1!A2762,"AAAAAGu++uw=")</f>
        <v>#VALUE!</v>
      </c>
      <c r="ID205" t="e">
        <f>AND(Sheet1!B2762,"AAAAAGu++u0=")</f>
        <v>#VALUE!</v>
      </c>
      <c r="IE205" t="e">
        <f>AND(Sheet1!C2762,"AAAAAGu++u4=")</f>
        <v>#VALUE!</v>
      </c>
      <c r="IF205" t="e">
        <f>AND(Sheet1!D2762,"AAAAAGu++u8=")</f>
        <v>#VALUE!</v>
      </c>
      <c r="IG205" t="e">
        <f>AND(Sheet1!E2762,"AAAAAGu++vA=")</f>
        <v>#VALUE!</v>
      </c>
      <c r="IH205" t="e">
        <f>AND(Sheet1!F2762,"AAAAAGu++vE=")</f>
        <v>#VALUE!</v>
      </c>
      <c r="II205" t="e">
        <f>AND(Sheet1!G2762,"AAAAAGu++vI=")</f>
        <v>#VALUE!</v>
      </c>
      <c r="IJ205" t="e">
        <f>AND(Sheet1!H2762,"AAAAAGu++vM=")</f>
        <v>#VALUE!</v>
      </c>
      <c r="IK205" t="e">
        <f>AND(Sheet1!I2762,"AAAAAGu++vQ=")</f>
        <v>#VALUE!</v>
      </c>
      <c r="IL205" t="e">
        <f>AND(Sheet1!J2762,"AAAAAGu++vU=")</f>
        <v>#VALUE!</v>
      </c>
      <c r="IM205" t="e">
        <f>AND(Sheet1!K2762,"AAAAAGu++vY=")</f>
        <v>#VALUE!</v>
      </c>
      <c r="IN205" t="e">
        <f>AND(Sheet1!L2762,"AAAAAGu++vc=")</f>
        <v>#VALUE!</v>
      </c>
      <c r="IO205" t="e">
        <f>AND(Sheet1!M2762,"AAAAAGu++vg=")</f>
        <v>#VALUE!</v>
      </c>
      <c r="IP205" t="e">
        <f>AND(Sheet1!N2762,"AAAAAGu++vk=")</f>
        <v>#VALUE!</v>
      </c>
      <c r="IQ205" t="e">
        <f>AND(Sheet1!#REF!,"AAAAAGu++vo=")</f>
        <v>#REF!</v>
      </c>
      <c r="IR205" t="e">
        <f>AND(Sheet1!#REF!,"AAAAAGu++vs=")</f>
        <v>#REF!</v>
      </c>
      <c r="IS205" t="e">
        <f>AND(Sheet1!#REF!,"AAAAAGu++vw=")</f>
        <v>#REF!</v>
      </c>
      <c r="IT205" t="e">
        <f>AND(Sheet1!#REF!,"AAAAAGu++v0=")</f>
        <v>#REF!</v>
      </c>
      <c r="IU205">
        <f>IF(Sheet1!2763:2763,"AAAAAGu++v4=",0)</f>
        <v>0</v>
      </c>
      <c r="IV205" t="e">
        <f>AND(Sheet1!A2763,"AAAAAGu++v8=")</f>
        <v>#VALUE!</v>
      </c>
    </row>
    <row r="206" spans="1:256" x14ac:dyDescent="0.2">
      <c r="A206" t="e">
        <f>AND(Sheet1!B2763,"AAAAAG+6/wA=")</f>
        <v>#VALUE!</v>
      </c>
      <c r="B206" t="e">
        <f>AND(Sheet1!C2763,"AAAAAG+6/wE=")</f>
        <v>#VALUE!</v>
      </c>
      <c r="C206" t="e">
        <f>AND(Sheet1!D2763,"AAAAAG+6/wI=")</f>
        <v>#VALUE!</v>
      </c>
      <c r="D206" t="e">
        <f>AND(Sheet1!E2763,"AAAAAG+6/wM=")</f>
        <v>#VALUE!</v>
      </c>
      <c r="E206" t="e">
        <f>AND(Sheet1!F2763,"AAAAAG+6/wQ=")</f>
        <v>#VALUE!</v>
      </c>
      <c r="F206" t="e">
        <f>AND(Sheet1!G2763,"AAAAAG+6/wU=")</f>
        <v>#VALUE!</v>
      </c>
      <c r="G206" t="e">
        <f>AND(Sheet1!H2763,"AAAAAG+6/wY=")</f>
        <v>#VALUE!</v>
      </c>
      <c r="H206" t="e">
        <f>AND(Sheet1!I2763,"AAAAAG+6/wc=")</f>
        <v>#VALUE!</v>
      </c>
      <c r="I206" t="e">
        <f>AND(Sheet1!J2763,"AAAAAG+6/wg=")</f>
        <v>#VALUE!</v>
      </c>
      <c r="J206" t="e">
        <f>AND(Sheet1!K2763,"AAAAAG+6/wk=")</f>
        <v>#VALUE!</v>
      </c>
      <c r="K206" t="e">
        <f>AND(Sheet1!L2763,"AAAAAG+6/wo=")</f>
        <v>#VALUE!</v>
      </c>
      <c r="L206" t="e">
        <f>AND(Sheet1!M2763,"AAAAAG+6/ws=")</f>
        <v>#VALUE!</v>
      </c>
      <c r="M206" t="e">
        <f>AND(Sheet1!N2763,"AAAAAG+6/ww=")</f>
        <v>#VALUE!</v>
      </c>
      <c r="N206" t="e">
        <f>AND(Sheet1!#REF!,"AAAAAG+6/w0=")</f>
        <v>#REF!</v>
      </c>
      <c r="O206" t="e">
        <f>AND(Sheet1!#REF!,"AAAAAG+6/w4=")</f>
        <v>#REF!</v>
      </c>
      <c r="P206" t="e">
        <f>AND(Sheet1!#REF!,"AAAAAG+6/w8=")</f>
        <v>#REF!</v>
      </c>
      <c r="Q206" t="e">
        <f>AND(Sheet1!#REF!,"AAAAAG+6/xA=")</f>
        <v>#REF!</v>
      </c>
      <c r="R206">
        <f>IF(Sheet1!2764:2764,"AAAAAG+6/xE=",0)</f>
        <v>0</v>
      </c>
      <c r="S206" t="e">
        <f>AND(Sheet1!A2764,"AAAAAG+6/xI=")</f>
        <v>#VALUE!</v>
      </c>
      <c r="T206" t="e">
        <f>AND(Sheet1!B2764,"AAAAAG+6/xM=")</f>
        <v>#VALUE!</v>
      </c>
      <c r="U206" t="e">
        <f>AND(Sheet1!C2764,"AAAAAG+6/xQ=")</f>
        <v>#VALUE!</v>
      </c>
      <c r="V206" t="e">
        <f>AND(Sheet1!D2764,"AAAAAG+6/xU=")</f>
        <v>#VALUE!</v>
      </c>
      <c r="W206" t="e">
        <f>AND(Sheet1!E2764,"AAAAAG+6/xY=")</f>
        <v>#VALUE!</v>
      </c>
      <c r="X206" t="e">
        <f>AND(Sheet1!F2764,"AAAAAG+6/xc=")</f>
        <v>#VALUE!</v>
      </c>
      <c r="Y206" t="e">
        <f>AND(Sheet1!G2764,"AAAAAG+6/xg=")</f>
        <v>#VALUE!</v>
      </c>
      <c r="Z206" t="e">
        <f>AND(Sheet1!H2764,"AAAAAG+6/xk=")</f>
        <v>#VALUE!</v>
      </c>
      <c r="AA206" t="e">
        <f>AND(Sheet1!I2764,"AAAAAG+6/xo=")</f>
        <v>#VALUE!</v>
      </c>
      <c r="AB206" t="e">
        <f>AND(Sheet1!J2764,"AAAAAG+6/xs=")</f>
        <v>#VALUE!</v>
      </c>
      <c r="AC206" t="e">
        <f>AND(Sheet1!K2764,"AAAAAG+6/xw=")</f>
        <v>#VALUE!</v>
      </c>
      <c r="AD206" t="e">
        <f>AND(Sheet1!L2764,"AAAAAG+6/x0=")</f>
        <v>#VALUE!</v>
      </c>
      <c r="AE206" t="e">
        <f>AND(Sheet1!M2764,"AAAAAG+6/x4=")</f>
        <v>#VALUE!</v>
      </c>
      <c r="AF206" t="e">
        <f>AND(Sheet1!N2764,"AAAAAG+6/x8=")</f>
        <v>#VALUE!</v>
      </c>
      <c r="AG206" t="e">
        <f>AND(Sheet1!#REF!,"AAAAAG+6/yA=")</f>
        <v>#REF!</v>
      </c>
      <c r="AH206" t="e">
        <f>AND(Sheet1!#REF!,"AAAAAG+6/yE=")</f>
        <v>#REF!</v>
      </c>
      <c r="AI206" t="e">
        <f>AND(Sheet1!#REF!,"AAAAAG+6/yI=")</f>
        <v>#REF!</v>
      </c>
      <c r="AJ206" t="e">
        <f>AND(Sheet1!#REF!,"AAAAAG+6/yM=")</f>
        <v>#REF!</v>
      </c>
      <c r="AK206">
        <f>IF(Sheet1!2765:2765,"AAAAAG+6/yQ=",0)</f>
        <v>0</v>
      </c>
      <c r="AL206" t="e">
        <f>AND(Sheet1!A2765,"AAAAAG+6/yU=")</f>
        <v>#VALUE!</v>
      </c>
      <c r="AM206" t="e">
        <f>AND(Sheet1!B2765,"AAAAAG+6/yY=")</f>
        <v>#VALUE!</v>
      </c>
      <c r="AN206" t="e">
        <f>AND(Sheet1!C2765,"AAAAAG+6/yc=")</f>
        <v>#VALUE!</v>
      </c>
      <c r="AO206" t="e">
        <f>AND(Sheet1!D2765,"AAAAAG+6/yg=")</f>
        <v>#VALUE!</v>
      </c>
      <c r="AP206" t="e">
        <f>AND(Sheet1!E2765,"AAAAAG+6/yk=")</f>
        <v>#VALUE!</v>
      </c>
      <c r="AQ206" t="e">
        <f>AND(Sheet1!F2765,"AAAAAG+6/yo=")</f>
        <v>#VALUE!</v>
      </c>
      <c r="AR206" t="e">
        <f>AND(Sheet1!G2765,"AAAAAG+6/ys=")</f>
        <v>#VALUE!</v>
      </c>
      <c r="AS206" t="e">
        <f>AND(Sheet1!H2765,"AAAAAG+6/yw=")</f>
        <v>#VALUE!</v>
      </c>
      <c r="AT206" t="e">
        <f>AND(Sheet1!I2765,"AAAAAG+6/y0=")</f>
        <v>#VALUE!</v>
      </c>
      <c r="AU206" t="e">
        <f>AND(Sheet1!J2765,"AAAAAG+6/y4=")</f>
        <v>#VALUE!</v>
      </c>
      <c r="AV206" t="e">
        <f>AND(Sheet1!K2765,"AAAAAG+6/y8=")</f>
        <v>#VALUE!</v>
      </c>
      <c r="AW206" t="e">
        <f>AND(Sheet1!L2765,"AAAAAG+6/zA=")</f>
        <v>#VALUE!</v>
      </c>
      <c r="AX206" t="e">
        <f>AND(Sheet1!M2765,"AAAAAG+6/zE=")</f>
        <v>#VALUE!</v>
      </c>
      <c r="AY206" t="e">
        <f>AND(Sheet1!N2765,"AAAAAG+6/zI=")</f>
        <v>#VALUE!</v>
      </c>
      <c r="AZ206" t="e">
        <f>AND(Sheet1!#REF!,"AAAAAG+6/zM=")</f>
        <v>#REF!</v>
      </c>
      <c r="BA206" t="e">
        <f>AND(Sheet1!#REF!,"AAAAAG+6/zQ=")</f>
        <v>#REF!</v>
      </c>
      <c r="BB206" t="e">
        <f>AND(Sheet1!#REF!,"AAAAAG+6/zU=")</f>
        <v>#REF!</v>
      </c>
      <c r="BC206" t="e">
        <f>AND(Sheet1!#REF!,"AAAAAG+6/zY=")</f>
        <v>#REF!</v>
      </c>
      <c r="BD206">
        <f>IF(Sheet1!2766:2766,"AAAAAG+6/zc=",0)</f>
        <v>0</v>
      </c>
      <c r="BE206" t="e">
        <f>AND(Sheet1!A2766,"AAAAAG+6/zg=")</f>
        <v>#VALUE!</v>
      </c>
      <c r="BF206" t="e">
        <f>AND(Sheet1!B2766,"AAAAAG+6/zk=")</f>
        <v>#VALUE!</v>
      </c>
      <c r="BG206" t="e">
        <f>AND(Sheet1!C2766,"AAAAAG+6/zo=")</f>
        <v>#VALUE!</v>
      </c>
      <c r="BH206" t="e">
        <f>AND(Sheet1!D2766,"AAAAAG+6/zs=")</f>
        <v>#VALUE!</v>
      </c>
      <c r="BI206" t="e">
        <f>AND(Sheet1!E2766,"AAAAAG+6/zw=")</f>
        <v>#VALUE!</v>
      </c>
      <c r="BJ206" t="e">
        <f>AND(Sheet1!F2766,"AAAAAG+6/z0=")</f>
        <v>#VALUE!</v>
      </c>
      <c r="BK206" t="e">
        <f>AND(Sheet1!G2766,"AAAAAG+6/z4=")</f>
        <v>#VALUE!</v>
      </c>
      <c r="BL206" t="e">
        <f>AND(Sheet1!H2766,"AAAAAG+6/z8=")</f>
        <v>#VALUE!</v>
      </c>
      <c r="BM206" t="e">
        <f>AND(Sheet1!I2766,"AAAAAG+6/0A=")</f>
        <v>#VALUE!</v>
      </c>
      <c r="BN206" t="e">
        <f>AND(Sheet1!J2766,"AAAAAG+6/0E=")</f>
        <v>#VALUE!</v>
      </c>
      <c r="BO206" t="e">
        <f>AND(Sheet1!K2766,"AAAAAG+6/0I=")</f>
        <v>#VALUE!</v>
      </c>
      <c r="BP206" t="e">
        <f>AND(Sheet1!L2766,"AAAAAG+6/0M=")</f>
        <v>#VALUE!</v>
      </c>
      <c r="BQ206" t="e">
        <f>AND(Sheet1!M2766,"AAAAAG+6/0Q=")</f>
        <v>#VALUE!</v>
      </c>
      <c r="BR206" t="e">
        <f>AND(Sheet1!N2766,"AAAAAG+6/0U=")</f>
        <v>#VALUE!</v>
      </c>
      <c r="BS206" t="e">
        <f>AND(Sheet1!#REF!,"AAAAAG+6/0Y=")</f>
        <v>#REF!</v>
      </c>
      <c r="BT206" t="e">
        <f>AND(Sheet1!#REF!,"AAAAAG+6/0c=")</f>
        <v>#REF!</v>
      </c>
      <c r="BU206" t="e">
        <f>AND(Sheet1!#REF!,"AAAAAG+6/0g=")</f>
        <v>#REF!</v>
      </c>
      <c r="BV206" t="e">
        <f>AND(Sheet1!#REF!,"AAAAAG+6/0k=")</f>
        <v>#REF!</v>
      </c>
      <c r="BW206">
        <f>IF(Sheet1!2767:2767,"AAAAAG+6/0o=",0)</f>
        <v>0</v>
      </c>
      <c r="BX206" t="e">
        <f>AND(Sheet1!A2767,"AAAAAG+6/0s=")</f>
        <v>#VALUE!</v>
      </c>
      <c r="BY206" t="e">
        <f>AND(Sheet1!B2767,"AAAAAG+6/0w=")</f>
        <v>#VALUE!</v>
      </c>
      <c r="BZ206" t="e">
        <f>AND(Sheet1!C2767,"AAAAAG+6/00=")</f>
        <v>#VALUE!</v>
      </c>
      <c r="CA206" t="e">
        <f>AND(Sheet1!D2767,"AAAAAG+6/04=")</f>
        <v>#VALUE!</v>
      </c>
      <c r="CB206" t="e">
        <f>AND(Sheet1!E2767,"AAAAAG+6/08=")</f>
        <v>#VALUE!</v>
      </c>
      <c r="CC206" t="e">
        <f>AND(Sheet1!F2767,"AAAAAG+6/1A=")</f>
        <v>#VALUE!</v>
      </c>
      <c r="CD206" t="e">
        <f>AND(Sheet1!G2767,"AAAAAG+6/1E=")</f>
        <v>#VALUE!</v>
      </c>
      <c r="CE206" t="e">
        <f>AND(Sheet1!H2767,"AAAAAG+6/1I=")</f>
        <v>#VALUE!</v>
      </c>
      <c r="CF206" t="e">
        <f>AND(Sheet1!I2767,"AAAAAG+6/1M=")</f>
        <v>#VALUE!</v>
      </c>
      <c r="CG206" t="e">
        <f>AND(Sheet1!J2767,"AAAAAG+6/1Q=")</f>
        <v>#VALUE!</v>
      </c>
      <c r="CH206" t="e">
        <f>AND(Sheet1!K2767,"AAAAAG+6/1U=")</f>
        <v>#VALUE!</v>
      </c>
      <c r="CI206" t="e">
        <f>AND(Sheet1!L2767,"AAAAAG+6/1Y=")</f>
        <v>#VALUE!</v>
      </c>
      <c r="CJ206" t="e">
        <f>AND(Sheet1!M2767,"AAAAAG+6/1c=")</f>
        <v>#VALUE!</v>
      </c>
      <c r="CK206" t="e">
        <f>AND(Sheet1!N2767,"AAAAAG+6/1g=")</f>
        <v>#VALUE!</v>
      </c>
      <c r="CL206" t="e">
        <f>AND(Sheet1!#REF!,"AAAAAG+6/1k=")</f>
        <v>#REF!</v>
      </c>
      <c r="CM206" t="e">
        <f>AND(Sheet1!#REF!,"AAAAAG+6/1o=")</f>
        <v>#REF!</v>
      </c>
      <c r="CN206" t="e">
        <f>AND(Sheet1!#REF!,"AAAAAG+6/1s=")</f>
        <v>#REF!</v>
      </c>
      <c r="CO206" t="e">
        <f>AND(Sheet1!#REF!,"AAAAAG+6/1w=")</f>
        <v>#REF!</v>
      </c>
      <c r="CP206">
        <f>IF(Sheet1!2768:2768,"AAAAAG+6/10=",0)</f>
        <v>0</v>
      </c>
      <c r="CQ206" t="e">
        <f>AND(Sheet1!A2768,"AAAAAG+6/14=")</f>
        <v>#VALUE!</v>
      </c>
      <c r="CR206" t="e">
        <f>AND(Sheet1!B2768,"AAAAAG+6/18=")</f>
        <v>#VALUE!</v>
      </c>
      <c r="CS206" t="e">
        <f>AND(Sheet1!C2768,"AAAAAG+6/2A=")</f>
        <v>#VALUE!</v>
      </c>
      <c r="CT206" t="e">
        <f>AND(Sheet1!D2768,"AAAAAG+6/2E=")</f>
        <v>#VALUE!</v>
      </c>
      <c r="CU206" t="e">
        <f>AND(Sheet1!E2768,"AAAAAG+6/2I=")</f>
        <v>#VALUE!</v>
      </c>
      <c r="CV206" t="e">
        <f>AND(Sheet1!F2768,"AAAAAG+6/2M=")</f>
        <v>#VALUE!</v>
      </c>
      <c r="CW206" t="e">
        <f>AND(Sheet1!G2768,"AAAAAG+6/2Q=")</f>
        <v>#VALUE!</v>
      </c>
      <c r="CX206" t="e">
        <f>AND(Sheet1!H2768,"AAAAAG+6/2U=")</f>
        <v>#VALUE!</v>
      </c>
      <c r="CY206" t="e">
        <f>AND(Sheet1!I2768,"AAAAAG+6/2Y=")</f>
        <v>#VALUE!</v>
      </c>
      <c r="CZ206" t="e">
        <f>AND(Sheet1!J2768,"AAAAAG+6/2c=")</f>
        <v>#VALUE!</v>
      </c>
      <c r="DA206" t="e">
        <f>AND(Sheet1!K2768,"AAAAAG+6/2g=")</f>
        <v>#VALUE!</v>
      </c>
      <c r="DB206" t="e">
        <f>AND(Sheet1!L2768,"AAAAAG+6/2k=")</f>
        <v>#VALUE!</v>
      </c>
      <c r="DC206" t="e">
        <f>AND(Sheet1!M2768,"AAAAAG+6/2o=")</f>
        <v>#VALUE!</v>
      </c>
      <c r="DD206" t="e">
        <f>AND(Sheet1!N2768,"AAAAAG+6/2s=")</f>
        <v>#VALUE!</v>
      </c>
      <c r="DE206" t="e">
        <f>AND(Sheet1!#REF!,"AAAAAG+6/2w=")</f>
        <v>#REF!</v>
      </c>
      <c r="DF206" t="e">
        <f>AND(Sheet1!#REF!,"AAAAAG+6/20=")</f>
        <v>#REF!</v>
      </c>
      <c r="DG206" t="e">
        <f>AND(Sheet1!#REF!,"AAAAAG+6/24=")</f>
        <v>#REF!</v>
      </c>
      <c r="DH206" t="e">
        <f>AND(Sheet1!#REF!,"AAAAAG+6/28=")</f>
        <v>#REF!</v>
      </c>
      <c r="DI206">
        <f>IF(Sheet1!2769:2769,"AAAAAG+6/3A=",0)</f>
        <v>0</v>
      </c>
      <c r="DJ206" t="e">
        <f>AND(Sheet1!A2769,"AAAAAG+6/3E=")</f>
        <v>#VALUE!</v>
      </c>
      <c r="DK206" t="e">
        <f>AND(Sheet1!B2769,"AAAAAG+6/3I=")</f>
        <v>#VALUE!</v>
      </c>
      <c r="DL206" t="e">
        <f>AND(Sheet1!C2769,"AAAAAG+6/3M=")</f>
        <v>#VALUE!</v>
      </c>
      <c r="DM206" t="e">
        <f>AND(Sheet1!D2769,"AAAAAG+6/3Q=")</f>
        <v>#VALUE!</v>
      </c>
      <c r="DN206" t="e">
        <f>AND(Sheet1!E2769,"AAAAAG+6/3U=")</f>
        <v>#VALUE!</v>
      </c>
      <c r="DO206" t="e">
        <f>AND(Sheet1!F2769,"AAAAAG+6/3Y=")</f>
        <v>#VALUE!</v>
      </c>
      <c r="DP206" t="e">
        <f>AND(Sheet1!G2769,"AAAAAG+6/3c=")</f>
        <v>#VALUE!</v>
      </c>
      <c r="DQ206" t="e">
        <f>AND(Sheet1!H2769,"AAAAAG+6/3g=")</f>
        <v>#VALUE!</v>
      </c>
      <c r="DR206" t="e">
        <f>AND(Sheet1!I2769,"AAAAAG+6/3k=")</f>
        <v>#VALUE!</v>
      </c>
      <c r="DS206" t="e">
        <f>AND(Sheet1!J2769,"AAAAAG+6/3o=")</f>
        <v>#VALUE!</v>
      </c>
      <c r="DT206" t="e">
        <f>AND(Sheet1!K2769,"AAAAAG+6/3s=")</f>
        <v>#VALUE!</v>
      </c>
      <c r="DU206" t="e">
        <f>AND(Sheet1!L2769,"AAAAAG+6/3w=")</f>
        <v>#VALUE!</v>
      </c>
      <c r="DV206" t="e">
        <f>AND(Sheet1!M2769,"AAAAAG+6/30=")</f>
        <v>#VALUE!</v>
      </c>
      <c r="DW206" t="e">
        <f>AND(Sheet1!N2769,"AAAAAG+6/34=")</f>
        <v>#VALUE!</v>
      </c>
      <c r="DX206" t="e">
        <f>AND(Sheet1!#REF!,"AAAAAG+6/38=")</f>
        <v>#REF!</v>
      </c>
      <c r="DY206" t="e">
        <f>AND(Sheet1!#REF!,"AAAAAG+6/4A=")</f>
        <v>#REF!</v>
      </c>
      <c r="DZ206" t="e">
        <f>AND(Sheet1!#REF!,"AAAAAG+6/4E=")</f>
        <v>#REF!</v>
      </c>
      <c r="EA206" t="e">
        <f>AND(Sheet1!#REF!,"AAAAAG+6/4I=")</f>
        <v>#REF!</v>
      </c>
      <c r="EB206">
        <f>IF(Sheet1!2770:2770,"AAAAAG+6/4M=",0)</f>
        <v>0</v>
      </c>
      <c r="EC206" t="e">
        <f>AND(Sheet1!A2770,"AAAAAG+6/4Q=")</f>
        <v>#VALUE!</v>
      </c>
      <c r="ED206" t="e">
        <f>AND(Sheet1!B2770,"AAAAAG+6/4U=")</f>
        <v>#VALUE!</v>
      </c>
      <c r="EE206" t="e">
        <f>AND(Sheet1!C2770,"AAAAAG+6/4Y=")</f>
        <v>#VALUE!</v>
      </c>
      <c r="EF206" t="e">
        <f>AND(Sheet1!D2770,"AAAAAG+6/4c=")</f>
        <v>#VALUE!</v>
      </c>
      <c r="EG206" t="e">
        <f>AND(Sheet1!E2770,"AAAAAG+6/4g=")</f>
        <v>#VALUE!</v>
      </c>
      <c r="EH206" t="e">
        <f>AND(Sheet1!F2770,"AAAAAG+6/4k=")</f>
        <v>#VALUE!</v>
      </c>
      <c r="EI206" t="e">
        <f>AND(Sheet1!G2770,"AAAAAG+6/4o=")</f>
        <v>#VALUE!</v>
      </c>
      <c r="EJ206" t="e">
        <f>AND(Sheet1!H2770,"AAAAAG+6/4s=")</f>
        <v>#VALUE!</v>
      </c>
      <c r="EK206" t="e">
        <f>AND(Sheet1!I2770,"AAAAAG+6/4w=")</f>
        <v>#VALUE!</v>
      </c>
      <c r="EL206" t="e">
        <f>AND(Sheet1!J2770,"AAAAAG+6/40=")</f>
        <v>#VALUE!</v>
      </c>
      <c r="EM206" t="e">
        <f>AND(Sheet1!K2770,"AAAAAG+6/44=")</f>
        <v>#VALUE!</v>
      </c>
      <c r="EN206" t="e">
        <f>AND(Sheet1!L2770,"AAAAAG+6/48=")</f>
        <v>#VALUE!</v>
      </c>
      <c r="EO206" t="e">
        <f>AND(Sheet1!M2770,"AAAAAG+6/5A=")</f>
        <v>#VALUE!</v>
      </c>
      <c r="EP206" t="e">
        <f>AND(Sheet1!N2770,"AAAAAG+6/5E=")</f>
        <v>#VALUE!</v>
      </c>
      <c r="EQ206" t="e">
        <f>AND(Sheet1!#REF!,"AAAAAG+6/5I=")</f>
        <v>#REF!</v>
      </c>
      <c r="ER206" t="e">
        <f>AND(Sheet1!#REF!,"AAAAAG+6/5M=")</f>
        <v>#REF!</v>
      </c>
      <c r="ES206" t="e">
        <f>AND(Sheet1!#REF!,"AAAAAG+6/5Q=")</f>
        <v>#REF!</v>
      </c>
      <c r="ET206" t="e">
        <f>AND(Sheet1!#REF!,"AAAAAG+6/5U=")</f>
        <v>#REF!</v>
      </c>
      <c r="EU206">
        <f>IF(Sheet1!2771:2771,"AAAAAG+6/5Y=",0)</f>
        <v>0</v>
      </c>
      <c r="EV206" t="e">
        <f>AND(Sheet1!A2771,"AAAAAG+6/5c=")</f>
        <v>#VALUE!</v>
      </c>
      <c r="EW206" t="e">
        <f>AND(Sheet1!B2771,"AAAAAG+6/5g=")</f>
        <v>#VALUE!</v>
      </c>
      <c r="EX206" t="e">
        <f>AND(Sheet1!C2771,"AAAAAG+6/5k=")</f>
        <v>#VALUE!</v>
      </c>
      <c r="EY206" t="e">
        <f>AND(Sheet1!D2771,"AAAAAG+6/5o=")</f>
        <v>#VALUE!</v>
      </c>
      <c r="EZ206" t="e">
        <f>AND(Sheet1!E2771,"AAAAAG+6/5s=")</f>
        <v>#VALUE!</v>
      </c>
      <c r="FA206" t="e">
        <f>AND(Sheet1!F2771,"AAAAAG+6/5w=")</f>
        <v>#VALUE!</v>
      </c>
      <c r="FB206" t="e">
        <f>AND(Sheet1!G2771,"AAAAAG+6/50=")</f>
        <v>#VALUE!</v>
      </c>
      <c r="FC206" t="e">
        <f>AND(Sheet1!H2771,"AAAAAG+6/54=")</f>
        <v>#VALUE!</v>
      </c>
      <c r="FD206" t="e">
        <f>AND(Sheet1!I2771,"AAAAAG+6/58=")</f>
        <v>#VALUE!</v>
      </c>
      <c r="FE206" t="e">
        <f>AND(Sheet1!J2771,"AAAAAG+6/6A=")</f>
        <v>#VALUE!</v>
      </c>
      <c r="FF206" t="e">
        <f>AND(Sheet1!K2771,"AAAAAG+6/6E=")</f>
        <v>#VALUE!</v>
      </c>
      <c r="FG206" t="e">
        <f>AND(Sheet1!L2771,"AAAAAG+6/6I=")</f>
        <v>#VALUE!</v>
      </c>
      <c r="FH206" t="e">
        <f>AND(Sheet1!M2771,"AAAAAG+6/6M=")</f>
        <v>#VALUE!</v>
      </c>
      <c r="FI206" t="e">
        <f>AND(Sheet1!N2771,"AAAAAG+6/6Q=")</f>
        <v>#VALUE!</v>
      </c>
      <c r="FJ206" t="e">
        <f>AND(Sheet1!#REF!,"AAAAAG+6/6U=")</f>
        <v>#REF!</v>
      </c>
      <c r="FK206" t="e">
        <f>AND(Sheet1!#REF!,"AAAAAG+6/6Y=")</f>
        <v>#REF!</v>
      </c>
      <c r="FL206" t="e">
        <f>AND(Sheet1!#REF!,"AAAAAG+6/6c=")</f>
        <v>#REF!</v>
      </c>
      <c r="FM206" t="e">
        <f>AND(Sheet1!#REF!,"AAAAAG+6/6g=")</f>
        <v>#REF!</v>
      </c>
      <c r="FN206">
        <f>IF(Sheet1!2772:2772,"AAAAAG+6/6k=",0)</f>
        <v>0</v>
      </c>
      <c r="FO206" t="e">
        <f>AND(Sheet1!A2772,"AAAAAG+6/6o=")</f>
        <v>#VALUE!</v>
      </c>
      <c r="FP206" t="e">
        <f>AND(Sheet1!B2772,"AAAAAG+6/6s=")</f>
        <v>#VALUE!</v>
      </c>
      <c r="FQ206" t="e">
        <f>AND(Sheet1!C2772,"AAAAAG+6/6w=")</f>
        <v>#VALUE!</v>
      </c>
      <c r="FR206" t="e">
        <f>AND(Sheet1!D2772,"AAAAAG+6/60=")</f>
        <v>#VALUE!</v>
      </c>
      <c r="FS206" t="e">
        <f>AND(Sheet1!E2772,"AAAAAG+6/64=")</f>
        <v>#VALUE!</v>
      </c>
      <c r="FT206" t="e">
        <f>AND(Sheet1!F2772,"AAAAAG+6/68=")</f>
        <v>#VALUE!</v>
      </c>
      <c r="FU206" t="e">
        <f>AND(Sheet1!G2772,"AAAAAG+6/7A=")</f>
        <v>#VALUE!</v>
      </c>
      <c r="FV206" t="e">
        <f>AND(Sheet1!H2772,"AAAAAG+6/7E=")</f>
        <v>#VALUE!</v>
      </c>
      <c r="FW206" t="e">
        <f>AND(Sheet1!I2772,"AAAAAG+6/7I=")</f>
        <v>#VALUE!</v>
      </c>
      <c r="FX206" t="e">
        <f>AND(Sheet1!J2772,"AAAAAG+6/7M=")</f>
        <v>#VALUE!</v>
      </c>
      <c r="FY206" t="e">
        <f>AND(Sheet1!K2772,"AAAAAG+6/7Q=")</f>
        <v>#VALUE!</v>
      </c>
      <c r="FZ206" t="e">
        <f>AND(Sheet1!L2772,"AAAAAG+6/7U=")</f>
        <v>#VALUE!</v>
      </c>
      <c r="GA206" t="e">
        <f>AND(Sheet1!M2772,"AAAAAG+6/7Y=")</f>
        <v>#VALUE!</v>
      </c>
      <c r="GB206" t="e">
        <f>AND(Sheet1!N2772,"AAAAAG+6/7c=")</f>
        <v>#VALUE!</v>
      </c>
      <c r="GC206" t="e">
        <f>AND(Sheet1!#REF!,"AAAAAG+6/7g=")</f>
        <v>#REF!</v>
      </c>
      <c r="GD206" t="e">
        <f>AND(Sheet1!#REF!,"AAAAAG+6/7k=")</f>
        <v>#REF!</v>
      </c>
      <c r="GE206" t="e">
        <f>AND(Sheet1!#REF!,"AAAAAG+6/7o=")</f>
        <v>#REF!</v>
      </c>
      <c r="GF206" t="e">
        <f>AND(Sheet1!#REF!,"AAAAAG+6/7s=")</f>
        <v>#REF!</v>
      </c>
      <c r="GG206">
        <f>IF(Sheet1!2773:2773,"AAAAAG+6/7w=",0)</f>
        <v>0</v>
      </c>
      <c r="GH206" t="e">
        <f>AND(Sheet1!A2773,"AAAAAG+6/70=")</f>
        <v>#VALUE!</v>
      </c>
      <c r="GI206" t="e">
        <f>AND(Sheet1!B2773,"AAAAAG+6/74=")</f>
        <v>#VALUE!</v>
      </c>
      <c r="GJ206" t="e">
        <f>AND(Sheet1!C2773,"AAAAAG+6/78=")</f>
        <v>#VALUE!</v>
      </c>
      <c r="GK206" t="e">
        <f>AND(Sheet1!D2773,"AAAAAG+6/8A=")</f>
        <v>#VALUE!</v>
      </c>
      <c r="GL206" t="e">
        <f>AND(Sheet1!E2773,"AAAAAG+6/8E=")</f>
        <v>#VALUE!</v>
      </c>
      <c r="GM206" t="e">
        <f>AND(Sheet1!F2773,"AAAAAG+6/8I=")</f>
        <v>#VALUE!</v>
      </c>
      <c r="GN206" t="e">
        <f>AND(Sheet1!G2773,"AAAAAG+6/8M=")</f>
        <v>#VALUE!</v>
      </c>
      <c r="GO206" t="e">
        <f>AND(Sheet1!H2773,"AAAAAG+6/8Q=")</f>
        <v>#VALUE!</v>
      </c>
      <c r="GP206" t="e">
        <f>AND(Sheet1!I2773,"AAAAAG+6/8U=")</f>
        <v>#VALUE!</v>
      </c>
      <c r="GQ206" t="e">
        <f>AND(Sheet1!J2773,"AAAAAG+6/8Y=")</f>
        <v>#VALUE!</v>
      </c>
      <c r="GR206" t="e">
        <f>AND(Sheet1!K2773,"AAAAAG+6/8c=")</f>
        <v>#VALUE!</v>
      </c>
      <c r="GS206" t="e">
        <f>AND(Sheet1!L2773,"AAAAAG+6/8g=")</f>
        <v>#VALUE!</v>
      </c>
      <c r="GT206" t="e">
        <f>AND(Sheet1!M2773,"AAAAAG+6/8k=")</f>
        <v>#VALUE!</v>
      </c>
      <c r="GU206" t="e">
        <f>AND(Sheet1!N2773,"AAAAAG+6/8o=")</f>
        <v>#VALUE!</v>
      </c>
      <c r="GV206" t="e">
        <f>AND(Sheet1!#REF!,"AAAAAG+6/8s=")</f>
        <v>#REF!</v>
      </c>
      <c r="GW206" t="e">
        <f>AND(Sheet1!#REF!,"AAAAAG+6/8w=")</f>
        <v>#REF!</v>
      </c>
      <c r="GX206" t="e">
        <f>AND(Sheet1!#REF!,"AAAAAG+6/80=")</f>
        <v>#REF!</v>
      </c>
      <c r="GY206" t="e">
        <f>AND(Sheet1!#REF!,"AAAAAG+6/84=")</f>
        <v>#REF!</v>
      </c>
      <c r="GZ206">
        <f>IF(Sheet1!2774:2774,"AAAAAG+6/88=",0)</f>
        <v>0</v>
      </c>
      <c r="HA206" t="e">
        <f>AND(Sheet1!A2774,"AAAAAG+6/9A=")</f>
        <v>#VALUE!</v>
      </c>
      <c r="HB206" t="e">
        <f>AND(Sheet1!B2774,"AAAAAG+6/9E=")</f>
        <v>#VALUE!</v>
      </c>
      <c r="HC206" t="e">
        <f>AND(Sheet1!C2774,"AAAAAG+6/9I=")</f>
        <v>#VALUE!</v>
      </c>
      <c r="HD206" t="e">
        <f>AND(Sheet1!D2774,"AAAAAG+6/9M=")</f>
        <v>#VALUE!</v>
      </c>
      <c r="HE206" t="e">
        <f>AND(Sheet1!E2774,"AAAAAG+6/9Q=")</f>
        <v>#VALUE!</v>
      </c>
      <c r="HF206" t="e">
        <f>AND(Sheet1!F2774,"AAAAAG+6/9U=")</f>
        <v>#VALUE!</v>
      </c>
      <c r="HG206" t="e">
        <f>AND(Sheet1!G2774,"AAAAAG+6/9Y=")</f>
        <v>#VALUE!</v>
      </c>
      <c r="HH206" t="e">
        <f>AND(Sheet1!H2774,"AAAAAG+6/9c=")</f>
        <v>#VALUE!</v>
      </c>
      <c r="HI206" t="e">
        <f>AND(Sheet1!I2774,"AAAAAG+6/9g=")</f>
        <v>#VALUE!</v>
      </c>
      <c r="HJ206" t="e">
        <f>AND(Sheet1!J2774,"AAAAAG+6/9k=")</f>
        <v>#VALUE!</v>
      </c>
      <c r="HK206" t="e">
        <f>AND(Sheet1!K2774,"AAAAAG+6/9o=")</f>
        <v>#VALUE!</v>
      </c>
      <c r="HL206" t="e">
        <f>AND(Sheet1!L2774,"AAAAAG+6/9s=")</f>
        <v>#VALUE!</v>
      </c>
      <c r="HM206" t="e">
        <f>AND(Sheet1!M2774,"AAAAAG+6/9w=")</f>
        <v>#VALUE!</v>
      </c>
      <c r="HN206" t="e">
        <f>AND(Sheet1!N2774,"AAAAAG+6/90=")</f>
        <v>#VALUE!</v>
      </c>
      <c r="HO206" t="e">
        <f>AND(Sheet1!#REF!,"AAAAAG+6/94=")</f>
        <v>#REF!</v>
      </c>
      <c r="HP206" t="e">
        <f>AND(Sheet1!#REF!,"AAAAAG+6/98=")</f>
        <v>#REF!</v>
      </c>
      <c r="HQ206" t="e">
        <f>AND(Sheet1!#REF!,"AAAAAG+6/+A=")</f>
        <v>#REF!</v>
      </c>
      <c r="HR206" t="e">
        <f>AND(Sheet1!#REF!,"AAAAAG+6/+E=")</f>
        <v>#REF!</v>
      </c>
      <c r="HS206">
        <f>IF(Sheet1!2775:2775,"AAAAAG+6/+I=",0)</f>
        <v>0</v>
      </c>
      <c r="HT206" t="e">
        <f>AND(Sheet1!A2775,"AAAAAG+6/+M=")</f>
        <v>#VALUE!</v>
      </c>
      <c r="HU206" t="e">
        <f>AND(Sheet1!B2775,"AAAAAG+6/+Q=")</f>
        <v>#VALUE!</v>
      </c>
      <c r="HV206" t="e">
        <f>AND(Sheet1!C2775,"AAAAAG+6/+U=")</f>
        <v>#VALUE!</v>
      </c>
      <c r="HW206" t="e">
        <f>AND(Sheet1!D2775,"AAAAAG+6/+Y=")</f>
        <v>#VALUE!</v>
      </c>
      <c r="HX206" t="e">
        <f>AND(Sheet1!E2775,"AAAAAG+6/+c=")</f>
        <v>#VALUE!</v>
      </c>
      <c r="HY206" t="e">
        <f>AND(Sheet1!F2775,"AAAAAG+6/+g=")</f>
        <v>#VALUE!</v>
      </c>
      <c r="HZ206" t="e">
        <f>AND(Sheet1!G2775,"AAAAAG+6/+k=")</f>
        <v>#VALUE!</v>
      </c>
      <c r="IA206" t="e">
        <f>AND(Sheet1!H2775,"AAAAAG+6/+o=")</f>
        <v>#VALUE!</v>
      </c>
      <c r="IB206" t="e">
        <f>AND(Sheet1!I2775,"AAAAAG+6/+s=")</f>
        <v>#VALUE!</v>
      </c>
      <c r="IC206" t="e">
        <f>AND(Sheet1!J2775,"AAAAAG+6/+w=")</f>
        <v>#VALUE!</v>
      </c>
      <c r="ID206" t="e">
        <f>AND(Sheet1!K2775,"AAAAAG+6/+0=")</f>
        <v>#VALUE!</v>
      </c>
      <c r="IE206" t="e">
        <f>AND(Sheet1!L2775,"AAAAAG+6/+4=")</f>
        <v>#VALUE!</v>
      </c>
      <c r="IF206" t="e">
        <f>AND(Sheet1!M2775,"AAAAAG+6/+8=")</f>
        <v>#VALUE!</v>
      </c>
      <c r="IG206" t="e">
        <f>AND(Sheet1!N2775,"AAAAAG+6//A=")</f>
        <v>#VALUE!</v>
      </c>
      <c r="IH206" t="e">
        <f>AND(Sheet1!#REF!,"AAAAAG+6//E=")</f>
        <v>#REF!</v>
      </c>
      <c r="II206" t="e">
        <f>AND(Sheet1!#REF!,"AAAAAG+6//I=")</f>
        <v>#REF!</v>
      </c>
      <c r="IJ206" t="e">
        <f>AND(Sheet1!#REF!,"AAAAAG+6//M=")</f>
        <v>#REF!</v>
      </c>
      <c r="IK206" t="e">
        <f>AND(Sheet1!#REF!,"AAAAAG+6//Q=")</f>
        <v>#REF!</v>
      </c>
      <c r="IL206">
        <f>IF(Sheet1!2776:2776,"AAAAAG+6//U=",0)</f>
        <v>0</v>
      </c>
      <c r="IM206" t="e">
        <f>AND(Sheet1!A2776,"AAAAAG+6//Y=")</f>
        <v>#VALUE!</v>
      </c>
      <c r="IN206" t="e">
        <f>AND(Sheet1!B2776,"AAAAAG+6//c=")</f>
        <v>#VALUE!</v>
      </c>
      <c r="IO206" t="e">
        <f>AND(Sheet1!C2776,"AAAAAG+6//g=")</f>
        <v>#VALUE!</v>
      </c>
      <c r="IP206" t="e">
        <f>AND(Sheet1!D2776,"AAAAAG+6//k=")</f>
        <v>#VALUE!</v>
      </c>
      <c r="IQ206" t="e">
        <f>AND(Sheet1!E2776,"AAAAAG+6//o=")</f>
        <v>#VALUE!</v>
      </c>
      <c r="IR206" t="e">
        <f>AND(Sheet1!F2776,"AAAAAG+6//s=")</f>
        <v>#VALUE!</v>
      </c>
      <c r="IS206" t="e">
        <f>AND(Sheet1!G2776,"AAAAAG+6//w=")</f>
        <v>#VALUE!</v>
      </c>
      <c r="IT206" t="e">
        <f>AND(Sheet1!H2776,"AAAAAG+6//0=")</f>
        <v>#VALUE!</v>
      </c>
      <c r="IU206" t="e">
        <f>AND(Sheet1!I2776,"AAAAAG+6//4=")</f>
        <v>#VALUE!</v>
      </c>
      <c r="IV206" t="e">
        <f>AND(Sheet1!J2776,"AAAAAG+6//8=")</f>
        <v>#VALUE!</v>
      </c>
    </row>
    <row r="207" spans="1:256" x14ac:dyDescent="0.2">
      <c r="A207" t="e">
        <f>AND(Sheet1!K2776,"AAAAAB/XfQA=")</f>
        <v>#VALUE!</v>
      </c>
      <c r="B207" t="e">
        <f>AND(Sheet1!L2776,"AAAAAB/XfQE=")</f>
        <v>#VALUE!</v>
      </c>
      <c r="C207" t="e">
        <f>AND(Sheet1!M2776,"AAAAAB/XfQI=")</f>
        <v>#VALUE!</v>
      </c>
      <c r="D207" t="e">
        <f>AND(Sheet1!N2776,"AAAAAB/XfQM=")</f>
        <v>#VALUE!</v>
      </c>
      <c r="E207" t="e">
        <f>AND(Sheet1!#REF!,"AAAAAB/XfQQ=")</f>
        <v>#REF!</v>
      </c>
      <c r="F207" t="e">
        <f>AND(Sheet1!#REF!,"AAAAAB/XfQU=")</f>
        <v>#REF!</v>
      </c>
      <c r="G207" t="e">
        <f>AND(Sheet1!#REF!,"AAAAAB/XfQY=")</f>
        <v>#REF!</v>
      </c>
      <c r="H207" t="e">
        <f>AND(Sheet1!#REF!,"AAAAAB/XfQc=")</f>
        <v>#REF!</v>
      </c>
      <c r="I207">
        <f>IF(Sheet1!2777:2777,"AAAAAB/XfQg=",0)</f>
        <v>0</v>
      </c>
      <c r="J207" t="e">
        <f>AND(Sheet1!A2777,"AAAAAB/XfQk=")</f>
        <v>#VALUE!</v>
      </c>
      <c r="K207" t="e">
        <f>AND(Sheet1!B2777,"AAAAAB/XfQo=")</f>
        <v>#VALUE!</v>
      </c>
      <c r="L207" t="e">
        <f>AND(Sheet1!C2777,"AAAAAB/XfQs=")</f>
        <v>#VALUE!</v>
      </c>
      <c r="M207" t="e">
        <f>AND(Sheet1!D2777,"AAAAAB/XfQw=")</f>
        <v>#VALUE!</v>
      </c>
      <c r="N207" t="e">
        <f>AND(Sheet1!E2777,"AAAAAB/XfQ0=")</f>
        <v>#VALUE!</v>
      </c>
      <c r="O207" t="e">
        <f>AND(Sheet1!F2777,"AAAAAB/XfQ4=")</f>
        <v>#VALUE!</v>
      </c>
      <c r="P207" t="e">
        <f>AND(Sheet1!G2777,"AAAAAB/XfQ8=")</f>
        <v>#VALUE!</v>
      </c>
      <c r="Q207" t="e">
        <f>AND(Sheet1!H2777,"AAAAAB/XfRA=")</f>
        <v>#VALUE!</v>
      </c>
      <c r="R207" t="e">
        <f>AND(Sheet1!I2777,"AAAAAB/XfRE=")</f>
        <v>#VALUE!</v>
      </c>
      <c r="S207" t="e">
        <f>AND(Sheet1!J2777,"AAAAAB/XfRI=")</f>
        <v>#VALUE!</v>
      </c>
      <c r="T207" t="e">
        <f>AND(Sheet1!K2777,"AAAAAB/XfRM=")</f>
        <v>#VALUE!</v>
      </c>
      <c r="U207" t="e">
        <f>AND(Sheet1!L2777,"AAAAAB/XfRQ=")</f>
        <v>#VALUE!</v>
      </c>
      <c r="V207" t="e">
        <f>AND(Sheet1!M2777,"AAAAAB/XfRU=")</f>
        <v>#VALUE!</v>
      </c>
      <c r="W207" t="e">
        <f>AND(Sheet1!N2777,"AAAAAB/XfRY=")</f>
        <v>#VALUE!</v>
      </c>
      <c r="X207" t="e">
        <f>AND(Sheet1!#REF!,"AAAAAB/XfRc=")</f>
        <v>#REF!</v>
      </c>
      <c r="Y207" t="e">
        <f>AND(Sheet1!#REF!,"AAAAAB/XfRg=")</f>
        <v>#REF!</v>
      </c>
      <c r="Z207" t="e">
        <f>AND(Sheet1!#REF!,"AAAAAB/XfRk=")</f>
        <v>#REF!</v>
      </c>
      <c r="AA207" t="e">
        <f>AND(Sheet1!#REF!,"AAAAAB/XfRo=")</f>
        <v>#REF!</v>
      </c>
      <c r="AB207">
        <f>IF(Sheet1!2778:2778,"AAAAAB/XfRs=",0)</f>
        <v>0</v>
      </c>
      <c r="AC207" t="e">
        <f>AND(Sheet1!A2778,"AAAAAB/XfRw=")</f>
        <v>#VALUE!</v>
      </c>
      <c r="AD207" t="e">
        <f>AND(Sheet1!B2778,"AAAAAB/XfR0=")</f>
        <v>#VALUE!</v>
      </c>
      <c r="AE207" t="e">
        <f>AND(Sheet1!C2778,"AAAAAB/XfR4=")</f>
        <v>#VALUE!</v>
      </c>
      <c r="AF207" t="e">
        <f>AND(Sheet1!D2778,"AAAAAB/XfR8=")</f>
        <v>#VALUE!</v>
      </c>
      <c r="AG207" t="e">
        <f>AND(Sheet1!E2778,"AAAAAB/XfSA=")</f>
        <v>#VALUE!</v>
      </c>
      <c r="AH207" t="e">
        <f>AND(Sheet1!F2778,"AAAAAB/XfSE=")</f>
        <v>#VALUE!</v>
      </c>
      <c r="AI207" t="e">
        <f>AND(Sheet1!G2778,"AAAAAB/XfSI=")</f>
        <v>#VALUE!</v>
      </c>
      <c r="AJ207" t="e">
        <f>AND(Sheet1!H2778,"AAAAAB/XfSM=")</f>
        <v>#VALUE!</v>
      </c>
      <c r="AK207" t="e">
        <f>AND(Sheet1!I2778,"AAAAAB/XfSQ=")</f>
        <v>#VALUE!</v>
      </c>
      <c r="AL207" t="e">
        <f>AND(Sheet1!J2778,"AAAAAB/XfSU=")</f>
        <v>#VALUE!</v>
      </c>
      <c r="AM207" t="e">
        <f>AND(Sheet1!K2778,"AAAAAB/XfSY=")</f>
        <v>#VALUE!</v>
      </c>
      <c r="AN207" t="e">
        <f>AND(Sheet1!L2778,"AAAAAB/XfSc=")</f>
        <v>#VALUE!</v>
      </c>
      <c r="AO207" t="e">
        <f>AND(Sheet1!M2778,"AAAAAB/XfSg=")</f>
        <v>#VALUE!</v>
      </c>
      <c r="AP207" t="e">
        <f>AND(Sheet1!N2778,"AAAAAB/XfSk=")</f>
        <v>#VALUE!</v>
      </c>
      <c r="AQ207" t="e">
        <f>AND(Sheet1!#REF!,"AAAAAB/XfSo=")</f>
        <v>#REF!</v>
      </c>
      <c r="AR207" t="e">
        <f>AND(Sheet1!#REF!,"AAAAAB/XfSs=")</f>
        <v>#REF!</v>
      </c>
      <c r="AS207" t="e">
        <f>AND(Sheet1!#REF!,"AAAAAB/XfSw=")</f>
        <v>#REF!</v>
      </c>
      <c r="AT207" t="e">
        <f>AND(Sheet1!#REF!,"AAAAAB/XfS0=")</f>
        <v>#REF!</v>
      </c>
      <c r="AU207">
        <f>IF(Sheet1!2779:2779,"AAAAAB/XfS4=",0)</f>
        <v>0</v>
      </c>
      <c r="AV207" t="e">
        <f>AND(Sheet1!A2779,"AAAAAB/XfS8=")</f>
        <v>#VALUE!</v>
      </c>
      <c r="AW207" t="e">
        <f>AND(Sheet1!B2779,"AAAAAB/XfTA=")</f>
        <v>#VALUE!</v>
      </c>
      <c r="AX207" t="e">
        <f>AND(Sheet1!C2779,"AAAAAB/XfTE=")</f>
        <v>#VALUE!</v>
      </c>
      <c r="AY207" t="e">
        <f>AND(Sheet1!D2779,"AAAAAB/XfTI=")</f>
        <v>#VALUE!</v>
      </c>
      <c r="AZ207" t="e">
        <f>AND(Sheet1!E2779,"AAAAAB/XfTM=")</f>
        <v>#VALUE!</v>
      </c>
      <c r="BA207" t="e">
        <f>AND(Sheet1!F2779,"AAAAAB/XfTQ=")</f>
        <v>#VALUE!</v>
      </c>
      <c r="BB207" t="e">
        <f>AND(Sheet1!G2779,"AAAAAB/XfTU=")</f>
        <v>#VALUE!</v>
      </c>
      <c r="BC207" t="e">
        <f>AND(Sheet1!H2779,"AAAAAB/XfTY=")</f>
        <v>#VALUE!</v>
      </c>
      <c r="BD207" t="e">
        <f>AND(Sheet1!I2779,"AAAAAB/XfTc=")</f>
        <v>#VALUE!</v>
      </c>
      <c r="BE207" t="e">
        <f>AND(Sheet1!J2779,"AAAAAB/XfTg=")</f>
        <v>#VALUE!</v>
      </c>
      <c r="BF207" t="e">
        <f>AND(Sheet1!K2779,"AAAAAB/XfTk=")</f>
        <v>#VALUE!</v>
      </c>
      <c r="BG207" t="e">
        <f>AND(Sheet1!L2779,"AAAAAB/XfTo=")</f>
        <v>#VALUE!</v>
      </c>
      <c r="BH207" t="e">
        <f>AND(Sheet1!M2779,"AAAAAB/XfTs=")</f>
        <v>#VALUE!</v>
      </c>
      <c r="BI207" t="e">
        <f>AND(Sheet1!N2779,"AAAAAB/XfTw=")</f>
        <v>#VALUE!</v>
      </c>
      <c r="BJ207" t="e">
        <f>AND(Sheet1!#REF!,"AAAAAB/XfT0=")</f>
        <v>#REF!</v>
      </c>
      <c r="BK207" t="e">
        <f>AND(Sheet1!#REF!,"AAAAAB/XfT4=")</f>
        <v>#REF!</v>
      </c>
      <c r="BL207" t="e">
        <f>AND(Sheet1!#REF!,"AAAAAB/XfT8=")</f>
        <v>#REF!</v>
      </c>
      <c r="BM207" t="e">
        <f>AND(Sheet1!#REF!,"AAAAAB/XfUA=")</f>
        <v>#REF!</v>
      </c>
      <c r="BN207">
        <f>IF(Sheet1!2780:2780,"AAAAAB/XfUE=",0)</f>
        <v>0</v>
      </c>
      <c r="BO207" t="e">
        <f>AND(Sheet1!A2780,"AAAAAB/XfUI=")</f>
        <v>#VALUE!</v>
      </c>
      <c r="BP207" t="e">
        <f>AND(Sheet1!B2780,"AAAAAB/XfUM=")</f>
        <v>#VALUE!</v>
      </c>
      <c r="BQ207" t="e">
        <f>AND(Sheet1!C2780,"AAAAAB/XfUQ=")</f>
        <v>#VALUE!</v>
      </c>
      <c r="BR207" t="e">
        <f>AND(Sheet1!D2780,"AAAAAB/XfUU=")</f>
        <v>#VALUE!</v>
      </c>
      <c r="BS207" t="e">
        <f>AND(Sheet1!E2780,"AAAAAB/XfUY=")</f>
        <v>#VALUE!</v>
      </c>
      <c r="BT207" t="e">
        <f>AND(Sheet1!F2780,"AAAAAB/XfUc=")</f>
        <v>#VALUE!</v>
      </c>
      <c r="BU207" t="e">
        <f>AND(Sheet1!G2780,"AAAAAB/XfUg=")</f>
        <v>#VALUE!</v>
      </c>
      <c r="BV207" t="e">
        <f>AND(Sheet1!H2780,"AAAAAB/XfUk=")</f>
        <v>#VALUE!</v>
      </c>
      <c r="BW207" t="e">
        <f>AND(Sheet1!I2780,"AAAAAB/XfUo=")</f>
        <v>#VALUE!</v>
      </c>
      <c r="BX207" t="e">
        <f>AND(Sheet1!J2780,"AAAAAB/XfUs=")</f>
        <v>#VALUE!</v>
      </c>
      <c r="BY207" t="e">
        <f>AND(Sheet1!K2780,"AAAAAB/XfUw=")</f>
        <v>#VALUE!</v>
      </c>
      <c r="BZ207" t="e">
        <f>AND(Sheet1!L2780,"AAAAAB/XfU0=")</f>
        <v>#VALUE!</v>
      </c>
      <c r="CA207" t="e">
        <f>AND(Sheet1!M2780,"AAAAAB/XfU4=")</f>
        <v>#VALUE!</v>
      </c>
      <c r="CB207" t="e">
        <f>AND(Sheet1!N2780,"AAAAAB/XfU8=")</f>
        <v>#VALUE!</v>
      </c>
      <c r="CC207" t="e">
        <f>AND(Sheet1!#REF!,"AAAAAB/XfVA=")</f>
        <v>#REF!</v>
      </c>
      <c r="CD207" t="e">
        <f>AND(Sheet1!#REF!,"AAAAAB/XfVE=")</f>
        <v>#REF!</v>
      </c>
      <c r="CE207" t="e">
        <f>AND(Sheet1!#REF!,"AAAAAB/XfVI=")</f>
        <v>#REF!</v>
      </c>
      <c r="CF207" t="e">
        <f>AND(Sheet1!#REF!,"AAAAAB/XfVM=")</f>
        <v>#REF!</v>
      </c>
      <c r="CG207">
        <f>IF(Sheet1!2781:2781,"AAAAAB/XfVQ=",0)</f>
        <v>0</v>
      </c>
      <c r="CH207" t="e">
        <f>AND(Sheet1!A2781,"AAAAAB/XfVU=")</f>
        <v>#VALUE!</v>
      </c>
      <c r="CI207" t="e">
        <f>AND(Sheet1!B2781,"AAAAAB/XfVY=")</f>
        <v>#VALUE!</v>
      </c>
      <c r="CJ207" t="e">
        <f>AND(Sheet1!C2781,"AAAAAB/XfVc=")</f>
        <v>#VALUE!</v>
      </c>
      <c r="CK207" t="e">
        <f>AND(Sheet1!D2781,"AAAAAB/XfVg=")</f>
        <v>#VALUE!</v>
      </c>
      <c r="CL207" t="e">
        <f>AND(Sheet1!E2781,"AAAAAB/XfVk=")</f>
        <v>#VALUE!</v>
      </c>
      <c r="CM207" t="e">
        <f>AND(Sheet1!F2781,"AAAAAB/XfVo=")</f>
        <v>#VALUE!</v>
      </c>
      <c r="CN207" t="e">
        <f>AND(Sheet1!G2781,"AAAAAB/XfVs=")</f>
        <v>#VALUE!</v>
      </c>
      <c r="CO207" t="e">
        <f>AND(Sheet1!H2781,"AAAAAB/XfVw=")</f>
        <v>#VALUE!</v>
      </c>
      <c r="CP207" t="e">
        <f>AND(Sheet1!I2781,"AAAAAB/XfV0=")</f>
        <v>#VALUE!</v>
      </c>
      <c r="CQ207" t="e">
        <f>AND(Sheet1!J2781,"AAAAAB/XfV4=")</f>
        <v>#VALUE!</v>
      </c>
      <c r="CR207" t="e">
        <f>AND(Sheet1!K2781,"AAAAAB/XfV8=")</f>
        <v>#VALUE!</v>
      </c>
      <c r="CS207" t="e">
        <f>AND(Sheet1!L2781,"AAAAAB/XfWA=")</f>
        <v>#VALUE!</v>
      </c>
      <c r="CT207" t="e">
        <f>AND(Sheet1!M2781,"AAAAAB/XfWE=")</f>
        <v>#VALUE!</v>
      </c>
      <c r="CU207" t="e">
        <f>AND(Sheet1!N2781,"AAAAAB/XfWI=")</f>
        <v>#VALUE!</v>
      </c>
      <c r="CV207" t="e">
        <f>AND(Sheet1!#REF!,"AAAAAB/XfWM=")</f>
        <v>#REF!</v>
      </c>
      <c r="CW207" t="e">
        <f>AND(Sheet1!#REF!,"AAAAAB/XfWQ=")</f>
        <v>#REF!</v>
      </c>
      <c r="CX207" t="e">
        <f>AND(Sheet1!#REF!,"AAAAAB/XfWU=")</f>
        <v>#REF!</v>
      </c>
      <c r="CY207" t="e">
        <f>AND(Sheet1!#REF!,"AAAAAB/XfWY=")</f>
        <v>#REF!</v>
      </c>
      <c r="CZ207">
        <f>IF(Sheet1!2782:2782,"AAAAAB/XfWc=",0)</f>
        <v>0</v>
      </c>
      <c r="DA207" t="e">
        <f>AND(Sheet1!A2782,"AAAAAB/XfWg=")</f>
        <v>#VALUE!</v>
      </c>
      <c r="DB207" t="e">
        <f>AND(Sheet1!B2782,"AAAAAB/XfWk=")</f>
        <v>#VALUE!</v>
      </c>
      <c r="DC207" t="e">
        <f>AND(Sheet1!C2782,"AAAAAB/XfWo=")</f>
        <v>#VALUE!</v>
      </c>
      <c r="DD207" t="e">
        <f>AND(Sheet1!D2782,"AAAAAB/XfWs=")</f>
        <v>#VALUE!</v>
      </c>
      <c r="DE207" t="e">
        <f>AND(Sheet1!E2782,"AAAAAB/XfWw=")</f>
        <v>#VALUE!</v>
      </c>
      <c r="DF207" t="e">
        <f>AND(Sheet1!F2782,"AAAAAB/XfW0=")</f>
        <v>#VALUE!</v>
      </c>
      <c r="DG207" t="e">
        <f>AND(Sheet1!G2782,"AAAAAB/XfW4=")</f>
        <v>#VALUE!</v>
      </c>
      <c r="DH207" t="e">
        <f>AND(Sheet1!H2782,"AAAAAB/XfW8=")</f>
        <v>#VALUE!</v>
      </c>
      <c r="DI207" t="e">
        <f>AND(Sheet1!I2782,"AAAAAB/XfXA=")</f>
        <v>#VALUE!</v>
      </c>
      <c r="DJ207" t="e">
        <f>AND(Sheet1!J2782,"AAAAAB/XfXE=")</f>
        <v>#VALUE!</v>
      </c>
      <c r="DK207" t="e">
        <f>AND(Sheet1!K2782,"AAAAAB/XfXI=")</f>
        <v>#VALUE!</v>
      </c>
      <c r="DL207" t="e">
        <f>AND(Sheet1!L2782,"AAAAAB/XfXM=")</f>
        <v>#VALUE!</v>
      </c>
      <c r="DM207" t="e">
        <f>AND(Sheet1!M2782,"AAAAAB/XfXQ=")</f>
        <v>#VALUE!</v>
      </c>
      <c r="DN207" t="e">
        <f>AND(Sheet1!N2782,"AAAAAB/XfXU=")</f>
        <v>#VALUE!</v>
      </c>
      <c r="DO207" t="e">
        <f>AND(Sheet1!#REF!,"AAAAAB/XfXY=")</f>
        <v>#REF!</v>
      </c>
      <c r="DP207" t="e">
        <f>AND(Sheet1!#REF!,"AAAAAB/XfXc=")</f>
        <v>#REF!</v>
      </c>
      <c r="DQ207" t="e">
        <f>AND(Sheet1!#REF!,"AAAAAB/XfXg=")</f>
        <v>#REF!</v>
      </c>
      <c r="DR207" t="e">
        <f>AND(Sheet1!#REF!,"AAAAAB/XfXk=")</f>
        <v>#REF!</v>
      </c>
      <c r="DS207">
        <f>IF(Sheet1!2783:2783,"AAAAAB/XfXo=",0)</f>
        <v>0</v>
      </c>
      <c r="DT207" t="e">
        <f>AND(Sheet1!A2783,"AAAAAB/XfXs=")</f>
        <v>#VALUE!</v>
      </c>
      <c r="DU207" t="e">
        <f>AND(Sheet1!B2783,"AAAAAB/XfXw=")</f>
        <v>#VALUE!</v>
      </c>
      <c r="DV207" t="e">
        <f>AND(Sheet1!C2783,"AAAAAB/XfX0=")</f>
        <v>#VALUE!</v>
      </c>
      <c r="DW207" t="e">
        <f>AND(Sheet1!D2783,"AAAAAB/XfX4=")</f>
        <v>#VALUE!</v>
      </c>
      <c r="DX207" t="e">
        <f>AND(Sheet1!E2783,"AAAAAB/XfX8=")</f>
        <v>#VALUE!</v>
      </c>
      <c r="DY207" t="e">
        <f>AND(Sheet1!F2783,"AAAAAB/XfYA=")</f>
        <v>#VALUE!</v>
      </c>
      <c r="DZ207" t="e">
        <f>AND(Sheet1!G2783,"AAAAAB/XfYE=")</f>
        <v>#VALUE!</v>
      </c>
      <c r="EA207" t="e">
        <f>AND(Sheet1!H2783,"AAAAAB/XfYI=")</f>
        <v>#VALUE!</v>
      </c>
      <c r="EB207" t="e">
        <f>AND(Sheet1!I2783,"AAAAAB/XfYM=")</f>
        <v>#VALUE!</v>
      </c>
      <c r="EC207" t="e">
        <f>AND(Sheet1!J2783,"AAAAAB/XfYQ=")</f>
        <v>#VALUE!</v>
      </c>
      <c r="ED207" t="e">
        <f>AND(Sheet1!K2783,"AAAAAB/XfYU=")</f>
        <v>#VALUE!</v>
      </c>
      <c r="EE207" t="e">
        <f>AND(Sheet1!L2783,"AAAAAB/XfYY=")</f>
        <v>#VALUE!</v>
      </c>
      <c r="EF207" t="e">
        <f>AND(Sheet1!M2783,"AAAAAB/XfYc=")</f>
        <v>#VALUE!</v>
      </c>
      <c r="EG207" t="e">
        <f>AND(Sheet1!N2783,"AAAAAB/XfYg=")</f>
        <v>#VALUE!</v>
      </c>
      <c r="EH207" t="e">
        <f>AND(Sheet1!#REF!,"AAAAAB/XfYk=")</f>
        <v>#REF!</v>
      </c>
      <c r="EI207" t="e">
        <f>AND(Sheet1!#REF!,"AAAAAB/XfYo=")</f>
        <v>#REF!</v>
      </c>
      <c r="EJ207" t="e">
        <f>AND(Sheet1!#REF!,"AAAAAB/XfYs=")</f>
        <v>#REF!</v>
      </c>
      <c r="EK207" t="e">
        <f>AND(Sheet1!#REF!,"AAAAAB/XfYw=")</f>
        <v>#REF!</v>
      </c>
      <c r="EL207">
        <f>IF(Sheet1!2784:2784,"AAAAAB/XfY0=",0)</f>
        <v>0</v>
      </c>
      <c r="EM207" t="e">
        <f>AND(Sheet1!A2784,"AAAAAB/XfY4=")</f>
        <v>#VALUE!</v>
      </c>
      <c r="EN207" t="e">
        <f>AND(Sheet1!B2784,"AAAAAB/XfY8=")</f>
        <v>#VALUE!</v>
      </c>
      <c r="EO207" t="e">
        <f>AND(Sheet1!C2784,"AAAAAB/XfZA=")</f>
        <v>#VALUE!</v>
      </c>
      <c r="EP207" t="e">
        <f>AND(Sheet1!D2784,"AAAAAB/XfZE=")</f>
        <v>#VALUE!</v>
      </c>
      <c r="EQ207" t="e">
        <f>AND(Sheet1!E2784,"AAAAAB/XfZI=")</f>
        <v>#VALUE!</v>
      </c>
      <c r="ER207" t="e">
        <f>AND(Sheet1!F2784,"AAAAAB/XfZM=")</f>
        <v>#VALUE!</v>
      </c>
      <c r="ES207" t="e">
        <f>AND(Sheet1!G2784,"AAAAAB/XfZQ=")</f>
        <v>#VALUE!</v>
      </c>
      <c r="ET207" t="e">
        <f>AND(Sheet1!H2784,"AAAAAB/XfZU=")</f>
        <v>#VALUE!</v>
      </c>
      <c r="EU207" t="e">
        <f>AND(Sheet1!I2784,"AAAAAB/XfZY=")</f>
        <v>#VALUE!</v>
      </c>
      <c r="EV207" t="e">
        <f>AND(Sheet1!J2784,"AAAAAB/XfZc=")</f>
        <v>#VALUE!</v>
      </c>
      <c r="EW207" t="e">
        <f>AND(Sheet1!K2784,"AAAAAB/XfZg=")</f>
        <v>#VALUE!</v>
      </c>
      <c r="EX207" t="e">
        <f>AND(Sheet1!L2784,"AAAAAB/XfZk=")</f>
        <v>#VALUE!</v>
      </c>
      <c r="EY207" t="e">
        <f>AND(Sheet1!M2784,"AAAAAB/XfZo=")</f>
        <v>#VALUE!</v>
      </c>
      <c r="EZ207" t="e">
        <f>AND(Sheet1!N2784,"AAAAAB/XfZs=")</f>
        <v>#VALUE!</v>
      </c>
      <c r="FA207" t="e">
        <f>AND(Sheet1!#REF!,"AAAAAB/XfZw=")</f>
        <v>#REF!</v>
      </c>
      <c r="FB207" t="e">
        <f>AND(Sheet1!#REF!,"AAAAAB/XfZ0=")</f>
        <v>#REF!</v>
      </c>
      <c r="FC207" t="e">
        <f>AND(Sheet1!#REF!,"AAAAAB/XfZ4=")</f>
        <v>#REF!</v>
      </c>
      <c r="FD207" t="e">
        <f>AND(Sheet1!#REF!,"AAAAAB/XfZ8=")</f>
        <v>#REF!</v>
      </c>
      <c r="FE207">
        <f>IF(Sheet1!2785:2785,"AAAAAB/XfaA=",0)</f>
        <v>0</v>
      </c>
      <c r="FF207" t="e">
        <f>AND(Sheet1!A2785,"AAAAAB/XfaE=")</f>
        <v>#VALUE!</v>
      </c>
      <c r="FG207" t="e">
        <f>AND(Sheet1!B2785,"AAAAAB/XfaI=")</f>
        <v>#VALUE!</v>
      </c>
      <c r="FH207" t="e">
        <f>AND(Sheet1!C2785,"AAAAAB/XfaM=")</f>
        <v>#VALUE!</v>
      </c>
      <c r="FI207" t="e">
        <f>AND(Sheet1!D2785,"AAAAAB/XfaQ=")</f>
        <v>#VALUE!</v>
      </c>
      <c r="FJ207" t="e">
        <f>AND(Sheet1!E2785,"AAAAAB/XfaU=")</f>
        <v>#VALUE!</v>
      </c>
      <c r="FK207" t="e">
        <f>AND(Sheet1!F2785,"AAAAAB/XfaY=")</f>
        <v>#VALUE!</v>
      </c>
      <c r="FL207" t="e">
        <f>AND(Sheet1!G2785,"AAAAAB/Xfac=")</f>
        <v>#VALUE!</v>
      </c>
      <c r="FM207" t="e">
        <f>AND(Sheet1!H2785,"AAAAAB/Xfag=")</f>
        <v>#VALUE!</v>
      </c>
      <c r="FN207" t="e">
        <f>AND(Sheet1!I2785,"AAAAAB/Xfak=")</f>
        <v>#VALUE!</v>
      </c>
      <c r="FO207" t="e">
        <f>AND(Sheet1!J2785,"AAAAAB/Xfao=")</f>
        <v>#VALUE!</v>
      </c>
      <c r="FP207" t="e">
        <f>AND(Sheet1!K2785,"AAAAAB/Xfas=")</f>
        <v>#VALUE!</v>
      </c>
      <c r="FQ207" t="e">
        <f>AND(Sheet1!L2785,"AAAAAB/Xfaw=")</f>
        <v>#VALUE!</v>
      </c>
      <c r="FR207" t="e">
        <f>AND(Sheet1!M2785,"AAAAAB/Xfa0=")</f>
        <v>#VALUE!</v>
      </c>
      <c r="FS207" t="e">
        <f>AND(Sheet1!N2785,"AAAAAB/Xfa4=")</f>
        <v>#VALUE!</v>
      </c>
      <c r="FT207" t="e">
        <f>AND(Sheet1!#REF!,"AAAAAB/Xfa8=")</f>
        <v>#REF!</v>
      </c>
      <c r="FU207" t="e">
        <f>AND(Sheet1!#REF!,"AAAAAB/XfbA=")</f>
        <v>#REF!</v>
      </c>
      <c r="FV207" t="e">
        <f>AND(Sheet1!#REF!,"AAAAAB/XfbE=")</f>
        <v>#REF!</v>
      </c>
      <c r="FW207" t="e">
        <f>AND(Sheet1!#REF!,"AAAAAB/XfbI=")</f>
        <v>#REF!</v>
      </c>
      <c r="FX207">
        <f>IF(Sheet1!2786:2786,"AAAAAB/XfbM=",0)</f>
        <v>0</v>
      </c>
      <c r="FY207" t="e">
        <f>AND(Sheet1!A2786,"AAAAAB/XfbQ=")</f>
        <v>#VALUE!</v>
      </c>
      <c r="FZ207" t="e">
        <f>AND(Sheet1!B2786,"AAAAAB/XfbU=")</f>
        <v>#VALUE!</v>
      </c>
      <c r="GA207" t="e">
        <f>AND(Sheet1!C2786,"AAAAAB/XfbY=")</f>
        <v>#VALUE!</v>
      </c>
      <c r="GB207" t="e">
        <f>AND(Sheet1!D2786,"AAAAAB/Xfbc=")</f>
        <v>#VALUE!</v>
      </c>
      <c r="GC207" t="e">
        <f>AND(Sheet1!E2786,"AAAAAB/Xfbg=")</f>
        <v>#VALUE!</v>
      </c>
      <c r="GD207" t="e">
        <f>AND(Sheet1!F2786,"AAAAAB/Xfbk=")</f>
        <v>#VALUE!</v>
      </c>
      <c r="GE207" t="e">
        <f>AND(Sheet1!G2786,"AAAAAB/Xfbo=")</f>
        <v>#VALUE!</v>
      </c>
      <c r="GF207" t="e">
        <f>AND(Sheet1!H2786,"AAAAAB/Xfbs=")</f>
        <v>#VALUE!</v>
      </c>
      <c r="GG207" t="e">
        <f>AND(Sheet1!I2786,"AAAAAB/Xfbw=")</f>
        <v>#VALUE!</v>
      </c>
      <c r="GH207" t="e">
        <f>AND(Sheet1!J2786,"AAAAAB/Xfb0=")</f>
        <v>#VALUE!</v>
      </c>
      <c r="GI207" t="e">
        <f>AND(Sheet1!K2786,"AAAAAB/Xfb4=")</f>
        <v>#VALUE!</v>
      </c>
      <c r="GJ207" t="e">
        <f>AND(Sheet1!L2786,"AAAAAB/Xfb8=")</f>
        <v>#VALUE!</v>
      </c>
      <c r="GK207" t="e">
        <f>AND(Sheet1!M2786,"AAAAAB/XfcA=")</f>
        <v>#VALUE!</v>
      </c>
      <c r="GL207" t="e">
        <f>AND(Sheet1!N2786,"AAAAAB/XfcE=")</f>
        <v>#VALUE!</v>
      </c>
      <c r="GM207" t="e">
        <f>AND(Sheet1!#REF!,"AAAAAB/XfcI=")</f>
        <v>#REF!</v>
      </c>
      <c r="GN207" t="e">
        <f>AND(Sheet1!#REF!,"AAAAAB/XfcM=")</f>
        <v>#REF!</v>
      </c>
      <c r="GO207" t="e">
        <f>AND(Sheet1!#REF!,"AAAAAB/XfcQ=")</f>
        <v>#REF!</v>
      </c>
      <c r="GP207" t="e">
        <f>AND(Sheet1!#REF!,"AAAAAB/XfcU=")</f>
        <v>#REF!</v>
      </c>
      <c r="GQ207">
        <f>IF(Sheet1!2787:2787,"AAAAAB/XfcY=",0)</f>
        <v>0</v>
      </c>
      <c r="GR207" t="e">
        <f>AND(Sheet1!A2787,"AAAAAB/Xfcc=")</f>
        <v>#VALUE!</v>
      </c>
      <c r="GS207" t="e">
        <f>AND(Sheet1!B2787,"AAAAAB/Xfcg=")</f>
        <v>#VALUE!</v>
      </c>
      <c r="GT207" t="e">
        <f>AND(Sheet1!C2787,"AAAAAB/Xfck=")</f>
        <v>#VALUE!</v>
      </c>
      <c r="GU207" t="e">
        <f>AND(Sheet1!D2787,"AAAAAB/Xfco=")</f>
        <v>#VALUE!</v>
      </c>
      <c r="GV207" t="e">
        <f>AND(Sheet1!E2787,"AAAAAB/Xfcs=")</f>
        <v>#VALUE!</v>
      </c>
      <c r="GW207" t="e">
        <f>AND(Sheet1!F2787,"AAAAAB/Xfcw=")</f>
        <v>#VALUE!</v>
      </c>
      <c r="GX207" t="e">
        <f>AND(Sheet1!G2787,"AAAAAB/Xfc0=")</f>
        <v>#VALUE!</v>
      </c>
      <c r="GY207" t="e">
        <f>AND(Sheet1!H2787,"AAAAAB/Xfc4=")</f>
        <v>#VALUE!</v>
      </c>
      <c r="GZ207" t="e">
        <f>AND(Sheet1!I2787,"AAAAAB/Xfc8=")</f>
        <v>#VALUE!</v>
      </c>
      <c r="HA207" t="e">
        <f>AND(Sheet1!J2787,"AAAAAB/XfdA=")</f>
        <v>#VALUE!</v>
      </c>
      <c r="HB207" t="e">
        <f>AND(Sheet1!K2787,"AAAAAB/XfdE=")</f>
        <v>#VALUE!</v>
      </c>
      <c r="HC207" t="e">
        <f>AND(Sheet1!L2787,"AAAAAB/XfdI=")</f>
        <v>#VALUE!</v>
      </c>
      <c r="HD207" t="e">
        <f>AND(Sheet1!M2787,"AAAAAB/XfdM=")</f>
        <v>#VALUE!</v>
      </c>
      <c r="HE207" t="e">
        <f>AND(Sheet1!N2787,"AAAAAB/XfdQ=")</f>
        <v>#VALUE!</v>
      </c>
      <c r="HF207" t="e">
        <f>AND(Sheet1!#REF!,"AAAAAB/XfdU=")</f>
        <v>#REF!</v>
      </c>
      <c r="HG207" t="e">
        <f>AND(Sheet1!#REF!,"AAAAAB/XfdY=")</f>
        <v>#REF!</v>
      </c>
      <c r="HH207" t="e">
        <f>AND(Sheet1!#REF!,"AAAAAB/Xfdc=")</f>
        <v>#REF!</v>
      </c>
      <c r="HI207" t="e">
        <f>AND(Sheet1!#REF!,"AAAAAB/Xfdg=")</f>
        <v>#REF!</v>
      </c>
      <c r="HJ207">
        <f>IF(Sheet1!2788:2788,"AAAAAB/Xfdk=",0)</f>
        <v>0</v>
      </c>
      <c r="HK207" t="e">
        <f>AND(Sheet1!A2788,"AAAAAB/Xfdo=")</f>
        <v>#VALUE!</v>
      </c>
      <c r="HL207" t="e">
        <f>AND(Sheet1!B2788,"AAAAAB/Xfds=")</f>
        <v>#VALUE!</v>
      </c>
      <c r="HM207" t="e">
        <f>AND(Sheet1!C2788,"AAAAAB/Xfdw=")</f>
        <v>#VALUE!</v>
      </c>
      <c r="HN207" t="e">
        <f>AND(Sheet1!D2788,"AAAAAB/Xfd0=")</f>
        <v>#VALUE!</v>
      </c>
      <c r="HO207" t="e">
        <f>AND(Sheet1!E2788,"AAAAAB/Xfd4=")</f>
        <v>#VALUE!</v>
      </c>
      <c r="HP207" t="e">
        <f>AND(Sheet1!F2788,"AAAAAB/Xfd8=")</f>
        <v>#VALUE!</v>
      </c>
      <c r="HQ207" t="e">
        <f>AND(Sheet1!G2788,"AAAAAB/XfeA=")</f>
        <v>#VALUE!</v>
      </c>
      <c r="HR207" t="e">
        <f>AND(Sheet1!H2788,"AAAAAB/XfeE=")</f>
        <v>#VALUE!</v>
      </c>
      <c r="HS207" t="e">
        <f>AND(Sheet1!I2788,"AAAAAB/XfeI=")</f>
        <v>#VALUE!</v>
      </c>
      <c r="HT207" t="e">
        <f>AND(Sheet1!J2788,"AAAAAB/XfeM=")</f>
        <v>#VALUE!</v>
      </c>
      <c r="HU207" t="e">
        <f>AND(Sheet1!K2788,"AAAAAB/XfeQ=")</f>
        <v>#VALUE!</v>
      </c>
      <c r="HV207" t="e">
        <f>AND(Sheet1!L2788,"AAAAAB/XfeU=")</f>
        <v>#VALUE!</v>
      </c>
      <c r="HW207" t="e">
        <f>AND(Sheet1!M2788,"AAAAAB/XfeY=")</f>
        <v>#VALUE!</v>
      </c>
      <c r="HX207" t="e">
        <f>AND(Sheet1!N2788,"AAAAAB/Xfec=")</f>
        <v>#VALUE!</v>
      </c>
      <c r="HY207" t="e">
        <f>AND(Sheet1!#REF!,"AAAAAB/Xfeg=")</f>
        <v>#REF!</v>
      </c>
      <c r="HZ207" t="e">
        <f>AND(Sheet1!#REF!,"AAAAAB/Xfek=")</f>
        <v>#REF!</v>
      </c>
      <c r="IA207" t="e">
        <f>AND(Sheet1!#REF!,"AAAAAB/Xfeo=")</f>
        <v>#REF!</v>
      </c>
      <c r="IB207" t="e">
        <f>AND(Sheet1!#REF!,"AAAAAB/Xfes=")</f>
        <v>#REF!</v>
      </c>
      <c r="IC207">
        <f>IF(Sheet1!2789:2789,"AAAAAB/Xfew=",0)</f>
        <v>0</v>
      </c>
      <c r="ID207" t="e">
        <f>AND(Sheet1!A2789,"AAAAAB/Xfe0=")</f>
        <v>#VALUE!</v>
      </c>
      <c r="IE207" t="e">
        <f>AND(Sheet1!B2789,"AAAAAB/Xfe4=")</f>
        <v>#VALUE!</v>
      </c>
      <c r="IF207" t="e">
        <f>AND(Sheet1!C2789,"AAAAAB/Xfe8=")</f>
        <v>#VALUE!</v>
      </c>
      <c r="IG207" t="e">
        <f>AND(Sheet1!D2789,"AAAAAB/XffA=")</f>
        <v>#VALUE!</v>
      </c>
      <c r="IH207" t="e">
        <f>AND(Sheet1!E2789,"AAAAAB/XffE=")</f>
        <v>#VALUE!</v>
      </c>
      <c r="II207" t="e">
        <f>AND(Sheet1!F2789,"AAAAAB/XffI=")</f>
        <v>#VALUE!</v>
      </c>
      <c r="IJ207" t="e">
        <f>AND(Sheet1!G2789,"AAAAAB/XffM=")</f>
        <v>#VALUE!</v>
      </c>
      <c r="IK207" t="e">
        <f>AND(Sheet1!H2789,"AAAAAB/XffQ=")</f>
        <v>#VALUE!</v>
      </c>
      <c r="IL207" t="e">
        <f>AND(Sheet1!I2789,"AAAAAB/XffU=")</f>
        <v>#VALUE!</v>
      </c>
      <c r="IM207" t="e">
        <f>AND(Sheet1!J2789,"AAAAAB/XffY=")</f>
        <v>#VALUE!</v>
      </c>
      <c r="IN207" t="e">
        <f>AND(Sheet1!K2789,"AAAAAB/Xffc=")</f>
        <v>#VALUE!</v>
      </c>
      <c r="IO207" t="e">
        <f>AND(Sheet1!L2789,"AAAAAB/Xffg=")</f>
        <v>#VALUE!</v>
      </c>
      <c r="IP207" t="e">
        <f>AND(Sheet1!M2789,"AAAAAB/Xffk=")</f>
        <v>#VALUE!</v>
      </c>
      <c r="IQ207" t="e">
        <f>AND(Sheet1!N2789,"AAAAAB/Xffo=")</f>
        <v>#VALUE!</v>
      </c>
      <c r="IR207" t="e">
        <f>AND(Sheet1!#REF!,"AAAAAB/Xffs=")</f>
        <v>#REF!</v>
      </c>
      <c r="IS207" t="e">
        <f>AND(Sheet1!#REF!,"AAAAAB/Xffw=")</f>
        <v>#REF!</v>
      </c>
      <c r="IT207" t="e">
        <f>AND(Sheet1!#REF!,"AAAAAB/Xff0=")</f>
        <v>#REF!</v>
      </c>
      <c r="IU207" t="e">
        <f>AND(Sheet1!#REF!,"AAAAAB/Xff4=")</f>
        <v>#REF!</v>
      </c>
      <c r="IV207">
        <f>IF(Sheet1!2790:2790,"AAAAAB/Xff8=",0)</f>
        <v>0</v>
      </c>
    </row>
    <row r="208" spans="1:256" x14ac:dyDescent="0.2">
      <c r="A208" t="e">
        <f>AND(Sheet1!A2790,"AAAAAH/4/AA=")</f>
        <v>#VALUE!</v>
      </c>
      <c r="B208" t="e">
        <f>AND(Sheet1!B2790,"AAAAAH/4/AE=")</f>
        <v>#VALUE!</v>
      </c>
      <c r="C208" t="e">
        <f>AND(Sheet1!C2790,"AAAAAH/4/AI=")</f>
        <v>#VALUE!</v>
      </c>
      <c r="D208" t="e">
        <f>AND(Sheet1!D2790,"AAAAAH/4/AM=")</f>
        <v>#VALUE!</v>
      </c>
      <c r="E208" t="e">
        <f>AND(Sheet1!E2790,"AAAAAH/4/AQ=")</f>
        <v>#VALUE!</v>
      </c>
      <c r="F208" t="e">
        <f>AND(Sheet1!F2790,"AAAAAH/4/AU=")</f>
        <v>#VALUE!</v>
      </c>
      <c r="G208" t="e">
        <f>AND(Sheet1!G2790,"AAAAAH/4/AY=")</f>
        <v>#VALUE!</v>
      </c>
      <c r="H208" t="e">
        <f>AND(Sheet1!H2790,"AAAAAH/4/Ac=")</f>
        <v>#VALUE!</v>
      </c>
      <c r="I208" t="e">
        <f>AND(Sheet1!I2790,"AAAAAH/4/Ag=")</f>
        <v>#VALUE!</v>
      </c>
      <c r="J208" t="e">
        <f>AND(Sheet1!J2790,"AAAAAH/4/Ak=")</f>
        <v>#VALUE!</v>
      </c>
      <c r="K208" t="e">
        <f>AND(Sheet1!K2790,"AAAAAH/4/Ao=")</f>
        <v>#VALUE!</v>
      </c>
      <c r="L208" t="e">
        <f>AND(Sheet1!L2790,"AAAAAH/4/As=")</f>
        <v>#VALUE!</v>
      </c>
      <c r="M208" t="e">
        <f>AND(Sheet1!M2790,"AAAAAH/4/Aw=")</f>
        <v>#VALUE!</v>
      </c>
      <c r="N208" t="e">
        <f>AND(Sheet1!N2790,"AAAAAH/4/A0=")</f>
        <v>#VALUE!</v>
      </c>
      <c r="O208" t="e">
        <f>AND(Sheet1!#REF!,"AAAAAH/4/A4=")</f>
        <v>#REF!</v>
      </c>
      <c r="P208" t="e">
        <f>AND(Sheet1!#REF!,"AAAAAH/4/A8=")</f>
        <v>#REF!</v>
      </c>
      <c r="Q208" t="e">
        <f>AND(Sheet1!#REF!,"AAAAAH/4/BA=")</f>
        <v>#REF!</v>
      </c>
      <c r="R208" t="e">
        <f>AND(Sheet1!#REF!,"AAAAAH/4/BE=")</f>
        <v>#REF!</v>
      </c>
      <c r="S208">
        <f>IF(Sheet1!2791:2791,"AAAAAH/4/BI=",0)</f>
        <v>0</v>
      </c>
      <c r="T208" t="e">
        <f>AND(Sheet1!A2791,"AAAAAH/4/BM=")</f>
        <v>#VALUE!</v>
      </c>
      <c r="U208" t="e">
        <f>AND(Sheet1!B2791,"AAAAAH/4/BQ=")</f>
        <v>#VALUE!</v>
      </c>
      <c r="V208" t="e">
        <f>AND(Sheet1!C2791,"AAAAAH/4/BU=")</f>
        <v>#VALUE!</v>
      </c>
      <c r="W208" t="e">
        <f>AND(Sheet1!D2791,"AAAAAH/4/BY=")</f>
        <v>#VALUE!</v>
      </c>
      <c r="X208" t="e">
        <f>AND(Sheet1!E2791,"AAAAAH/4/Bc=")</f>
        <v>#VALUE!</v>
      </c>
      <c r="Y208" t="e">
        <f>AND(Sheet1!F2791,"AAAAAH/4/Bg=")</f>
        <v>#VALUE!</v>
      </c>
      <c r="Z208" t="e">
        <f>AND(Sheet1!G2791,"AAAAAH/4/Bk=")</f>
        <v>#VALUE!</v>
      </c>
      <c r="AA208" t="e">
        <f>AND(Sheet1!H2791,"AAAAAH/4/Bo=")</f>
        <v>#VALUE!</v>
      </c>
      <c r="AB208" t="e">
        <f>AND(Sheet1!I2791,"AAAAAH/4/Bs=")</f>
        <v>#VALUE!</v>
      </c>
      <c r="AC208" t="e">
        <f>AND(Sheet1!J2791,"AAAAAH/4/Bw=")</f>
        <v>#VALUE!</v>
      </c>
      <c r="AD208" t="e">
        <f>AND(Sheet1!K2791,"AAAAAH/4/B0=")</f>
        <v>#VALUE!</v>
      </c>
      <c r="AE208" t="e">
        <f>AND(Sheet1!L2791,"AAAAAH/4/B4=")</f>
        <v>#VALUE!</v>
      </c>
      <c r="AF208" t="e">
        <f>AND(Sheet1!M2791,"AAAAAH/4/B8=")</f>
        <v>#VALUE!</v>
      </c>
      <c r="AG208" t="e">
        <f>AND(Sheet1!N2791,"AAAAAH/4/CA=")</f>
        <v>#VALUE!</v>
      </c>
      <c r="AH208" t="e">
        <f>AND(Sheet1!#REF!,"AAAAAH/4/CE=")</f>
        <v>#REF!</v>
      </c>
      <c r="AI208" t="e">
        <f>AND(Sheet1!#REF!,"AAAAAH/4/CI=")</f>
        <v>#REF!</v>
      </c>
      <c r="AJ208" t="e">
        <f>AND(Sheet1!#REF!,"AAAAAH/4/CM=")</f>
        <v>#REF!</v>
      </c>
      <c r="AK208" t="e">
        <f>AND(Sheet1!#REF!,"AAAAAH/4/CQ=")</f>
        <v>#REF!</v>
      </c>
      <c r="AL208">
        <f>IF(Sheet1!2792:2792,"AAAAAH/4/CU=",0)</f>
        <v>0</v>
      </c>
      <c r="AM208" t="e">
        <f>AND(Sheet1!A2792,"AAAAAH/4/CY=")</f>
        <v>#VALUE!</v>
      </c>
      <c r="AN208" t="e">
        <f>AND(Sheet1!B2792,"AAAAAH/4/Cc=")</f>
        <v>#VALUE!</v>
      </c>
      <c r="AO208" t="e">
        <f>AND(Sheet1!C2792,"AAAAAH/4/Cg=")</f>
        <v>#VALUE!</v>
      </c>
      <c r="AP208" t="e">
        <f>AND(Sheet1!D2792,"AAAAAH/4/Ck=")</f>
        <v>#VALUE!</v>
      </c>
      <c r="AQ208" t="e">
        <f>AND(Sheet1!E2792,"AAAAAH/4/Co=")</f>
        <v>#VALUE!</v>
      </c>
      <c r="AR208" t="e">
        <f>AND(Sheet1!F2792,"AAAAAH/4/Cs=")</f>
        <v>#VALUE!</v>
      </c>
      <c r="AS208" t="e">
        <f>AND(Sheet1!G2792,"AAAAAH/4/Cw=")</f>
        <v>#VALUE!</v>
      </c>
      <c r="AT208" t="e">
        <f>AND(Sheet1!H2792,"AAAAAH/4/C0=")</f>
        <v>#VALUE!</v>
      </c>
      <c r="AU208" t="e">
        <f>AND(Sheet1!I2792,"AAAAAH/4/C4=")</f>
        <v>#VALUE!</v>
      </c>
      <c r="AV208" t="e">
        <f>AND(Sheet1!J2792,"AAAAAH/4/C8=")</f>
        <v>#VALUE!</v>
      </c>
      <c r="AW208" t="e">
        <f>AND(Sheet1!K2792,"AAAAAH/4/DA=")</f>
        <v>#VALUE!</v>
      </c>
      <c r="AX208" t="e">
        <f>AND(Sheet1!L2792,"AAAAAH/4/DE=")</f>
        <v>#VALUE!</v>
      </c>
      <c r="AY208" t="e">
        <f>AND(Sheet1!M2792,"AAAAAH/4/DI=")</f>
        <v>#VALUE!</v>
      </c>
      <c r="AZ208" t="e">
        <f>AND(Sheet1!N2792,"AAAAAH/4/DM=")</f>
        <v>#VALUE!</v>
      </c>
      <c r="BA208" t="e">
        <f>AND(Sheet1!#REF!,"AAAAAH/4/DQ=")</f>
        <v>#REF!</v>
      </c>
      <c r="BB208" t="e">
        <f>AND(Sheet1!#REF!,"AAAAAH/4/DU=")</f>
        <v>#REF!</v>
      </c>
      <c r="BC208" t="e">
        <f>AND(Sheet1!#REF!,"AAAAAH/4/DY=")</f>
        <v>#REF!</v>
      </c>
      <c r="BD208" t="e">
        <f>AND(Sheet1!#REF!,"AAAAAH/4/Dc=")</f>
        <v>#REF!</v>
      </c>
      <c r="BE208">
        <f>IF(Sheet1!2793:2793,"AAAAAH/4/Dg=",0)</f>
        <v>0</v>
      </c>
      <c r="BF208" t="e">
        <f>AND(Sheet1!A2793,"AAAAAH/4/Dk=")</f>
        <v>#VALUE!</v>
      </c>
      <c r="BG208" t="e">
        <f>AND(Sheet1!B2793,"AAAAAH/4/Do=")</f>
        <v>#VALUE!</v>
      </c>
      <c r="BH208" t="e">
        <f>AND(Sheet1!C2793,"AAAAAH/4/Ds=")</f>
        <v>#VALUE!</v>
      </c>
      <c r="BI208" t="e">
        <f>AND(Sheet1!D2793,"AAAAAH/4/Dw=")</f>
        <v>#VALUE!</v>
      </c>
      <c r="BJ208" t="e">
        <f>AND(Sheet1!E2793,"AAAAAH/4/D0=")</f>
        <v>#VALUE!</v>
      </c>
      <c r="BK208" t="e">
        <f>AND(Sheet1!F2793,"AAAAAH/4/D4=")</f>
        <v>#VALUE!</v>
      </c>
      <c r="BL208" t="e">
        <f>AND(Sheet1!G2793,"AAAAAH/4/D8=")</f>
        <v>#VALUE!</v>
      </c>
      <c r="BM208" t="e">
        <f>AND(Sheet1!H2793,"AAAAAH/4/EA=")</f>
        <v>#VALUE!</v>
      </c>
      <c r="BN208" t="e">
        <f>AND(Sheet1!I2793,"AAAAAH/4/EE=")</f>
        <v>#VALUE!</v>
      </c>
      <c r="BO208" t="e">
        <f>AND(Sheet1!J2793,"AAAAAH/4/EI=")</f>
        <v>#VALUE!</v>
      </c>
      <c r="BP208" t="e">
        <f>AND(Sheet1!K2793,"AAAAAH/4/EM=")</f>
        <v>#VALUE!</v>
      </c>
      <c r="BQ208" t="e">
        <f>AND(Sheet1!L2793,"AAAAAH/4/EQ=")</f>
        <v>#VALUE!</v>
      </c>
      <c r="BR208" t="e">
        <f>AND(Sheet1!M2793,"AAAAAH/4/EU=")</f>
        <v>#VALUE!</v>
      </c>
      <c r="BS208" t="e">
        <f>AND(Sheet1!N2793,"AAAAAH/4/EY=")</f>
        <v>#VALUE!</v>
      </c>
      <c r="BT208" t="e">
        <f>AND(Sheet1!#REF!,"AAAAAH/4/Ec=")</f>
        <v>#REF!</v>
      </c>
      <c r="BU208" t="e">
        <f>AND(Sheet1!#REF!,"AAAAAH/4/Eg=")</f>
        <v>#REF!</v>
      </c>
      <c r="BV208" t="e">
        <f>AND(Sheet1!#REF!,"AAAAAH/4/Ek=")</f>
        <v>#REF!</v>
      </c>
      <c r="BW208" t="e">
        <f>AND(Sheet1!#REF!,"AAAAAH/4/Eo=")</f>
        <v>#REF!</v>
      </c>
      <c r="BX208">
        <f>IF(Sheet1!2794:2794,"AAAAAH/4/Es=",0)</f>
        <v>0</v>
      </c>
      <c r="BY208" t="e">
        <f>AND(Sheet1!A2794,"AAAAAH/4/Ew=")</f>
        <v>#VALUE!</v>
      </c>
      <c r="BZ208" t="e">
        <f>AND(Sheet1!B2794,"AAAAAH/4/E0=")</f>
        <v>#VALUE!</v>
      </c>
      <c r="CA208" t="e">
        <f>AND(Sheet1!C2794,"AAAAAH/4/E4=")</f>
        <v>#VALUE!</v>
      </c>
      <c r="CB208" t="e">
        <f>AND(Sheet1!D2794,"AAAAAH/4/E8=")</f>
        <v>#VALUE!</v>
      </c>
      <c r="CC208" t="e">
        <f>AND(Sheet1!E2794,"AAAAAH/4/FA=")</f>
        <v>#VALUE!</v>
      </c>
      <c r="CD208" t="e">
        <f>AND(Sheet1!F2794,"AAAAAH/4/FE=")</f>
        <v>#VALUE!</v>
      </c>
      <c r="CE208" t="e">
        <f>AND(Sheet1!G2794,"AAAAAH/4/FI=")</f>
        <v>#VALUE!</v>
      </c>
      <c r="CF208" t="e">
        <f>AND(Sheet1!H2794,"AAAAAH/4/FM=")</f>
        <v>#VALUE!</v>
      </c>
      <c r="CG208" t="e">
        <f>AND(Sheet1!I2794,"AAAAAH/4/FQ=")</f>
        <v>#VALUE!</v>
      </c>
      <c r="CH208" t="e">
        <f>AND(Sheet1!J2794,"AAAAAH/4/FU=")</f>
        <v>#VALUE!</v>
      </c>
      <c r="CI208" t="e">
        <f>AND(Sheet1!K2794,"AAAAAH/4/FY=")</f>
        <v>#VALUE!</v>
      </c>
      <c r="CJ208" t="e">
        <f>AND(Sheet1!L2794,"AAAAAH/4/Fc=")</f>
        <v>#VALUE!</v>
      </c>
      <c r="CK208" t="e">
        <f>AND(Sheet1!M2794,"AAAAAH/4/Fg=")</f>
        <v>#VALUE!</v>
      </c>
      <c r="CL208" t="e">
        <f>AND(Sheet1!N2794,"AAAAAH/4/Fk=")</f>
        <v>#VALUE!</v>
      </c>
      <c r="CM208" t="e">
        <f>AND(Sheet1!#REF!,"AAAAAH/4/Fo=")</f>
        <v>#REF!</v>
      </c>
      <c r="CN208" t="e">
        <f>AND(Sheet1!#REF!,"AAAAAH/4/Fs=")</f>
        <v>#REF!</v>
      </c>
      <c r="CO208" t="e">
        <f>AND(Sheet1!#REF!,"AAAAAH/4/Fw=")</f>
        <v>#REF!</v>
      </c>
      <c r="CP208" t="e">
        <f>AND(Sheet1!#REF!,"AAAAAH/4/F0=")</f>
        <v>#REF!</v>
      </c>
      <c r="CQ208">
        <f>IF(Sheet1!2795:2795,"AAAAAH/4/F4=",0)</f>
        <v>0</v>
      </c>
      <c r="CR208" t="e">
        <f>AND(Sheet1!A2795,"AAAAAH/4/F8=")</f>
        <v>#VALUE!</v>
      </c>
      <c r="CS208" t="e">
        <f>AND(Sheet1!B2795,"AAAAAH/4/GA=")</f>
        <v>#VALUE!</v>
      </c>
      <c r="CT208" t="e">
        <f>AND(Sheet1!C2795,"AAAAAH/4/GE=")</f>
        <v>#VALUE!</v>
      </c>
      <c r="CU208" t="e">
        <f>AND(Sheet1!D2795,"AAAAAH/4/GI=")</f>
        <v>#VALUE!</v>
      </c>
      <c r="CV208" t="e">
        <f>AND(Sheet1!E2795,"AAAAAH/4/GM=")</f>
        <v>#VALUE!</v>
      </c>
      <c r="CW208" t="e">
        <f>AND(Sheet1!F2795,"AAAAAH/4/GQ=")</f>
        <v>#VALUE!</v>
      </c>
      <c r="CX208" t="e">
        <f>AND(Sheet1!G2795,"AAAAAH/4/GU=")</f>
        <v>#VALUE!</v>
      </c>
      <c r="CY208" t="e">
        <f>AND(Sheet1!H2795,"AAAAAH/4/GY=")</f>
        <v>#VALUE!</v>
      </c>
      <c r="CZ208" t="e">
        <f>AND(Sheet1!I2795,"AAAAAH/4/Gc=")</f>
        <v>#VALUE!</v>
      </c>
      <c r="DA208" t="e">
        <f>AND(Sheet1!J2795,"AAAAAH/4/Gg=")</f>
        <v>#VALUE!</v>
      </c>
      <c r="DB208" t="e">
        <f>AND(Sheet1!K2795,"AAAAAH/4/Gk=")</f>
        <v>#VALUE!</v>
      </c>
      <c r="DC208" t="e">
        <f>AND(Sheet1!L2795,"AAAAAH/4/Go=")</f>
        <v>#VALUE!</v>
      </c>
      <c r="DD208" t="e">
        <f>AND(Sheet1!M2795,"AAAAAH/4/Gs=")</f>
        <v>#VALUE!</v>
      </c>
      <c r="DE208" t="e">
        <f>AND(Sheet1!N2795,"AAAAAH/4/Gw=")</f>
        <v>#VALUE!</v>
      </c>
      <c r="DF208" t="e">
        <f>AND(Sheet1!#REF!,"AAAAAH/4/G0=")</f>
        <v>#REF!</v>
      </c>
      <c r="DG208" t="e">
        <f>AND(Sheet1!#REF!,"AAAAAH/4/G4=")</f>
        <v>#REF!</v>
      </c>
      <c r="DH208" t="e">
        <f>AND(Sheet1!#REF!,"AAAAAH/4/G8=")</f>
        <v>#REF!</v>
      </c>
      <c r="DI208" t="e">
        <f>AND(Sheet1!#REF!,"AAAAAH/4/HA=")</f>
        <v>#REF!</v>
      </c>
      <c r="DJ208">
        <f>IF(Sheet1!2796:2796,"AAAAAH/4/HE=",0)</f>
        <v>0</v>
      </c>
      <c r="DK208" t="e">
        <f>AND(Sheet1!A2796,"AAAAAH/4/HI=")</f>
        <v>#VALUE!</v>
      </c>
      <c r="DL208" t="e">
        <f>AND(Sheet1!B2796,"AAAAAH/4/HM=")</f>
        <v>#VALUE!</v>
      </c>
      <c r="DM208" t="e">
        <f>AND(Sheet1!C2796,"AAAAAH/4/HQ=")</f>
        <v>#VALUE!</v>
      </c>
      <c r="DN208" t="e">
        <f>AND(Sheet1!D2796,"AAAAAH/4/HU=")</f>
        <v>#VALUE!</v>
      </c>
      <c r="DO208" t="e">
        <f>AND(Sheet1!E2796,"AAAAAH/4/HY=")</f>
        <v>#VALUE!</v>
      </c>
      <c r="DP208" t="e">
        <f>AND(Sheet1!F2796,"AAAAAH/4/Hc=")</f>
        <v>#VALUE!</v>
      </c>
      <c r="DQ208" t="e">
        <f>AND(Sheet1!G2796,"AAAAAH/4/Hg=")</f>
        <v>#VALUE!</v>
      </c>
      <c r="DR208" t="e">
        <f>AND(Sheet1!H2796,"AAAAAH/4/Hk=")</f>
        <v>#VALUE!</v>
      </c>
      <c r="DS208" t="e">
        <f>AND(Sheet1!I2796,"AAAAAH/4/Ho=")</f>
        <v>#VALUE!</v>
      </c>
      <c r="DT208" t="e">
        <f>AND(Sheet1!J2796,"AAAAAH/4/Hs=")</f>
        <v>#VALUE!</v>
      </c>
      <c r="DU208" t="e">
        <f>AND(Sheet1!K2796,"AAAAAH/4/Hw=")</f>
        <v>#VALUE!</v>
      </c>
      <c r="DV208" t="e">
        <f>AND(Sheet1!L2796,"AAAAAH/4/H0=")</f>
        <v>#VALUE!</v>
      </c>
      <c r="DW208" t="e">
        <f>AND(Sheet1!M2796,"AAAAAH/4/H4=")</f>
        <v>#VALUE!</v>
      </c>
      <c r="DX208" t="e">
        <f>AND(Sheet1!N2796,"AAAAAH/4/H8=")</f>
        <v>#VALUE!</v>
      </c>
      <c r="DY208" t="e">
        <f>AND(Sheet1!#REF!,"AAAAAH/4/IA=")</f>
        <v>#REF!</v>
      </c>
      <c r="DZ208" t="e">
        <f>AND(Sheet1!#REF!,"AAAAAH/4/IE=")</f>
        <v>#REF!</v>
      </c>
      <c r="EA208" t="e">
        <f>AND(Sheet1!#REF!,"AAAAAH/4/II=")</f>
        <v>#REF!</v>
      </c>
      <c r="EB208" t="e">
        <f>AND(Sheet1!#REF!,"AAAAAH/4/IM=")</f>
        <v>#REF!</v>
      </c>
      <c r="EC208">
        <f>IF(Sheet1!2797:2797,"AAAAAH/4/IQ=",0)</f>
        <v>0</v>
      </c>
      <c r="ED208" t="e">
        <f>AND(Sheet1!A2797,"AAAAAH/4/IU=")</f>
        <v>#VALUE!</v>
      </c>
      <c r="EE208" t="e">
        <f>AND(Sheet1!B2797,"AAAAAH/4/IY=")</f>
        <v>#VALUE!</v>
      </c>
      <c r="EF208" t="e">
        <f>AND(Sheet1!C2797,"AAAAAH/4/Ic=")</f>
        <v>#VALUE!</v>
      </c>
      <c r="EG208" t="e">
        <f>AND(Sheet1!D2797,"AAAAAH/4/Ig=")</f>
        <v>#VALUE!</v>
      </c>
      <c r="EH208" t="e">
        <f>AND(Sheet1!E2797,"AAAAAH/4/Ik=")</f>
        <v>#VALUE!</v>
      </c>
      <c r="EI208" t="e">
        <f>AND(Sheet1!F2797,"AAAAAH/4/Io=")</f>
        <v>#VALUE!</v>
      </c>
      <c r="EJ208" t="e">
        <f>AND(Sheet1!G2797,"AAAAAH/4/Is=")</f>
        <v>#VALUE!</v>
      </c>
      <c r="EK208" t="e">
        <f>AND(Sheet1!H2797,"AAAAAH/4/Iw=")</f>
        <v>#VALUE!</v>
      </c>
      <c r="EL208" t="e">
        <f>AND(Sheet1!I2797,"AAAAAH/4/I0=")</f>
        <v>#VALUE!</v>
      </c>
      <c r="EM208" t="e">
        <f>AND(Sheet1!J2797,"AAAAAH/4/I4=")</f>
        <v>#VALUE!</v>
      </c>
      <c r="EN208" t="e">
        <f>AND(Sheet1!K2797,"AAAAAH/4/I8=")</f>
        <v>#VALUE!</v>
      </c>
      <c r="EO208" t="e">
        <f>AND(Sheet1!L2797,"AAAAAH/4/JA=")</f>
        <v>#VALUE!</v>
      </c>
      <c r="EP208" t="e">
        <f>AND(Sheet1!M2797,"AAAAAH/4/JE=")</f>
        <v>#VALUE!</v>
      </c>
      <c r="EQ208" t="e">
        <f>AND(Sheet1!N2797,"AAAAAH/4/JI=")</f>
        <v>#VALUE!</v>
      </c>
      <c r="ER208" t="e">
        <f>AND(Sheet1!#REF!,"AAAAAH/4/JM=")</f>
        <v>#REF!</v>
      </c>
      <c r="ES208" t="e">
        <f>AND(Sheet1!#REF!,"AAAAAH/4/JQ=")</f>
        <v>#REF!</v>
      </c>
      <c r="ET208" t="e">
        <f>AND(Sheet1!#REF!,"AAAAAH/4/JU=")</f>
        <v>#REF!</v>
      </c>
      <c r="EU208" t="e">
        <f>AND(Sheet1!#REF!,"AAAAAH/4/JY=")</f>
        <v>#REF!</v>
      </c>
      <c r="EV208">
        <f>IF(Sheet1!2798:2798,"AAAAAH/4/Jc=",0)</f>
        <v>0</v>
      </c>
      <c r="EW208" t="e">
        <f>AND(Sheet1!A2798,"AAAAAH/4/Jg=")</f>
        <v>#VALUE!</v>
      </c>
      <c r="EX208" t="e">
        <f>AND(Sheet1!B2798,"AAAAAH/4/Jk=")</f>
        <v>#VALUE!</v>
      </c>
      <c r="EY208" t="e">
        <f>AND(Sheet1!C2798,"AAAAAH/4/Jo=")</f>
        <v>#VALUE!</v>
      </c>
      <c r="EZ208" t="e">
        <f>AND(Sheet1!D2798,"AAAAAH/4/Js=")</f>
        <v>#VALUE!</v>
      </c>
      <c r="FA208" t="e">
        <f>AND(Sheet1!E2798,"AAAAAH/4/Jw=")</f>
        <v>#VALUE!</v>
      </c>
      <c r="FB208" t="e">
        <f>AND(Sheet1!F2798,"AAAAAH/4/J0=")</f>
        <v>#VALUE!</v>
      </c>
      <c r="FC208" t="e">
        <f>AND(Sheet1!G2798,"AAAAAH/4/J4=")</f>
        <v>#VALUE!</v>
      </c>
      <c r="FD208" t="e">
        <f>AND(Sheet1!H2798,"AAAAAH/4/J8=")</f>
        <v>#VALUE!</v>
      </c>
      <c r="FE208" t="e">
        <f>AND(Sheet1!I2798,"AAAAAH/4/KA=")</f>
        <v>#VALUE!</v>
      </c>
      <c r="FF208" t="e">
        <f>AND(Sheet1!J2798,"AAAAAH/4/KE=")</f>
        <v>#VALUE!</v>
      </c>
      <c r="FG208" t="e">
        <f>AND(Sheet1!K2798,"AAAAAH/4/KI=")</f>
        <v>#VALUE!</v>
      </c>
      <c r="FH208" t="e">
        <f>AND(Sheet1!L2798,"AAAAAH/4/KM=")</f>
        <v>#VALUE!</v>
      </c>
      <c r="FI208" t="e">
        <f>AND(Sheet1!M2798,"AAAAAH/4/KQ=")</f>
        <v>#VALUE!</v>
      </c>
      <c r="FJ208" t="e">
        <f>AND(Sheet1!N2798,"AAAAAH/4/KU=")</f>
        <v>#VALUE!</v>
      </c>
      <c r="FK208" t="e">
        <f>AND(Sheet1!#REF!,"AAAAAH/4/KY=")</f>
        <v>#REF!</v>
      </c>
      <c r="FL208" t="e">
        <f>AND(Sheet1!#REF!,"AAAAAH/4/Kc=")</f>
        <v>#REF!</v>
      </c>
      <c r="FM208" t="e">
        <f>AND(Sheet1!#REF!,"AAAAAH/4/Kg=")</f>
        <v>#REF!</v>
      </c>
      <c r="FN208" t="e">
        <f>AND(Sheet1!#REF!,"AAAAAH/4/Kk=")</f>
        <v>#REF!</v>
      </c>
      <c r="FO208">
        <f>IF(Sheet1!2799:2799,"AAAAAH/4/Ko=",0)</f>
        <v>0</v>
      </c>
      <c r="FP208" t="e">
        <f>AND(Sheet1!A2799,"AAAAAH/4/Ks=")</f>
        <v>#VALUE!</v>
      </c>
      <c r="FQ208" t="e">
        <f>AND(Sheet1!B2799,"AAAAAH/4/Kw=")</f>
        <v>#VALUE!</v>
      </c>
      <c r="FR208" t="e">
        <f>AND(Sheet1!C2799,"AAAAAH/4/K0=")</f>
        <v>#VALUE!</v>
      </c>
      <c r="FS208" t="e">
        <f>AND(Sheet1!D2799,"AAAAAH/4/K4=")</f>
        <v>#VALUE!</v>
      </c>
      <c r="FT208" t="e">
        <f>AND(Sheet1!E2799,"AAAAAH/4/K8=")</f>
        <v>#VALUE!</v>
      </c>
      <c r="FU208" t="e">
        <f>AND(Sheet1!F2799,"AAAAAH/4/LA=")</f>
        <v>#VALUE!</v>
      </c>
      <c r="FV208" t="e">
        <f>AND(Sheet1!G2799,"AAAAAH/4/LE=")</f>
        <v>#VALUE!</v>
      </c>
      <c r="FW208" t="e">
        <f>AND(Sheet1!H2799,"AAAAAH/4/LI=")</f>
        <v>#VALUE!</v>
      </c>
      <c r="FX208" t="e">
        <f>AND(Sheet1!I2799,"AAAAAH/4/LM=")</f>
        <v>#VALUE!</v>
      </c>
      <c r="FY208" t="e">
        <f>AND(Sheet1!J2799,"AAAAAH/4/LQ=")</f>
        <v>#VALUE!</v>
      </c>
      <c r="FZ208" t="e">
        <f>AND(Sheet1!K2799,"AAAAAH/4/LU=")</f>
        <v>#VALUE!</v>
      </c>
      <c r="GA208" t="e">
        <f>AND(Sheet1!L2799,"AAAAAH/4/LY=")</f>
        <v>#VALUE!</v>
      </c>
      <c r="GB208" t="e">
        <f>AND(Sheet1!M2799,"AAAAAH/4/Lc=")</f>
        <v>#VALUE!</v>
      </c>
      <c r="GC208" t="e">
        <f>AND(Sheet1!N2799,"AAAAAH/4/Lg=")</f>
        <v>#VALUE!</v>
      </c>
      <c r="GD208" t="e">
        <f>AND(Sheet1!#REF!,"AAAAAH/4/Lk=")</f>
        <v>#REF!</v>
      </c>
      <c r="GE208" t="e">
        <f>AND(Sheet1!#REF!,"AAAAAH/4/Lo=")</f>
        <v>#REF!</v>
      </c>
      <c r="GF208" t="e">
        <f>AND(Sheet1!#REF!,"AAAAAH/4/Ls=")</f>
        <v>#REF!</v>
      </c>
      <c r="GG208" t="e">
        <f>AND(Sheet1!#REF!,"AAAAAH/4/Lw=")</f>
        <v>#REF!</v>
      </c>
      <c r="GH208">
        <f>IF(Sheet1!2800:2800,"AAAAAH/4/L0=",0)</f>
        <v>0</v>
      </c>
      <c r="GI208" t="e">
        <f>AND(Sheet1!A2800,"AAAAAH/4/L4=")</f>
        <v>#VALUE!</v>
      </c>
      <c r="GJ208" t="e">
        <f>AND(Sheet1!B2800,"AAAAAH/4/L8=")</f>
        <v>#VALUE!</v>
      </c>
      <c r="GK208" t="e">
        <f>AND(Sheet1!C2800,"AAAAAH/4/MA=")</f>
        <v>#VALUE!</v>
      </c>
      <c r="GL208" t="e">
        <f>AND(Sheet1!D2800,"AAAAAH/4/ME=")</f>
        <v>#VALUE!</v>
      </c>
      <c r="GM208" t="e">
        <f>AND(Sheet1!E2800,"AAAAAH/4/MI=")</f>
        <v>#VALUE!</v>
      </c>
      <c r="GN208" t="e">
        <f>AND(Sheet1!F2800,"AAAAAH/4/MM=")</f>
        <v>#VALUE!</v>
      </c>
      <c r="GO208" t="e">
        <f>AND(Sheet1!G2800,"AAAAAH/4/MQ=")</f>
        <v>#VALUE!</v>
      </c>
      <c r="GP208" t="e">
        <f>AND(Sheet1!H2800,"AAAAAH/4/MU=")</f>
        <v>#VALUE!</v>
      </c>
      <c r="GQ208" t="e">
        <f>AND(Sheet1!I2800,"AAAAAH/4/MY=")</f>
        <v>#VALUE!</v>
      </c>
      <c r="GR208" t="e">
        <f>AND(Sheet1!J2800,"AAAAAH/4/Mc=")</f>
        <v>#VALUE!</v>
      </c>
      <c r="GS208" t="e">
        <f>AND(Sheet1!K2800,"AAAAAH/4/Mg=")</f>
        <v>#VALUE!</v>
      </c>
      <c r="GT208" t="e">
        <f>AND(Sheet1!L2800,"AAAAAH/4/Mk=")</f>
        <v>#VALUE!</v>
      </c>
      <c r="GU208" t="e">
        <f>AND(Sheet1!M2800,"AAAAAH/4/Mo=")</f>
        <v>#VALUE!</v>
      </c>
      <c r="GV208" t="e">
        <f>AND(Sheet1!N2800,"AAAAAH/4/Ms=")</f>
        <v>#VALUE!</v>
      </c>
      <c r="GW208" t="e">
        <f>AND(Sheet1!#REF!,"AAAAAH/4/Mw=")</f>
        <v>#REF!</v>
      </c>
      <c r="GX208" t="e">
        <f>AND(Sheet1!#REF!,"AAAAAH/4/M0=")</f>
        <v>#REF!</v>
      </c>
      <c r="GY208" t="e">
        <f>AND(Sheet1!#REF!,"AAAAAH/4/M4=")</f>
        <v>#REF!</v>
      </c>
      <c r="GZ208" t="e">
        <f>AND(Sheet1!#REF!,"AAAAAH/4/M8=")</f>
        <v>#REF!</v>
      </c>
      <c r="HA208">
        <f>IF(Sheet1!2801:2801,"AAAAAH/4/NA=",0)</f>
        <v>0</v>
      </c>
      <c r="HB208" t="e">
        <f>AND(Sheet1!A2801,"AAAAAH/4/NE=")</f>
        <v>#VALUE!</v>
      </c>
      <c r="HC208" t="e">
        <f>AND(Sheet1!B2801,"AAAAAH/4/NI=")</f>
        <v>#VALUE!</v>
      </c>
      <c r="HD208" t="e">
        <f>AND(Sheet1!C2801,"AAAAAH/4/NM=")</f>
        <v>#VALUE!</v>
      </c>
      <c r="HE208" t="e">
        <f>AND(Sheet1!D2801,"AAAAAH/4/NQ=")</f>
        <v>#VALUE!</v>
      </c>
      <c r="HF208" t="e">
        <f>AND(Sheet1!E2801,"AAAAAH/4/NU=")</f>
        <v>#VALUE!</v>
      </c>
      <c r="HG208" t="e">
        <f>AND(Sheet1!F2801,"AAAAAH/4/NY=")</f>
        <v>#VALUE!</v>
      </c>
      <c r="HH208" t="e">
        <f>AND(Sheet1!G2801,"AAAAAH/4/Nc=")</f>
        <v>#VALUE!</v>
      </c>
      <c r="HI208" t="e">
        <f>AND(Sheet1!H2801,"AAAAAH/4/Ng=")</f>
        <v>#VALUE!</v>
      </c>
      <c r="HJ208" t="e">
        <f>AND(Sheet1!I2801,"AAAAAH/4/Nk=")</f>
        <v>#VALUE!</v>
      </c>
      <c r="HK208" t="e">
        <f>AND(Sheet1!J2801,"AAAAAH/4/No=")</f>
        <v>#VALUE!</v>
      </c>
      <c r="HL208" t="e">
        <f>AND(Sheet1!K2801,"AAAAAH/4/Ns=")</f>
        <v>#VALUE!</v>
      </c>
      <c r="HM208" t="e">
        <f>AND(Sheet1!L2801,"AAAAAH/4/Nw=")</f>
        <v>#VALUE!</v>
      </c>
      <c r="HN208" t="e">
        <f>AND(Sheet1!M2801,"AAAAAH/4/N0=")</f>
        <v>#VALUE!</v>
      </c>
      <c r="HO208" t="e">
        <f>AND(Sheet1!N2801,"AAAAAH/4/N4=")</f>
        <v>#VALUE!</v>
      </c>
      <c r="HP208" t="e">
        <f>AND(Sheet1!#REF!,"AAAAAH/4/N8=")</f>
        <v>#REF!</v>
      </c>
      <c r="HQ208" t="e">
        <f>AND(Sheet1!#REF!,"AAAAAH/4/OA=")</f>
        <v>#REF!</v>
      </c>
      <c r="HR208" t="e">
        <f>AND(Sheet1!#REF!,"AAAAAH/4/OE=")</f>
        <v>#REF!</v>
      </c>
      <c r="HS208" t="e">
        <f>AND(Sheet1!#REF!,"AAAAAH/4/OI=")</f>
        <v>#REF!</v>
      </c>
      <c r="HT208">
        <f>IF(Sheet1!2802:2802,"AAAAAH/4/OM=",0)</f>
        <v>0</v>
      </c>
      <c r="HU208" t="e">
        <f>AND(Sheet1!A2802,"AAAAAH/4/OQ=")</f>
        <v>#VALUE!</v>
      </c>
      <c r="HV208" t="e">
        <f>AND(Sheet1!B2802,"AAAAAH/4/OU=")</f>
        <v>#VALUE!</v>
      </c>
      <c r="HW208" t="e">
        <f>AND(Sheet1!C2802,"AAAAAH/4/OY=")</f>
        <v>#VALUE!</v>
      </c>
      <c r="HX208" t="e">
        <f>AND(Sheet1!D2802,"AAAAAH/4/Oc=")</f>
        <v>#VALUE!</v>
      </c>
      <c r="HY208" t="e">
        <f>AND(Sheet1!E2802,"AAAAAH/4/Og=")</f>
        <v>#VALUE!</v>
      </c>
      <c r="HZ208" t="e">
        <f>AND(Sheet1!F2802,"AAAAAH/4/Ok=")</f>
        <v>#VALUE!</v>
      </c>
      <c r="IA208" t="e">
        <f>AND(Sheet1!G2802,"AAAAAH/4/Oo=")</f>
        <v>#VALUE!</v>
      </c>
      <c r="IB208" t="e">
        <f>AND(Sheet1!H2802,"AAAAAH/4/Os=")</f>
        <v>#VALUE!</v>
      </c>
      <c r="IC208" t="e">
        <f>AND(Sheet1!I2802,"AAAAAH/4/Ow=")</f>
        <v>#VALUE!</v>
      </c>
      <c r="ID208" t="e">
        <f>AND(Sheet1!J2802,"AAAAAH/4/O0=")</f>
        <v>#VALUE!</v>
      </c>
      <c r="IE208" t="e">
        <f>AND(Sheet1!K2802,"AAAAAH/4/O4=")</f>
        <v>#VALUE!</v>
      </c>
      <c r="IF208" t="e">
        <f>AND(Sheet1!L2802,"AAAAAH/4/O8=")</f>
        <v>#VALUE!</v>
      </c>
      <c r="IG208" t="e">
        <f>AND(Sheet1!M2802,"AAAAAH/4/PA=")</f>
        <v>#VALUE!</v>
      </c>
      <c r="IH208" t="e">
        <f>AND(Sheet1!N2802,"AAAAAH/4/PE=")</f>
        <v>#VALUE!</v>
      </c>
      <c r="II208" t="e">
        <f>AND(Sheet1!#REF!,"AAAAAH/4/PI=")</f>
        <v>#REF!</v>
      </c>
      <c r="IJ208" t="e">
        <f>AND(Sheet1!#REF!,"AAAAAH/4/PM=")</f>
        <v>#REF!</v>
      </c>
      <c r="IK208" t="e">
        <f>AND(Sheet1!#REF!,"AAAAAH/4/PQ=")</f>
        <v>#REF!</v>
      </c>
      <c r="IL208" t="e">
        <f>AND(Sheet1!#REF!,"AAAAAH/4/PU=")</f>
        <v>#REF!</v>
      </c>
      <c r="IM208">
        <f>IF(Sheet1!2803:2803,"AAAAAH/4/PY=",0)</f>
        <v>0</v>
      </c>
      <c r="IN208" t="e">
        <f>AND(Sheet1!A2803,"AAAAAH/4/Pc=")</f>
        <v>#VALUE!</v>
      </c>
      <c r="IO208" t="e">
        <f>AND(Sheet1!B2803,"AAAAAH/4/Pg=")</f>
        <v>#VALUE!</v>
      </c>
      <c r="IP208" t="e">
        <f>AND(Sheet1!C2803,"AAAAAH/4/Pk=")</f>
        <v>#VALUE!</v>
      </c>
      <c r="IQ208" t="e">
        <f>AND(Sheet1!D2803,"AAAAAH/4/Po=")</f>
        <v>#VALUE!</v>
      </c>
      <c r="IR208" t="e">
        <f>AND(Sheet1!E2803,"AAAAAH/4/Ps=")</f>
        <v>#VALUE!</v>
      </c>
      <c r="IS208" t="e">
        <f>AND(Sheet1!F2803,"AAAAAH/4/Pw=")</f>
        <v>#VALUE!</v>
      </c>
      <c r="IT208" t="e">
        <f>AND(Sheet1!G2803,"AAAAAH/4/P0=")</f>
        <v>#VALUE!</v>
      </c>
      <c r="IU208" t="e">
        <f>AND(Sheet1!H2803,"AAAAAH/4/P4=")</f>
        <v>#VALUE!</v>
      </c>
      <c r="IV208" t="e">
        <f>AND(Sheet1!I2803,"AAAAAH/4/P8=")</f>
        <v>#VALUE!</v>
      </c>
    </row>
    <row r="209" spans="1:256" x14ac:dyDescent="0.2">
      <c r="A209" t="e">
        <f>AND(Sheet1!J2803,"AAAAAGL9PQA=")</f>
        <v>#VALUE!</v>
      </c>
      <c r="B209" t="e">
        <f>AND(Sheet1!K2803,"AAAAAGL9PQE=")</f>
        <v>#VALUE!</v>
      </c>
      <c r="C209" t="e">
        <f>AND(Sheet1!L2803,"AAAAAGL9PQI=")</f>
        <v>#VALUE!</v>
      </c>
      <c r="D209" t="e">
        <f>AND(Sheet1!M2803,"AAAAAGL9PQM=")</f>
        <v>#VALUE!</v>
      </c>
      <c r="E209" t="e">
        <f>AND(Sheet1!N2803,"AAAAAGL9PQQ=")</f>
        <v>#VALUE!</v>
      </c>
      <c r="F209" t="e">
        <f>AND(Sheet1!#REF!,"AAAAAGL9PQU=")</f>
        <v>#REF!</v>
      </c>
      <c r="G209" t="e">
        <f>AND(Sheet1!#REF!,"AAAAAGL9PQY=")</f>
        <v>#REF!</v>
      </c>
      <c r="H209" t="e">
        <f>AND(Sheet1!#REF!,"AAAAAGL9PQc=")</f>
        <v>#REF!</v>
      </c>
      <c r="I209" t="e">
        <f>AND(Sheet1!#REF!,"AAAAAGL9PQg=")</f>
        <v>#REF!</v>
      </c>
      <c r="J209" t="e">
        <f>IF(Sheet1!2804:2804,"AAAAAGL9PQk=",0)</f>
        <v>#VALUE!</v>
      </c>
      <c r="K209" t="e">
        <f>AND(Sheet1!A2804,"AAAAAGL9PQo=")</f>
        <v>#VALUE!</v>
      </c>
      <c r="L209" t="e">
        <f>AND(Sheet1!B2804,"AAAAAGL9PQs=")</f>
        <v>#VALUE!</v>
      </c>
      <c r="M209" t="e">
        <f>AND(Sheet1!C2804,"AAAAAGL9PQw=")</f>
        <v>#VALUE!</v>
      </c>
      <c r="N209" t="e">
        <f>AND(Sheet1!D2804,"AAAAAGL9PQ0=")</f>
        <v>#VALUE!</v>
      </c>
      <c r="O209" t="e">
        <f>AND(Sheet1!E2804,"AAAAAGL9PQ4=")</f>
        <v>#VALUE!</v>
      </c>
      <c r="P209" t="e">
        <f>AND(Sheet1!F2804,"AAAAAGL9PQ8=")</f>
        <v>#VALUE!</v>
      </c>
      <c r="Q209" t="e">
        <f>AND(Sheet1!G2804,"AAAAAGL9PRA=")</f>
        <v>#VALUE!</v>
      </c>
      <c r="R209" t="e">
        <f>AND(Sheet1!H2804,"AAAAAGL9PRE=")</f>
        <v>#VALUE!</v>
      </c>
      <c r="S209" t="e">
        <f>AND(Sheet1!I2804,"AAAAAGL9PRI=")</f>
        <v>#VALUE!</v>
      </c>
      <c r="T209" t="e">
        <f>AND(Sheet1!J2804,"AAAAAGL9PRM=")</f>
        <v>#VALUE!</v>
      </c>
      <c r="U209" t="e">
        <f>AND(Sheet1!K2804,"AAAAAGL9PRQ=")</f>
        <v>#VALUE!</v>
      </c>
      <c r="V209" t="e">
        <f>AND(Sheet1!L2804,"AAAAAGL9PRU=")</f>
        <v>#VALUE!</v>
      </c>
      <c r="W209" t="e">
        <f>AND(Sheet1!M2804,"AAAAAGL9PRY=")</f>
        <v>#VALUE!</v>
      </c>
      <c r="X209" t="e">
        <f>AND(Sheet1!N2804,"AAAAAGL9PRc=")</f>
        <v>#VALUE!</v>
      </c>
      <c r="Y209" t="e">
        <f>AND(Sheet1!#REF!,"AAAAAGL9PRg=")</f>
        <v>#REF!</v>
      </c>
      <c r="Z209" t="e">
        <f>AND(Sheet1!#REF!,"AAAAAGL9PRk=")</f>
        <v>#REF!</v>
      </c>
      <c r="AA209" t="e">
        <f>AND(Sheet1!#REF!,"AAAAAGL9PRo=")</f>
        <v>#REF!</v>
      </c>
      <c r="AB209" t="e">
        <f>AND(Sheet1!#REF!,"AAAAAGL9PRs=")</f>
        <v>#REF!</v>
      </c>
      <c r="AC209">
        <f>IF(Sheet1!2805:2805,"AAAAAGL9PRw=",0)</f>
        <v>0</v>
      </c>
      <c r="AD209" t="e">
        <f>AND(Sheet1!A2805,"AAAAAGL9PR0=")</f>
        <v>#VALUE!</v>
      </c>
      <c r="AE209" t="e">
        <f>AND(Sheet1!B2805,"AAAAAGL9PR4=")</f>
        <v>#VALUE!</v>
      </c>
      <c r="AF209" t="e">
        <f>AND(Sheet1!C2805,"AAAAAGL9PR8=")</f>
        <v>#VALUE!</v>
      </c>
      <c r="AG209" t="e">
        <f>AND(Sheet1!D2805,"AAAAAGL9PSA=")</f>
        <v>#VALUE!</v>
      </c>
      <c r="AH209" t="e">
        <f>AND(Sheet1!E2805,"AAAAAGL9PSE=")</f>
        <v>#VALUE!</v>
      </c>
      <c r="AI209" t="e">
        <f>AND(Sheet1!F2805,"AAAAAGL9PSI=")</f>
        <v>#VALUE!</v>
      </c>
      <c r="AJ209" t="e">
        <f>AND(Sheet1!G2805,"AAAAAGL9PSM=")</f>
        <v>#VALUE!</v>
      </c>
      <c r="AK209" t="e">
        <f>AND(Sheet1!H2805,"AAAAAGL9PSQ=")</f>
        <v>#VALUE!</v>
      </c>
      <c r="AL209" t="e">
        <f>AND(Sheet1!I2805,"AAAAAGL9PSU=")</f>
        <v>#VALUE!</v>
      </c>
      <c r="AM209" t="e">
        <f>AND(Sheet1!J2805,"AAAAAGL9PSY=")</f>
        <v>#VALUE!</v>
      </c>
      <c r="AN209" t="e">
        <f>AND(Sheet1!K2805,"AAAAAGL9PSc=")</f>
        <v>#VALUE!</v>
      </c>
      <c r="AO209" t="e">
        <f>AND(Sheet1!L2805,"AAAAAGL9PSg=")</f>
        <v>#VALUE!</v>
      </c>
      <c r="AP209" t="e">
        <f>AND(Sheet1!M2805,"AAAAAGL9PSk=")</f>
        <v>#VALUE!</v>
      </c>
      <c r="AQ209" t="e">
        <f>AND(Sheet1!N2805,"AAAAAGL9PSo=")</f>
        <v>#VALUE!</v>
      </c>
      <c r="AR209" t="e">
        <f>AND(Sheet1!#REF!,"AAAAAGL9PSs=")</f>
        <v>#REF!</v>
      </c>
      <c r="AS209" t="e">
        <f>AND(Sheet1!#REF!,"AAAAAGL9PSw=")</f>
        <v>#REF!</v>
      </c>
      <c r="AT209" t="e">
        <f>AND(Sheet1!#REF!,"AAAAAGL9PS0=")</f>
        <v>#REF!</v>
      </c>
      <c r="AU209" t="e">
        <f>AND(Sheet1!#REF!,"AAAAAGL9PS4=")</f>
        <v>#REF!</v>
      </c>
      <c r="AV209">
        <f>IF(Sheet1!2806:2806,"AAAAAGL9PS8=",0)</f>
        <v>0</v>
      </c>
      <c r="AW209" t="e">
        <f>AND(Sheet1!A2806,"AAAAAGL9PTA=")</f>
        <v>#VALUE!</v>
      </c>
      <c r="AX209" t="e">
        <f>AND(Sheet1!B2806,"AAAAAGL9PTE=")</f>
        <v>#VALUE!</v>
      </c>
      <c r="AY209" t="e">
        <f>AND(Sheet1!C2806,"AAAAAGL9PTI=")</f>
        <v>#VALUE!</v>
      </c>
      <c r="AZ209" t="e">
        <f>AND(Sheet1!D2806,"AAAAAGL9PTM=")</f>
        <v>#VALUE!</v>
      </c>
      <c r="BA209" t="e">
        <f>AND(Sheet1!E2806,"AAAAAGL9PTQ=")</f>
        <v>#VALUE!</v>
      </c>
      <c r="BB209" t="e">
        <f>AND(Sheet1!F2806,"AAAAAGL9PTU=")</f>
        <v>#VALUE!</v>
      </c>
      <c r="BC209" t="e">
        <f>AND(Sheet1!G2806,"AAAAAGL9PTY=")</f>
        <v>#VALUE!</v>
      </c>
      <c r="BD209" t="e">
        <f>AND(Sheet1!H2806,"AAAAAGL9PTc=")</f>
        <v>#VALUE!</v>
      </c>
      <c r="BE209" t="e">
        <f>AND(Sheet1!I2806,"AAAAAGL9PTg=")</f>
        <v>#VALUE!</v>
      </c>
      <c r="BF209" t="e">
        <f>AND(Sheet1!J2806,"AAAAAGL9PTk=")</f>
        <v>#VALUE!</v>
      </c>
      <c r="BG209" t="e">
        <f>AND(Sheet1!K2806,"AAAAAGL9PTo=")</f>
        <v>#VALUE!</v>
      </c>
      <c r="BH209" t="e">
        <f>AND(Sheet1!L2806,"AAAAAGL9PTs=")</f>
        <v>#VALUE!</v>
      </c>
      <c r="BI209" t="e">
        <f>AND(Sheet1!M2806,"AAAAAGL9PTw=")</f>
        <v>#VALUE!</v>
      </c>
      <c r="BJ209" t="e">
        <f>AND(Sheet1!N2806,"AAAAAGL9PT0=")</f>
        <v>#VALUE!</v>
      </c>
      <c r="BK209" t="e">
        <f>AND(Sheet1!#REF!,"AAAAAGL9PT4=")</f>
        <v>#REF!</v>
      </c>
      <c r="BL209" t="e">
        <f>AND(Sheet1!#REF!,"AAAAAGL9PT8=")</f>
        <v>#REF!</v>
      </c>
      <c r="BM209" t="e">
        <f>AND(Sheet1!#REF!,"AAAAAGL9PUA=")</f>
        <v>#REF!</v>
      </c>
      <c r="BN209" t="e">
        <f>AND(Sheet1!#REF!,"AAAAAGL9PUE=")</f>
        <v>#REF!</v>
      </c>
      <c r="BO209">
        <f>IF(Sheet1!2807:2807,"AAAAAGL9PUI=",0)</f>
        <v>0</v>
      </c>
      <c r="BP209" t="e">
        <f>AND(Sheet1!A2807,"AAAAAGL9PUM=")</f>
        <v>#VALUE!</v>
      </c>
      <c r="BQ209" t="e">
        <f>AND(Sheet1!B2807,"AAAAAGL9PUQ=")</f>
        <v>#VALUE!</v>
      </c>
      <c r="BR209" t="e">
        <f>AND(Sheet1!C2807,"AAAAAGL9PUU=")</f>
        <v>#VALUE!</v>
      </c>
      <c r="BS209" t="e">
        <f>AND(Sheet1!D2807,"AAAAAGL9PUY=")</f>
        <v>#VALUE!</v>
      </c>
      <c r="BT209" t="e">
        <f>AND(Sheet1!E2807,"AAAAAGL9PUc=")</f>
        <v>#VALUE!</v>
      </c>
      <c r="BU209" t="e">
        <f>AND(Sheet1!F2807,"AAAAAGL9PUg=")</f>
        <v>#VALUE!</v>
      </c>
      <c r="BV209" t="e">
        <f>AND(Sheet1!G2807,"AAAAAGL9PUk=")</f>
        <v>#VALUE!</v>
      </c>
      <c r="BW209" t="e">
        <f>AND(Sheet1!H2807,"AAAAAGL9PUo=")</f>
        <v>#VALUE!</v>
      </c>
      <c r="BX209" t="e">
        <f>AND(Sheet1!I2807,"AAAAAGL9PUs=")</f>
        <v>#VALUE!</v>
      </c>
      <c r="BY209" t="e">
        <f>AND(Sheet1!J2807,"AAAAAGL9PUw=")</f>
        <v>#VALUE!</v>
      </c>
      <c r="BZ209" t="e">
        <f>AND(Sheet1!K2807,"AAAAAGL9PU0=")</f>
        <v>#VALUE!</v>
      </c>
      <c r="CA209" t="e">
        <f>AND(Sheet1!L2807,"AAAAAGL9PU4=")</f>
        <v>#VALUE!</v>
      </c>
      <c r="CB209" t="e">
        <f>AND(Sheet1!M2807,"AAAAAGL9PU8=")</f>
        <v>#VALUE!</v>
      </c>
      <c r="CC209" t="e">
        <f>AND(Sheet1!N2807,"AAAAAGL9PVA=")</f>
        <v>#VALUE!</v>
      </c>
      <c r="CD209" t="e">
        <f>AND(Sheet1!#REF!,"AAAAAGL9PVE=")</f>
        <v>#REF!</v>
      </c>
      <c r="CE209" t="e">
        <f>AND(Sheet1!#REF!,"AAAAAGL9PVI=")</f>
        <v>#REF!</v>
      </c>
      <c r="CF209" t="e">
        <f>AND(Sheet1!#REF!,"AAAAAGL9PVM=")</f>
        <v>#REF!</v>
      </c>
      <c r="CG209" t="e">
        <f>AND(Sheet1!#REF!,"AAAAAGL9PVQ=")</f>
        <v>#REF!</v>
      </c>
      <c r="CH209">
        <f>IF(Sheet1!2808:2808,"AAAAAGL9PVU=",0)</f>
        <v>0</v>
      </c>
      <c r="CI209" t="e">
        <f>AND(Sheet1!A2808,"AAAAAGL9PVY=")</f>
        <v>#VALUE!</v>
      </c>
      <c r="CJ209" t="e">
        <f>AND(Sheet1!B2808,"AAAAAGL9PVc=")</f>
        <v>#VALUE!</v>
      </c>
      <c r="CK209" t="e">
        <f>AND(Sheet1!C2808,"AAAAAGL9PVg=")</f>
        <v>#VALUE!</v>
      </c>
      <c r="CL209" t="e">
        <f>AND(Sheet1!D2808,"AAAAAGL9PVk=")</f>
        <v>#VALUE!</v>
      </c>
      <c r="CM209" t="e">
        <f>AND(Sheet1!E2808,"AAAAAGL9PVo=")</f>
        <v>#VALUE!</v>
      </c>
      <c r="CN209" t="e">
        <f>AND(Sheet1!F2808,"AAAAAGL9PVs=")</f>
        <v>#VALUE!</v>
      </c>
      <c r="CO209" t="e">
        <f>AND(Sheet1!G2808,"AAAAAGL9PVw=")</f>
        <v>#VALUE!</v>
      </c>
      <c r="CP209" t="e">
        <f>AND(Sheet1!H2808,"AAAAAGL9PV0=")</f>
        <v>#VALUE!</v>
      </c>
      <c r="CQ209" t="e">
        <f>AND(Sheet1!I2808,"AAAAAGL9PV4=")</f>
        <v>#VALUE!</v>
      </c>
      <c r="CR209" t="e">
        <f>AND(Sheet1!J2808,"AAAAAGL9PV8=")</f>
        <v>#VALUE!</v>
      </c>
      <c r="CS209" t="e">
        <f>AND(Sheet1!K2808,"AAAAAGL9PWA=")</f>
        <v>#VALUE!</v>
      </c>
      <c r="CT209" t="e">
        <f>AND(Sheet1!L2808,"AAAAAGL9PWE=")</f>
        <v>#VALUE!</v>
      </c>
      <c r="CU209" t="e">
        <f>AND(Sheet1!M2808,"AAAAAGL9PWI=")</f>
        <v>#VALUE!</v>
      </c>
      <c r="CV209" t="e">
        <f>AND(Sheet1!N2808,"AAAAAGL9PWM=")</f>
        <v>#VALUE!</v>
      </c>
      <c r="CW209" t="e">
        <f>AND(Sheet1!#REF!,"AAAAAGL9PWQ=")</f>
        <v>#REF!</v>
      </c>
      <c r="CX209" t="e">
        <f>AND(Sheet1!#REF!,"AAAAAGL9PWU=")</f>
        <v>#REF!</v>
      </c>
      <c r="CY209" t="e">
        <f>AND(Sheet1!#REF!,"AAAAAGL9PWY=")</f>
        <v>#REF!</v>
      </c>
      <c r="CZ209" t="e">
        <f>AND(Sheet1!#REF!,"AAAAAGL9PWc=")</f>
        <v>#REF!</v>
      </c>
      <c r="DA209">
        <f>IF(Sheet1!2809:2809,"AAAAAGL9PWg=",0)</f>
        <v>0</v>
      </c>
      <c r="DB209" t="e">
        <f>AND(Sheet1!A2809,"AAAAAGL9PWk=")</f>
        <v>#VALUE!</v>
      </c>
      <c r="DC209" t="e">
        <f>AND(Sheet1!B2809,"AAAAAGL9PWo=")</f>
        <v>#VALUE!</v>
      </c>
      <c r="DD209" t="e">
        <f>AND(Sheet1!C2809,"AAAAAGL9PWs=")</f>
        <v>#VALUE!</v>
      </c>
      <c r="DE209" t="e">
        <f>AND(Sheet1!D2809,"AAAAAGL9PWw=")</f>
        <v>#VALUE!</v>
      </c>
      <c r="DF209" t="e">
        <f>AND(Sheet1!E2809,"AAAAAGL9PW0=")</f>
        <v>#VALUE!</v>
      </c>
      <c r="DG209" t="e">
        <f>AND(Sheet1!F2809,"AAAAAGL9PW4=")</f>
        <v>#VALUE!</v>
      </c>
      <c r="DH209" t="e">
        <f>AND(Sheet1!G2809,"AAAAAGL9PW8=")</f>
        <v>#VALUE!</v>
      </c>
      <c r="DI209" t="e">
        <f>AND(Sheet1!H2809,"AAAAAGL9PXA=")</f>
        <v>#VALUE!</v>
      </c>
      <c r="DJ209" t="e">
        <f>AND(Sheet1!I2809,"AAAAAGL9PXE=")</f>
        <v>#VALUE!</v>
      </c>
      <c r="DK209" t="e">
        <f>AND(Sheet1!J2809,"AAAAAGL9PXI=")</f>
        <v>#VALUE!</v>
      </c>
      <c r="DL209" t="e">
        <f>AND(Sheet1!K2809,"AAAAAGL9PXM=")</f>
        <v>#VALUE!</v>
      </c>
      <c r="DM209" t="e">
        <f>AND(Sheet1!L2809,"AAAAAGL9PXQ=")</f>
        <v>#VALUE!</v>
      </c>
      <c r="DN209" t="e">
        <f>AND(Sheet1!M2809,"AAAAAGL9PXU=")</f>
        <v>#VALUE!</v>
      </c>
      <c r="DO209" t="e">
        <f>AND(Sheet1!N2809,"AAAAAGL9PXY=")</f>
        <v>#VALUE!</v>
      </c>
      <c r="DP209" t="e">
        <f>AND(Sheet1!#REF!,"AAAAAGL9PXc=")</f>
        <v>#REF!</v>
      </c>
      <c r="DQ209" t="e">
        <f>AND(Sheet1!#REF!,"AAAAAGL9PXg=")</f>
        <v>#REF!</v>
      </c>
      <c r="DR209" t="e">
        <f>AND(Sheet1!#REF!,"AAAAAGL9PXk=")</f>
        <v>#REF!</v>
      </c>
      <c r="DS209" t="e">
        <f>AND(Sheet1!#REF!,"AAAAAGL9PXo=")</f>
        <v>#REF!</v>
      </c>
      <c r="DT209">
        <f>IF(Sheet1!2810:2810,"AAAAAGL9PXs=",0)</f>
        <v>0</v>
      </c>
      <c r="DU209" t="e">
        <f>AND(Sheet1!A2810,"AAAAAGL9PXw=")</f>
        <v>#VALUE!</v>
      </c>
      <c r="DV209" t="e">
        <f>AND(Sheet1!B2810,"AAAAAGL9PX0=")</f>
        <v>#VALUE!</v>
      </c>
      <c r="DW209" t="e">
        <f>AND(Sheet1!C2810,"AAAAAGL9PX4=")</f>
        <v>#VALUE!</v>
      </c>
      <c r="DX209" t="e">
        <f>AND(Sheet1!D2810,"AAAAAGL9PX8=")</f>
        <v>#VALUE!</v>
      </c>
      <c r="DY209" t="e">
        <f>AND(Sheet1!E2810,"AAAAAGL9PYA=")</f>
        <v>#VALUE!</v>
      </c>
      <c r="DZ209" t="e">
        <f>AND(Sheet1!F2810,"AAAAAGL9PYE=")</f>
        <v>#VALUE!</v>
      </c>
      <c r="EA209" t="e">
        <f>AND(Sheet1!G2810,"AAAAAGL9PYI=")</f>
        <v>#VALUE!</v>
      </c>
      <c r="EB209" t="e">
        <f>AND(Sheet1!H2810,"AAAAAGL9PYM=")</f>
        <v>#VALUE!</v>
      </c>
      <c r="EC209" t="e">
        <f>AND(Sheet1!I2810,"AAAAAGL9PYQ=")</f>
        <v>#VALUE!</v>
      </c>
      <c r="ED209" t="e">
        <f>AND(Sheet1!J2810,"AAAAAGL9PYU=")</f>
        <v>#VALUE!</v>
      </c>
      <c r="EE209" t="e">
        <f>AND(Sheet1!K2810,"AAAAAGL9PYY=")</f>
        <v>#VALUE!</v>
      </c>
      <c r="EF209" t="e">
        <f>AND(Sheet1!L2810,"AAAAAGL9PYc=")</f>
        <v>#VALUE!</v>
      </c>
      <c r="EG209" t="e">
        <f>AND(Sheet1!M2810,"AAAAAGL9PYg=")</f>
        <v>#VALUE!</v>
      </c>
      <c r="EH209" t="e">
        <f>AND(Sheet1!N2810,"AAAAAGL9PYk=")</f>
        <v>#VALUE!</v>
      </c>
      <c r="EI209" t="e">
        <f>AND(Sheet1!#REF!,"AAAAAGL9PYo=")</f>
        <v>#REF!</v>
      </c>
      <c r="EJ209" t="e">
        <f>AND(Sheet1!#REF!,"AAAAAGL9PYs=")</f>
        <v>#REF!</v>
      </c>
      <c r="EK209" t="e">
        <f>AND(Sheet1!#REF!,"AAAAAGL9PYw=")</f>
        <v>#REF!</v>
      </c>
      <c r="EL209" t="e">
        <f>AND(Sheet1!#REF!,"AAAAAGL9PY0=")</f>
        <v>#REF!</v>
      </c>
      <c r="EM209">
        <f>IF(Sheet1!2811:2811,"AAAAAGL9PY4=",0)</f>
        <v>0</v>
      </c>
      <c r="EN209" t="e">
        <f>AND(Sheet1!A2811,"AAAAAGL9PY8=")</f>
        <v>#VALUE!</v>
      </c>
      <c r="EO209" t="e">
        <f>AND(Sheet1!B2811,"AAAAAGL9PZA=")</f>
        <v>#VALUE!</v>
      </c>
      <c r="EP209" t="e">
        <f>AND(Sheet1!C2811,"AAAAAGL9PZE=")</f>
        <v>#VALUE!</v>
      </c>
      <c r="EQ209" t="e">
        <f>AND(Sheet1!D2811,"AAAAAGL9PZI=")</f>
        <v>#VALUE!</v>
      </c>
      <c r="ER209" t="e">
        <f>AND(Sheet1!E2811,"AAAAAGL9PZM=")</f>
        <v>#VALUE!</v>
      </c>
      <c r="ES209" t="e">
        <f>AND(Sheet1!F2811,"AAAAAGL9PZQ=")</f>
        <v>#VALUE!</v>
      </c>
      <c r="ET209" t="e">
        <f>AND(Sheet1!G2811,"AAAAAGL9PZU=")</f>
        <v>#VALUE!</v>
      </c>
      <c r="EU209" t="e">
        <f>AND(Sheet1!H2811,"AAAAAGL9PZY=")</f>
        <v>#VALUE!</v>
      </c>
      <c r="EV209" t="e">
        <f>AND(Sheet1!I2811,"AAAAAGL9PZc=")</f>
        <v>#VALUE!</v>
      </c>
      <c r="EW209" t="e">
        <f>AND(Sheet1!J2811,"AAAAAGL9PZg=")</f>
        <v>#VALUE!</v>
      </c>
      <c r="EX209" t="e">
        <f>AND(Sheet1!K2811,"AAAAAGL9PZk=")</f>
        <v>#VALUE!</v>
      </c>
      <c r="EY209" t="e">
        <f>AND(Sheet1!L2811,"AAAAAGL9PZo=")</f>
        <v>#VALUE!</v>
      </c>
      <c r="EZ209" t="e">
        <f>AND(Sheet1!M2811,"AAAAAGL9PZs=")</f>
        <v>#VALUE!</v>
      </c>
      <c r="FA209" t="e">
        <f>AND(Sheet1!N2811,"AAAAAGL9PZw=")</f>
        <v>#VALUE!</v>
      </c>
      <c r="FB209" t="e">
        <f>AND(Sheet1!#REF!,"AAAAAGL9PZ0=")</f>
        <v>#REF!</v>
      </c>
      <c r="FC209" t="e">
        <f>AND(Sheet1!#REF!,"AAAAAGL9PZ4=")</f>
        <v>#REF!</v>
      </c>
      <c r="FD209" t="e">
        <f>AND(Sheet1!#REF!,"AAAAAGL9PZ8=")</f>
        <v>#REF!</v>
      </c>
      <c r="FE209" t="e">
        <f>AND(Sheet1!#REF!,"AAAAAGL9PaA=")</f>
        <v>#REF!</v>
      </c>
      <c r="FF209">
        <f>IF(Sheet1!2812:2812,"AAAAAGL9PaE=",0)</f>
        <v>0</v>
      </c>
      <c r="FG209" t="e">
        <f>AND(Sheet1!A2812,"AAAAAGL9PaI=")</f>
        <v>#VALUE!</v>
      </c>
      <c r="FH209" t="e">
        <f>AND(Sheet1!B2812,"AAAAAGL9PaM=")</f>
        <v>#VALUE!</v>
      </c>
      <c r="FI209" t="e">
        <f>AND(Sheet1!C2812,"AAAAAGL9PaQ=")</f>
        <v>#VALUE!</v>
      </c>
      <c r="FJ209" t="e">
        <f>AND(Sheet1!D2812,"AAAAAGL9PaU=")</f>
        <v>#VALUE!</v>
      </c>
      <c r="FK209" t="e">
        <f>AND(Sheet1!E2812,"AAAAAGL9PaY=")</f>
        <v>#VALUE!</v>
      </c>
      <c r="FL209" t="e">
        <f>AND(Sheet1!F2812,"AAAAAGL9Pac=")</f>
        <v>#VALUE!</v>
      </c>
      <c r="FM209" t="e">
        <f>AND(Sheet1!G2812,"AAAAAGL9Pag=")</f>
        <v>#VALUE!</v>
      </c>
      <c r="FN209" t="e">
        <f>AND(Sheet1!H2812,"AAAAAGL9Pak=")</f>
        <v>#VALUE!</v>
      </c>
      <c r="FO209" t="e">
        <f>AND(Sheet1!I2812,"AAAAAGL9Pao=")</f>
        <v>#VALUE!</v>
      </c>
      <c r="FP209" t="e">
        <f>AND(Sheet1!J2812,"AAAAAGL9Pas=")</f>
        <v>#VALUE!</v>
      </c>
      <c r="FQ209" t="e">
        <f>AND(Sheet1!K2812,"AAAAAGL9Paw=")</f>
        <v>#VALUE!</v>
      </c>
      <c r="FR209" t="e">
        <f>AND(Sheet1!L2812,"AAAAAGL9Pa0=")</f>
        <v>#VALUE!</v>
      </c>
      <c r="FS209" t="e">
        <f>AND(Sheet1!M2812,"AAAAAGL9Pa4=")</f>
        <v>#VALUE!</v>
      </c>
      <c r="FT209" t="e">
        <f>AND(Sheet1!N2812,"AAAAAGL9Pa8=")</f>
        <v>#VALUE!</v>
      </c>
      <c r="FU209" t="e">
        <f>AND(Sheet1!#REF!,"AAAAAGL9PbA=")</f>
        <v>#REF!</v>
      </c>
      <c r="FV209" t="e">
        <f>AND(Sheet1!#REF!,"AAAAAGL9PbE=")</f>
        <v>#REF!</v>
      </c>
      <c r="FW209" t="e">
        <f>AND(Sheet1!#REF!,"AAAAAGL9PbI=")</f>
        <v>#REF!</v>
      </c>
      <c r="FX209" t="e">
        <f>AND(Sheet1!#REF!,"AAAAAGL9PbM=")</f>
        <v>#REF!</v>
      </c>
      <c r="FY209">
        <f>IF(Sheet1!2813:2813,"AAAAAGL9PbQ=",0)</f>
        <v>0</v>
      </c>
      <c r="FZ209" t="e">
        <f>AND(Sheet1!A2813,"AAAAAGL9PbU=")</f>
        <v>#VALUE!</v>
      </c>
      <c r="GA209" t="e">
        <f>AND(Sheet1!B2813,"AAAAAGL9PbY=")</f>
        <v>#VALUE!</v>
      </c>
      <c r="GB209" t="e">
        <f>AND(Sheet1!C2813,"AAAAAGL9Pbc=")</f>
        <v>#VALUE!</v>
      </c>
      <c r="GC209" t="e">
        <f>AND(Sheet1!D2813,"AAAAAGL9Pbg=")</f>
        <v>#VALUE!</v>
      </c>
      <c r="GD209" t="e">
        <f>AND(Sheet1!E2813,"AAAAAGL9Pbk=")</f>
        <v>#VALUE!</v>
      </c>
      <c r="GE209" t="e">
        <f>AND(Sheet1!F2813,"AAAAAGL9Pbo=")</f>
        <v>#VALUE!</v>
      </c>
      <c r="GF209" t="e">
        <f>AND(Sheet1!G2813,"AAAAAGL9Pbs=")</f>
        <v>#VALUE!</v>
      </c>
      <c r="GG209" t="e">
        <f>AND(Sheet1!H2813,"AAAAAGL9Pbw=")</f>
        <v>#VALUE!</v>
      </c>
      <c r="GH209" t="e">
        <f>AND(Sheet1!I2813,"AAAAAGL9Pb0=")</f>
        <v>#VALUE!</v>
      </c>
      <c r="GI209" t="e">
        <f>AND(Sheet1!J2813,"AAAAAGL9Pb4=")</f>
        <v>#VALUE!</v>
      </c>
      <c r="GJ209" t="e">
        <f>AND(Sheet1!K2813,"AAAAAGL9Pb8=")</f>
        <v>#VALUE!</v>
      </c>
      <c r="GK209" t="e">
        <f>AND(Sheet1!L2813,"AAAAAGL9PcA=")</f>
        <v>#VALUE!</v>
      </c>
      <c r="GL209" t="e">
        <f>AND(Sheet1!M2813,"AAAAAGL9PcE=")</f>
        <v>#VALUE!</v>
      </c>
      <c r="GM209" t="e">
        <f>AND(Sheet1!N2813,"AAAAAGL9PcI=")</f>
        <v>#VALUE!</v>
      </c>
      <c r="GN209" t="e">
        <f>AND(Sheet1!#REF!,"AAAAAGL9PcM=")</f>
        <v>#REF!</v>
      </c>
      <c r="GO209" t="e">
        <f>AND(Sheet1!#REF!,"AAAAAGL9PcQ=")</f>
        <v>#REF!</v>
      </c>
      <c r="GP209" t="e">
        <f>AND(Sheet1!#REF!,"AAAAAGL9PcU=")</f>
        <v>#REF!</v>
      </c>
      <c r="GQ209" t="e">
        <f>AND(Sheet1!#REF!,"AAAAAGL9PcY=")</f>
        <v>#REF!</v>
      </c>
      <c r="GR209">
        <f>IF(Sheet1!2814:2814,"AAAAAGL9Pcc=",0)</f>
        <v>0</v>
      </c>
      <c r="GS209" t="e">
        <f>AND(Sheet1!A2814,"AAAAAGL9Pcg=")</f>
        <v>#VALUE!</v>
      </c>
      <c r="GT209" t="e">
        <f>AND(Sheet1!B2814,"AAAAAGL9Pck=")</f>
        <v>#VALUE!</v>
      </c>
      <c r="GU209" t="e">
        <f>AND(Sheet1!C2814,"AAAAAGL9Pco=")</f>
        <v>#VALUE!</v>
      </c>
      <c r="GV209" t="e">
        <f>AND(Sheet1!D2814,"AAAAAGL9Pcs=")</f>
        <v>#VALUE!</v>
      </c>
      <c r="GW209" t="e">
        <f>AND(Sheet1!E2814,"AAAAAGL9Pcw=")</f>
        <v>#VALUE!</v>
      </c>
      <c r="GX209" t="e">
        <f>AND(Sheet1!F2814,"AAAAAGL9Pc0=")</f>
        <v>#VALUE!</v>
      </c>
      <c r="GY209" t="e">
        <f>AND(Sheet1!G2814,"AAAAAGL9Pc4=")</f>
        <v>#VALUE!</v>
      </c>
      <c r="GZ209" t="e">
        <f>AND(Sheet1!H2814,"AAAAAGL9Pc8=")</f>
        <v>#VALUE!</v>
      </c>
      <c r="HA209" t="e">
        <f>AND(Sheet1!I2814,"AAAAAGL9PdA=")</f>
        <v>#VALUE!</v>
      </c>
      <c r="HB209" t="e">
        <f>AND(Sheet1!J2814,"AAAAAGL9PdE=")</f>
        <v>#VALUE!</v>
      </c>
      <c r="HC209" t="e">
        <f>AND(Sheet1!K2814,"AAAAAGL9PdI=")</f>
        <v>#VALUE!</v>
      </c>
      <c r="HD209" t="e">
        <f>AND(Sheet1!L2814,"AAAAAGL9PdM=")</f>
        <v>#VALUE!</v>
      </c>
      <c r="HE209" t="e">
        <f>AND(Sheet1!M2814,"AAAAAGL9PdQ=")</f>
        <v>#VALUE!</v>
      </c>
      <c r="HF209" t="e">
        <f>AND(Sheet1!N2814,"AAAAAGL9PdU=")</f>
        <v>#VALUE!</v>
      </c>
      <c r="HG209" t="e">
        <f>AND(Sheet1!#REF!,"AAAAAGL9PdY=")</f>
        <v>#REF!</v>
      </c>
      <c r="HH209" t="e">
        <f>AND(Sheet1!#REF!,"AAAAAGL9Pdc=")</f>
        <v>#REF!</v>
      </c>
      <c r="HI209" t="e">
        <f>AND(Sheet1!#REF!,"AAAAAGL9Pdg=")</f>
        <v>#REF!</v>
      </c>
      <c r="HJ209" t="e">
        <f>AND(Sheet1!#REF!,"AAAAAGL9Pdk=")</f>
        <v>#REF!</v>
      </c>
      <c r="HK209">
        <f>IF(Sheet1!2815:2815,"AAAAAGL9Pdo=",0)</f>
        <v>0</v>
      </c>
      <c r="HL209" t="e">
        <f>AND(Sheet1!A2815,"AAAAAGL9Pds=")</f>
        <v>#VALUE!</v>
      </c>
      <c r="HM209" t="e">
        <f>AND(Sheet1!B2815,"AAAAAGL9Pdw=")</f>
        <v>#VALUE!</v>
      </c>
      <c r="HN209" t="e">
        <f>AND(Sheet1!C2815,"AAAAAGL9Pd0=")</f>
        <v>#VALUE!</v>
      </c>
      <c r="HO209" t="e">
        <f>AND(Sheet1!D2815,"AAAAAGL9Pd4=")</f>
        <v>#VALUE!</v>
      </c>
      <c r="HP209" t="e">
        <f>AND(Sheet1!E2815,"AAAAAGL9Pd8=")</f>
        <v>#VALUE!</v>
      </c>
      <c r="HQ209" t="e">
        <f>AND(Sheet1!F2815,"AAAAAGL9PeA=")</f>
        <v>#VALUE!</v>
      </c>
      <c r="HR209" t="e">
        <f>AND(Sheet1!G2815,"AAAAAGL9PeE=")</f>
        <v>#VALUE!</v>
      </c>
      <c r="HS209" t="e">
        <f>AND(Sheet1!H2815,"AAAAAGL9PeI=")</f>
        <v>#VALUE!</v>
      </c>
      <c r="HT209" t="e">
        <f>AND(Sheet1!I2815,"AAAAAGL9PeM=")</f>
        <v>#VALUE!</v>
      </c>
      <c r="HU209" t="e">
        <f>AND(Sheet1!J2815,"AAAAAGL9PeQ=")</f>
        <v>#VALUE!</v>
      </c>
      <c r="HV209" t="e">
        <f>AND(Sheet1!K2815,"AAAAAGL9PeU=")</f>
        <v>#VALUE!</v>
      </c>
      <c r="HW209" t="e">
        <f>AND(Sheet1!L2815,"AAAAAGL9PeY=")</f>
        <v>#VALUE!</v>
      </c>
      <c r="HX209" t="e">
        <f>AND(Sheet1!M2815,"AAAAAGL9Pec=")</f>
        <v>#VALUE!</v>
      </c>
      <c r="HY209" t="e">
        <f>AND(Sheet1!N2815,"AAAAAGL9Peg=")</f>
        <v>#VALUE!</v>
      </c>
      <c r="HZ209" t="e">
        <f>AND(Sheet1!#REF!,"AAAAAGL9Pek=")</f>
        <v>#REF!</v>
      </c>
      <c r="IA209" t="e">
        <f>AND(Sheet1!#REF!,"AAAAAGL9Peo=")</f>
        <v>#REF!</v>
      </c>
      <c r="IB209" t="e">
        <f>AND(Sheet1!#REF!,"AAAAAGL9Pes=")</f>
        <v>#REF!</v>
      </c>
      <c r="IC209" t="e">
        <f>AND(Sheet1!#REF!,"AAAAAGL9Pew=")</f>
        <v>#REF!</v>
      </c>
      <c r="ID209">
        <f>IF(Sheet1!2816:2816,"AAAAAGL9Pe0=",0)</f>
        <v>0</v>
      </c>
      <c r="IE209" t="e">
        <f>AND(Sheet1!A2816,"AAAAAGL9Pe4=")</f>
        <v>#VALUE!</v>
      </c>
      <c r="IF209" t="e">
        <f>AND(Sheet1!B2816,"AAAAAGL9Pe8=")</f>
        <v>#VALUE!</v>
      </c>
      <c r="IG209" t="e">
        <f>AND(Sheet1!C2816,"AAAAAGL9PfA=")</f>
        <v>#VALUE!</v>
      </c>
      <c r="IH209" t="e">
        <f>AND(Sheet1!D2816,"AAAAAGL9PfE=")</f>
        <v>#VALUE!</v>
      </c>
      <c r="II209" t="e">
        <f>AND(Sheet1!E2816,"AAAAAGL9PfI=")</f>
        <v>#VALUE!</v>
      </c>
      <c r="IJ209" t="e">
        <f>AND(Sheet1!F2816,"AAAAAGL9PfM=")</f>
        <v>#VALUE!</v>
      </c>
      <c r="IK209" t="e">
        <f>AND(Sheet1!G2816,"AAAAAGL9PfQ=")</f>
        <v>#VALUE!</v>
      </c>
      <c r="IL209" t="e">
        <f>AND(Sheet1!H2816,"AAAAAGL9PfU=")</f>
        <v>#VALUE!</v>
      </c>
      <c r="IM209" t="e">
        <f>AND(Sheet1!I2816,"AAAAAGL9PfY=")</f>
        <v>#VALUE!</v>
      </c>
      <c r="IN209" t="e">
        <f>AND(Sheet1!J2816,"AAAAAGL9Pfc=")</f>
        <v>#VALUE!</v>
      </c>
      <c r="IO209" t="e">
        <f>AND(Sheet1!K2816,"AAAAAGL9Pfg=")</f>
        <v>#VALUE!</v>
      </c>
      <c r="IP209" t="e">
        <f>AND(Sheet1!L2816,"AAAAAGL9Pfk=")</f>
        <v>#VALUE!</v>
      </c>
      <c r="IQ209" t="e">
        <f>AND(Sheet1!M2816,"AAAAAGL9Pfo=")</f>
        <v>#VALUE!</v>
      </c>
      <c r="IR209" t="e">
        <f>AND(Sheet1!N2816,"AAAAAGL9Pfs=")</f>
        <v>#VALUE!</v>
      </c>
      <c r="IS209" t="e">
        <f>AND(Sheet1!#REF!,"AAAAAGL9Pfw=")</f>
        <v>#REF!</v>
      </c>
      <c r="IT209" t="e">
        <f>AND(Sheet1!#REF!,"AAAAAGL9Pf0=")</f>
        <v>#REF!</v>
      </c>
      <c r="IU209" t="e">
        <f>AND(Sheet1!#REF!,"AAAAAGL9Pf4=")</f>
        <v>#REF!</v>
      </c>
      <c r="IV209" t="e">
        <f>AND(Sheet1!#REF!,"AAAAAGL9Pf8=")</f>
        <v>#REF!</v>
      </c>
    </row>
    <row r="210" spans="1:256" x14ac:dyDescent="0.2">
      <c r="A210" t="e">
        <f>IF(Sheet1!2817:2817,"AAAAAH1ZtwA=",0)</f>
        <v>#VALUE!</v>
      </c>
      <c r="B210" t="e">
        <f>AND(Sheet1!A2817,"AAAAAH1ZtwE=")</f>
        <v>#VALUE!</v>
      </c>
      <c r="C210" t="e">
        <f>AND(Sheet1!B2817,"AAAAAH1ZtwI=")</f>
        <v>#VALUE!</v>
      </c>
      <c r="D210" t="e">
        <f>AND(Sheet1!C2817,"AAAAAH1ZtwM=")</f>
        <v>#VALUE!</v>
      </c>
      <c r="E210" t="e">
        <f>AND(Sheet1!D2817,"AAAAAH1ZtwQ=")</f>
        <v>#VALUE!</v>
      </c>
      <c r="F210" t="e">
        <f>AND(Sheet1!E2817,"AAAAAH1ZtwU=")</f>
        <v>#VALUE!</v>
      </c>
      <c r="G210" t="e">
        <f>AND(Sheet1!F2817,"AAAAAH1ZtwY=")</f>
        <v>#VALUE!</v>
      </c>
      <c r="H210" t="e">
        <f>AND(Sheet1!G2817,"AAAAAH1Ztwc=")</f>
        <v>#VALUE!</v>
      </c>
      <c r="I210" t="e">
        <f>AND(Sheet1!H2817,"AAAAAH1Ztwg=")</f>
        <v>#VALUE!</v>
      </c>
      <c r="J210" t="e">
        <f>AND(Sheet1!I2817,"AAAAAH1Ztwk=")</f>
        <v>#VALUE!</v>
      </c>
      <c r="K210" t="e">
        <f>AND(Sheet1!J2817,"AAAAAH1Ztwo=")</f>
        <v>#VALUE!</v>
      </c>
      <c r="L210" t="e">
        <f>AND(Sheet1!K2817,"AAAAAH1Ztws=")</f>
        <v>#VALUE!</v>
      </c>
      <c r="M210" t="e">
        <f>AND(Sheet1!L2817,"AAAAAH1Ztww=")</f>
        <v>#VALUE!</v>
      </c>
      <c r="N210" t="e">
        <f>AND(Sheet1!M2817,"AAAAAH1Ztw0=")</f>
        <v>#VALUE!</v>
      </c>
      <c r="O210" t="e">
        <f>AND(Sheet1!N2817,"AAAAAH1Ztw4=")</f>
        <v>#VALUE!</v>
      </c>
      <c r="P210" t="e">
        <f>AND(Sheet1!#REF!,"AAAAAH1Ztw8=")</f>
        <v>#REF!</v>
      </c>
      <c r="Q210" t="e">
        <f>AND(Sheet1!#REF!,"AAAAAH1ZtxA=")</f>
        <v>#REF!</v>
      </c>
      <c r="R210" t="e">
        <f>AND(Sheet1!#REF!,"AAAAAH1ZtxE=")</f>
        <v>#REF!</v>
      </c>
      <c r="S210" t="e">
        <f>AND(Sheet1!#REF!,"AAAAAH1ZtxI=")</f>
        <v>#REF!</v>
      </c>
      <c r="T210">
        <f>IF(Sheet1!2818:2818,"AAAAAH1ZtxM=",0)</f>
        <v>0</v>
      </c>
      <c r="U210" t="e">
        <f>AND(Sheet1!A2818,"AAAAAH1ZtxQ=")</f>
        <v>#VALUE!</v>
      </c>
      <c r="V210" t="e">
        <f>AND(Sheet1!B2818,"AAAAAH1ZtxU=")</f>
        <v>#VALUE!</v>
      </c>
      <c r="W210" t="e">
        <f>AND(Sheet1!C2818,"AAAAAH1ZtxY=")</f>
        <v>#VALUE!</v>
      </c>
      <c r="X210" t="e">
        <f>AND(Sheet1!D2818,"AAAAAH1Ztxc=")</f>
        <v>#VALUE!</v>
      </c>
      <c r="Y210" t="e">
        <f>AND(Sheet1!E2818,"AAAAAH1Ztxg=")</f>
        <v>#VALUE!</v>
      </c>
      <c r="Z210" t="e">
        <f>AND(Sheet1!F2818,"AAAAAH1Ztxk=")</f>
        <v>#VALUE!</v>
      </c>
      <c r="AA210" t="e">
        <f>AND(Sheet1!G2818,"AAAAAH1Ztxo=")</f>
        <v>#VALUE!</v>
      </c>
      <c r="AB210" t="e">
        <f>AND(Sheet1!H2818,"AAAAAH1Ztxs=")</f>
        <v>#VALUE!</v>
      </c>
      <c r="AC210" t="e">
        <f>AND(Sheet1!I2818,"AAAAAH1Ztxw=")</f>
        <v>#VALUE!</v>
      </c>
      <c r="AD210" t="e">
        <f>AND(Sheet1!J2818,"AAAAAH1Ztx0=")</f>
        <v>#VALUE!</v>
      </c>
      <c r="AE210" t="e">
        <f>AND(Sheet1!K2818,"AAAAAH1Ztx4=")</f>
        <v>#VALUE!</v>
      </c>
      <c r="AF210" t="e">
        <f>AND(Sheet1!L2818,"AAAAAH1Ztx8=")</f>
        <v>#VALUE!</v>
      </c>
      <c r="AG210" t="e">
        <f>AND(Sheet1!M2818,"AAAAAH1ZtyA=")</f>
        <v>#VALUE!</v>
      </c>
      <c r="AH210" t="e">
        <f>AND(Sheet1!N2818,"AAAAAH1ZtyE=")</f>
        <v>#VALUE!</v>
      </c>
      <c r="AI210" t="e">
        <f>AND(Sheet1!#REF!,"AAAAAH1ZtyI=")</f>
        <v>#REF!</v>
      </c>
      <c r="AJ210" t="e">
        <f>AND(Sheet1!#REF!,"AAAAAH1ZtyM=")</f>
        <v>#REF!</v>
      </c>
      <c r="AK210" t="e">
        <f>AND(Sheet1!#REF!,"AAAAAH1ZtyQ=")</f>
        <v>#REF!</v>
      </c>
      <c r="AL210" t="e">
        <f>AND(Sheet1!#REF!,"AAAAAH1ZtyU=")</f>
        <v>#REF!</v>
      </c>
      <c r="AM210">
        <f>IF(Sheet1!2819:2819,"AAAAAH1ZtyY=",0)</f>
        <v>0</v>
      </c>
      <c r="AN210" t="e">
        <f>AND(Sheet1!A2819,"AAAAAH1Ztyc=")</f>
        <v>#VALUE!</v>
      </c>
      <c r="AO210" t="e">
        <f>AND(Sheet1!B2819,"AAAAAH1Ztyg=")</f>
        <v>#VALUE!</v>
      </c>
      <c r="AP210" t="e">
        <f>AND(Sheet1!C2819,"AAAAAH1Ztyk=")</f>
        <v>#VALUE!</v>
      </c>
      <c r="AQ210" t="e">
        <f>AND(Sheet1!D2819,"AAAAAH1Ztyo=")</f>
        <v>#VALUE!</v>
      </c>
      <c r="AR210" t="e">
        <f>AND(Sheet1!E2819,"AAAAAH1Ztys=")</f>
        <v>#VALUE!</v>
      </c>
      <c r="AS210" t="e">
        <f>AND(Sheet1!F2819,"AAAAAH1Ztyw=")</f>
        <v>#VALUE!</v>
      </c>
      <c r="AT210" t="e">
        <f>AND(Sheet1!G2819,"AAAAAH1Zty0=")</f>
        <v>#VALUE!</v>
      </c>
      <c r="AU210" t="e">
        <f>AND(Sheet1!H2819,"AAAAAH1Zty4=")</f>
        <v>#VALUE!</v>
      </c>
      <c r="AV210" t="e">
        <f>AND(Sheet1!I2819,"AAAAAH1Zty8=")</f>
        <v>#VALUE!</v>
      </c>
      <c r="AW210" t="e">
        <f>AND(Sheet1!J2819,"AAAAAH1ZtzA=")</f>
        <v>#VALUE!</v>
      </c>
      <c r="AX210" t="e">
        <f>AND(Sheet1!K2819,"AAAAAH1ZtzE=")</f>
        <v>#VALUE!</v>
      </c>
      <c r="AY210" t="e">
        <f>AND(Sheet1!L2819,"AAAAAH1ZtzI=")</f>
        <v>#VALUE!</v>
      </c>
      <c r="AZ210" t="e">
        <f>AND(Sheet1!M2819,"AAAAAH1ZtzM=")</f>
        <v>#VALUE!</v>
      </c>
      <c r="BA210" t="e">
        <f>AND(Sheet1!N2819,"AAAAAH1ZtzQ=")</f>
        <v>#VALUE!</v>
      </c>
      <c r="BB210" t="e">
        <f>AND(Sheet1!#REF!,"AAAAAH1ZtzU=")</f>
        <v>#REF!</v>
      </c>
      <c r="BC210" t="e">
        <f>AND(Sheet1!#REF!,"AAAAAH1ZtzY=")</f>
        <v>#REF!</v>
      </c>
      <c r="BD210" t="e">
        <f>AND(Sheet1!#REF!,"AAAAAH1Ztzc=")</f>
        <v>#REF!</v>
      </c>
      <c r="BE210" t="e">
        <f>AND(Sheet1!#REF!,"AAAAAH1Ztzg=")</f>
        <v>#REF!</v>
      </c>
      <c r="BF210">
        <f>IF(Sheet1!2820:2820,"AAAAAH1Ztzk=",0)</f>
        <v>0</v>
      </c>
      <c r="BG210" t="e">
        <f>AND(Sheet1!A2820,"AAAAAH1Ztzo=")</f>
        <v>#VALUE!</v>
      </c>
      <c r="BH210" t="e">
        <f>AND(Sheet1!B2820,"AAAAAH1Ztzs=")</f>
        <v>#VALUE!</v>
      </c>
      <c r="BI210" t="e">
        <f>AND(Sheet1!C2820,"AAAAAH1Ztzw=")</f>
        <v>#VALUE!</v>
      </c>
      <c r="BJ210" t="e">
        <f>AND(Sheet1!D2820,"AAAAAH1Ztz0=")</f>
        <v>#VALUE!</v>
      </c>
      <c r="BK210" t="e">
        <f>AND(Sheet1!E2820,"AAAAAH1Ztz4=")</f>
        <v>#VALUE!</v>
      </c>
      <c r="BL210" t="e">
        <f>AND(Sheet1!F2820,"AAAAAH1Ztz8=")</f>
        <v>#VALUE!</v>
      </c>
      <c r="BM210" t="e">
        <f>AND(Sheet1!G2820,"AAAAAH1Zt0A=")</f>
        <v>#VALUE!</v>
      </c>
      <c r="BN210" t="e">
        <f>AND(Sheet1!H2820,"AAAAAH1Zt0E=")</f>
        <v>#VALUE!</v>
      </c>
      <c r="BO210" t="e">
        <f>AND(Sheet1!I2820,"AAAAAH1Zt0I=")</f>
        <v>#VALUE!</v>
      </c>
      <c r="BP210" t="e">
        <f>AND(Sheet1!J2820,"AAAAAH1Zt0M=")</f>
        <v>#VALUE!</v>
      </c>
      <c r="BQ210" t="e">
        <f>AND(Sheet1!K2820,"AAAAAH1Zt0Q=")</f>
        <v>#VALUE!</v>
      </c>
      <c r="BR210" t="e">
        <f>AND(Sheet1!L2820,"AAAAAH1Zt0U=")</f>
        <v>#VALUE!</v>
      </c>
      <c r="BS210" t="e">
        <f>AND(Sheet1!M2820,"AAAAAH1Zt0Y=")</f>
        <v>#VALUE!</v>
      </c>
      <c r="BT210" t="e">
        <f>AND(Sheet1!N2820,"AAAAAH1Zt0c=")</f>
        <v>#VALUE!</v>
      </c>
      <c r="BU210" t="e">
        <f>AND(Sheet1!#REF!,"AAAAAH1Zt0g=")</f>
        <v>#REF!</v>
      </c>
      <c r="BV210" t="e">
        <f>AND(Sheet1!#REF!,"AAAAAH1Zt0k=")</f>
        <v>#REF!</v>
      </c>
      <c r="BW210" t="e">
        <f>AND(Sheet1!#REF!,"AAAAAH1Zt0o=")</f>
        <v>#REF!</v>
      </c>
      <c r="BX210" t="e">
        <f>AND(Sheet1!#REF!,"AAAAAH1Zt0s=")</f>
        <v>#REF!</v>
      </c>
      <c r="BY210">
        <f>IF(Sheet1!2821:2821,"AAAAAH1Zt0w=",0)</f>
        <v>0</v>
      </c>
      <c r="BZ210" t="e">
        <f>AND(Sheet1!A2821,"AAAAAH1Zt00=")</f>
        <v>#VALUE!</v>
      </c>
      <c r="CA210" t="e">
        <f>AND(Sheet1!B2821,"AAAAAH1Zt04=")</f>
        <v>#VALUE!</v>
      </c>
      <c r="CB210" t="e">
        <f>AND(Sheet1!C2821,"AAAAAH1Zt08=")</f>
        <v>#VALUE!</v>
      </c>
      <c r="CC210" t="e">
        <f>AND(Sheet1!D2821,"AAAAAH1Zt1A=")</f>
        <v>#VALUE!</v>
      </c>
      <c r="CD210" t="e">
        <f>AND(Sheet1!E2821,"AAAAAH1Zt1E=")</f>
        <v>#VALUE!</v>
      </c>
      <c r="CE210" t="e">
        <f>AND(Sheet1!F2821,"AAAAAH1Zt1I=")</f>
        <v>#VALUE!</v>
      </c>
      <c r="CF210" t="e">
        <f>AND(Sheet1!G2821,"AAAAAH1Zt1M=")</f>
        <v>#VALUE!</v>
      </c>
      <c r="CG210" t="e">
        <f>AND(Sheet1!H2821,"AAAAAH1Zt1Q=")</f>
        <v>#VALUE!</v>
      </c>
      <c r="CH210" t="e">
        <f>AND(Sheet1!I2821,"AAAAAH1Zt1U=")</f>
        <v>#VALUE!</v>
      </c>
      <c r="CI210" t="e">
        <f>AND(Sheet1!J2821,"AAAAAH1Zt1Y=")</f>
        <v>#VALUE!</v>
      </c>
      <c r="CJ210" t="e">
        <f>AND(Sheet1!K2821,"AAAAAH1Zt1c=")</f>
        <v>#VALUE!</v>
      </c>
      <c r="CK210" t="e">
        <f>AND(Sheet1!L2821,"AAAAAH1Zt1g=")</f>
        <v>#VALUE!</v>
      </c>
      <c r="CL210" t="e">
        <f>AND(Sheet1!M2821,"AAAAAH1Zt1k=")</f>
        <v>#VALUE!</v>
      </c>
      <c r="CM210" t="e">
        <f>AND(Sheet1!N2821,"AAAAAH1Zt1o=")</f>
        <v>#VALUE!</v>
      </c>
      <c r="CN210" t="e">
        <f>AND(Sheet1!#REF!,"AAAAAH1Zt1s=")</f>
        <v>#REF!</v>
      </c>
      <c r="CO210" t="e">
        <f>AND(Sheet1!#REF!,"AAAAAH1Zt1w=")</f>
        <v>#REF!</v>
      </c>
      <c r="CP210" t="e">
        <f>AND(Sheet1!#REF!,"AAAAAH1Zt10=")</f>
        <v>#REF!</v>
      </c>
      <c r="CQ210" t="e">
        <f>AND(Sheet1!#REF!,"AAAAAH1Zt14=")</f>
        <v>#REF!</v>
      </c>
      <c r="CR210">
        <f>IF(Sheet1!2822:2822,"AAAAAH1Zt18=",0)</f>
        <v>0</v>
      </c>
      <c r="CS210" t="e">
        <f>AND(Sheet1!A2822,"AAAAAH1Zt2A=")</f>
        <v>#VALUE!</v>
      </c>
      <c r="CT210" t="e">
        <f>AND(Sheet1!B2822,"AAAAAH1Zt2E=")</f>
        <v>#VALUE!</v>
      </c>
      <c r="CU210" t="e">
        <f>AND(Sheet1!C2822,"AAAAAH1Zt2I=")</f>
        <v>#VALUE!</v>
      </c>
      <c r="CV210" t="e">
        <f>AND(Sheet1!D2822,"AAAAAH1Zt2M=")</f>
        <v>#VALUE!</v>
      </c>
      <c r="CW210" t="e">
        <f>AND(Sheet1!E2822,"AAAAAH1Zt2Q=")</f>
        <v>#VALUE!</v>
      </c>
      <c r="CX210" t="e">
        <f>AND(Sheet1!F2822,"AAAAAH1Zt2U=")</f>
        <v>#VALUE!</v>
      </c>
      <c r="CY210" t="e">
        <f>AND(Sheet1!G2822,"AAAAAH1Zt2Y=")</f>
        <v>#VALUE!</v>
      </c>
      <c r="CZ210" t="e">
        <f>AND(Sheet1!H2822,"AAAAAH1Zt2c=")</f>
        <v>#VALUE!</v>
      </c>
      <c r="DA210" t="e">
        <f>AND(Sheet1!I2822,"AAAAAH1Zt2g=")</f>
        <v>#VALUE!</v>
      </c>
      <c r="DB210" t="e">
        <f>AND(Sheet1!J2822,"AAAAAH1Zt2k=")</f>
        <v>#VALUE!</v>
      </c>
      <c r="DC210" t="e">
        <f>AND(Sheet1!K2822,"AAAAAH1Zt2o=")</f>
        <v>#VALUE!</v>
      </c>
      <c r="DD210" t="e">
        <f>AND(Sheet1!L2822,"AAAAAH1Zt2s=")</f>
        <v>#VALUE!</v>
      </c>
      <c r="DE210" t="e">
        <f>AND(Sheet1!M2822,"AAAAAH1Zt2w=")</f>
        <v>#VALUE!</v>
      </c>
      <c r="DF210" t="e">
        <f>AND(Sheet1!N2822,"AAAAAH1Zt20=")</f>
        <v>#VALUE!</v>
      </c>
      <c r="DG210" t="e">
        <f>AND(Sheet1!#REF!,"AAAAAH1Zt24=")</f>
        <v>#REF!</v>
      </c>
      <c r="DH210" t="e">
        <f>AND(Sheet1!#REF!,"AAAAAH1Zt28=")</f>
        <v>#REF!</v>
      </c>
      <c r="DI210" t="e">
        <f>AND(Sheet1!#REF!,"AAAAAH1Zt3A=")</f>
        <v>#REF!</v>
      </c>
      <c r="DJ210" t="e">
        <f>AND(Sheet1!#REF!,"AAAAAH1Zt3E=")</f>
        <v>#REF!</v>
      </c>
      <c r="DK210">
        <f>IF(Sheet1!2823:2823,"AAAAAH1Zt3I=",0)</f>
        <v>0</v>
      </c>
      <c r="DL210" t="e">
        <f>AND(Sheet1!A2823,"AAAAAH1Zt3M=")</f>
        <v>#VALUE!</v>
      </c>
      <c r="DM210" t="e">
        <f>AND(Sheet1!B2823,"AAAAAH1Zt3Q=")</f>
        <v>#VALUE!</v>
      </c>
      <c r="DN210" t="e">
        <f>AND(Sheet1!C2823,"AAAAAH1Zt3U=")</f>
        <v>#VALUE!</v>
      </c>
      <c r="DO210" t="e">
        <f>AND(Sheet1!D2823,"AAAAAH1Zt3Y=")</f>
        <v>#VALUE!</v>
      </c>
      <c r="DP210" t="e">
        <f>AND(Sheet1!E2823,"AAAAAH1Zt3c=")</f>
        <v>#VALUE!</v>
      </c>
      <c r="DQ210" t="e">
        <f>AND(Sheet1!F2823,"AAAAAH1Zt3g=")</f>
        <v>#VALUE!</v>
      </c>
      <c r="DR210" t="e">
        <f>AND(Sheet1!G2823,"AAAAAH1Zt3k=")</f>
        <v>#VALUE!</v>
      </c>
      <c r="DS210" t="e">
        <f>AND(Sheet1!H2823,"AAAAAH1Zt3o=")</f>
        <v>#VALUE!</v>
      </c>
      <c r="DT210" t="e">
        <f>AND(Sheet1!I2823,"AAAAAH1Zt3s=")</f>
        <v>#VALUE!</v>
      </c>
      <c r="DU210" t="e">
        <f>AND(Sheet1!J2823,"AAAAAH1Zt3w=")</f>
        <v>#VALUE!</v>
      </c>
      <c r="DV210" t="e">
        <f>AND(Sheet1!K2823,"AAAAAH1Zt30=")</f>
        <v>#VALUE!</v>
      </c>
      <c r="DW210" t="e">
        <f>AND(Sheet1!L2823,"AAAAAH1Zt34=")</f>
        <v>#VALUE!</v>
      </c>
      <c r="DX210" t="e">
        <f>AND(Sheet1!M2823,"AAAAAH1Zt38=")</f>
        <v>#VALUE!</v>
      </c>
      <c r="DY210" t="e">
        <f>AND(Sheet1!N2823,"AAAAAH1Zt4A=")</f>
        <v>#VALUE!</v>
      </c>
      <c r="DZ210" t="e">
        <f>AND(Sheet1!#REF!,"AAAAAH1Zt4E=")</f>
        <v>#REF!</v>
      </c>
      <c r="EA210" t="e">
        <f>AND(Sheet1!#REF!,"AAAAAH1Zt4I=")</f>
        <v>#REF!</v>
      </c>
      <c r="EB210" t="e">
        <f>AND(Sheet1!#REF!,"AAAAAH1Zt4M=")</f>
        <v>#REF!</v>
      </c>
      <c r="EC210" t="e">
        <f>AND(Sheet1!#REF!,"AAAAAH1Zt4Q=")</f>
        <v>#REF!</v>
      </c>
      <c r="ED210">
        <f>IF(Sheet1!2824:2824,"AAAAAH1Zt4U=",0)</f>
        <v>0</v>
      </c>
      <c r="EE210" t="e">
        <f>AND(Sheet1!A2824,"AAAAAH1Zt4Y=")</f>
        <v>#VALUE!</v>
      </c>
      <c r="EF210" t="e">
        <f>AND(Sheet1!B2824,"AAAAAH1Zt4c=")</f>
        <v>#VALUE!</v>
      </c>
      <c r="EG210" t="e">
        <f>AND(Sheet1!C2824,"AAAAAH1Zt4g=")</f>
        <v>#VALUE!</v>
      </c>
      <c r="EH210" t="e">
        <f>AND(Sheet1!D2824,"AAAAAH1Zt4k=")</f>
        <v>#VALUE!</v>
      </c>
      <c r="EI210" t="e">
        <f>AND(Sheet1!E2824,"AAAAAH1Zt4o=")</f>
        <v>#VALUE!</v>
      </c>
      <c r="EJ210" t="e">
        <f>AND(Sheet1!F2824,"AAAAAH1Zt4s=")</f>
        <v>#VALUE!</v>
      </c>
      <c r="EK210" t="e">
        <f>AND(Sheet1!G2824,"AAAAAH1Zt4w=")</f>
        <v>#VALUE!</v>
      </c>
      <c r="EL210" t="e">
        <f>AND(Sheet1!H2824,"AAAAAH1Zt40=")</f>
        <v>#VALUE!</v>
      </c>
      <c r="EM210" t="e">
        <f>AND(Sheet1!I2824,"AAAAAH1Zt44=")</f>
        <v>#VALUE!</v>
      </c>
      <c r="EN210" t="e">
        <f>AND(Sheet1!J2824,"AAAAAH1Zt48=")</f>
        <v>#VALUE!</v>
      </c>
      <c r="EO210" t="e">
        <f>AND(Sheet1!K2824,"AAAAAH1Zt5A=")</f>
        <v>#VALUE!</v>
      </c>
      <c r="EP210" t="e">
        <f>AND(Sheet1!L2824,"AAAAAH1Zt5E=")</f>
        <v>#VALUE!</v>
      </c>
      <c r="EQ210" t="e">
        <f>AND(Sheet1!M2824,"AAAAAH1Zt5I=")</f>
        <v>#VALUE!</v>
      </c>
      <c r="ER210" t="e">
        <f>AND(Sheet1!N2824,"AAAAAH1Zt5M=")</f>
        <v>#VALUE!</v>
      </c>
      <c r="ES210" t="e">
        <f>AND(Sheet1!#REF!,"AAAAAH1Zt5Q=")</f>
        <v>#REF!</v>
      </c>
      <c r="ET210" t="e">
        <f>AND(Sheet1!#REF!,"AAAAAH1Zt5U=")</f>
        <v>#REF!</v>
      </c>
      <c r="EU210" t="e">
        <f>AND(Sheet1!#REF!,"AAAAAH1Zt5Y=")</f>
        <v>#REF!</v>
      </c>
      <c r="EV210" t="e">
        <f>AND(Sheet1!#REF!,"AAAAAH1Zt5c=")</f>
        <v>#REF!</v>
      </c>
      <c r="EW210">
        <f>IF(Sheet1!2825:2825,"AAAAAH1Zt5g=",0)</f>
        <v>0</v>
      </c>
      <c r="EX210" t="e">
        <f>AND(Sheet1!A2825,"AAAAAH1Zt5k=")</f>
        <v>#VALUE!</v>
      </c>
      <c r="EY210" t="e">
        <f>AND(Sheet1!B2825,"AAAAAH1Zt5o=")</f>
        <v>#VALUE!</v>
      </c>
      <c r="EZ210" t="e">
        <f>AND(Sheet1!C2825,"AAAAAH1Zt5s=")</f>
        <v>#VALUE!</v>
      </c>
      <c r="FA210" t="e">
        <f>AND(Sheet1!D2825,"AAAAAH1Zt5w=")</f>
        <v>#VALUE!</v>
      </c>
      <c r="FB210" t="e">
        <f>AND(Sheet1!E2825,"AAAAAH1Zt50=")</f>
        <v>#VALUE!</v>
      </c>
      <c r="FC210" t="e">
        <f>AND(Sheet1!F2825,"AAAAAH1Zt54=")</f>
        <v>#VALUE!</v>
      </c>
      <c r="FD210" t="e">
        <f>AND(Sheet1!G2825,"AAAAAH1Zt58=")</f>
        <v>#VALUE!</v>
      </c>
      <c r="FE210" t="e">
        <f>AND(Sheet1!H2825,"AAAAAH1Zt6A=")</f>
        <v>#VALUE!</v>
      </c>
      <c r="FF210" t="e">
        <f>AND(Sheet1!I2825,"AAAAAH1Zt6E=")</f>
        <v>#VALUE!</v>
      </c>
      <c r="FG210" t="e">
        <f>AND(Sheet1!J2825,"AAAAAH1Zt6I=")</f>
        <v>#VALUE!</v>
      </c>
      <c r="FH210" t="e">
        <f>AND(Sheet1!K2825,"AAAAAH1Zt6M=")</f>
        <v>#VALUE!</v>
      </c>
      <c r="FI210" t="e">
        <f>AND(Sheet1!L2825,"AAAAAH1Zt6Q=")</f>
        <v>#VALUE!</v>
      </c>
      <c r="FJ210" t="e">
        <f>AND(Sheet1!M2825,"AAAAAH1Zt6U=")</f>
        <v>#VALUE!</v>
      </c>
      <c r="FK210" t="e">
        <f>AND(Sheet1!N2825,"AAAAAH1Zt6Y=")</f>
        <v>#VALUE!</v>
      </c>
      <c r="FL210" t="e">
        <f>AND(Sheet1!#REF!,"AAAAAH1Zt6c=")</f>
        <v>#REF!</v>
      </c>
      <c r="FM210" t="e">
        <f>AND(Sheet1!#REF!,"AAAAAH1Zt6g=")</f>
        <v>#REF!</v>
      </c>
      <c r="FN210" t="e">
        <f>AND(Sheet1!#REF!,"AAAAAH1Zt6k=")</f>
        <v>#REF!</v>
      </c>
      <c r="FO210" t="e">
        <f>AND(Sheet1!#REF!,"AAAAAH1Zt6o=")</f>
        <v>#REF!</v>
      </c>
      <c r="FP210">
        <f>IF(Sheet1!2826:2826,"AAAAAH1Zt6s=",0)</f>
        <v>0</v>
      </c>
      <c r="FQ210" t="e">
        <f>AND(Sheet1!A2826,"AAAAAH1Zt6w=")</f>
        <v>#VALUE!</v>
      </c>
      <c r="FR210" t="e">
        <f>AND(Sheet1!B2826,"AAAAAH1Zt60=")</f>
        <v>#VALUE!</v>
      </c>
      <c r="FS210" t="e">
        <f>AND(Sheet1!C2826,"AAAAAH1Zt64=")</f>
        <v>#VALUE!</v>
      </c>
      <c r="FT210" t="e">
        <f>AND(Sheet1!D2826,"AAAAAH1Zt68=")</f>
        <v>#VALUE!</v>
      </c>
      <c r="FU210" t="e">
        <f>AND(Sheet1!E2826,"AAAAAH1Zt7A=")</f>
        <v>#VALUE!</v>
      </c>
      <c r="FV210" t="e">
        <f>AND(Sheet1!F2826,"AAAAAH1Zt7E=")</f>
        <v>#VALUE!</v>
      </c>
      <c r="FW210" t="e">
        <f>AND(Sheet1!G2826,"AAAAAH1Zt7I=")</f>
        <v>#VALUE!</v>
      </c>
      <c r="FX210" t="e">
        <f>AND(Sheet1!H2826,"AAAAAH1Zt7M=")</f>
        <v>#VALUE!</v>
      </c>
      <c r="FY210" t="e">
        <f>AND(Sheet1!I2826,"AAAAAH1Zt7Q=")</f>
        <v>#VALUE!</v>
      </c>
      <c r="FZ210" t="e">
        <f>AND(Sheet1!J2826,"AAAAAH1Zt7U=")</f>
        <v>#VALUE!</v>
      </c>
      <c r="GA210" t="e">
        <f>AND(Sheet1!K2826,"AAAAAH1Zt7Y=")</f>
        <v>#VALUE!</v>
      </c>
      <c r="GB210" t="e">
        <f>AND(Sheet1!L2826,"AAAAAH1Zt7c=")</f>
        <v>#VALUE!</v>
      </c>
      <c r="GC210" t="e">
        <f>AND(Sheet1!M2826,"AAAAAH1Zt7g=")</f>
        <v>#VALUE!</v>
      </c>
      <c r="GD210" t="e">
        <f>AND(Sheet1!N2826,"AAAAAH1Zt7k=")</f>
        <v>#VALUE!</v>
      </c>
      <c r="GE210" t="e">
        <f>AND(Sheet1!#REF!,"AAAAAH1Zt7o=")</f>
        <v>#REF!</v>
      </c>
      <c r="GF210" t="e">
        <f>AND(Sheet1!#REF!,"AAAAAH1Zt7s=")</f>
        <v>#REF!</v>
      </c>
      <c r="GG210" t="e">
        <f>AND(Sheet1!#REF!,"AAAAAH1Zt7w=")</f>
        <v>#REF!</v>
      </c>
      <c r="GH210" t="e">
        <f>AND(Sheet1!#REF!,"AAAAAH1Zt70=")</f>
        <v>#REF!</v>
      </c>
      <c r="GI210">
        <f>IF(Sheet1!2827:2827,"AAAAAH1Zt74=",0)</f>
        <v>0</v>
      </c>
      <c r="GJ210" t="e">
        <f>AND(Sheet1!A2827,"AAAAAH1Zt78=")</f>
        <v>#VALUE!</v>
      </c>
      <c r="GK210" t="e">
        <f>AND(Sheet1!B2827,"AAAAAH1Zt8A=")</f>
        <v>#VALUE!</v>
      </c>
      <c r="GL210" t="e">
        <f>AND(Sheet1!C2827,"AAAAAH1Zt8E=")</f>
        <v>#VALUE!</v>
      </c>
      <c r="GM210" t="e">
        <f>AND(Sheet1!D2827,"AAAAAH1Zt8I=")</f>
        <v>#VALUE!</v>
      </c>
      <c r="GN210" t="e">
        <f>AND(Sheet1!E2827,"AAAAAH1Zt8M=")</f>
        <v>#VALUE!</v>
      </c>
      <c r="GO210" t="e">
        <f>AND(Sheet1!F2827,"AAAAAH1Zt8Q=")</f>
        <v>#VALUE!</v>
      </c>
      <c r="GP210" t="e">
        <f>AND(Sheet1!G2827,"AAAAAH1Zt8U=")</f>
        <v>#VALUE!</v>
      </c>
      <c r="GQ210" t="e">
        <f>AND(Sheet1!H2827,"AAAAAH1Zt8Y=")</f>
        <v>#VALUE!</v>
      </c>
      <c r="GR210" t="e">
        <f>AND(Sheet1!I2827,"AAAAAH1Zt8c=")</f>
        <v>#VALUE!</v>
      </c>
      <c r="GS210" t="e">
        <f>AND(Sheet1!J2827,"AAAAAH1Zt8g=")</f>
        <v>#VALUE!</v>
      </c>
      <c r="GT210" t="e">
        <f>AND(Sheet1!K2827,"AAAAAH1Zt8k=")</f>
        <v>#VALUE!</v>
      </c>
      <c r="GU210" t="e">
        <f>AND(Sheet1!L2827,"AAAAAH1Zt8o=")</f>
        <v>#VALUE!</v>
      </c>
      <c r="GV210" t="e">
        <f>AND(Sheet1!M2827,"AAAAAH1Zt8s=")</f>
        <v>#VALUE!</v>
      </c>
      <c r="GW210" t="e">
        <f>AND(Sheet1!N2827,"AAAAAH1Zt8w=")</f>
        <v>#VALUE!</v>
      </c>
      <c r="GX210" t="e">
        <f>AND(Sheet1!#REF!,"AAAAAH1Zt80=")</f>
        <v>#REF!</v>
      </c>
      <c r="GY210" t="e">
        <f>AND(Sheet1!#REF!,"AAAAAH1Zt84=")</f>
        <v>#REF!</v>
      </c>
      <c r="GZ210" t="e">
        <f>AND(Sheet1!#REF!,"AAAAAH1Zt88=")</f>
        <v>#REF!</v>
      </c>
      <c r="HA210" t="e">
        <f>AND(Sheet1!#REF!,"AAAAAH1Zt9A=")</f>
        <v>#REF!</v>
      </c>
      <c r="HB210">
        <f>IF(Sheet1!2828:2828,"AAAAAH1Zt9E=",0)</f>
        <v>0</v>
      </c>
      <c r="HC210" t="e">
        <f>AND(Sheet1!A2828,"AAAAAH1Zt9I=")</f>
        <v>#VALUE!</v>
      </c>
      <c r="HD210" t="e">
        <f>AND(Sheet1!B2828,"AAAAAH1Zt9M=")</f>
        <v>#VALUE!</v>
      </c>
      <c r="HE210" t="e">
        <f>AND(Sheet1!C2828,"AAAAAH1Zt9Q=")</f>
        <v>#VALUE!</v>
      </c>
      <c r="HF210" t="e">
        <f>AND(Sheet1!D2828,"AAAAAH1Zt9U=")</f>
        <v>#VALUE!</v>
      </c>
      <c r="HG210" t="e">
        <f>AND(Sheet1!E2828,"AAAAAH1Zt9Y=")</f>
        <v>#VALUE!</v>
      </c>
      <c r="HH210" t="e">
        <f>AND(Sheet1!F2828,"AAAAAH1Zt9c=")</f>
        <v>#VALUE!</v>
      </c>
      <c r="HI210" t="e">
        <f>AND(Sheet1!G2828,"AAAAAH1Zt9g=")</f>
        <v>#VALUE!</v>
      </c>
      <c r="HJ210" t="e">
        <f>AND(Sheet1!H2828,"AAAAAH1Zt9k=")</f>
        <v>#VALUE!</v>
      </c>
      <c r="HK210" t="e">
        <f>AND(Sheet1!I2828,"AAAAAH1Zt9o=")</f>
        <v>#VALUE!</v>
      </c>
      <c r="HL210" t="e">
        <f>AND(Sheet1!J2828,"AAAAAH1Zt9s=")</f>
        <v>#VALUE!</v>
      </c>
      <c r="HM210" t="e">
        <f>AND(Sheet1!K2828,"AAAAAH1Zt9w=")</f>
        <v>#VALUE!</v>
      </c>
      <c r="HN210" t="e">
        <f>AND(Sheet1!L2828,"AAAAAH1Zt90=")</f>
        <v>#VALUE!</v>
      </c>
      <c r="HO210" t="e">
        <f>AND(Sheet1!M2828,"AAAAAH1Zt94=")</f>
        <v>#VALUE!</v>
      </c>
      <c r="HP210" t="e">
        <f>AND(Sheet1!N2828,"AAAAAH1Zt98=")</f>
        <v>#VALUE!</v>
      </c>
      <c r="HQ210" t="e">
        <f>AND(Sheet1!#REF!,"AAAAAH1Zt+A=")</f>
        <v>#REF!</v>
      </c>
      <c r="HR210" t="e">
        <f>AND(Sheet1!#REF!,"AAAAAH1Zt+E=")</f>
        <v>#REF!</v>
      </c>
      <c r="HS210" t="e">
        <f>AND(Sheet1!#REF!,"AAAAAH1Zt+I=")</f>
        <v>#REF!</v>
      </c>
      <c r="HT210" t="e">
        <f>AND(Sheet1!#REF!,"AAAAAH1Zt+M=")</f>
        <v>#REF!</v>
      </c>
      <c r="HU210">
        <f>IF(Sheet1!2829:2829,"AAAAAH1Zt+Q=",0)</f>
        <v>0</v>
      </c>
      <c r="HV210" t="e">
        <f>AND(Sheet1!A2829,"AAAAAH1Zt+U=")</f>
        <v>#VALUE!</v>
      </c>
      <c r="HW210" t="e">
        <f>AND(Sheet1!B2829,"AAAAAH1Zt+Y=")</f>
        <v>#VALUE!</v>
      </c>
      <c r="HX210" t="e">
        <f>AND(Sheet1!C2829,"AAAAAH1Zt+c=")</f>
        <v>#VALUE!</v>
      </c>
      <c r="HY210" t="e">
        <f>AND(Sheet1!D2829,"AAAAAH1Zt+g=")</f>
        <v>#VALUE!</v>
      </c>
      <c r="HZ210" t="e">
        <f>AND(Sheet1!E2829,"AAAAAH1Zt+k=")</f>
        <v>#VALUE!</v>
      </c>
      <c r="IA210" t="e">
        <f>AND(Sheet1!F2829,"AAAAAH1Zt+o=")</f>
        <v>#VALUE!</v>
      </c>
      <c r="IB210" t="e">
        <f>AND(Sheet1!G2829,"AAAAAH1Zt+s=")</f>
        <v>#VALUE!</v>
      </c>
      <c r="IC210" t="e">
        <f>AND(Sheet1!H2829,"AAAAAH1Zt+w=")</f>
        <v>#VALUE!</v>
      </c>
      <c r="ID210" t="e">
        <f>AND(Sheet1!I2829,"AAAAAH1Zt+0=")</f>
        <v>#VALUE!</v>
      </c>
      <c r="IE210" t="e">
        <f>AND(Sheet1!J2829,"AAAAAH1Zt+4=")</f>
        <v>#VALUE!</v>
      </c>
      <c r="IF210" t="e">
        <f>AND(Sheet1!K2829,"AAAAAH1Zt+8=")</f>
        <v>#VALUE!</v>
      </c>
      <c r="IG210" t="e">
        <f>AND(Sheet1!L2829,"AAAAAH1Zt/A=")</f>
        <v>#VALUE!</v>
      </c>
      <c r="IH210" t="e">
        <f>AND(Sheet1!M2829,"AAAAAH1Zt/E=")</f>
        <v>#VALUE!</v>
      </c>
      <c r="II210" t="e">
        <f>AND(Sheet1!N2829,"AAAAAH1Zt/I=")</f>
        <v>#VALUE!</v>
      </c>
      <c r="IJ210" t="e">
        <f>AND(Sheet1!#REF!,"AAAAAH1Zt/M=")</f>
        <v>#REF!</v>
      </c>
      <c r="IK210" t="e">
        <f>AND(Sheet1!#REF!,"AAAAAH1Zt/Q=")</f>
        <v>#REF!</v>
      </c>
      <c r="IL210" t="e">
        <f>AND(Sheet1!#REF!,"AAAAAH1Zt/U=")</f>
        <v>#REF!</v>
      </c>
      <c r="IM210" t="e">
        <f>AND(Sheet1!#REF!,"AAAAAH1Zt/Y=")</f>
        <v>#REF!</v>
      </c>
      <c r="IN210">
        <f>IF(Sheet1!2830:2830,"AAAAAH1Zt/c=",0)</f>
        <v>0</v>
      </c>
      <c r="IO210" t="e">
        <f>AND(Sheet1!A2830,"AAAAAH1Zt/g=")</f>
        <v>#VALUE!</v>
      </c>
      <c r="IP210" t="e">
        <f>AND(Sheet1!B2830,"AAAAAH1Zt/k=")</f>
        <v>#VALUE!</v>
      </c>
      <c r="IQ210" t="e">
        <f>AND(Sheet1!C2830,"AAAAAH1Zt/o=")</f>
        <v>#VALUE!</v>
      </c>
      <c r="IR210" t="e">
        <f>AND(Sheet1!D2830,"AAAAAH1Zt/s=")</f>
        <v>#VALUE!</v>
      </c>
      <c r="IS210" t="e">
        <f>AND(Sheet1!E2830,"AAAAAH1Zt/w=")</f>
        <v>#VALUE!</v>
      </c>
      <c r="IT210" t="e">
        <f>AND(Sheet1!F2830,"AAAAAH1Zt/0=")</f>
        <v>#VALUE!</v>
      </c>
      <c r="IU210" t="e">
        <f>AND(Sheet1!G2830,"AAAAAH1Zt/4=")</f>
        <v>#VALUE!</v>
      </c>
      <c r="IV210" t="e">
        <f>AND(Sheet1!H2830,"AAAAAH1Zt/8=")</f>
        <v>#VALUE!</v>
      </c>
    </row>
    <row r="211" spans="1:256" x14ac:dyDescent="0.2">
      <c r="A211" t="e">
        <f>AND(Sheet1!I2830,"AAAAAAerYwA=")</f>
        <v>#VALUE!</v>
      </c>
      <c r="B211" t="e">
        <f>AND(Sheet1!J2830,"AAAAAAerYwE=")</f>
        <v>#VALUE!</v>
      </c>
      <c r="C211" t="e">
        <f>AND(Sheet1!K2830,"AAAAAAerYwI=")</f>
        <v>#VALUE!</v>
      </c>
      <c r="D211" t="e">
        <f>AND(Sheet1!L2830,"AAAAAAerYwM=")</f>
        <v>#VALUE!</v>
      </c>
      <c r="E211" t="e">
        <f>AND(Sheet1!M2830,"AAAAAAerYwQ=")</f>
        <v>#VALUE!</v>
      </c>
      <c r="F211" t="e">
        <f>AND(Sheet1!N2830,"AAAAAAerYwU=")</f>
        <v>#VALUE!</v>
      </c>
      <c r="G211" t="e">
        <f>AND(Sheet1!#REF!,"AAAAAAerYwY=")</f>
        <v>#REF!</v>
      </c>
      <c r="H211" t="e">
        <f>AND(Sheet1!#REF!,"AAAAAAerYwc=")</f>
        <v>#REF!</v>
      </c>
      <c r="I211" t="e">
        <f>AND(Sheet1!#REF!,"AAAAAAerYwg=")</f>
        <v>#REF!</v>
      </c>
      <c r="J211" t="e">
        <f>AND(Sheet1!#REF!,"AAAAAAerYwk=")</f>
        <v>#REF!</v>
      </c>
      <c r="K211" t="e">
        <f>IF(Sheet1!2831:2831,"AAAAAAerYwo=",0)</f>
        <v>#VALUE!</v>
      </c>
      <c r="L211" t="e">
        <f>AND(Sheet1!A2831,"AAAAAAerYws=")</f>
        <v>#VALUE!</v>
      </c>
      <c r="M211" t="e">
        <f>AND(Sheet1!B2831,"AAAAAAerYww=")</f>
        <v>#VALUE!</v>
      </c>
      <c r="N211" t="e">
        <f>AND(Sheet1!C2831,"AAAAAAerYw0=")</f>
        <v>#VALUE!</v>
      </c>
      <c r="O211" t="e">
        <f>AND(Sheet1!D2831,"AAAAAAerYw4=")</f>
        <v>#VALUE!</v>
      </c>
      <c r="P211" t="e">
        <f>AND(Sheet1!E2831,"AAAAAAerYw8=")</f>
        <v>#VALUE!</v>
      </c>
      <c r="Q211" t="e">
        <f>AND(Sheet1!F2831,"AAAAAAerYxA=")</f>
        <v>#VALUE!</v>
      </c>
      <c r="R211" t="e">
        <f>AND(Sheet1!G2831,"AAAAAAerYxE=")</f>
        <v>#VALUE!</v>
      </c>
      <c r="S211" t="e">
        <f>AND(Sheet1!H2831,"AAAAAAerYxI=")</f>
        <v>#VALUE!</v>
      </c>
      <c r="T211" t="e">
        <f>AND(Sheet1!I2831,"AAAAAAerYxM=")</f>
        <v>#VALUE!</v>
      </c>
      <c r="U211" t="e">
        <f>AND(Sheet1!J2831,"AAAAAAerYxQ=")</f>
        <v>#VALUE!</v>
      </c>
      <c r="V211" t="e">
        <f>AND(Sheet1!K2831,"AAAAAAerYxU=")</f>
        <v>#VALUE!</v>
      </c>
      <c r="W211" t="e">
        <f>AND(Sheet1!L2831,"AAAAAAerYxY=")</f>
        <v>#VALUE!</v>
      </c>
      <c r="X211" t="e">
        <f>AND(Sheet1!M2831,"AAAAAAerYxc=")</f>
        <v>#VALUE!</v>
      </c>
      <c r="Y211" t="e">
        <f>AND(Sheet1!N2831,"AAAAAAerYxg=")</f>
        <v>#VALUE!</v>
      </c>
      <c r="Z211" t="e">
        <f>AND(Sheet1!#REF!,"AAAAAAerYxk=")</f>
        <v>#REF!</v>
      </c>
      <c r="AA211" t="e">
        <f>AND(Sheet1!#REF!,"AAAAAAerYxo=")</f>
        <v>#REF!</v>
      </c>
      <c r="AB211" t="e">
        <f>AND(Sheet1!#REF!,"AAAAAAerYxs=")</f>
        <v>#REF!</v>
      </c>
      <c r="AC211" t="e">
        <f>AND(Sheet1!#REF!,"AAAAAAerYxw=")</f>
        <v>#REF!</v>
      </c>
      <c r="AD211">
        <f>IF(Sheet1!2832:2832,"AAAAAAerYx0=",0)</f>
        <v>0</v>
      </c>
      <c r="AE211" t="e">
        <f>AND(Sheet1!A2832,"AAAAAAerYx4=")</f>
        <v>#VALUE!</v>
      </c>
      <c r="AF211" t="e">
        <f>AND(Sheet1!B2832,"AAAAAAerYx8=")</f>
        <v>#VALUE!</v>
      </c>
      <c r="AG211" t="e">
        <f>AND(Sheet1!C2832,"AAAAAAerYyA=")</f>
        <v>#VALUE!</v>
      </c>
      <c r="AH211" t="e">
        <f>AND(Sheet1!D2832,"AAAAAAerYyE=")</f>
        <v>#VALUE!</v>
      </c>
      <c r="AI211" t="e">
        <f>AND(Sheet1!E2832,"AAAAAAerYyI=")</f>
        <v>#VALUE!</v>
      </c>
      <c r="AJ211" t="e">
        <f>AND(Sheet1!F2832,"AAAAAAerYyM=")</f>
        <v>#VALUE!</v>
      </c>
      <c r="AK211" t="e">
        <f>AND(Sheet1!G2832,"AAAAAAerYyQ=")</f>
        <v>#VALUE!</v>
      </c>
      <c r="AL211" t="e">
        <f>AND(Sheet1!H2832,"AAAAAAerYyU=")</f>
        <v>#VALUE!</v>
      </c>
      <c r="AM211" t="e">
        <f>AND(Sheet1!I2832,"AAAAAAerYyY=")</f>
        <v>#VALUE!</v>
      </c>
      <c r="AN211" t="e">
        <f>AND(Sheet1!J2832,"AAAAAAerYyc=")</f>
        <v>#VALUE!</v>
      </c>
      <c r="AO211" t="e">
        <f>AND(Sheet1!K2832,"AAAAAAerYyg=")</f>
        <v>#VALUE!</v>
      </c>
      <c r="AP211" t="e">
        <f>AND(Sheet1!L2832,"AAAAAAerYyk=")</f>
        <v>#VALUE!</v>
      </c>
      <c r="AQ211" t="e">
        <f>AND(Sheet1!M2832,"AAAAAAerYyo=")</f>
        <v>#VALUE!</v>
      </c>
      <c r="AR211" t="e">
        <f>AND(Sheet1!N2832,"AAAAAAerYys=")</f>
        <v>#VALUE!</v>
      </c>
      <c r="AS211" t="e">
        <f>AND(Sheet1!#REF!,"AAAAAAerYyw=")</f>
        <v>#REF!</v>
      </c>
      <c r="AT211" t="e">
        <f>AND(Sheet1!#REF!,"AAAAAAerYy0=")</f>
        <v>#REF!</v>
      </c>
      <c r="AU211" t="e">
        <f>AND(Sheet1!#REF!,"AAAAAAerYy4=")</f>
        <v>#REF!</v>
      </c>
      <c r="AV211" t="e">
        <f>AND(Sheet1!#REF!,"AAAAAAerYy8=")</f>
        <v>#REF!</v>
      </c>
      <c r="AW211">
        <f>IF(Sheet1!2833:2833,"AAAAAAerYzA=",0)</f>
        <v>0</v>
      </c>
      <c r="AX211" t="e">
        <f>AND(Sheet1!A2833,"AAAAAAerYzE=")</f>
        <v>#VALUE!</v>
      </c>
      <c r="AY211" t="e">
        <f>AND(Sheet1!B2833,"AAAAAAerYzI=")</f>
        <v>#VALUE!</v>
      </c>
      <c r="AZ211" t="e">
        <f>AND(Sheet1!C2833,"AAAAAAerYzM=")</f>
        <v>#VALUE!</v>
      </c>
      <c r="BA211" t="e">
        <f>AND(Sheet1!D2833,"AAAAAAerYzQ=")</f>
        <v>#VALUE!</v>
      </c>
      <c r="BB211" t="e">
        <f>AND(Sheet1!E2833,"AAAAAAerYzU=")</f>
        <v>#VALUE!</v>
      </c>
      <c r="BC211" t="e">
        <f>AND(Sheet1!F2833,"AAAAAAerYzY=")</f>
        <v>#VALUE!</v>
      </c>
      <c r="BD211" t="e">
        <f>AND(Sheet1!G2833,"AAAAAAerYzc=")</f>
        <v>#VALUE!</v>
      </c>
      <c r="BE211" t="e">
        <f>AND(Sheet1!H2833,"AAAAAAerYzg=")</f>
        <v>#VALUE!</v>
      </c>
      <c r="BF211" t="e">
        <f>AND(Sheet1!I2833,"AAAAAAerYzk=")</f>
        <v>#VALUE!</v>
      </c>
      <c r="BG211" t="e">
        <f>AND(Sheet1!J2833,"AAAAAAerYzo=")</f>
        <v>#VALUE!</v>
      </c>
      <c r="BH211" t="e">
        <f>AND(Sheet1!K2833,"AAAAAAerYzs=")</f>
        <v>#VALUE!</v>
      </c>
      <c r="BI211" t="e">
        <f>AND(Sheet1!L2833,"AAAAAAerYzw=")</f>
        <v>#VALUE!</v>
      </c>
      <c r="BJ211" t="e">
        <f>AND(Sheet1!M2833,"AAAAAAerYz0=")</f>
        <v>#VALUE!</v>
      </c>
      <c r="BK211" t="e">
        <f>AND(Sheet1!N2833,"AAAAAAerYz4=")</f>
        <v>#VALUE!</v>
      </c>
      <c r="BL211" t="e">
        <f>AND(Sheet1!#REF!,"AAAAAAerYz8=")</f>
        <v>#REF!</v>
      </c>
      <c r="BM211" t="e">
        <f>AND(Sheet1!#REF!,"AAAAAAerY0A=")</f>
        <v>#REF!</v>
      </c>
      <c r="BN211" t="e">
        <f>AND(Sheet1!#REF!,"AAAAAAerY0E=")</f>
        <v>#REF!</v>
      </c>
      <c r="BO211" t="e">
        <f>AND(Sheet1!#REF!,"AAAAAAerY0I=")</f>
        <v>#REF!</v>
      </c>
      <c r="BP211">
        <f>IF(Sheet1!2834:2834,"AAAAAAerY0M=",0)</f>
        <v>0</v>
      </c>
      <c r="BQ211" t="e">
        <f>AND(Sheet1!A2834,"AAAAAAerY0Q=")</f>
        <v>#VALUE!</v>
      </c>
      <c r="BR211" t="e">
        <f>AND(Sheet1!B2834,"AAAAAAerY0U=")</f>
        <v>#VALUE!</v>
      </c>
      <c r="BS211" t="e">
        <f>AND(Sheet1!C2834,"AAAAAAerY0Y=")</f>
        <v>#VALUE!</v>
      </c>
      <c r="BT211" t="e">
        <f>AND(Sheet1!D2834,"AAAAAAerY0c=")</f>
        <v>#VALUE!</v>
      </c>
      <c r="BU211" t="e">
        <f>AND(Sheet1!E2834,"AAAAAAerY0g=")</f>
        <v>#VALUE!</v>
      </c>
      <c r="BV211" t="e">
        <f>AND(Sheet1!F2834,"AAAAAAerY0k=")</f>
        <v>#VALUE!</v>
      </c>
      <c r="BW211" t="e">
        <f>AND(Sheet1!G2834,"AAAAAAerY0o=")</f>
        <v>#VALUE!</v>
      </c>
      <c r="BX211" t="e">
        <f>AND(Sheet1!H2834,"AAAAAAerY0s=")</f>
        <v>#VALUE!</v>
      </c>
      <c r="BY211" t="e">
        <f>AND(Sheet1!I2834,"AAAAAAerY0w=")</f>
        <v>#VALUE!</v>
      </c>
      <c r="BZ211" t="e">
        <f>AND(Sheet1!J2834,"AAAAAAerY00=")</f>
        <v>#VALUE!</v>
      </c>
      <c r="CA211" t="e">
        <f>AND(Sheet1!K2834,"AAAAAAerY04=")</f>
        <v>#VALUE!</v>
      </c>
      <c r="CB211" t="e">
        <f>AND(Sheet1!L2834,"AAAAAAerY08=")</f>
        <v>#VALUE!</v>
      </c>
      <c r="CC211" t="e">
        <f>AND(Sheet1!M2834,"AAAAAAerY1A=")</f>
        <v>#VALUE!</v>
      </c>
      <c r="CD211" t="e">
        <f>AND(Sheet1!N2834,"AAAAAAerY1E=")</f>
        <v>#VALUE!</v>
      </c>
      <c r="CE211" t="e">
        <f>AND(Sheet1!#REF!,"AAAAAAerY1I=")</f>
        <v>#REF!</v>
      </c>
      <c r="CF211" t="e">
        <f>AND(Sheet1!#REF!,"AAAAAAerY1M=")</f>
        <v>#REF!</v>
      </c>
      <c r="CG211" t="e">
        <f>AND(Sheet1!#REF!,"AAAAAAerY1Q=")</f>
        <v>#REF!</v>
      </c>
      <c r="CH211" t="e">
        <f>AND(Sheet1!#REF!,"AAAAAAerY1U=")</f>
        <v>#REF!</v>
      </c>
      <c r="CI211">
        <f>IF(Sheet1!2835:2835,"AAAAAAerY1Y=",0)</f>
        <v>0</v>
      </c>
      <c r="CJ211" t="e">
        <f>AND(Sheet1!A2835,"AAAAAAerY1c=")</f>
        <v>#VALUE!</v>
      </c>
      <c r="CK211" t="e">
        <f>AND(Sheet1!B2835,"AAAAAAerY1g=")</f>
        <v>#VALUE!</v>
      </c>
      <c r="CL211" t="e">
        <f>AND(Sheet1!C2835,"AAAAAAerY1k=")</f>
        <v>#VALUE!</v>
      </c>
      <c r="CM211" t="e">
        <f>AND(Sheet1!D2835,"AAAAAAerY1o=")</f>
        <v>#VALUE!</v>
      </c>
      <c r="CN211" t="e">
        <f>AND(Sheet1!E2835,"AAAAAAerY1s=")</f>
        <v>#VALUE!</v>
      </c>
      <c r="CO211" t="e">
        <f>AND(Sheet1!F2835,"AAAAAAerY1w=")</f>
        <v>#VALUE!</v>
      </c>
      <c r="CP211" t="e">
        <f>AND(Sheet1!G2835,"AAAAAAerY10=")</f>
        <v>#VALUE!</v>
      </c>
      <c r="CQ211" t="e">
        <f>AND(Sheet1!H2835,"AAAAAAerY14=")</f>
        <v>#VALUE!</v>
      </c>
      <c r="CR211" t="e">
        <f>AND(Sheet1!I2835,"AAAAAAerY18=")</f>
        <v>#VALUE!</v>
      </c>
      <c r="CS211" t="e">
        <f>AND(Sheet1!J2835,"AAAAAAerY2A=")</f>
        <v>#VALUE!</v>
      </c>
      <c r="CT211" t="e">
        <f>AND(Sheet1!K2835,"AAAAAAerY2E=")</f>
        <v>#VALUE!</v>
      </c>
      <c r="CU211" t="e">
        <f>AND(Sheet1!L2835,"AAAAAAerY2I=")</f>
        <v>#VALUE!</v>
      </c>
      <c r="CV211" t="e">
        <f>AND(Sheet1!M2835,"AAAAAAerY2M=")</f>
        <v>#VALUE!</v>
      </c>
      <c r="CW211" t="e">
        <f>AND(Sheet1!N2835,"AAAAAAerY2Q=")</f>
        <v>#VALUE!</v>
      </c>
      <c r="CX211" t="e">
        <f>AND(Sheet1!#REF!,"AAAAAAerY2U=")</f>
        <v>#REF!</v>
      </c>
      <c r="CY211" t="e">
        <f>AND(Sheet1!#REF!,"AAAAAAerY2Y=")</f>
        <v>#REF!</v>
      </c>
      <c r="CZ211" t="e">
        <f>AND(Sheet1!#REF!,"AAAAAAerY2c=")</f>
        <v>#REF!</v>
      </c>
      <c r="DA211" t="e">
        <f>AND(Sheet1!#REF!,"AAAAAAerY2g=")</f>
        <v>#REF!</v>
      </c>
      <c r="DB211">
        <f>IF(Sheet1!2836:2836,"AAAAAAerY2k=",0)</f>
        <v>0</v>
      </c>
      <c r="DC211" t="e">
        <f>AND(Sheet1!A2836,"AAAAAAerY2o=")</f>
        <v>#VALUE!</v>
      </c>
      <c r="DD211" t="e">
        <f>AND(Sheet1!B2836,"AAAAAAerY2s=")</f>
        <v>#VALUE!</v>
      </c>
      <c r="DE211" t="e">
        <f>AND(Sheet1!C2836,"AAAAAAerY2w=")</f>
        <v>#VALUE!</v>
      </c>
      <c r="DF211" t="e">
        <f>AND(Sheet1!D2836,"AAAAAAerY20=")</f>
        <v>#VALUE!</v>
      </c>
      <c r="DG211" t="e">
        <f>AND(Sheet1!E2836,"AAAAAAerY24=")</f>
        <v>#VALUE!</v>
      </c>
      <c r="DH211" t="e">
        <f>AND(Sheet1!F2836,"AAAAAAerY28=")</f>
        <v>#VALUE!</v>
      </c>
      <c r="DI211" t="e">
        <f>AND(Sheet1!G2836,"AAAAAAerY3A=")</f>
        <v>#VALUE!</v>
      </c>
      <c r="DJ211" t="e">
        <f>AND(Sheet1!H2836,"AAAAAAerY3E=")</f>
        <v>#VALUE!</v>
      </c>
      <c r="DK211" t="e">
        <f>AND(Sheet1!I2836,"AAAAAAerY3I=")</f>
        <v>#VALUE!</v>
      </c>
      <c r="DL211" t="e">
        <f>AND(Sheet1!J2836,"AAAAAAerY3M=")</f>
        <v>#VALUE!</v>
      </c>
      <c r="DM211" t="e">
        <f>AND(Sheet1!K2836,"AAAAAAerY3Q=")</f>
        <v>#VALUE!</v>
      </c>
      <c r="DN211" t="e">
        <f>AND(Sheet1!L2836,"AAAAAAerY3U=")</f>
        <v>#VALUE!</v>
      </c>
      <c r="DO211" t="e">
        <f>AND(Sheet1!M2836,"AAAAAAerY3Y=")</f>
        <v>#VALUE!</v>
      </c>
      <c r="DP211" t="e">
        <f>AND(Sheet1!N2836,"AAAAAAerY3c=")</f>
        <v>#VALUE!</v>
      </c>
      <c r="DQ211" t="e">
        <f>AND(Sheet1!#REF!,"AAAAAAerY3g=")</f>
        <v>#REF!</v>
      </c>
      <c r="DR211" t="e">
        <f>AND(Sheet1!#REF!,"AAAAAAerY3k=")</f>
        <v>#REF!</v>
      </c>
      <c r="DS211" t="e">
        <f>AND(Sheet1!#REF!,"AAAAAAerY3o=")</f>
        <v>#REF!</v>
      </c>
      <c r="DT211" t="e">
        <f>AND(Sheet1!#REF!,"AAAAAAerY3s=")</f>
        <v>#REF!</v>
      </c>
      <c r="DU211">
        <f>IF(Sheet1!2837:2837,"AAAAAAerY3w=",0)</f>
        <v>0</v>
      </c>
      <c r="DV211" t="e">
        <f>AND(Sheet1!A2837,"AAAAAAerY30=")</f>
        <v>#VALUE!</v>
      </c>
      <c r="DW211" t="e">
        <f>AND(Sheet1!B2837,"AAAAAAerY34=")</f>
        <v>#VALUE!</v>
      </c>
      <c r="DX211" t="e">
        <f>AND(Sheet1!C2837,"AAAAAAerY38=")</f>
        <v>#VALUE!</v>
      </c>
      <c r="DY211" t="e">
        <f>AND(Sheet1!D2837,"AAAAAAerY4A=")</f>
        <v>#VALUE!</v>
      </c>
      <c r="DZ211" t="e">
        <f>AND(Sheet1!E2837,"AAAAAAerY4E=")</f>
        <v>#VALUE!</v>
      </c>
      <c r="EA211" t="e">
        <f>AND(Sheet1!F2837,"AAAAAAerY4I=")</f>
        <v>#VALUE!</v>
      </c>
      <c r="EB211" t="e">
        <f>AND(Sheet1!G2837,"AAAAAAerY4M=")</f>
        <v>#VALUE!</v>
      </c>
      <c r="EC211" t="e">
        <f>AND(Sheet1!H2837,"AAAAAAerY4Q=")</f>
        <v>#VALUE!</v>
      </c>
      <c r="ED211" t="e">
        <f>AND(Sheet1!I2837,"AAAAAAerY4U=")</f>
        <v>#VALUE!</v>
      </c>
      <c r="EE211" t="e">
        <f>AND(Sheet1!J2837,"AAAAAAerY4Y=")</f>
        <v>#VALUE!</v>
      </c>
      <c r="EF211" t="e">
        <f>AND(Sheet1!K2837,"AAAAAAerY4c=")</f>
        <v>#VALUE!</v>
      </c>
      <c r="EG211" t="e">
        <f>AND(Sheet1!L2837,"AAAAAAerY4g=")</f>
        <v>#VALUE!</v>
      </c>
      <c r="EH211" t="e">
        <f>AND(Sheet1!M2837,"AAAAAAerY4k=")</f>
        <v>#VALUE!</v>
      </c>
      <c r="EI211" t="e">
        <f>AND(Sheet1!N2837,"AAAAAAerY4o=")</f>
        <v>#VALUE!</v>
      </c>
      <c r="EJ211" t="e">
        <f>AND(Sheet1!#REF!,"AAAAAAerY4s=")</f>
        <v>#REF!</v>
      </c>
      <c r="EK211" t="e">
        <f>AND(Sheet1!#REF!,"AAAAAAerY4w=")</f>
        <v>#REF!</v>
      </c>
      <c r="EL211" t="e">
        <f>AND(Sheet1!#REF!,"AAAAAAerY40=")</f>
        <v>#REF!</v>
      </c>
      <c r="EM211" t="e">
        <f>AND(Sheet1!#REF!,"AAAAAAerY44=")</f>
        <v>#REF!</v>
      </c>
      <c r="EN211">
        <f>IF(Sheet1!2838:2838,"AAAAAAerY48=",0)</f>
        <v>0</v>
      </c>
      <c r="EO211" t="e">
        <f>AND(Sheet1!A2838,"AAAAAAerY5A=")</f>
        <v>#VALUE!</v>
      </c>
      <c r="EP211" t="e">
        <f>AND(Sheet1!B2838,"AAAAAAerY5E=")</f>
        <v>#VALUE!</v>
      </c>
      <c r="EQ211" t="e">
        <f>AND(Sheet1!C2838,"AAAAAAerY5I=")</f>
        <v>#VALUE!</v>
      </c>
      <c r="ER211" t="e">
        <f>AND(Sheet1!D2838,"AAAAAAerY5M=")</f>
        <v>#VALUE!</v>
      </c>
      <c r="ES211" t="e">
        <f>AND(Sheet1!E2838,"AAAAAAerY5Q=")</f>
        <v>#VALUE!</v>
      </c>
      <c r="ET211" t="e">
        <f>AND(Sheet1!F2838,"AAAAAAerY5U=")</f>
        <v>#VALUE!</v>
      </c>
      <c r="EU211" t="e">
        <f>AND(Sheet1!G2838,"AAAAAAerY5Y=")</f>
        <v>#VALUE!</v>
      </c>
      <c r="EV211" t="e">
        <f>AND(Sheet1!H2838,"AAAAAAerY5c=")</f>
        <v>#VALUE!</v>
      </c>
      <c r="EW211" t="e">
        <f>AND(Sheet1!I2838,"AAAAAAerY5g=")</f>
        <v>#VALUE!</v>
      </c>
      <c r="EX211" t="e">
        <f>AND(Sheet1!J2838,"AAAAAAerY5k=")</f>
        <v>#VALUE!</v>
      </c>
      <c r="EY211" t="e">
        <f>AND(Sheet1!K2838,"AAAAAAerY5o=")</f>
        <v>#VALUE!</v>
      </c>
      <c r="EZ211" t="e">
        <f>AND(Sheet1!L2838,"AAAAAAerY5s=")</f>
        <v>#VALUE!</v>
      </c>
      <c r="FA211" t="e">
        <f>AND(Sheet1!M2838,"AAAAAAerY5w=")</f>
        <v>#VALUE!</v>
      </c>
      <c r="FB211" t="e">
        <f>AND(Sheet1!N2838,"AAAAAAerY50=")</f>
        <v>#VALUE!</v>
      </c>
      <c r="FC211" t="e">
        <f>AND(Sheet1!#REF!,"AAAAAAerY54=")</f>
        <v>#REF!</v>
      </c>
      <c r="FD211" t="e">
        <f>AND(Sheet1!#REF!,"AAAAAAerY58=")</f>
        <v>#REF!</v>
      </c>
      <c r="FE211" t="e">
        <f>AND(Sheet1!#REF!,"AAAAAAerY6A=")</f>
        <v>#REF!</v>
      </c>
      <c r="FF211" t="e">
        <f>AND(Sheet1!#REF!,"AAAAAAerY6E=")</f>
        <v>#REF!</v>
      </c>
      <c r="FG211">
        <f>IF(Sheet1!2839:2839,"AAAAAAerY6I=",0)</f>
        <v>0</v>
      </c>
      <c r="FH211" t="e">
        <f>AND(Sheet1!A2839,"AAAAAAerY6M=")</f>
        <v>#VALUE!</v>
      </c>
      <c r="FI211" t="e">
        <f>AND(Sheet1!B2839,"AAAAAAerY6Q=")</f>
        <v>#VALUE!</v>
      </c>
      <c r="FJ211" t="e">
        <f>AND(Sheet1!C2839,"AAAAAAerY6U=")</f>
        <v>#VALUE!</v>
      </c>
      <c r="FK211" t="e">
        <f>AND(Sheet1!D2839,"AAAAAAerY6Y=")</f>
        <v>#VALUE!</v>
      </c>
      <c r="FL211" t="e">
        <f>AND(Sheet1!E2839,"AAAAAAerY6c=")</f>
        <v>#VALUE!</v>
      </c>
      <c r="FM211" t="e">
        <f>AND(Sheet1!F2839,"AAAAAAerY6g=")</f>
        <v>#VALUE!</v>
      </c>
      <c r="FN211" t="e">
        <f>AND(Sheet1!G2839,"AAAAAAerY6k=")</f>
        <v>#VALUE!</v>
      </c>
      <c r="FO211" t="e">
        <f>AND(Sheet1!H2839,"AAAAAAerY6o=")</f>
        <v>#VALUE!</v>
      </c>
      <c r="FP211" t="e">
        <f>AND(Sheet1!I2839,"AAAAAAerY6s=")</f>
        <v>#VALUE!</v>
      </c>
      <c r="FQ211" t="e">
        <f>AND(Sheet1!J2839,"AAAAAAerY6w=")</f>
        <v>#VALUE!</v>
      </c>
      <c r="FR211" t="e">
        <f>AND(Sheet1!K2839,"AAAAAAerY60=")</f>
        <v>#VALUE!</v>
      </c>
      <c r="FS211" t="e">
        <f>AND(Sheet1!L2839,"AAAAAAerY64=")</f>
        <v>#VALUE!</v>
      </c>
      <c r="FT211" t="e">
        <f>AND(Sheet1!M2839,"AAAAAAerY68=")</f>
        <v>#VALUE!</v>
      </c>
      <c r="FU211" t="e">
        <f>AND(Sheet1!N2839,"AAAAAAerY7A=")</f>
        <v>#VALUE!</v>
      </c>
      <c r="FV211" t="e">
        <f>AND(Sheet1!#REF!,"AAAAAAerY7E=")</f>
        <v>#REF!</v>
      </c>
      <c r="FW211" t="e">
        <f>AND(Sheet1!#REF!,"AAAAAAerY7I=")</f>
        <v>#REF!</v>
      </c>
      <c r="FX211" t="e">
        <f>AND(Sheet1!#REF!,"AAAAAAerY7M=")</f>
        <v>#REF!</v>
      </c>
      <c r="FY211" t="e">
        <f>AND(Sheet1!#REF!,"AAAAAAerY7Q=")</f>
        <v>#REF!</v>
      </c>
      <c r="FZ211">
        <f>IF(Sheet1!2840:2840,"AAAAAAerY7U=",0)</f>
        <v>0</v>
      </c>
      <c r="GA211" t="e">
        <f>AND(Sheet1!A2840,"AAAAAAerY7Y=")</f>
        <v>#VALUE!</v>
      </c>
      <c r="GB211" t="e">
        <f>AND(Sheet1!B2840,"AAAAAAerY7c=")</f>
        <v>#VALUE!</v>
      </c>
      <c r="GC211" t="e">
        <f>AND(Sheet1!C2840,"AAAAAAerY7g=")</f>
        <v>#VALUE!</v>
      </c>
      <c r="GD211" t="e">
        <f>AND(Sheet1!D2840,"AAAAAAerY7k=")</f>
        <v>#VALUE!</v>
      </c>
      <c r="GE211" t="e">
        <f>AND(Sheet1!E2840,"AAAAAAerY7o=")</f>
        <v>#VALUE!</v>
      </c>
      <c r="GF211" t="e">
        <f>AND(Sheet1!F2840,"AAAAAAerY7s=")</f>
        <v>#VALUE!</v>
      </c>
      <c r="GG211" t="e">
        <f>AND(Sheet1!G2840,"AAAAAAerY7w=")</f>
        <v>#VALUE!</v>
      </c>
      <c r="GH211" t="e">
        <f>AND(Sheet1!H2840,"AAAAAAerY70=")</f>
        <v>#VALUE!</v>
      </c>
      <c r="GI211" t="e">
        <f>AND(Sheet1!I2840,"AAAAAAerY74=")</f>
        <v>#VALUE!</v>
      </c>
      <c r="GJ211" t="e">
        <f>AND(Sheet1!J2840,"AAAAAAerY78=")</f>
        <v>#VALUE!</v>
      </c>
      <c r="GK211" t="e">
        <f>AND(Sheet1!K2840,"AAAAAAerY8A=")</f>
        <v>#VALUE!</v>
      </c>
      <c r="GL211" t="e">
        <f>AND(Sheet1!L2840,"AAAAAAerY8E=")</f>
        <v>#VALUE!</v>
      </c>
      <c r="GM211" t="e">
        <f>AND(Sheet1!M2840,"AAAAAAerY8I=")</f>
        <v>#VALUE!</v>
      </c>
      <c r="GN211" t="e">
        <f>AND(Sheet1!N2840,"AAAAAAerY8M=")</f>
        <v>#VALUE!</v>
      </c>
      <c r="GO211" t="e">
        <f>AND(Sheet1!#REF!,"AAAAAAerY8Q=")</f>
        <v>#REF!</v>
      </c>
      <c r="GP211" t="e">
        <f>AND(Sheet1!#REF!,"AAAAAAerY8U=")</f>
        <v>#REF!</v>
      </c>
      <c r="GQ211" t="e">
        <f>AND(Sheet1!#REF!,"AAAAAAerY8Y=")</f>
        <v>#REF!</v>
      </c>
      <c r="GR211" t="e">
        <f>AND(Sheet1!#REF!,"AAAAAAerY8c=")</f>
        <v>#REF!</v>
      </c>
      <c r="GS211">
        <f>IF(Sheet1!2841:2841,"AAAAAAerY8g=",0)</f>
        <v>0</v>
      </c>
      <c r="GT211" t="e">
        <f>AND(Sheet1!A2841,"AAAAAAerY8k=")</f>
        <v>#VALUE!</v>
      </c>
      <c r="GU211" t="e">
        <f>AND(Sheet1!B2841,"AAAAAAerY8o=")</f>
        <v>#VALUE!</v>
      </c>
      <c r="GV211" t="e">
        <f>AND(Sheet1!C2841,"AAAAAAerY8s=")</f>
        <v>#VALUE!</v>
      </c>
      <c r="GW211" t="e">
        <f>AND(Sheet1!D2841,"AAAAAAerY8w=")</f>
        <v>#VALUE!</v>
      </c>
      <c r="GX211" t="e">
        <f>AND(Sheet1!E2841,"AAAAAAerY80=")</f>
        <v>#VALUE!</v>
      </c>
      <c r="GY211" t="e">
        <f>AND(Sheet1!F2841,"AAAAAAerY84=")</f>
        <v>#VALUE!</v>
      </c>
      <c r="GZ211" t="e">
        <f>AND(Sheet1!G2841,"AAAAAAerY88=")</f>
        <v>#VALUE!</v>
      </c>
      <c r="HA211" t="e">
        <f>AND(Sheet1!H2841,"AAAAAAerY9A=")</f>
        <v>#VALUE!</v>
      </c>
      <c r="HB211" t="e">
        <f>AND(Sheet1!I2841,"AAAAAAerY9E=")</f>
        <v>#VALUE!</v>
      </c>
      <c r="HC211" t="e">
        <f>AND(Sheet1!J2841,"AAAAAAerY9I=")</f>
        <v>#VALUE!</v>
      </c>
      <c r="HD211" t="e">
        <f>AND(Sheet1!K2841,"AAAAAAerY9M=")</f>
        <v>#VALUE!</v>
      </c>
      <c r="HE211" t="e">
        <f>AND(Sheet1!L2841,"AAAAAAerY9Q=")</f>
        <v>#VALUE!</v>
      </c>
      <c r="HF211" t="e">
        <f>AND(Sheet1!M2841,"AAAAAAerY9U=")</f>
        <v>#VALUE!</v>
      </c>
      <c r="HG211" t="e">
        <f>AND(Sheet1!N2841,"AAAAAAerY9Y=")</f>
        <v>#VALUE!</v>
      </c>
      <c r="HH211" t="e">
        <f>AND(Sheet1!#REF!,"AAAAAAerY9c=")</f>
        <v>#REF!</v>
      </c>
      <c r="HI211" t="e">
        <f>AND(Sheet1!#REF!,"AAAAAAerY9g=")</f>
        <v>#REF!</v>
      </c>
      <c r="HJ211" t="e">
        <f>AND(Sheet1!#REF!,"AAAAAAerY9k=")</f>
        <v>#REF!</v>
      </c>
      <c r="HK211" t="e">
        <f>AND(Sheet1!#REF!,"AAAAAAerY9o=")</f>
        <v>#REF!</v>
      </c>
      <c r="HL211">
        <f>IF(Sheet1!2842:2842,"AAAAAAerY9s=",0)</f>
        <v>0</v>
      </c>
      <c r="HM211" t="e">
        <f>AND(Sheet1!A2842,"AAAAAAerY9w=")</f>
        <v>#VALUE!</v>
      </c>
      <c r="HN211" t="e">
        <f>AND(Sheet1!B2842,"AAAAAAerY90=")</f>
        <v>#VALUE!</v>
      </c>
      <c r="HO211" t="e">
        <f>AND(Sheet1!C2842,"AAAAAAerY94=")</f>
        <v>#VALUE!</v>
      </c>
      <c r="HP211" t="e">
        <f>AND(Sheet1!D2842,"AAAAAAerY98=")</f>
        <v>#VALUE!</v>
      </c>
      <c r="HQ211" t="e">
        <f>AND(Sheet1!E2842,"AAAAAAerY+A=")</f>
        <v>#VALUE!</v>
      </c>
      <c r="HR211" t="e">
        <f>AND(Sheet1!F2842,"AAAAAAerY+E=")</f>
        <v>#VALUE!</v>
      </c>
      <c r="HS211" t="e">
        <f>AND(Sheet1!G2842,"AAAAAAerY+I=")</f>
        <v>#VALUE!</v>
      </c>
      <c r="HT211" t="e">
        <f>AND(Sheet1!H2842,"AAAAAAerY+M=")</f>
        <v>#VALUE!</v>
      </c>
      <c r="HU211" t="e">
        <f>AND(Sheet1!I2842,"AAAAAAerY+Q=")</f>
        <v>#VALUE!</v>
      </c>
      <c r="HV211" t="e">
        <f>AND(Sheet1!J2842,"AAAAAAerY+U=")</f>
        <v>#VALUE!</v>
      </c>
      <c r="HW211" t="e">
        <f>AND(Sheet1!K2842,"AAAAAAerY+Y=")</f>
        <v>#VALUE!</v>
      </c>
      <c r="HX211" t="e">
        <f>AND(Sheet1!L2842,"AAAAAAerY+c=")</f>
        <v>#VALUE!</v>
      </c>
      <c r="HY211" t="e">
        <f>AND(Sheet1!M2842,"AAAAAAerY+g=")</f>
        <v>#VALUE!</v>
      </c>
      <c r="HZ211" t="e">
        <f>AND(Sheet1!N2842,"AAAAAAerY+k=")</f>
        <v>#VALUE!</v>
      </c>
      <c r="IA211" t="e">
        <f>AND(Sheet1!#REF!,"AAAAAAerY+o=")</f>
        <v>#REF!</v>
      </c>
      <c r="IB211" t="e">
        <f>AND(Sheet1!#REF!,"AAAAAAerY+s=")</f>
        <v>#REF!</v>
      </c>
      <c r="IC211" t="e">
        <f>AND(Sheet1!#REF!,"AAAAAAerY+w=")</f>
        <v>#REF!</v>
      </c>
      <c r="ID211" t="e">
        <f>AND(Sheet1!#REF!,"AAAAAAerY+0=")</f>
        <v>#REF!</v>
      </c>
      <c r="IE211">
        <f>IF(Sheet1!2843:2843,"AAAAAAerY+4=",0)</f>
        <v>0</v>
      </c>
      <c r="IF211" t="e">
        <f>AND(Sheet1!A2843,"AAAAAAerY+8=")</f>
        <v>#VALUE!</v>
      </c>
      <c r="IG211" t="e">
        <f>AND(Sheet1!B2843,"AAAAAAerY/A=")</f>
        <v>#VALUE!</v>
      </c>
      <c r="IH211" t="e">
        <f>AND(Sheet1!C2843,"AAAAAAerY/E=")</f>
        <v>#VALUE!</v>
      </c>
      <c r="II211" t="e">
        <f>AND(Sheet1!D2843,"AAAAAAerY/I=")</f>
        <v>#VALUE!</v>
      </c>
      <c r="IJ211" t="e">
        <f>AND(Sheet1!E2843,"AAAAAAerY/M=")</f>
        <v>#VALUE!</v>
      </c>
      <c r="IK211" t="e">
        <f>AND(Sheet1!F2843,"AAAAAAerY/Q=")</f>
        <v>#VALUE!</v>
      </c>
      <c r="IL211" t="e">
        <f>AND(Sheet1!G2843,"AAAAAAerY/U=")</f>
        <v>#VALUE!</v>
      </c>
      <c r="IM211" t="e">
        <f>AND(Sheet1!H2843,"AAAAAAerY/Y=")</f>
        <v>#VALUE!</v>
      </c>
      <c r="IN211" t="e">
        <f>AND(Sheet1!I2843,"AAAAAAerY/c=")</f>
        <v>#VALUE!</v>
      </c>
      <c r="IO211" t="e">
        <f>AND(Sheet1!J2843,"AAAAAAerY/g=")</f>
        <v>#VALUE!</v>
      </c>
      <c r="IP211" t="e">
        <f>AND(Sheet1!K2843,"AAAAAAerY/k=")</f>
        <v>#VALUE!</v>
      </c>
      <c r="IQ211" t="e">
        <f>AND(Sheet1!L2843,"AAAAAAerY/o=")</f>
        <v>#VALUE!</v>
      </c>
      <c r="IR211" t="e">
        <f>AND(Sheet1!M2843,"AAAAAAerY/s=")</f>
        <v>#VALUE!</v>
      </c>
      <c r="IS211" t="e">
        <f>AND(Sheet1!N2843,"AAAAAAerY/w=")</f>
        <v>#VALUE!</v>
      </c>
      <c r="IT211" t="e">
        <f>AND(Sheet1!#REF!,"AAAAAAerY/0=")</f>
        <v>#REF!</v>
      </c>
      <c r="IU211" t="e">
        <f>AND(Sheet1!#REF!,"AAAAAAerY/4=")</f>
        <v>#REF!</v>
      </c>
      <c r="IV211" t="e">
        <f>AND(Sheet1!#REF!,"AAAAAAerY/8=")</f>
        <v>#REF!</v>
      </c>
    </row>
    <row r="212" spans="1:256" x14ac:dyDescent="0.2">
      <c r="A212" t="e">
        <f>AND(Sheet1!#REF!,"AAAAADT+6wA=")</f>
        <v>#REF!</v>
      </c>
      <c r="B212" t="e">
        <f>IF(Sheet1!2844:2844,"AAAAADT+6wE=",0)</f>
        <v>#VALUE!</v>
      </c>
      <c r="C212" t="e">
        <f>AND(Sheet1!A2844,"AAAAADT+6wI=")</f>
        <v>#VALUE!</v>
      </c>
      <c r="D212" t="e">
        <f>AND(Sheet1!B2844,"AAAAADT+6wM=")</f>
        <v>#VALUE!</v>
      </c>
      <c r="E212" t="e">
        <f>AND(Sheet1!C2844,"AAAAADT+6wQ=")</f>
        <v>#VALUE!</v>
      </c>
      <c r="F212" t="e">
        <f>AND(Sheet1!D2844,"AAAAADT+6wU=")</f>
        <v>#VALUE!</v>
      </c>
      <c r="G212" t="e">
        <f>AND(Sheet1!E2844,"AAAAADT+6wY=")</f>
        <v>#VALUE!</v>
      </c>
      <c r="H212" t="e">
        <f>AND(Sheet1!F2844,"AAAAADT+6wc=")</f>
        <v>#VALUE!</v>
      </c>
      <c r="I212" t="e">
        <f>AND(Sheet1!G2844,"AAAAADT+6wg=")</f>
        <v>#VALUE!</v>
      </c>
      <c r="J212" t="e">
        <f>AND(Sheet1!H2844,"AAAAADT+6wk=")</f>
        <v>#VALUE!</v>
      </c>
      <c r="K212" t="e">
        <f>AND(Sheet1!I2844,"AAAAADT+6wo=")</f>
        <v>#VALUE!</v>
      </c>
      <c r="L212" t="e">
        <f>AND(Sheet1!J2844,"AAAAADT+6ws=")</f>
        <v>#VALUE!</v>
      </c>
      <c r="M212" t="e">
        <f>AND(Sheet1!K2844,"AAAAADT+6ww=")</f>
        <v>#VALUE!</v>
      </c>
      <c r="N212" t="e">
        <f>AND(Sheet1!L2844,"AAAAADT+6w0=")</f>
        <v>#VALUE!</v>
      </c>
      <c r="O212" t="e">
        <f>AND(Sheet1!M2844,"AAAAADT+6w4=")</f>
        <v>#VALUE!</v>
      </c>
      <c r="P212" t="e">
        <f>AND(Sheet1!N2844,"AAAAADT+6w8=")</f>
        <v>#VALUE!</v>
      </c>
      <c r="Q212" t="e">
        <f>AND(Sheet1!#REF!,"AAAAADT+6xA=")</f>
        <v>#REF!</v>
      </c>
      <c r="R212" t="e">
        <f>AND(Sheet1!#REF!,"AAAAADT+6xE=")</f>
        <v>#REF!</v>
      </c>
      <c r="S212" t="e">
        <f>AND(Sheet1!#REF!,"AAAAADT+6xI=")</f>
        <v>#REF!</v>
      </c>
      <c r="T212" t="e">
        <f>AND(Sheet1!#REF!,"AAAAADT+6xM=")</f>
        <v>#REF!</v>
      </c>
      <c r="U212">
        <f>IF(Sheet1!2845:2845,"AAAAADT+6xQ=",0)</f>
        <v>0</v>
      </c>
      <c r="V212" t="e">
        <f>AND(Sheet1!A2845,"AAAAADT+6xU=")</f>
        <v>#VALUE!</v>
      </c>
      <c r="W212" t="e">
        <f>AND(Sheet1!B2845,"AAAAADT+6xY=")</f>
        <v>#VALUE!</v>
      </c>
      <c r="X212" t="e">
        <f>AND(Sheet1!C2845,"AAAAADT+6xc=")</f>
        <v>#VALUE!</v>
      </c>
      <c r="Y212" t="e">
        <f>AND(Sheet1!D2845,"AAAAADT+6xg=")</f>
        <v>#VALUE!</v>
      </c>
      <c r="Z212" t="e">
        <f>AND(Sheet1!E2845,"AAAAADT+6xk=")</f>
        <v>#VALUE!</v>
      </c>
      <c r="AA212" t="e">
        <f>AND(Sheet1!F2845,"AAAAADT+6xo=")</f>
        <v>#VALUE!</v>
      </c>
      <c r="AB212" t="e">
        <f>AND(Sheet1!G2845,"AAAAADT+6xs=")</f>
        <v>#VALUE!</v>
      </c>
      <c r="AC212" t="e">
        <f>AND(Sheet1!H2845,"AAAAADT+6xw=")</f>
        <v>#VALUE!</v>
      </c>
      <c r="AD212" t="e">
        <f>AND(Sheet1!I2845,"AAAAADT+6x0=")</f>
        <v>#VALUE!</v>
      </c>
      <c r="AE212" t="e">
        <f>AND(Sheet1!J2845,"AAAAADT+6x4=")</f>
        <v>#VALUE!</v>
      </c>
      <c r="AF212" t="e">
        <f>AND(Sheet1!K2845,"AAAAADT+6x8=")</f>
        <v>#VALUE!</v>
      </c>
      <c r="AG212" t="e">
        <f>AND(Sheet1!L2845,"AAAAADT+6yA=")</f>
        <v>#VALUE!</v>
      </c>
      <c r="AH212" t="e">
        <f>AND(Sheet1!M2845,"AAAAADT+6yE=")</f>
        <v>#VALUE!</v>
      </c>
      <c r="AI212" t="e">
        <f>AND(Sheet1!N2845,"AAAAADT+6yI=")</f>
        <v>#VALUE!</v>
      </c>
      <c r="AJ212" t="e">
        <f>AND(Sheet1!#REF!,"AAAAADT+6yM=")</f>
        <v>#REF!</v>
      </c>
      <c r="AK212" t="e">
        <f>AND(Sheet1!#REF!,"AAAAADT+6yQ=")</f>
        <v>#REF!</v>
      </c>
      <c r="AL212" t="e">
        <f>AND(Sheet1!#REF!,"AAAAADT+6yU=")</f>
        <v>#REF!</v>
      </c>
      <c r="AM212" t="e">
        <f>AND(Sheet1!#REF!,"AAAAADT+6yY=")</f>
        <v>#REF!</v>
      </c>
      <c r="AN212">
        <f>IF(Sheet1!2846:2846,"AAAAADT+6yc=",0)</f>
        <v>0</v>
      </c>
      <c r="AO212" t="e">
        <f>AND(Sheet1!A2846,"AAAAADT+6yg=")</f>
        <v>#VALUE!</v>
      </c>
      <c r="AP212" t="e">
        <f>AND(Sheet1!B2846,"AAAAADT+6yk=")</f>
        <v>#VALUE!</v>
      </c>
      <c r="AQ212" t="e">
        <f>AND(Sheet1!C2846,"AAAAADT+6yo=")</f>
        <v>#VALUE!</v>
      </c>
      <c r="AR212" t="e">
        <f>AND(Sheet1!D2846,"AAAAADT+6ys=")</f>
        <v>#VALUE!</v>
      </c>
      <c r="AS212" t="e">
        <f>AND(Sheet1!E2846,"AAAAADT+6yw=")</f>
        <v>#VALUE!</v>
      </c>
      <c r="AT212" t="e">
        <f>AND(Sheet1!F2846,"AAAAADT+6y0=")</f>
        <v>#VALUE!</v>
      </c>
      <c r="AU212" t="e">
        <f>AND(Sheet1!G2846,"AAAAADT+6y4=")</f>
        <v>#VALUE!</v>
      </c>
      <c r="AV212" t="e">
        <f>AND(Sheet1!H2846,"AAAAADT+6y8=")</f>
        <v>#VALUE!</v>
      </c>
      <c r="AW212" t="e">
        <f>AND(Sheet1!I2846,"AAAAADT+6zA=")</f>
        <v>#VALUE!</v>
      </c>
      <c r="AX212" t="e">
        <f>AND(Sheet1!J2846,"AAAAADT+6zE=")</f>
        <v>#VALUE!</v>
      </c>
      <c r="AY212" t="e">
        <f>AND(Sheet1!K2846,"AAAAADT+6zI=")</f>
        <v>#VALUE!</v>
      </c>
      <c r="AZ212" t="e">
        <f>AND(Sheet1!L2846,"AAAAADT+6zM=")</f>
        <v>#VALUE!</v>
      </c>
      <c r="BA212" t="e">
        <f>AND(Sheet1!M2846,"AAAAADT+6zQ=")</f>
        <v>#VALUE!</v>
      </c>
      <c r="BB212" t="e">
        <f>AND(Sheet1!N2846,"AAAAADT+6zU=")</f>
        <v>#VALUE!</v>
      </c>
      <c r="BC212" t="e">
        <f>AND(Sheet1!#REF!,"AAAAADT+6zY=")</f>
        <v>#REF!</v>
      </c>
      <c r="BD212" t="e">
        <f>AND(Sheet1!#REF!,"AAAAADT+6zc=")</f>
        <v>#REF!</v>
      </c>
      <c r="BE212" t="e">
        <f>AND(Sheet1!#REF!,"AAAAADT+6zg=")</f>
        <v>#REF!</v>
      </c>
      <c r="BF212" t="e">
        <f>AND(Sheet1!#REF!,"AAAAADT+6zk=")</f>
        <v>#REF!</v>
      </c>
      <c r="BG212">
        <f>IF(Sheet1!2847:2847,"AAAAADT+6zo=",0)</f>
        <v>0</v>
      </c>
      <c r="BH212" t="e">
        <f>AND(Sheet1!A2847,"AAAAADT+6zs=")</f>
        <v>#VALUE!</v>
      </c>
      <c r="BI212" t="e">
        <f>AND(Sheet1!B2847,"AAAAADT+6zw=")</f>
        <v>#VALUE!</v>
      </c>
      <c r="BJ212" t="e">
        <f>AND(Sheet1!C2847,"AAAAADT+6z0=")</f>
        <v>#VALUE!</v>
      </c>
      <c r="BK212" t="e">
        <f>AND(Sheet1!D2847,"AAAAADT+6z4=")</f>
        <v>#VALUE!</v>
      </c>
      <c r="BL212" t="e">
        <f>AND(Sheet1!E2847,"AAAAADT+6z8=")</f>
        <v>#VALUE!</v>
      </c>
      <c r="BM212" t="e">
        <f>AND(Sheet1!F2847,"AAAAADT+60A=")</f>
        <v>#VALUE!</v>
      </c>
      <c r="BN212" t="e">
        <f>AND(Sheet1!G2847,"AAAAADT+60E=")</f>
        <v>#VALUE!</v>
      </c>
      <c r="BO212" t="e">
        <f>AND(Sheet1!H2847,"AAAAADT+60I=")</f>
        <v>#VALUE!</v>
      </c>
      <c r="BP212" t="e">
        <f>AND(Sheet1!I2847,"AAAAADT+60M=")</f>
        <v>#VALUE!</v>
      </c>
      <c r="BQ212" t="e">
        <f>AND(Sheet1!J2847,"AAAAADT+60Q=")</f>
        <v>#VALUE!</v>
      </c>
      <c r="BR212" t="e">
        <f>AND(Sheet1!K2847,"AAAAADT+60U=")</f>
        <v>#VALUE!</v>
      </c>
      <c r="BS212" t="e">
        <f>AND(Sheet1!L2847,"AAAAADT+60Y=")</f>
        <v>#VALUE!</v>
      </c>
      <c r="BT212" t="e">
        <f>AND(Sheet1!M2847,"AAAAADT+60c=")</f>
        <v>#VALUE!</v>
      </c>
      <c r="BU212" t="e">
        <f>AND(Sheet1!N2847,"AAAAADT+60g=")</f>
        <v>#VALUE!</v>
      </c>
      <c r="BV212" t="e">
        <f>AND(Sheet1!#REF!,"AAAAADT+60k=")</f>
        <v>#REF!</v>
      </c>
      <c r="BW212" t="e">
        <f>AND(Sheet1!#REF!,"AAAAADT+60o=")</f>
        <v>#REF!</v>
      </c>
      <c r="BX212" t="e">
        <f>AND(Sheet1!#REF!,"AAAAADT+60s=")</f>
        <v>#REF!</v>
      </c>
      <c r="BY212" t="e">
        <f>AND(Sheet1!#REF!,"AAAAADT+60w=")</f>
        <v>#REF!</v>
      </c>
      <c r="BZ212">
        <f>IF(Sheet1!2848:2848,"AAAAADT+600=",0)</f>
        <v>0</v>
      </c>
      <c r="CA212" t="e">
        <f>AND(Sheet1!A2848,"AAAAADT+604=")</f>
        <v>#VALUE!</v>
      </c>
      <c r="CB212" t="e">
        <f>AND(Sheet1!B2848,"AAAAADT+608=")</f>
        <v>#VALUE!</v>
      </c>
      <c r="CC212" t="e">
        <f>AND(Sheet1!C2848,"AAAAADT+61A=")</f>
        <v>#VALUE!</v>
      </c>
      <c r="CD212" t="e">
        <f>AND(Sheet1!D2848,"AAAAADT+61E=")</f>
        <v>#VALUE!</v>
      </c>
      <c r="CE212" t="e">
        <f>AND(Sheet1!E2848,"AAAAADT+61I=")</f>
        <v>#VALUE!</v>
      </c>
      <c r="CF212" t="e">
        <f>AND(Sheet1!F2848,"AAAAADT+61M=")</f>
        <v>#VALUE!</v>
      </c>
      <c r="CG212" t="e">
        <f>AND(Sheet1!G2848,"AAAAADT+61Q=")</f>
        <v>#VALUE!</v>
      </c>
      <c r="CH212" t="e">
        <f>AND(Sheet1!H2848,"AAAAADT+61U=")</f>
        <v>#VALUE!</v>
      </c>
      <c r="CI212" t="e">
        <f>AND(Sheet1!I2848,"AAAAADT+61Y=")</f>
        <v>#VALUE!</v>
      </c>
      <c r="CJ212" t="e">
        <f>AND(Sheet1!J2848,"AAAAADT+61c=")</f>
        <v>#VALUE!</v>
      </c>
      <c r="CK212" t="e">
        <f>AND(Sheet1!K2848,"AAAAADT+61g=")</f>
        <v>#VALUE!</v>
      </c>
      <c r="CL212" t="e">
        <f>AND(Sheet1!L2848,"AAAAADT+61k=")</f>
        <v>#VALUE!</v>
      </c>
      <c r="CM212" t="e">
        <f>AND(Sheet1!M2848,"AAAAADT+61o=")</f>
        <v>#VALUE!</v>
      </c>
      <c r="CN212" t="e">
        <f>AND(Sheet1!N2848,"AAAAADT+61s=")</f>
        <v>#VALUE!</v>
      </c>
      <c r="CO212" t="e">
        <f>AND(Sheet1!#REF!,"AAAAADT+61w=")</f>
        <v>#REF!</v>
      </c>
      <c r="CP212" t="e">
        <f>AND(Sheet1!#REF!,"AAAAADT+610=")</f>
        <v>#REF!</v>
      </c>
      <c r="CQ212" t="e">
        <f>AND(Sheet1!#REF!,"AAAAADT+614=")</f>
        <v>#REF!</v>
      </c>
      <c r="CR212" t="e">
        <f>AND(Sheet1!#REF!,"AAAAADT+618=")</f>
        <v>#REF!</v>
      </c>
      <c r="CS212">
        <f>IF(Sheet1!2849:2849,"AAAAADT+62A=",0)</f>
        <v>0</v>
      </c>
      <c r="CT212" t="e">
        <f>AND(Sheet1!A2849,"AAAAADT+62E=")</f>
        <v>#VALUE!</v>
      </c>
      <c r="CU212" t="e">
        <f>AND(Sheet1!B2849,"AAAAADT+62I=")</f>
        <v>#VALUE!</v>
      </c>
      <c r="CV212" t="e">
        <f>AND(Sheet1!C2849,"AAAAADT+62M=")</f>
        <v>#VALUE!</v>
      </c>
      <c r="CW212" t="e">
        <f>AND(Sheet1!D2849,"AAAAADT+62Q=")</f>
        <v>#VALUE!</v>
      </c>
      <c r="CX212" t="e">
        <f>AND(Sheet1!E2849,"AAAAADT+62U=")</f>
        <v>#VALUE!</v>
      </c>
      <c r="CY212" t="e">
        <f>AND(Sheet1!F2849,"AAAAADT+62Y=")</f>
        <v>#VALUE!</v>
      </c>
      <c r="CZ212" t="e">
        <f>AND(Sheet1!G2849,"AAAAADT+62c=")</f>
        <v>#VALUE!</v>
      </c>
      <c r="DA212" t="e">
        <f>AND(Sheet1!H2849,"AAAAADT+62g=")</f>
        <v>#VALUE!</v>
      </c>
      <c r="DB212" t="e">
        <f>AND(Sheet1!I2849,"AAAAADT+62k=")</f>
        <v>#VALUE!</v>
      </c>
      <c r="DC212" t="e">
        <f>AND(Sheet1!J2849,"AAAAADT+62o=")</f>
        <v>#VALUE!</v>
      </c>
      <c r="DD212" t="e">
        <f>AND(Sheet1!K2849,"AAAAADT+62s=")</f>
        <v>#VALUE!</v>
      </c>
      <c r="DE212" t="e">
        <f>AND(Sheet1!L2849,"AAAAADT+62w=")</f>
        <v>#VALUE!</v>
      </c>
      <c r="DF212" t="e">
        <f>AND(Sheet1!M2849,"AAAAADT+620=")</f>
        <v>#VALUE!</v>
      </c>
      <c r="DG212" t="e">
        <f>AND(Sheet1!N2849,"AAAAADT+624=")</f>
        <v>#VALUE!</v>
      </c>
      <c r="DH212" t="e">
        <f>AND(Sheet1!#REF!,"AAAAADT+628=")</f>
        <v>#REF!</v>
      </c>
      <c r="DI212" t="e">
        <f>AND(Sheet1!#REF!,"AAAAADT+63A=")</f>
        <v>#REF!</v>
      </c>
      <c r="DJ212" t="e">
        <f>AND(Sheet1!#REF!,"AAAAADT+63E=")</f>
        <v>#REF!</v>
      </c>
      <c r="DK212" t="e">
        <f>AND(Sheet1!#REF!,"AAAAADT+63I=")</f>
        <v>#REF!</v>
      </c>
      <c r="DL212">
        <f>IF(Sheet1!2850:2850,"AAAAADT+63M=",0)</f>
        <v>0</v>
      </c>
      <c r="DM212" t="e">
        <f>AND(Sheet1!A2850,"AAAAADT+63Q=")</f>
        <v>#VALUE!</v>
      </c>
      <c r="DN212" t="e">
        <f>AND(Sheet1!B2850,"AAAAADT+63U=")</f>
        <v>#VALUE!</v>
      </c>
      <c r="DO212" t="e">
        <f>AND(Sheet1!C2850,"AAAAADT+63Y=")</f>
        <v>#VALUE!</v>
      </c>
      <c r="DP212" t="e">
        <f>AND(Sheet1!D2850,"AAAAADT+63c=")</f>
        <v>#VALUE!</v>
      </c>
      <c r="DQ212" t="e">
        <f>AND(Sheet1!E2850,"AAAAADT+63g=")</f>
        <v>#VALUE!</v>
      </c>
      <c r="DR212" t="e">
        <f>AND(Sheet1!F2850,"AAAAADT+63k=")</f>
        <v>#VALUE!</v>
      </c>
      <c r="DS212" t="e">
        <f>AND(Sheet1!G2850,"AAAAADT+63o=")</f>
        <v>#VALUE!</v>
      </c>
      <c r="DT212" t="e">
        <f>AND(Sheet1!H2850,"AAAAADT+63s=")</f>
        <v>#VALUE!</v>
      </c>
      <c r="DU212" t="e">
        <f>AND(Sheet1!I2850,"AAAAADT+63w=")</f>
        <v>#VALUE!</v>
      </c>
      <c r="DV212" t="e">
        <f>AND(Sheet1!J2850,"AAAAADT+630=")</f>
        <v>#VALUE!</v>
      </c>
      <c r="DW212" t="e">
        <f>AND(Sheet1!K2850,"AAAAADT+634=")</f>
        <v>#VALUE!</v>
      </c>
      <c r="DX212" t="e">
        <f>AND(Sheet1!L2850,"AAAAADT+638=")</f>
        <v>#VALUE!</v>
      </c>
      <c r="DY212" t="e">
        <f>AND(Sheet1!M2850,"AAAAADT+64A=")</f>
        <v>#VALUE!</v>
      </c>
      <c r="DZ212" t="e">
        <f>AND(Sheet1!N2850,"AAAAADT+64E=")</f>
        <v>#VALUE!</v>
      </c>
      <c r="EA212" t="e">
        <f>AND(Sheet1!#REF!,"AAAAADT+64I=")</f>
        <v>#REF!</v>
      </c>
      <c r="EB212" t="e">
        <f>AND(Sheet1!#REF!,"AAAAADT+64M=")</f>
        <v>#REF!</v>
      </c>
      <c r="EC212" t="e">
        <f>AND(Sheet1!#REF!,"AAAAADT+64Q=")</f>
        <v>#REF!</v>
      </c>
      <c r="ED212" t="e">
        <f>AND(Sheet1!#REF!,"AAAAADT+64U=")</f>
        <v>#REF!</v>
      </c>
      <c r="EE212">
        <f>IF(Sheet1!2851:2851,"AAAAADT+64Y=",0)</f>
        <v>0</v>
      </c>
      <c r="EF212" t="e">
        <f>AND(Sheet1!A2851,"AAAAADT+64c=")</f>
        <v>#VALUE!</v>
      </c>
      <c r="EG212" t="e">
        <f>AND(Sheet1!B2851,"AAAAADT+64g=")</f>
        <v>#VALUE!</v>
      </c>
      <c r="EH212" t="e">
        <f>AND(Sheet1!C2851,"AAAAADT+64k=")</f>
        <v>#VALUE!</v>
      </c>
      <c r="EI212" t="e">
        <f>AND(Sheet1!D2851,"AAAAADT+64o=")</f>
        <v>#VALUE!</v>
      </c>
      <c r="EJ212" t="e">
        <f>AND(Sheet1!E2851,"AAAAADT+64s=")</f>
        <v>#VALUE!</v>
      </c>
      <c r="EK212" t="e">
        <f>AND(Sheet1!F2851,"AAAAADT+64w=")</f>
        <v>#VALUE!</v>
      </c>
      <c r="EL212" t="e">
        <f>AND(Sheet1!G2851,"AAAAADT+640=")</f>
        <v>#VALUE!</v>
      </c>
      <c r="EM212" t="e">
        <f>AND(Sheet1!H2851,"AAAAADT+644=")</f>
        <v>#VALUE!</v>
      </c>
      <c r="EN212" t="e">
        <f>AND(Sheet1!I2851,"AAAAADT+648=")</f>
        <v>#VALUE!</v>
      </c>
      <c r="EO212" t="e">
        <f>AND(Sheet1!J2851,"AAAAADT+65A=")</f>
        <v>#VALUE!</v>
      </c>
      <c r="EP212" t="e">
        <f>AND(Sheet1!K2851,"AAAAADT+65E=")</f>
        <v>#VALUE!</v>
      </c>
      <c r="EQ212" t="e">
        <f>AND(Sheet1!L2851,"AAAAADT+65I=")</f>
        <v>#VALUE!</v>
      </c>
      <c r="ER212" t="e">
        <f>AND(Sheet1!M2851,"AAAAADT+65M=")</f>
        <v>#VALUE!</v>
      </c>
      <c r="ES212" t="e">
        <f>AND(Sheet1!N2851,"AAAAADT+65Q=")</f>
        <v>#VALUE!</v>
      </c>
      <c r="ET212" t="e">
        <f>AND(Sheet1!#REF!,"AAAAADT+65U=")</f>
        <v>#REF!</v>
      </c>
      <c r="EU212" t="e">
        <f>AND(Sheet1!#REF!,"AAAAADT+65Y=")</f>
        <v>#REF!</v>
      </c>
      <c r="EV212" t="e">
        <f>AND(Sheet1!#REF!,"AAAAADT+65c=")</f>
        <v>#REF!</v>
      </c>
      <c r="EW212" t="e">
        <f>AND(Sheet1!#REF!,"AAAAADT+65g=")</f>
        <v>#REF!</v>
      </c>
      <c r="EX212">
        <f>IF(Sheet1!2852:2852,"AAAAADT+65k=",0)</f>
        <v>0</v>
      </c>
      <c r="EY212" t="e">
        <f>AND(Sheet1!A2852,"AAAAADT+65o=")</f>
        <v>#VALUE!</v>
      </c>
      <c r="EZ212" t="e">
        <f>AND(Sheet1!B2852,"AAAAADT+65s=")</f>
        <v>#VALUE!</v>
      </c>
      <c r="FA212" t="e">
        <f>AND(Sheet1!C2852,"AAAAADT+65w=")</f>
        <v>#VALUE!</v>
      </c>
      <c r="FB212" t="e">
        <f>AND(Sheet1!D2852,"AAAAADT+650=")</f>
        <v>#VALUE!</v>
      </c>
      <c r="FC212" t="e">
        <f>AND(Sheet1!E2852,"AAAAADT+654=")</f>
        <v>#VALUE!</v>
      </c>
      <c r="FD212" t="e">
        <f>AND(Sheet1!F2852,"AAAAADT+658=")</f>
        <v>#VALUE!</v>
      </c>
      <c r="FE212" t="e">
        <f>AND(Sheet1!G2852,"AAAAADT+66A=")</f>
        <v>#VALUE!</v>
      </c>
      <c r="FF212" t="e">
        <f>AND(Sheet1!H2852,"AAAAADT+66E=")</f>
        <v>#VALUE!</v>
      </c>
      <c r="FG212" t="e">
        <f>AND(Sheet1!I2852,"AAAAADT+66I=")</f>
        <v>#VALUE!</v>
      </c>
      <c r="FH212" t="e">
        <f>AND(Sheet1!J2852,"AAAAADT+66M=")</f>
        <v>#VALUE!</v>
      </c>
      <c r="FI212" t="e">
        <f>AND(Sheet1!K2852,"AAAAADT+66Q=")</f>
        <v>#VALUE!</v>
      </c>
      <c r="FJ212" t="e">
        <f>AND(Sheet1!L2852,"AAAAADT+66U=")</f>
        <v>#VALUE!</v>
      </c>
      <c r="FK212" t="e">
        <f>AND(Sheet1!M2852,"AAAAADT+66Y=")</f>
        <v>#VALUE!</v>
      </c>
      <c r="FL212" t="e">
        <f>AND(Sheet1!N2852,"AAAAADT+66c=")</f>
        <v>#VALUE!</v>
      </c>
      <c r="FM212" t="e">
        <f>AND(Sheet1!#REF!,"AAAAADT+66g=")</f>
        <v>#REF!</v>
      </c>
      <c r="FN212" t="e">
        <f>AND(Sheet1!#REF!,"AAAAADT+66k=")</f>
        <v>#REF!</v>
      </c>
      <c r="FO212" t="e">
        <f>AND(Sheet1!#REF!,"AAAAADT+66o=")</f>
        <v>#REF!</v>
      </c>
      <c r="FP212" t="e">
        <f>AND(Sheet1!#REF!,"AAAAADT+66s=")</f>
        <v>#REF!</v>
      </c>
      <c r="FQ212">
        <f>IF(Sheet1!2853:2853,"AAAAADT+66w=",0)</f>
        <v>0</v>
      </c>
      <c r="FR212" t="e">
        <f>AND(Sheet1!A2853,"AAAAADT+660=")</f>
        <v>#VALUE!</v>
      </c>
      <c r="FS212" t="e">
        <f>AND(Sheet1!B2853,"AAAAADT+664=")</f>
        <v>#VALUE!</v>
      </c>
      <c r="FT212" t="e">
        <f>AND(Sheet1!C2853,"AAAAADT+668=")</f>
        <v>#VALUE!</v>
      </c>
      <c r="FU212" t="e">
        <f>AND(Sheet1!D2853,"AAAAADT+67A=")</f>
        <v>#VALUE!</v>
      </c>
      <c r="FV212" t="e">
        <f>AND(Sheet1!E2853,"AAAAADT+67E=")</f>
        <v>#VALUE!</v>
      </c>
      <c r="FW212" t="e">
        <f>AND(Sheet1!F2853,"AAAAADT+67I=")</f>
        <v>#VALUE!</v>
      </c>
      <c r="FX212" t="e">
        <f>AND(Sheet1!G2853,"AAAAADT+67M=")</f>
        <v>#VALUE!</v>
      </c>
      <c r="FY212" t="e">
        <f>AND(Sheet1!H2853,"AAAAADT+67Q=")</f>
        <v>#VALUE!</v>
      </c>
      <c r="FZ212" t="e">
        <f>AND(Sheet1!I2853,"AAAAADT+67U=")</f>
        <v>#VALUE!</v>
      </c>
      <c r="GA212" t="e">
        <f>AND(Sheet1!J2853,"AAAAADT+67Y=")</f>
        <v>#VALUE!</v>
      </c>
      <c r="GB212" t="e">
        <f>AND(Sheet1!K2853,"AAAAADT+67c=")</f>
        <v>#VALUE!</v>
      </c>
      <c r="GC212" t="e">
        <f>AND(Sheet1!L2853,"AAAAADT+67g=")</f>
        <v>#VALUE!</v>
      </c>
      <c r="GD212" t="e">
        <f>AND(Sheet1!M2853,"AAAAADT+67k=")</f>
        <v>#VALUE!</v>
      </c>
      <c r="GE212" t="e">
        <f>AND(Sheet1!N2853,"AAAAADT+67o=")</f>
        <v>#VALUE!</v>
      </c>
      <c r="GF212" t="e">
        <f>AND(Sheet1!#REF!,"AAAAADT+67s=")</f>
        <v>#REF!</v>
      </c>
      <c r="GG212" t="e">
        <f>AND(Sheet1!#REF!,"AAAAADT+67w=")</f>
        <v>#REF!</v>
      </c>
      <c r="GH212" t="e">
        <f>AND(Sheet1!#REF!,"AAAAADT+670=")</f>
        <v>#REF!</v>
      </c>
      <c r="GI212" t="e">
        <f>AND(Sheet1!#REF!,"AAAAADT+674=")</f>
        <v>#REF!</v>
      </c>
      <c r="GJ212">
        <f>IF(Sheet1!2854:2854,"AAAAADT+678=",0)</f>
        <v>0</v>
      </c>
      <c r="GK212" t="e">
        <f>AND(Sheet1!A2854,"AAAAADT+68A=")</f>
        <v>#VALUE!</v>
      </c>
      <c r="GL212" t="e">
        <f>AND(Sheet1!B2854,"AAAAADT+68E=")</f>
        <v>#VALUE!</v>
      </c>
      <c r="GM212" t="e">
        <f>AND(Sheet1!C2854,"AAAAADT+68I=")</f>
        <v>#VALUE!</v>
      </c>
      <c r="GN212" t="e">
        <f>AND(Sheet1!D2854,"AAAAADT+68M=")</f>
        <v>#VALUE!</v>
      </c>
      <c r="GO212" t="e">
        <f>AND(Sheet1!E2854,"AAAAADT+68Q=")</f>
        <v>#VALUE!</v>
      </c>
      <c r="GP212" t="e">
        <f>AND(Sheet1!F2854,"AAAAADT+68U=")</f>
        <v>#VALUE!</v>
      </c>
      <c r="GQ212" t="e">
        <f>AND(Sheet1!G2854,"AAAAADT+68Y=")</f>
        <v>#VALUE!</v>
      </c>
      <c r="GR212" t="e">
        <f>AND(Sheet1!H2854,"AAAAADT+68c=")</f>
        <v>#VALUE!</v>
      </c>
      <c r="GS212" t="e">
        <f>AND(Sheet1!I2854,"AAAAADT+68g=")</f>
        <v>#VALUE!</v>
      </c>
      <c r="GT212" t="e">
        <f>AND(Sheet1!J2854,"AAAAADT+68k=")</f>
        <v>#VALUE!</v>
      </c>
      <c r="GU212" t="e">
        <f>AND(Sheet1!K2854,"AAAAADT+68o=")</f>
        <v>#VALUE!</v>
      </c>
      <c r="GV212" t="e">
        <f>AND(Sheet1!L2854,"AAAAADT+68s=")</f>
        <v>#VALUE!</v>
      </c>
      <c r="GW212" t="e">
        <f>AND(Sheet1!M2854,"AAAAADT+68w=")</f>
        <v>#VALUE!</v>
      </c>
      <c r="GX212" t="e">
        <f>AND(Sheet1!N2854,"AAAAADT+680=")</f>
        <v>#VALUE!</v>
      </c>
      <c r="GY212" t="e">
        <f>AND(Sheet1!#REF!,"AAAAADT+684=")</f>
        <v>#REF!</v>
      </c>
      <c r="GZ212" t="e">
        <f>AND(Sheet1!#REF!,"AAAAADT+688=")</f>
        <v>#REF!</v>
      </c>
      <c r="HA212" t="e">
        <f>AND(Sheet1!#REF!,"AAAAADT+69A=")</f>
        <v>#REF!</v>
      </c>
      <c r="HB212" t="e">
        <f>AND(Sheet1!#REF!,"AAAAADT+69E=")</f>
        <v>#REF!</v>
      </c>
      <c r="HC212">
        <f>IF(Sheet1!2855:2855,"AAAAADT+69I=",0)</f>
        <v>0</v>
      </c>
      <c r="HD212" t="e">
        <f>AND(Sheet1!A2855,"AAAAADT+69M=")</f>
        <v>#VALUE!</v>
      </c>
      <c r="HE212" t="e">
        <f>AND(Sheet1!B2855,"AAAAADT+69Q=")</f>
        <v>#VALUE!</v>
      </c>
      <c r="HF212" t="e">
        <f>AND(Sheet1!C2855,"AAAAADT+69U=")</f>
        <v>#VALUE!</v>
      </c>
      <c r="HG212" t="e">
        <f>AND(Sheet1!D2855,"AAAAADT+69Y=")</f>
        <v>#VALUE!</v>
      </c>
      <c r="HH212" t="e">
        <f>AND(Sheet1!E2855,"AAAAADT+69c=")</f>
        <v>#VALUE!</v>
      </c>
      <c r="HI212" t="e">
        <f>AND(Sheet1!F2855,"AAAAADT+69g=")</f>
        <v>#VALUE!</v>
      </c>
      <c r="HJ212" t="e">
        <f>AND(Sheet1!G2855,"AAAAADT+69k=")</f>
        <v>#VALUE!</v>
      </c>
      <c r="HK212" t="e">
        <f>AND(Sheet1!H2855,"AAAAADT+69o=")</f>
        <v>#VALUE!</v>
      </c>
      <c r="HL212" t="e">
        <f>AND(Sheet1!I2855,"AAAAADT+69s=")</f>
        <v>#VALUE!</v>
      </c>
      <c r="HM212" t="e">
        <f>AND(Sheet1!J2855,"AAAAADT+69w=")</f>
        <v>#VALUE!</v>
      </c>
      <c r="HN212" t="e">
        <f>AND(Sheet1!K2855,"AAAAADT+690=")</f>
        <v>#VALUE!</v>
      </c>
      <c r="HO212" t="e">
        <f>AND(Sheet1!L2855,"AAAAADT+694=")</f>
        <v>#VALUE!</v>
      </c>
      <c r="HP212" t="e">
        <f>AND(Sheet1!M2855,"AAAAADT+698=")</f>
        <v>#VALUE!</v>
      </c>
      <c r="HQ212" t="e">
        <f>AND(Sheet1!N2855,"AAAAADT+6+A=")</f>
        <v>#VALUE!</v>
      </c>
      <c r="HR212" t="e">
        <f>AND(Sheet1!#REF!,"AAAAADT+6+E=")</f>
        <v>#REF!</v>
      </c>
      <c r="HS212" t="e">
        <f>AND(Sheet1!#REF!,"AAAAADT+6+I=")</f>
        <v>#REF!</v>
      </c>
      <c r="HT212" t="e">
        <f>AND(Sheet1!#REF!,"AAAAADT+6+M=")</f>
        <v>#REF!</v>
      </c>
      <c r="HU212" t="e">
        <f>AND(Sheet1!#REF!,"AAAAADT+6+Q=")</f>
        <v>#REF!</v>
      </c>
      <c r="HV212">
        <f>IF(Sheet1!2856:2856,"AAAAADT+6+U=",0)</f>
        <v>0</v>
      </c>
      <c r="HW212" t="e">
        <f>AND(Sheet1!A2856,"AAAAADT+6+Y=")</f>
        <v>#VALUE!</v>
      </c>
      <c r="HX212" t="e">
        <f>AND(Sheet1!B2856,"AAAAADT+6+c=")</f>
        <v>#VALUE!</v>
      </c>
      <c r="HY212" t="e">
        <f>AND(Sheet1!C2856,"AAAAADT+6+g=")</f>
        <v>#VALUE!</v>
      </c>
      <c r="HZ212" t="e">
        <f>AND(Sheet1!D2856,"AAAAADT+6+k=")</f>
        <v>#VALUE!</v>
      </c>
      <c r="IA212" t="e">
        <f>AND(Sheet1!E2856,"AAAAADT+6+o=")</f>
        <v>#VALUE!</v>
      </c>
      <c r="IB212" t="e">
        <f>AND(Sheet1!F2856,"AAAAADT+6+s=")</f>
        <v>#VALUE!</v>
      </c>
      <c r="IC212" t="e">
        <f>AND(Sheet1!G2856,"AAAAADT+6+w=")</f>
        <v>#VALUE!</v>
      </c>
      <c r="ID212" t="e">
        <f>AND(Sheet1!H2856,"AAAAADT+6+0=")</f>
        <v>#VALUE!</v>
      </c>
      <c r="IE212" t="e">
        <f>AND(Sheet1!I2856,"AAAAADT+6+4=")</f>
        <v>#VALUE!</v>
      </c>
      <c r="IF212" t="e">
        <f>AND(Sheet1!J2856,"AAAAADT+6+8=")</f>
        <v>#VALUE!</v>
      </c>
      <c r="IG212" t="e">
        <f>AND(Sheet1!K2856,"AAAAADT+6/A=")</f>
        <v>#VALUE!</v>
      </c>
      <c r="IH212" t="e">
        <f>AND(Sheet1!L2856,"AAAAADT+6/E=")</f>
        <v>#VALUE!</v>
      </c>
      <c r="II212" t="e">
        <f>AND(Sheet1!M2856,"AAAAADT+6/I=")</f>
        <v>#VALUE!</v>
      </c>
      <c r="IJ212" t="e">
        <f>AND(Sheet1!N2856,"AAAAADT+6/M=")</f>
        <v>#VALUE!</v>
      </c>
      <c r="IK212" t="e">
        <f>AND(Sheet1!#REF!,"AAAAADT+6/Q=")</f>
        <v>#REF!</v>
      </c>
      <c r="IL212" t="e">
        <f>AND(Sheet1!#REF!,"AAAAADT+6/U=")</f>
        <v>#REF!</v>
      </c>
      <c r="IM212" t="e">
        <f>AND(Sheet1!#REF!,"AAAAADT+6/Y=")</f>
        <v>#REF!</v>
      </c>
      <c r="IN212" t="e">
        <f>AND(Sheet1!#REF!,"AAAAADT+6/c=")</f>
        <v>#REF!</v>
      </c>
      <c r="IO212">
        <f>IF(Sheet1!2857:2857,"AAAAADT+6/g=",0)</f>
        <v>0</v>
      </c>
      <c r="IP212" t="e">
        <f>AND(Sheet1!A2857,"AAAAADT+6/k=")</f>
        <v>#VALUE!</v>
      </c>
      <c r="IQ212" t="e">
        <f>AND(Sheet1!B2857,"AAAAADT+6/o=")</f>
        <v>#VALUE!</v>
      </c>
      <c r="IR212" t="e">
        <f>AND(Sheet1!C2857,"AAAAADT+6/s=")</f>
        <v>#VALUE!</v>
      </c>
      <c r="IS212" t="e">
        <f>AND(Sheet1!D2857,"AAAAADT+6/w=")</f>
        <v>#VALUE!</v>
      </c>
      <c r="IT212" t="e">
        <f>AND(Sheet1!E2857,"AAAAADT+6/0=")</f>
        <v>#VALUE!</v>
      </c>
      <c r="IU212" t="e">
        <f>AND(Sheet1!F2857,"AAAAADT+6/4=")</f>
        <v>#VALUE!</v>
      </c>
      <c r="IV212" t="e">
        <f>AND(Sheet1!G2857,"AAAAADT+6/8=")</f>
        <v>#VALUE!</v>
      </c>
    </row>
    <row r="213" spans="1:256" x14ac:dyDescent="0.2">
      <c r="A213" t="e">
        <f>AND(Sheet1!H2857,"AAAAAF/7+wA=")</f>
        <v>#VALUE!</v>
      </c>
      <c r="B213" t="e">
        <f>AND(Sheet1!I2857,"AAAAAF/7+wE=")</f>
        <v>#VALUE!</v>
      </c>
      <c r="C213" t="e">
        <f>AND(Sheet1!J2857,"AAAAAF/7+wI=")</f>
        <v>#VALUE!</v>
      </c>
      <c r="D213" t="e">
        <f>AND(Sheet1!K2857,"AAAAAF/7+wM=")</f>
        <v>#VALUE!</v>
      </c>
      <c r="E213" t="e">
        <f>AND(Sheet1!L2857,"AAAAAF/7+wQ=")</f>
        <v>#VALUE!</v>
      </c>
      <c r="F213" t="e">
        <f>AND(Sheet1!M2857,"AAAAAF/7+wU=")</f>
        <v>#VALUE!</v>
      </c>
      <c r="G213" t="e">
        <f>AND(Sheet1!N2857,"AAAAAF/7+wY=")</f>
        <v>#VALUE!</v>
      </c>
      <c r="H213" t="e">
        <f>AND(Sheet1!#REF!,"AAAAAF/7+wc=")</f>
        <v>#REF!</v>
      </c>
      <c r="I213" t="e">
        <f>AND(Sheet1!#REF!,"AAAAAF/7+wg=")</f>
        <v>#REF!</v>
      </c>
      <c r="J213" t="e">
        <f>AND(Sheet1!#REF!,"AAAAAF/7+wk=")</f>
        <v>#REF!</v>
      </c>
      <c r="K213" t="e">
        <f>AND(Sheet1!#REF!,"AAAAAF/7+wo=")</f>
        <v>#REF!</v>
      </c>
      <c r="L213">
        <f>IF(Sheet1!2858:2858,"AAAAAF/7+ws=",0)</f>
        <v>0</v>
      </c>
      <c r="M213" t="e">
        <f>AND(Sheet1!A2858,"AAAAAF/7+ww=")</f>
        <v>#VALUE!</v>
      </c>
      <c r="N213" t="e">
        <f>AND(Sheet1!B2858,"AAAAAF/7+w0=")</f>
        <v>#VALUE!</v>
      </c>
      <c r="O213" t="e">
        <f>AND(Sheet1!C2858,"AAAAAF/7+w4=")</f>
        <v>#VALUE!</v>
      </c>
      <c r="P213" t="e">
        <f>AND(Sheet1!D2858,"AAAAAF/7+w8=")</f>
        <v>#VALUE!</v>
      </c>
      <c r="Q213" t="e">
        <f>AND(Sheet1!E2858,"AAAAAF/7+xA=")</f>
        <v>#VALUE!</v>
      </c>
      <c r="R213" t="e">
        <f>AND(Sheet1!F2858,"AAAAAF/7+xE=")</f>
        <v>#VALUE!</v>
      </c>
      <c r="S213" t="e">
        <f>AND(Sheet1!G2858,"AAAAAF/7+xI=")</f>
        <v>#VALUE!</v>
      </c>
      <c r="T213" t="e">
        <f>AND(Sheet1!H2858,"AAAAAF/7+xM=")</f>
        <v>#VALUE!</v>
      </c>
      <c r="U213" t="e">
        <f>AND(Sheet1!I2858,"AAAAAF/7+xQ=")</f>
        <v>#VALUE!</v>
      </c>
      <c r="V213" t="e">
        <f>AND(Sheet1!J2858,"AAAAAF/7+xU=")</f>
        <v>#VALUE!</v>
      </c>
      <c r="W213" t="e">
        <f>AND(Sheet1!K2858,"AAAAAF/7+xY=")</f>
        <v>#VALUE!</v>
      </c>
      <c r="X213" t="e">
        <f>AND(Sheet1!L2858,"AAAAAF/7+xc=")</f>
        <v>#VALUE!</v>
      </c>
      <c r="Y213" t="e">
        <f>AND(Sheet1!M2858,"AAAAAF/7+xg=")</f>
        <v>#VALUE!</v>
      </c>
      <c r="Z213" t="e">
        <f>AND(Sheet1!N2858,"AAAAAF/7+xk=")</f>
        <v>#VALUE!</v>
      </c>
      <c r="AA213" t="e">
        <f>AND(Sheet1!#REF!,"AAAAAF/7+xo=")</f>
        <v>#REF!</v>
      </c>
      <c r="AB213" t="e">
        <f>AND(Sheet1!#REF!,"AAAAAF/7+xs=")</f>
        <v>#REF!</v>
      </c>
      <c r="AC213" t="e">
        <f>AND(Sheet1!#REF!,"AAAAAF/7+xw=")</f>
        <v>#REF!</v>
      </c>
      <c r="AD213" t="e">
        <f>AND(Sheet1!#REF!,"AAAAAF/7+x0=")</f>
        <v>#REF!</v>
      </c>
      <c r="AE213">
        <f>IF(Sheet1!2859:2859,"AAAAAF/7+x4=",0)</f>
        <v>0</v>
      </c>
      <c r="AF213" t="e">
        <f>AND(Sheet1!A2859,"AAAAAF/7+x8=")</f>
        <v>#VALUE!</v>
      </c>
      <c r="AG213" t="e">
        <f>AND(Sheet1!B2859,"AAAAAF/7+yA=")</f>
        <v>#VALUE!</v>
      </c>
      <c r="AH213" t="e">
        <f>AND(Sheet1!C2859,"AAAAAF/7+yE=")</f>
        <v>#VALUE!</v>
      </c>
      <c r="AI213" t="e">
        <f>AND(Sheet1!D2859,"AAAAAF/7+yI=")</f>
        <v>#VALUE!</v>
      </c>
      <c r="AJ213" t="e">
        <f>AND(Sheet1!E2859,"AAAAAF/7+yM=")</f>
        <v>#VALUE!</v>
      </c>
      <c r="AK213" t="e">
        <f>AND(Sheet1!F2859,"AAAAAF/7+yQ=")</f>
        <v>#VALUE!</v>
      </c>
      <c r="AL213" t="e">
        <f>AND(Sheet1!G2859,"AAAAAF/7+yU=")</f>
        <v>#VALUE!</v>
      </c>
      <c r="AM213" t="e">
        <f>AND(Sheet1!H2859,"AAAAAF/7+yY=")</f>
        <v>#VALUE!</v>
      </c>
      <c r="AN213" t="e">
        <f>AND(Sheet1!I2859,"AAAAAF/7+yc=")</f>
        <v>#VALUE!</v>
      </c>
      <c r="AO213" t="e">
        <f>AND(Sheet1!J2859,"AAAAAF/7+yg=")</f>
        <v>#VALUE!</v>
      </c>
      <c r="AP213" t="e">
        <f>AND(Sheet1!K2859,"AAAAAF/7+yk=")</f>
        <v>#VALUE!</v>
      </c>
      <c r="AQ213" t="e">
        <f>AND(Sheet1!L2859,"AAAAAF/7+yo=")</f>
        <v>#VALUE!</v>
      </c>
      <c r="AR213" t="e">
        <f>AND(Sheet1!M2859,"AAAAAF/7+ys=")</f>
        <v>#VALUE!</v>
      </c>
      <c r="AS213" t="e">
        <f>AND(Sheet1!N2859,"AAAAAF/7+yw=")</f>
        <v>#VALUE!</v>
      </c>
      <c r="AT213" t="e">
        <f>AND(Sheet1!#REF!,"AAAAAF/7+y0=")</f>
        <v>#REF!</v>
      </c>
      <c r="AU213" t="e">
        <f>AND(Sheet1!#REF!,"AAAAAF/7+y4=")</f>
        <v>#REF!</v>
      </c>
      <c r="AV213" t="e">
        <f>AND(Sheet1!#REF!,"AAAAAF/7+y8=")</f>
        <v>#REF!</v>
      </c>
      <c r="AW213" t="e">
        <f>AND(Sheet1!#REF!,"AAAAAF/7+zA=")</f>
        <v>#REF!</v>
      </c>
      <c r="AX213">
        <f>IF(Sheet1!2860:2860,"AAAAAF/7+zE=",0)</f>
        <v>0</v>
      </c>
      <c r="AY213" t="e">
        <f>AND(Sheet1!A2860,"AAAAAF/7+zI=")</f>
        <v>#VALUE!</v>
      </c>
      <c r="AZ213" t="e">
        <f>AND(Sheet1!B2860,"AAAAAF/7+zM=")</f>
        <v>#VALUE!</v>
      </c>
      <c r="BA213" t="e">
        <f>AND(Sheet1!C2860,"AAAAAF/7+zQ=")</f>
        <v>#VALUE!</v>
      </c>
      <c r="BB213" t="e">
        <f>AND(Sheet1!D2860,"AAAAAF/7+zU=")</f>
        <v>#VALUE!</v>
      </c>
      <c r="BC213" t="e">
        <f>AND(Sheet1!E2860,"AAAAAF/7+zY=")</f>
        <v>#VALUE!</v>
      </c>
      <c r="BD213" t="e">
        <f>AND(Sheet1!F2860,"AAAAAF/7+zc=")</f>
        <v>#VALUE!</v>
      </c>
      <c r="BE213" t="e">
        <f>AND(Sheet1!G2860,"AAAAAF/7+zg=")</f>
        <v>#VALUE!</v>
      </c>
      <c r="BF213" t="e">
        <f>AND(Sheet1!H2860,"AAAAAF/7+zk=")</f>
        <v>#VALUE!</v>
      </c>
      <c r="BG213" t="e">
        <f>AND(Sheet1!I2860,"AAAAAF/7+zo=")</f>
        <v>#VALUE!</v>
      </c>
      <c r="BH213" t="e">
        <f>AND(Sheet1!J2860,"AAAAAF/7+zs=")</f>
        <v>#VALUE!</v>
      </c>
      <c r="BI213" t="e">
        <f>AND(Sheet1!K2860,"AAAAAF/7+zw=")</f>
        <v>#VALUE!</v>
      </c>
      <c r="BJ213" t="e">
        <f>AND(Sheet1!L2860,"AAAAAF/7+z0=")</f>
        <v>#VALUE!</v>
      </c>
      <c r="BK213" t="e">
        <f>AND(Sheet1!M2860,"AAAAAF/7+z4=")</f>
        <v>#VALUE!</v>
      </c>
      <c r="BL213" t="e">
        <f>AND(Sheet1!N2860,"AAAAAF/7+z8=")</f>
        <v>#VALUE!</v>
      </c>
      <c r="BM213" t="e">
        <f>AND(Sheet1!#REF!,"AAAAAF/7+0A=")</f>
        <v>#REF!</v>
      </c>
      <c r="BN213" t="e">
        <f>AND(Sheet1!#REF!,"AAAAAF/7+0E=")</f>
        <v>#REF!</v>
      </c>
      <c r="BO213" t="e">
        <f>AND(Sheet1!#REF!,"AAAAAF/7+0I=")</f>
        <v>#REF!</v>
      </c>
      <c r="BP213" t="e">
        <f>AND(Sheet1!#REF!,"AAAAAF/7+0M=")</f>
        <v>#REF!</v>
      </c>
      <c r="BQ213">
        <f>IF(Sheet1!2861:2861,"AAAAAF/7+0Q=",0)</f>
        <v>0</v>
      </c>
      <c r="BR213" t="e">
        <f>AND(Sheet1!A2861,"AAAAAF/7+0U=")</f>
        <v>#VALUE!</v>
      </c>
      <c r="BS213" t="e">
        <f>AND(Sheet1!B2861,"AAAAAF/7+0Y=")</f>
        <v>#VALUE!</v>
      </c>
      <c r="BT213" t="e">
        <f>AND(Sheet1!C2861,"AAAAAF/7+0c=")</f>
        <v>#VALUE!</v>
      </c>
      <c r="BU213" t="e">
        <f>AND(Sheet1!D2861,"AAAAAF/7+0g=")</f>
        <v>#VALUE!</v>
      </c>
      <c r="BV213" t="e">
        <f>AND(Sheet1!E2861,"AAAAAF/7+0k=")</f>
        <v>#VALUE!</v>
      </c>
      <c r="BW213" t="e">
        <f>AND(Sheet1!F2861,"AAAAAF/7+0o=")</f>
        <v>#VALUE!</v>
      </c>
      <c r="BX213" t="e">
        <f>AND(Sheet1!G2861,"AAAAAF/7+0s=")</f>
        <v>#VALUE!</v>
      </c>
      <c r="BY213" t="e">
        <f>AND(Sheet1!H2861,"AAAAAF/7+0w=")</f>
        <v>#VALUE!</v>
      </c>
      <c r="BZ213" t="e">
        <f>AND(Sheet1!I2861,"AAAAAF/7+00=")</f>
        <v>#VALUE!</v>
      </c>
      <c r="CA213" t="e">
        <f>AND(Sheet1!J2861,"AAAAAF/7+04=")</f>
        <v>#VALUE!</v>
      </c>
      <c r="CB213" t="e">
        <f>AND(Sheet1!K2861,"AAAAAF/7+08=")</f>
        <v>#VALUE!</v>
      </c>
      <c r="CC213" t="e">
        <f>AND(Sheet1!L2861,"AAAAAF/7+1A=")</f>
        <v>#VALUE!</v>
      </c>
      <c r="CD213" t="e">
        <f>AND(Sheet1!M2861,"AAAAAF/7+1E=")</f>
        <v>#VALUE!</v>
      </c>
      <c r="CE213" t="e">
        <f>AND(Sheet1!N2861,"AAAAAF/7+1I=")</f>
        <v>#VALUE!</v>
      </c>
      <c r="CF213" t="e">
        <f>AND(Sheet1!#REF!,"AAAAAF/7+1M=")</f>
        <v>#REF!</v>
      </c>
      <c r="CG213" t="e">
        <f>AND(Sheet1!#REF!,"AAAAAF/7+1Q=")</f>
        <v>#REF!</v>
      </c>
      <c r="CH213" t="e">
        <f>AND(Sheet1!#REF!,"AAAAAF/7+1U=")</f>
        <v>#REF!</v>
      </c>
      <c r="CI213" t="e">
        <f>AND(Sheet1!#REF!,"AAAAAF/7+1Y=")</f>
        <v>#REF!</v>
      </c>
      <c r="CJ213">
        <f>IF(Sheet1!2862:2862,"AAAAAF/7+1c=",0)</f>
        <v>0</v>
      </c>
      <c r="CK213" t="e">
        <f>AND(Sheet1!A2862,"AAAAAF/7+1g=")</f>
        <v>#VALUE!</v>
      </c>
      <c r="CL213" t="e">
        <f>AND(Sheet1!B2862,"AAAAAF/7+1k=")</f>
        <v>#VALUE!</v>
      </c>
      <c r="CM213" t="e">
        <f>AND(Sheet1!C2862,"AAAAAF/7+1o=")</f>
        <v>#VALUE!</v>
      </c>
      <c r="CN213" t="e">
        <f>AND(Sheet1!D2862,"AAAAAF/7+1s=")</f>
        <v>#VALUE!</v>
      </c>
      <c r="CO213" t="e">
        <f>AND(Sheet1!E2862,"AAAAAF/7+1w=")</f>
        <v>#VALUE!</v>
      </c>
      <c r="CP213" t="e">
        <f>AND(Sheet1!F2862,"AAAAAF/7+10=")</f>
        <v>#VALUE!</v>
      </c>
      <c r="CQ213" t="e">
        <f>AND(Sheet1!G2862,"AAAAAF/7+14=")</f>
        <v>#VALUE!</v>
      </c>
      <c r="CR213" t="e">
        <f>AND(Sheet1!H2862,"AAAAAF/7+18=")</f>
        <v>#VALUE!</v>
      </c>
      <c r="CS213" t="e">
        <f>AND(Sheet1!I2862,"AAAAAF/7+2A=")</f>
        <v>#VALUE!</v>
      </c>
      <c r="CT213" t="e">
        <f>AND(Sheet1!J2862,"AAAAAF/7+2E=")</f>
        <v>#VALUE!</v>
      </c>
      <c r="CU213" t="e">
        <f>AND(Sheet1!K2862,"AAAAAF/7+2I=")</f>
        <v>#VALUE!</v>
      </c>
      <c r="CV213" t="e">
        <f>AND(Sheet1!L2862,"AAAAAF/7+2M=")</f>
        <v>#VALUE!</v>
      </c>
      <c r="CW213" t="e">
        <f>AND(Sheet1!M2862,"AAAAAF/7+2Q=")</f>
        <v>#VALUE!</v>
      </c>
      <c r="CX213" t="e">
        <f>AND(Sheet1!N2862,"AAAAAF/7+2U=")</f>
        <v>#VALUE!</v>
      </c>
      <c r="CY213" t="e">
        <f>AND(Sheet1!#REF!,"AAAAAF/7+2Y=")</f>
        <v>#REF!</v>
      </c>
      <c r="CZ213" t="e">
        <f>AND(Sheet1!#REF!,"AAAAAF/7+2c=")</f>
        <v>#REF!</v>
      </c>
      <c r="DA213" t="e">
        <f>AND(Sheet1!#REF!,"AAAAAF/7+2g=")</f>
        <v>#REF!</v>
      </c>
      <c r="DB213" t="e">
        <f>AND(Sheet1!#REF!,"AAAAAF/7+2k=")</f>
        <v>#REF!</v>
      </c>
      <c r="DC213">
        <f>IF(Sheet1!2863:2863,"AAAAAF/7+2o=",0)</f>
        <v>0</v>
      </c>
      <c r="DD213" t="e">
        <f>AND(Sheet1!A2863,"AAAAAF/7+2s=")</f>
        <v>#VALUE!</v>
      </c>
      <c r="DE213" t="e">
        <f>AND(Sheet1!B2863,"AAAAAF/7+2w=")</f>
        <v>#VALUE!</v>
      </c>
      <c r="DF213" t="e">
        <f>AND(Sheet1!C2863,"AAAAAF/7+20=")</f>
        <v>#VALUE!</v>
      </c>
      <c r="DG213" t="e">
        <f>AND(Sheet1!D2863,"AAAAAF/7+24=")</f>
        <v>#VALUE!</v>
      </c>
      <c r="DH213" t="e">
        <f>AND(Sheet1!E2863,"AAAAAF/7+28=")</f>
        <v>#VALUE!</v>
      </c>
      <c r="DI213" t="e">
        <f>AND(Sheet1!F2863,"AAAAAF/7+3A=")</f>
        <v>#VALUE!</v>
      </c>
      <c r="DJ213" t="e">
        <f>AND(Sheet1!G2863,"AAAAAF/7+3E=")</f>
        <v>#VALUE!</v>
      </c>
      <c r="DK213" t="e">
        <f>AND(Sheet1!H2863,"AAAAAF/7+3I=")</f>
        <v>#VALUE!</v>
      </c>
      <c r="DL213" t="e">
        <f>AND(Sheet1!I2863,"AAAAAF/7+3M=")</f>
        <v>#VALUE!</v>
      </c>
      <c r="DM213" t="e">
        <f>AND(Sheet1!J2863,"AAAAAF/7+3Q=")</f>
        <v>#VALUE!</v>
      </c>
      <c r="DN213" t="e">
        <f>AND(Sheet1!K2863,"AAAAAF/7+3U=")</f>
        <v>#VALUE!</v>
      </c>
      <c r="DO213" t="e">
        <f>AND(Sheet1!L2863,"AAAAAF/7+3Y=")</f>
        <v>#VALUE!</v>
      </c>
      <c r="DP213" t="e">
        <f>AND(Sheet1!M2863,"AAAAAF/7+3c=")</f>
        <v>#VALUE!</v>
      </c>
      <c r="DQ213" t="e">
        <f>AND(Sheet1!N2863,"AAAAAF/7+3g=")</f>
        <v>#VALUE!</v>
      </c>
      <c r="DR213" t="e">
        <f>AND(Sheet1!#REF!,"AAAAAF/7+3k=")</f>
        <v>#REF!</v>
      </c>
      <c r="DS213" t="e">
        <f>AND(Sheet1!#REF!,"AAAAAF/7+3o=")</f>
        <v>#REF!</v>
      </c>
      <c r="DT213" t="e">
        <f>AND(Sheet1!#REF!,"AAAAAF/7+3s=")</f>
        <v>#REF!</v>
      </c>
      <c r="DU213" t="e">
        <f>AND(Sheet1!#REF!,"AAAAAF/7+3w=")</f>
        <v>#REF!</v>
      </c>
      <c r="DV213">
        <f>IF(Sheet1!2864:2864,"AAAAAF/7+30=",0)</f>
        <v>0</v>
      </c>
      <c r="DW213" t="e">
        <f>AND(Sheet1!A2864,"AAAAAF/7+34=")</f>
        <v>#VALUE!</v>
      </c>
      <c r="DX213" t="e">
        <f>AND(Sheet1!B2864,"AAAAAF/7+38=")</f>
        <v>#VALUE!</v>
      </c>
      <c r="DY213" t="e">
        <f>AND(Sheet1!C2864,"AAAAAF/7+4A=")</f>
        <v>#VALUE!</v>
      </c>
      <c r="DZ213" t="e">
        <f>AND(Sheet1!D2864,"AAAAAF/7+4E=")</f>
        <v>#VALUE!</v>
      </c>
      <c r="EA213" t="e">
        <f>AND(Sheet1!E2864,"AAAAAF/7+4I=")</f>
        <v>#VALUE!</v>
      </c>
      <c r="EB213" t="e">
        <f>AND(Sheet1!F2864,"AAAAAF/7+4M=")</f>
        <v>#VALUE!</v>
      </c>
      <c r="EC213" t="e">
        <f>AND(Sheet1!G2864,"AAAAAF/7+4Q=")</f>
        <v>#VALUE!</v>
      </c>
      <c r="ED213" t="e">
        <f>AND(Sheet1!H2864,"AAAAAF/7+4U=")</f>
        <v>#VALUE!</v>
      </c>
      <c r="EE213" t="e">
        <f>AND(Sheet1!I2864,"AAAAAF/7+4Y=")</f>
        <v>#VALUE!</v>
      </c>
      <c r="EF213" t="e">
        <f>AND(Sheet1!J2864,"AAAAAF/7+4c=")</f>
        <v>#VALUE!</v>
      </c>
      <c r="EG213" t="e">
        <f>AND(Sheet1!K2864,"AAAAAF/7+4g=")</f>
        <v>#VALUE!</v>
      </c>
      <c r="EH213" t="e">
        <f>AND(Sheet1!L2864,"AAAAAF/7+4k=")</f>
        <v>#VALUE!</v>
      </c>
      <c r="EI213" t="e">
        <f>AND(Sheet1!M2864,"AAAAAF/7+4o=")</f>
        <v>#VALUE!</v>
      </c>
      <c r="EJ213" t="e">
        <f>AND(Sheet1!N2864,"AAAAAF/7+4s=")</f>
        <v>#VALUE!</v>
      </c>
      <c r="EK213" t="e">
        <f>AND(Sheet1!#REF!,"AAAAAF/7+4w=")</f>
        <v>#REF!</v>
      </c>
      <c r="EL213" t="e">
        <f>AND(Sheet1!#REF!,"AAAAAF/7+40=")</f>
        <v>#REF!</v>
      </c>
      <c r="EM213" t="e">
        <f>AND(Sheet1!#REF!,"AAAAAF/7+44=")</f>
        <v>#REF!</v>
      </c>
      <c r="EN213" t="e">
        <f>AND(Sheet1!#REF!,"AAAAAF/7+48=")</f>
        <v>#REF!</v>
      </c>
      <c r="EO213">
        <f>IF(Sheet1!2865:2865,"AAAAAF/7+5A=",0)</f>
        <v>0</v>
      </c>
      <c r="EP213" t="e">
        <f>AND(Sheet1!A2865,"AAAAAF/7+5E=")</f>
        <v>#VALUE!</v>
      </c>
      <c r="EQ213" t="e">
        <f>AND(Sheet1!B2865,"AAAAAF/7+5I=")</f>
        <v>#VALUE!</v>
      </c>
      <c r="ER213" t="e">
        <f>AND(Sheet1!C2865,"AAAAAF/7+5M=")</f>
        <v>#VALUE!</v>
      </c>
      <c r="ES213" t="e">
        <f>AND(Sheet1!D2865,"AAAAAF/7+5Q=")</f>
        <v>#VALUE!</v>
      </c>
      <c r="ET213" t="e">
        <f>AND(Sheet1!E2865,"AAAAAF/7+5U=")</f>
        <v>#VALUE!</v>
      </c>
      <c r="EU213" t="e">
        <f>AND(Sheet1!F2865,"AAAAAF/7+5Y=")</f>
        <v>#VALUE!</v>
      </c>
      <c r="EV213" t="e">
        <f>AND(Sheet1!G2865,"AAAAAF/7+5c=")</f>
        <v>#VALUE!</v>
      </c>
      <c r="EW213" t="e">
        <f>AND(Sheet1!H2865,"AAAAAF/7+5g=")</f>
        <v>#VALUE!</v>
      </c>
      <c r="EX213" t="e">
        <f>AND(Sheet1!I2865,"AAAAAF/7+5k=")</f>
        <v>#VALUE!</v>
      </c>
      <c r="EY213" t="e">
        <f>AND(Sheet1!J2865,"AAAAAF/7+5o=")</f>
        <v>#VALUE!</v>
      </c>
      <c r="EZ213" t="e">
        <f>AND(Sheet1!K2865,"AAAAAF/7+5s=")</f>
        <v>#VALUE!</v>
      </c>
      <c r="FA213" t="e">
        <f>AND(Sheet1!L2865,"AAAAAF/7+5w=")</f>
        <v>#VALUE!</v>
      </c>
      <c r="FB213" t="e">
        <f>AND(Sheet1!M2865,"AAAAAF/7+50=")</f>
        <v>#VALUE!</v>
      </c>
      <c r="FC213" t="e">
        <f>AND(Sheet1!N2865,"AAAAAF/7+54=")</f>
        <v>#VALUE!</v>
      </c>
      <c r="FD213" t="e">
        <f>AND(Sheet1!#REF!,"AAAAAF/7+58=")</f>
        <v>#REF!</v>
      </c>
      <c r="FE213" t="e">
        <f>AND(Sheet1!#REF!,"AAAAAF/7+6A=")</f>
        <v>#REF!</v>
      </c>
      <c r="FF213" t="e">
        <f>AND(Sheet1!#REF!,"AAAAAF/7+6E=")</f>
        <v>#REF!</v>
      </c>
      <c r="FG213" t="e">
        <f>AND(Sheet1!#REF!,"AAAAAF/7+6I=")</f>
        <v>#REF!</v>
      </c>
      <c r="FH213">
        <f>IF(Sheet1!2866:2866,"AAAAAF/7+6M=",0)</f>
        <v>0</v>
      </c>
      <c r="FI213" t="e">
        <f>AND(Sheet1!A2866,"AAAAAF/7+6Q=")</f>
        <v>#VALUE!</v>
      </c>
      <c r="FJ213" t="e">
        <f>AND(Sheet1!B2866,"AAAAAF/7+6U=")</f>
        <v>#VALUE!</v>
      </c>
      <c r="FK213" t="e">
        <f>AND(Sheet1!C2866,"AAAAAF/7+6Y=")</f>
        <v>#VALUE!</v>
      </c>
      <c r="FL213" t="e">
        <f>AND(Sheet1!D2866,"AAAAAF/7+6c=")</f>
        <v>#VALUE!</v>
      </c>
      <c r="FM213" t="e">
        <f>AND(Sheet1!E2866,"AAAAAF/7+6g=")</f>
        <v>#VALUE!</v>
      </c>
      <c r="FN213" t="e">
        <f>AND(Sheet1!F2866,"AAAAAF/7+6k=")</f>
        <v>#VALUE!</v>
      </c>
      <c r="FO213" t="e">
        <f>AND(Sheet1!G2866,"AAAAAF/7+6o=")</f>
        <v>#VALUE!</v>
      </c>
      <c r="FP213" t="e">
        <f>AND(Sheet1!H2866,"AAAAAF/7+6s=")</f>
        <v>#VALUE!</v>
      </c>
      <c r="FQ213" t="e">
        <f>AND(Sheet1!I2866,"AAAAAF/7+6w=")</f>
        <v>#VALUE!</v>
      </c>
      <c r="FR213" t="e">
        <f>AND(Sheet1!J2866,"AAAAAF/7+60=")</f>
        <v>#VALUE!</v>
      </c>
      <c r="FS213" t="e">
        <f>AND(Sheet1!K2866,"AAAAAF/7+64=")</f>
        <v>#VALUE!</v>
      </c>
      <c r="FT213" t="e">
        <f>AND(Sheet1!L2866,"AAAAAF/7+68=")</f>
        <v>#VALUE!</v>
      </c>
      <c r="FU213" t="e">
        <f>AND(Sheet1!M2866,"AAAAAF/7+7A=")</f>
        <v>#VALUE!</v>
      </c>
      <c r="FV213" t="e">
        <f>AND(Sheet1!N2866,"AAAAAF/7+7E=")</f>
        <v>#VALUE!</v>
      </c>
      <c r="FW213" t="e">
        <f>AND(Sheet1!#REF!,"AAAAAF/7+7I=")</f>
        <v>#REF!</v>
      </c>
      <c r="FX213" t="e">
        <f>AND(Sheet1!#REF!,"AAAAAF/7+7M=")</f>
        <v>#REF!</v>
      </c>
      <c r="FY213" t="e">
        <f>AND(Sheet1!#REF!,"AAAAAF/7+7Q=")</f>
        <v>#REF!</v>
      </c>
      <c r="FZ213" t="e">
        <f>AND(Sheet1!#REF!,"AAAAAF/7+7U=")</f>
        <v>#REF!</v>
      </c>
      <c r="GA213">
        <f>IF(Sheet1!2867:2867,"AAAAAF/7+7Y=",0)</f>
        <v>0</v>
      </c>
      <c r="GB213" t="e">
        <f>AND(Sheet1!A2867,"AAAAAF/7+7c=")</f>
        <v>#VALUE!</v>
      </c>
      <c r="GC213" t="e">
        <f>AND(Sheet1!B2867,"AAAAAF/7+7g=")</f>
        <v>#VALUE!</v>
      </c>
      <c r="GD213" t="e">
        <f>AND(Sheet1!C2867,"AAAAAF/7+7k=")</f>
        <v>#VALUE!</v>
      </c>
      <c r="GE213" t="e">
        <f>AND(Sheet1!D2867,"AAAAAF/7+7o=")</f>
        <v>#VALUE!</v>
      </c>
      <c r="GF213" t="e">
        <f>AND(Sheet1!E2867,"AAAAAF/7+7s=")</f>
        <v>#VALUE!</v>
      </c>
      <c r="GG213" t="e">
        <f>AND(Sheet1!F2867,"AAAAAF/7+7w=")</f>
        <v>#VALUE!</v>
      </c>
      <c r="GH213" t="e">
        <f>AND(Sheet1!G2867,"AAAAAF/7+70=")</f>
        <v>#VALUE!</v>
      </c>
      <c r="GI213" t="e">
        <f>AND(Sheet1!H2867,"AAAAAF/7+74=")</f>
        <v>#VALUE!</v>
      </c>
      <c r="GJ213" t="e">
        <f>AND(Sheet1!I2867,"AAAAAF/7+78=")</f>
        <v>#VALUE!</v>
      </c>
      <c r="GK213" t="e">
        <f>AND(Sheet1!J2867,"AAAAAF/7+8A=")</f>
        <v>#VALUE!</v>
      </c>
      <c r="GL213" t="e">
        <f>AND(Sheet1!K2867,"AAAAAF/7+8E=")</f>
        <v>#VALUE!</v>
      </c>
      <c r="GM213" t="e">
        <f>AND(Sheet1!L2867,"AAAAAF/7+8I=")</f>
        <v>#VALUE!</v>
      </c>
      <c r="GN213" t="e">
        <f>AND(Sheet1!M2867,"AAAAAF/7+8M=")</f>
        <v>#VALUE!</v>
      </c>
      <c r="GO213" t="e">
        <f>AND(Sheet1!N2867,"AAAAAF/7+8Q=")</f>
        <v>#VALUE!</v>
      </c>
      <c r="GP213" t="e">
        <f>AND(Sheet1!#REF!,"AAAAAF/7+8U=")</f>
        <v>#REF!</v>
      </c>
      <c r="GQ213" t="e">
        <f>AND(Sheet1!#REF!,"AAAAAF/7+8Y=")</f>
        <v>#REF!</v>
      </c>
      <c r="GR213" t="e">
        <f>AND(Sheet1!#REF!,"AAAAAF/7+8c=")</f>
        <v>#REF!</v>
      </c>
      <c r="GS213" t="e">
        <f>AND(Sheet1!#REF!,"AAAAAF/7+8g=")</f>
        <v>#REF!</v>
      </c>
      <c r="GT213">
        <f>IF(Sheet1!2868:2868,"AAAAAF/7+8k=",0)</f>
        <v>0</v>
      </c>
      <c r="GU213" t="e">
        <f>AND(Sheet1!A2868,"AAAAAF/7+8o=")</f>
        <v>#VALUE!</v>
      </c>
      <c r="GV213" t="e">
        <f>AND(Sheet1!B2868,"AAAAAF/7+8s=")</f>
        <v>#VALUE!</v>
      </c>
      <c r="GW213" t="e">
        <f>AND(Sheet1!C2868,"AAAAAF/7+8w=")</f>
        <v>#VALUE!</v>
      </c>
      <c r="GX213" t="e">
        <f>AND(Sheet1!D2868,"AAAAAF/7+80=")</f>
        <v>#VALUE!</v>
      </c>
      <c r="GY213" t="e">
        <f>AND(Sheet1!E2868,"AAAAAF/7+84=")</f>
        <v>#VALUE!</v>
      </c>
      <c r="GZ213" t="e">
        <f>AND(Sheet1!F2868,"AAAAAF/7+88=")</f>
        <v>#VALUE!</v>
      </c>
      <c r="HA213" t="e">
        <f>AND(Sheet1!G2868,"AAAAAF/7+9A=")</f>
        <v>#VALUE!</v>
      </c>
      <c r="HB213" t="e">
        <f>AND(Sheet1!H2868,"AAAAAF/7+9E=")</f>
        <v>#VALUE!</v>
      </c>
      <c r="HC213" t="e">
        <f>AND(Sheet1!I2868,"AAAAAF/7+9I=")</f>
        <v>#VALUE!</v>
      </c>
      <c r="HD213" t="e">
        <f>AND(Sheet1!J2868,"AAAAAF/7+9M=")</f>
        <v>#VALUE!</v>
      </c>
      <c r="HE213" t="e">
        <f>AND(Sheet1!K2868,"AAAAAF/7+9Q=")</f>
        <v>#VALUE!</v>
      </c>
      <c r="HF213" t="e">
        <f>AND(Sheet1!L2868,"AAAAAF/7+9U=")</f>
        <v>#VALUE!</v>
      </c>
      <c r="HG213" t="e">
        <f>AND(Sheet1!M2868,"AAAAAF/7+9Y=")</f>
        <v>#VALUE!</v>
      </c>
      <c r="HH213" t="e">
        <f>AND(Sheet1!N2868,"AAAAAF/7+9c=")</f>
        <v>#VALUE!</v>
      </c>
      <c r="HI213" t="e">
        <f>AND(Sheet1!#REF!,"AAAAAF/7+9g=")</f>
        <v>#REF!</v>
      </c>
      <c r="HJ213" t="e">
        <f>AND(Sheet1!#REF!,"AAAAAF/7+9k=")</f>
        <v>#REF!</v>
      </c>
      <c r="HK213" t="e">
        <f>AND(Sheet1!#REF!,"AAAAAF/7+9o=")</f>
        <v>#REF!</v>
      </c>
      <c r="HL213" t="e">
        <f>AND(Sheet1!#REF!,"AAAAAF/7+9s=")</f>
        <v>#REF!</v>
      </c>
      <c r="HM213">
        <f>IF(Sheet1!2869:2869,"AAAAAF/7+9w=",0)</f>
        <v>0</v>
      </c>
      <c r="HN213" t="e">
        <f>AND(Sheet1!A2869,"AAAAAF/7+90=")</f>
        <v>#VALUE!</v>
      </c>
      <c r="HO213" t="e">
        <f>AND(Sheet1!B2869,"AAAAAF/7+94=")</f>
        <v>#VALUE!</v>
      </c>
      <c r="HP213" t="e">
        <f>AND(Sheet1!C2869,"AAAAAF/7+98=")</f>
        <v>#VALUE!</v>
      </c>
      <c r="HQ213" t="e">
        <f>AND(Sheet1!D2869,"AAAAAF/7++A=")</f>
        <v>#VALUE!</v>
      </c>
      <c r="HR213" t="e">
        <f>AND(Sheet1!E2869,"AAAAAF/7++E=")</f>
        <v>#VALUE!</v>
      </c>
      <c r="HS213" t="e">
        <f>AND(Sheet1!F2869,"AAAAAF/7++I=")</f>
        <v>#VALUE!</v>
      </c>
      <c r="HT213" t="e">
        <f>AND(Sheet1!G2869,"AAAAAF/7++M=")</f>
        <v>#VALUE!</v>
      </c>
      <c r="HU213" t="e">
        <f>AND(Sheet1!H2869,"AAAAAF/7++Q=")</f>
        <v>#VALUE!</v>
      </c>
      <c r="HV213" t="e">
        <f>AND(Sheet1!I2869,"AAAAAF/7++U=")</f>
        <v>#VALUE!</v>
      </c>
      <c r="HW213" t="e">
        <f>AND(Sheet1!J2869,"AAAAAF/7++Y=")</f>
        <v>#VALUE!</v>
      </c>
      <c r="HX213" t="e">
        <f>AND(Sheet1!K2869,"AAAAAF/7++c=")</f>
        <v>#VALUE!</v>
      </c>
      <c r="HY213" t="e">
        <f>AND(Sheet1!L2869,"AAAAAF/7++g=")</f>
        <v>#VALUE!</v>
      </c>
      <c r="HZ213" t="e">
        <f>AND(Sheet1!M2869,"AAAAAF/7++k=")</f>
        <v>#VALUE!</v>
      </c>
      <c r="IA213" t="e">
        <f>AND(Sheet1!N2869,"AAAAAF/7++o=")</f>
        <v>#VALUE!</v>
      </c>
      <c r="IB213" t="e">
        <f>AND(Sheet1!#REF!,"AAAAAF/7++s=")</f>
        <v>#REF!</v>
      </c>
      <c r="IC213" t="e">
        <f>AND(Sheet1!#REF!,"AAAAAF/7++w=")</f>
        <v>#REF!</v>
      </c>
      <c r="ID213" t="e">
        <f>AND(Sheet1!#REF!,"AAAAAF/7++0=")</f>
        <v>#REF!</v>
      </c>
      <c r="IE213" t="e">
        <f>AND(Sheet1!#REF!,"AAAAAF/7++4=")</f>
        <v>#REF!</v>
      </c>
      <c r="IF213">
        <f>IF(Sheet1!2870:2870,"AAAAAF/7++8=",0)</f>
        <v>0</v>
      </c>
      <c r="IG213" t="e">
        <f>AND(Sheet1!A2870,"AAAAAF/7+/A=")</f>
        <v>#VALUE!</v>
      </c>
      <c r="IH213" t="e">
        <f>AND(Sheet1!B2870,"AAAAAF/7+/E=")</f>
        <v>#VALUE!</v>
      </c>
      <c r="II213" t="e">
        <f>AND(Sheet1!C2870,"AAAAAF/7+/I=")</f>
        <v>#VALUE!</v>
      </c>
      <c r="IJ213" t="e">
        <f>AND(Sheet1!D2870,"AAAAAF/7+/M=")</f>
        <v>#VALUE!</v>
      </c>
      <c r="IK213" t="e">
        <f>AND(Sheet1!E2870,"AAAAAF/7+/Q=")</f>
        <v>#VALUE!</v>
      </c>
      <c r="IL213" t="e">
        <f>AND(Sheet1!F2870,"AAAAAF/7+/U=")</f>
        <v>#VALUE!</v>
      </c>
      <c r="IM213" t="e">
        <f>AND(Sheet1!G2870,"AAAAAF/7+/Y=")</f>
        <v>#VALUE!</v>
      </c>
      <c r="IN213" t="e">
        <f>AND(Sheet1!H2870,"AAAAAF/7+/c=")</f>
        <v>#VALUE!</v>
      </c>
      <c r="IO213" t="e">
        <f>AND(Sheet1!I2870,"AAAAAF/7+/g=")</f>
        <v>#VALUE!</v>
      </c>
      <c r="IP213" t="e">
        <f>AND(Sheet1!J2870,"AAAAAF/7+/k=")</f>
        <v>#VALUE!</v>
      </c>
      <c r="IQ213" t="e">
        <f>AND(Sheet1!K2870,"AAAAAF/7+/o=")</f>
        <v>#VALUE!</v>
      </c>
      <c r="IR213" t="e">
        <f>AND(Sheet1!L2870,"AAAAAF/7+/s=")</f>
        <v>#VALUE!</v>
      </c>
      <c r="IS213" t="e">
        <f>AND(Sheet1!M2870,"AAAAAF/7+/w=")</f>
        <v>#VALUE!</v>
      </c>
      <c r="IT213" t="e">
        <f>AND(Sheet1!N2870,"AAAAAF/7+/0=")</f>
        <v>#VALUE!</v>
      </c>
      <c r="IU213" t="e">
        <f>AND(Sheet1!#REF!,"AAAAAF/7+/4=")</f>
        <v>#REF!</v>
      </c>
      <c r="IV213" t="e">
        <f>AND(Sheet1!#REF!,"AAAAAF/7+/8=")</f>
        <v>#REF!</v>
      </c>
    </row>
    <row r="214" spans="1:256" x14ac:dyDescent="0.2">
      <c r="A214" t="e">
        <f>AND(Sheet1!#REF!,"AAAAAHZb9wA=")</f>
        <v>#REF!</v>
      </c>
      <c r="B214" t="e">
        <f>AND(Sheet1!#REF!,"AAAAAHZb9wE=")</f>
        <v>#REF!</v>
      </c>
      <c r="C214" t="e">
        <f>IF(Sheet1!2871:2871,"AAAAAHZb9wI=",0)</f>
        <v>#VALUE!</v>
      </c>
      <c r="D214" t="e">
        <f>AND(Sheet1!A2871,"AAAAAHZb9wM=")</f>
        <v>#VALUE!</v>
      </c>
      <c r="E214" t="e">
        <f>AND(Sheet1!B2871,"AAAAAHZb9wQ=")</f>
        <v>#VALUE!</v>
      </c>
      <c r="F214" t="e">
        <f>AND(Sheet1!C2871,"AAAAAHZb9wU=")</f>
        <v>#VALUE!</v>
      </c>
      <c r="G214" t="e">
        <f>AND(Sheet1!D2871,"AAAAAHZb9wY=")</f>
        <v>#VALUE!</v>
      </c>
      <c r="H214" t="e">
        <f>AND(Sheet1!E2871,"AAAAAHZb9wc=")</f>
        <v>#VALUE!</v>
      </c>
      <c r="I214" t="e">
        <f>AND(Sheet1!F2871,"AAAAAHZb9wg=")</f>
        <v>#VALUE!</v>
      </c>
      <c r="J214" t="e">
        <f>AND(Sheet1!G2871,"AAAAAHZb9wk=")</f>
        <v>#VALUE!</v>
      </c>
      <c r="K214" t="e">
        <f>AND(Sheet1!H2871,"AAAAAHZb9wo=")</f>
        <v>#VALUE!</v>
      </c>
      <c r="L214" t="e">
        <f>AND(Sheet1!I2871,"AAAAAHZb9ws=")</f>
        <v>#VALUE!</v>
      </c>
      <c r="M214" t="e">
        <f>AND(Sheet1!J2871,"AAAAAHZb9ww=")</f>
        <v>#VALUE!</v>
      </c>
      <c r="N214" t="e">
        <f>AND(Sheet1!K2871,"AAAAAHZb9w0=")</f>
        <v>#VALUE!</v>
      </c>
      <c r="O214" t="e">
        <f>AND(Sheet1!L2871,"AAAAAHZb9w4=")</f>
        <v>#VALUE!</v>
      </c>
      <c r="P214" t="e">
        <f>AND(Sheet1!M2871,"AAAAAHZb9w8=")</f>
        <v>#VALUE!</v>
      </c>
      <c r="Q214" t="e">
        <f>AND(Sheet1!N2871,"AAAAAHZb9xA=")</f>
        <v>#VALUE!</v>
      </c>
      <c r="R214" t="e">
        <f>AND(Sheet1!#REF!,"AAAAAHZb9xE=")</f>
        <v>#REF!</v>
      </c>
      <c r="S214" t="e">
        <f>AND(Sheet1!#REF!,"AAAAAHZb9xI=")</f>
        <v>#REF!</v>
      </c>
      <c r="T214" t="e">
        <f>AND(Sheet1!#REF!,"AAAAAHZb9xM=")</f>
        <v>#REF!</v>
      </c>
      <c r="U214" t="e">
        <f>AND(Sheet1!#REF!,"AAAAAHZb9xQ=")</f>
        <v>#REF!</v>
      </c>
      <c r="V214">
        <f>IF(Sheet1!2872:2872,"AAAAAHZb9xU=",0)</f>
        <v>0</v>
      </c>
      <c r="W214" t="e">
        <f>AND(Sheet1!A2872,"AAAAAHZb9xY=")</f>
        <v>#VALUE!</v>
      </c>
      <c r="X214" t="e">
        <f>AND(Sheet1!B2872,"AAAAAHZb9xc=")</f>
        <v>#VALUE!</v>
      </c>
      <c r="Y214" t="e">
        <f>AND(Sheet1!C2872,"AAAAAHZb9xg=")</f>
        <v>#VALUE!</v>
      </c>
      <c r="Z214" t="e">
        <f>AND(Sheet1!D2872,"AAAAAHZb9xk=")</f>
        <v>#VALUE!</v>
      </c>
      <c r="AA214" t="e">
        <f>AND(Sheet1!E2872,"AAAAAHZb9xo=")</f>
        <v>#VALUE!</v>
      </c>
      <c r="AB214" t="e">
        <f>AND(Sheet1!F2872,"AAAAAHZb9xs=")</f>
        <v>#VALUE!</v>
      </c>
      <c r="AC214" t="e">
        <f>AND(Sheet1!G2872,"AAAAAHZb9xw=")</f>
        <v>#VALUE!</v>
      </c>
      <c r="AD214" t="e">
        <f>AND(Sheet1!H2872,"AAAAAHZb9x0=")</f>
        <v>#VALUE!</v>
      </c>
      <c r="AE214" t="e">
        <f>AND(Sheet1!I2872,"AAAAAHZb9x4=")</f>
        <v>#VALUE!</v>
      </c>
      <c r="AF214" t="e">
        <f>AND(Sheet1!J2872,"AAAAAHZb9x8=")</f>
        <v>#VALUE!</v>
      </c>
      <c r="AG214" t="e">
        <f>AND(Sheet1!K2872,"AAAAAHZb9yA=")</f>
        <v>#VALUE!</v>
      </c>
      <c r="AH214" t="e">
        <f>AND(Sheet1!L2872,"AAAAAHZb9yE=")</f>
        <v>#VALUE!</v>
      </c>
      <c r="AI214" t="e">
        <f>AND(Sheet1!M2872,"AAAAAHZb9yI=")</f>
        <v>#VALUE!</v>
      </c>
      <c r="AJ214" t="e">
        <f>AND(Sheet1!N2872,"AAAAAHZb9yM=")</f>
        <v>#VALUE!</v>
      </c>
      <c r="AK214" t="e">
        <f>AND(Sheet1!#REF!,"AAAAAHZb9yQ=")</f>
        <v>#REF!</v>
      </c>
      <c r="AL214" t="e">
        <f>AND(Sheet1!#REF!,"AAAAAHZb9yU=")</f>
        <v>#REF!</v>
      </c>
      <c r="AM214" t="e">
        <f>AND(Sheet1!#REF!,"AAAAAHZb9yY=")</f>
        <v>#REF!</v>
      </c>
      <c r="AN214" t="e">
        <f>AND(Sheet1!#REF!,"AAAAAHZb9yc=")</f>
        <v>#REF!</v>
      </c>
      <c r="AO214">
        <f>IF(Sheet1!2873:2873,"AAAAAHZb9yg=",0)</f>
        <v>0</v>
      </c>
      <c r="AP214" t="e">
        <f>AND(Sheet1!A2873,"AAAAAHZb9yk=")</f>
        <v>#VALUE!</v>
      </c>
      <c r="AQ214" t="e">
        <f>AND(Sheet1!B2873,"AAAAAHZb9yo=")</f>
        <v>#VALUE!</v>
      </c>
      <c r="AR214" t="e">
        <f>AND(Sheet1!C2873,"AAAAAHZb9ys=")</f>
        <v>#VALUE!</v>
      </c>
      <c r="AS214" t="e">
        <f>AND(Sheet1!D2873,"AAAAAHZb9yw=")</f>
        <v>#VALUE!</v>
      </c>
      <c r="AT214" t="e">
        <f>AND(Sheet1!E2873,"AAAAAHZb9y0=")</f>
        <v>#VALUE!</v>
      </c>
      <c r="AU214" t="e">
        <f>AND(Sheet1!F2873,"AAAAAHZb9y4=")</f>
        <v>#VALUE!</v>
      </c>
      <c r="AV214" t="e">
        <f>AND(Sheet1!G2873,"AAAAAHZb9y8=")</f>
        <v>#VALUE!</v>
      </c>
      <c r="AW214" t="e">
        <f>AND(Sheet1!H2873,"AAAAAHZb9zA=")</f>
        <v>#VALUE!</v>
      </c>
      <c r="AX214" t="e">
        <f>AND(Sheet1!I2873,"AAAAAHZb9zE=")</f>
        <v>#VALUE!</v>
      </c>
      <c r="AY214" t="e">
        <f>AND(Sheet1!J2873,"AAAAAHZb9zI=")</f>
        <v>#VALUE!</v>
      </c>
      <c r="AZ214" t="e">
        <f>AND(Sheet1!K2873,"AAAAAHZb9zM=")</f>
        <v>#VALUE!</v>
      </c>
      <c r="BA214" t="e">
        <f>AND(Sheet1!L2873,"AAAAAHZb9zQ=")</f>
        <v>#VALUE!</v>
      </c>
      <c r="BB214" t="e">
        <f>AND(Sheet1!M2873,"AAAAAHZb9zU=")</f>
        <v>#VALUE!</v>
      </c>
      <c r="BC214" t="e">
        <f>AND(Sheet1!N2873,"AAAAAHZb9zY=")</f>
        <v>#VALUE!</v>
      </c>
      <c r="BD214" t="e">
        <f>AND(Sheet1!#REF!,"AAAAAHZb9zc=")</f>
        <v>#REF!</v>
      </c>
      <c r="BE214" t="e">
        <f>AND(Sheet1!#REF!,"AAAAAHZb9zg=")</f>
        <v>#REF!</v>
      </c>
      <c r="BF214" t="e">
        <f>AND(Sheet1!#REF!,"AAAAAHZb9zk=")</f>
        <v>#REF!</v>
      </c>
      <c r="BG214" t="e">
        <f>AND(Sheet1!#REF!,"AAAAAHZb9zo=")</f>
        <v>#REF!</v>
      </c>
      <c r="BH214">
        <f>IF(Sheet1!2874:2874,"AAAAAHZb9zs=",0)</f>
        <v>0</v>
      </c>
      <c r="BI214" t="e">
        <f>AND(Sheet1!A2874,"AAAAAHZb9zw=")</f>
        <v>#VALUE!</v>
      </c>
      <c r="BJ214" t="e">
        <f>AND(Sheet1!B2874,"AAAAAHZb9z0=")</f>
        <v>#VALUE!</v>
      </c>
      <c r="BK214" t="e">
        <f>AND(Sheet1!C2874,"AAAAAHZb9z4=")</f>
        <v>#VALUE!</v>
      </c>
      <c r="BL214" t="e">
        <f>AND(Sheet1!D2874,"AAAAAHZb9z8=")</f>
        <v>#VALUE!</v>
      </c>
      <c r="BM214" t="e">
        <f>AND(Sheet1!E2874,"AAAAAHZb90A=")</f>
        <v>#VALUE!</v>
      </c>
      <c r="BN214" t="e">
        <f>AND(Sheet1!F2874,"AAAAAHZb90E=")</f>
        <v>#VALUE!</v>
      </c>
      <c r="BO214" t="e">
        <f>AND(Sheet1!G2874,"AAAAAHZb90I=")</f>
        <v>#VALUE!</v>
      </c>
      <c r="BP214" t="e">
        <f>AND(Sheet1!H2874,"AAAAAHZb90M=")</f>
        <v>#VALUE!</v>
      </c>
      <c r="BQ214" t="e">
        <f>AND(Sheet1!I2874,"AAAAAHZb90Q=")</f>
        <v>#VALUE!</v>
      </c>
      <c r="BR214" t="e">
        <f>AND(Sheet1!J2874,"AAAAAHZb90U=")</f>
        <v>#VALUE!</v>
      </c>
      <c r="BS214" t="e">
        <f>AND(Sheet1!K2874,"AAAAAHZb90Y=")</f>
        <v>#VALUE!</v>
      </c>
      <c r="BT214" t="e">
        <f>AND(Sheet1!L2874,"AAAAAHZb90c=")</f>
        <v>#VALUE!</v>
      </c>
      <c r="BU214" t="e">
        <f>AND(Sheet1!M2874,"AAAAAHZb90g=")</f>
        <v>#VALUE!</v>
      </c>
      <c r="BV214" t="e">
        <f>AND(Sheet1!N2874,"AAAAAHZb90k=")</f>
        <v>#VALUE!</v>
      </c>
      <c r="BW214" t="e">
        <f>AND(Sheet1!#REF!,"AAAAAHZb90o=")</f>
        <v>#REF!</v>
      </c>
      <c r="BX214" t="e">
        <f>AND(Sheet1!#REF!,"AAAAAHZb90s=")</f>
        <v>#REF!</v>
      </c>
      <c r="BY214" t="e">
        <f>AND(Sheet1!#REF!,"AAAAAHZb90w=")</f>
        <v>#REF!</v>
      </c>
      <c r="BZ214" t="e">
        <f>AND(Sheet1!#REF!,"AAAAAHZb900=")</f>
        <v>#REF!</v>
      </c>
      <c r="CA214">
        <f>IF(Sheet1!2875:2875,"AAAAAHZb904=",0)</f>
        <v>0</v>
      </c>
      <c r="CB214" t="e">
        <f>AND(Sheet1!A2875,"AAAAAHZb908=")</f>
        <v>#VALUE!</v>
      </c>
      <c r="CC214" t="e">
        <f>AND(Sheet1!B2875,"AAAAAHZb91A=")</f>
        <v>#VALUE!</v>
      </c>
      <c r="CD214" t="e">
        <f>AND(Sheet1!C2875,"AAAAAHZb91E=")</f>
        <v>#VALUE!</v>
      </c>
      <c r="CE214" t="e">
        <f>AND(Sheet1!D2875,"AAAAAHZb91I=")</f>
        <v>#VALUE!</v>
      </c>
      <c r="CF214" t="e">
        <f>AND(Sheet1!E2875,"AAAAAHZb91M=")</f>
        <v>#VALUE!</v>
      </c>
      <c r="CG214" t="e">
        <f>AND(Sheet1!F2875,"AAAAAHZb91Q=")</f>
        <v>#VALUE!</v>
      </c>
      <c r="CH214" t="e">
        <f>AND(Sheet1!G2875,"AAAAAHZb91U=")</f>
        <v>#VALUE!</v>
      </c>
      <c r="CI214" t="e">
        <f>AND(Sheet1!H2875,"AAAAAHZb91Y=")</f>
        <v>#VALUE!</v>
      </c>
      <c r="CJ214" t="e">
        <f>AND(Sheet1!I2875,"AAAAAHZb91c=")</f>
        <v>#VALUE!</v>
      </c>
      <c r="CK214" t="e">
        <f>AND(Sheet1!J2875,"AAAAAHZb91g=")</f>
        <v>#VALUE!</v>
      </c>
      <c r="CL214" t="e">
        <f>AND(Sheet1!K2875,"AAAAAHZb91k=")</f>
        <v>#VALUE!</v>
      </c>
      <c r="CM214" t="e">
        <f>AND(Sheet1!L2875,"AAAAAHZb91o=")</f>
        <v>#VALUE!</v>
      </c>
      <c r="CN214" t="e">
        <f>AND(Sheet1!M2875,"AAAAAHZb91s=")</f>
        <v>#VALUE!</v>
      </c>
      <c r="CO214" t="e">
        <f>AND(Sheet1!N2875,"AAAAAHZb91w=")</f>
        <v>#VALUE!</v>
      </c>
      <c r="CP214" t="e">
        <f>AND(Sheet1!#REF!,"AAAAAHZb910=")</f>
        <v>#REF!</v>
      </c>
      <c r="CQ214" t="e">
        <f>AND(Sheet1!#REF!,"AAAAAHZb914=")</f>
        <v>#REF!</v>
      </c>
      <c r="CR214" t="e">
        <f>AND(Sheet1!#REF!,"AAAAAHZb918=")</f>
        <v>#REF!</v>
      </c>
      <c r="CS214" t="e">
        <f>AND(Sheet1!#REF!,"AAAAAHZb92A=")</f>
        <v>#REF!</v>
      </c>
      <c r="CT214">
        <f>IF(Sheet1!2876:2876,"AAAAAHZb92E=",0)</f>
        <v>0</v>
      </c>
      <c r="CU214" t="e">
        <f>AND(Sheet1!A2876,"AAAAAHZb92I=")</f>
        <v>#VALUE!</v>
      </c>
      <c r="CV214" t="e">
        <f>AND(Sheet1!B2876,"AAAAAHZb92M=")</f>
        <v>#VALUE!</v>
      </c>
      <c r="CW214" t="e">
        <f>AND(Sheet1!C2876,"AAAAAHZb92Q=")</f>
        <v>#VALUE!</v>
      </c>
      <c r="CX214" t="e">
        <f>AND(Sheet1!D2876,"AAAAAHZb92U=")</f>
        <v>#VALUE!</v>
      </c>
      <c r="CY214" t="e">
        <f>AND(Sheet1!E2876,"AAAAAHZb92Y=")</f>
        <v>#VALUE!</v>
      </c>
      <c r="CZ214" t="e">
        <f>AND(Sheet1!F2876,"AAAAAHZb92c=")</f>
        <v>#VALUE!</v>
      </c>
      <c r="DA214" t="e">
        <f>AND(Sheet1!G2876,"AAAAAHZb92g=")</f>
        <v>#VALUE!</v>
      </c>
      <c r="DB214" t="e">
        <f>AND(Sheet1!H2876,"AAAAAHZb92k=")</f>
        <v>#VALUE!</v>
      </c>
      <c r="DC214" t="e">
        <f>AND(Sheet1!I2876,"AAAAAHZb92o=")</f>
        <v>#VALUE!</v>
      </c>
      <c r="DD214" t="e">
        <f>AND(Sheet1!J2876,"AAAAAHZb92s=")</f>
        <v>#VALUE!</v>
      </c>
      <c r="DE214" t="e">
        <f>AND(Sheet1!K2876,"AAAAAHZb92w=")</f>
        <v>#VALUE!</v>
      </c>
      <c r="DF214" t="e">
        <f>AND(Sheet1!L2876,"AAAAAHZb920=")</f>
        <v>#VALUE!</v>
      </c>
      <c r="DG214" t="e">
        <f>AND(Sheet1!M2876,"AAAAAHZb924=")</f>
        <v>#VALUE!</v>
      </c>
      <c r="DH214" t="e">
        <f>AND(Sheet1!N2876,"AAAAAHZb928=")</f>
        <v>#VALUE!</v>
      </c>
      <c r="DI214" t="e">
        <f>AND(Sheet1!#REF!,"AAAAAHZb93A=")</f>
        <v>#REF!</v>
      </c>
      <c r="DJ214" t="e">
        <f>AND(Sheet1!#REF!,"AAAAAHZb93E=")</f>
        <v>#REF!</v>
      </c>
      <c r="DK214" t="e">
        <f>AND(Sheet1!#REF!,"AAAAAHZb93I=")</f>
        <v>#REF!</v>
      </c>
      <c r="DL214" t="e">
        <f>AND(Sheet1!#REF!,"AAAAAHZb93M=")</f>
        <v>#REF!</v>
      </c>
      <c r="DM214">
        <f>IF(Sheet1!2877:2877,"AAAAAHZb93Q=",0)</f>
        <v>0</v>
      </c>
      <c r="DN214" t="e">
        <f>AND(Sheet1!A2877,"AAAAAHZb93U=")</f>
        <v>#VALUE!</v>
      </c>
      <c r="DO214" t="e">
        <f>AND(Sheet1!B2877,"AAAAAHZb93Y=")</f>
        <v>#VALUE!</v>
      </c>
      <c r="DP214" t="e">
        <f>AND(Sheet1!C2877,"AAAAAHZb93c=")</f>
        <v>#VALUE!</v>
      </c>
      <c r="DQ214" t="e">
        <f>AND(Sheet1!D2877,"AAAAAHZb93g=")</f>
        <v>#VALUE!</v>
      </c>
      <c r="DR214" t="e">
        <f>AND(Sheet1!E2877,"AAAAAHZb93k=")</f>
        <v>#VALUE!</v>
      </c>
      <c r="DS214" t="e">
        <f>AND(Sheet1!F2877,"AAAAAHZb93o=")</f>
        <v>#VALUE!</v>
      </c>
      <c r="DT214" t="e">
        <f>AND(Sheet1!G2877,"AAAAAHZb93s=")</f>
        <v>#VALUE!</v>
      </c>
      <c r="DU214" t="e">
        <f>AND(Sheet1!H2877,"AAAAAHZb93w=")</f>
        <v>#VALUE!</v>
      </c>
      <c r="DV214" t="e">
        <f>AND(Sheet1!I2877,"AAAAAHZb930=")</f>
        <v>#VALUE!</v>
      </c>
      <c r="DW214" t="e">
        <f>AND(Sheet1!J2877,"AAAAAHZb934=")</f>
        <v>#VALUE!</v>
      </c>
      <c r="DX214" t="e">
        <f>AND(Sheet1!K2877,"AAAAAHZb938=")</f>
        <v>#VALUE!</v>
      </c>
      <c r="DY214" t="e">
        <f>AND(Sheet1!L2877,"AAAAAHZb94A=")</f>
        <v>#VALUE!</v>
      </c>
      <c r="DZ214" t="e">
        <f>AND(Sheet1!M2877,"AAAAAHZb94E=")</f>
        <v>#VALUE!</v>
      </c>
      <c r="EA214" t="e">
        <f>AND(Sheet1!N2877,"AAAAAHZb94I=")</f>
        <v>#VALUE!</v>
      </c>
      <c r="EB214" t="e">
        <f>AND(Sheet1!#REF!,"AAAAAHZb94M=")</f>
        <v>#REF!</v>
      </c>
      <c r="EC214" t="e">
        <f>AND(Sheet1!#REF!,"AAAAAHZb94Q=")</f>
        <v>#REF!</v>
      </c>
      <c r="ED214" t="e">
        <f>AND(Sheet1!#REF!,"AAAAAHZb94U=")</f>
        <v>#REF!</v>
      </c>
      <c r="EE214" t="e">
        <f>AND(Sheet1!#REF!,"AAAAAHZb94Y=")</f>
        <v>#REF!</v>
      </c>
      <c r="EF214">
        <f>IF(Sheet1!2878:2878,"AAAAAHZb94c=",0)</f>
        <v>0</v>
      </c>
      <c r="EG214" t="e">
        <f>AND(Sheet1!A2878,"AAAAAHZb94g=")</f>
        <v>#VALUE!</v>
      </c>
      <c r="EH214" t="e">
        <f>AND(Sheet1!B2878,"AAAAAHZb94k=")</f>
        <v>#VALUE!</v>
      </c>
      <c r="EI214" t="e">
        <f>AND(Sheet1!C2878,"AAAAAHZb94o=")</f>
        <v>#VALUE!</v>
      </c>
      <c r="EJ214" t="e">
        <f>AND(Sheet1!D2878,"AAAAAHZb94s=")</f>
        <v>#VALUE!</v>
      </c>
      <c r="EK214" t="e">
        <f>AND(Sheet1!E2878,"AAAAAHZb94w=")</f>
        <v>#VALUE!</v>
      </c>
      <c r="EL214" t="e">
        <f>AND(Sheet1!F2878,"AAAAAHZb940=")</f>
        <v>#VALUE!</v>
      </c>
      <c r="EM214" t="e">
        <f>AND(Sheet1!G2878,"AAAAAHZb944=")</f>
        <v>#VALUE!</v>
      </c>
      <c r="EN214" t="e">
        <f>AND(Sheet1!H2878,"AAAAAHZb948=")</f>
        <v>#VALUE!</v>
      </c>
      <c r="EO214" t="e">
        <f>AND(Sheet1!I2878,"AAAAAHZb95A=")</f>
        <v>#VALUE!</v>
      </c>
      <c r="EP214" t="e">
        <f>AND(Sheet1!J2878,"AAAAAHZb95E=")</f>
        <v>#VALUE!</v>
      </c>
      <c r="EQ214" t="e">
        <f>AND(Sheet1!K2878,"AAAAAHZb95I=")</f>
        <v>#VALUE!</v>
      </c>
      <c r="ER214" t="e">
        <f>AND(Sheet1!L2878,"AAAAAHZb95M=")</f>
        <v>#VALUE!</v>
      </c>
      <c r="ES214" t="e">
        <f>AND(Sheet1!M2878,"AAAAAHZb95Q=")</f>
        <v>#VALUE!</v>
      </c>
      <c r="ET214" t="e">
        <f>AND(Sheet1!N2878,"AAAAAHZb95U=")</f>
        <v>#VALUE!</v>
      </c>
      <c r="EU214" t="e">
        <f>AND(Sheet1!#REF!,"AAAAAHZb95Y=")</f>
        <v>#REF!</v>
      </c>
      <c r="EV214" t="e">
        <f>AND(Sheet1!#REF!,"AAAAAHZb95c=")</f>
        <v>#REF!</v>
      </c>
      <c r="EW214" t="e">
        <f>AND(Sheet1!#REF!,"AAAAAHZb95g=")</f>
        <v>#REF!</v>
      </c>
      <c r="EX214" t="e">
        <f>AND(Sheet1!#REF!,"AAAAAHZb95k=")</f>
        <v>#REF!</v>
      </c>
      <c r="EY214">
        <f>IF(Sheet1!2879:2879,"AAAAAHZb95o=",0)</f>
        <v>0</v>
      </c>
      <c r="EZ214" t="e">
        <f>AND(Sheet1!A2879,"AAAAAHZb95s=")</f>
        <v>#VALUE!</v>
      </c>
      <c r="FA214" t="e">
        <f>AND(Sheet1!B2879,"AAAAAHZb95w=")</f>
        <v>#VALUE!</v>
      </c>
      <c r="FB214" t="e">
        <f>AND(Sheet1!C2879,"AAAAAHZb950=")</f>
        <v>#VALUE!</v>
      </c>
      <c r="FC214" t="e">
        <f>AND(Sheet1!D2879,"AAAAAHZb954=")</f>
        <v>#VALUE!</v>
      </c>
      <c r="FD214" t="e">
        <f>AND(Sheet1!E2879,"AAAAAHZb958=")</f>
        <v>#VALUE!</v>
      </c>
      <c r="FE214" t="e">
        <f>AND(Sheet1!F2879,"AAAAAHZb96A=")</f>
        <v>#VALUE!</v>
      </c>
      <c r="FF214" t="e">
        <f>AND(Sheet1!G2879,"AAAAAHZb96E=")</f>
        <v>#VALUE!</v>
      </c>
      <c r="FG214" t="e">
        <f>AND(Sheet1!H2879,"AAAAAHZb96I=")</f>
        <v>#VALUE!</v>
      </c>
      <c r="FH214" t="e">
        <f>AND(Sheet1!I2879,"AAAAAHZb96M=")</f>
        <v>#VALUE!</v>
      </c>
      <c r="FI214" t="e">
        <f>AND(Sheet1!J2879,"AAAAAHZb96Q=")</f>
        <v>#VALUE!</v>
      </c>
      <c r="FJ214" t="e">
        <f>AND(Sheet1!K2879,"AAAAAHZb96U=")</f>
        <v>#VALUE!</v>
      </c>
      <c r="FK214" t="e">
        <f>AND(Sheet1!L2879,"AAAAAHZb96Y=")</f>
        <v>#VALUE!</v>
      </c>
      <c r="FL214" t="e">
        <f>AND(Sheet1!M2879,"AAAAAHZb96c=")</f>
        <v>#VALUE!</v>
      </c>
      <c r="FM214" t="e">
        <f>AND(Sheet1!N2879,"AAAAAHZb96g=")</f>
        <v>#VALUE!</v>
      </c>
      <c r="FN214" t="e">
        <f>AND(Sheet1!#REF!,"AAAAAHZb96k=")</f>
        <v>#REF!</v>
      </c>
      <c r="FO214" t="e">
        <f>AND(Sheet1!#REF!,"AAAAAHZb96o=")</f>
        <v>#REF!</v>
      </c>
      <c r="FP214" t="e">
        <f>AND(Sheet1!#REF!,"AAAAAHZb96s=")</f>
        <v>#REF!</v>
      </c>
      <c r="FQ214" t="e">
        <f>AND(Sheet1!#REF!,"AAAAAHZb96w=")</f>
        <v>#REF!</v>
      </c>
      <c r="FR214">
        <f>IF(Sheet1!2880:2880,"AAAAAHZb960=",0)</f>
        <v>0</v>
      </c>
      <c r="FS214" t="e">
        <f>AND(Sheet1!A2880,"AAAAAHZb964=")</f>
        <v>#VALUE!</v>
      </c>
      <c r="FT214" t="e">
        <f>AND(Sheet1!B2880,"AAAAAHZb968=")</f>
        <v>#VALUE!</v>
      </c>
      <c r="FU214" t="e">
        <f>AND(Sheet1!C2880,"AAAAAHZb97A=")</f>
        <v>#VALUE!</v>
      </c>
      <c r="FV214" t="e">
        <f>AND(Sheet1!D2880,"AAAAAHZb97E=")</f>
        <v>#VALUE!</v>
      </c>
      <c r="FW214" t="e">
        <f>AND(Sheet1!E2880,"AAAAAHZb97I=")</f>
        <v>#VALUE!</v>
      </c>
      <c r="FX214" t="e">
        <f>AND(Sheet1!F2880,"AAAAAHZb97M=")</f>
        <v>#VALUE!</v>
      </c>
      <c r="FY214" t="e">
        <f>AND(Sheet1!G2880,"AAAAAHZb97Q=")</f>
        <v>#VALUE!</v>
      </c>
      <c r="FZ214" t="e">
        <f>AND(Sheet1!H2880,"AAAAAHZb97U=")</f>
        <v>#VALUE!</v>
      </c>
      <c r="GA214" t="e">
        <f>AND(Sheet1!I2880,"AAAAAHZb97Y=")</f>
        <v>#VALUE!</v>
      </c>
      <c r="GB214" t="e">
        <f>AND(Sheet1!J2880,"AAAAAHZb97c=")</f>
        <v>#VALUE!</v>
      </c>
      <c r="GC214" t="e">
        <f>AND(Sheet1!K2880,"AAAAAHZb97g=")</f>
        <v>#VALUE!</v>
      </c>
      <c r="GD214" t="e">
        <f>AND(Sheet1!L2880,"AAAAAHZb97k=")</f>
        <v>#VALUE!</v>
      </c>
      <c r="GE214" t="e">
        <f>AND(Sheet1!M2880,"AAAAAHZb97o=")</f>
        <v>#VALUE!</v>
      </c>
      <c r="GF214" t="e">
        <f>AND(Sheet1!N2880,"AAAAAHZb97s=")</f>
        <v>#VALUE!</v>
      </c>
      <c r="GG214" t="e">
        <f>AND(Sheet1!#REF!,"AAAAAHZb97w=")</f>
        <v>#REF!</v>
      </c>
      <c r="GH214" t="e">
        <f>AND(Sheet1!#REF!,"AAAAAHZb970=")</f>
        <v>#REF!</v>
      </c>
      <c r="GI214" t="e">
        <f>AND(Sheet1!#REF!,"AAAAAHZb974=")</f>
        <v>#REF!</v>
      </c>
      <c r="GJ214" t="e">
        <f>AND(Sheet1!#REF!,"AAAAAHZb978=")</f>
        <v>#REF!</v>
      </c>
      <c r="GK214">
        <f>IF(Sheet1!2881:2881,"AAAAAHZb98A=",0)</f>
        <v>0</v>
      </c>
      <c r="GL214" t="e">
        <f>AND(Sheet1!A2881,"AAAAAHZb98E=")</f>
        <v>#VALUE!</v>
      </c>
      <c r="GM214" t="e">
        <f>AND(Sheet1!B2881,"AAAAAHZb98I=")</f>
        <v>#VALUE!</v>
      </c>
      <c r="GN214" t="e">
        <f>AND(Sheet1!C2881,"AAAAAHZb98M=")</f>
        <v>#VALUE!</v>
      </c>
      <c r="GO214" t="e">
        <f>AND(Sheet1!D2881,"AAAAAHZb98Q=")</f>
        <v>#VALUE!</v>
      </c>
      <c r="GP214" t="e">
        <f>AND(Sheet1!E2881,"AAAAAHZb98U=")</f>
        <v>#VALUE!</v>
      </c>
      <c r="GQ214" t="e">
        <f>AND(Sheet1!F2881,"AAAAAHZb98Y=")</f>
        <v>#VALUE!</v>
      </c>
      <c r="GR214" t="e">
        <f>AND(Sheet1!G2881,"AAAAAHZb98c=")</f>
        <v>#VALUE!</v>
      </c>
      <c r="GS214" t="e">
        <f>AND(Sheet1!H2881,"AAAAAHZb98g=")</f>
        <v>#VALUE!</v>
      </c>
      <c r="GT214" t="e">
        <f>AND(Sheet1!I2881,"AAAAAHZb98k=")</f>
        <v>#VALUE!</v>
      </c>
      <c r="GU214" t="e">
        <f>AND(Sheet1!J2881,"AAAAAHZb98o=")</f>
        <v>#VALUE!</v>
      </c>
      <c r="GV214" t="e">
        <f>AND(Sheet1!K2881,"AAAAAHZb98s=")</f>
        <v>#VALUE!</v>
      </c>
      <c r="GW214" t="e">
        <f>AND(Sheet1!L2881,"AAAAAHZb98w=")</f>
        <v>#VALUE!</v>
      </c>
      <c r="GX214" t="e">
        <f>AND(Sheet1!M2881,"AAAAAHZb980=")</f>
        <v>#VALUE!</v>
      </c>
      <c r="GY214" t="e">
        <f>AND(Sheet1!N2881,"AAAAAHZb984=")</f>
        <v>#VALUE!</v>
      </c>
      <c r="GZ214" t="e">
        <f>AND(Sheet1!#REF!,"AAAAAHZb988=")</f>
        <v>#REF!</v>
      </c>
      <c r="HA214" t="e">
        <f>AND(Sheet1!#REF!,"AAAAAHZb99A=")</f>
        <v>#REF!</v>
      </c>
      <c r="HB214" t="e">
        <f>AND(Sheet1!#REF!,"AAAAAHZb99E=")</f>
        <v>#REF!</v>
      </c>
      <c r="HC214" t="e">
        <f>AND(Sheet1!#REF!,"AAAAAHZb99I=")</f>
        <v>#REF!</v>
      </c>
      <c r="HD214">
        <f>IF(Sheet1!2882:2882,"AAAAAHZb99M=",0)</f>
        <v>0</v>
      </c>
      <c r="HE214" t="e">
        <f>AND(Sheet1!A2882,"AAAAAHZb99Q=")</f>
        <v>#VALUE!</v>
      </c>
      <c r="HF214" t="e">
        <f>AND(Sheet1!B2882,"AAAAAHZb99U=")</f>
        <v>#VALUE!</v>
      </c>
      <c r="HG214" t="e">
        <f>AND(Sheet1!C2882,"AAAAAHZb99Y=")</f>
        <v>#VALUE!</v>
      </c>
      <c r="HH214" t="e">
        <f>AND(Sheet1!D2882,"AAAAAHZb99c=")</f>
        <v>#VALUE!</v>
      </c>
      <c r="HI214" t="e">
        <f>AND(Sheet1!E2882,"AAAAAHZb99g=")</f>
        <v>#VALUE!</v>
      </c>
      <c r="HJ214" t="e">
        <f>AND(Sheet1!F2882,"AAAAAHZb99k=")</f>
        <v>#VALUE!</v>
      </c>
      <c r="HK214" t="e">
        <f>AND(Sheet1!G2882,"AAAAAHZb99o=")</f>
        <v>#VALUE!</v>
      </c>
      <c r="HL214" t="e">
        <f>AND(Sheet1!H2882,"AAAAAHZb99s=")</f>
        <v>#VALUE!</v>
      </c>
      <c r="HM214" t="e">
        <f>AND(Sheet1!I2882,"AAAAAHZb99w=")</f>
        <v>#VALUE!</v>
      </c>
      <c r="HN214" t="e">
        <f>AND(Sheet1!J2882,"AAAAAHZb990=")</f>
        <v>#VALUE!</v>
      </c>
      <c r="HO214" t="e">
        <f>AND(Sheet1!K2882,"AAAAAHZb994=")</f>
        <v>#VALUE!</v>
      </c>
      <c r="HP214" t="e">
        <f>AND(Sheet1!L2882,"AAAAAHZb998=")</f>
        <v>#VALUE!</v>
      </c>
      <c r="HQ214" t="e">
        <f>AND(Sheet1!M2882,"AAAAAHZb9+A=")</f>
        <v>#VALUE!</v>
      </c>
      <c r="HR214" t="e">
        <f>AND(Sheet1!N2882,"AAAAAHZb9+E=")</f>
        <v>#VALUE!</v>
      </c>
      <c r="HS214" t="e">
        <f>AND(Sheet1!#REF!,"AAAAAHZb9+I=")</f>
        <v>#REF!</v>
      </c>
      <c r="HT214" t="e">
        <f>AND(Sheet1!#REF!,"AAAAAHZb9+M=")</f>
        <v>#REF!</v>
      </c>
      <c r="HU214" t="e">
        <f>AND(Sheet1!#REF!,"AAAAAHZb9+Q=")</f>
        <v>#REF!</v>
      </c>
      <c r="HV214" t="e">
        <f>AND(Sheet1!#REF!,"AAAAAHZb9+U=")</f>
        <v>#REF!</v>
      </c>
      <c r="HW214">
        <f>IF(Sheet1!2883:2883,"AAAAAHZb9+Y=",0)</f>
        <v>0</v>
      </c>
      <c r="HX214" t="e">
        <f>AND(Sheet1!A2883,"AAAAAHZb9+c=")</f>
        <v>#VALUE!</v>
      </c>
      <c r="HY214" t="e">
        <f>AND(Sheet1!B2883,"AAAAAHZb9+g=")</f>
        <v>#VALUE!</v>
      </c>
      <c r="HZ214" t="e">
        <f>AND(Sheet1!C2883,"AAAAAHZb9+k=")</f>
        <v>#VALUE!</v>
      </c>
      <c r="IA214" t="e">
        <f>AND(Sheet1!D2883,"AAAAAHZb9+o=")</f>
        <v>#VALUE!</v>
      </c>
      <c r="IB214" t="e">
        <f>AND(Sheet1!E2883,"AAAAAHZb9+s=")</f>
        <v>#VALUE!</v>
      </c>
      <c r="IC214" t="e">
        <f>AND(Sheet1!F2883,"AAAAAHZb9+w=")</f>
        <v>#VALUE!</v>
      </c>
      <c r="ID214" t="e">
        <f>AND(Sheet1!G2883,"AAAAAHZb9+0=")</f>
        <v>#VALUE!</v>
      </c>
      <c r="IE214" t="e">
        <f>AND(Sheet1!H2883,"AAAAAHZb9+4=")</f>
        <v>#VALUE!</v>
      </c>
      <c r="IF214" t="e">
        <f>AND(Sheet1!I2883,"AAAAAHZb9+8=")</f>
        <v>#VALUE!</v>
      </c>
      <c r="IG214" t="e">
        <f>AND(Sheet1!J2883,"AAAAAHZb9/A=")</f>
        <v>#VALUE!</v>
      </c>
      <c r="IH214" t="e">
        <f>AND(Sheet1!K2883,"AAAAAHZb9/E=")</f>
        <v>#VALUE!</v>
      </c>
      <c r="II214" t="e">
        <f>AND(Sheet1!L2883,"AAAAAHZb9/I=")</f>
        <v>#VALUE!</v>
      </c>
      <c r="IJ214" t="e">
        <f>AND(Sheet1!M2883,"AAAAAHZb9/M=")</f>
        <v>#VALUE!</v>
      </c>
      <c r="IK214" t="e">
        <f>AND(Sheet1!N2883,"AAAAAHZb9/Q=")</f>
        <v>#VALUE!</v>
      </c>
      <c r="IL214" t="e">
        <f>AND(Sheet1!#REF!,"AAAAAHZb9/U=")</f>
        <v>#REF!</v>
      </c>
      <c r="IM214" t="e">
        <f>AND(Sheet1!#REF!,"AAAAAHZb9/Y=")</f>
        <v>#REF!</v>
      </c>
      <c r="IN214" t="e">
        <f>AND(Sheet1!#REF!,"AAAAAHZb9/c=")</f>
        <v>#REF!</v>
      </c>
      <c r="IO214" t="e">
        <f>AND(Sheet1!#REF!,"AAAAAHZb9/g=")</f>
        <v>#REF!</v>
      </c>
      <c r="IP214">
        <f>IF(Sheet1!2884:2884,"AAAAAHZb9/k=",0)</f>
        <v>0</v>
      </c>
      <c r="IQ214" t="e">
        <f>AND(Sheet1!A2884,"AAAAAHZb9/o=")</f>
        <v>#VALUE!</v>
      </c>
      <c r="IR214" t="e">
        <f>AND(Sheet1!B2884,"AAAAAHZb9/s=")</f>
        <v>#VALUE!</v>
      </c>
      <c r="IS214" t="e">
        <f>AND(Sheet1!C2884,"AAAAAHZb9/w=")</f>
        <v>#VALUE!</v>
      </c>
      <c r="IT214" t="e">
        <f>AND(Sheet1!D2884,"AAAAAHZb9/0=")</f>
        <v>#VALUE!</v>
      </c>
      <c r="IU214" t="e">
        <f>AND(Sheet1!E2884,"AAAAAHZb9/4=")</f>
        <v>#VALUE!</v>
      </c>
      <c r="IV214" t="e">
        <f>AND(Sheet1!F2884,"AAAAAHZb9/8=")</f>
        <v>#VALUE!</v>
      </c>
    </row>
    <row r="215" spans="1:256" x14ac:dyDescent="0.2">
      <c r="A215" t="e">
        <f>AND(Sheet1!G2884,"AAAAAAZ66QA=")</f>
        <v>#VALUE!</v>
      </c>
      <c r="B215" t="e">
        <f>AND(Sheet1!H2884,"AAAAAAZ66QE=")</f>
        <v>#VALUE!</v>
      </c>
      <c r="C215" t="e">
        <f>AND(Sheet1!I2884,"AAAAAAZ66QI=")</f>
        <v>#VALUE!</v>
      </c>
      <c r="D215" t="e">
        <f>AND(Sheet1!J2884,"AAAAAAZ66QM=")</f>
        <v>#VALUE!</v>
      </c>
      <c r="E215" t="e">
        <f>AND(Sheet1!K2884,"AAAAAAZ66QQ=")</f>
        <v>#VALUE!</v>
      </c>
      <c r="F215" t="e">
        <f>AND(Sheet1!L2884,"AAAAAAZ66QU=")</f>
        <v>#VALUE!</v>
      </c>
      <c r="G215" t="e">
        <f>AND(Sheet1!M2884,"AAAAAAZ66QY=")</f>
        <v>#VALUE!</v>
      </c>
      <c r="H215" t="e">
        <f>AND(Sheet1!N2884,"AAAAAAZ66Qc=")</f>
        <v>#VALUE!</v>
      </c>
      <c r="I215" t="e">
        <f>AND(Sheet1!#REF!,"AAAAAAZ66Qg=")</f>
        <v>#REF!</v>
      </c>
      <c r="J215" t="e">
        <f>AND(Sheet1!#REF!,"AAAAAAZ66Qk=")</f>
        <v>#REF!</v>
      </c>
      <c r="K215" t="e">
        <f>AND(Sheet1!#REF!,"AAAAAAZ66Qo=")</f>
        <v>#REF!</v>
      </c>
      <c r="L215" t="e">
        <f>AND(Sheet1!#REF!,"AAAAAAZ66Qs=")</f>
        <v>#REF!</v>
      </c>
      <c r="M215" t="str">
        <f>IF(Sheet1!2885:2885,"AAAAAAZ66Qw=",0)</f>
        <v>AAAAAAZ66Qw=</v>
      </c>
      <c r="N215" t="e">
        <f>AND(Sheet1!A2885,"AAAAAAZ66Q0=")</f>
        <v>#VALUE!</v>
      </c>
      <c r="O215" t="e">
        <f>AND(Sheet1!B2885,"AAAAAAZ66Q4=")</f>
        <v>#VALUE!</v>
      </c>
      <c r="P215" t="e">
        <f>AND(Sheet1!C2885,"AAAAAAZ66Q8=")</f>
        <v>#VALUE!</v>
      </c>
      <c r="Q215" t="e">
        <f>AND(Sheet1!D2885,"AAAAAAZ66RA=")</f>
        <v>#VALUE!</v>
      </c>
      <c r="R215" t="e">
        <f>AND(Sheet1!E2885,"AAAAAAZ66RE=")</f>
        <v>#VALUE!</v>
      </c>
      <c r="S215" t="e">
        <f>AND(Sheet1!F2885,"AAAAAAZ66RI=")</f>
        <v>#VALUE!</v>
      </c>
      <c r="T215" t="e">
        <f>AND(Sheet1!G2885,"AAAAAAZ66RM=")</f>
        <v>#VALUE!</v>
      </c>
      <c r="U215" t="e">
        <f>AND(Sheet1!H2885,"AAAAAAZ66RQ=")</f>
        <v>#VALUE!</v>
      </c>
      <c r="V215" t="e">
        <f>AND(Sheet1!I2885,"AAAAAAZ66RU=")</f>
        <v>#VALUE!</v>
      </c>
      <c r="W215" t="e">
        <f>AND(Sheet1!J2885,"AAAAAAZ66RY=")</f>
        <v>#VALUE!</v>
      </c>
      <c r="X215" t="e">
        <f>AND(Sheet1!K2885,"AAAAAAZ66Rc=")</f>
        <v>#VALUE!</v>
      </c>
      <c r="Y215" t="e">
        <f>AND(Sheet1!L2885,"AAAAAAZ66Rg=")</f>
        <v>#VALUE!</v>
      </c>
      <c r="Z215" t="e">
        <f>AND(Sheet1!M2885,"AAAAAAZ66Rk=")</f>
        <v>#VALUE!</v>
      </c>
      <c r="AA215" t="e">
        <f>AND(Sheet1!N2885,"AAAAAAZ66Ro=")</f>
        <v>#VALUE!</v>
      </c>
      <c r="AB215" t="e">
        <f>AND(Sheet1!#REF!,"AAAAAAZ66Rs=")</f>
        <v>#REF!</v>
      </c>
      <c r="AC215" t="e">
        <f>AND(Sheet1!#REF!,"AAAAAAZ66Rw=")</f>
        <v>#REF!</v>
      </c>
      <c r="AD215" t="e">
        <f>AND(Sheet1!#REF!,"AAAAAAZ66R0=")</f>
        <v>#REF!</v>
      </c>
      <c r="AE215" t="e">
        <f>AND(Sheet1!#REF!,"AAAAAAZ66R4=")</f>
        <v>#REF!</v>
      </c>
      <c r="AF215">
        <f>IF(Sheet1!2886:2886,"AAAAAAZ66R8=",0)</f>
        <v>0</v>
      </c>
      <c r="AG215" t="e">
        <f>AND(Sheet1!A2886,"AAAAAAZ66SA=")</f>
        <v>#VALUE!</v>
      </c>
      <c r="AH215" t="e">
        <f>AND(Sheet1!B2886,"AAAAAAZ66SE=")</f>
        <v>#VALUE!</v>
      </c>
      <c r="AI215" t="e">
        <f>AND(Sheet1!C2886,"AAAAAAZ66SI=")</f>
        <v>#VALUE!</v>
      </c>
      <c r="AJ215" t="e">
        <f>AND(Sheet1!D2886,"AAAAAAZ66SM=")</f>
        <v>#VALUE!</v>
      </c>
      <c r="AK215" t="e">
        <f>AND(Sheet1!E2886,"AAAAAAZ66SQ=")</f>
        <v>#VALUE!</v>
      </c>
      <c r="AL215" t="e">
        <f>AND(Sheet1!F2886,"AAAAAAZ66SU=")</f>
        <v>#VALUE!</v>
      </c>
      <c r="AM215" t="e">
        <f>AND(Sheet1!G2886,"AAAAAAZ66SY=")</f>
        <v>#VALUE!</v>
      </c>
      <c r="AN215" t="e">
        <f>AND(Sheet1!H2886,"AAAAAAZ66Sc=")</f>
        <v>#VALUE!</v>
      </c>
      <c r="AO215" t="e">
        <f>AND(Sheet1!I2886,"AAAAAAZ66Sg=")</f>
        <v>#VALUE!</v>
      </c>
      <c r="AP215" t="e">
        <f>AND(Sheet1!J2886,"AAAAAAZ66Sk=")</f>
        <v>#VALUE!</v>
      </c>
      <c r="AQ215" t="e">
        <f>AND(Sheet1!K2886,"AAAAAAZ66So=")</f>
        <v>#VALUE!</v>
      </c>
      <c r="AR215" t="e">
        <f>AND(Sheet1!L2886,"AAAAAAZ66Ss=")</f>
        <v>#VALUE!</v>
      </c>
      <c r="AS215" t="e">
        <f>AND(Sheet1!M2886,"AAAAAAZ66Sw=")</f>
        <v>#VALUE!</v>
      </c>
      <c r="AT215" t="e">
        <f>AND(Sheet1!N2886,"AAAAAAZ66S0=")</f>
        <v>#VALUE!</v>
      </c>
      <c r="AU215" t="e">
        <f>AND(Sheet1!#REF!,"AAAAAAZ66S4=")</f>
        <v>#REF!</v>
      </c>
      <c r="AV215" t="e">
        <f>AND(Sheet1!#REF!,"AAAAAAZ66S8=")</f>
        <v>#REF!</v>
      </c>
      <c r="AW215" t="e">
        <f>AND(Sheet1!#REF!,"AAAAAAZ66TA=")</f>
        <v>#REF!</v>
      </c>
      <c r="AX215" t="e">
        <f>AND(Sheet1!#REF!,"AAAAAAZ66TE=")</f>
        <v>#REF!</v>
      </c>
      <c r="AY215">
        <f>IF(Sheet1!2887:2887,"AAAAAAZ66TI=",0)</f>
        <v>0</v>
      </c>
      <c r="AZ215" t="e">
        <f>AND(Sheet1!A2887,"AAAAAAZ66TM=")</f>
        <v>#VALUE!</v>
      </c>
      <c r="BA215" t="e">
        <f>AND(Sheet1!B2887,"AAAAAAZ66TQ=")</f>
        <v>#VALUE!</v>
      </c>
      <c r="BB215" t="e">
        <f>AND(Sheet1!C2887,"AAAAAAZ66TU=")</f>
        <v>#VALUE!</v>
      </c>
      <c r="BC215" t="e">
        <f>AND(Sheet1!D2887,"AAAAAAZ66TY=")</f>
        <v>#VALUE!</v>
      </c>
      <c r="BD215" t="e">
        <f>AND(Sheet1!E2887,"AAAAAAZ66Tc=")</f>
        <v>#VALUE!</v>
      </c>
      <c r="BE215" t="e">
        <f>AND(Sheet1!F2887,"AAAAAAZ66Tg=")</f>
        <v>#VALUE!</v>
      </c>
      <c r="BF215" t="e">
        <f>AND(Sheet1!G2887,"AAAAAAZ66Tk=")</f>
        <v>#VALUE!</v>
      </c>
      <c r="BG215" t="e">
        <f>AND(Sheet1!H2887,"AAAAAAZ66To=")</f>
        <v>#VALUE!</v>
      </c>
      <c r="BH215" t="e">
        <f>AND(Sheet1!I2887,"AAAAAAZ66Ts=")</f>
        <v>#VALUE!</v>
      </c>
      <c r="BI215" t="e">
        <f>AND(Sheet1!J2887,"AAAAAAZ66Tw=")</f>
        <v>#VALUE!</v>
      </c>
      <c r="BJ215" t="e">
        <f>AND(Sheet1!K2887,"AAAAAAZ66T0=")</f>
        <v>#VALUE!</v>
      </c>
      <c r="BK215" t="e">
        <f>AND(Sheet1!L2887,"AAAAAAZ66T4=")</f>
        <v>#VALUE!</v>
      </c>
      <c r="BL215" t="e">
        <f>AND(Sheet1!M2887,"AAAAAAZ66T8=")</f>
        <v>#VALUE!</v>
      </c>
      <c r="BM215" t="e">
        <f>AND(Sheet1!N2887,"AAAAAAZ66UA=")</f>
        <v>#VALUE!</v>
      </c>
      <c r="BN215" t="e">
        <f>AND(Sheet1!#REF!,"AAAAAAZ66UE=")</f>
        <v>#REF!</v>
      </c>
      <c r="BO215" t="e">
        <f>AND(Sheet1!#REF!,"AAAAAAZ66UI=")</f>
        <v>#REF!</v>
      </c>
      <c r="BP215" t="e">
        <f>AND(Sheet1!#REF!,"AAAAAAZ66UM=")</f>
        <v>#REF!</v>
      </c>
      <c r="BQ215" t="e">
        <f>AND(Sheet1!#REF!,"AAAAAAZ66UQ=")</f>
        <v>#REF!</v>
      </c>
      <c r="BR215">
        <f>IF(Sheet1!2888:2888,"AAAAAAZ66UU=",0)</f>
        <v>0</v>
      </c>
      <c r="BS215" t="e">
        <f>AND(Sheet1!A2888,"AAAAAAZ66UY=")</f>
        <v>#VALUE!</v>
      </c>
      <c r="BT215" t="e">
        <f>AND(Sheet1!B2888,"AAAAAAZ66Uc=")</f>
        <v>#VALUE!</v>
      </c>
      <c r="BU215" t="e">
        <f>AND(Sheet1!C2888,"AAAAAAZ66Ug=")</f>
        <v>#VALUE!</v>
      </c>
      <c r="BV215" t="e">
        <f>AND(Sheet1!D2888,"AAAAAAZ66Uk=")</f>
        <v>#VALUE!</v>
      </c>
      <c r="BW215" t="e">
        <f>AND(Sheet1!E2888,"AAAAAAZ66Uo=")</f>
        <v>#VALUE!</v>
      </c>
      <c r="BX215" t="e">
        <f>AND(Sheet1!F2888,"AAAAAAZ66Us=")</f>
        <v>#VALUE!</v>
      </c>
      <c r="BY215" t="e">
        <f>AND(Sheet1!G2888,"AAAAAAZ66Uw=")</f>
        <v>#VALUE!</v>
      </c>
      <c r="BZ215" t="e">
        <f>AND(Sheet1!H2888,"AAAAAAZ66U0=")</f>
        <v>#VALUE!</v>
      </c>
      <c r="CA215" t="e">
        <f>AND(Sheet1!I2888,"AAAAAAZ66U4=")</f>
        <v>#VALUE!</v>
      </c>
      <c r="CB215" t="e">
        <f>AND(Sheet1!J2888,"AAAAAAZ66U8=")</f>
        <v>#VALUE!</v>
      </c>
      <c r="CC215" t="e">
        <f>AND(Sheet1!K2888,"AAAAAAZ66VA=")</f>
        <v>#VALUE!</v>
      </c>
      <c r="CD215" t="e">
        <f>AND(Sheet1!L2888,"AAAAAAZ66VE=")</f>
        <v>#VALUE!</v>
      </c>
      <c r="CE215" t="e">
        <f>AND(Sheet1!M2888,"AAAAAAZ66VI=")</f>
        <v>#VALUE!</v>
      </c>
      <c r="CF215" t="e">
        <f>AND(Sheet1!N2888,"AAAAAAZ66VM=")</f>
        <v>#VALUE!</v>
      </c>
      <c r="CG215" t="e">
        <f>AND(Sheet1!#REF!,"AAAAAAZ66VQ=")</f>
        <v>#REF!</v>
      </c>
      <c r="CH215" t="e">
        <f>AND(Sheet1!#REF!,"AAAAAAZ66VU=")</f>
        <v>#REF!</v>
      </c>
      <c r="CI215" t="e">
        <f>AND(Sheet1!#REF!,"AAAAAAZ66VY=")</f>
        <v>#REF!</v>
      </c>
      <c r="CJ215" t="e">
        <f>AND(Sheet1!#REF!,"AAAAAAZ66Vc=")</f>
        <v>#REF!</v>
      </c>
      <c r="CK215">
        <f>IF(Sheet1!2889:2889,"AAAAAAZ66Vg=",0)</f>
        <v>0</v>
      </c>
      <c r="CL215" t="e">
        <f>AND(Sheet1!A2889,"AAAAAAZ66Vk=")</f>
        <v>#VALUE!</v>
      </c>
      <c r="CM215" t="e">
        <f>AND(Sheet1!B2889,"AAAAAAZ66Vo=")</f>
        <v>#VALUE!</v>
      </c>
      <c r="CN215" t="e">
        <f>AND(Sheet1!C2889,"AAAAAAZ66Vs=")</f>
        <v>#VALUE!</v>
      </c>
      <c r="CO215" t="e">
        <f>AND(Sheet1!D2889,"AAAAAAZ66Vw=")</f>
        <v>#VALUE!</v>
      </c>
      <c r="CP215" t="e">
        <f>AND(Sheet1!E2889,"AAAAAAZ66V0=")</f>
        <v>#VALUE!</v>
      </c>
      <c r="CQ215" t="e">
        <f>AND(Sheet1!F2889,"AAAAAAZ66V4=")</f>
        <v>#VALUE!</v>
      </c>
      <c r="CR215" t="e">
        <f>AND(Sheet1!G2889,"AAAAAAZ66V8=")</f>
        <v>#VALUE!</v>
      </c>
      <c r="CS215" t="e">
        <f>AND(Sheet1!H2889,"AAAAAAZ66WA=")</f>
        <v>#VALUE!</v>
      </c>
      <c r="CT215" t="e">
        <f>AND(Sheet1!I2889,"AAAAAAZ66WE=")</f>
        <v>#VALUE!</v>
      </c>
      <c r="CU215" t="e">
        <f>AND(Sheet1!J2889,"AAAAAAZ66WI=")</f>
        <v>#VALUE!</v>
      </c>
      <c r="CV215" t="e">
        <f>AND(Sheet1!K2889,"AAAAAAZ66WM=")</f>
        <v>#VALUE!</v>
      </c>
      <c r="CW215" t="e">
        <f>AND(Sheet1!L2889,"AAAAAAZ66WQ=")</f>
        <v>#VALUE!</v>
      </c>
      <c r="CX215" t="e">
        <f>AND(Sheet1!M2889,"AAAAAAZ66WU=")</f>
        <v>#VALUE!</v>
      </c>
      <c r="CY215" t="e">
        <f>AND(Sheet1!N2889,"AAAAAAZ66WY=")</f>
        <v>#VALUE!</v>
      </c>
      <c r="CZ215" t="e">
        <f>AND(Sheet1!#REF!,"AAAAAAZ66Wc=")</f>
        <v>#REF!</v>
      </c>
      <c r="DA215" t="e">
        <f>AND(Sheet1!#REF!,"AAAAAAZ66Wg=")</f>
        <v>#REF!</v>
      </c>
      <c r="DB215" t="e">
        <f>AND(Sheet1!#REF!,"AAAAAAZ66Wk=")</f>
        <v>#REF!</v>
      </c>
      <c r="DC215" t="e">
        <f>AND(Sheet1!#REF!,"AAAAAAZ66Wo=")</f>
        <v>#REF!</v>
      </c>
      <c r="DD215">
        <f>IF(Sheet1!2890:2890,"AAAAAAZ66Ws=",0)</f>
        <v>0</v>
      </c>
      <c r="DE215" t="e">
        <f>AND(Sheet1!A2890,"AAAAAAZ66Ww=")</f>
        <v>#VALUE!</v>
      </c>
      <c r="DF215" t="e">
        <f>AND(Sheet1!B2890,"AAAAAAZ66W0=")</f>
        <v>#VALUE!</v>
      </c>
      <c r="DG215" t="e">
        <f>AND(Sheet1!C2890,"AAAAAAZ66W4=")</f>
        <v>#VALUE!</v>
      </c>
      <c r="DH215" t="e">
        <f>AND(Sheet1!D2890,"AAAAAAZ66W8=")</f>
        <v>#VALUE!</v>
      </c>
      <c r="DI215" t="e">
        <f>AND(Sheet1!E2890,"AAAAAAZ66XA=")</f>
        <v>#VALUE!</v>
      </c>
      <c r="DJ215" t="e">
        <f>AND(Sheet1!F2890,"AAAAAAZ66XE=")</f>
        <v>#VALUE!</v>
      </c>
      <c r="DK215" t="e">
        <f>AND(Sheet1!G2890,"AAAAAAZ66XI=")</f>
        <v>#VALUE!</v>
      </c>
      <c r="DL215" t="e">
        <f>AND(Sheet1!H2890,"AAAAAAZ66XM=")</f>
        <v>#VALUE!</v>
      </c>
      <c r="DM215" t="e">
        <f>AND(Sheet1!I2890,"AAAAAAZ66XQ=")</f>
        <v>#VALUE!</v>
      </c>
      <c r="DN215" t="e">
        <f>AND(Sheet1!J2890,"AAAAAAZ66XU=")</f>
        <v>#VALUE!</v>
      </c>
      <c r="DO215" t="e">
        <f>AND(Sheet1!K2890,"AAAAAAZ66XY=")</f>
        <v>#VALUE!</v>
      </c>
      <c r="DP215" t="e">
        <f>AND(Sheet1!L2890,"AAAAAAZ66Xc=")</f>
        <v>#VALUE!</v>
      </c>
      <c r="DQ215" t="e">
        <f>AND(Sheet1!M2890,"AAAAAAZ66Xg=")</f>
        <v>#VALUE!</v>
      </c>
      <c r="DR215" t="e">
        <f>AND(Sheet1!N2890,"AAAAAAZ66Xk=")</f>
        <v>#VALUE!</v>
      </c>
      <c r="DS215" t="e">
        <f>AND(Sheet1!#REF!,"AAAAAAZ66Xo=")</f>
        <v>#REF!</v>
      </c>
      <c r="DT215" t="e">
        <f>AND(Sheet1!#REF!,"AAAAAAZ66Xs=")</f>
        <v>#REF!</v>
      </c>
      <c r="DU215" t="e">
        <f>AND(Sheet1!#REF!,"AAAAAAZ66Xw=")</f>
        <v>#REF!</v>
      </c>
      <c r="DV215" t="e">
        <f>AND(Sheet1!#REF!,"AAAAAAZ66X0=")</f>
        <v>#REF!</v>
      </c>
      <c r="DW215">
        <f>IF(Sheet1!2891:2891,"AAAAAAZ66X4=",0)</f>
        <v>0</v>
      </c>
      <c r="DX215" t="e">
        <f>AND(Sheet1!A2891,"AAAAAAZ66X8=")</f>
        <v>#VALUE!</v>
      </c>
      <c r="DY215" t="e">
        <f>AND(Sheet1!B2891,"AAAAAAZ66YA=")</f>
        <v>#VALUE!</v>
      </c>
      <c r="DZ215" t="e">
        <f>AND(Sheet1!C2891,"AAAAAAZ66YE=")</f>
        <v>#VALUE!</v>
      </c>
      <c r="EA215" t="e">
        <f>AND(Sheet1!D2891,"AAAAAAZ66YI=")</f>
        <v>#VALUE!</v>
      </c>
      <c r="EB215" t="e">
        <f>AND(Sheet1!E2891,"AAAAAAZ66YM=")</f>
        <v>#VALUE!</v>
      </c>
      <c r="EC215" t="e">
        <f>AND(Sheet1!F2891,"AAAAAAZ66YQ=")</f>
        <v>#VALUE!</v>
      </c>
      <c r="ED215" t="e">
        <f>AND(Sheet1!G2891,"AAAAAAZ66YU=")</f>
        <v>#VALUE!</v>
      </c>
      <c r="EE215" t="e">
        <f>AND(Sheet1!H2891,"AAAAAAZ66YY=")</f>
        <v>#VALUE!</v>
      </c>
      <c r="EF215" t="e">
        <f>AND(Sheet1!I2891,"AAAAAAZ66Yc=")</f>
        <v>#VALUE!</v>
      </c>
      <c r="EG215" t="e">
        <f>AND(Sheet1!J2891,"AAAAAAZ66Yg=")</f>
        <v>#VALUE!</v>
      </c>
      <c r="EH215" t="e">
        <f>AND(Sheet1!K2891,"AAAAAAZ66Yk=")</f>
        <v>#VALUE!</v>
      </c>
      <c r="EI215" t="e">
        <f>AND(Sheet1!L2891,"AAAAAAZ66Yo=")</f>
        <v>#VALUE!</v>
      </c>
      <c r="EJ215" t="e">
        <f>AND(Sheet1!M2891,"AAAAAAZ66Ys=")</f>
        <v>#VALUE!</v>
      </c>
      <c r="EK215" t="e">
        <f>AND(Sheet1!N2891,"AAAAAAZ66Yw=")</f>
        <v>#VALUE!</v>
      </c>
      <c r="EL215" t="e">
        <f>AND(Sheet1!#REF!,"AAAAAAZ66Y0=")</f>
        <v>#REF!</v>
      </c>
      <c r="EM215" t="e">
        <f>AND(Sheet1!#REF!,"AAAAAAZ66Y4=")</f>
        <v>#REF!</v>
      </c>
      <c r="EN215" t="e">
        <f>AND(Sheet1!#REF!,"AAAAAAZ66Y8=")</f>
        <v>#REF!</v>
      </c>
      <c r="EO215" t="e">
        <f>AND(Sheet1!#REF!,"AAAAAAZ66ZA=")</f>
        <v>#REF!</v>
      </c>
      <c r="EP215">
        <f>IF(Sheet1!2892:2892,"AAAAAAZ66ZE=",0)</f>
        <v>0</v>
      </c>
      <c r="EQ215" t="e">
        <f>AND(Sheet1!A2892,"AAAAAAZ66ZI=")</f>
        <v>#VALUE!</v>
      </c>
      <c r="ER215" t="e">
        <f>AND(Sheet1!B2892,"AAAAAAZ66ZM=")</f>
        <v>#VALUE!</v>
      </c>
      <c r="ES215" t="e">
        <f>AND(Sheet1!C2892,"AAAAAAZ66ZQ=")</f>
        <v>#VALUE!</v>
      </c>
      <c r="ET215" t="e">
        <f>AND(Sheet1!D2892,"AAAAAAZ66ZU=")</f>
        <v>#VALUE!</v>
      </c>
      <c r="EU215" t="e">
        <f>AND(Sheet1!E2892,"AAAAAAZ66ZY=")</f>
        <v>#VALUE!</v>
      </c>
      <c r="EV215" t="e">
        <f>AND(Sheet1!F2892,"AAAAAAZ66Zc=")</f>
        <v>#VALUE!</v>
      </c>
      <c r="EW215" t="e">
        <f>AND(Sheet1!G2892,"AAAAAAZ66Zg=")</f>
        <v>#VALUE!</v>
      </c>
      <c r="EX215" t="e">
        <f>AND(Sheet1!H2892,"AAAAAAZ66Zk=")</f>
        <v>#VALUE!</v>
      </c>
      <c r="EY215" t="e">
        <f>AND(Sheet1!I2892,"AAAAAAZ66Zo=")</f>
        <v>#VALUE!</v>
      </c>
      <c r="EZ215" t="e">
        <f>AND(Sheet1!J2892,"AAAAAAZ66Zs=")</f>
        <v>#VALUE!</v>
      </c>
      <c r="FA215" t="e">
        <f>AND(Sheet1!K2892,"AAAAAAZ66Zw=")</f>
        <v>#VALUE!</v>
      </c>
      <c r="FB215" t="e">
        <f>AND(Sheet1!L2892,"AAAAAAZ66Z0=")</f>
        <v>#VALUE!</v>
      </c>
      <c r="FC215" t="e">
        <f>AND(Sheet1!M2892,"AAAAAAZ66Z4=")</f>
        <v>#VALUE!</v>
      </c>
      <c r="FD215" t="e">
        <f>AND(Sheet1!N2892,"AAAAAAZ66Z8=")</f>
        <v>#VALUE!</v>
      </c>
      <c r="FE215" t="e">
        <f>AND(Sheet1!#REF!,"AAAAAAZ66aA=")</f>
        <v>#REF!</v>
      </c>
      <c r="FF215" t="e">
        <f>AND(Sheet1!#REF!,"AAAAAAZ66aE=")</f>
        <v>#REF!</v>
      </c>
      <c r="FG215" t="e">
        <f>AND(Sheet1!#REF!,"AAAAAAZ66aI=")</f>
        <v>#REF!</v>
      </c>
      <c r="FH215" t="e">
        <f>AND(Sheet1!#REF!,"AAAAAAZ66aM=")</f>
        <v>#REF!</v>
      </c>
      <c r="FI215">
        <f>IF(Sheet1!2893:2893,"AAAAAAZ66aQ=",0)</f>
        <v>0</v>
      </c>
      <c r="FJ215" t="e">
        <f>AND(Sheet1!A2893,"AAAAAAZ66aU=")</f>
        <v>#VALUE!</v>
      </c>
      <c r="FK215" t="e">
        <f>AND(Sheet1!B2893,"AAAAAAZ66aY=")</f>
        <v>#VALUE!</v>
      </c>
      <c r="FL215" t="e">
        <f>AND(Sheet1!C2893,"AAAAAAZ66ac=")</f>
        <v>#VALUE!</v>
      </c>
      <c r="FM215" t="e">
        <f>AND(Sheet1!D2893,"AAAAAAZ66ag=")</f>
        <v>#VALUE!</v>
      </c>
      <c r="FN215" t="e">
        <f>AND(Sheet1!E2893,"AAAAAAZ66ak=")</f>
        <v>#VALUE!</v>
      </c>
      <c r="FO215" t="e">
        <f>AND(Sheet1!F2893,"AAAAAAZ66ao=")</f>
        <v>#VALUE!</v>
      </c>
      <c r="FP215" t="e">
        <f>AND(Sheet1!G2893,"AAAAAAZ66as=")</f>
        <v>#VALUE!</v>
      </c>
      <c r="FQ215" t="e">
        <f>AND(Sheet1!H2893,"AAAAAAZ66aw=")</f>
        <v>#VALUE!</v>
      </c>
      <c r="FR215" t="e">
        <f>AND(Sheet1!I2893,"AAAAAAZ66a0=")</f>
        <v>#VALUE!</v>
      </c>
      <c r="FS215" t="e">
        <f>AND(Sheet1!J2893,"AAAAAAZ66a4=")</f>
        <v>#VALUE!</v>
      </c>
      <c r="FT215" t="e">
        <f>AND(Sheet1!K2893,"AAAAAAZ66a8=")</f>
        <v>#VALUE!</v>
      </c>
      <c r="FU215" t="e">
        <f>AND(Sheet1!L2893,"AAAAAAZ66bA=")</f>
        <v>#VALUE!</v>
      </c>
      <c r="FV215" t="e">
        <f>AND(Sheet1!M2893,"AAAAAAZ66bE=")</f>
        <v>#VALUE!</v>
      </c>
      <c r="FW215" t="e">
        <f>AND(Sheet1!N2893,"AAAAAAZ66bI=")</f>
        <v>#VALUE!</v>
      </c>
      <c r="FX215" t="e">
        <f>AND(Sheet1!#REF!,"AAAAAAZ66bM=")</f>
        <v>#REF!</v>
      </c>
      <c r="FY215" t="e">
        <f>AND(Sheet1!#REF!,"AAAAAAZ66bQ=")</f>
        <v>#REF!</v>
      </c>
      <c r="FZ215" t="e">
        <f>AND(Sheet1!#REF!,"AAAAAAZ66bU=")</f>
        <v>#REF!</v>
      </c>
      <c r="GA215" t="e">
        <f>AND(Sheet1!#REF!,"AAAAAAZ66bY=")</f>
        <v>#REF!</v>
      </c>
      <c r="GB215">
        <f>IF(Sheet1!2894:2894,"AAAAAAZ66bc=",0)</f>
        <v>0</v>
      </c>
      <c r="GC215" t="e">
        <f>AND(Sheet1!A2894,"AAAAAAZ66bg=")</f>
        <v>#VALUE!</v>
      </c>
      <c r="GD215" t="e">
        <f>AND(Sheet1!B2894,"AAAAAAZ66bk=")</f>
        <v>#VALUE!</v>
      </c>
      <c r="GE215" t="e">
        <f>AND(Sheet1!C2894,"AAAAAAZ66bo=")</f>
        <v>#VALUE!</v>
      </c>
      <c r="GF215" t="e">
        <f>AND(Sheet1!D2894,"AAAAAAZ66bs=")</f>
        <v>#VALUE!</v>
      </c>
      <c r="GG215" t="e">
        <f>AND(Sheet1!E2894,"AAAAAAZ66bw=")</f>
        <v>#VALUE!</v>
      </c>
      <c r="GH215" t="e">
        <f>AND(Sheet1!F2894,"AAAAAAZ66b0=")</f>
        <v>#VALUE!</v>
      </c>
      <c r="GI215" t="e">
        <f>AND(Sheet1!G2894,"AAAAAAZ66b4=")</f>
        <v>#VALUE!</v>
      </c>
      <c r="GJ215" t="e">
        <f>AND(Sheet1!H2894,"AAAAAAZ66b8=")</f>
        <v>#VALUE!</v>
      </c>
      <c r="GK215" t="e">
        <f>AND(Sheet1!I2894,"AAAAAAZ66cA=")</f>
        <v>#VALUE!</v>
      </c>
      <c r="GL215" t="e">
        <f>AND(Sheet1!J2894,"AAAAAAZ66cE=")</f>
        <v>#VALUE!</v>
      </c>
      <c r="GM215" t="e">
        <f>AND(Sheet1!K2894,"AAAAAAZ66cI=")</f>
        <v>#VALUE!</v>
      </c>
      <c r="GN215" t="e">
        <f>AND(Sheet1!L2894,"AAAAAAZ66cM=")</f>
        <v>#VALUE!</v>
      </c>
      <c r="GO215" t="e">
        <f>AND(Sheet1!M2894,"AAAAAAZ66cQ=")</f>
        <v>#VALUE!</v>
      </c>
      <c r="GP215" t="e">
        <f>AND(Sheet1!N2894,"AAAAAAZ66cU=")</f>
        <v>#VALUE!</v>
      </c>
      <c r="GQ215" t="e">
        <f>AND(Sheet1!#REF!,"AAAAAAZ66cY=")</f>
        <v>#REF!</v>
      </c>
      <c r="GR215" t="e">
        <f>AND(Sheet1!#REF!,"AAAAAAZ66cc=")</f>
        <v>#REF!</v>
      </c>
      <c r="GS215" t="e">
        <f>AND(Sheet1!#REF!,"AAAAAAZ66cg=")</f>
        <v>#REF!</v>
      </c>
      <c r="GT215" t="e">
        <f>AND(Sheet1!#REF!,"AAAAAAZ66ck=")</f>
        <v>#REF!</v>
      </c>
      <c r="GU215">
        <f>IF(Sheet1!2895:2895,"AAAAAAZ66co=",0)</f>
        <v>0</v>
      </c>
      <c r="GV215" t="e">
        <f>AND(Sheet1!A2895,"AAAAAAZ66cs=")</f>
        <v>#VALUE!</v>
      </c>
      <c r="GW215" t="e">
        <f>AND(Sheet1!B2895,"AAAAAAZ66cw=")</f>
        <v>#VALUE!</v>
      </c>
      <c r="GX215" t="e">
        <f>AND(Sheet1!C2895,"AAAAAAZ66c0=")</f>
        <v>#VALUE!</v>
      </c>
      <c r="GY215" t="e">
        <f>AND(Sheet1!D2895,"AAAAAAZ66c4=")</f>
        <v>#VALUE!</v>
      </c>
      <c r="GZ215" t="e">
        <f>AND(Sheet1!E2895,"AAAAAAZ66c8=")</f>
        <v>#VALUE!</v>
      </c>
      <c r="HA215" t="e">
        <f>AND(Sheet1!F2895,"AAAAAAZ66dA=")</f>
        <v>#VALUE!</v>
      </c>
      <c r="HB215" t="e">
        <f>AND(Sheet1!G2895,"AAAAAAZ66dE=")</f>
        <v>#VALUE!</v>
      </c>
      <c r="HC215" t="e">
        <f>AND(Sheet1!H2895,"AAAAAAZ66dI=")</f>
        <v>#VALUE!</v>
      </c>
      <c r="HD215" t="e">
        <f>AND(Sheet1!I2895,"AAAAAAZ66dM=")</f>
        <v>#VALUE!</v>
      </c>
      <c r="HE215" t="e">
        <f>AND(Sheet1!J2895,"AAAAAAZ66dQ=")</f>
        <v>#VALUE!</v>
      </c>
      <c r="HF215" t="e">
        <f>AND(Sheet1!K2895,"AAAAAAZ66dU=")</f>
        <v>#VALUE!</v>
      </c>
      <c r="HG215" t="e">
        <f>AND(Sheet1!L2895,"AAAAAAZ66dY=")</f>
        <v>#VALUE!</v>
      </c>
      <c r="HH215" t="e">
        <f>AND(Sheet1!M2895,"AAAAAAZ66dc=")</f>
        <v>#VALUE!</v>
      </c>
      <c r="HI215" t="e">
        <f>AND(Sheet1!N2895,"AAAAAAZ66dg=")</f>
        <v>#VALUE!</v>
      </c>
      <c r="HJ215" t="e">
        <f>AND(Sheet1!#REF!,"AAAAAAZ66dk=")</f>
        <v>#REF!</v>
      </c>
      <c r="HK215" t="e">
        <f>AND(Sheet1!#REF!,"AAAAAAZ66do=")</f>
        <v>#REF!</v>
      </c>
      <c r="HL215" t="e">
        <f>AND(Sheet1!#REF!,"AAAAAAZ66ds=")</f>
        <v>#REF!</v>
      </c>
      <c r="HM215" t="e">
        <f>AND(Sheet1!#REF!,"AAAAAAZ66dw=")</f>
        <v>#REF!</v>
      </c>
      <c r="HN215">
        <f>IF(Sheet1!2896:2896,"AAAAAAZ66d0=",0)</f>
        <v>0</v>
      </c>
      <c r="HO215" t="e">
        <f>AND(Sheet1!A2896,"AAAAAAZ66d4=")</f>
        <v>#VALUE!</v>
      </c>
      <c r="HP215" t="e">
        <f>AND(Sheet1!B2896,"AAAAAAZ66d8=")</f>
        <v>#VALUE!</v>
      </c>
      <c r="HQ215" t="e">
        <f>AND(Sheet1!C2896,"AAAAAAZ66eA=")</f>
        <v>#VALUE!</v>
      </c>
      <c r="HR215" t="e">
        <f>AND(Sheet1!D2896,"AAAAAAZ66eE=")</f>
        <v>#VALUE!</v>
      </c>
      <c r="HS215" t="e">
        <f>AND(Sheet1!E2896,"AAAAAAZ66eI=")</f>
        <v>#VALUE!</v>
      </c>
      <c r="HT215" t="e">
        <f>AND(Sheet1!F2896,"AAAAAAZ66eM=")</f>
        <v>#VALUE!</v>
      </c>
      <c r="HU215" t="e">
        <f>AND(Sheet1!G2896,"AAAAAAZ66eQ=")</f>
        <v>#VALUE!</v>
      </c>
      <c r="HV215" t="e">
        <f>AND(Sheet1!H2896,"AAAAAAZ66eU=")</f>
        <v>#VALUE!</v>
      </c>
      <c r="HW215" t="e">
        <f>AND(Sheet1!I2896,"AAAAAAZ66eY=")</f>
        <v>#VALUE!</v>
      </c>
      <c r="HX215" t="e">
        <f>AND(Sheet1!J2896,"AAAAAAZ66ec=")</f>
        <v>#VALUE!</v>
      </c>
      <c r="HY215" t="e">
        <f>AND(Sheet1!K2896,"AAAAAAZ66eg=")</f>
        <v>#VALUE!</v>
      </c>
      <c r="HZ215" t="e">
        <f>AND(Sheet1!L2896,"AAAAAAZ66ek=")</f>
        <v>#VALUE!</v>
      </c>
      <c r="IA215" t="e">
        <f>AND(Sheet1!M2896,"AAAAAAZ66eo=")</f>
        <v>#VALUE!</v>
      </c>
      <c r="IB215" t="e">
        <f>AND(Sheet1!N2896,"AAAAAAZ66es=")</f>
        <v>#VALUE!</v>
      </c>
      <c r="IC215" t="e">
        <f>AND(Sheet1!#REF!,"AAAAAAZ66ew=")</f>
        <v>#REF!</v>
      </c>
      <c r="ID215" t="e">
        <f>AND(Sheet1!#REF!,"AAAAAAZ66e0=")</f>
        <v>#REF!</v>
      </c>
      <c r="IE215" t="e">
        <f>AND(Sheet1!#REF!,"AAAAAAZ66e4=")</f>
        <v>#REF!</v>
      </c>
      <c r="IF215" t="e">
        <f>AND(Sheet1!#REF!,"AAAAAAZ66e8=")</f>
        <v>#REF!</v>
      </c>
      <c r="IG215">
        <f>IF(Sheet1!2897:2897,"AAAAAAZ66fA=",0)</f>
        <v>0</v>
      </c>
      <c r="IH215" t="e">
        <f>AND(Sheet1!A2897,"AAAAAAZ66fE=")</f>
        <v>#VALUE!</v>
      </c>
      <c r="II215" t="e">
        <f>AND(Sheet1!B2897,"AAAAAAZ66fI=")</f>
        <v>#VALUE!</v>
      </c>
      <c r="IJ215" t="e">
        <f>AND(Sheet1!C2897,"AAAAAAZ66fM=")</f>
        <v>#VALUE!</v>
      </c>
      <c r="IK215" t="e">
        <f>AND(Sheet1!D2897,"AAAAAAZ66fQ=")</f>
        <v>#VALUE!</v>
      </c>
      <c r="IL215" t="e">
        <f>AND(Sheet1!E2897,"AAAAAAZ66fU=")</f>
        <v>#VALUE!</v>
      </c>
      <c r="IM215" t="e">
        <f>AND(Sheet1!F2897,"AAAAAAZ66fY=")</f>
        <v>#VALUE!</v>
      </c>
      <c r="IN215" t="e">
        <f>AND(Sheet1!G2897,"AAAAAAZ66fc=")</f>
        <v>#VALUE!</v>
      </c>
      <c r="IO215" t="e">
        <f>AND(Sheet1!H2897,"AAAAAAZ66fg=")</f>
        <v>#VALUE!</v>
      </c>
      <c r="IP215" t="e">
        <f>AND(Sheet1!I2897,"AAAAAAZ66fk=")</f>
        <v>#VALUE!</v>
      </c>
      <c r="IQ215" t="e">
        <f>AND(Sheet1!J2897,"AAAAAAZ66fo=")</f>
        <v>#VALUE!</v>
      </c>
      <c r="IR215" t="e">
        <f>AND(Sheet1!K2897,"AAAAAAZ66fs=")</f>
        <v>#VALUE!</v>
      </c>
      <c r="IS215" t="e">
        <f>AND(Sheet1!L2897,"AAAAAAZ66fw=")</f>
        <v>#VALUE!</v>
      </c>
      <c r="IT215" t="e">
        <f>AND(Sheet1!M2897,"AAAAAAZ66f0=")</f>
        <v>#VALUE!</v>
      </c>
      <c r="IU215" t="e">
        <f>AND(Sheet1!N2897,"AAAAAAZ66f4=")</f>
        <v>#VALUE!</v>
      </c>
      <c r="IV215" t="e">
        <f>AND(Sheet1!#REF!,"AAAAAAZ66f8=")</f>
        <v>#REF!</v>
      </c>
    </row>
    <row r="216" spans="1:256" x14ac:dyDescent="0.2">
      <c r="A216" t="e">
        <f>AND(Sheet1!#REF!,"AAAAAHz+/gA=")</f>
        <v>#REF!</v>
      </c>
      <c r="B216" t="e">
        <f>AND(Sheet1!#REF!,"AAAAAHz+/gE=")</f>
        <v>#REF!</v>
      </c>
      <c r="C216" t="e">
        <f>AND(Sheet1!#REF!,"AAAAAHz+/gI=")</f>
        <v>#REF!</v>
      </c>
      <c r="D216" t="e">
        <f>IF(Sheet1!2898:2898,"AAAAAHz+/gM=",0)</f>
        <v>#VALUE!</v>
      </c>
      <c r="E216" t="e">
        <f>AND(Sheet1!A2898,"AAAAAHz+/gQ=")</f>
        <v>#VALUE!</v>
      </c>
      <c r="F216" t="e">
        <f>AND(Sheet1!B2898,"AAAAAHz+/gU=")</f>
        <v>#VALUE!</v>
      </c>
      <c r="G216" t="e">
        <f>AND(Sheet1!C2898,"AAAAAHz+/gY=")</f>
        <v>#VALUE!</v>
      </c>
      <c r="H216" t="e">
        <f>AND(Sheet1!D2898,"AAAAAHz+/gc=")</f>
        <v>#VALUE!</v>
      </c>
      <c r="I216" t="e">
        <f>AND(Sheet1!E2898,"AAAAAHz+/gg=")</f>
        <v>#VALUE!</v>
      </c>
      <c r="J216" t="e">
        <f>AND(Sheet1!F2898,"AAAAAHz+/gk=")</f>
        <v>#VALUE!</v>
      </c>
      <c r="K216" t="e">
        <f>AND(Sheet1!G2898,"AAAAAHz+/go=")</f>
        <v>#VALUE!</v>
      </c>
      <c r="L216" t="e">
        <f>AND(Sheet1!H2898,"AAAAAHz+/gs=")</f>
        <v>#VALUE!</v>
      </c>
      <c r="M216" t="e">
        <f>AND(Sheet1!I2898,"AAAAAHz+/gw=")</f>
        <v>#VALUE!</v>
      </c>
      <c r="N216" t="e">
        <f>AND(Sheet1!J2898,"AAAAAHz+/g0=")</f>
        <v>#VALUE!</v>
      </c>
      <c r="O216" t="e">
        <f>AND(Sheet1!K2898,"AAAAAHz+/g4=")</f>
        <v>#VALUE!</v>
      </c>
      <c r="P216" t="e">
        <f>AND(Sheet1!L2898,"AAAAAHz+/g8=")</f>
        <v>#VALUE!</v>
      </c>
      <c r="Q216" t="e">
        <f>AND(Sheet1!M2898,"AAAAAHz+/hA=")</f>
        <v>#VALUE!</v>
      </c>
      <c r="R216" t="e">
        <f>AND(Sheet1!N2898,"AAAAAHz+/hE=")</f>
        <v>#VALUE!</v>
      </c>
      <c r="S216" t="e">
        <f>AND(Sheet1!#REF!,"AAAAAHz+/hI=")</f>
        <v>#REF!</v>
      </c>
      <c r="T216" t="e">
        <f>AND(Sheet1!#REF!,"AAAAAHz+/hM=")</f>
        <v>#REF!</v>
      </c>
      <c r="U216" t="e">
        <f>AND(Sheet1!#REF!,"AAAAAHz+/hQ=")</f>
        <v>#REF!</v>
      </c>
      <c r="V216" t="e">
        <f>AND(Sheet1!#REF!,"AAAAAHz+/hU=")</f>
        <v>#REF!</v>
      </c>
      <c r="W216">
        <f>IF(Sheet1!2899:2899,"AAAAAHz+/hY=",0)</f>
        <v>0</v>
      </c>
      <c r="X216" t="e">
        <f>AND(Sheet1!A2899,"AAAAAHz+/hc=")</f>
        <v>#VALUE!</v>
      </c>
      <c r="Y216" t="e">
        <f>AND(Sheet1!B2899,"AAAAAHz+/hg=")</f>
        <v>#VALUE!</v>
      </c>
      <c r="Z216" t="e">
        <f>AND(Sheet1!C2899,"AAAAAHz+/hk=")</f>
        <v>#VALUE!</v>
      </c>
      <c r="AA216" t="e">
        <f>AND(Sheet1!D2899,"AAAAAHz+/ho=")</f>
        <v>#VALUE!</v>
      </c>
      <c r="AB216" t="e">
        <f>AND(Sheet1!E2899,"AAAAAHz+/hs=")</f>
        <v>#VALUE!</v>
      </c>
      <c r="AC216" t="e">
        <f>AND(Sheet1!F2899,"AAAAAHz+/hw=")</f>
        <v>#VALUE!</v>
      </c>
      <c r="AD216" t="e">
        <f>AND(Sheet1!G2899,"AAAAAHz+/h0=")</f>
        <v>#VALUE!</v>
      </c>
      <c r="AE216" t="e">
        <f>AND(Sheet1!H2899,"AAAAAHz+/h4=")</f>
        <v>#VALUE!</v>
      </c>
      <c r="AF216" t="e">
        <f>AND(Sheet1!I2899,"AAAAAHz+/h8=")</f>
        <v>#VALUE!</v>
      </c>
      <c r="AG216" t="e">
        <f>AND(Sheet1!J2899,"AAAAAHz+/iA=")</f>
        <v>#VALUE!</v>
      </c>
      <c r="AH216" t="e">
        <f>AND(Sheet1!K2899,"AAAAAHz+/iE=")</f>
        <v>#VALUE!</v>
      </c>
      <c r="AI216" t="e">
        <f>AND(Sheet1!L2899,"AAAAAHz+/iI=")</f>
        <v>#VALUE!</v>
      </c>
      <c r="AJ216" t="e">
        <f>AND(Sheet1!M2899,"AAAAAHz+/iM=")</f>
        <v>#VALUE!</v>
      </c>
      <c r="AK216" t="e">
        <f>AND(Sheet1!N2899,"AAAAAHz+/iQ=")</f>
        <v>#VALUE!</v>
      </c>
      <c r="AL216" t="e">
        <f>AND(Sheet1!#REF!,"AAAAAHz+/iU=")</f>
        <v>#REF!</v>
      </c>
      <c r="AM216" t="e">
        <f>AND(Sheet1!#REF!,"AAAAAHz+/iY=")</f>
        <v>#REF!</v>
      </c>
      <c r="AN216" t="e">
        <f>AND(Sheet1!#REF!,"AAAAAHz+/ic=")</f>
        <v>#REF!</v>
      </c>
      <c r="AO216" t="e">
        <f>AND(Sheet1!#REF!,"AAAAAHz+/ig=")</f>
        <v>#REF!</v>
      </c>
      <c r="AP216">
        <f>IF(Sheet1!2900:2900,"AAAAAHz+/ik=",0)</f>
        <v>0</v>
      </c>
      <c r="AQ216" t="e">
        <f>AND(Sheet1!A2900,"AAAAAHz+/io=")</f>
        <v>#VALUE!</v>
      </c>
      <c r="AR216" t="e">
        <f>AND(Sheet1!B2900,"AAAAAHz+/is=")</f>
        <v>#VALUE!</v>
      </c>
      <c r="AS216" t="e">
        <f>AND(Sheet1!C2900,"AAAAAHz+/iw=")</f>
        <v>#VALUE!</v>
      </c>
      <c r="AT216" t="e">
        <f>AND(Sheet1!D2900,"AAAAAHz+/i0=")</f>
        <v>#VALUE!</v>
      </c>
      <c r="AU216" t="e">
        <f>AND(Sheet1!E2900,"AAAAAHz+/i4=")</f>
        <v>#VALUE!</v>
      </c>
      <c r="AV216" t="e">
        <f>AND(Sheet1!F2900,"AAAAAHz+/i8=")</f>
        <v>#VALUE!</v>
      </c>
      <c r="AW216" t="e">
        <f>AND(Sheet1!G2900,"AAAAAHz+/jA=")</f>
        <v>#VALUE!</v>
      </c>
      <c r="AX216" t="e">
        <f>AND(Sheet1!H2900,"AAAAAHz+/jE=")</f>
        <v>#VALUE!</v>
      </c>
      <c r="AY216" t="e">
        <f>AND(Sheet1!I2900,"AAAAAHz+/jI=")</f>
        <v>#VALUE!</v>
      </c>
      <c r="AZ216" t="e">
        <f>AND(Sheet1!J2900,"AAAAAHz+/jM=")</f>
        <v>#VALUE!</v>
      </c>
      <c r="BA216" t="e">
        <f>AND(Sheet1!K2900,"AAAAAHz+/jQ=")</f>
        <v>#VALUE!</v>
      </c>
      <c r="BB216" t="e">
        <f>AND(Sheet1!L2900,"AAAAAHz+/jU=")</f>
        <v>#VALUE!</v>
      </c>
      <c r="BC216" t="e">
        <f>AND(Sheet1!M2900,"AAAAAHz+/jY=")</f>
        <v>#VALUE!</v>
      </c>
      <c r="BD216" t="e">
        <f>AND(Sheet1!N2900,"AAAAAHz+/jc=")</f>
        <v>#VALUE!</v>
      </c>
      <c r="BE216" t="e">
        <f>AND(Sheet1!#REF!,"AAAAAHz+/jg=")</f>
        <v>#REF!</v>
      </c>
      <c r="BF216" t="e">
        <f>AND(Sheet1!#REF!,"AAAAAHz+/jk=")</f>
        <v>#REF!</v>
      </c>
      <c r="BG216" t="e">
        <f>AND(Sheet1!#REF!,"AAAAAHz+/jo=")</f>
        <v>#REF!</v>
      </c>
      <c r="BH216" t="e">
        <f>AND(Sheet1!#REF!,"AAAAAHz+/js=")</f>
        <v>#REF!</v>
      </c>
      <c r="BI216">
        <f>IF(Sheet1!2901:2901,"AAAAAHz+/jw=",0)</f>
        <v>0</v>
      </c>
      <c r="BJ216" t="e">
        <f>AND(Sheet1!A2901,"AAAAAHz+/j0=")</f>
        <v>#VALUE!</v>
      </c>
      <c r="BK216" t="e">
        <f>AND(Sheet1!B2901,"AAAAAHz+/j4=")</f>
        <v>#VALUE!</v>
      </c>
      <c r="BL216" t="e">
        <f>AND(Sheet1!C2901,"AAAAAHz+/j8=")</f>
        <v>#VALUE!</v>
      </c>
      <c r="BM216" t="e">
        <f>AND(Sheet1!D2901,"AAAAAHz+/kA=")</f>
        <v>#VALUE!</v>
      </c>
      <c r="BN216" t="e">
        <f>AND(Sheet1!E2901,"AAAAAHz+/kE=")</f>
        <v>#VALUE!</v>
      </c>
      <c r="BO216" t="e">
        <f>AND(Sheet1!F2901,"AAAAAHz+/kI=")</f>
        <v>#VALUE!</v>
      </c>
      <c r="BP216" t="e">
        <f>AND(Sheet1!G2901,"AAAAAHz+/kM=")</f>
        <v>#VALUE!</v>
      </c>
      <c r="BQ216" t="e">
        <f>AND(Sheet1!H2901,"AAAAAHz+/kQ=")</f>
        <v>#VALUE!</v>
      </c>
      <c r="BR216" t="e">
        <f>AND(Sheet1!I2901,"AAAAAHz+/kU=")</f>
        <v>#VALUE!</v>
      </c>
      <c r="BS216" t="e">
        <f>AND(Sheet1!J2901,"AAAAAHz+/kY=")</f>
        <v>#VALUE!</v>
      </c>
      <c r="BT216" t="e">
        <f>AND(Sheet1!K2901,"AAAAAHz+/kc=")</f>
        <v>#VALUE!</v>
      </c>
      <c r="BU216" t="e">
        <f>AND(Sheet1!L2901,"AAAAAHz+/kg=")</f>
        <v>#VALUE!</v>
      </c>
      <c r="BV216" t="e">
        <f>AND(Sheet1!M2901,"AAAAAHz+/kk=")</f>
        <v>#VALUE!</v>
      </c>
      <c r="BW216" t="e">
        <f>AND(Sheet1!N2901,"AAAAAHz+/ko=")</f>
        <v>#VALUE!</v>
      </c>
      <c r="BX216" t="e">
        <f>AND(Sheet1!#REF!,"AAAAAHz+/ks=")</f>
        <v>#REF!</v>
      </c>
      <c r="BY216" t="e">
        <f>AND(Sheet1!#REF!,"AAAAAHz+/kw=")</f>
        <v>#REF!</v>
      </c>
      <c r="BZ216" t="e">
        <f>AND(Sheet1!#REF!,"AAAAAHz+/k0=")</f>
        <v>#REF!</v>
      </c>
      <c r="CA216" t="e">
        <f>AND(Sheet1!#REF!,"AAAAAHz+/k4=")</f>
        <v>#REF!</v>
      </c>
      <c r="CB216">
        <f>IF(Sheet1!2902:2902,"AAAAAHz+/k8=",0)</f>
        <v>0</v>
      </c>
      <c r="CC216" t="e">
        <f>AND(Sheet1!A2902,"AAAAAHz+/lA=")</f>
        <v>#VALUE!</v>
      </c>
      <c r="CD216" t="e">
        <f>AND(Sheet1!B2902,"AAAAAHz+/lE=")</f>
        <v>#VALUE!</v>
      </c>
      <c r="CE216" t="e">
        <f>AND(Sheet1!C2902,"AAAAAHz+/lI=")</f>
        <v>#VALUE!</v>
      </c>
      <c r="CF216" t="e">
        <f>AND(Sheet1!D2902,"AAAAAHz+/lM=")</f>
        <v>#VALUE!</v>
      </c>
      <c r="CG216" t="e">
        <f>AND(Sheet1!E2902,"AAAAAHz+/lQ=")</f>
        <v>#VALUE!</v>
      </c>
      <c r="CH216" t="e">
        <f>AND(Sheet1!F2902,"AAAAAHz+/lU=")</f>
        <v>#VALUE!</v>
      </c>
      <c r="CI216" t="e">
        <f>AND(Sheet1!G2902,"AAAAAHz+/lY=")</f>
        <v>#VALUE!</v>
      </c>
      <c r="CJ216" t="e">
        <f>AND(Sheet1!H2902,"AAAAAHz+/lc=")</f>
        <v>#VALUE!</v>
      </c>
      <c r="CK216" t="e">
        <f>AND(Sheet1!I2902,"AAAAAHz+/lg=")</f>
        <v>#VALUE!</v>
      </c>
      <c r="CL216" t="e">
        <f>AND(Sheet1!J2902,"AAAAAHz+/lk=")</f>
        <v>#VALUE!</v>
      </c>
      <c r="CM216" t="e">
        <f>AND(Sheet1!K2902,"AAAAAHz+/lo=")</f>
        <v>#VALUE!</v>
      </c>
      <c r="CN216" t="e">
        <f>AND(Sheet1!L2902,"AAAAAHz+/ls=")</f>
        <v>#VALUE!</v>
      </c>
      <c r="CO216" t="e">
        <f>AND(Sheet1!M2902,"AAAAAHz+/lw=")</f>
        <v>#VALUE!</v>
      </c>
      <c r="CP216" t="e">
        <f>AND(Sheet1!N2902,"AAAAAHz+/l0=")</f>
        <v>#VALUE!</v>
      </c>
      <c r="CQ216" t="e">
        <f>AND(Sheet1!#REF!,"AAAAAHz+/l4=")</f>
        <v>#REF!</v>
      </c>
      <c r="CR216" t="e">
        <f>AND(Sheet1!#REF!,"AAAAAHz+/l8=")</f>
        <v>#REF!</v>
      </c>
      <c r="CS216" t="e">
        <f>AND(Sheet1!#REF!,"AAAAAHz+/mA=")</f>
        <v>#REF!</v>
      </c>
      <c r="CT216" t="e">
        <f>AND(Sheet1!#REF!,"AAAAAHz+/mE=")</f>
        <v>#REF!</v>
      </c>
      <c r="CU216">
        <f>IF(Sheet1!2903:2903,"AAAAAHz+/mI=",0)</f>
        <v>0</v>
      </c>
      <c r="CV216" t="e">
        <f>AND(Sheet1!A2903,"AAAAAHz+/mM=")</f>
        <v>#VALUE!</v>
      </c>
      <c r="CW216" t="e">
        <f>AND(Sheet1!B2903,"AAAAAHz+/mQ=")</f>
        <v>#VALUE!</v>
      </c>
      <c r="CX216" t="e">
        <f>AND(Sheet1!C2903,"AAAAAHz+/mU=")</f>
        <v>#VALUE!</v>
      </c>
      <c r="CY216" t="e">
        <f>AND(Sheet1!D2903,"AAAAAHz+/mY=")</f>
        <v>#VALUE!</v>
      </c>
      <c r="CZ216" t="e">
        <f>AND(Sheet1!E2903,"AAAAAHz+/mc=")</f>
        <v>#VALUE!</v>
      </c>
      <c r="DA216" t="e">
        <f>AND(Sheet1!F2903,"AAAAAHz+/mg=")</f>
        <v>#VALUE!</v>
      </c>
      <c r="DB216" t="e">
        <f>AND(Sheet1!G2903,"AAAAAHz+/mk=")</f>
        <v>#VALUE!</v>
      </c>
      <c r="DC216" t="e">
        <f>AND(Sheet1!H2903,"AAAAAHz+/mo=")</f>
        <v>#VALUE!</v>
      </c>
      <c r="DD216" t="e">
        <f>AND(Sheet1!I2903,"AAAAAHz+/ms=")</f>
        <v>#VALUE!</v>
      </c>
      <c r="DE216" t="e">
        <f>AND(Sheet1!J2903,"AAAAAHz+/mw=")</f>
        <v>#VALUE!</v>
      </c>
      <c r="DF216" t="e">
        <f>AND(Sheet1!K2903,"AAAAAHz+/m0=")</f>
        <v>#VALUE!</v>
      </c>
      <c r="DG216" t="e">
        <f>AND(Sheet1!L2903,"AAAAAHz+/m4=")</f>
        <v>#VALUE!</v>
      </c>
      <c r="DH216" t="e">
        <f>AND(Sheet1!M2903,"AAAAAHz+/m8=")</f>
        <v>#VALUE!</v>
      </c>
      <c r="DI216" t="e">
        <f>AND(Sheet1!N2903,"AAAAAHz+/nA=")</f>
        <v>#VALUE!</v>
      </c>
      <c r="DJ216" t="e">
        <f>AND(Sheet1!#REF!,"AAAAAHz+/nE=")</f>
        <v>#REF!</v>
      </c>
      <c r="DK216" t="e">
        <f>AND(Sheet1!#REF!,"AAAAAHz+/nI=")</f>
        <v>#REF!</v>
      </c>
      <c r="DL216" t="e">
        <f>AND(Sheet1!#REF!,"AAAAAHz+/nM=")</f>
        <v>#REF!</v>
      </c>
      <c r="DM216" t="e">
        <f>AND(Sheet1!#REF!,"AAAAAHz+/nQ=")</f>
        <v>#REF!</v>
      </c>
      <c r="DN216">
        <f>IF(Sheet1!2904:2904,"AAAAAHz+/nU=",0)</f>
        <v>0</v>
      </c>
      <c r="DO216" t="e">
        <f>AND(Sheet1!A2904,"AAAAAHz+/nY=")</f>
        <v>#VALUE!</v>
      </c>
      <c r="DP216" t="e">
        <f>AND(Sheet1!B2904,"AAAAAHz+/nc=")</f>
        <v>#VALUE!</v>
      </c>
      <c r="DQ216" t="e">
        <f>AND(Sheet1!C2904,"AAAAAHz+/ng=")</f>
        <v>#VALUE!</v>
      </c>
      <c r="DR216" t="e">
        <f>AND(Sheet1!D2904,"AAAAAHz+/nk=")</f>
        <v>#VALUE!</v>
      </c>
      <c r="DS216" t="e">
        <f>AND(Sheet1!E2904,"AAAAAHz+/no=")</f>
        <v>#VALUE!</v>
      </c>
      <c r="DT216" t="e">
        <f>AND(Sheet1!F2904,"AAAAAHz+/ns=")</f>
        <v>#VALUE!</v>
      </c>
      <c r="DU216" t="e">
        <f>AND(Sheet1!G2904,"AAAAAHz+/nw=")</f>
        <v>#VALUE!</v>
      </c>
      <c r="DV216" t="e">
        <f>AND(Sheet1!H2904,"AAAAAHz+/n0=")</f>
        <v>#VALUE!</v>
      </c>
      <c r="DW216" t="e">
        <f>AND(Sheet1!I2904,"AAAAAHz+/n4=")</f>
        <v>#VALUE!</v>
      </c>
      <c r="DX216" t="e">
        <f>AND(Sheet1!J2904,"AAAAAHz+/n8=")</f>
        <v>#VALUE!</v>
      </c>
      <c r="DY216" t="e">
        <f>AND(Sheet1!K2904,"AAAAAHz+/oA=")</f>
        <v>#VALUE!</v>
      </c>
      <c r="DZ216" t="e">
        <f>AND(Sheet1!L2904,"AAAAAHz+/oE=")</f>
        <v>#VALUE!</v>
      </c>
      <c r="EA216" t="e">
        <f>AND(Sheet1!M2904,"AAAAAHz+/oI=")</f>
        <v>#VALUE!</v>
      </c>
      <c r="EB216" t="e">
        <f>AND(Sheet1!N2904,"AAAAAHz+/oM=")</f>
        <v>#VALUE!</v>
      </c>
      <c r="EC216" t="e">
        <f>AND(Sheet1!#REF!,"AAAAAHz+/oQ=")</f>
        <v>#REF!</v>
      </c>
      <c r="ED216" t="e">
        <f>AND(Sheet1!#REF!,"AAAAAHz+/oU=")</f>
        <v>#REF!</v>
      </c>
      <c r="EE216" t="e">
        <f>AND(Sheet1!#REF!,"AAAAAHz+/oY=")</f>
        <v>#REF!</v>
      </c>
      <c r="EF216" t="e">
        <f>AND(Sheet1!#REF!,"AAAAAHz+/oc=")</f>
        <v>#REF!</v>
      </c>
      <c r="EG216">
        <f>IF(Sheet1!2905:2905,"AAAAAHz+/og=",0)</f>
        <v>0</v>
      </c>
      <c r="EH216" t="e">
        <f>AND(Sheet1!A2905,"AAAAAHz+/ok=")</f>
        <v>#VALUE!</v>
      </c>
      <c r="EI216" t="e">
        <f>AND(Sheet1!B2905,"AAAAAHz+/oo=")</f>
        <v>#VALUE!</v>
      </c>
      <c r="EJ216" t="e">
        <f>AND(Sheet1!C2905,"AAAAAHz+/os=")</f>
        <v>#VALUE!</v>
      </c>
      <c r="EK216" t="e">
        <f>AND(Sheet1!D2905,"AAAAAHz+/ow=")</f>
        <v>#VALUE!</v>
      </c>
      <c r="EL216" t="e">
        <f>AND(Sheet1!E2905,"AAAAAHz+/o0=")</f>
        <v>#VALUE!</v>
      </c>
      <c r="EM216" t="e">
        <f>AND(Sheet1!F2905,"AAAAAHz+/o4=")</f>
        <v>#VALUE!</v>
      </c>
      <c r="EN216" t="e">
        <f>AND(Sheet1!G2905,"AAAAAHz+/o8=")</f>
        <v>#VALUE!</v>
      </c>
      <c r="EO216" t="e">
        <f>AND(Sheet1!H2905,"AAAAAHz+/pA=")</f>
        <v>#VALUE!</v>
      </c>
      <c r="EP216" t="e">
        <f>AND(Sheet1!I2905,"AAAAAHz+/pE=")</f>
        <v>#VALUE!</v>
      </c>
      <c r="EQ216" t="e">
        <f>AND(Sheet1!J2905,"AAAAAHz+/pI=")</f>
        <v>#VALUE!</v>
      </c>
      <c r="ER216" t="e">
        <f>AND(Sheet1!K2905,"AAAAAHz+/pM=")</f>
        <v>#VALUE!</v>
      </c>
      <c r="ES216" t="e">
        <f>AND(Sheet1!L2905,"AAAAAHz+/pQ=")</f>
        <v>#VALUE!</v>
      </c>
      <c r="ET216" t="e">
        <f>AND(Sheet1!M2905,"AAAAAHz+/pU=")</f>
        <v>#VALUE!</v>
      </c>
      <c r="EU216" t="e">
        <f>AND(Sheet1!N2905,"AAAAAHz+/pY=")</f>
        <v>#VALUE!</v>
      </c>
      <c r="EV216" t="e">
        <f>AND(Sheet1!#REF!,"AAAAAHz+/pc=")</f>
        <v>#REF!</v>
      </c>
      <c r="EW216" t="e">
        <f>AND(Sheet1!#REF!,"AAAAAHz+/pg=")</f>
        <v>#REF!</v>
      </c>
      <c r="EX216" t="e">
        <f>AND(Sheet1!#REF!,"AAAAAHz+/pk=")</f>
        <v>#REF!</v>
      </c>
      <c r="EY216" t="e">
        <f>AND(Sheet1!#REF!,"AAAAAHz+/po=")</f>
        <v>#REF!</v>
      </c>
      <c r="EZ216">
        <f>IF(Sheet1!2906:2906,"AAAAAHz+/ps=",0)</f>
        <v>0</v>
      </c>
      <c r="FA216" t="e">
        <f>AND(Sheet1!A2906,"AAAAAHz+/pw=")</f>
        <v>#VALUE!</v>
      </c>
      <c r="FB216" t="e">
        <f>AND(Sheet1!B2906,"AAAAAHz+/p0=")</f>
        <v>#VALUE!</v>
      </c>
      <c r="FC216" t="e">
        <f>AND(Sheet1!C2906,"AAAAAHz+/p4=")</f>
        <v>#VALUE!</v>
      </c>
      <c r="FD216" t="e">
        <f>AND(Sheet1!D2906,"AAAAAHz+/p8=")</f>
        <v>#VALUE!</v>
      </c>
      <c r="FE216" t="e">
        <f>AND(Sheet1!E2906,"AAAAAHz+/qA=")</f>
        <v>#VALUE!</v>
      </c>
      <c r="FF216" t="e">
        <f>AND(Sheet1!F2906,"AAAAAHz+/qE=")</f>
        <v>#VALUE!</v>
      </c>
      <c r="FG216" t="e">
        <f>AND(Sheet1!G2906,"AAAAAHz+/qI=")</f>
        <v>#VALUE!</v>
      </c>
      <c r="FH216" t="e">
        <f>AND(Sheet1!H2906,"AAAAAHz+/qM=")</f>
        <v>#VALUE!</v>
      </c>
      <c r="FI216" t="e">
        <f>AND(Sheet1!I2906,"AAAAAHz+/qQ=")</f>
        <v>#VALUE!</v>
      </c>
      <c r="FJ216" t="e">
        <f>AND(Sheet1!J2906,"AAAAAHz+/qU=")</f>
        <v>#VALUE!</v>
      </c>
      <c r="FK216" t="e">
        <f>AND(Sheet1!K2906,"AAAAAHz+/qY=")</f>
        <v>#VALUE!</v>
      </c>
      <c r="FL216" t="e">
        <f>AND(Sheet1!L2906,"AAAAAHz+/qc=")</f>
        <v>#VALUE!</v>
      </c>
      <c r="FM216" t="e">
        <f>AND(Sheet1!M2906,"AAAAAHz+/qg=")</f>
        <v>#VALUE!</v>
      </c>
      <c r="FN216" t="e">
        <f>AND(Sheet1!N2906,"AAAAAHz+/qk=")</f>
        <v>#VALUE!</v>
      </c>
      <c r="FO216" t="e">
        <f>AND(Sheet1!#REF!,"AAAAAHz+/qo=")</f>
        <v>#REF!</v>
      </c>
      <c r="FP216" t="e">
        <f>AND(Sheet1!#REF!,"AAAAAHz+/qs=")</f>
        <v>#REF!</v>
      </c>
      <c r="FQ216" t="e">
        <f>AND(Sheet1!#REF!,"AAAAAHz+/qw=")</f>
        <v>#REF!</v>
      </c>
      <c r="FR216" t="e">
        <f>AND(Sheet1!#REF!,"AAAAAHz+/q0=")</f>
        <v>#REF!</v>
      </c>
      <c r="FS216">
        <f>IF(Sheet1!2907:2907,"AAAAAHz+/q4=",0)</f>
        <v>0</v>
      </c>
      <c r="FT216" t="e">
        <f>AND(Sheet1!A2907,"AAAAAHz+/q8=")</f>
        <v>#VALUE!</v>
      </c>
      <c r="FU216" t="e">
        <f>AND(Sheet1!B2907,"AAAAAHz+/rA=")</f>
        <v>#VALUE!</v>
      </c>
      <c r="FV216" t="e">
        <f>AND(Sheet1!C2907,"AAAAAHz+/rE=")</f>
        <v>#VALUE!</v>
      </c>
      <c r="FW216" t="e">
        <f>AND(Sheet1!D2907,"AAAAAHz+/rI=")</f>
        <v>#VALUE!</v>
      </c>
      <c r="FX216" t="e">
        <f>AND(Sheet1!E2907,"AAAAAHz+/rM=")</f>
        <v>#VALUE!</v>
      </c>
      <c r="FY216" t="e">
        <f>AND(Sheet1!F2907,"AAAAAHz+/rQ=")</f>
        <v>#VALUE!</v>
      </c>
      <c r="FZ216" t="e">
        <f>AND(Sheet1!G2907,"AAAAAHz+/rU=")</f>
        <v>#VALUE!</v>
      </c>
      <c r="GA216" t="e">
        <f>AND(Sheet1!H2907,"AAAAAHz+/rY=")</f>
        <v>#VALUE!</v>
      </c>
      <c r="GB216" t="e">
        <f>AND(Sheet1!I2907,"AAAAAHz+/rc=")</f>
        <v>#VALUE!</v>
      </c>
      <c r="GC216" t="e">
        <f>AND(Sheet1!J2907,"AAAAAHz+/rg=")</f>
        <v>#VALUE!</v>
      </c>
      <c r="GD216" t="e">
        <f>AND(Sheet1!K2907,"AAAAAHz+/rk=")</f>
        <v>#VALUE!</v>
      </c>
      <c r="GE216" t="e">
        <f>AND(Sheet1!L2907,"AAAAAHz+/ro=")</f>
        <v>#VALUE!</v>
      </c>
      <c r="GF216" t="e">
        <f>AND(Sheet1!M2907,"AAAAAHz+/rs=")</f>
        <v>#VALUE!</v>
      </c>
      <c r="GG216" t="e">
        <f>AND(Sheet1!N2907,"AAAAAHz+/rw=")</f>
        <v>#VALUE!</v>
      </c>
      <c r="GH216" t="e">
        <f>AND(Sheet1!#REF!,"AAAAAHz+/r0=")</f>
        <v>#REF!</v>
      </c>
      <c r="GI216" t="e">
        <f>AND(Sheet1!#REF!,"AAAAAHz+/r4=")</f>
        <v>#REF!</v>
      </c>
      <c r="GJ216" t="e">
        <f>AND(Sheet1!#REF!,"AAAAAHz+/r8=")</f>
        <v>#REF!</v>
      </c>
      <c r="GK216" t="e">
        <f>AND(Sheet1!#REF!,"AAAAAHz+/sA=")</f>
        <v>#REF!</v>
      </c>
      <c r="GL216">
        <f>IF(Sheet1!2908:2908,"AAAAAHz+/sE=",0)</f>
        <v>0</v>
      </c>
      <c r="GM216" t="e">
        <f>AND(Sheet1!A2908,"AAAAAHz+/sI=")</f>
        <v>#VALUE!</v>
      </c>
      <c r="GN216" t="e">
        <f>AND(Sheet1!B2908,"AAAAAHz+/sM=")</f>
        <v>#VALUE!</v>
      </c>
      <c r="GO216" t="e">
        <f>AND(Sheet1!C2908,"AAAAAHz+/sQ=")</f>
        <v>#VALUE!</v>
      </c>
      <c r="GP216" t="e">
        <f>AND(Sheet1!D2908,"AAAAAHz+/sU=")</f>
        <v>#VALUE!</v>
      </c>
      <c r="GQ216" t="e">
        <f>AND(Sheet1!E2908,"AAAAAHz+/sY=")</f>
        <v>#VALUE!</v>
      </c>
      <c r="GR216" t="e">
        <f>AND(Sheet1!F2908,"AAAAAHz+/sc=")</f>
        <v>#VALUE!</v>
      </c>
      <c r="GS216" t="e">
        <f>AND(Sheet1!G2908,"AAAAAHz+/sg=")</f>
        <v>#VALUE!</v>
      </c>
      <c r="GT216" t="e">
        <f>AND(Sheet1!H2908,"AAAAAHz+/sk=")</f>
        <v>#VALUE!</v>
      </c>
      <c r="GU216" t="e">
        <f>AND(Sheet1!I2908,"AAAAAHz+/so=")</f>
        <v>#VALUE!</v>
      </c>
      <c r="GV216" t="e">
        <f>AND(Sheet1!J2908,"AAAAAHz+/ss=")</f>
        <v>#VALUE!</v>
      </c>
      <c r="GW216" t="e">
        <f>AND(Sheet1!K2908,"AAAAAHz+/sw=")</f>
        <v>#VALUE!</v>
      </c>
      <c r="GX216" t="e">
        <f>AND(Sheet1!L2908,"AAAAAHz+/s0=")</f>
        <v>#VALUE!</v>
      </c>
      <c r="GY216" t="e">
        <f>AND(Sheet1!M2908,"AAAAAHz+/s4=")</f>
        <v>#VALUE!</v>
      </c>
      <c r="GZ216" t="e">
        <f>AND(Sheet1!N2908,"AAAAAHz+/s8=")</f>
        <v>#VALUE!</v>
      </c>
      <c r="HA216" t="e">
        <f>AND(Sheet1!#REF!,"AAAAAHz+/tA=")</f>
        <v>#REF!</v>
      </c>
      <c r="HB216" t="e">
        <f>AND(Sheet1!#REF!,"AAAAAHz+/tE=")</f>
        <v>#REF!</v>
      </c>
      <c r="HC216" t="e">
        <f>AND(Sheet1!#REF!,"AAAAAHz+/tI=")</f>
        <v>#REF!</v>
      </c>
      <c r="HD216" t="e">
        <f>AND(Sheet1!#REF!,"AAAAAHz+/tM=")</f>
        <v>#REF!</v>
      </c>
      <c r="HE216">
        <f>IF(Sheet1!2909:2909,"AAAAAHz+/tQ=",0)</f>
        <v>0</v>
      </c>
      <c r="HF216" t="e">
        <f>AND(Sheet1!A2909,"AAAAAHz+/tU=")</f>
        <v>#VALUE!</v>
      </c>
      <c r="HG216" t="e">
        <f>AND(Sheet1!B2909,"AAAAAHz+/tY=")</f>
        <v>#VALUE!</v>
      </c>
      <c r="HH216" t="e">
        <f>AND(Sheet1!C2909,"AAAAAHz+/tc=")</f>
        <v>#VALUE!</v>
      </c>
      <c r="HI216" t="e">
        <f>AND(Sheet1!D2909,"AAAAAHz+/tg=")</f>
        <v>#VALUE!</v>
      </c>
      <c r="HJ216" t="e">
        <f>AND(Sheet1!E2909,"AAAAAHz+/tk=")</f>
        <v>#VALUE!</v>
      </c>
      <c r="HK216" t="e">
        <f>AND(Sheet1!F2909,"AAAAAHz+/to=")</f>
        <v>#VALUE!</v>
      </c>
      <c r="HL216" t="e">
        <f>AND(Sheet1!G2909,"AAAAAHz+/ts=")</f>
        <v>#VALUE!</v>
      </c>
      <c r="HM216" t="e">
        <f>AND(Sheet1!H2909,"AAAAAHz+/tw=")</f>
        <v>#VALUE!</v>
      </c>
      <c r="HN216" t="e">
        <f>AND(Sheet1!I2909,"AAAAAHz+/t0=")</f>
        <v>#VALUE!</v>
      </c>
      <c r="HO216" t="e">
        <f>AND(Sheet1!J2909,"AAAAAHz+/t4=")</f>
        <v>#VALUE!</v>
      </c>
      <c r="HP216" t="e">
        <f>AND(Sheet1!K2909,"AAAAAHz+/t8=")</f>
        <v>#VALUE!</v>
      </c>
      <c r="HQ216" t="e">
        <f>AND(Sheet1!L2909,"AAAAAHz+/uA=")</f>
        <v>#VALUE!</v>
      </c>
      <c r="HR216" t="e">
        <f>AND(Sheet1!M2909,"AAAAAHz+/uE=")</f>
        <v>#VALUE!</v>
      </c>
      <c r="HS216" t="e">
        <f>AND(Sheet1!N2909,"AAAAAHz+/uI=")</f>
        <v>#VALUE!</v>
      </c>
      <c r="HT216" t="e">
        <f>AND(Sheet1!#REF!,"AAAAAHz+/uM=")</f>
        <v>#REF!</v>
      </c>
      <c r="HU216" t="e">
        <f>AND(Sheet1!#REF!,"AAAAAHz+/uQ=")</f>
        <v>#REF!</v>
      </c>
      <c r="HV216" t="e">
        <f>AND(Sheet1!#REF!,"AAAAAHz+/uU=")</f>
        <v>#REF!</v>
      </c>
      <c r="HW216" t="e">
        <f>AND(Sheet1!#REF!,"AAAAAHz+/uY=")</f>
        <v>#REF!</v>
      </c>
      <c r="HX216">
        <f>IF(Sheet1!2910:2910,"AAAAAHz+/uc=",0)</f>
        <v>0</v>
      </c>
      <c r="HY216" t="e">
        <f>AND(Sheet1!A2910,"AAAAAHz+/ug=")</f>
        <v>#VALUE!</v>
      </c>
      <c r="HZ216" t="e">
        <f>AND(Sheet1!B2910,"AAAAAHz+/uk=")</f>
        <v>#VALUE!</v>
      </c>
      <c r="IA216" t="e">
        <f>AND(Sheet1!C2910,"AAAAAHz+/uo=")</f>
        <v>#VALUE!</v>
      </c>
      <c r="IB216" t="e">
        <f>AND(Sheet1!D2910,"AAAAAHz+/us=")</f>
        <v>#VALUE!</v>
      </c>
      <c r="IC216" t="e">
        <f>AND(Sheet1!E2910,"AAAAAHz+/uw=")</f>
        <v>#VALUE!</v>
      </c>
      <c r="ID216" t="e">
        <f>AND(Sheet1!F2910,"AAAAAHz+/u0=")</f>
        <v>#VALUE!</v>
      </c>
      <c r="IE216" t="e">
        <f>AND(Sheet1!G2910,"AAAAAHz+/u4=")</f>
        <v>#VALUE!</v>
      </c>
      <c r="IF216" t="e">
        <f>AND(Sheet1!H2910,"AAAAAHz+/u8=")</f>
        <v>#VALUE!</v>
      </c>
      <c r="IG216" t="e">
        <f>AND(Sheet1!I2910,"AAAAAHz+/vA=")</f>
        <v>#VALUE!</v>
      </c>
      <c r="IH216" t="e">
        <f>AND(Sheet1!J2910,"AAAAAHz+/vE=")</f>
        <v>#VALUE!</v>
      </c>
      <c r="II216" t="e">
        <f>AND(Sheet1!K2910,"AAAAAHz+/vI=")</f>
        <v>#VALUE!</v>
      </c>
      <c r="IJ216" t="e">
        <f>AND(Sheet1!L2910,"AAAAAHz+/vM=")</f>
        <v>#VALUE!</v>
      </c>
      <c r="IK216" t="e">
        <f>AND(Sheet1!M2910,"AAAAAHz+/vQ=")</f>
        <v>#VALUE!</v>
      </c>
      <c r="IL216" t="e">
        <f>AND(Sheet1!N2910,"AAAAAHz+/vU=")</f>
        <v>#VALUE!</v>
      </c>
      <c r="IM216" t="e">
        <f>AND(Sheet1!#REF!,"AAAAAHz+/vY=")</f>
        <v>#REF!</v>
      </c>
      <c r="IN216" t="e">
        <f>AND(Sheet1!#REF!,"AAAAAHz+/vc=")</f>
        <v>#REF!</v>
      </c>
      <c r="IO216" t="e">
        <f>AND(Sheet1!#REF!,"AAAAAHz+/vg=")</f>
        <v>#REF!</v>
      </c>
      <c r="IP216" t="e">
        <f>AND(Sheet1!#REF!,"AAAAAHz+/vk=")</f>
        <v>#REF!</v>
      </c>
      <c r="IQ216">
        <f>IF(Sheet1!2911:2911,"AAAAAHz+/vo=",0)</f>
        <v>0</v>
      </c>
      <c r="IR216" t="e">
        <f>AND(Sheet1!A2911,"AAAAAHz+/vs=")</f>
        <v>#VALUE!</v>
      </c>
      <c r="IS216" t="e">
        <f>AND(Sheet1!B2911,"AAAAAHz+/vw=")</f>
        <v>#VALUE!</v>
      </c>
      <c r="IT216" t="e">
        <f>AND(Sheet1!C2911,"AAAAAHz+/v0=")</f>
        <v>#VALUE!</v>
      </c>
      <c r="IU216" t="e">
        <f>AND(Sheet1!D2911,"AAAAAHz+/v4=")</f>
        <v>#VALUE!</v>
      </c>
      <c r="IV216" t="e">
        <f>AND(Sheet1!E2911,"AAAAAHz+/v8=")</f>
        <v>#VALUE!</v>
      </c>
    </row>
    <row r="217" spans="1:256" x14ac:dyDescent="0.2">
      <c r="A217" t="e">
        <f>AND(Sheet1!F2911,"AAAAAFu5LwA=")</f>
        <v>#VALUE!</v>
      </c>
      <c r="B217" t="e">
        <f>AND(Sheet1!G2911,"AAAAAFu5LwE=")</f>
        <v>#VALUE!</v>
      </c>
      <c r="C217" t="e">
        <f>AND(Sheet1!H2911,"AAAAAFu5LwI=")</f>
        <v>#VALUE!</v>
      </c>
      <c r="D217" t="e">
        <f>AND(Sheet1!I2911,"AAAAAFu5LwM=")</f>
        <v>#VALUE!</v>
      </c>
      <c r="E217" t="e">
        <f>AND(Sheet1!J2911,"AAAAAFu5LwQ=")</f>
        <v>#VALUE!</v>
      </c>
      <c r="F217" t="e">
        <f>AND(Sheet1!K2911,"AAAAAFu5LwU=")</f>
        <v>#VALUE!</v>
      </c>
      <c r="G217" t="e">
        <f>AND(Sheet1!L2911,"AAAAAFu5LwY=")</f>
        <v>#VALUE!</v>
      </c>
      <c r="H217" t="e">
        <f>AND(Sheet1!M2911,"AAAAAFu5Lwc=")</f>
        <v>#VALUE!</v>
      </c>
      <c r="I217" t="e">
        <f>AND(Sheet1!N2911,"AAAAAFu5Lwg=")</f>
        <v>#VALUE!</v>
      </c>
      <c r="J217" t="e">
        <f>AND(Sheet1!#REF!,"AAAAAFu5Lwk=")</f>
        <v>#REF!</v>
      </c>
      <c r="K217" t="e">
        <f>AND(Sheet1!#REF!,"AAAAAFu5Lwo=")</f>
        <v>#REF!</v>
      </c>
      <c r="L217" t="e">
        <f>AND(Sheet1!#REF!,"AAAAAFu5Lws=")</f>
        <v>#REF!</v>
      </c>
      <c r="M217" t="e">
        <f>AND(Sheet1!#REF!,"AAAAAFu5Lww=")</f>
        <v>#REF!</v>
      </c>
      <c r="N217" t="e">
        <f>IF(Sheet1!2912:2912,"AAAAAFu5Lw0=",0)</f>
        <v>#VALUE!</v>
      </c>
      <c r="O217" t="e">
        <f>AND(Sheet1!A2912,"AAAAAFu5Lw4=")</f>
        <v>#VALUE!</v>
      </c>
      <c r="P217" t="e">
        <f>AND(Sheet1!B2912,"AAAAAFu5Lw8=")</f>
        <v>#VALUE!</v>
      </c>
      <c r="Q217" t="e">
        <f>AND(Sheet1!C2912,"AAAAAFu5LxA=")</f>
        <v>#VALUE!</v>
      </c>
      <c r="R217" t="e">
        <f>AND(Sheet1!D2912,"AAAAAFu5LxE=")</f>
        <v>#VALUE!</v>
      </c>
      <c r="S217" t="e">
        <f>AND(Sheet1!E2912,"AAAAAFu5LxI=")</f>
        <v>#VALUE!</v>
      </c>
      <c r="T217" t="e">
        <f>AND(Sheet1!F2912,"AAAAAFu5LxM=")</f>
        <v>#VALUE!</v>
      </c>
      <c r="U217" t="e">
        <f>AND(Sheet1!G2912,"AAAAAFu5LxQ=")</f>
        <v>#VALUE!</v>
      </c>
      <c r="V217" t="e">
        <f>AND(Sheet1!H2912,"AAAAAFu5LxU=")</f>
        <v>#VALUE!</v>
      </c>
      <c r="W217" t="e">
        <f>AND(Sheet1!I2912,"AAAAAFu5LxY=")</f>
        <v>#VALUE!</v>
      </c>
      <c r="X217" t="e">
        <f>AND(Sheet1!J2912,"AAAAAFu5Lxc=")</f>
        <v>#VALUE!</v>
      </c>
      <c r="Y217" t="e">
        <f>AND(Sheet1!K2912,"AAAAAFu5Lxg=")</f>
        <v>#VALUE!</v>
      </c>
      <c r="Z217" t="e">
        <f>AND(Sheet1!L2912,"AAAAAFu5Lxk=")</f>
        <v>#VALUE!</v>
      </c>
      <c r="AA217" t="e">
        <f>AND(Sheet1!M2912,"AAAAAFu5Lxo=")</f>
        <v>#VALUE!</v>
      </c>
      <c r="AB217" t="e">
        <f>AND(Sheet1!N2912,"AAAAAFu5Lxs=")</f>
        <v>#VALUE!</v>
      </c>
      <c r="AC217" t="e">
        <f>AND(Sheet1!#REF!,"AAAAAFu5Lxw=")</f>
        <v>#REF!</v>
      </c>
      <c r="AD217" t="e">
        <f>AND(Sheet1!#REF!,"AAAAAFu5Lx0=")</f>
        <v>#REF!</v>
      </c>
      <c r="AE217" t="e">
        <f>AND(Sheet1!#REF!,"AAAAAFu5Lx4=")</f>
        <v>#REF!</v>
      </c>
      <c r="AF217" t="e">
        <f>AND(Sheet1!#REF!,"AAAAAFu5Lx8=")</f>
        <v>#REF!</v>
      </c>
      <c r="AG217">
        <f>IF(Sheet1!2913:2913,"AAAAAFu5LyA=",0)</f>
        <v>0</v>
      </c>
      <c r="AH217" t="e">
        <f>AND(Sheet1!A2913,"AAAAAFu5LyE=")</f>
        <v>#VALUE!</v>
      </c>
      <c r="AI217" t="e">
        <f>AND(Sheet1!B2913,"AAAAAFu5LyI=")</f>
        <v>#VALUE!</v>
      </c>
      <c r="AJ217" t="e">
        <f>AND(Sheet1!C2913,"AAAAAFu5LyM=")</f>
        <v>#VALUE!</v>
      </c>
      <c r="AK217" t="e">
        <f>AND(Sheet1!D2913,"AAAAAFu5LyQ=")</f>
        <v>#VALUE!</v>
      </c>
      <c r="AL217" t="e">
        <f>AND(Sheet1!E2913,"AAAAAFu5LyU=")</f>
        <v>#VALUE!</v>
      </c>
      <c r="AM217" t="e">
        <f>AND(Sheet1!F2913,"AAAAAFu5LyY=")</f>
        <v>#VALUE!</v>
      </c>
      <c r="AN217" t="e">
        <f>AND(Sheet1!G2913,"AAAAAFu5Lyc=")</f>
        <v>#VALUE!</v>
      </c>
      <c r="AO217" t="e">
        <f>AND(Sheet1!H2913,"AAAAAFu5Lyg=")</f>
        <v>#VALUE!</v>
      </c>
      <c r="AP217" t="e">
        <f>AND(Sheet1!I2913,"AAAAAFu5Lyk=")</f>
        <v>#VALUE!</v>
      </c>
      <c r="AQ217" t="e">
        <f>AND(Sheet1!J2913,"AAAAAFu5Lyo=")</f>
        <v>#VALUE!</v>
      </c>
      <c r="AR217" t="e">
        <f>AND(Sheet1!K2913,"AAAAAFu5Lys=")</f>
        <v>#VALUE!</v>
      </c>
      <c r="AS217" t="e">
        <f>AND(Sheet1!L2913,"AAAAAFu5Lyw=")</f>
        <v>#VALUE!</v>
      </c>
      <c r="AT217" t="e">
        <f>AND(Sheet1!M2913,"AAAAAFu5Ly0=")</f>
        <v>#VALUE!</v>
      </c>
      <c r="AU217" t="e">
        <f>AND(Sheet1!N2913,"AAAAAFu5Ly4=")</f>
        <v>#VALUE!</v>
      </c>
      <c r="AV217" t="e">
        <f>AND(Sheet1!#REF!,"AAAAAFu5Ly8=")</f>
        <v>#REF!</v>
      </c>
      <c r="AW217" t="e">
        <f>AND(Sheet1!#REF!,"AAAAAFu5LzA=")</f>
        <v>#REF!</v>
      </c>
      <c r="AX217" t="e">
        <f>AND(Sheet1!#REF!,"AAAAAFu5LzE=")</f>
        <v>#REF!</v>
      </c>
      <c r="AY217" t="e">
        <f>AND(Sheet1!#REF!,"AAAAAFu5LzI=")</f>
        <v>#REF!</v>
      </c>
      <c r="AZ217">
        <f>IF(Sheet1!2914:2914,"AAAAAFu5LzM=",0)</f>
        <v>0</v>
      </c>
      <c r="BA217" t="e">
        <f>AND(Sheet1!A2914,"AAAAAFu5LzQ=")</f>
        <v>#VALUE!</v>
      </c>
      <c r="BB217" t="e">
        <f>AND(Sheet1!B2914,"AAAAAFu5LzU=")</f>
        <v>#VALUE!</v>
      </c>
      <c r="BC217" t="e">
        <f>AND(Sheet1!C2914,"AAAAAFu5LzY=")</f>
        <v>#VALUE!</v>
      </c>
      <c r="BD217" t="e">
        <f>AND(Sheet1!D2914,"AAAAAFu5Lzc=")</f>
        <v>#VALUE!</v>
      </c>
      <c r="BE217" t="e">
        <f>AND(Sheet1!E2914,"AAAAAFu5Lzg=")</f>
        <v>#VALUE!</v>
      </c>
      <c r="BF217" t="e">
        <f>AND(Sheet1!F2914,"AAAAAFu5Lzk=")</f>
        <v>#VALUE!</v>
      </c>
      <c r="BG217" t="e">
        <f>AND(Sheet1!G2914,"AAAAAFu5Lzo=")</f>
        <v>#VALUE!</v>
      </c>
      <c r="BH217" t="e">
        <f>AND(Sheet1!H2914,"AAAAAFu5Lzs=")</f>
        <v>#VALUE!</v>
      </c>
      <c r="BI217" t="e">
        <f>AND(Sheet1!I2914,"AAAAAFu5Lzw=")</f>
        <v>#VALUE!</v>
      </c>
      <c r="BJ217" t="e">
        <f>AND(Sheet1!J2914,"AAAAAFu5Lz0=")</f>
        <v>#VALUE!</v>
      </c>
      <c r="BK217" t="e">
        <f>AND(Sheet1!K2914,"AAAAAFu5Lz4=")</f>
        <v>#VALUE!</v>
      </c>
      <c r="BL217" t="e">
        <f>AND(Sheet1!L2914,"AAAAAFu5Lz8=")</f>
        <v>#VALUE!</v>
      </c>
      <c r="BM217" t="e">
        <f>AND(Sheet1!M2914,"AAAAAFu5L0A=")</f>
        <v>#VALUE!</v>
      </c>
      <c r="BN217" t="e">
        <f>AND(Sheet1!N2914,"AAAAAFu5L0E=")</f>
        <v>#VALUE!</v>
      </c>
      <c r="BO217" t="e">
        <f>AND(Sheet1!#REF!,"AAAAAFu5L0I=")</f>
        <v>#REF!</v>
      </c>
      <c r="BP217" t="e">
        <f>AND(Sheet1!#REF!,"AAAAAFu5L0M=")</f>
        <v>#REF!</v>
      </c>
      <c r="BQ217" t="e">
        <f>AND(Sheet1!#REF!,"AAAAAFu5L0Q=")</f>
        <v>#REF!</v>
      </c>
      <c r="BR217" t="e">
        <f>AND(Sheet1!#REF!,"AAAAAFu5L0U=")</f>
        <v>#REF!</v>
      </c>
      <c r="BS217">
        <f>IF(Sheet1!2915:2915,"AAAAAFu5L0Y=",0)</f>
        <v>0</v>
      </c>
      <c r="BT217" t="e">
        <f>AND(Sheet1!A2915,"AAAAAFu5L0c=")</f>
        <v>#VALUE!</v>
      </c>
      <c r="BU217" t="e">
        <f>AND(Sheet1!B2915,"AAAAAFu5L0g=")</f>
        <v>#VALUE!</v>
      </c>
      <c r="BV217" t="e">
        <f>AND(Sheet1!C2915,"AAAAAFu5L0k=")</f>
        <v>#VALUE!</v>
      </c>
      <c r="BW217" t="e">
        <f>AND(Sheet1!D2915,"AAAAAFu5L0o=")</f>
        <v>#VALUE!</v>
      </c>
      <c r="BX217" t="e">
        <f>AND(Sheet1!E2915,"AAAAAFu5L0s=")</f>
        <v>#VALUE!</v>
      </c>
      <c r="BY217" t="e">
        <f>AND(Sheet1!F2915,"AAAAAFu5L0w=")</f>
        <v>#VALUE!</v>
      </c>
      <c r="BZ217" t="e">
        <f>AND(Sheet1!G2915,"AAAAAFu5L00=")</f>
        <v>#VALUE!</v>
      </c>
      <c r="CA217" t="e">
        <f>AND(Sheet1!H2915,"AAAAAFu5L04=")</f>
        <v>#VALUE!</v>
      </c>
      <c r="CB217" t="e">
        <f>AND(Sheet1!I2915,"AAAAAFu5L08=")</f>
        <v>#VALUE!</v>
      </c>
      <c r="CC217" t="e">
        <f>AND(Sheet1!J2915,"AAAAAFu5L1A=")</f>
        <v>#VALUE!</v>
      </c>
      <c r="CD217" t="e">
        <f>AND(Sheet1!K2915,"AAAAAFu5L1E=")</f>
        <v>#VALUE!</v>
      </c>
      <c r="CE217" t="e">
        <f>AND(Sheet1!L2915,"AAAAAFu5L1I=")</f>
        <v>#VALUE!</v>
      </c>
      <c r="CF217" t="e">
        <f>AND(Sheet1!M2915,"AAAAAFu5L1M=")</f>
        <v>#VALUE!</v>
      </c>
      <c r="CG217" t="e">
        <f>AND(Sheet1!N2915,"AAAAAFu5L1Q=")</f>
        <v>#VALUE!</v>
      </c>
      <c r="CH217" t="e">
        <f>AND(Sheet1!#REF!,"AAAAAFu5L1U=")</f>
        <v>#REF!</v>
      </c>
      <c r="CI217" t="e">
        <f>AND(Sheet1!#REF!,"AAAAAFu5L1Y=")</f>
        <v>#REF!</v>
      </c>
      <c r="CJ217" t="e">
        <f>AND(Sheet1!#REF!,"AAAAAFu5L1c=")</f>
        <v>#REF!</v>
      </c>
      <c r="CK217" t="e">
        <f>AND(Sheet1!#REF!,"AAAAAFu5L1g=")</f>
        <v>#REF!</v>
      </c>
      <c r="CL217">
        <f>IF(Sheet1!2916:2916,"AAAAAFu5L1k=",0)</f>
        <v>0</v>
      </c>
      <c r="CM217" t="e">
        <f>AND(Sheet1!A2916,"AAAAAFu5L1o=")</f>
        <v>#VALUE!</v>
      </c>
      <c r="CN217" t="e">
        <f>AND(Sheet1!B2916,"AAAAAFu5L1s=")</f>
        <v>#VALUE!</v>
      </c>
      <c r="CO217" t="e">
        <f>AND(Sheet1!C2916,"AAAAAFu5L1w=")</f>
        <v>#VALUE!</v>
      </c>
      <c r="CP217" t="e">
        <f>AND(Sheet1!D2916,"AAAAAFu5L10=")</f>
        <v>#VALUE!</v>
      </c>
      <c r="CQ217" t="e">
        <f>AND(Sheet1!E2916,"AAAAAFu5L14=")</f>
        <v>#VALUE!</v>
      </c>
      <c r="CR217" t="e">
        <f>AND(Sheet1!F2916,"AAAAAFu5L18=")</f>
        <v>#VALUE!</v>
      </c>
      <c r="CS217" t="e">
        <f>AND(Sheet1!G2916,"AAAAAFu5L2A=")</f>
        <v>#VALUE!</v>
      </c>
      <c r="CT217" t="e">
        <f>AND(Sheet1!H2916,"AAAAAFu5L2E=")</f>
        <v>#VALUE!</v>
      </c>
      <c r="CU217" t="e">
        <f>AND(Sheet1!I2916,"AAAAAFu5L2I=")</f>
        <v>#VALUE!</v>
      </c>
      <c r="CV217" t="e">
        <f>AND(Sheet1!J2916,"AAAAAFu5L2M=")</f>
        <v>#VALUE!</v>
      </c>
      <c r="CW217" t="e">
        <f>AND(Sheet1!K2916,"AAAAAFu5L2Q=")</f>
        <v>#VALUE!</v>
      </c>
      <c r="CX217" t="e">
        <f>AND(Sheet1!L2916,"AAAAAFu5L2U=")</f>
        <v>#VALUE!</v>
      </c>
      <c r="CY217" t="e">
        <f>AND(Sheet1!M2916,"AAAAAFu5L2Y=")</f>
        <v>#VALUE!</v>
      </c>
      <c r="CZ217" t="e">
        <f>AND(Sheet1!N2916,"AAAAAFu5L2c=")</f>
        <v>#VALUE!</v>
      </c>
      <c r="DA217" t="e">
        <f>AND(Sheet1!#REF!,"AAAAAFu5L2g=")</f>
        <v>#REF!</v>
      </c>
      <c r="DB217" t="e">
        <f>AND(Sheet1!#REF!,"AAAAAFu5L2k=")</f>
        <v>#REF!</v>
      </c>
      <c r="DC217" t="e">
        <f>AND(Sheet1!#REF!,"AAAAAFu5L2o=")</f>
        <v>#REF!</v>
      </c>
      <c r="DD217" t="e">
        <f>AND(Sheet1!#REF!,"AAAAAFu5L2s=")</f>
        <v>#REF!</v>
      </c>
      <c r="DE217">
        <f>IF(Sheet1!2917:2917,"AAAAAFu5L2w=",0)</f>
        <v>0</v>
      </c>
      <c r="DF217" t="e">
        <f>AND(Sheet1!A2917,"AAAAAFu5L20=")</f>
        <v>#VALUE!</v>
      </c>
      <c r="DG217" t="e">
        <f>AND(Sheet1!B2917,"AAAAAFu5L24=")</f>
        <v>#VALUE!</v>
      </c>
      <c r="DH217" t="e">
        <f>AND(Sheet1!C2917,"AAAAAFu5L28=")</f>
        <v>#VALUE!</v>
      </c>
      <c r="DI217" t="e">
        <f>AND(Sheet1!D2917,"AAAAAFu5L3A=")</f>
        <v>#VALUE!</v>
      </c>
      <c r="DJ217" t="e">
        <f>AND(Sheet1!E2917,"AAAAAFu5L3E=")</f>
        <v>#VALUE!</v>
      </c>
      <c r="DK217" t="e">
        <f>AND(Sheet1!F2917,"AAAAAFu5L3I=")</f>
        <v>#VALUE!</v>
      </c>
      <c r="DL217" t="e">
        <f>AND(Sheet1!G2917,"AAAAAFu5L3M=")</f>
        <v>#VALUE!</v>
      </c>
      <c r="DM217" t="e">
        <f>AND(Sheet1!H2917,"AAAAAFu5L3Q=")</f>
        <v>#VALUE!</v>
      </c>
      <c r="DN217" t="e">
        <f>AND(Sheet1!I2917,"AAAAAFu5L3U=")</f>
        <v>#VALUE!</v>
      </c>
      <c r="DO217" t="e">
        <f>AND(Sheet1!J2917,"AAAAAFu5L3Y=")</f>
        <v>#VALUE!</v>
      </c>
      <c r="DP217" t="e">
        <f>AND(Sheet1!K2917,"AAAAAFu5L3c=")</f>
        <v>#VALUE!</v>
      </c>
      <c r="DQ217" t="e">
        <f>AND(Sheet1!L2917,"AAAAAFu5L3g=")</f>
        <v>#VALUE!</v>
      </c>
      <c r="DR217" t="e">
        <f>AND(Sheet1!M2917,"AAAAAFu5L3k=")</f>
        <v>#VALUE!</v>
      </c>
      <c r="DS217" t="e">
        <f>AND(Sheet1!N2917,"AAAAAFu5L3o=")</f>
        <v>#VALUE!</v>
      </c>
      <c r="DT217" t="e">
        <f>AND(Sheet1!#REF!,"AAAAAFu5L3s=")</f>
        <v>#REF!</v>
      </c>
      <c r="DU217" t="e">
        <f>AND(Sheet1!#REF!,"AAAAAFu5L3w=")</f>
        <v>#REF!</v>
      </c>
      <c r="DV217" t="e">
        <f>AND(Sheet1!#REF!,"AAAAAFu5L30=")</f>
        <v>#REF!</v>
      </c>
      <c r="DW217" t="e">
        <f>AND(Sheet1!#REF!,"AAAAAFu5L34=")</f>
        <v>#REF!</v>
      </c>
      <c r="DX217">
        <f>IF(Sheet1!2918:2918,"AAAAAFu5L38=",0)</f>
        <v>0</v>
      </c>
      <c r="DY217" t="e">
        <f>AND(Sheet1!A2918,"AAAAAFu5L4A=")</f>
        <v>#VALUE!</v>
      </c>
      <c r="DZ217" t="e">
        <f>AND(Sheet1!B2918,"AAAAAFu5L4E=")</f>
        <v>#VALUE!</v>
      </c>
      <c r="EA217" t="e">
        <f>AND(Sheet1!C2918,"AAAAAFu5L4I=")</f>
        <v>#VALUE!</v>
      </c>
      <c r="EB217" t="e">
        <f>AND(Sheet1!D2918,"AAAAAFu5L4M=")</f>
        <v>#VALUE!</v>
      </c>
      <c r="EC217" t="e">
        <f>AND(Sheet1!E2918,"AAAAAFu5L4Q=")</f>
        <v>#VALUE!</v>
      </c>
      <c r="ED217" t="e">
        <f>AND(Sheet1!F2918,"AAAAAFu5L4U=")</f>
        <v>#VALUE!</v>
      </c>
      <c r="EE217" t="e">
        <f>AND(Sheet1!G2918,"AAAAAFu5L4Y=")</f>
        <v>#VALUE!</v>
      </c>
      <c r="EF217" t="e">
        <f>AND(Sheet1!H2918,"AAAAAFu5L4c=")</f>
        <v>#VALUE!</v>
      </c>
      <c r="EG217" t="e">
        <f>AND(Sheet1!I2918,"AAAAAFu5L4g=")</f>
        <v>#VALUE!</v>
      </c>
      <c r="EH217" t="e">
        <f>AND(Sheet1!J2918,"AAAAAFu5L4k=")</f>
        <v>#VALUE!</v>
      </c>
      <c r="EI217" t="e">
        <f>AND(Sheet1!K2918,"AAAAAFu5L4o=")</f>
        <v>#VALUE!</v>
      </c>
      <c r="EJ217" t="e">
        <f>AND(Sheet1!L2918,"AAAAAFu5L4s=")</f>
        <v>#VALUE!</v>
      </c>
      <c r="EK217" t="e">
        <f>AND(Sheet1!M2918,"AAAAAFu5L4w=")</f>
        <v>#VALUE!</v>
      </c>
      <c r="EL217" t="e">
        <f>AND(Sheet1!N2918,"AAAAAFu5L40=")</f>
        <v>#VALUE!</v>
      </c>
      <c r="EM217" t="e">
        <f>AND(Sheet1!#REF!,"AAAAAFu5L44=")</f>
        <v>#REF!</v>
      </c>
      <c r="EN217" t="e">
        <f>AND(Sheet1!#REF!,"AAAAAFu5L48=")</f>
        <v>#REF!</v>
      </c>
      <c r="EO217" t="e">
        <f>AND(Sheet1!#REF!,"AAAAAFu5L5A=")</f>
        <v>#REF!</v>
      </c>
      <c r="EP217" t="e">
        <f>AND(Sheet1!#REF!,"AAAAAFu5L5E=")</f>
        <v>#REF!</v>
      </c>
      <c r="EQ217">
        <f>IF(Sheet1!2919:2919,"AAAAAFu5L5I=",0)</f>
        <v>0</v>
      </c>
      <c r="ER217" t="e">
        <f>AND(Sheet1!A2919,"AAAAAFu5L5M=")</f>
        <v>#VALUE!</v>
      </c>
      <c r="ES217" t="e">
        <f>AND(Sheet1!B2919,"AAAAAFu5L5Q=")</f>
        <v>#VALUE!</v>
      </c>
      <c r="ET217" t="e">
        <f>AND(Sheet1!C2919,"AAAAAFu5L5U=")</f>
        <v>#VALUE!</v>
      </c>
      <c r="EU217" t="e">
        <f>AND(Sheet1!D2919,"AAAAAFu5L5Y=")</f>
        <v>#VALUE!</v>
      </c>
      <c r="EV217" t="e">
        <f>AND(Sheet1!E2919,"AAAAAFu5L5c=")</f>
        <v>#VALUE!</v>
      </c>
      <c r="EW217" t="e">
        <f>AND(Sheet1!F2919,"AAAAAFu5L5g=")</f>
        <v>#VALUE!</v>
      </c>
      <c r="EX217" t="e">
        <f>AND(Sheet1!G2919,"AAAAAFu5L5k=")</f>
        <v>#VALUE!</v>
      </c>
      <c r="EY217" t="e">
        <f>AND(Sheet1!H2919,"AAAAAFu5L5o=")</f>
        <v>#VALUE!</v>
      </c>
      <c r="EZ217" t="e">
        <f>AND(Sheet1!I2919,"AAAAAFu5L5s=")</f>
        <v>#VALUE!</v>
      </c>
      <c r="FA217" t="e">
        <f>AND(Sheet1!J2919,"AAAAAFu5L5w=")</f>
        <v>#VALUE!</v>
      </c>
      <c r="FB217" t="e">
        <f>AND(Sheet1!K2919,"AAAAAFu5L50=")</f>
        <v>#VALUE!</v>
      </c>
      <c r="FC217" t="e">
        <f>AND(Sheet1!L2919,"AAAAAFu5L54=")</f>
        <v>#VALUE!</v>
      </c>
      <c r="FD217" t="e">
        <f>AND(Sheet1!M2919,"AAAAAFu5L58=")</f>
        <v>#VALUE!</v>
      </c>
      <c r="FE217" t="e">
        <f>AND(Sheet1!N2919,"AAAAAFu5L6A=")</f>
        <v>#VALUE!</v>
      </c>
      <c r="FF217" t="e">
        <f>AND(Sheet1!#REF!,"AAAAAFu5L6E=")</f>
        <v>#REF!</v>
      </c>
      <c r="FG217" t="e">
        <f>AND(Sheet1!#REF!,"AAAAAFu5L6I=")</f>
        <v>#REF!</v>
      </c>
      <c r="FH217" t="e">
        <f>AND(Sheet1!#REF!,"AAAAAFu5L6M=")</f>
        <v>#REF!</v>
      </c>
      <c r="FI217" t="e">
        <f>AND(Sheet1!#REF!,"AAAAAFu5L6Q=")</f>
        <v>#REF!</v>
      </c>
      <c r="FJ217">
        <f>IF(Sheet1!2920:2920,"AAAAAFu5L6U=",0)</f>
        <v>0</v>
      </c>
      <c r="FK217" t="e">
        <f>AND(Sheet1!A2920,"AAAAAFu5L6Y=")</f>
        <v>#VALUE!</v>
      </c>
      <c r="FL217" t="e">
        <f>AND(Sheet1!B2920,"AAAAAFu5L6c=")</f>
        <v>#VALUE!</v>
      </c>
      <c r="FM217" t="e">
        <f>AND(Sheet1!C2920,"AAAAAFu5L6g=")</f>
        <v>#VALUE!</v>
      </c>
      <c r="FN217" t="e">
        <f>AND(Sheet1!D2920,"AAAAAFu5L6k=")</f>
        <v>#VALUE!</v>
      </c>
      <c r="FO217" t="e">
        <f>AND(Sheet1!E2920,"AAAAAFu5L6o=")</f>
        <v>#VALUE!</v>
      </c>
      <c r="FP217" t="e">
        <f>AND(Sheet1!F2920,"AAAAAFu5L6s=")</f>
        <v>#VALUE!</v>
      </c>
      <c r="FQ217" t="e">
        <f>AND(Sheet1!G2920,"AAAAAFu5L6w=")</f>
        <v>#VALUE!</v>
      </c>
      <c r="FR217" t="e">
        <f>AND(Sheet1!H2920,"AAAAAFu5L60=")</f>
        <v>#VALUE!</v>
      </c>
      <c r="FS217" t="e">
        <f>AND(Sheet1!I2920,"AAAAAFu5L64=")</f>
        <v>#VALUE!</v>
      </c>
      <c r="FT217" t="e">
        <f>AND(Sheet1!J2920,"AAAAAFu5L68=")</f>
        <v>#VALUE!</v>
      </c>
      <c r="FU217" t="e">
        <f>AND(Sheet1!K2920,"AAAAAFu5L7A=")</f>
        <v>#VALUE!</v>
      </c>
      <c r="FV217" t="e">
        <f>AND(Sheet1!L2920,"AAAAAFu5L7E=")</f>
        <v>#VALUE!</v>
      </c>
      <c r="FW217" t="e">
        <f>AND(Sheet1!M2920,"AAAAAFu5L7I=")</f>
        <v>#VALUE!</v>
      </c>
      <c r="FX217" t="e">
        <f>AND(Sheet1!N2920,"AAAAAFu5L7M=")</f>
        <v>#VALUE!</v>
      </c>
      <c r="FY217" t="e">
        <f>AND(Sheet1!#REF!,"AAAAAFu5L7Q=")</f>
        <v>#REF!</v>
      </c>
      <c r="FZ217" t="e">
        <f>AND(Sheet1!#REF!,"AAAAAFu5L7U=")</f>
        <v>#REF!</v>
      </c>
      <c r="GA217" t="e">
        <f>AND(Sheet1!#REF!,"AAAAAFu5L7Y=")</f>
        <v>#REF!</v>
      </c>
      <c r="GB217" t="e">
        <f>AND(Sheet1!#REF!,"AAAAAFu5L7c=")</f>
        <v>#REF!</v>
      </c>
      <c r="GC217">
        <f>IF(Sheet1!2921:2921,"AAAAAFu5L7g=",0)</f>
        <v>0</v>
      </c>
      <c r="GD217" t="e">
        <f>AND(Sheet1!A2921,"AAAAAFu5L7k=")</f>
        <v>#VALUE!</v>
      </c>
      <c r="GE217" t="e">
        <f>AND(Sheet1!B2921,"AAAAAFu5L7o=")</f>
        <v>#VALUE!</v>
      </c>
      <c r="GF217" t="e">
        <f>AND(Sheet1!C2921,"AAAAAFu5L7s=")</f>
        <v>#VALUE!</v>
      </c>
      <c r="GG217" t="e">
        <f>AND(Sheet1!D2921,"AAAAAFu5L7w=")</f>
        <v>#VALUE!</v>
      </c>
      <c r="GH217" t="e">
        <f>AND(Sheet1!E2921,"AAAAAFu5L70=")</f>
        <v>#VALUE!</v>
      </c>
      <c r="GI217" t="e">
        <f>AND(Sheet1!F2921,"AAAAAFu5L74=")</f>
        <v>#VALUE!</v>
      </c>
      <c r="GJ217" t="e">
        <f>AND(Sheet1!G2921,"AAAAAFu5L78=")</f>
        <v>#VALUE!</v>
      </c>
      <c r="GK217" t="e">
        <f>AND(Sheet1!H2921,"AAAAAFu5L8A=")</f>
        <v>#VALUE!</v>
      </c>
      <c r="GL217" t="e">
        <f>AND(Sheet1!I2921,"AAAAAFu5L8E=")</f>
        <v>#VALUE!</v>
      </c>
      <c r="GM217" t="e">
        <f>AND(Sheet1!J2921,"AAAAAFu5L8I=")</f>
        <v>#VALUE!</v>
      </c>
      <c r="GN217" t="e">
        <f>AND(Sheet1!K2921,"AAAAAFu5L8M=")</f>
        <v>#VALUE!</v>
      </c>
      <c r="GO217" t="e">
        <f>AND(Sheet1!L2921,"AAAAAFu5L8Q=")</f>
        <v>#VALUE!</v>
      </c>
      <c r="GP217" t="e">
        <f>AND(Sheet1!M2921,"AAAAAFu5L8U=")</f>
        <v>#VALUE!</v>
      </c>
      <c r="GQ217" t="e">
        <f>AND(Sheet1!N2921,"AAAAAFu5L8Y=")</f>
        <v>#VALUE!</v>
      </c>
      <c r="GR217" t="e">
        <f>AND(Sheet1!#REF!,"AAAAAFu5L8c=")</f>
        <v>#REF!</v>
      </c>
      <c r="GS217" t="e">
        <f>AND(Sheet1!#REF!,"AAAAAFu5L8g=")</f>
        <v>#REF!</v>
      </c>
      <c r="GT217" t="e">
        <f>AND(Sheet1!#REF!,"AAAAAFu5L8k=")</f>
        <v>#REF!</v>
      </c>
      <c r="GU217" t="e">
        <f>AND(Sheet1!#REF!,"AAAAAFu5L8o=")</f>
        <v>#REF!</v>
      </c>
      <c r="GV217">
        <f>IF(Sheet1!2922:2922,"AAAAAFu5L8s=",0)</f>
        <v>0</v>
      </c>
      <c r="GW217" t="e">
        <f>AND(Sheet1!A2922,"AAAAAFu5L8w=")</f>
        <v>#VALUE!</v>
      </c>
      <c r="GX217" t="e">
        <f>AND(Sheet1!B2922,"AAAAAFu5L80=")</f>
        <v>#VALUE!</v>
      </c>
      <c r="GY217" t="e">
        <f>AND(Sheet1!C2922,"AAAAAFu5L84=")</f>
        <v>#VALUE!</v>
      </c>
      <c r="GZ217" t="e">
        <f>AND(Sheet1!D2922,"AAAAAFu5L88=")</f>
        <v>#VALUE!</v>
      </c>
      <c r="HA217" t="e">
        <f>AND(Sheet1!E2922,"AAAAAFu5L9A=")</f>
        <v>#VALUE!</v>
      </c>
      <c r="HB217" t="e">
        <f>AND(Sheet1!F2922,"AAAAAFu5L9E=")</f>
        <v>#VALUE!</v>
      </c>
      <c r="HC217" t="e">
        <f>AND(Sheet1!G2922,"AAAAAFu5L9I=")</f>
        <v>#VALUE!</v>
      </c>
      <c r="HD217" t="e">
        <f>AND(Sheet1!H2922,"AAAAAFu5L9M=")</f>
        <v>#VALUE!</v>
      </c>
      <c r="HE217" t="e">
        <f>AND(Sheet1!I2922,"AAAAAFu5L9Q=")</f>
        <v>#VALUE!</v>
      </c>
      <c r="HF217" t="e">
        <f>AND(Sheet1!J2922,"AAAAAFu5L9U=")</f>
        <v>#VALUE!</v>
      </c>
      <c r="HG217" t="e">
        <f>AND(Sheet1!K2922,"AAAAAFu5L9Y=")</f>
        <v>#VALUE!</v>
      </c>
      <c r="HH217" t="e">
        <f>AND(Sheet1!L2922,"AAAAAFu5L9c=")</f>
        <v>#VALUE!</v>
      </c>
      <c r="HI217" t="e">
        <f>AND(Sheet1!M2922,"AAAAAFu5L9g=")</f>
        <v>#VALUE!</v>
      </c>
      <c r="HJ217" t="e">
        <f>AND(Sheet1!N2922,"AAAAAFu5L9k=")</f>
        <v>#VALUE!</v>
      </c>
      <c r="HK217" t="e">
        <f>AND(Sheet1!#REF!,"AAAAAFu5L9o=")</f>
        <v>#REF!</v>
      </c>
      <c r="HL217" t="e">
        <f>AND(Sheet1!#REF!,"AAAAAFu5L9s=")</f>
        <v>#REF!</v>
      </c>
      <c r="HM217" t="e">
        <f>AND(Sheet1!#REF!,"AAAAAFu5L9w=")</f>
        <v>#REF!</v>
      </c>
      <c r="HN217" t="e">
        <f>AND(Sheet1!#REF!,"AAAAAFu5L90=")</f>
        <v>#REF!</v>
      </c>
      <c r="HO217">
        <f>IF(Sheet1!2923:2923,"AAAAAFu5L94=",0)</f>
        <v>0</v>
      </c>
      <c r="HP217" t="e">
        <f>AND(Sheet1!A2923,"AAAAAFu5L98=")</f>
        <v>#VALUE!</v>
      </c>
      <c r="HQ217" t="e">
        <f>AND(Sheet1!B2923,"AAAAAFu5L+A=")</f>
        <v>#VALUE!</v>
      </c>
      <c r="HR217" t="e">
        <f>AND(Sheet1!C2923,"AAAAAFu5L+E=")</f>
        <v>#VALUE!</v>
      </c>
      <c r="HS217" t="e">
        <f>AND(Sheet1!D2923,"AAAAAFu5L+I=")</f>
        <v>#VALUE!</v>
      </c>
      <c r="HT217" t="e">
        <f>AND(Sheet1!E2923,"AAAAAFu5L+M=")</f>
        <v>#VALUE!</v>
      </c>
      <c r="HU217" t="e">
        <f>AND(Sheet1!F2923,"AAAAAFu5L+Q=")</f>
        <v>#VALUE!</v>
      </c>
      <c r="HV217" t="e">
        <f>AND(Sheet1!G2923,"AAAAAFu5L+U=")</f>
        <v>#VALUE!</v>
      </c>
      <c r="HW217" t="e">
        <f>AND(Sheet1!H2923,"AAAAAFu5L+Y=")</f>
        <v>#VALUE!</v>
      </c>
      <c r="HX217" t="e">
        <f>AND(Sheet1!I2923,"AAAAAFu5L+c=")</f>
        <v>#VALUE!</v>
      </c>
      <c r="HY217" t="e">
        <f>AND(Sheet1!J2923,"AAAAAFu5L+g=")</f>
        <v>#VALUE!</v>
      </c>
      <c r="HZ217" t="e">
        <f>AND(Sheet1!K2923,"AAAAAFu5L+k=")</f>
        <v>#VALUE!</v>
      </c>
      <c r="IA217" t="e">
        <f>AND(Sheet1!L2923,"AAAAAFu5L+o=")</f>
        <v>#VALUE!</v>
      </c>
      <c r="IB217" t="e">
        <f>AND(Sheet1!M2923,"AAAAAFu5L+s=")</f>
        <v>#VALUE!</v>
      </c>
      <c r="IC217" t="e">
        <f>AND(Sheet1!N2923,"AAAAAFu5L+w=")</f>
        <v>#VALUE!</v>
      </c>
      <c r="ID217" t="e">
        <f>AND(Sheet1!#REF!,"AAAAAFu5L+0=")</f>
        <v>#REF!</v>
      </c>
      <c r="IE217" t="e">
        <f>AND(Sheet1!#REF!,"AAAAAFu5L+4=")</f>
        <v>#REF!</v>
      </c>
      <c r="IF217" t="e">
        <f>AND(Sheet1!#REF!,"AAAAAFu5L+8=")</f>
        <v>#REF!</v>
      </c>
      <c r="IG217" t="e">
        <f>AND(Sheet1!#REF!,"AAAAAFu5L/A=")</f>
        <v>#REF!</v>
      </c>
      <c r="IH217">
        <f>IF(Sheet1!2924:2924,"AAAAAFu5L/E=",0)</f>
        <v>0</v>
      </c>
      <c r="II217" t="e">
        <f>AND(Sheet1!A2924,"AAAAAFu5L/I=")</f>
        <v>#VALUE!</v>
      </c>
      <c r="IJ217" t="e">
        <f>AND(Sheet1!B2924,"AAAAAFu5L/M=")</f>
        <v>#VALUE!</v>
      </c>
      <c r="IK217" t="e">
        <f>AND(Sheet1!C2924,"AAAAAFu5L/Q=")</f>
        <v>#VALUE!</v>
      </c>
      <c r="IL217" t="e">
        <f>AND(Sheet1!D2924,"AAAAAFu5L/U=")</f>
        <v>#VALUE!</v>
      </c>
      <c r="IM217" t="e">
        <f>AND(Sheet1!E2924,"AAAAAFu5L/Y=")</f>
        <v>#VALUE!</v>
      </c>
      <c r="IN217" t="e">
        <f>AND(Sheet1!F2924,"AAAAAFu5L/c=")</f>
        <v>#VALUE!</v>
      </c>
      <c r="IO217" t="e">
        <f>AND(Sheet1!G2924,"AAAAAFu5L/g=")</f>
        <v>#VALUE!</v>
      </c>
      <c r="IP217" t="e">
        <f>AND(Sheet1!H2924,"AAAAAFu5L/k=")</f>
        <v>#VALUE!</v>
      </c>
      <c r="IQ217" t="e">
        <f>AND(Sheet1!I2924,"AAAAAFu5L/o=")</f>
        <v>#VALUE!</v>
      </c>
      <c r="IR217" t="e">
        <f>AND(Sheet1!J2924,"AAAAAFu5L/s=")</f>
        <v>#VALUE!</v>
      </c>
      <c r="IS217" t="e">
        <f>AND(Sheet1!K2924,"AAAAAFu5L/w=")</f>
        <v>#VALUE!</v>
      </c>
      <c r="IT217" t="e">
        <f>AND(Sheet1!L2924,"AAAAAFu5L/0=")</f>
        <v>#VALUE!</v>
      </c>
      <c r="IU217" t="e">
        <f>AND(Sheet1!M2924,"AAAAAFu5L/4=")</f>
        <v>#VALUE!</v>
      </c>
      <c r="IV217" t="e">
        <f>AND(Sheet1!N2924,"AAAAAFu5L/8=")</f>
        <v>#VALUE!</v>
      </c>
    </row>
    <row r="218" spans="1:256" x14ac:dyDescent="0.2">
      <c r="A218" t="e">
        <f>AND(Sheet1!#REF!,"AAAAAH+z9wA=")</f>
        <v>#REF!</v>
      </c>
      <c r="B218" t="e">
        <f>AND(Sheet1!#REF!,"AAAAAH+z9wE=")</f>
        <v>#REF!</v>
      </c>
      <c r="C218" t="e">
        <f>AND(Sheet1!#REF!,"AAAAAH+z9wI=")</f>
        <v>#REF!</v>
      </c>
      <c r="D218" t="e">
        <f>AND(Sheet1!#REF!,"AAAAAH+z9wM=")</f>
        <v>#REF!</v>
      </c>
      <c r="E218" t="str">
        <f>IF(Sheet1!2925:2925,"AAAAAH+z9wQ=",0)</f>
        <v>AAAAAH+z9wQ=</v>
      </c>
      <c r="F218" t="e">
        <f>AND(Sheet1!A2925,"AAAAAH+z9wU=")</f>
        <v>#VALUE!</v>
      </c>
      <c r="G218" t="e">
        <f>AND(Sheet1!B2925,"AAAAAH+z9wY=")</f>
        <v>#VALUE!</v>
      </c>
      <c r="H218" t="e">
        <f>AND(Sheet1!C2925,"AAAAAH+z9wc=")</f>
        <v>#VALUE!</v>
      </c>
      <c r="I218" t="e">
        <f>AND(Sheet1!D2925,"AAAAAH+z9wg=")</f>
        <v>#VALUE!</v>
      </c>
      <c r="J218" t="e">
        <f>AND(Sheet1!E2925,"AAAAAH+z9wk=")</f>
        <v>#VALUE!</v>
      </c>
      <c r="K218" t="e">
        <f>AND(Sheet1!F2925,"AAAAAH+z9wo=")</f>
        <v>#VALUE!</v>
      </c>
      <c r="L218" t="e">
        <f>AND(Sheet1!G2925,"AAAAAH+z9ws=")</f>
        <v>#VALUE!</v>
      </c>
      <c r="M218" t="e">
        <f>AND(Sheet1!H2925,"AAAAAH+z9ww=")</f>
        <v>#VALUE!</v>
      </c>
      <c r="N218" t="e">
        <f>AND(Sheet1!I2925,"AAAAAH+z9w0=")</f>
        <v>#VALUE!</v>
      </c>
      <c r="O218" t="e">
        <f>AND(Sheet1!J2925,"AAAAAH+z9w4=")</f>
        <v>#VALUE!</v>
      </c>
      <c r="P218" t="e">
        <f>AND(Sheet1!K2925,"AAAAAH+z9w8=")</f>
        <v>#VALUE!</v>
      </c>
      <c r="Q218" t="e">
        <f>AND(Sheet1!L2925,"AAAAAH+z9xA=")</f>
        <v>#VALUE!</v>
      </c>
      <c r="R218" t="e">
        <f>AND(Sheet1!M2925,"AAAAAH+z9xE=")</f>
        <v>#VALUE!</v>
      </c>
      <c r="S218" t="e">
        <f>AND(Sheet1!N2925,"AAAAAH+z9xI=")</f>
        <v>#VALUE!</v>
      </c>
      <c r="T218" t="e">
        <f>AND(Sheet1!#REF!,"AAAAAH+z9xM=")</f>
        <v>#REF!</v>
      </c>
      <c r="U218" t="e">
        <f>AND(Sheet1!#REF!,"AAAAAH+z9xQ=")</f>
        <v>#REF!</v>
      </c>
      <c r="V218" t="e">
        <f>AND(Sheet1!#REF!,"AAAAAH+z9xU=")</f>
        <v>#REF!</v>
      </c>
      <c r="W218" t="e">
        <f>AND(Sheet1!#REF!,"AAAAAH+z9xY=")</f>
        <v>#REF!</v>
      </c>
      <c r="X218">
        <f>IF(Sheet1!2926:2926,"AAAAAH+z9xc=",0)</f>
        <v>0</v>
      </c>
      <c r="Y218" t="e">
        <f>AND(Sheet1!A2926,"AAAAAH+z9xg=")</f>
        <v>#VALUE!</v>
      </c>
      <c r="Z218" t="e">
        <f>AND(Sheet1!B2926,"AAAAAH+z9xk=")</f>
        <v>#VALUE!</v>
      </c>
      <c r="AA218" t="e">
        <f>AND(Sheet1!C2926,"AAAAAH+z9xo=")</f>
        <v>#VALUE!</v>
      </c>
      <c r="AB218" t="e">
        <f>AND(Sheet1!D2926,"AAAAAH+z9xs=")</f>
        <v>#VALUE!</v>
      </c>
      <c r="AC218" t="e">
        <f>AND(Sheet1!E2926,"AAAAAH+z9xw=")</f>
        <v>#VALUE!</v>
      </c>
      <c r="AD218" t="e">
        <f>AND(Sheet1!F2926,"AAAAAH+z9x0=")</f>
        <v>#VALUE!</v>
      </c>
      <c r="AE218" t="e">
        <f>AND(Sheet1!G2926,"AAAAAH+z9x4=")</f>
        <v>#VALUE!</v>
      </c>
      <c r="AF218" t="e">
        <f>AND(Sheet1!H2926,"AAAAAH+z9x8=")</f>
        <v>#VALUE!</v>
      </c>
      <c r="AG218" t="e">
        <f>AND(Sheet1!I2926,"AAAAAH+z9yA=")</f>
        <v>#VALUE!</v>
      </c>
      <c r="AH218" t="e">
        <f>AND(Sheet1!J2926,"AAAAAH+z9yE=")</f>
        <v>#VALUE!</v>
      </c>
      <c r="AI218" t="e">
        <f>AND(Sheet1!K2926,"AAAAAH+z9yI=")</f>
        <v>#VALUE!</v>
      </c>
      <c r="AJ218" t="e">
        <f>AND(Sheet1!L2926,"AAAAAH+z9yM=")</f>
        <v>#VALUE!</v>
      </c>
      <c r="AK218" t="e">
        <f>AND(Sheet1!M2926,"AAAAAH+z9yQ=")</f>
        <v>#VALUE!</v>
      </c>
      <c r="AL218" t="e">
        <f>AND(Sheet1!N2926,"AAAAAH+z9yU=")</f>
        <v>#VALUE!</v>
      </c>
      <c r="AM218" t="e">
        <f>AND(Sheet1!#REF!,"AAAAAH+z9yY=")</f>
        <v>#REF!</v>
      </c>
      <c r="AN218" t="e">
        <f>AND(Sheet1!#REF!,"AAAAAH+z9yc=")</f>
        <v>#REF!</v>
      </c>
      <c r="AO218" t="e">
        <f>AND(Sheet1!#REF!,"AAAAAH+z9yg=")</f>
        <v>#REF!</v>
      </c>
      <c r="AP218" t="e">
        <f>AND(Sheet1!#REF!,"AAAAAH+z9yk=")</f>
        <v>#REF!</v>
      </c>
      <c r="AQ218">
        <f>IF(Sheet1!2927:2927,"AAAAAH+z9yo=",0)</f>
        <v>0</v>
      </c>
      <c r="AR218" t="e">
        <f>AND(Sheet1!A2927,"AAAAAH+z9ys=")</f>
        <v>#VALUE!</v>
      </c>
      <c r="AS218" t="e">
        <f>AND(Sheet1!B2927,"AAAAAH+z9yw=")</f>
        <v>#VALUE!</v>
      </c>
      <c r="AT218" t="e">
        <f>AND(Sheet1!C2927,"AAAAAH+z9y0=")</f>
        <v>#VALUE!</v>
      </c>
      <c r="AU218" t="e">
        <f>AND(Sheet1!D2927,"AAAAAH+z9y4=")</f>
        <v>#VALUE!</v>
      </c>
      <c r="AV218" t="e">
        <f>AND(Sheet1!E2927,"AAAAAH+z9y8=")</f>
        <v>#VALUE!</v>
      </c>
      <c r="AW218" t="e">
        <f>AND(Sheet1!F2927,"AAAAAH+z9zA=")</f>
        <v>#VALUE!</v>
      </c>
      <c r="AX218" t="e">
        <f>AND(Sheet1!G2927,"AAAAAH+z9zE=")</f>
        <v>#VALUE!</v>
      </c>
      <c r="AY218" t="e">
        <f>AND(Sheet1!H2927,"AAAAAH+z9zI=")</f>
        <v>#VALUE!</v>
      </c>
      <c r="AZ218" t="e">
        <f>AND(Sheet1!I2927,"AAAAAH+z9zM=")</f>
        <v>#VALUE!</v>
      </c>
      <c r="BA218" t="e">
        <f>AND(Sheet1!J2927,"AAAAAH+z9zQ=")</f>
        <v>#VALUE!</v>
      </c>
      <c r="BB218" t="e">
        <f>AND(Sheet1!K2927,"AAAAAH+z9zU=")</f>
        <v>#VALUE!</v>
      </c>
      <c r="BC218" t="e">
        <f>AND(Sheet1!L2927,"AAAAAH+z9zY=")</f>
        <v>#VALUE!</v>
      </c>
      <c r="BD218" t="e">
        <f>AND(Sheet1!M2927,"AAAAAH+z9zc=")</f>
        <v>#VALUE!</v>
      </c>
      <c r="BE218" t="e">
        <f>AND(Sheet1!N2927,"AAAAAH+z9zg=")</f>
        <v>#VALUE!</v>
      </c>
      <c r="BF218" t="e">
        <f>AND(Sheet1!#REF!,"AAAAAH+z9zk=")</f>
        <v>#REF!</v>
      </c>
      <c r="BG218" t="e">
        <f>AND(Sheet1!#REF!,"AAAAAH+z9zo=")</f>
        <v>#REF!</v>
      </c>
      <c r="BH218" t="e">
        <f>AND(Sheet1!#REF!,"AAAAAH+z9zs=")</f>
        <v>#REF!</v>
      </c>
      <c r="BI218" t="e">
        <f>AND(Sheet1!#REF!,"AAAAAH+z9zw=")</f>
        <v>#REF!</v>
      </c>
      <c r="BJ218">
        <f>IF(Sheet1!2928:2928,"AAAAAH+z9z0=",0)</f>
        <v>0</v>
      </c>
      <c r="BK218" t="e">
        <f>AND(Sheet1!A2928,"AAAAAH+z9z4=")</f>
        <v>#VALUE!</v>
      </c>
      <c r="BL218" t="e">
        <f>AND(Sheet1!B2928,"AAAAAH+z9z8=")</f>
        <v>#VALUE!</v>
      </c>
      <c r="BM218" t="e">
        <f>AND(Sheet1!C2928,"AAAAAH+z90A=")</f>
        <v>#VALUE!</v>
      </c>
      <c r="BN218" t="e">
        <f>AND(Sheet1!D2928,"AAAAAH+z90E=")</f>
        <v>#VALUE!</v>
      </c>
      <c r="BO218" t="e">
        <f>AND(Sheet1!E2928,"AAAAAH+z90I=")</f>
        <v>#VALUE!</v>
      </c>
      <c r="BP218" t="e">
        <f>AND(Sheet1!F2928,"AAAAAH+z90M=")</f>
        <v>#VALUE!</v>
      </c>
      <c r="BQ218" t="e">
        <f>AND(Sheet1!G2928,"AAAAAH+z90Q=")</f>
        <v>#VALUE!</v>
      </c>
      <c r="BR218" t="e">
        <f>AND(Sheet1!H2928,"AAAAAH+z90U=")</f>
        <v>#VALUE!</v>
      </c>
      <c r="BS218" t="e">
        <f>AND(Sheet1!I2928,"AAAAAH+z90Y=")</f>
        <v>#VALUE!</v>
      </c>
      <c r="BT218" t="e">
        <f>AND(Sheet1!J2928,"AAAAAH+z90c=")</f>
        <v>#VALUE!</v>
      </c>
      <c r="BU218" t="e">
        <f>AND(Sheet1!K2928,"AAAAAH+z90g=")</f>
        <v>#VALUE!</v>
      </c>
      <c r="BV218" t="e">
        <f>AND(Sheet1!L2928,"AAAAAH+z90k=")</f>
        <v>#VALUE!</v>
      </c>
      <c r="BW218" t="e">
        <f>AND(Sheet1!M2928,"AAAAAH+z90o=")</f>
        <v>#VALUE!</v>
      </c>
      <c r="BX218" t="e">
        <f>AND(Sheet1!N2928,"AAAAAH+z90s=")</f>
        <v>#VALUE!</v>
      </c>
      <c r="BY218" t="e">
        <f>AND(Sheet1!#REF!,"AAAAAH+z90w=")</f>
        <v>#REF!</v>
      </c>
      <c r="BZ218" t="e">
        <f>AND(Sheet1!#REF!,"AAAAAH+z900=")</f>
        <v>#REF!</v>
      </c>
      <c r="CA218" t="e">
        <f>AND(Sheet1!#REF!,"AAAAAH+z904=")</f>
        <v>#REF!</v>
      </c>
      <c r="CB218" t="e">
        <f>AND(Sheet1!#REF!,"AAAAAH+z908=")</f>
        <v>#REF!</v>
      </c>
      <c r="CC218">
        <f>IF(Sheet1!2929:2929,"AAAAAH+z91A=",0)</f>
        <v>0</v>
      </c>
      <c r="CD218" t="e">
        <f>AND(Sheet1!A2929,"AAAAAH+z91E=")</f>
        <v>#VALUE!</v>
      </c>
      <c r="CE218" t="e">
        <f>AND(Sheet1!B2929,"AAAAAH+z91I=")</f>
        <v>#VALUE!</v>
      </c>
      <c r="CF218" t="e">
        <f>AND(Sheet1!C2929,"AAAAAH+z91M=")</f>
        <v>#VALUE!</v>
      </c>
      <c r="CG218" t="e">
        <f>AND(Sheet1!D2929,"AAAAAH+z91Q=")</f>
        <v>#VALUE!</v>
      </c>
      <c r="CH218" t="e">
        <f>AND(Sheet1!E2929,"AAAAAH+z91U=")</f>
        <v>#VALUE!</v>
      </c>
      <c r="CI218" t="e">
        <f>AND(Sheet1!F2929,"AAAAAH+z91Y=")</f>
        <v>#VALUE!</v>
      </c>
      <c r="CJ218" t="e">
        <f>AND(Sheet1!G2929,"AAAAAH+z91c=")</f>
        <v>#VALUE!</v>
      </c>
      <c r="CK218" t="e">
        <f>AND(Sheet1!H2929,"AAAAAH+z91g=")</f>
        <v>#VALUE!</v>
      </c>
      <c r="CL218" t="e">
        <f>AND(Sheet1!I2929,"AAAAAH+z91k=")</f>
        <v>#VALUE!</v>
      </c>
      <c r="CM218" t="e">
        <f>AND(Sheet1!J2929,"AAAAAH+z91o=")</f>
        <v>#VALUE!</v>
      </c>
      <c r="CN218" t="e">
        <f>AND(Sheet1!K2929,"AAAAAH+z91s=")</f>
        <v>#VALUE!</v>
      </c>
      <c r="CO218" t="e">
        <f>AND(Sheet1!L2929,"AAAAAH+z91w=")</f>
        <v>#VALUE!</v>
      </c>
      <c r="CP218" t="e">
        <f>AND(Sheet1!M2929,"AAAAAH+z910=")</f>
        <v>#VALUE!</v>
      </c>
      <c r="CQ218" t="e">
        <f>AND(Sheet1!N2929,"AAAAAH+z914=")</f>
        <v>#VALUE!</v>
      </c>
      <c r="CR218" t="e">
        <f>AND(Sheet1!#REF!,"AAAAAH+z918=")</f>
        <v>#REF!</v>
      </c>
      <c r="CS218" t="e">
        <f>AND(Sheet1!#REF!,"AAAAAH+z92A=")</f>
        <v>#REF!</v>
      </c>
      <c r="CT218" t="e">
        <f>AND(Sheet1!#REF!,"AAAAAH+z92E=")</f>
        <v>#REF!</v>
      </c>
      <c r="CU218" t="e">
        <f>AND(Sheet1!#REF!,"AAAAAH+z92I=")</f>
        <v>#REF!</v>
      </c>
      <c r="CV218">
        <f>IF(Sheet1!2930:2930,"AAAAAH+z92M=",0)</f>
        <v>0</v>
      </c>
      <c r="CW218" t="e">
        <f>AND(Sheet1!A2930,"AAAAAH+z92Q=")</f>
        <v>#VALUE!</v>
      </c>
      <c r="CX218" t="e">
        <f>AND(Sheet1!B2930,"AAAAAH+z92U=")</f>
        <v>#VALUE!</v>
      </c>
      <c r="CY218" t="e">
        <f>AND(Sheet1!C2930,"AAAAAH+z92Y=")</f>
        <v>#VALUE!</v>
      </c>
      <c r="CZ218" t="e">
        <f>AND(Sheet1!D2930,"AAAAAH+z92c=")</f>
        <v>#VALUE!</v>
      </c>
      <c r="DA218" t="e">
        <f>AND(Sheet1!E2930,"AAAAAH+z92g=")</f>
        <v>#VALUE!</v>
      </c>
      <c r="DB218" t="e">
        <f>AND(Sheet1!F2930,"AAAAAH+z92k=")</f>
        <v>#VALUE!</v>
      </c>
      <c r="DC218" t="e">
        <f>AND(Sheet1!G2930,"AAAAAH+z92o=")</f>
        <v>#VALUE!</v>
      </c>
      <c r="DD218" t="e">
        <f>AND(Sheet1!H2930,"AAAAAH+z92s=")</f>
        <v>#VALUE!</v>
      </c>
      <c r="DE218" t="e">
        <f>AND(Sheet1!I2930,"AAAAAH+z92w=")</f>
        <v>#VALUE!</v>
      </c>
      <c r="DF218" t="e">
        <f>AND(Sheet1!J2930,"AAAAAH+z920=")</f>
        <v>#VALUE!</v>
      </c>
      <c r="DG218" t="e">
        <f>AND(Sheet1!K2930,"AAAAAH+z924=")</f>
        <v>#VALUE!</v>
      </c>
      <c r="DH218" t="e">
        <f>AND(Sheet1!L2930,"AAAAAH+z928=")</f>
        <v>#VALUE!</v>
      </c>
      <c r="DI218" t="e">
        <f>AND(Sheet1!M2930,"AAAAAH+z93A=")</f>
        <v>#VALUE!</v>
      </c>
      <c r="DJ218" t="e">
        <f>AND(Sheet1!N2930,"AAAAAH+z93E=")</f>
        <v>#VALUE!</v>
      </c>
      <c r="DK218" t="e">
        <f>AND(Sheet1!#REF!,"AAAAAH+z93I=")</f>
        <v>#REF!</v>
      </c>
      <c r="DL218" t="e">
        <f>AND(Sheet1!#REF!,"AAAAAH+z93M=")</f>
        <v>#REF!</v>
      </c>
      <c r="DM218" t="e">
        <f>AND(Sheet1!#REF!,"AAAAAH+z93Q=")</f>
        <v>#REF!</v>
      </c>
      <c r="DN218" t="e">
        <f>AND(Sheet1!#REF!,"AAAAAH+z93U=")</f>
        <v>#REF!</v>
      </c>
      <c r="DO218">
        <f>IF(Sheet1!2931:2931,"AAAAAH+z93Y=",0)</f>
        <v>0</v>
      </c>
      <c r="DP218" t="e">
        <f>AND(Sheet1!A2931,"AAAAAH+z93c=")</f>
        <v>#VALUE!</v>
      </c>
      <c r="DQ218" t="e">
        <f>AND(Sheet1!B2931,"AAAAAH+z93g=")</f>
        <v>#VALUE!</v>
      </c>
      <c r="DR218" t="e">
        <f>AND(Sheet1!C2931,"AAAAAH+z93k=")</f>
        <v>#VALUE!</v>
      </c>
      <c r="DS218" t="e">
        <f>AND(Sheet1!D2931,"AAAAAH+z93o=")</f>
        <v>#VALUE!</v>
      </c>
      <c r="DT218" t="e">
        <f>AND(Sheet1!E2931,"AAAAAH+z93s=")</f>
        <v>#VALUE!</v>
      </c>
      <c r="DU218" t="e">
        <f>AND(Sheet1!F2931,"AAAAAH+z93w=")</f>
        <v>#VALUE!</v>
      </c>
      <c r="DV218" t="e">
        <f>AND(Sheet1!G2931,"AAAAAH+z930=")</f>
        <v>#VALUE!</v>
      </c>
      <c r="DW218" t="e">
        <f>AND(Sheet1!H2931,"AAAAAH+z934=")</f>
        <v>#VALUE!</v>
      </c>
      <c r="DX218" t="e">
        <f>AND(Sheet1!I2931,"AAAAAH+z938=")</f>
        <v>#VALUE!</v>
      </c>
      <c r="DY218" t="e">
        <f>AND(Sheet1!J2931,"AAAAAH+z94A=")</f>
        <v>#VALUE!</v>
      </c>
      <c r="DZ218" t="e">
        <f>AND(Sheet1!K2931,"AAAAAH+z94E=")</f>
        <v>#VALUE!</v>
      </c>
      <c r="EA218" t="e">
        <f>AND(Sheet1!L2931,"AAAAAH+z94I=")</f>
        <v>#VALUE!</v>
      </c>
      <c r="EB218" t="e">
        <f>AND(Sheet1!M2931,"AAAAAH+z94M=")</f>
        <v>#VALUE!</v>
      </c>
      <c r="EC218" t="e">
        <f>AND(Sheet1!N2931,"AAAAAH+z94Q=")</f>
        <v>#VALUE!</v>
      </c>
      <c r="ED218" t="e">
        <f>AND(Sheet1!#REF!,"AAAAAH+z94U=")</f>
        <v>#REF!</v>
      </c>
      <c r="EE218" t="e">
        <f>AND(Sheet1!#REF!,"AAAAAH+z94Y=")</f>
        <v>#REF!</v>
      </c>
      <c r="EF218" t="e">
        <f>AND(Sheet1!#REF!,"AAAAAH+z94c=")</f>
        <v>#REF!</v>
      </c>
      <c r="EG218" t="e">
        <f>AND(Sheet1!#REF!,"AAAAAH+z94g=")</f>
        <v>#REF!</v>
      </c>
      <c r="EH218">
        <f>IF(Sheet1!2932:2932,"AAAAAH+z94k=",0)</f>
        <v>0</v>
      </c>
      <c r="EI218" t="e">
        <f>AND(Sheet1!A2932,"AAAAAH+z94o=")</f>
        <v>#VALUE!</v>
      </c>
      <c r="EJ218" t="e">
        <f>AND(Sheet1!B2932,"AAAAAH+z94s=")</f>
        <v>#VALUE!</v>
      </c>
      <c r="EK218" t="e">
        <f>AND(Sheet1!C2932,"AAAAAH+z94w=")</f>
        <v>#VALUE!</v>
      </c>
      <c r="EL218" t="e">
        <f>AND(Sheet1!D2932,"AAAAAH+z940=")</f>
        <v>#VALUE!</v>
      </c>
      <c r="EM218" t="e">
        <f>AND(Sheet1!E2932,"AAAAAH+z944=")</f>
        <v>#VALUE!</v>
      </c>
      <c r="EN218" t="e">
        <f>AND(Sheet1!F2932,"AAAAAH+z948=")</f>
        <v>#VALUE!</v>
      </c>
      <c r="EO218" t="e">
        <f>AND(Sheet1!G2932,"AAAAAH+z95A=")</f>
        <v>#VALUE!</v>
      </c>
      <c r="EP218" t="e">
        <f>AND(Sheet1!H2932,"AAAAAH+z95E=")</f>
        <v>#VALUE!</v>
      </c>
      <c r="EQ218" t="e">
        <f>AND(Sheet1!I2932,"AAAAAH+z95I=")</f>
        <v>#VALUE!</v>
      </c>
      <c r="ER218" t="e">
        <f>AND(Sheet1!J2932,"AAAAAH+z95M=")</f>
        <v>#VALUE!</v>
      </c>
      <c r="ES218" t="e">
        <f>AND(Sheet1!K2932,"AAAAAH+z95Q=")</f>
        <v>#VALUE!</v>
      </c>
      <c r="ET218" t="e">
        <f>AND(Sheet1!L2932,"AAAAAH+z95U=")</f>
        <v>#VALUE!</v>
      </c>
      <c r="EU218" t="e">
        <f>AND(Sheet1!M2932,"AAAAAH+z95Y=")</f>
        <v>#VALUE!</v>
      </c>
      <c r="EV218" t="e">
        <f>AND(Sheet1!N2932,"AAAAAH+z95c=")</f>
        <v>#VALUE!</v>
      </c>
      <c r="EW218" t="e">
        <f>AND(Sheet1!#REF!,"AAAAAH+z95g=")</f>
        <v>#REF!</v>
      </c>
      <c r="EX218" t="e">
        <f>AND(Sheet1!#REF!,"AAAAAH+z95k=")</f>
        <v>#REF!</v>
      </c>
      <c r="EY218" t="e">
        <f>AND(Sheet1!#REF!,"AAAAAH+z95o=")</f>
        <v>#REF!</v>
      </c>
      <c r="EZ218" t="e">
        <f>AND(Sheet1!#REF!,"AAAAAH+z95s=")</f>
        <v>#REF!</v>
      </c>
      <c r="FA218">
        <f>IF(Sheet1!2933:2933,"AAAAAH+z95w=",0)</f>
        <v>0</v>
      </c>
      <c r="FB218" t="e">
        <f>AND(Sheet1!A2933,"AAAAAH+z950=")</f>
        <v>#VALUE!</v>
      </c>
      <c r="FC218" t="e">
        <f>AND(Sheet1!B2933,"AAAAAH+z954=")</f>
        <v>#VALUE!</v>
      </c>
      <c r="FD218" t="e">
        <f>AND(Sheet1!C2933,"AAAAAH+z958=")</f>
        <v>#VALUE!</v>
      </c>
      <c r="FE218" t="e">
        <f>AND(Sheet1!D2933,"AAAAAH+z96A=")</f>
        <v>#VALUE!</v>
      </c>
      <c r="FF218" t="e">
        <f>AND(Sheet1!E2933,"AAAAAH+z96E=")</f>
        <v>#VALUE!</v>
      </c>
      <c r="FG218" t="e">
        <f>AND(Sheet1!F2933,"AAAAAH+z96I=")</f>
        <v>#VALUE!</v>
      </c>
      <c r="FH218" t="e">
        <f>AND(Sheet1!G2933,"AAAAAH+z96M=")</f>
        <v>#VALUE!</v>
      </c>
      <c r="FI218" t="e">
        <f>AND(Sheet1!H2933,"AAAAAH+z96Q=")</f>
        <v>#VALUE!</v>
      </c>
      <c r="FJ218" t="e">
        <f>AND(Sheet1!I2933,"AAAAAH+z96U=")</f>
        <v>#VALUE!</v>
      </c>
      <c r="FK218" t="e">
        <f>AND(Sheet1!J2933,"AAAAAH+z96Y=")</f>
        <v>#VALUE!</v>
      </c>
      <c r="FL218" t="e">
        <f>AND(Sheet1!K2933,"AAAAAH+z96c=")</f>
        <v>#VALUE!</v>
      </c>
      <c r="FM218" t="e">
        <f>AND(Sheet1!L2933,"AAAAAH+z96g=")</f>
        <v>#VALUE!</v>
      </c>
      <c r="FN218" t="e">
        <f>AND(Sheet1!M2933,"AAAAAH+z96k=")</f>
        <v>#VALUE!</v>
      </c>
      <c r="FO218" t="e">
        <f>AND(Sheet1!N2933,"AAAAAH+z96o=")</f>
        <v>#VALUE!</v>
      </c>
      <c r="FP218" t="e">
        <f>AND(Sheet1!#REF!,"AAAAAH+z96s=")</f>
        <v>#REF!</v>
      </c>
      <c r="FQ218" t="e">
        <f>AND(Sheet1!#REF!,"AAAAAH+z96w=")</f>
        <v>#REF!</v>
      </c>
      <c r="FR218" t="e">
        <f>AND(Sheet1!#REF!,"AAAAAH+z960=")</f>
        <v>#REF!</v>
      </c>
      <c r="FS218" t="e">
        <f>AND(Sheet1!#REF!,"AAAAAH+z964=")</f>
        <v>#REF!</v>
      </c>
      <c r="FT218">
        <f>IF(Sheet1!2934:2934,"AAAAAH+z968=",0)</f>
        <v>0</v>
      </c>
      <c r="FU218" t="e">
        <f>AND(Sheet1!A2934,"AAAAAH+z97A=")</f>
        <v>#VALUE!</v>
      </c>
      <c r="FV218" t="e">
        <f>AND(Sheet1!B2934,"AAAAAH+z97E=")</f>
        <v>#VALUE!</v>
      </c>
      <c r="FW218" t="e">
        <f>AND(Sheet1!C2934,"AAAAAH+z97I=")</f>
        <v>#VALUE!</v>
      </c>
      <c r="FX218" t="e">
        <f>AND(Sheet1!D2934,"AAAAAH+z97M=")</f>
        <v>#VALUE!</v>
      </c>
      <c r="FY218" t="e">
        <f>AND(Sheet1!E2934,"AAAAAH+z97Q=")</f>
        <v>#VALUE!</v>
      </c>
      <c r="FZ218" t="e">
        <f>AND(Sheet1!F2934,"AAAAAH+z97U=")</f>
        <v>#VALUE!</v>
      </c>
      <c r="GA218" t="e">
        <f>AND(Sheet1!G2934,"AAAAAH+z97Y=")</f>
        <v>#VALUE!</v>
      </c>
      <c r="GB218" t="e">
        <f>AND(Sheet1!H2934,"AAAAAH+z97c=")</f>
        <v>#VALUE!</v>
      </c>
      <c r="GC218" t="e">
        <f>AND(Sheet1!I2934,"AAAAAH+z97g=")</f>
        <v>#VALUE!</v>
      </c>
      <c r="GD218" t="e">
        <f>AND(Sheet1!J2934,"AAAAAH+z97k=")</f>
        <v>#VALUE!</v>
      </c>
      <c r="GE218" t="e">
        <f>AND(Sheet1!K2934,"AAAAAH+z97o=")</f>
        <v>#VALUE!</v>
      </c>
      <c r="GF218" t="e">
        <f>AND(Sheet1!L2934,"AAAAAH+z97s=")</f>
        <v>#VALUE!</v>
      </c>
      <c r="GG218" t="e">
        <f>AND(Sheet1!M2934,"AAAAAH+z97w=")</f>
        <v>#VALUE!</v>
      </c>
      <c r="GH218" t="e">
        <f>AND(Sheet1!N2934,"AAAAAH+z970=")</f>
        <v>#VALUE!</v>
      </c>
      <c r="GI218" t="e">
        <f>AND(Sheet1!#REF!,"AAAAAH+z974=")</f>
        <v>#REF!</v>
      </c>
      <c r="GJ218" t="e">
        <f>AND(Sheet1!#REF!,"AAAAAH+z978=")</f>
        <v>#REF!</v>
      </c>
      <c r="GK218" t="e">
        <f>AND(Sheet1!#REF!,"AAAAAH+z98A=")</f>
        <v>#REF!</v>
      </c>
      <c r="GL218" t="e">
        <f>AND(Sheet1!#REF!,"AAAAAH+z98E=")</f>
        <v>#REF!</v>
      </c>
      <c r="GM218">
        <f>IF(Sheet1!2935:2935,"AAAAAH+z98I=",0)</f>
        <v>0</v>
      </c>
      <c r="GN218" t="e">
        <f>AND(Sheet1!A2935,"AAAAAH+z98M=")</f>
        <v>#VALUE!</v>
      </c>
      <c r="GO218" t="e">
        <f>AND(Sheet1!B2935,"AAAAAH+z98Q=")</f>
        <v>#VALUE!</v>
      </c>
      <c r="GP218" t="e">
        <f>AND(Sheet1!C2935,"AAAAAH+z98U=")</f>
        <v>#VALUE!</v>
      </c>
      <c r="GQ218" t="e">
        <f>AND(Sheet1!D2935,"AAAAAH+z98Y=")</f>
        <v>#VALUE!</v>
      </c>
      <c r="GR218" t="e">
        <f>AND(Sheet1!E2935,"AAAAAH+z98c=")</f>
        <v>#VALUE!</v>
      </c>
      <c r="GS218" t="e">
        <f>AND(Sheet1!F2935,"AAAAAH+z98g=")</f>
        <v>#VALUE!</v>
      </c>
      <c r="GT218" t="e">
        <f>AND(Sheet1!G2935,"AAAAAH+z98k=")</f>
        <v>#VALUE!</v>
      </c>
      <c r="GU218" t="e">
        <f>AND(Sheet1!H2935,"AAAAAH+z98o=")</f>
        <v>#VALUE!</v>
      </c>
      <c r="GV218" t="e">
        <f>AND(Sheet1!I2935,"AAAAAH+z98s=")</f>
        <v>#VALUE!</v>
      </c>
      <c r="GW218" t="e">
        <f>AND(Sheet1!J2935,"AAAAAH+z98w=")</f>
        <v>#VALUE!</v>
      </c>
      <c r="GX218" t="e">
        <f>AND(Sheet1!K2935,"AAAAAH+z980=")</f>
        <v>#VALUE!</v>
      </c>
      <c r="GY218" t="e">
        <f>AND(Sheet1!L2935,"AAAAAH+z984=")</f>
        <v>#VALUE!</v>
      </c>
      <c r="GZ218" t="e">
        <f>AND(Sheet1!M2935,"AAAAAH+z988=")</f>
        <v>#VALUE!</v>
      </c>
      <c r="HA218" t="e">
        <f>AND(Sheet1!N2935,"AAAAAH+z99A=")</f>
        <v>#VALUE!</v>
      </c>
      <c r="HB218" t="e">
        <f>AND(Sheet1!#REF!,"AAAAAH+z99E=")</f>
        <v>#REF!</v>
      </c>
      <c r="HC218" t="e">
        <f>AND(Sheet1!#REF!,"AAAAAH+z99I=")</f>
        <v>#REF!</v>
      </c>
      <c r="HD218" t="e">
        <f>AND(Sheet1!#REF!,"AAAAAH+z99M=")</f>
        <v>#REF!</v>
      </c>
      <c r="HE218" t="e">
        <f>AND(Sheet1!#REF!,"AAAAAH+z99Q=")</f>
        <v>#REF!</v>
      </c>
      <c r="HF218">
        <f>IF(Sheet1!2936:2936,"AAAAAH+z99U=",0)</f>
        <v>0</v>
      </c>
      <c r="HG218" t="e">
        <f>AND(Sheet1!A2936,"AAAAAH+z99Y=")</f>
        <v>#VALUE!</v>
      </c>
      <c r="HH218" t="e">
        <f>AND(Sheet1!B2936,"AAAAAH+z99c=")</f>
        <v>#VALUE!</v>
      </c>
      <c r="HI218" t="e">
        <f>AND(Sheet1!C2936,"AAAAAH+z99g=")</f>
        <v>#VALUE!</v>
      </c>
      <c r="HJ218" t="e">
        <f>AND(Sheet1!D2936,"AAAAAH+z99k=")</f>
        <v>#VALUE!</v>
      </c>
      <c r="HK218" t="e">
        <f>AND(Sheet1!E2936,"AAAAAH+z99o=")</f>
        <v>#VALUE!</v>
      </c>
      <c r="HL218" t="e">
        <f>AND(Sheet1!F2936,"AAAAAH+z99s=")</f>
        <v>#VALUE!</v>
      </c>
      <c r="HM218" t="e">
        <f>AND(Sheet1!G2936,"AAAAAH+z99w=")</f>
        <v>#VALUE!</v>
      </c>
      <c r="HN218" t="e">
        <f>AND(Sheet1!H2936,"AAAAAH+z990=")</f>
        <v>#VALUE!</v>
      </c>
      <c r="HO218" t="e">
        <f>AND(Sheet1!I2936,"AAAAAH+z994=")</f>
        <v>#VALUE!</v>
      </c>
      <c r="HP218" t="e">
        <f>AND(Sheet1!J2936,"AAAAAH+z998=")</f>
        <v>#VALUE!</v>
      </c>
      <c r="HQ218" t="e">
        <f>AND(Sheet1!K2936,"AAAAAH+z9+A=")</f>
        <v>#VALUE!</v>
      </c>
      <c r="HR218" t="e">
        <f>AND(Sheet1!L2936,"AAAAAH+z9+E=")</f>
        <v>#VALUE!</v>
      </c>
      <c r="HS218" t="e">
        <f>AND(Sheet1!M2936,"AAAAAH+z9+I=")</f>
        <v>#VALUE!</v>
      </c>
      <c r="HT218" t="e">
        <f>AND(Sheet1!N2936,"AAAAAH+z9+M=")</f>
        <v>#VALUE!</v>
      </c>
      <c r="HU218" t="e">
        <f>AND(Sheet1!#REF!,"AAAAAH+z9+Q=")</f>
        <v>#REF!</v>
      </c>
      <c r="HV218" t="e">
        <f>AND(Sheet1!#REF!,"AAAAAH+z9+U=")</f>
        <v>#REF!</v>
      </c>
      <c r="HW218" t="e">
        <f>AND(Sheet1!#REF!,"AAAAAH+z9+Y=")</f>
        <v>#REF!</v>
      </c>
      <c r="HX218" t="e">
        <f>AND(Sheet1!#REF!,"AAAAAH+z9+c=")</f>
        <v>#REF!</v>
      </c>
      <c r="HY218">
        <f>IF(Sheet1!2937:2937,"AAAAAH+z9+g=",0)</f>
        <v>0</v>
      </c>
      <c r="HZ218" t="e">
        <f>AND(Sheet1!A2937,"AAAAAH+z9+k=")</f>
        <v>#VALUE!</v>
      </c>
      <c r="IA218" t="e">
        <f>AND(Sheet1!B2937,"AAAAAH+z9+o=")</f>
        <v>#VALUE!</v>
      </c>
      <c r="IB218" t="e">
        <f>AND(Sheet1!C2937,"AAAAAH+z9+s=")</f>
        <v>#VALUE!</v>
      </c>
      <c r="IC218" t="e">
        <f>AND(Sheet1!D2937,"AAAAAH+z9+w=")</f>
        <v>#VALUE!</v>
      </c>
      <c r="ID218" t="e">
        <f>AND(Sheet1!E2937,"AAAAAH+z9+0=")</f>
        <v>#VALUE!</v>
      </c>
      <c r="IE218" t="e">
        <f>AND(Sheet1!F2937,"AAAAAH+z9+4=")</f>
        <v>#VALUE!</v>
      </c>
      <c r="IF218" t="e">
        <f>AND(Sheet1!G2937,"AAAAAH+z9+8=")</f>
        <v>#VALUE!</v>
      </c>
      <c r="IG218" t="e">
        <f>AND(Sheet1!H2937,"AAAAAH+z9/A=")</f>
        <v>#VALUE!</v>
      </c>
      <c r="IH218" t="e">
        <f>AND(Sheet1!I2937,"AAAAAH+z9/E=")</f>
        <v>#VALUE!</v>
      </c>
      <c r="II218" t="e">
        <f>AND(Sheet1!J2937,"AAAAAH+z9/I=")</f>
        <v>#VALUE!</v>
      </c>
      <c r="IJ218" t="e">
        <f>AND(Sheet1!K2937,"AAAAAH+z9/M=")</f>
        <v>#VALUE!</v>
      </c>
      <c r="IK218" t="e">
        <f>AND(Sheet1!L2937,"AAAAAH+z9/Q=")</f>
        <v>#VALUE!</v>
      </c>
      <c r="IL218" t="e">
        <f>AND(Sheet1!M2937,"AAAAAH+z9/U=")</f>
        <v>#VALUE!</v>
      </c>
      <c r="IM218" t="e">
        <f>AND(Sheet1!N2937,"AAAAAH+z9/Y=")</f>
        <v>#VALUE!</v>
      </c>
      <c r="IN218" t="e">
        <f>AND(Sheet1!#REF!,"AAAAAH+z9/c=")</f>
        <v>#REF!</v>
      </c>
      <c r="IO218" t="e">
        <f>AND(Sheet1!#REF!,"AAAAAH+z9/g=")</f>
        <v>#REF!</v>
      </c>
      <c r="IP218" t="e">
        <f>AND(Sheet1!#REF!,"AAAAAH+z9/k=")</f>
        <v>#REF!</v>
      </c>
      <c r="IQ218" t="e">
        <f>AND(Sheet1!#REF!,"AAAAAH+z9/o=")</f>
        <v>#REF!</v>
      </c>
      <c r="IR218">
        <f>IF(Sheet1!2938:2938,"AAAAAH+z9/s=",0)</f>
        <v>0</v>
      </c>
      <c r="IS218" t="e">
        <f>AND(Sheet1!A2938,"AAAAAH+z9/w=")</f>
        <v>#VALUE!</v>
      </c>
      <c r="IT218" t="e">
        <f>AND(Sheet1!B2938,"AAAAAH+z9/0=")</f>
        <v>#VALUE!</v>
      </c>
      <c r="IU218" t="e">
        <f>AND(Sheet1!C2938,"AAAAAH+z9/4=")</f>
        <v>#VALUE!</v>
      </c>
      <c r="IV218" t="e">
        <f>AND(Sheet1!D2938,"AAAAAH+z9/8=")</f>
        <v>#VALUE!</v>
      </c>
    </row>
    <row r="219" spans="1:256" x14ac:dyDescent="0.2">
      <c r="A219" t="e">
        <f>AND(Sheet1!E2938,"AAAAADd33wA=")</f>
        <v>#VALUE!</v>
      </c>
      <c r="B219" t="e">
        <f>AND(Sheet1!F2938,"AAAAADd33wE=")</f>
        <v>#VALUE!</v>
      </c>
      <c r="C219" t="e">
        <f>AND(Sheet1!G2938,"AAAAADd33wI=")</f>
        <v>#VALUE!</v>
      </c>
      <c r="D219" t="e">
        <f>AND(Sheet1!H2938,"AAAAADd33wM=")</f>
        <v>#VALUE!</v>
      </c>
      <c r="E219" t="e">
        <f>AND(Sheet1!I2938,"AAAAADd33wQ=")</f>
        <v>#VALUE!</v>
      </c>
      <c r="F219" t="e">
        <f>AND(Sheet1!J2938,"AAAAADd33wU=")</f>
        <v>#VALUE!</v>
      </c>
      <c r="G219" t="e">
        <f>AND(Sheet1!K2938,"AAAAADd33wY=")</f>
        <v>#VALUE!</v>
      </c>
      <c r="H219" t="e">
        <f>AND(Sheet1!L2938,"AAAAADd33wc=")</f>
        <v>#VALUE!</v>
      </c>
      <c r="I219" t="e">
        <f>AND(Sheet1!M2938,"AAAAADd33wg=")</f>
        <v>#VALUE!</v>
      </c>
      <c r="J219" t="e">
        <f>AND(Sheet1!N2938,"AAAAADd33wk=")</f>
        <v>#VALUE!</v>
      </c>
      <c r="K219" t="e">
        <f>AND(Sheet1!#REF!,"AAAAADd33wo=")</f>
        <v>#REF!</v>
      </c>
      <c r="L219" t="e">
        <f>AND(Sheet1!#REF!,"AAAAADd33ws=")</f>
        <v>#REF!</v>
      </c>
      <c r="M219" t="e">
        <f>AND(Sheet1!#REF!,"AAAAADd33ww=")</f>
        <v>#REF!</v>
      </c>
      <c r="N219" t="e">
        <f>AND(Sheet1!#REF!,"AAAAADd33w0=")</f>
        <v>#REF!</v>
      </c>
      <c r="O219">
        <f>IF(Sheet1!2939:2939,"AAAAADd33w4=",0)</f>
        <v>0</v>
      </c>
      <c r="P219" t="e">
        <f>AND(Sheet1!A2939,"AAAAADd33w8=")</f>
        <v>#VALUE!</v>
      </c>
      <c r="Q219" t="e">
        <f>AND(Sheet1!B2939,"AAAAADd33xA=")</f>
        <v>#VALUE!</v>
      </c>
      <c r="R219" t="e">
        <f>AND(Sheet1!C2939,"AAAAADd33xE=")</f>
        <v>#VALUE!</v>
      </c>
      <c r="S219" t="e">
        <f>AND(Sheet1!D2939,"AAAAADd33xI=")</f>
        <v>#VALUE!</v>
      </c>
      <c r="T219" t="e">
        <f>AND(Sheet1!E2939,"AAAAADd33xM=")</f>
        <v>#VALUE!</v>
      </c>
      <c r="U219" t="e">
        <f>AND(Sheet1!F2939,"AAAAADd33xQ=")</f>
        <v>#VALUE!</v>
      </c>
      <c r="V219" t="e">
        <f>AND(Sheet1!G2939,"AAAAADd33xU=")</f>
        <v>#VALUE!</v>
      </c>
      <c r="W219" t="e">
        <f>AND(Sheet1!H2939,"AAAAADd33xY=")</f>
        <v>#VALUE!</v>
      </c>
      <c r="X219" t="e">
        <f>AND(Sheet1!I2939,"AAAAADd33xc=")</f>
        <v>#VALUE!</v>
      </c>
      <c r="Y219" t="e">
        <f>AND(Sheet1!J2939,"AAAAADd33xg=")</f>
        <v>#VALUE!</v>
      </c>
      <c r="Z219" t="e">
        <f>AND(Sheet1!K2939,"AAAAADd33xk=")</f>
        <v>#VALUE!</v>
      </c>
      <c r="AA219" t="e">
        <f>AND(Sheet1!L2939,"AAAAADd33xo=")</f>
        <v>#VALUE!</v>
      </c>
      <c r="AB219" t="e">
        <f>AND(Sheet1!M2939,"AAAAADd33xs=")</f>
        <v>#VALUE!</v>
      </c>
      <c r="AC219" t="e">
        <f>AND(Sheet1!N2939,"AAAAADd33xw=")</f>
        <v>#VALUE!</v>
      </c>
      <c r="AD219" t="e">
        <f>AND(Sheet1!#REF!,"AAAAADd33x0=")</f>
        <v>#REF!</v>
      </c>
      <c r="AE219" t="e">
        <f>AND(Sheet1!#REF!,"AAAAADd33x4=")</f>
        <v>#REF!</v>
      </c>
      <c r="AF219" t="e">
        <f>AND(Sheet1!#REF!,"AAAAADd33x8=")</f>
        <v>#REF!</v>
      </c>
      <c r="AG219" t="e">
        <f>AND(Sheet1!#REF!,"AAAAADd33yA=")</f>
        <v>#REF!</v>
      </c>
      <c r="AH219">
        <f>IF(Sheet1!2940:2940,"AAAAADd33yE=",0)</f>
        <v>0</v>
      </c>
      <c r="AI219" t="e">
        <f>AND(Sheet1!A2940,"AAAAADd33yI=")</f>
        <v>#VALUE!</v>
      </c>
      <c r="AJ219" t="e">
        <f>AND(Sheet1!B2940,"AAAAADd33yM=")</f>
        <v>#VALUE!</v>
      </c>
      <c r="AK219" t="e">
        <f>AND(Sheet1!C2940,"AAAAADd33yQ=")</f>
        <v>#VALUE!</v>
      </c>
      <c r="AL219" t="e">
        <f>AND(Sheet1!D2940,"AAAAADd33yU=")</f>
        <v>#VALUE!</v>
      </c>
      <c r="AM219" t="e">
        <f>AND(Sheet1!E2940,"AAAAADd33yY=")</f>
        <v>#VALUE!</v>
      </c>
      <c r="AN219" t="e">
        <f>AND(Sheet1!F2940,"AAAAADd33yc=")</f>
        <v>#VALUE!</v>
      </c>
      <c r="AO219" t="e">
        <f>AND(Sheet1!G2940,"AAAAADd33yg=")</f>
        <v>#VALUE!</v>
      </c>
      <c r="AP219" t="e">
        <f>AND(Sheet1!H2940,"AAAAADd33yk=")</f>
        <v>#VALUE!</v>
      </c>
      <c r="AQ219" t="e">
        <f>AND(Sheet1!I2940,"AAAAADd33yo=")</f>
        <v>#VALUE!</v>
      </c>
      <c r="AR219" t="e">
        <f>AND(Sheet1!J2940,"AAAAADd33ys=")</f>
        <v>#VALUE!</v>
      </c>
      <c r="AS219" t="e">
        <f>AND(Sheet1!K2940,"AAAAADd33yw=")</f>
        <v>#VALUE!</v>
      </c>
      <c r="AT219" t="e">
        <f>AND(Sheet1!L2940,"AAAAADd33y0=")</f>
        <v>#VALUE!</v>
      </c>
      <c r="AU219" t="e">
        <f>AND(Sheet1!M2940,"AAAAADd33y4=")</f>
        <v>#VALUE!</v>
      </c>
      <c r="AV219" t="e">
        <f>AND(Sheet1!N2940,"AAAAADd33y8=")</f>
        <v>#VALUE!</v>
      </c>
      <c r="AW219" t="e">
        <f>AND(Sheet1!#REF!,"AAAAADd33zA=")</f>
        <v>#REF!</v>
      </c>
      <c r="AX219" t="e">
        <f>AND(Sheet1!#REF!,"AAAAADd33zE=")</f>
        <v>#REF!</v>
      </c>
      <c r="AY219" t="e">
        <f>AND(Sheet1!#REF!,"AAAAADd33zI=")</f>
        <v>#REF!</v>
      </c>
      <c r="AZ219" t="e">
        <f>AND(Sheet1!#REF!,"AAAAADd33zM=")</f>
        <v>#REF!</v>
      </c>
      <c r="BA219">
        <f>IF(Sheet1!2941:2941,"AAAAADd33zQ=",0)</f>
        <v>0</v>
      </c>
      <c r="BB219" t="e">
        <f>AND(Sheet1!A2941,"AAAAADd33zU=")</f>
        <v>#VALUE!</v>
      </c>
      <c r="BC219" t="e">
        <f>AND(Sheet1!B2941,"AAAAADd33zY=")</f>
        <v>#VALUE!</v>
      </c>
      <c r="BD219" t="e">
        <f>AND(Sheet1!C2941,"AAAAADd33zc=")</f>
        <v>#VALUE!</v>
      </c>
      <c r="BE219" t="e">
        <f>AND(Sheet1!D2941,"AAAAADd33zg=")</f>
        <v>#VALUE!</v>
      </c>
      <c r="BF219" t="e">
        <f>AND(Sheet1!E2941,"AAAAADd33zk=")</f>
        <v>#VALUE!</v>
      </c>
      <c r="BG219" t="e">
        <f>AND(Sheet1!F2941,"AAAAADd33zo=")</f>
        <v>#VALUE!</v>
      </c>
      <c r="BH219" t="e">
        <f>AND(Sheet1!G2941,"AAAAADd33zs=")</f>
        <v>#VALUE!</v>
      </c>
      <c r="BI219" t="e">
        <f>AND(Sheet1!H2941,"AAAAADd33zw=")</f>
        <v>#VALUE!</v>
      </c>
      <c r="BJ219" t="e">
        <f>AND(Sheet1!I2941,"AAAAADd33z0=")</f>
        <v>#VALUE!</v>
      </c>
      <c r="BK219" t="e">
        <f>AND(Sheet1!J2941,"AAAAADd33z4=")</f>
        <v>#VALUE!</v>
      </c>
      <c r="BL219" t="e">
        <f>AND(Sheet1!K2941,"AAAAADd33z8=")</f>
        <v>#VALUE!</v>
      </c>
      <c r="BM219" t="e">
        <f>AND(Sheet1!L2941,"AAAAADd330A=")</f>
        <v>#VALUE!</v>
      </c>
      <c r="BN219" t="e">
        <f>AND(Sheet1!M2941,"AAAAADd330E=")</f>
        <v>#VALUE!</v>
      </c>
      <c r="BO219" t="e">
        <f>AND(Sheet1!N2941,"AAAAADd330I=")</f>
        <v>#VALUE!</v>
      </c>
      <c r="BP219" t="e">
        <f>AND(Sheet1!#REF!,"AAAAADd330M=")</f>
        <v>#REF!</v>
      </c>
      <c r="BQ219" t="e">
        <f>AND(Sheet1!#REF!,"AAAAADd330Q=")</f>
        <v>#REF!</v>
      </c>
      <c r="BR219" t="e">
        <f>AND(Sheet1!#REF!,"AAAAADd330U=")</f>
        <v>#REF!</v>
      </c>
      <c r="BS219" t="e">
        <f>AND(Sheet1!#REF!,"AAAAADd330Y=")</f>
        <v>#REF!</v>
      </c>
      <c r="BT219">
        <f>IF(Sheet1!2942:2942,"AAAAADd330c=",0)</f>
        <v>0</v>
      </c>
      <c r="BU219" t="e">
        <f>AND(Sheet1!A2942,"AAAAADd330g=")</f>
        <v>#VALUE!</v>
      </c>
      <c r="BV219" t="e">
        <f>AND(Sheet1!B2942,"AAAAADd330k=")</f>
        <v>#VALUE!</v>
      </c>
      <c r="BW219" t="e">
        <f>AND(Sheet1!C2942,"AAAAADd330o=")</f>
        <v>#VALUE!</v>
      </c>
      <c r="BX219" t="e">
        <f>AND(Sheet1!D2942,"AAAAADd330s=")</f>
        <v>#VALUE!</v>
      </c>
      <c r="BY219" t="e">
        <f>AND(Sheet1!E2942,"AAAAADd330w=")</f>
        <v>#VALUE!</v>
      </c>
      <c r="BZ219" t="e">
        <f>AND(Sheet1!F2942,"AAAAADd3300=")</f>
        <v>#VALUE!</v>
      </c>
      <c r="CA219" t="e">
        <f>AND(Sheet1!G2942,"AAAAADd3304=")</f>
        <v>#VALUE!</v>
      </c>
      <c r="CB219" t="e">
        <f>AND(Sheet1!H2942,"AAAAADd3308=")</f>
        <v>#VALUE!</v>
      </c>
      <c r="CC219" t="e">
        <f>AND(Sheet1!I2942,"AAAAADd331A=")</f>
        <v>#VALUE!</v>
      </c>
      <c r="CD219" t="e">
        <f>AND(Sheet1!J2942,"AAAAADd331E=")</f>
        <v>#VALUE!</v>
      </c>
      <c r="CE219" t="e">
        <f>AND(Sheet1!K2942,"AAAAADd331I=")</f>
        <v>#VALUE!</v>
      </c>
      <c r="CF219" t="e">
        <f>AND(Sheet1!L2942,"AAAAADd331M=")</f>
        <v>#VALUE!</v>
      </c>
      <c r="CG219" t="e">
        <f>AND(Sheet1!M2942,"AAAAADd331Q=")</f>
        <v>#VALUE!</v>
      </c>
      <c r="CH219" t="e">
        <f>AND(Sheet1!N2942,"AAAAADd331U=")</f>
        <v>#VALUE!</v>
      </c>
      <c r="CI219" t="e">
        <f>AND(Sheet1!#REF!,"AAAAADd331Y=")</f>
        <v>#REF!</v>
      </c>
      <c r="CJ219" t="e">
        <f>AND(Sheet1!#REF!,"AAAAADd331c=")</f>
        <v>#REF!</v>
      </c>
      <c r="CK219" t="e">
        <f>AND(Sheet1!#REF!,"AAAAADd331g=")</f>
        <v>#REF!</v>
      </c>
      <c r="CL219" t="e">
        <f>AND(Sheet1!#REF!,"AAAAADd331k=")</f>
        <v>#REF!</v>
      </c>
      <c r="CM219">
        <f>IF(Sheet1!2943:2943,"AAAAADd331o=",0)</f>
        <v>0</v>
      </c>
      <c r="CN219" t="e">
        <f>AND(Sheet1!A2943,"AAAAADd331s=")</f>
        <v>#VALUE!</v>
      </c>
      <c r="CO219" t="e">
        <f>AND(Sheet1!B2943,"AAAAADd331w=")</f>
        <v>#VALUE!</v>
      </c>
      <c r="CP219" t="e">
        <f>AND(Sheet1!C2943,"AAAAADd3310=")</f>
        <v>#VALUE!</v>
      </c>
      <c r="CQ219" t="e">
        <f>AND(Sheet1!D2943,"AAAAADd3314=")</f>
        <v>#VALUE!</v>
      </c>
      <c r="CR219" t="e">
        <f>AND(Sheet1!E2943,"AAAAADd3318=")</f>
        <v>#VALUE!</v>
      </c>
      <c r="CS219" t="e">
        <f>AND(Sheet1!F2943,"AAAAADd332A=")</f>
        <v>#VALUE!</v>
      </c>
      <c r="CT219" t="e">
        <f>AND(Sheet1!G2943,"AAAAADd332E=")</f>
        <v>#VALUE!</v>
      </c>
      <c r="CU219" t="e">
        <f>AND(Sheet1!H2943,"AAAAADd332I=")</f>
        <v>#VALUE!</v>
      </c>
      <c r="CV219" t="e">
        <f>AND(Sheet1!I2943,"AAAAADd332M=")</f>
        <v>#VALUE!</v>
      </c>
      <c r="CW219" t="e">
        <f>AND(Sheet1!J2943,"AAAAADd332Q=")</f>
        <v>#VALUE!</v>
      </c>
      <c r="CX219" t="e">
        <f>AND(Sheet1!K2943,"AAAAADd332U=")</f>
        <v>#VALUE!</v>
      </c>
      <c r="CY219" t="e">
        <f>AND(Sheet1!L2943,"AAAAADd332Y=")</f>
        <v>#VALUE!</v>
      </c>
      <c r="CZ219" t="e">
        <f>AND(Sheet1!M2943,"AAAAADd332c=")</f>
        <v>#VALUE!</v>
      </c>
      <c r="DA219" t="e">
        <f>AND(Sheet1!N2943,"AAAAADd332g=")</f>
        <v>#VALUE!</v>
      </c>
      <c r="DB219" t="e">
        <f>AND(Sheet1!#REF!,"AAAAADd332k=")</f>
        <v>#REF!</v>
      </c>
      <c r="DC219" t="e">
        <f>AND(Sheet1!#REF!,"AAAAADd332o=")</f>
        <v>#REF!</v>
      </c>
      <c r="DD219" t="e">
        <f>AND(Sheet1!#REF!,"AAAAADd332s=")</f>
        <v>#REF!</v>
      </c>
      <c r="DE219" t="e">
        <f>AND(Sheet1!#REF!,"AAAAADd332w=")</f>
        <v>#REF!</v>
      </c>
      <c r="DF219">
        <f>IF(Sheet1!2944:2944,"AAAAADd3320=",0)</f>
        <v>0</v>
      </c>
      <c r="DG219" t="e">
        <f>AND(Sheet1!A2944,"AAAAADd3324=")</f>
        <v>#VALUE!</v>
      </c>
      <c r="DH219" t="e">
        <f>AND(Sheet1!B2944,"AAAAADd3328=")</f>
        <v>#VALUE!</v>
      </c>
      <c r="DI219" t="e">
        <f>AND(Sheet1!C2944,"AAAAADd333A=")</f>
        <v>#VALUE!</v>
      </c>
      <c r="DJ219" t="e">
        <f>AND(Sheet1!D2944,"AAAAADd333E=")</f>
        <v>#VALUE!</v>
      </c>
      <c r="DK219" t="e">
        <f>AND(Sheet1!E2944,"AAAAADd333I=")</f>
        <v>#VALUE!</v>
      </c>
      <c r="DL219" t="e">
        <f>AND(Sheet1!F2944,"AAAAADd333M=")</f>
        <v>#VALUE!</v>
      </c>
      <c r="DM219" t="e">
        <f>AND(Sheet1!G2944,"AAAAADd333Q=")</f>
        <v>#VALUE!</v>
      </c>
      <c r="DN219" t="e">
        <f>AND(Sheet1!H2944,"AAAAADd333U=")</f>
        <v>#VALUE!</v>
      </c>
      <c r="DO219" t="e">
        <f>AND(Sheet1!I2944,"AAAAADd333Y=")</f>
        <v>#VALUE!</v>
      </c>
      <c r="DP219" t="e">
        <f>AND(Sheet1!J2944,"AAAAADd333c=")</f>
        <v>#VALUE!</v>
      </c>
      <c r="DQ219" t="e">
        <f>AND(Sheet1!K2944,"AAAAADd333g=")</f>
        <v>#VALUE!</v>
      </c>
      <c r="DR219" t="e">
        <f>AND(Sheet1!L2944,"AAAAADd333k=")</f>
        <v>#VALUE!</v>
      </c>
      <c r="DS219" t="e">
        <f>AND(Sheet1!M2944,"AAAAADd333o=")</f>
        <v>#VALUE!</v>
      </c>
      <c r="DT219" t="e">
        <f>AND(Sheet1!N2944,"AAAAADd333s=")</f>
        <v>#VALUE!</v>
      </c>
      <c r="DU219" t="e">
        <f>AND(Sheet1!#REF!,"AAAAADd333w=")</f>
        <v>#REF!</v>
      </c>
      <c r="DV219" t="e">
        <f>AND(Sheet1!#REF!,"AAAAADd3330=")</f>
        <v>#REF!</v>
      </c>
      <c r="DW219" t="e">
        <f>AND(Sheet1!#REF!,"AAAAADd3334=")</f>
        <v>#REF!</v>
      </c>
      <c r="DX219" t="e">
        <f>AND(Sheet1!#REF!,"AAAAADd3338=")</f>
        <v>#REF!</v>
      </c>
      <c r="DY219">
        <f>IF(Sheet1!2945:2945,"AAAAADd334A=",0)</f>
        <v>0</v>
      </c>
      <c r="DZ219" t="e">
        <f>AND(Sheet1!A2945,"AAAAADd334E=")</f>
        <v>#VALUE!</v>
      </c>
      <c r="EA219" t="e">
        <f>AND(Sheet1!B2945,"AAAAADd334I=")</f>
        <v>#VALUE!</v>
      </c>
      <c r="EB219" t="e">
        <f>AND(Sheet1!C2945,"AAAAADd334M=")</f>
        <v>#VALUE!</v>
      </c>
      <c r="EC219" t="e">
        <f>AND(Sheet1!D2945,"AAAAADd334Q=")</f>
        <v>#VALUE!</v>
      </c>
      <c r="ED219" t="e">
        <f>AND(Sheet1!E2945,"AAAAADd334U=")</f>
        <v>#VALUE!</v>
      </c>
      <c r="EE219" t="e">
        <f>AND(Sheet1!F2945,"AAAAADd334Y=")</f>
        <v>#VALUE!</v>
      </c>
      <c r="EF219" t="e">
        <f>AND(Sheet1!G2945,"AAAAADd334c=")</f>
        <v>#VALUE!</v>
      </c>
      <c r="EG219" t="e">
        <f>AND(Sheet1!H2945,"AAAAADd334g=")</f>
        <v>#VALUE!</v>
      </c>
      <c r="EH219" t="e">
        <f>AND(Sheet1!I2945,"AAAAADd334k=")</f>
        <v>#VALUE!</v>
      </c>
      <c r="EI219" t="e">
        <f>AND(Sheet1!J2945,"AAAAADd334o=")</f>
        <v>#VALUE!</v>
      </c>
      <c r="EJ219" t="e">
        <f>AND(Sheet1!K2945,"AAAAADd334s=")</f>
        <v>#VALUE!</v>
      </c>
      <c r="EK219" t="e">
        <f>AND(Sheet1!L2945,"AAAAADd334w=")</f>
        <v>#VALUE!</v>
      </c>
      <c r="EL219" t="e">
        <f>AND(Sheet1!M2945,"AAAAADd3340=")</f>
        <v>#VALUE!</v>
      </c>
      <c r="EM219" t="e">
        <f>AND(Sheet1!N2945,"AAAAADd3344=")</f>
        <v>#VALUE!</v>
      </c>
      <c r="EN219" t="e">
        <f>AND(Sheet1!#REF!,"AAAAADd3348=")</f>
        <v>#REF!</v>
      </c>
      <c r="EO219" t="e">
        <f>AND(Sheet1!#REF!,"AAAAADd335A=")</f>
        <v>#REF!</v>
      </c>
      <c r="EP219" t="e">
        <f>AND(Sheet1!#REF!,"AAAAADd335E=")</f>
        <v>#REF!</v>
      </c>
      <c r="EQ219" t="e">
        <f>AND(Sheet1!#REF!,"AAAAADd335I=")</f>
        <v>#REF!</v>
      </c>
      <c r="ER219">
        <f>IF(Sheet1!2946:2946,"AAAAADd335M=",0)</f>
        <v>0</v>
      </c>
      <c r="ES219" t="e">
        <f>AND(Sheet1!A2946,"AAAAADd335Q=")</f>
        <v>#VALUE!</v>
      </c>
      <c r="ET219" t="e">
        <f>AND(Sheet1!B2946,"AAAAADd335U=")</f>
        <v>#VALUE!</v>
      </c>
      <c r="EU219" t="e">
        <f>AND(Sheet1!C2946,"AAAAADd335Y=")</f>
        <v>#VALUE!</v>
      </c>
      <c r="EV219" t="e">
        <f>AND(Sheet1!D2946,"AAAAADd335c=")</f>
        <v>#VALUE!</v>
      </c>
      <c r="EW219" t="e">
        <f>AND(Sheet1!E2946,"AAAAADd335g=")</f>
        <v>#VALUE!</v>
      </c>
      <c r="EX219" t="e">
        <f>AND(Sheet1!F2946,"AAAAADd335k=")</f>
        <v>#VALUE!</v>
      </c>
      <c r="EY219" t="e">
        <f>AND(Sheet1!G2946,"AAAAADd335o=")</f>
        <v>#VALUE!</v>
      </c>
      <c r="EZ219" t="e">
        <f>AND(Sheet1!H2946,"AAAAADd335s=")</f>
        <v>#VALUE!</v>
      </c>
      <c r="FA219" t="e">
        <f>AND(Sheet1!I2946,"AAAAADd335w=")</f>
        <v>#VALUE!</v>
      </c>
      <c r="FB219" t="e">
        <f>AND(Sheet1!J2946,"AAAAADd3350=")</f>
        <v>#VALUE!</v>
      </c>
      <c r="FC219" t="e">
        <f>AND(Sheet1!K2946,"AAAAADd3354=")</f>
        <v>#VALUE!</v>
      </c>
      <c r="FD219" t="e">
        <f>AND(Sheet1!L2946,"AAAAADd3358=")</f>
        <v>#VALUE!</v>
      </c>
      <c r="FE219" t="e">
        <f>AND(Sheet1!M2946,"AAAAADd336A=")</f>
        <v>#VALUE!</v>
      </c>
      <c r="FF219" t="e">
        <f>AND(Sheet1!N2946,"AAAAADd336E=")</f>
        <v>#VALUE!</v>
      </c>
      <c r="FG219" t="e">
        <f>AND(Sheet1!#REF!,"AAAAADd336I=")</f>
        <v>#REF!</v>
      </c>
      <c r="FH219" t="e">
        <f>AND(Sheet1!#REF!,"AAAAADd336M=")</f>
        <v>#REF!</v>
      </c>
      <c r="FI219" t="e">
        <f>AND(Sheet1!#REF!,"AAAAADd336Q=")</f>
        <v>#REF!</v>
      </c>
      <c r="FJ219" t="e">
        <f>AND(Sheet1!#REF!,"AAAAADd336U=")</f>
        <v>#REF!</v>
      </c>
      <c r="FK219">
        <f>IF(Sheet1!2947:2947,"AAAAADd336Y=",0)</f>
        <v>0</v>
      </c>
      <c r="FL219" t="e">
        <f>AND(Sheet1!A2947,"AAAAADd336c=")</f>
        <v>#VALUE!</v>
      </c>
      <c r="FM219" t="e">
        <f>AND(Sheet1!B2947,"AAAAADd336g=")</f>
        <v>#VALUE!</v>
      </c>
      <c r="FN219" t="e">
        <f>AND(Sheet1!C2947,"AAAAADd336k=")</f>
        <v>#VALUE!</v>
      </c>
      <c r="FO219" t="e">
        <f>AND(Sheet1!D2947,"AAAAADd336o=")</f>
        <v>#VALUE!</v>
      </c>
      <c r="FP219" t="e">
        <f>AND(Sheet1!E2947,"AAAAADd336s=")</f>
        <v>#VALUE!</v>
      </c>
      <c r="FQ219" t="e">
        <f>AND(Sheet1!F2947,"AAAAADd336w=")</f>
        <v>#VALUE!</v>
      </c>
      <c r="FR219" t="e">
        <f>AND(Sheet1!G2947,"AAAAADd3360=")</f>
        <v>#VALUE!</v>
      </c>
      <c r="FS219" t="e">
        <f>AND(Sheet1!H2947,"AAAAADd3364=")</f>
        <v>#VALUE!</v>
      </c>
      <c r="FT219" t="e">
        <f>AND(Sheet1!I2947,"AAAAADd3368=")</f>
        <v>#VALUE!</v>
      </c>
      <c r="FU219" t="e">
        <f>AND(Sheet1!J2947,"AAAAADd337A=")</f>
        <v>#VALUE!</v>
      </c>
      <c r="FV219" t="e">
        <f>AND(Sheet1!K2947,"AAAAADd337E=")</f>
        <v>#VALUE!</v>
      </c>
      <c r="FW219" t="e">
        <f>AND(Sheet1!L2947,"AAAAADd337I=")</f>
        <v>#VALUE!</v>
      </c>
      <c r="FX219" t="e">
        <f>AND(Sheet1!M2947,"AAAAADd337M=")</f>
        <v>#VALUE!</v>
      </c>
      <c r="FY219" t="e">
        <f>AND(Sheet1!N2947,"AAAAADd337Q=")</f>
        <v>#VALUE!</v>
      </c>
      <c r="FZ219" t="e">
        <f>AND(Sheet1!#REF!,"AAAAADd337U=")</f>
        <v>#REF!</v>
      </c>
      <c r="GA219" t="e">
        <f>AND(Sheet1!#REF!,"AAAAADd337Y=")</f>
        <v>#REF!</v>
      </c>
      <c r="GB219" t="e">
        <f>AND(Sheet1!#REF!,"AAAAADd337c=")</f>
        <v>#REF!</v>
      </c>
      <c r="GC219" t="e">
        <f>AND(Sheet1!#REF!,"AAAAADd337g=")</f>
        <v>#REF!</v>
      </c>
      <c r="GD219">
        <f>IF(Sheet1!2948:2948,"AAAAADd337k=",0)</f>
        <v>0</v>
      </c>
      <c r="GE219" t="e">
        <f>AND(Sheet1!A2948,"AAAAADd337o=")</f>
        <v>#VALUE!</v>
      </c>
      <c r="GF219" t="e">
        <f>AND(Sheet1!B2948,"AAAAADd337s=")</f>
        <v>#VALUE!</v>
      </c>
      <c r="GG219" t="e">
        <f>AND(Sheet1!C2948,"AAAAADd337w=")</f>
        <v>#VALUE!</v>
      </c>
      <c r="GH219" t="e">
        <f>AND(Sheet1!D2948,"AAAAADd3370=")</f>
        <v>#VALUE!</v>
      </c>
      <c r="GI219" t="e">
        <f>AND(Sheet1!E2948,"AAAAADd3374=")</f>
        <v>#VALUE!</v>
      </c>
      <c r="GJ219" t="e">
        <f>AND(Sheet1!F2948,"AAAAADd3378=")</f>
        <v>#VALUE!</v>
      </c>
      <c r="GK219" t="e">
        <f>AND(Sheet1!G2948,"AAAAADd338A=")</f>
        <v>#VALUE!</v>
      </c>
      <c r="GL219" t="e">
        <f>AND(Sheet1!H2948,"AAAAADd338E=")</f>
        <v>#VALUE!</v>
      </c>
      <c r="GM219" t="e">
        <f>AND(Sheet1!I2948,"AAAAADd338I=")</f>
        <v>#VALUE!</v>
      </c>
      <c r="GN219" t="e">
        <f>AND(Sheet1!J2948,"AAAAADd338M=")</f>
        <v>#VALUE!</v>
      </c>
      <c r="GO219" t="e">
        <f>AND(Sheet1!K2948,"AAAAADd338Q=")</f>
        <v>#VALUE!</v>
      </c>
      <c r="GP219" t="e">
        <f>AND(Sheet1!L2948,"AAAAADd338U=")</f>
        <v>#VALUE!</v>
      </c>
      <c r="GQ219" t="e">
        <f>AND(Sheet1!M2948,"AAAAADd338Y=")</f>
        <v>#VALUE!</v>
      </c>
      <c r="GR219" t="e">
        <f>AND(Sheet1!N2948,"AAAAADd338c=")</f>
        <v>#VALUE!</v>
      </c>
      <c r="GS219" t="e">
        <f>AND(Sheet1!#REF!,"AAAAADd338g=")</f>
        <v>#REF!</v>
      </c>
      <c r="GT219" t="e">
        <f>AND(Sheet1!#REF!,"AAAAADd338k=")</f>
        <v>#REF!</v>
      </c>
      <c r="GU219" t="e">
        <f>AND(Sheet1!#REF!,"AAAAADd338o=")</f>
        <v>#REF!</v>
      </c>
      <c r="GV219" t="e">
        <f>AND(Sheet1!#REF!,"AAAAADd338s=")</f>
        <v>#REF!</v>
      </c>
      <c r="GW219">
        <f>IF(Sheet1!2949:2949,"AAAAADd338w=",0)</f>
        <v>0</v>
      </c>
      <c r="GX219" t="e">
        <f>AND(Sheet1!A2949,"AAAAADd3380=")</f>
        <v>#VALUE!</v>
      </c>
      <c r="GY219" t="e">
        <f>AND(Sheet1!B2949,"AAAAADd3384=")</f>
        <v>#VALUE!</v>
      </c>
      <c r="GZ219" t="e">
        <f>AND(Sheet1!C2949,"AAAAADd3388=")</f>
        <v>#VALUE!</v>
      </c>
      <c r="HA219" t="e">
        <f>AND(Sheet1!D2949,"AAAAADd339A=")</f>
        <v>#VALUE!</v>
      </c>
      <c r="HB219" t="e">
        <f>AND(Sheet1!E2949,"AAAAADd339E=")</f>
        <v>#VALUE!</v>
      </c>
      <c r="HC219" t="e">
        <f>AND(Sheet1!F2949,"AAAAADd339I=")</f>
        <v>#VALUE!</v>
      </c>
      <c r="HD219" t="e">
        <f>AND(Sheet1!G2949,"AAAAADd339M=")</f>
        <v>#VALUE!</v>
      </c>
      <c r="HE219" t="e">
        <f>AND(Sheet1!H2949,"AAAAADd339Q=")</f>
        <v>#VALUE!</v>
      </c>
      <c r="HF219" t="e">
        <f>AND(Sheet1!I2949,"AAAAADd339U=")</f>
        <v>#VALUE!</v>
      </c>
      <c r="HG219" t="e">
        <f>AND(Sheet1!J2949,"AAAAADd339Y=")</f>
        <v>#VALUE!</v>
      </c>
      <c r="HH219" t="e">
        <f>AND(Sheet1!K2949,"AAAAADd339c=")</f>
        <v>#VALUE!</v>
      </c>
      <c r="HI219" t="e">
        <f>AND(Sheet1!L2949,"AAAAADd339g=")</f>
        <v>#VALUE!</v>
      </c>
      <c r="HJ219" t="e">
        <f>AND(Sheet1!M2949,"AAAAADd339k=")</f>
        <v>#VALUE!</v>
      </c>
      <c r="HK219" t="e">
        <f>AND(Sheet1!N2949,"AAAAADd339o=")</f>
        <v>#VALUE!</v>
      </c>
      <c r="HL219" t="e">
        <f>AND(Sheet1!#REF!,"AAAAADd339s=")</f>
        <v>#REF!</v>
      </c>
      <c r="HM219" t="e">
        <f>AND(Sheet1!#REF!,"AAAAADd339w=")</f>
        <v>#REF!</v>
      </c>
      <c r="HN219" t="e">
        <f>AND(Sheet1!#REF!,"AAAAADd3390=")</f>
        <v>#REF!</v>
      </c>
      <c r="HO219" t="e">
        <f>AND(Sheet1!#REF!,"AAAAADd3394=")</f>
        <v>#REF!</v>
      </c>
      <c r="HP219">
        <f>IF(Sheet1!2950:2950,"AAAAADd3398=",0)</f>
        <v>0</v>
      </c>
      <c r="HQ219" t="e">
        <f>AND(Sheet1!A2950,"AAAAADd33+A=")</f>
        <v>#VALUE!</v>
      </c>
      <c r="HR219" t="e">
        <f>AND(Sheet1!B2950,"AAAAADd33+E=")</f>
        <v>#VALUE!</v>
      </c>
      <c r="HS219" t="e">
        <f>AND(Sheet1!C2950,"AAAAADd33+I=")</f>
        <v>#VALUE!</v>
      </c>
      <c r="HT219" t="e">
        <f>AND(Sheet1!D2950,"AAAAADd33+M=")</f>
        <v>#VALUE!</v>
      </c>
      <c r="HU219" t="e">
        <f>AND(Sheet1!E2950,"AAAAADd33+Q=")</f>
        <v>#VALUE!</v>
      </c>
      <c r="HV219" t="e">
        <f>AND(Sheet1!F2950,"AAAAADd33+U=")</f>
        <v>#VALUE!</v>
      </c>
      <c r="HW219" t="e">
        <f>AND(Sheet1!G2950,"AAAAADd33+Y=")</f>
        <v>#VALUE!</v>
      </c>
      <c r="HX219" t="e">
        <f>AND(Sheet1!H2950,"AAAAADd33+c=")</f>
        <v>#VALUE!</v>
      </c>
      <c r="HY219" t="e">
        <f>AND(Sheet1!I2950,"AAAAADd33+g=")</f>
        <v>#VALUE!</v>
      </c>
      <c r="HZ219" t="e">
        <f>AND(Sheet1!J2950,"AAAAADd33+k=")</f>
        <v>#VALUE!</v>
      </c>
      <c r="IA219" t="e">
        <f>AND(Sheet1!K2950,"AAAAADd33+o=")</f>
        <v>#VALUE!</v>
      </c>
      <c r="IB219" t="e">
        <f>AND(Sheet1!L2950,"AAAAADd33+s=")</f>
        <v>#VALUE!</v>
      </c>
      <c r="IC219" t="e">
        <f>AND(Sheet1!M2950,"AAAAADd33+w=")</f>
        <v>#VALUE!</v>
      </c>
      <c r="ID219" t="e">
        <f>AND(Sheet1!N2950,"AAAAADd33+0=")</f>
        <v>#VALUE!</v>
      </c>
      <c r="IE219" t="e">
        <f>AND(Sheet1!#REF!,"AAAAADd33+4=")</f>
        <v>#REF!</v>
      </c>
      <c r="IF219" t="e">
        <f>AND(Sheet1!#REF!,"AAAAADd33+8=")</f>
        <v>#REF!</v>
      </c>
      <c r="IG219" t="e">
        <f>AND(Sheet1!#REF!,"AAAAADd33/A=")</f>
        <v>#REF!</v>
      </c>
      <c r="IH219" t="e">
        <f>AND(Sheet1!#REF!,"AAAAADd33/E=")</f>
        <v>#REF!</v>
      </c>
      <c r="II219">
        <f>IF(Sheet1!2951:2951,"AAAAADd33/I=",0)</f>
        <v>0</v>
      </c>
      <c r="IJ219" t="e">
        <f>AND(Sheet1!A2951,"AAAAADd33/M=")</f>
        <v>#VALUE!</v>
      </c>
      <c r="IK219" t="e">
        <f>AND(Sheet1!B2951,"AAAAADd33/Q=")</f>
        <v>#VALUE!</v>
      </c>
      <c r="IL219" t="e">
        <f>AND(Sheet1!C2951,"AAAAADd33/U=")</f>
        <v>#VALUE!</v>
      </c>
      <c r="IM219" t="e">
        <f>AND(Sheet1!D2951,"AAAAADd33/Y=")</f>
        <v>#VALUE!</v>
      </c>
      <c r="IN219" t="e">
        <f>AND(Sheet1!E2951,"AAAAADd33/c=")</f>
        <v>#VALUE!</v>
      </c>
      <c r="IO219" t="e">
        <f>AND(Sheet1!F2951,"AAAAADd33/g=")</f>
        <v>#VALUE!</v>
      </c>
      <c r="IP219" t="e">
        <f>AND(Sheet1!G2951,"AAAAADd33/k=")</f>
        <v>#VALUE!</v>
      </c>
      <c r="IQ219" t="e">
        <f>AND(Sheet1!H2951,"AAAAADd33/o=")</f>
        <v>#VALUE!</v>
      </c>
      <c r="IR219" t="e">
        <f>AND(Sheet1!I2951,"AAAAADd33/s=")</f>
        <v>#VALUE!</v>
      </c>
      <c r="IS219" t="e">
        <f>AND(Sheet1!J2951,"AAAAADd33/w=")</f>
        <v>#VALUE!</v>
      </c>
      <c r="IT219" t="e">
        <f>AND(Sheet1!K2951,"AAAAADd33/0=")</f>
        <v>#VALUE!</v>
      </c>
      <c r="IU219" t="e">
        <f>AND(Sheet1!L2951,"AAAAADd33/4=")</f>
        <v>#VALUE!</v>
      </c>
      <c r="IV219" t="e">
        <f>AND(Sheet1!M2951,"AAAAADd33/8=")</f>
        <v>#VALUE!</v>
      </c>
    </row>
    <row r="220" spans="1:256" x14ac:dyDescent="0.2">
      <c r="A220" t="e">
        <f>AND(Sheet1!N2951,"AAAAAH73zwA=")</f>
        <v>#VALUE!</v>
      </c>
      <c r="B220" t="e">
        <f>AND(Sheet1!#REF!,"AAAAAH73zwE=")</f>
        <v>#REF!</v>
      </c>
      <c r="C220" t="e">
        <f>AND(Sheet1!#REF!,"AAAAAH73zwI=")</f>
        <v>#REF!</v>
      </c>
      <c r="D220" t="e">
        <f>AND(Sheet1!#REF!,"AAAAAH73zwM=")</f>
        <v>#REF!</v>
      </c>
      <c r="E220" t="e">
        <f>AND(Sheet1!#REF!,"AAAAAH73zwQ=")</f>
        <v>#REF!</v>
      </c>
      <c r="F220" t="e">
        <f>IF(Sheet1!2952:2952,"AAAAAH73zwU=",0)</f>
        <v>#VALUE!</v>
      </c>
      <c r="G220" t="e">
        <f>AND(Sheet1!A2952,"AAAAAH73zwY=")</f>
        <v>#VALUE!</v>
      </c>
      <c r="H220" t="e">
        <f>AND(Sheet1!B2952,"AAAAAH73zwc=")</f>
        <v>#VALUE!</v>
      </c>
      <c r="I220" t="e">
        <f>AND(Sheet1!C2952,"AAAAAH73zwg=")</f>
        <v>#VALUE!</v>
      </c>
      <c r="J220" t="e">
        <f>AND(Sheet1!D2952,"AAAAAH73zwk=")</f>
        <v>#VALUE!</v>
      </c>
      <c r="K220" t="e">
        <f>AND(Sheet1!E2952,"AAAAAH73zwo=")</f>
        <v>#VALUE!</v>
      </c>
      <c r="L220" t="e">
        <f>AND(Sheet1!F2952,"AAAAAH73zws=")</f>
        <v>#VALUE!</v>
      </c>
      <c r="M220" t="e">
        <f>AND(Sheet1!G2952,"AAAAAH73zww=")</f>
        <v>#VALUE!</v>
      </c>
      <c r="N220" t="e">
        <f>AND(Sheet1!H2952,"AAAAAH73zw0=")</f>
        <v>#VALUE!</v>
      </c>
      <c r="O220" t="e">
        <f>AND(Sheet1!I2952,"AAAAAH73zw4=")</f>
        <v>#VALUE!</v>
      </c>
      <c r="P220" t="e">
        <f>AND(Sheet1!J2952,"AAAAAH73zw8=")</f>
        <v>#VALUE!</v>
      </c>
      <c r="Q220" t="e">
        <f>AND(Sheet1!K2952,"AAAAAH73zxA=")</f>
        <v>#VALUE!</v>
      </c>
      <c r="R220" t="e">
        <f>AND(Sheet1!L2952,"AAAAAH73zxE=")</f>
        <v>#VALUE!</v>
      </c>
      <c r="S220" t="e">
        <f>AND(Sheet1!M2952,"AAAAAH73zxI=")</f>
        <v>#VALUE!</v>
      </c>
      <c r="T220" t="e">
        <f>AND(Sheet1!N2952,"AAAAAH73zxM=")</f>
        <v>#VALUE!</v>
      </c>
      <c r="U220" t="e">
        <f>AND(Sheet1!#REF!,"AAAAAH73zxQ=")</f>
        <v>#REF!</v>
      </c>
      <c r="V220" t="e">
        <f>AND(Sheet1!#REF!,"AAAAAH73zxU=")</f>
        <v>#REF!</v>
      </c>
      <c r="W220" t="e">
        <f>AND(Sheet1!#REF!,"AAAAAH73zxY=")</f>
        <v>#REF!</v>
      </c>
      <c r="X220" t="e">
        <f>AND(Sheet1!#REF!,"AAAAAH73zxc=")</f>
        <v>#REF!</v>
      </c>
      <c r="Y220">
        <f>IF(Sheet1!2953:2953,"AAAAAH73zxg=",0)</f>
        <v>0</v>
      </c>
      <c r="Z220" t="e">
        <f>AND(Sheet1!A2953,"AAAAAH73zxk=")</f>
        <v>#VALUE!</v>
      </c>
      <c r="AA220" t="e">
        <f>AND(Sheet1!B2953,"AAAAAH73zxo=")</f>
        <v>#VALUE!</v>
      </c>
      <c r="AB220" t="e">
        <f>AND(Sheet1!C2953,"AAAAAH73zxs=")</f>
        <v>#VALUE!</v>
      </c>
      <c r="AC220" t="e">
        <f>AND(Sheet1!D2953,"AAAAAH73zxw=")</f>
        <v>#VALUE!</v>
      </c>
      <c r="AD220" t="e">
        <f>AND(Sheet1!E2953,"AAAAAH73zx0=")</f>
        <v>#VALUE!</v>
      </c>
      <c r="AE220" t="e">
        <f>AND(Sheet1!F2953,"AAAAAH73zx4=")</f>
        <v>#VALUE!</v>
      </c>
      <c r="AF220" t="e">
        <f>AND(Sheet1!G2953,"AAAAAH73zx8=")</f>
        <v>#VALUE!</v>
      </c>
      <c r="AG220" t="e">
        <f>AND(Sheet1!H2953,"AAAAAH73zyA=")</f>
        <v>#VALUE!</v>
      </c>
      <c r="AH220" t="e">
        <f>AND(Sheet1!I2953,"AAAAAH73zyE=")</f>
        <v>#VALUE!</v>
      </c>
      <c r="AI220" t="e">
        <f>AND(Sheet1!J2953,"AAAAAH73zyI=")</f>
        <v>#VALUE!</v>
      </c>
      <c r="AJ220" t="e">
        <f>AND(Sheet1!K2953,"AAAAAH73zyM=")</f>
        <v>#VALUE!</v>
      </c>
      <c r="AK220" t="e">
        <f>AND(Sheet1!L2953,"AAAAAH73zyQ=")</f>
        <v>#VALUE!</v>
      </c>
      <c r="AL220" t="e">
        <f>AND(Sheet1!M2953,"AAAAAH73zyU=")</f>
        <v>#VALUE!</v>
      </c>
      <c r="AM220" t="e">
        <f>AND(Sheet1!N2953,"AAAAAH73zyY=")</f>
        <v>#VALUE!</v>
      </c>
      <c r="AN220" t="e">
        <f>AND(Sheet1!#REF!,"AAAAAH73zyc=")</f>
        <v>#REF!</v>
      </c>
      <c r="AO220" t="e">
        <f>AND(Sheet1!#REF!,"AAAAAH73zyg=")</f>
        <v>#REF!</v>
      </c>
      <c r="AP220" t="e">
        <f>AND(Sheet1!#REF!,"AAAAAH73zyk=")</f>
        <v>#REF!</v>
      </c>
      <c r="AQ220" t="e">
        <f>AND(Sheet1!#REF!,"AAAAAH73zyo=")</f>
        <v>#REF!</v>
      </c>
      <c r="AR220">
        <f>IF(Sheet1!2954:2954,"AAAAAH73zys=",0)</f>
        <v>0</v>
      </c>
      <c r="AS220" t="e">
        <f>AND(Sheet1!A2954,"AAAAAH73zyw=")</f>
        <v>#VALUE!</v>
      </c>
      <c r="AT220" t="e">
        <f>AND(Sheet1!B2954,"AAAAAH73zy0=")</f>
        <v>#VALUE!</v>
      </c>
      <c r="AU220" t="e">
        <f>AND(Sheet1!C2954,"AAAAAH73zy4=")</f>
        <v>#VALUE!</v>
      </c>
      <c r="AV220" t="e">
        <f>AND(Sheet1!D2954,"AAAAAH73zy8=")</f>
        <v>#VALUE!</v>
      </c>
      <c r="AW220" t="e">
        <f>AND(Sheet1!E2954,"AAAAAH73zzA=")</f>
        <v>#VALUE!</v>
      </c>
      <c r="AX220" t="e">
        <f>AND(Sheet1!F2954,"AAAAAH73zzE=")</f>
        <v>#VALUE!</v>
      </c>
      <c r="AY220" t="e">
        <f>AND(Sheet1!G2954,"AAAAAH73zzI=")</f>
        <v>#VALUE!</v>
      </c>
      <c r="AZ220" t="e">
        <f>AND(Sheet1!H2954,"AAAAAH73zzM=")</f>
        <v>#VALUE!</v>
      </c>
      <c r="BA220" t="e">
        <f>AND(Sheet1!I2954,"AAAAAH73zzQ=")</f>
        <v>#VALUE!</v>
      </c>
      <c r="BB220" t="e">
        <f>AND(Sheet1!J2954,"AAAAAH73zzU=")</f>
        <v>#VALUE!</v>
      </c>
      <c r="BC220" t="e">
        <f>AND(Sheet1!K2954,"AAAAAH73zzY=")</f>
        <v>#VALUE!</v>
      </c>
      <c r="BD220" t="e">
        <f>AND(Sheet1!L2954,"AAAAAH73zzc=")</f>
        <v>#VALUE!</v>
      </c>
      <c r="BE220" t="e">
        <f>AND(Sheet1!M2954,"AAAAAH73zzg=")</f>
        <v>#VALUE!</v>
      </c>
      <c r="BF220" t="e">
        <f>AND(Sheet1!N2954,"AAAAAH73zzk=")</f>
        <v>#VALUE!</v>
      </c>
      <c r="BG220" t="e">
        <f>AND(Sheet1!#REF!,"AAAAAH73zzo=")</f>
        <v>#REF!</v>
      </c>
      <c r="BH220" t="e">
        <f>AND(Sheet1!#REF!,"AAAAAH73zzs=")</f>
        <v>#REF!</v>
      </c>
      <c r="BI220" t="e">
        <f>AND(Sheet1!#REF!,"AAAAAH73zzw=")</f>
        <v>#REF!</v>
      </c>
      <c r="BJ220" t="e">
        <f>AND(Sheet1!#REF!,"AAAAAH73zz0=")</f>
        <v>#REF!</v>
      </c>
      <c r="BK220">
        <f>IF(Sheet1!2955:2955,"AAAAAH73zz4=",0)</f>
        <v>0</v>
      </c>
      <c r="BL220" t="e">
        <f>AND(Sheet1!A2955,"AAAAAH73zz8=")</f>
        <v>#VALUE!</v>
      </c>
      <c r="BM220" t="e">
        <f>AND(Sheet1!B2955,"AAAAAH73z0A=")</f>
        <v>#VALUE!</v>
      </c>
      <c r="BN220" t="e">
        <f>AND(Sheet1!C2955,"AAAAAH73z0E=")</f>
        <v>#VALUE!</v>
      </c>
      <c r="BO220" t="e">
        <f>AND(Sheet1!D2955,"AAAAAH73z0I=")</f>
        <v>#VALUE!</v>
      </c>
      <c r="BP220" t="e">
        <f>AND(Sheet1!E2955,"AAAAAH73z0M=")</f>
        <v>#VALUE!</v>
      </c>
      <c r="BQ220" t="e">
        <f>AND(Sheet1!F2955,"AAAAAH73z0Q=")</f>
        <v>#VALUE!</v>
      </c>
      <c r="BR220" t="e">
        <f>AND(Sheet1!G2955,"AAAAAH73z0U=")</f>
        <v>#VALUE!</v>
      </c>
      <c r="BS220" t="e">
        <f>AND(Sheet1!H2955,"AAAAAH73z0Y=")</f>
        <v>#VALUE!</v>
      </c>
      <c r="BT220" t="e">
        <f>AND(Sheet1!I2955,"AAAAAH73z0c=")</f>
        <v>#VALUE!</v>
      </c>
      <c r="BU220" t="e">
        <f>AND(Sheet1!J2955,"AAAAAH73z0g=")</f>
        <v>#VALUE!</v>
      </c>
      <c r="BV220" t="e">
        <f>AND(Sheet1!K2955,"AAAAAH73z0k=")</f>
        <v>#VALUE!</v>
      </c>
      <c r="BW220" t="e">
        <f>AND(Sheet1!L2955,"AAAAAH73z0o=")</f>
        <v>#VALUE!</v>
      </c>
      <c r="BX220" t="e">
        <f>AND(Sheet1!M2955,"AAAAAH73z0s=")</f>
        <v>#VALUE!</v>
      </c>
      <c r="BY220" t="e">
        <f>AND(Sheet1!N2955,"AAAAAH73z0w=")</f>
        <v>#VALUE!</v>
      </c>
      <c r="BZ220" t="e">
        <f>AND(Sheet1!#REF!,"AAAAAH73z00=")</f>
        <v>#REF!</v>
      </c>
      <c r="CA220" t="e">
        <f>AND(Sheet1!#REF!,"AAAAAH73z04=")</f>
        <v>#REF!</v>
      </c>
      <c r="CB220" t="e">
        <f>AND(Sheet1!#REF!,"AAAAAH73z08=")</f>
        <v>#REF!</v>
      </c>
      <c r="CC220" t="e">
        <f>AND(Sheet1!#REF!,"AAAAAH73z1A=")</f>
        <v>#REF!</v>
      </c>
      <c r="CD220">
        <f>IF(Sheet1!2956:2956,"AAAAAH73z1E=",0)</f>
        <v>0</v>
      </c>
      <c r="CE220" t="e">
        <f>AND(Sheet1!A2956,"AAAAAH73z1I=")</f>
        <v>#VALUE!</v>
      </c>
      <c r="CF220" t="e">
        <f>AND(Sheet1!B2956,"AAAAAH73z1M=")</f>
        <v>#VALUE!</v>
      </c>
      <c r="CG220" t="e">
        <f>AND(Sheet1!C2956,"AAAAAH73z1Q=")</f>
        <v>#VALUE!</v>
      </c>
      <c r="CH220" t="e">
        <f>AND(Sheet1!D2956,"AAAAAH73z1U=")</f>
        <v>#VALUE!</v>
      </c>
      <c r="CI220" t="e">
        <f>AND(Sheet1!E2956,"AAAAAH73z1Y=")</f>
        <v>#VALUE!</v>
      </c>
      <c r="CJ220" t="e">
        <f>AND(Sheet1!F2956,"AAAAAH73z1c=")</f>
        <v>#VALUE!</v>
      </c>
      <c r="CK220" t="e">
        <f>AND(Sheet1!G2956,"AAAAAH73z1g=")</f>
        <v>#VALUE!</v>
      </c>
      <c r="CL220" t="e">
        <f>AND(Sheet1!H2956,"AAAAAH73z1k=")</f>
        <v>#VALUE!</v>
      </c>
      <c r="CM220" t="e">
        <f>AND(Sheet1!I2956,"AAAAAH73z1o=")</f>
        <v>#VALUE!</v>
      </c>
      <c r="CN220" t="e">
        <f>AND(Sheet1!J2956,"AAAAAH73z1s=")</f>
        <v>#VALUE!</v>
      </c>
      <c r="CO220" t="e">
        <f>AND(Sheet1!K2956,"AAAAAH73z1w=")</f>
        <v>#VALUE!</v>
      </c>
      <c r="CP220" t="e">
        <f>AND(Sheet1!L2956,"AAAAAH73z10=")</f>
        <v>#VALUE!</v>
      </c>
      <c r="CQ220" t="e">
        <f>AND(Sheet1!M2956,"AAAAAH73z14=")</f>
        <v>#VALUE!</v>
      </c>
      <c r="CR220" t="e">
        <f>AND(Sheet1!N2956,"AAAAAH73z18=")</f>
        <v>#VALUE!</v>
      </c>
      <c r="CS220" t="e">
        <f>AND(Sheet1!#REF!,"AAAAAH73z2A=")</f>
        <v>#REF!</v>
      </c>
      <c r="CT220" t="e">
        <f>AND(Sheet1!#REF!,"AAAAAH73z2E=")</f>
        <v>#REF!</v>
      </c>
      <c r="CU220" t="e">
        <f>AND(Sheet1!#REF!,"AAAAAH73z2I=")</f>
        <v>#REF!</v>
      </c>
      <c r="CV220" t="e">
        <f>AND(Sheet1!#REF!,"AAAAAH73z2M=")</f>
        <v>#REF!</v>
      </c>
      <c r="CW220">
        <f>IF(Sheet1!2957:2957,"AAAAAH73z2Q=",0)</f>
        <v>0</v>
      </c>
      <c r="CX220" t="e">
        <f>AND(Sheet1!A2957,"AAAAAH73z2U=")</f>
        <v>#VALUE!</v>
      </c>
      <c r="CY220" t="e">
        <f>AND(Sheet1!B2957,"AAAAAH73z2Y=")</f>
        <v>#VALUE!</v>
      </c>
      <c r="CZ220" t="e">
        <f>AND(Sheet1!C2957,"AAAAAH73z2c=")</f>
        <v>#VALUE!</v>
      </c>
      <c r="DA220" t="e">
        <f>AND(Sheet1!D2957,"AAAAAH73z2g=")</f>
        <v>#VALUE!</v>
      </c>
      <c r="DB220" t="e">
        <f>AND(Sheet1!E2957,"AAAAAH73z2k=")</f>
        <v>#VALUE!</v>
      </c>
      <c r="DC220" t="e">
        <f>AND(Sheet1!F2957,"AAAAAH73z2o=")</f>
        <v>#VALUE!</v>
      </c>
      <c r="DD220" t="e">
        <f>AND(Sheet1!G2957,"AAAAAH73z2s=")</f>
        <v>#VALUE!</v>
      </c>
      <c r="DE220" t="e">
        <f>AND(Sheet1!H2957,"AAAAAH73z2w=")</f>
        <v>#VALUE!</v>
      </c>
      <c r="DF220" t="e">
        <f>AND(Sheet1!I2957,"AAAAAH73z20=")</f>
        <v>#VALUE!</v>
      </c>
      <c r="DG220" t="e">
        <f>AND(Sheet1!J2957,"AAAAAH73z24=")</f>
        <v>#VALUE!</v>
      </c>
      <c r="DH220" t="e">
        <f>AND(Sheet1!K2957,"AAAAAH73z28=")</f>
        <v>#VALUE!</v>
      </c>
      <c r="DI220" t="e">
        <f>AND(Sheet1!L2957,"AAAAAH73z3A=")</f>
        <v>#VALUE!</v>
      </c>
      <c r="DJ220" t="e">
        <f>AND(Sheet1!M2957,"AAAAAH73z3E=")</f>
        <v>#VALUE!</v>
      </c>
      <c r="DK220" t="e">
        <f>AND(Sheet1!N2957,"AAAAAH73z3I=")</f>
        <v>#VALUE!</v>
      </c>
      <c r="DL220" t="e">
        <f>AND(Sheet1!#REF!,"AAAAAH73z3M=")</f>
        <v>#REF!</v>
      </c>
      <c r="DM220" t="e">
        <f>AND(Sheet1!#REF!,"AAAAAH73z3Q=")</f>
        <v>#REF!</v>
      </c>
      <c r="DN220" t="e">
        <f>AND(Sheet1!#REF!,"AAAAAH73z3U=")</f>
        <v>#REF!</v>
      </c>
      <c r="DO220" t="e">
        <f>AND(Sheet1!#REF!,"AAAAAH73z3Y=")</f>
        <v>#REF!</v>
      </c>
      <c r="DP220">
        <f>IF(Sheet1!2958:2958,"AAAAAH73z3c=",0)</f>
        <v>0</v>
      </c>
      <c r="DQ220" t="e">
        <f>AND(Sheet1!A2958,"AAAAAH73z3g=")</f>
        <v>#VALUE!</v>
      </c>
      <c r="DR220" t="e">
        <f>AND(Sheet1!B2958,"AAAAAH73z3k=")</f>
        <v>#VALUE!</v>
      </c>
      <c r="DS220" t="e">
        <f>AND(Sheet1!C2958,"AAAAAH73z3o=")</f>
        <v>#VALUE!</v>
      </c>
      <c r="DT220" t="e">
        <f>AND(Sheet1!D2958,"AAAAAH73z3s=")</f>
        <v>#VALUE!</v>
      </c>
      <c r="DU220" t="e">
        <f>AND(Sheet1!E2958,"AAAAAH73z3w=")</f>
        <v>#VALUE!</v>
      </c>
      <c r="DV220" t="e">
        <f>AND(Sheet1!F2958,"AAAAAH73z30=")</f>
        <v>#VALUE!</v>
      </c>
      <c r="DW220" t="e">
        <f>AND(Sheet1!G2958,"AAAAAH73z34=")</f>
        <v>#VALUE!</v>
      </c>
      <c r="DX220" t="e">
        <f>AND(Sheet1!H2958,"AAAAAH73z38=")</f>
        <v>#VALUE!</v>
      </c>
      <c r="DY220" t="e">
        <f>AND(Sheet1!I2958,"AAAAAH73z4A=")</f>
        <v>#VALUE!</v>
      </c>
      <c r="DZ220" t="e">
        <f>AND(Sheet1!J2958,"AAAAAH73z4E=")</f>
        <v>#VALUE!</v>
      </c>
      <c r="EA220" t="e">
        <f>AND(Sheet1!K2958,"AAAAAH73z4I=")</f>
        <v>#VALUE!</v>
      </c>
      <c r="EB220" t="e">
        <f>AND(Sheet1!L2958,"AAAAAH73z4M=")</f>
        <v>#VALUE!</v>
      </c>
      <c r="EC220" t="e">
        <f>AND(Sheet1!M2958,"AAAAAH73z4Q=")</f>
        <v>#VALUE!</v>
      </c>
      <c r="ED220" t="e">
        <f>AND(Sheet1!N2958,"AAAAAH73z4U=")</f>
        <v>#VALUE!</v>
      </c>
      <c r="EE220" t="e">
        <f>AND(Sheet1!#REF!,"AAAAAH73z4Y=")</f>
        <v>#REF!</v>
      </c>
      <c r="EF220" t="e">
        <f>AND(Sheet1!#REF!,"AAAAAH73z4c=")</f>
        <v>#REF!</v>
      </c>
      <c r="EG220" t="e">
        <f>AND(Sheet1!#REF!,"AAAAAH73z4g=")</f>
        <v>#REF!</v>
      </c>
      <c r="EH220" t="e">
        <f>AND(Sheet1!#REF!,"AAAAAH73z4k=")</f>
        <v>#REF!</v>
      </c>
      <c r="EI220">
        <f>IF(Sheet1!2959:2959,"AAAAAH73z4o=",0)</f>
        <v>0</v>
      </c>
      <c r="EJ220" t="e">
        <f>AND(Sheet1!A2959,"AAAAAH73z4s=")</f>
        <v>#VALUE!</v>
      </c>
      <c r="EK220" t="e">
        <f>AND(Sheet1!B2959,"AAAAAH73z4w=")</f>
        <v>#VALUE!</v>
      </c>
      <c r="EL220" t="e">
        <f>AND(Sheet1!C2959,"AAAAAH73z40=")</f>
        <v>#VALUE!</v>
      </c>
      <c r="EM220" t="e">
        <f>AND(Sheet1!D2959,"AAAAAH73z44=")</f>
        <v>#VALUE!</v>
      </c>
      <c r="EN220" t="e">
        <f>AND(Sheet1!E2959,"AAAAAH73z48=")</f>
        <v>#VALUE!</v>
      </c>
      <c r="EO220" t="e">
        <f>AND(Sheet1!F2959,"AAAAAH73z5A=")</f>
        <v>#VALUE!</v>
      </c>
      <c r="EP220" t="e">
        <f>AND(Sheet1!G2959,"AAAAAH73z5E=")</f>
        <v>#VALUE!</v>
      </c>
      <c r="EQ220" t="e">
        <f>AND(Sheet1!H2959,"AAAAAH73z5I=")</f>
        <v>#VALUE!</v>
      </c>
      <c r="ER220" t="e">
        <f>AND(Sheet1!I2959,"AAAAAH73z5M=")</f>
        <v>#VALUE!</v>
      </c>
      <c r="ES220" t="e">
        <f>AND(Sheet1!J2959,"AAAAAH73z5Q=")</f>
        <v>#VALUE!</v>
      </c>
      <c r="ET220" t="e">
        <f>AND(Sheet1!K2959,"AAAAAH73z5U=")</f>
        <v>#VALUE!</v>
      </c>
      <c r="EU220" t="e">
        <f>AND(Sheet1!L2959,"AAAAAH73z5Y=")</f>
        <v>#VALUE!</v>
      </c>
      <c r="EV220" t="e">
        <f>AND(Sheet1!M2959,"AAAAAH73z5c=")</f>
        <v>#VALUE!</v>
      </c>
      <c r="EW220" t="e">
        <f>AND(Sheet1!N2959,"AAAAAH73z5g=")</f>
        <v>#VALUE!</v>
      </c>
      <c r="EX220" t="e">
        <f>AND(Sheet1!#REF!,"AAAAAH73z5k=")</f>
        <v>#REF!</v>
      </c>
      <c r="EY220" t="e">
        <f>AND(Sheet1!#REF!,"AAAAAH73z5o=")</f>
        <v>#REF!</v>
      </c>
      <c r="EZ220" t="e">
        <f>AND(Sheet1!#REF!,"AAAAAH73z5s=")</f>
        <v>#REF!</v>
      </c>
      <c r="FA220" t="e">
        <f>AND(Sheet1!#REF!,"AAAAAH73z5w=")</f>
        <v>#REF!</v>
      </c>
      <c r="FB220">
        <f>IF(Sheet1!2960:2960,"AAAAAH73z50=",0)</f>
        <v>0</v>
      </c>
      <c r="FC220" t="e">
        <f>AND(Sheet1!A2960,"AAAAAH73z54=")</f>
        <v>#VALUE!</v>
      </c>
      <c r="FD220" t="e">
        <f>AND(Sheet1!B2960,"AAAAAH73z58=")</f>
        <v>#VALUE!</v>
      </c>
      <c r="FE220" t="e">
        <f>AND(Sheet1!C2960,"AAAAAH73z6A=")</f>
        <v>#VALUE!</v>
      </c>
      <c r="FF220" t="e">
        <f>AND(Sheet1!D2960,"AAAAAH73z6E=")</f>
        <v>#VALUE!</v>
      </c>
      <c r="FG220" t="e">
        <f>AND(Sheet1!E2960,"AAAAAH73z6I=")</f>
        <v>#VALUE!</v>
      </c>
      <c r="FH220" t="e">
        <f>AND(Sheet1!F2960,"AAAAAH73z6M=")</f>
        <v>#VALUE!</v>
      </c>
      <c r="FI220" t="e">
        <f>AND(Sheet1!G2960,"AAAAAH73z6Q=")</f>
        <v>#VALUE!</v>
      </c>
      <c r="FJ220" t="e">
        <f>AND(Sheet1!H2960,"AAAAAH73z6U=")</f>
        <v>#VALUE!</v>
      </c>
      <c r="FK220" t="e">
        <f>AND(Sheet1!I2960,"AAAAAH73z6Y=")</f>
        <v>#VALUE!</v>
      </c>
      <c r="FL220" t="e">
        <f>AND(Sheet1!J2960,"AAAAAH73z6c=")</f>
        <v>#VALUE!</v>
      </c>
      <c r="FM220" t="e">
        <f>AND(Sheet1!K2960,"AAAAAH73z6g=")</f>
        <v>#VALUE!</v>
      </c>
      <c r="FN220" t="e">
        <f>AND(Sheet1!L2960,"AAAAAH73z6k=")</f>
        <v>#VALUE!</v>
      </c>
      <c r="FO220" t="e">
        <f>AND(Sheet1!M2960,"AAAAAH73z6o=")</f>
        <v>#VALUE!</v>
      </c>
      <c r="FP220" t="e">
        <f>AND(Sheet1!N2960,"AAAAAH73z6s=")</f>
        <v>#VALUE!</v>
      </c>
      <c r="FQ220" t="e">
        <f>AND(Sheet1!#REF!,"AAAAAH73z6w=")</f>
        <v>#REF!</v>
      </c>
      <c r="FR220" t="e">
        <f>AND(Sheet1!#REF!,"AAAAAH73z60=")</f>
        <v>#REF!</v>
      </c>
      <c r="FS220" t="e">
        <f>AND(Sheet1!#REF!,"AAAAAH73z64=")</f>
        <v>#REF!</v>
      </c>
      <c r="FT220" t="e">
        <f>AND(Sheet1!#REF!,"AAAAAH73z68=")</f>
        <v>#REF!</v>
      </c>
      <c r="FU220">
        <f>IF(Sheet1!2961:2961,"AAAAAH73z7A=",0)</f>
        <v>0</v>
      </c>
      <c r="FV220" t="e">
        <f>AND(Sheet1!A2961,"AAAAAH73z7E=")</f>
        <v>#VALUE!</v>
      </c>
      <c r="FW220" t="e">
        <f>AND(Sheet1!B2961,"AAAAAH73z7I=")</f>
        <v>#VALUE!</v>
      </c>
      <c r="FX220" t="e">
        <f>AND(Sheet1!C2961,"AAAAAH73z7M=")</f>
        <v>#VALUE!</v>
      </c>
      <c r="FY220" t="e">
        <f>AND(Sheet1!D2961,"AAAAAH73z7Q=")</f>
        <v>#VALUE!</v>
      </c>
      <c r="FZ220" t="e">
        <f>AND(Sheet1!E2961,"AAAAAH73z7U=")</f>
        <v>#VALUE!</v>
      </c>
      <c r="GA220" t="e">
        <f>AND(Sheet1!F2961,"AAAAAH73z7Y=")</f>
        <v>#VALUE!</v>
      </c>
      <c r="GB220" t="e">
        <f>AND(Sheet1!G2961,"AAAAAH73z7c=")</f>
        <v>#VALUE!</v>
      </c>
      <c r="GC220" t="e">
        <f>AND(Sheet1!H2961,"AAAAAH73z7g=")</f>
        <v>#VALUE!</v>
      </c>
      <c r="GD220" t="e">
        <f>AND(Sheet1!I2961,"AAAAAH73z7k=")</f>
        <v>#VALUE!</v>
      </c>
      <c r="GE220" t="e">
        <f>AND(Sheet1!J2961,"AAAAAH73z7o=")</f>
        <v>#VALUE!</v>
      </c>
      <c r="GF220" t="e">
        <f>AND(Sheet1!K2961,"AAAAAH73z7s=")</f>
        <v>#VALUE!</v>
      </c>
      <c r="GG220" t="e">
        <f>AND(Sheet1!L2961,"AAAAAH73z7w=")</f>
        <v>#VALUE!</v>
      </c>
      <c r="GH220" t="e">
        <f>AND(Sheet1!M2961,"AAAAAH73z70=")</f>
        <v>#VALUE!</v>
      </c>
      <c r="GI220" t="e">
        <f>AND(Sheet1!N2961,"AAAAAH73z74=")</f>
        <v>#VALUE!</v>
      </c>
      <c r="GJ220" t="e">
        <f>AND(Sheet1!#REF!,"AAAAAH73z78=")</f>
        <v>#REF!</v>
      </c>
      <c r="GK220" t="e">
        <f>AND(Sheet1!#REF!,"AAAAAH73z8A=")</f>
        <v>#REF!</v>
      </c>
      <c r="GL220" t="e">
        <f>AND(Sheet1!#REF!,"AAAAAH73z8E=")</f>
        <v>#REF!</v>
      </c>
      <c r="GM220" t="e">
        <f>AND(Sheet1!#REF!,"AAAAAH73z8I=")</f>
        <v>#REF!</v>
      </c>
      <c r="GN220">
        <f>IF(Sheet1!2962:2962,"AAAAAH73z8M=",0)</f>
        <v>0</v>
      </c>
      <c r="GO220" t="e">
        <f>AND(Sheet1!A2962,"AAAAAH73z8Q=")</f>
        <v>#VALUE!</v>
      </c>
      <c r="GP220" t="e">
        <f>AND(Sheet1!B2962,"AAAAAH73z8U=")</f>
        <v>#VALUE!</v>
      </c>
      <c r="GQ220" t="e">
        <f>AND(Sheet1!C2962,"AAAAAH73z8Y=")</f>
        <v>#VALUE!</v>
      </c>
      <c r="GR220" t="e">
        <f>AND(Sheet1!D2962,"AAAAAH73z8c=")</f>
        <v>#VALUE!</v>
      </c>
      <c r="GS220" t="e">
        <f>AND(Sheet1!E2962,"AAAAAH73z8g=")</f>
        <v>#VALUE!</v>
      </c>
      <c r="GT220" t="e">
        <f>AND(Sheet1!F2962,"AAAAAH73z8k=")</f>
        <v>#VALUE!</v>
      </c>
      <c r="GU220" t="e">
        <f>AND(Sheet1!G2962,"AAAAAH73z8o=")</f>
        <v>#VALUE!</v>
      </c>
      <c r="GV220" t="e">
        <f>AND(Sheet1!H2962,"AAAAAH73z8s=")</f>
        <v>#VALUE!</v>
      </c>
      <c r="GW220" t="e">
        <f>AND(Sheet1!I2962,"AAAAAH73z8w=")</f>
        <v>#VALUE!</v>
      </c>
      <c r="GX220" t="e">
        <f>AND(Sheet1!J2962,"AAAAAH73z80=")</f>
        <v>#VALUE!</v>
      </c>
      <c r="GY220" t="e">
        <f>AND(Sheet1!K2962,"AAAAAH73z84=")</f>
        <v>#VALUE!</v>
      </c>
      <c r="GZ220" t="e">
        <f>AND(Sheet1!L2962,"AAAAAH73z88=")</f>
        <v>#VALUE!</v>
      </c>
      <c r="HA220" t="e">
        <f>AND(Sheet1!M2962,"AAAAAH73z9A=")</f>
        <v>#VALUE!</v>
      </c>
      <c r="HB220" t="e">
        <f>AND(Sheet1!N2962,"AAAAAH73z9E=")</f>
        <v>#VALUE!</v>
      </c>
      <c r="HC220" t="e">
        <f>AND(Sheet1!#REF!,"AAAAAH73z9I=")</f>
        <v>#REF!</v>
      </c>
      <c r="HD220" t="e">
        <f>AND(Sheet1!#REF!,"AAAAAH73z9M=")</f>
        <v>#REF!</v>
      </c>
      <c r="HE220" t="e">
        <f>AND(Sheet1!#REF!,"AAAAAH73z9Q=")</f>
        <v>#REF!</v>
      </c>
      <c r="HF220" t="e">
        <f>AND(Sheet1!#REF!,"AAAAAH73z9U=")</f>
        <v>#REF!</v>
      </c>
      <c r="HG220">
        <f>IF(Sheet1!2963:2963,"AAAAAH73z9Y=",0)</f>
        <v>0</v>
      </c>
      <c r="HH220" t="e">
        <f>AND(Sheet1!A2963,"AAAAAH73z9c=")</f>
        <v>#VALUE!</v>
      </c>
      <c r="HI220" t="e">
        <f>AND(Sheet1!B2963,"AAAAAH73z9g=")</f>
        <v>#VALUE!</v>
      </c>
      <c r="HJ220" t="e">
        <f>AND(Sheet1!C2963,"AAAAAH73z9k=")</f>
        <v>#VALUE!</v>
      </c>
      <c r="HK220" t="e">
        <f>AND(Sheet1!D2963,"AAAAAH73z9o=")</f>
        <v>#VALUE!</v>
      </c>
      <c r="HL220" t="e">
        <f>AND(Sheet1!E2963,"AAAAAH73z9s=")</f>
        <v>#VALUE!</v>
      </c>
      <c r="HM220" t="e">
        <f>AND(Sheet1!F2963,"AAAAAH73z9w=")</f>
        <v>#VALUE!</v>
      </c>
      <c r="HN220" t="e">
        <f>AND(Sheet1!G2963,"AAAAAH73z90=")</f>
        <v>#VALUE!</v>
      </c>
      <c r="HO220" t="e">
        <f>AND(Sheet1!H2963,"AAAAAH73z94=")</f>
        <v>#VALUE!</v>
      </c>
      <c r="HP220" t="e">
        <f>AND(Sheet1!I2963,"AAAAAH73z98=")</f>
        <v>#VALUE!</v>
      </c>
      <c r="HQ220" t="e">
        <f>AND(Sheet1!J2963,"AAAAAH73z+A=")</f>
        <v>#VALUE!</v>
      </c>
      <c r="HR220" t="e">
        <f>AND(Sheet1!K2963,"AAAAAH73z+E=")</f>
        <v>#VALUE!</v>
      </c>
      <c r="HS220" t="e">
        <f>AND(Sheet1!L2963,"AAAAAH73z+I=")</f>
        <v>#VALUE!</v>
      </c>
      <c r="HT220" t="e">
        <f>AND(Sheet1!M2963,"AAAAAH73z+M=")</f>
        <v>#VALUE!</v>
      </c>
      <c r="HU220" t="e">
        <f>AND(Sheet1!N2963,"AAAAAH73z+Q=")</f>
        <v>#VALUE!</v>
      </c>
      <c r="HV220" t="e">
        <f>AND(Sheet1!#REF!,"AAAAAH73z+U=")</f>
        <v>#REF!</v>
      </c>
      <c r="HW220" t="e">
        <f>AND(Sheet1!#REF!,"AAAAAH73z+Y=")</f>
        <v>#REF!</v>
      </c>
      <c r="HX220" t="e">
        <f>AND(Sheet1!#REF!,"AAAAAH73z+c=")</f>
        <v>#REF!</v>
      </c>
      <c r="HY220" t="e">
        <f>AND(Sheet1!#REF!,"AAAAAH73z+g=")</f>
        <v>#REF!</v>
      </c>
      <c r="HZ220">
        <f>IF(Sheet1!2964:2964,"AAAAAH73z+k=",0)</f>
        <v>0</v>
      </c>
      <c r="IA220" t="e">
        <f>AND(Sheet1!A2964,"AAAAAH73z+o=")</f>
        <v>#VALUE!</v>
      </c>
      <c r="IB220" t="e">
        <f>AND(Sheet1!B2964,"AAAAAH73z+s=")</f>
        <v>#VALUE!</v>
      </c>
      <c r="IC220" t="e">
        <f>AND(Sheet1!C2964,"AAAAAH73z+w=")</f>
        <v>#VALUE!</v>
      </c>
      <c r="ID220" t="e">
        <f>AND(Sheet1!D2964,"AAAAAH73z+0=")</f>
        <v>#VALUE!</v>
      </c>
      <c r="IE220" t="e">
        <f>AND(Sheet1!E2964,"AAAAAH73z+4=")</f>
        <v>#VALUE!</v>
      </c>
      <c r="IF220" t="e">
        <f>AND(Sheet1!F2964,"AAAAAH73z+8=")</f>
        <v>#VALUE!</v>
      </c>
      <c r="IG220" t="e">
        <f>AND(Sheet1!G2964,"AAAAAH73z/A=")</f>
        <v>#VALUE!</v>
      </c>
      <c r="IH220" t="e">
        <f>AND(Sheet1!H2964,"AAAAAH73z/E=")</f>
        <v>#VALUE!</v>
      </c>
      <c r="II220" t="e">
        <f>AND(Sheet1!I2964,"AAAAAH73z/I=")</f>
        <v>#VALUE!</v>
      </c>
      <c r="IJ220" t="e">
        <f>AND(Sheet1!J2964,"AAAAAH73z/M=")</f>
        <v>#VALUE!</v>
      </c>
      <c r="IK220" t="e">
        <f>AND(Sheet1!K2964,"AAAAAH73z/Q=")</f>
        <v>#VALUE!</v>
      </c>
      <c r="IL220" t="e">
        <f>AND(Sheet1!L2964,"AAAAAH73z/U=")</f>
        <v>#VALUE!</v>
      </c>
      <c r="IM220" t="e">
        <f>AND(Sheet1!M2964,"AAAAAH73z/Y=")</f>
        <v>#VALUE!</v>
      </c>
      <c r="IN220" t="e">
        <f>AND(Sheet1!N2964,"AAAAAH73z/c=")</f>
        <v>#VALUE!</v>
      </c>
      <c r="IO220" t="e">
        <f>AND(Sheet1!#REF!,"AAAAAH73z/g=")</f>
        <v>#REF!</v>
      </c>
      <c r="IP220" t="e">
        <f>AND(Sheet1!#REF!,"AAAAAH73z/k=")</f>
        <v>#REF!</v>
      </c>
      <c r="IQ220" t="e">
        <f>AND(Sheet1!#REF!,"AAAAAH73z/o=")</f>
        <v>#REF!</v>
      </c>
      <c r="IR220" t="e">
        <f>AND(Sheet1!#REF!,"AAAAAH73z/s=")</f>
        <v>#REF!</v>
      </c>
      <c r="IS220">
        <f>IF(Sheet1!2965:2965,"AAAAAH73z/w=",0)</f>
        <v>0</v>
      </c>
      <c r="IT220" t="e">
        <f>AND(Sheet1!A2965,"AAAAAH73z/0=")</f>
        <v>#VALUE!</v>
      </c>
      <c r="IU220" t="e">
        <f>AND(Sheet1!B2965,"AAAAAH73z/4=")</f>
        <v>#VALUE!</v>
      </c>
      <c r="IV220" t="e">
        <f>AND(Sheet1!C2965,"AAAAAH73z/8=")</f>
        <v>#VALUE!</v>
      </c>
    </row>
    <row r="221" spans="1:256" x14ac:dyDescent="0.2">
      <c r="A221" t="e">
        <f>AND(Sheet1!D2965,"AAAAAEB7LQA=")</f>
        <v>#VALUE!</v>
      </c>
      <c r="B221" t="e">
        <f>AND(Sheet1!E2965,"AAAAAEB7LQE=")</f>
        <v>#VALUE!</v>
      </c>
      <c r="C221" t="e">
        <f>AND(Sheet1!F2965,"AAAAAEB7LQI=")</f>
        <v>#VALUE!</v>
      </c>
      <c r="D221" t="e">
        <f>AND(Sheet1!G2965,"AAAAAEB7LQM=")</f>
        <v>#VALUE!</v>
      </c>
      <c r="E221" t="e">
        <f>AND(Sheet1!H2965,"AAAAAEB7LQQ=")</f>
        <v>#VALUE!</v>
      </c>
      <c r="F221" t="e">
        <f>AND(Sheet1!I2965,"AAAAAEB7LQU=")</f>
        <v>#VALUE!</v>
      </c>
      <c r="G221" t="e">
        <f>AND(Sheet1!J2965,"AAAAAEB7LQY=")</f>
        <v>#VALUE!</v>
      </c>
      <c r="H221" t="e">
        <f>AND(Sheet1!K2965,"AAAAAEB7LQc=")</f>
        <v>#VALUE!</v>
      </c>
      <c r="I221" t="e">
        <f>AND(Sheet1!L2965,"AAAAAEB7LQg=")</f>
        <v>#VALUE!</v>
      </c>
      <c r="J221" t="e">
        <f>AND(Sheet1!M2965,"AAAAAEB7LQk=")</f>
        <v>#VALUE!</v>
      </c>
      <c r="K221" t="e">
        <f>AND(Sheet1!N2965,"AAAAAEB7LQo=")</f>
        <v>#VALUE!</v>
      </c>
      <c r="L221" t="e">
        <f>AND(Sheet1!#REF!,"AAAAAEB7LQs=")</f>
        <v>#REF!</v>
      </c>
      <c r="M221" t="e">
        <f>AND(Sheet1!#REF!,"AAAAAEB7LQw=")</f>
        <v>#REF!</v>
      </c>
      <c r="N221" t="e">
        <f>AND(Sheet1!#REF!,"AAAAAEB7LQ0=")</f>
        <v>#REF!</v>
      </c>
      <c r="O221" t="e">
        <f>AND(Sheet1!#REF!,"AAAAAEB7LQ4=")</f>
        <v>#REF!</v>
      </c>
      <c r="P221">
        <f>IF(Sheet1!2966:2966,"AAAAAEB7LQ8=",0)</f>
        <v>0</v>
      </c>
      <c r="Q221" t="e">
        <f>AND(Sheet1!A2966,"AAAAAEB7LRA=")</f>
        <v>#VALUE!</v>
      </c>
      <c r="R221" t="e">
        <f>AND(Sheet1!B2966,"AAAAAEB7LRE=")</f>
        <v>#VALUE!</v>
      </c>
      <c r="S221" t="e">
        <f>AND(Sheet1!C2966,"AAAAAEB7LRI=")</f>
        <v>#VALUE!</v>
      </c>
      <c r="T221" t="e">
        <f>AND(Sheet1!D2966,"AAAAAEB7LRM=")</f>
        <v>#VALUE!</v>
      </c>
      <c r="U221" t="e">
        <f>AND(Sheet1!E2966,"AAAAAEB7LRQ=")</f>
        <v>#VALUE!</v>
      </c>
      <c r="V221" t="e">
        <f>AND(Sheet1!F2966,"AAAAAEB7LRU=")</f>
        <v>#VALUE!</v>
      </c>
      <c r="W221" t="e">
        <f>AND(Sheet1!G2966,"AAAAAEB7LRY=")</f>
        <v>#VALUE!</v>
      </c>
      <c r="X221" t="e">
        <f>AND(Sheet1!H2966,"AAAAAEB7LRc=")</f>
        <v>#VALUE!</v>
      </c>
      <c r="Y221" t="e">
        <f>AND(Sheet1!I2966,"AAAAAEB7LRg=")</f>
        <v>#VALUE!</v>
      </c>
      <c r="Z221" t="e">
        <f>AND(Sheet1!J2966,"AAAAAEB7LRk=")</f>
        <v>#VALUE!</v>
      </c>
      <c r="AA221" t="e">
        <f>AND(Sheet1!K2966,"AAAAAEB7LRo=")</f>
        <v>#VALUE!</v>
      </c>
      <c r="AB221" t="e">
        <f>AND(Sheet1!L2966,"AAAAAEB7LRs=")</f>
        <v>#VALUE!</v>
      </c>
      <c r="AC221" t="e">
        <f>AND(Sheet1!M2966,"AAAAAEB7LRw=")</f>
        <v>#VALUE!</v>
      </c>
      <c r="AD221" t="e">
        <f>AND(Sheet1!N2966,"AAAAAEB7LR0=")</f>
        <v>#VALUE!</v>
      </c>
      <c r="AE221" t="e">
        <f>AND(Sheet1!#REF!,"AAAAAEB7LR4=")</f>
        <v>#REF!</v>
      </c>
      <c r="AF221" t="e">
        <f>AND(Sheet1!#REF!,"AAAAAEB7LR8=")</f>
        <v>#REF!</v>
      </c>
      <c r="AG221" t="e">
        <f>AND(Sheet1!#REF!,"AAAAAEB7LSA=")</f>
        <v>#REF!</v>
      </c>
      <c r="AH221" t="e">
        <f>AND(Sheet1!#REF!,"AAAAAEB7LSE=")</f>
        <v>#REF!</v>
      </c>
      <c r="AI221">
        <f>IF(Sheet1!2967:2967,"AAAAAEB7LSI=",0)</f>
        <v>0</v>
      </c>
      <c r="AJ221" t="e">
        <f>AND(Sheet1!A2967,"AAAAAEB7LSM=")</f>
        <v>#VALUE!</v>
      </c>
      <c r="AK221" t="e">
        <f>AND(Sheet1!B2967,"AAAAAEB7LSQ=")</f>
        <v>#VALUE!</v>
      </c>
      <c r="AL221" t="e">
        <f>AND(Sheet1!C2967,"AAAAAEB7LSU=")</f>
        <v>#VALUE!</v>
      </c>
      <c r="AM221" t="e">
        <f>AND(Sheet1!D2967,"AAAAAEB7LSY=")</f>
        <v>#VALUE!</v>
      </c>
      <c r="AN221" t="e">
        <f>AND(Sheet1!E2967,"AAAAAEB7LSc=")</f>
        <v>#VALUE!</v>
      </c>
      <c r="AO221" t="e">
        <f>AND(Sheet1!F2967,"AAAAAEB7LSg=")</f>
        <v>#VALUE!</v>
      </c>
      <c r="AP221" t="e">
        <f>AND(Sheet1!G2967,"AAAAAEB7LSk=")</f>
        <v>#VALUE!</v>
      </c>
      <c r="AQ221" t="e">
        <f>AND(Sheet1!H2967,"AAAAAEB7LSo=")</f>
        <v>#VALUE!</v>
      </c>
      <c r="AR221" t="e">
        <f>AND(Sheet1!I2967,"AAAAAEB7LSs=")</f>
        <v>#VALUE!</v>
      </c>
      <c r="AS221" t="e">
        <f>AND(Sheet1!J2967,"AAAAAEB7LSw=")</f>
        <v>#VALUE!</v>
      </c>
      <c r="AT221" t="e">
        <f>AND(Sheet1!K2967,"AAAAAEB7LS0=")</f>
        <v>#VALUE!</v>
      </c>
      <c r="AU221" t="e">
        <f>AND(Sheet1!L2967,"AAAAAEB7LS4=")</f>
        <v>#VALUE!</v>
      </c>
      <c r="AV221" t="e">
        <f>AND(Sheet1!M2967,"AAAAAEB7LS8=")</f>
        <v>#VALUE!</v>
      </c>
      <c r="AW221" t="e">
        <f>AND(Sheet1!N2967,"AAAAAEB7LTA=")</f>
        <v>#VALUE!</v>
      </c>
      <c r="AX221" t="e">
        <f>AND(Sheet1!#REF!,"AAAAAEB7LTE=")</f>
        <v>#REF!</v>
      </c>
      <c r="AY221" t="e">
        <f>AND(Sheet1!#REF!,"AAAAAEB7LTI=")</f>
        <v>#REF!</v>
      </c>
      <c r="AZ221" t="e">
        <f>AND(Sheet1!#REF!,"AAAAAEB7LTM=")</f>
        <v>#REF!</v>
      </c>
      <c r="BA221" t="e">
        <f>AND(Sheet1!#REF!,"AAAAAEB7LTQ=")</f>
        <v>#REF!</v>
      </c>
      <c r="BB221">
        <f>IF(Sheet1!2968:2968,"AAAAAEB7LTU=",0)</f>
        <v>0</v>
      </c>
      <c r="BC221" t="e">
        <f>AND(Sheet1!A2968,"AAAAAEB7LTY=")</f>
        <v>#VALUE!</v>
      </c>
      <c r="BD221" t="e">
        <f>AND(Sheet1!B2968,"AAAAAEB7LTc=")</f>
        <v>#VALUE!</v>
      </c>
      <c r="BE221" t="e">
        <f>AND(Sheet1!C2968,"AAAAAEB7LTg=")</f>
        <v>#VALUE!</v>
      </c>
      <c r="BF221" t="e">
        <f>AND(Sheet1!D2968,"AAAAAEB7LTk=")</f>
        <v>#VALUE!</v>
      </c>
      <c r="BG221" t="e">
        <f>AND(Sheet1!E2968,"AAAAAEB7LTo=")</f>
        <v>#VALUE!</v>
      </c>
      <c r="BH221" t="e">
        <f>AND(Sheet1!F2968,"AAAAAEB7LTs=")</f>
        <v>#VALUE!</v>
      </c>
      <c r="BI221" t="e">
        <f>AND(Sheet1!G2968,"AAAAAEB7LTw=")</f>
        <v>#VALUE!</v>
      </c>
      <c r="BJ221" t="e">
        <f>AND(Sheet1!H2968,"AAAAAEB7LT0=")</f>
        <v>#VALUE!</v>
      </c>
      <c r="BK221" t="e">
        <f>AND(Sheet1!I2968,"AAAAAEB7LT4=")</f>
        <v>#VALUE!</v>
      </c>
      <c r="BL221" t="e">
        <f>AND(Sheet1!J2968,"AAAAAEB7LT8=")</f>
        <v>#VALUE!</v>
      </c>
      <c r="BM221" t="e">
        <f>AND(Sheet1!K2968,"AAAAAEB7LUA=")</f>
        <v>#VALUE!</v>
      </c>
      <c r="BN221" t="e">
        <f>AND(Sheet1!L2968,"AAAAAEB7LUE=")</f>
        <v>#VALUE!</v>
      </c>
      <c r="BO221" t="e">
        <f>AND(Sheet1!M2968,"AAAAAEB7LUI=")</f>
        <v>#VALUE!</v>
      </c>
      <c r="BP221" t="e">
        <f>AND(Sheet1!N2968,"AAAAAEB7LUM=")</f>
        <v>#VALUE!</v>
      </c>
      <c r="BQ221" t="e">
        <f>AND(Sheet1!#REF!,"AAAAAEB7LUQ=")</f>
        <v>#REF!</v>
      </c>
      <c r="BR221" t="e">
        <f>AND(Sheet1!#REF!,"AAAAAEB7LUU=")</f>
        <v>#REF!</v>
      </c>
      <c r="BS221" t="e">
        <f>AND(Sheet1!#REF!,"AAAAAEB7LUY=")</f>
        <v>#REF!</v>
      </c>
      <c r="BT221" t="e">
        <f>AND(Sheet1!#REF!,"AAAAAEB7LUc=")</f>
        <v>#REF!</v>
      </c>
      <c r="BU221">
        <f>IF(Sheet1!2969:2969,"AAAAAEB7LUg=",0)</f>
        <v>0</v>
      </c>
      <c r="BV221" t="e">
        <f>AND(Sheet1!A2969,"AAAAAEB7LUk=")</f>
        <v>#VALUE!</v>
      </c>
      <c r="BW221" t="e">
        <f>AND(Sheet1!B2969,"AAAAAEB7LUo=")</f>
        <v>#VALUE!</v>
      </c>
      <c r="BX221" t="e">
        <f>AND(Sheet1!C2969,"AAAAAEB7LUs=")</f>
        <v>#VALUE!</v>
      </c>
      <c r="BY221" t="e">
        <f>AND(Sheet1!D2969,"AAAAAEB7LUw=")</f>
        <v>#VALUE!</v>
      </c>
      <c r="BZ221" t="e">
        <f>AND(Sheet1!E2969,"AAAAAEB7LU0=")</f>
        <v>#VALUE!</v>
      </c>
      <c r="CA221" t="e">
        <f>AND(Sheet1!F2969,"AAAAAEB7LU4=")</f>
        <v>#VALUE!</v>
      </c>
      <c r="CB221" t="e">
        <f>AND(Sheet1!G2969,"AAAAAEB7LU8=")</f>
        <v>#VALUE!</v>
      </c>
      <c r="CC221" t="e">
        <f>AND(Sheet1!H2969,"AAAAAEB7LVA=")</f>
        <v>#VALUE!</v>
      </c>
      <c r="CD221" t="e">
        <f>AND(Sheet1!I2969,"AAAAAEB7LVE=")</f>
        <v>#VALUE!</v>
      </c>
      <c r="CE221" t="e">
        <f>AND(Sheet1!J2969,"AAAAAEB7LVI=")</f>
        <v>#VALUE!</v>
      </c>
      <c r="CF221" t="e">
        <f>AND(Sheet1!K2969,"AAAAAEB7LVM=")</f>
        <v>#VALUE!</v>
      </c>
      <c r="CG221" t="e">
        <f>AND(Sheet1!L2969,"AAAAAEB7LVQ=")</f>
        <v>#VALUE!</v>
      </c>
      <c r="CH221" t="e">
        <f>AND(Sheet1!M2969,"AAAAAEB7LVU=")</f>
        <v>#VALUE!</v>
      </c>
      <c r="CI221" t="e">
        <f>AND(Sheet1!N2969,"AAAAAEB7LVY=")</f>
        <v>#VALUE!</v>
      </c>
      <c r="CJ221" t="e">
        <f>AND(Sheet1!#REF!,"AAAAAEB7LVc=")</f>
        <v>#REF!</v>
      </c>
      <c r="CK221" t="e">
        <f>AND(Sheet1!#REF!,"AAAAAEB7LVg=")</f>
        <v>#REF!</v>
      </c>
      <c r="CL221" t="e">
        <f>AND(Sheet1!#REF!,"AAAAAEB7LVk=")</f>
        <v>#REF!</v>
      </c>
      <c r="CM221" t="e">
        <f>AND(Sheet1!#REF!,"AAAAAEB7LVo=")</f>
        <v>#REF!</v>
      </c>
      <c r="CN221">
        <f>IF(Sheet1!2970:2970,"AAAAAEB7LVs=",0)</f>
        <v>0</v>
      </c>
      <c r="CO221" t="e">
        <f>AND(Sheet1!A2970,"AAAAAEB7LVw=")</f>
        <v>#VALUE!</v>
      </c>
      <c r="CP221" t="e">
        <f>AND(Sheet1!B2970,"AAAAAEB7LV0=")</f>
        <v>#VALUE!</v>
      </c>
      <c r="CQ221" t="e">
        <f>AND(Sheet1!C2970,"AAAAAEB7LV4=")</f>
        <v>#VALUE!</v>
      </c>
      <c r="CR221" t="e">
        <f>AND(Sheet1!D2970,"AAAAAEB7LV8=")</f>
        <v>#VALUE!</v>
      </c>
      <c r="CS221" t="e">
        <f>AND(Sheet1!E2970,"AAAAAEB7LWA=")</f>
        <v>#VALUE!</v>
      </c>
      <c r="CT221" t="e">
        <f>AND(Sheet1!F2970,"AAAAAEB7LWE=")</f>
        <v>#VALUE!</v>
      </c>
      <c r="CU221" t="e">
        <f>AND(Sheet1!G2970,"AAAAAEB7LWI=")</f>
        <v>#VALUE!</v>
      </c>
      <c r="CV221" t="e">
        <f>AND(Sheet1!H2970,"AAAAAEB7LWM=")</f>
        <v>#VALUE!</v>
      </c>
      <c r="CW221" t="e">
        <f>AND(Sheet1!I2970,"AAAAAEB7LWQ=")</f>
        <v>#VALUE!</v>
      </c>
      <c r="CX221" t="e">
        <f>AND(Sheet1!J2970,"AAAAAEB7LWU=")</f>
        <v>#VALUE!</v>
      </c>
      <c r="CY221" t="e">
        <f>AND(Sheet1!K2970,"AAAAAEB7LWY=")</f>
        <v>#VALUE!</v>
      </c>
      <c r="CZ221" t="e">
        <f>AND(Sheet1!L2970,"AAAAAEB7LWc=")</f>
        <v>#VALUE!</v>
      </c>
      <c r="DA221" t="e">
        <f>AND(Sheet1!M2970,"AAAAAEB7LWg=")</f>
        <v>#VALUE!</v>
      </c>
      <c r="DB221" t="e">
        <f>AND(Sheet1!N2970,"AAAAAEB7LWk=")</f>
        <v>#VALUE!</v>
      </c>
      <c r="DC221" t="e">
        <f>AND(Sheet1!#REF!,"AAAAAEB7LWo=")</f>
        <v>#REF!</v>
      </c>
      <c r="DD221" t="e">
        <f>AND(Sheet1!#REF!,"AAAAAEB7LWs=")</f>
        <v>#REF!</v>
      </c>
      <c r="DE221" t="e">
        <f>AND(Sheet1!#REF!,"AAAAAEB7LWw=")</f>
        <v>#REF!</v>
      </c>
      <c r="DF221" t="e">
        <f>AND(Sheet1!#REF!,"AAAAAEB7LW0=")</f>
        <v>#REF!</v>
      </c>
      <c r="DG221">
        <f>IF(Sheet1!2971:2971,"AAAAAEB7LW4=",0)</f>
        <v>0</v>
      </c>
      <c r="DH221" t="e">
        <f>AND(Sheet1!A2971,"AAAAAEB7LW8=")</f>
        <v>#VALUE!</v>
      </c>
      <c r="DI221" t="e">
        <f>AND(Sheet1!B2971,"AAAAAEB7LXA=")</f>
        <v>#VALUE!</v>
      </c>
      <c r="DJ221" t="e">
        <f>AND(Sheet1!C2971,"AAAAAEB7LXE=")</f>
        <v>#VALUE!</v>
      </c>
      <c r="DK221" t="e">
        <f>AND(Sheet1!D2971,"AAAAAEB7LXI=")</f>
        <v>#VALUE!</v>
      </c>
      <c r="DL221" t="e">
        <f>AND(Sheet1!E2971,"AAAAAEB7LXM=")</f>
        <v>#VALUE!</v>
      </c>
      <c r="DM221" t="e">
        <f>AND(Sheet1!F2971,"AAAAAEB7LXQ=")</f>
        <v>#VALUE!</v>
      </c>
      <c r="DN221" t="e">
        <f>AND(Sheet1!G2971,"AAAAAEB7LXU=")</f>
        <v>#VALUE!</v>
      </c>
      <c r="DO221" t="e">
        <f>AND(Sheet1!H2971,"AAAAAEB7LXY=")</f>
        <v>#VALUE!</v>
      </c>
      <c r="DP221" t="e">
        <f>AND(Sheet1!I2971,"AAAAAEB7LXc=")</f>
        <v>#VALUE!</v>
      </c>
      <c r="DQ221" t="e">
        <f>AND(Sheet1!J2971,"AAAAAEB7LXg=")</f>
        <v>#VALUE!</v>
      </c>
      <c r="DR221" t="e">
        <f>AND(Sheet1!K2971,"AAAAAEB7LXk=")</f>
        <v>#VALUE!</v>
      </c>
      <c r="DS221" t="e">
        <f>AND(Sheet1!L2971,"AAAAAEB7LXo=")</f>
        <v>#VALUE!</v>
      </c>
      <c r="DT221" t="e">
        <f>AND(Sheet1!M2971,"AAAAAEB7LXs=")</f>
        <v>#VALUE!</v>
      </c>
      <c r="DU221" t="e">
        <f>AND(Sheet1!N2971,"AAAAAEB7LXw=")</f>
        <v>#VALUE!</v>
      </c>
      <c r="DV221" t="e">
        <f>AND(Sheet1!#REF!,"AAAAAEB7LX0=")</f>
        <v>#REF!</v>
      </c>
      <c r="DW221" t="e">
        <f>AND(Sheet1!#REF!,"AAAAAEB7LX4=")</f>
        <v>#REF!</v>
      </c>
      <c r="DX221" t="e">
        <f>AND(Sheet1!#REF!,"AAAAAEB7LX8=")</f>
        <v>#REF!</v>
      </c>
      <c r="DY221" t="e">
        <f>AND(Sheet1!#REF!,"AAAAAEB7LYA=")</f>
        <v>#REF!</v>
      </c>
      <c r="DZ221">
        <f>IF(Sheet1!2972:2972,"AAAAAEB7LYE=",0)</f>
        <v>0</v>
      </c>
      <c r="EA221" t="e">
        <f>AND(Sheet1!A2972,"AAAAAEB7LYI=")</f>
        <v>#VALUE!</v>
      </c>
      <c r="EB221" t="e">
        <f>AND(Sheet1!B2972,"AAAAAEB7LYM=")</f>
        <v>#VALUE!</v>
      </c>
      <c r="EC221" t="e">
        <f>AND(Sheet1!C2972,"AAAAAEB7LYQ=")</f>
        <v>#VALUE!</v>
      </c>
      <c r="ED221" t="e">
        <f>AND(Sheet1!D2972,"AAAAAEB7LYU=")</f>
        <v>#VALUE!</v>
      </c>
      <c r="EE221" t="e">
        <f>AND(Sheet1!E2972,"AAAAAEB7LYY=")</f>
        <v>#VALUE!</v>
      </c>
      <c r="EF221" t="e">
        <f>AND(Sheet1!F2972,"AAAAAEB7LYc=")</f>
        <v>#VALUE!</v>
      </c>
      <c r="EG221" t="e">
        <f>AND(Sheet1!G2972,"AAAAAEB7LYg=")</f>
        <v>#VALUE!</v>
      </c>
      <c r="EH221" t="e">
        <f>AND(Sheet1!H2972,"AAAAAEB7LYk=")</f>
        <v>#VALUE!</v>
      </c>
      <c r="EI221" t="e">
        <f>AND(Sheet1!I2972,"AAAAAEB7LYo=")</f>
        <v>#VALUE!</v>
      </c>
      <c r="EJ221" t="e">
        <f>AND(Sheet1!J2972,"AAAAAEB7LYs=")</f>
        <v>#VALUE!</v>
      </c>
      <c r="EK221" t="e">
        <f>AND(Sheet1!K2972,"AAAAAEB7LYw=")</f>
        <v>#VALUE!</v>
      </c>
      <c r="EL221" t="e">
        <f>AND(Sheet1!L2972,"AAAAAEB7LY0=")</f>
        <v>#VALUE!</v>
      </c>
      <c r="EM221" t="e">
        <f>AND(Sheet1!M2972,"AAAAAEB7LY4=")</f>
        <v>#VALUE!</v>
      </c>
      <c r="EN221" t="e">
        <f>AND(Sheet1!N2972,"AAAAAEB7LY8=")</f>
        <v>#VALUE!</v>
      </c>
      <c r="EO221" t="e">
        <f>AND(Sheet1!#REF!,"AAAAAEB7LZA=")</f>
        <v>#REF!</v>
      </c>
      <c r="EP221" t="e">
        <f>AND(Sheet1!#REF!,"AAAAAEB7LZE=")</f>
        <v>#REF!</v>
      </c>
      <c r="EQ221" t="e">
        <f>AND(Sheet1!#REF!,"AAAAAEB7LZI=")</f>
        <v>#REF!</v>
      </c>
      <c r="ER221" t="e">
        <f>AND(Sheet1!#REF!,"AAAAAEB7LZM=")</f>
        <v>#REF!</v>
      </c>
      <c r="ES221">
        <f>IF(Sheet1!2973:2973,"AAAAAEB7LZQ=",0)</f>
        <v>0</v>
      </c>
      <c r="ET221" t="e">
        <f>AND(Sheet1!A2973,"AAAAAEB7LZU=")</f>
        <v>#VALUE!</v>
      </c>
      <c r="EU221" t="e">
        <f>AND(Sheet1!B2973,"AAAAAEB7LZY=")</f>
        <v>#VALUE!</v>
      </c>
      <c r="EV221" t="e">
        <f>AND(Sheet1!C2973,"AAAAAEB7LZc=")</f>
        <v>#VALUE!</v>
      </c>
      <c r="EW221" t="e">
        <f>AND(Sheet1!D2973,"AAAAAEB7LZg=")</f>
        <v>#VALUE!</v>
      </c>
      <c r="EX221" t="e">
        <f>AND(Sheet1!E2973,"AAAAAEB7LZk=")</f>
        <v>#VALUE!</v>
      </c>
      <c r="EY221" t="e">
        <f>AND(Sheet1!F2973,"AAAAAEB7LZo=")</f>
        <v>#VALUE!</v>
      </c>
      <c r="EZ221" t="e">
        <f>AND(Sheet1!G2973,"AAAAAEB7LZs=")</f>
        <v>#VALUE!</v>
      </c>
      <c r="FA221" t="e">
        <f>AND(Sheet1!H2973,"AAAAAEB7LZw=")</f>
        <v>#VALUE!</v>
      </c>
      <c r="FB221" t="e">
        <f>AND(Sheet1!I2973,"AAAAAEB7LZ0=")</f>
        <v>#VALUE!</v>
      </c>
      <c r="FC221" t="e">
        <f>AND(Sheet1!J2973,"AAAAAEB7LZ4=")</f>
        <v>#VALUE!</v>
      </c>
      <c r="FD221" t="e">
        <f>AND(Sheet1!K2973,"AAAAAEB7LZ8=")</f>
        <v>#VALUE!</v>
      </c>
      <c r="FE221" t="e">
        <f>AND(Sheet1!L2973,"AAAAAEB7LaA=")</f>
        <v>#VALUE!</v>
      </c>
      <c r="FF221" t="e">
        <f>AND(Sheet1!M2973,"AAAAAEB7LaE=")</f>
        <v>#VALUE!</v>
      </c>
      <c r="FG221" t="e">
        <f>AND(Sheet1!N2973,"AAAAAEB7LaI=")</f>
        <v>#VALUE!</v>
      </c>
      <c r="FH221" t="e">
        <f>AND(Sheet1!#REF!,"AAAAAEB7LaM=")</f>
        <v>#REF!</v>
      </c>
      <c r="FI221" t="e">
        <f>AND(Sheet1!#REF!,"AAAAAEB7LaQ=")</f>
        <v>#REF!</v>
      </c>
      <c r="FJ221" t="e">
        <f>AND(Sheet1!#REF!,"AAAAAEB7LaU=")</f>
        <v>#REF!</v>
      </c>
      <c r="FK221" t="e">
        <f>AND(Sheet1!#REF!,"AAAAAEB7LaY=")</f>
        <v>#REF!</v>
      </c>
      <c r="FL221">
        <f>IF(Sheet1!2974:2974,"AAAAAEB7Lac=",0)</f>
        <v>0</v>
      </c>
      <c r="FM221" t="e">
        <f>AND(Sheet1!A2974,"AAAAAEB7Lag=")</f>
        <v>#VALUE!</v>
      </c>
      <c r="FN221" t="e">
        <f>AND(Sheet1!B2974,"AAAAAEB7Lak=")</f>
        <v>#VALUE!</v>
      </c>
      <c r="FO221" t="e">
        <f>AND(Sheet1!C2974,"AAAAAEB7Lao=")</f>
        <v>#VALUE!</v>
      </c>
      <c r="FP221" t="e">
        <f>AND(Sheet1!D2974,"AAAAAEB7Las=")</f>
        <v>#VALUE!</v>
      </c>
      <c r="FQ221" t="e">
        <f>AND(Sheet1!E2974,"AAAAAEB7Law=")</f>
        <v>#VALUE!</v>
      </c>
      <c r="FR221" t="e">
        <f>AND(Sheet1!F2974,"AAAAAEB7La0=")</f>
        <v>#VALUE!</v>
      </c>
      <c r="FS221" t="e">
        <f>AND(Sheet1!G2974,"AAAAAEB7La4=")</f>
        <v>#VALUE!</v>
      </c>
      <c r="FT221" t="e">
        <f>AND(Sheet1!H2974,"AAAAAEB7La8=")</f>
        <v>#VALUE!</v>
      </c>
      <c r="FU221" t="e">
        <f>AND(Sheet1!I2974,"AAAAAEB7LbA=")</f>
        <v>#VALUE!</v>
      </c>
      <c r="FV221" t="e">
        <f>AND(Sheet1!J2974,"AAAAAEB7LbE=")</f>
        <v>#VALUE!</v>
      </c>
      <c r="FW221" t="e">
        <f>AND(Sheet1!K2974,"AAAAAEB7LbI=")</f>
        <v>#VALUE!</v>
      </c>
      <c r="FX221" t="e">
        <f>AND(Sheet1!L2974,"AAAAAEB7LbM=")</f>
        <v>#VALUE!</v>
      </c>
      <c r="FY221" t="e">
        <f>AND(Sheet1!M2974,"AAAAAEB7LbQ=")</f>
        <v>#VALUE!</v>
      </c>
      <c r="FZ221" t="e">
        <f>AND(Sheet1!N2974,"AAAAAEB7LbU=")</f>
        <v>#VALUE!</v>
      </c>
      <c r="GA221" t="e">
        <f>AND(Sheet1!#REF!,"AAAAAEB7LbY=")</f>
        <v>#REF!</v>
      </c>
      <c r="GB221" t="e">
        <f>AND(Sheet1!#REF!,"AAAAAEB7Lbc=")</f>
        <v>#REF!</v>
      </c>
      <c r="GC221" t="e">
        <f>AND(Sheet1!#REF!,"AAAAAEB7Lbg=")</f>
        <v>#REF!</v>
      </c>
      <c r="GD221" t="e">
        <f>AND(Sheet1!#REF!,"AAAAAEB7Lbk=")</f>
        <v>#REF!</v>
      </c>
      <c r="GE221">
        <f>IF(Sheet1!2975:2975,"AAAAAEB7Lbo=",0)</f>
        <v>0</v>
      </c>
      <c r="GF221" t="e">
        <f>AND(Sheet1!A2975,"AAAAAEB7Lbs=")</f>
        <v>#VALUE!</v>
      </c>
      <c r="GG221" t="e">
        <f>AND(Sheet1!B2975,"AAAAAEB7Lbw=")</f>
        <v>#VALUE!</v>
      </c>
      <c r="GH221" t="e">
        <f>AND(Sheet1!C2975,"AAAAAEB7Lb0=")</f>
        <v>#VALUE!</v>
      </c>
      <c r="GI221" t="e">
        <f>AND(Sheet1!D2975,"AAAAAEB7Lb4=")</f>
        <v>#VALUE!</v>
      </c>
      <c r="GJ221" t="e">
        <f>AND(Sheet1!E2975,"AAAAAEB7Lb8=")</f>
        <v>#VALUE!</v>
      </c>
      <c r="GK221" t="e">
        <f>AND(Sheet1!F2975,"AAAAAEB7LcA=")</f>
        <v>#VALUE!</v>
      </c>
      <c r="GL221" t="e">
        <f>AND(Sheet1!G2975,"AAAAAEB7LcE=")</f>
        <v>#VALUE!</v>
      </c>
      <c r="GM221" t="e">
        <f>AND(Sheet1!H2975,"AAAAAEB7LcI=")</f>
        <v>#VALUE!</v>
      </c>
      <c r="GN221" t="e">
        <f>AND(Sheet1!I2975,"AAAAAEB7LcM=")</f>
        <v>#VALUE!</v>
      </c>
      <c r="GO221" t="e">
        <f>AND(Sheet1!J2975,"AAAAAEB7LcQ=")</f>
        <v>#VALUE!</v>
      </c>
      <c r="GP221" t="e">
        <f>AND(Sheet1!K2975,"AAAAAEB7LcU=")</f>
        <v>#VALUE!</v>
      </c>
      <c r="GQ221" t="e">
        <f>AND(Sheet1!L2975,"AAAAAEB7LcY=")</f>
        <v>#VALUE!</v>
      </c>
      <c r="GR221" t="e">
        <f>AND(Sheet1!M2975,"AAAAAEB7Lcc=")</f>
        <v>#VALUE!</v>
      </c>
      <c r="GS221" t="e">
        <f>AND(Sheet1!N2975,"AAAAAEB7Lcg=")</f>
        <v>#VALUE!</v>
      </c>
      <c r="GT221" t="e">
        <f>AND(Sheet1!#REF!,"AAAAAEB7Lck=")</f>
        <v>#REF!</v>
      </c>
      <c r="GU221" t="e">
        <f>AND(Sheet1!#REF!,"AAAAAEB7Lco=")</f>
        <v>#REF!</v>
      </c>
      <c r="GV221" t="e">
        <f>AND(Sheet1!#REF!,"AAAAAEB7Lcs=")</f>
        <v>#REF!</v>
      </c>
      <c r="GW221" t="e">
        <f>AND(Sheet1!#REF!,"AAAAAEB7Lcw=")</f>
        <v>#REF!</v>
      </c>
      <c r="GX221">
        <f>IF(Sheet1!2976:2976,"AAAAAEB7Lc0=",0)</f>
        <v>0</v>
      </c>
      <c r="GY221" t="e">
        <f>AND(Sheet1!A2976,"AAAAAEB7Lc4=")</f>
        <v>#VALUE!</v>
      </c>
      <c r="GZ221" t="e">
        <f>AND(Sheet1!B2976,"AAAAAEB7Lc8=")</f>
        <v>#VALUE!</v>
      </c>
      <c r="HA221" t="e">
        <f>AND(Sheet1!C2976,"AAAAAEB7LdA=")</f>
        <v>#VALUE!</v>
      </c>
      <c r="HB221" t="e">
        <f>AND(Sheet1!D2976,"AAAAAEB7LdE=")</f>
        <v>#VALUE!</v>
      </c>
      <c r="HC221" t="e">
        <f>AND(Sheet1!E2976,"AAAAAEB7LdI=")</f>
        <v>#VALUE!</v>
      </c>
      <c r="HD221" t="e">
        <f>AND(Sheet1!F2976,"AAAAAEB7LdM=")</f>
        <v>#VALUE!</v>
      </c>
      <c r="HE221" t="e">
        <f>AND(Sheet1!G2976,"AAAAAEB7LdQ=")</f>
        <v>#VALUE!</v>
      </c>
      <c r="HF221" t="e">
        <f>AND(Sheet1!H2976,"AAAAAEB7LdU=")</f>
        <v>#VALUE!</v>
      </c>
      <c r="HG221" t="e">
        <f>AND(Sheet1!I2976,"AAAAAEB7LdY=")</f>
        <v>#VALUE!</v>
      </c>
      <c r="HH221" t="e">
        <f>AND(Sheet1!J2976,"AAAAAEB7Ldc=")</f>
        <v>#VALUE!</v>
      </c>
      <c r="HI221" t="e">
        <f>AND(Sheet1!K2976,"AAAAAEB7Ldg=")</f>
        <v>#VALUE!</v>
      </c>
      <c r="HJ221" t="e">
        <f>AND(Sheet1!L2976,"AAAAAEB7Ldk=")</f>
        <v>#VALUE!</v>
      </c>
      <c r="HK221" t="e">
        <f>AND(Sheet1!M2976,"AAAAAEB7Ldo=")</f>
        <v>#VALUE!</v>
      </c>
      <c r="HL221" t="e">
        <f>AND(Sheet1!N2976,"AAAAAEB7Lds=")</f>
        <v>#VALUE!</v>
      </c>
      <c r="HM221" t="e">
        <f>AND(Sheet1!#REF!,"AAAAAEB7Ldw=")</f>
        <v>#REF!</v>
      </c>
      <c r="HN221" t="e">
        <f>AND(Sheet1!#REF!,"AAAAAEB7Ld0=")</f>
        <v>#REF!</v>
      </c>
      <c r="HO221" t="e">
        <f>AND(Sheet1!#REF!,"AAAAAEB7Ld4=")</f>
        <v>#REF!</v>
      </c>
      <c r="HP221" t="e">
        <f>AND(Sheet1!#REF!,"AAAAAEB7Ld8=")</f>
        <v>#REF!</v>
      </c>
      <c r="HQ221">
        <f>IF(Sheet1!2977:2977,"AAAAAEB7LeA=",0)</f>
        <v>0</v>
      </c>
      <c r="HR221" t="e">
        <f>AND(Sheet1!A2977,"AAAAAEB7LeE=")</f>
        <v>#VALUE!</v>
      </c>
      <c r="HS221" t="e">
        <f>AND(Sheet1!B2977,"AAAAAEB7LeI=")</f>
        <v>#VALUE!</v>
      </c>
      <c r="HT221" t="e">
        <f>AND(Sheet1!C2977,"AAAAAEB7LeM=")</f>
        <v>#VALUE!</v>
      </c>
      <c r="HU221" t="e">
        <f>AND(Sheet1!D2977,"AAAAAEB7LeQ=")</f>
        <v>#VALUE!</v>
      </c>
      <c r="HV221" t="e">
        <f>AND(Sheet1!E2977,"AAAAAEB7LeU=")</f>
        <v>#VALUE!</v>
      </c>
      <c r="HW221" t="e">
        <f>AND(Sheet1!F2977,"AAAAAEB7LeY=")</f>
        <v>#VALUE!</v>
      </c>
      <c r="HX221" t="e">
        <f>AND(Sheet1!G2977,"AAAAAEB7Lec=")</f>
        <v>#VALUE!</v>
      </c>
      <c r="HY221" t="e">
        <f>AND(Sheet1!H2977,"AAAAAEB7Leg=")</f>
        <v>#VALUE!</v>
      </c>
      <c r="HZ221" t="e">
        <f>AND(Sheet1!I2977,"AAAAAEB7Lek=")</f>
        <v>#VALUE!</v>
      </c>
      <c r="IA221" t="e">
        <f>AND(Sheet1!J2977,"AAAAAEB7Leo=")</f>
        <v>#VALUE!</v>
      </c>
      <c r="IB221" t="e">
        <f>AND(Sheet1!K2977,"AAAAAEB7Les=")</f>
        <v>#VALUE!</v>
      </c>
      <c r="IC221" t="e">
        <f>AND(Sheet1!L2977,"AAAAAEB7Lew=")</f>
        <v>#VALUE!</v>
      </c>
      <c r="ID221" t="e">
        <f>AND(Sheet1!M2977,"AAAAAEB7Le0=")</f>
        <v>#VALUE!</v>
      </c>
      <c r="IE221" t="e">
        <f>AND(Sheet1!N2977,"AAAAAEB7Le4=")</f>
        <v>#VALUE!</v>
      </c>
      <c r="IF221" t="e">
        <f>AND(Sheet1!#REF!,"AAAAAEB7Le8=")</f>
        <v>#REF!</v>
      </c>
      <c r="IG221" t="e">
        <f>AND(Sheet1!#REF!,"AAAAAEB7LfA=")</f>
        <v>#REF!</v>
      </c>
      <c r="IH221" t="e">
        <f>AND(Sheet1!#REF!,"AAAAAEB7LfE=")</f>
        <v>#REF!</v>
      </c>
      <c r="II221" t="e">
        <f>AND(Sheet1!#REF!,"AAAAAEB7LfI=")</f>
        <v>#REF!</v>
      </c>
      <c r="IJ221">
        <f>IF(Sheet1!2978:2978,"AAAAAEB7LfM=",0)</f>
        <v>0</v>
      </c>
      <c r="IK221" t="e">
        <f>AND(Sheet1!A2978,"AAAAAEB7LfQ=")</f>
        <v>#VALUE!</v>
      </c>
      <c r="IL221" t="e">
        <f>AND(Sheet1!B2978,"AAAAAEB7LfU=")</f>
        <v>#VALUE!</v>
      </c>
      <c r="IM221" t="e">
        <f>AND(Sheet1!C2978,"AAAAAEB7LfY=")</f>
        <v>#VALUE!</v>
      </c>
      <c r="IN221" t="e">
        <f>AND(Sheet1!D2978,"AAAAAEB7Lfc=")</f>
        <v>#VALUE!</v>
      </c>
      <c r="IO221" t="e">
        <f>AND(Sheet1!E2978,"AAAAAEB7Lfg=")</f>
        <v>#VALUE!</v>
      </c>
      <c r="IP221" t="e">
        <f>AND(Sheet1!F2978,"AAAAAEB7Lfk=")</f>
        <v>#VALUE!</v>
      </c>
      <c r="IQ221" t="e">
        <f>AND(Sheet1!G2978,"AAAAAEB7Lfo=")</f>
        <v>#VALUE!</v>
      </c>
      <c r="IR221" t="e">
        <f>AND(Sheet1!H2978,"AAAAAEB7Lfs=")</f>
        <v>#VALUE!</v>
      </c>
      <c r="IS221" t="e">
        <f>AND(Sheet1!I2978,"AAAAAEB7Lfw=")</f>
        <v>#VALUE!</v>
      </c>
      <c r="IT221" t="e">
        <f>AND(Sheet1!J2978,"AAAAAEB7Lf0=")</f>
        <v>#VALUE!</v>
      </c>
      <c r="IU221" t="e">
        <f>AND(Sheet1!K2978,"AAAAAEB7Lf4=")</f>
        <v>#VALUE!</v>
      </c>
      <c r="IV221" t="e">
        <f>AND(Sheet1!L2978,"AAAAAEB7Lf8=")</f>
        <v>#VALUE!</v>
      </c>
    </row>
    <row r="222" spans="1:256" x14ac:dyDescent="0.2">
      <c r="A222" t="e">
        <f>AND(Sheet1!M2978,"AAAAAF8/0wA=")</f>
        <v>#VALUE!</v>
      </c>
      <c r="B222" t="e">
        <f>AND(Sheet1!N2978,"AAAAAF8/0wE=")</f>
        <v>#VALUE!</v>
      </c>
      <c r="C222" t="e">
        <f>AND(Sheet1!#REF!,"AAAAAF8/0wI=")</f>
        <v>#REF!</v>
      </c>
      <c r="D222" t="e">
        <f>AND(Sheet1!#REF!,"AAAAAF8/0wM=")</f>
        <v>#REF!</v>
      </c>
      <c r="E222" t="e">
        <f>AND(Sheet1!#REF!,"AAAAAF8/0wQ=")</f>
        <v>#REF!</v>
      </c>
      <c r="F222" t="e">
        <f>AND(Sheet1!#REF!,"AAAAAF8/0wU=")</f>
        <v>#REF!</v>
      </c>
      <c r="G222" t="str">
        <f>IF(Sheet1!2979:2979,"AAAAAF8/0wY=",0)</f>
        <v>AAAAAF8/0wY=</v>
      </c>
      <c r="H222" t="e">
        <f>AND(Sheet1!A2979,"AAAAAF8/0wc=")</f>
        <v>#VALUE!</v>
      </c>
      <c r="I222" t="e">
        <f>AND(Sheet1!B2979,"AAAAAF8/0wg=")</f>
        <v>#VALUE!</v>
      </c>
      <c r="J222" t="e">
        <f>AND(Sheet1!C2979,"AAAAAF8/0wk=")</f>
        <v>#VALUE!</v>
      </c>
      <c r="K222" t="e">
        <f>AND(Sheet1!D2979,"AAAAAF8/0wo=")</f>
        <v>#VALUE!</v>
      </c>
      <c r="L222" t="e">
        <f>AND(Sheet1!E2979,"AAAAAF8/0ws=")</f>
        <v>#VALUE!</v>
      </c>
      <c r="M222" t="e">
        <f>AND(Sheet1!F2979,"AAAAAF8/0ww=")</f>
        <v>#VALUE!</v>
      </c>
      <c r="N222" t="e">
        <f>AND(Sheet1!G2979,"AAAAAF8/0w0=")</f>
        <v>#VALUE!</v>
      </c>
      <c r="O222" t="e">
        <f>AND(Sheet1!H2979,"AAAAAF8/0w4=")</f>
        <v>#VALUE!</v>
      </c>
      <c r="P222" t="e">
        <f>AND(Sheet1!I2979,"AAAAAF8/0w8=")</f>
        <v>#VALUE!</v>
      </c>
      <c r="Q222" t="e">
        <f>AND(Sheet1!J2979,"AAAAAF8/0xA=")</f>
        <v>#VALUE!</v>
      </c>
      <c r="R222" t="e">
        <f>AND(Sheet1!K2979,"AAAAAF8/0xE=")</f>
        <v>#VALUE!</v>
      </c>
      <c r="S222" t="e">
        <f>AND(Sheet1!L2979,"AAAAAF8/0xI=")</f>
        <v>#VALUE!</v>
      </c>
      <c r="T222" t="e">
        <f>AND(Sheet1!M2979,"AAAAAF8/0xM=")</f>
        <v>#VALUE!</v>
      </c>
      <c r="U222" t="e">
        <f>AND(Sheet1!N2979,"AAAAAF8/0xQ=")</f>
        <v>#VALUE!</v>
      </c>
      <c r="V222" t="e">
        <f>AND(Sheet1!#REF!,"AAAAAF8/0xU=")</f>
        <v>#REF!</v>
      </c>
      <c r="W222" t="e">
        <f>AND(Sheet1!#REF!,"AAAAAF8/0xY=")</f>
        <v>#REF!</v>
      </c>
      <c r="X222" t="e">
        <f>AND(Sheet1!#REF!,"AAAAAF8/0xc=")</f>
        <v>#REF!</v>
      </c>
      <c r="Y222" t="e">
        <f>AND(Sheet1!#REF!,"AAAAAF8/0xg=")</f>
        <v>#REF!</v>
      </c>
      <c r="Z222">
        <f>IF(Sheet1!2980:2980,"AAAAAF8/0xk=",0)</f>
        <v>0</v>
      </c>
      <c r="AA222" t="e">
        <f>AND(Sheet1!A2980,"AAAAAF8/0xo=")</f>
        <v>#VALUE!</v>
      </c>
      <c r="AB222" t="e">
        <f>AND(Sheet1!B2980,"AAAAAF8/0xs=")</f>
        <v>#VALUE!</v>
      </c>
      <c r="AC222" t="e">
        <f>AND(Sheet1!C2980,"AAAAAF8/0xw=")</f>
        <v>#VALUE!</v>
      </c>
      <c r="AD222" t="e">
        <f>AND(Sheet1!D2980,"AAAAAF8/0x0=")</f>
        <v>#VALUE!</v>
      </c>
      <c r="AE222" t="e">
        <f>AND(Sheet1!E2980,"AAAAAF8/0x4=")</f>
        <v>#VALUE!</v>
      </c>
      <c r="AF222" t="e">
        <f>AND(Sheet1!F2980,"AAAAAF8/0x8=")</f>
        <v>#VALUE!</v>
      </c>
      <c r="AG222" t="e">
        <f>AND(Sheet1!G2980,"AAAAAF8/0yA=")</f>
        <v>#VALUE!</v>
      </c>
      <c r="AH222" t="e">
        <f>AND(Sheet1!H2980,"AAAAAF8/0yE=")</f>
        <v>#VALUE!</v>
      </c>
      <c r="AI222" t="e">
        <f>AND(Sheet1!I2980,"AAAAAF8/0yI=")</f>
        <v>#VALUE!</v>
      </c>
      <c r="AJ222" t="e">
        <f>AND(Sheet1!J2980,"AAAAAF8/0yM=")</f>
        <v>#VALUE!</v>
      </c>
      <c r="AK222" t="e">
        <f>AND(Sheet1!K2980,"AAAAAF8/0yQ=")</f>
        <v>#VALUE!</v>
      </c>
      <c r="AL222" t="e">
        <f>AND(Sheet1!L2980,"AAAAAF8/0yU=")</f>
        <v>#VALUE!</v>
      </c>
      <c r="AM222" t="e">
        <f>AND(Sheet1!M2980,"AAAAAF8/0yY=")</f>
        <v>#VALUE!</v>
      </c>
      <c r="AN222" t="e">
        <f>AND(Sheet1!N2980,"AAAAAF8/0yc=")</f>
        <v>#VALUE!</v>
      </c>
      <c r="AO222" t="e">
        <f>AND(Sheet1!#REF!,"AAAAAF8/0yg=")</f>
        <v>#REF!</v>
      </c>
      <c r="AP222" t="e">
        <f>AND(Sheet1!#REF!,"AAAAAF8/0yk=")</f>
        <v>#REF!</v>
      </c>
      <c r="AQ222" t="e">
        <f>AND(Sheet1!#REF!,"AAAAAF8/0yo=")</f>
        <v>#REF!</v>
      </c>
      <c r="AR222" t="e">
        <f>AND(Sheet1!#REF!,"AAAAAF8/0ys=")</f>
        <v>#REF!</v>
      </c>
      <c r="AS222">
        <f>IF(Sheet1!2981:2981,"AAAAAF8/0yw=",0)</f>
        <v>0</v>
      </c>
      <c r="AT222" t="e">
        <f>AND(Sheet1!A2981,"AAAAAF8/0y0=")</f>
        <v>#VALUE!</v>
      </c>
      <c r="AU222" t="e">
        <f>AND(Sheet1!B2981,"AAAAAF8/0y4=")</f>
        <v>#VALUE!</v>
      </c>
      <c r="AV222" t="e">
        <f>AND(Sheet1!C2981,"AAAAAF8/0y8=")</f>
        <v>#VALUE!</v>
      </c>
      <c r="AW222" t="e">
        <f>AND(Sheet1!D2981,"AAAAAF8/0zA=")</f>
        <v>#VALUE!</v>
      </c>
      <c r="AX222" t="e">
        <f>AND(Sheet1!E2981,"AAAAAF8/0zE=")</f>
        <v>#VALUE!</v>
      </c>
      <c r="AY222" t="e">
        <f>AND(Sheet1!F2981,"AAAAAF8/0zI=")</f>
        <v>#VALUE!</v>
      </c>
      <c r="AZ222" t="e">
        <f>AND(Sheet1!G2981,"AAAAAF8/0zM=")</f>
        <v>#VALUE!</v>
      </c>
      <c r="BA222" t="e">
        <f>AND(Sheet1!H2981,"AAAAAF8/0zQ=")</f>
        <v>#VALUE!</v>
      </c>
      <c r="BB222" t="e">
        <f>AND(Sheet1!I2981,"AAAAAF8/0zU=")</f>
        <v>#VALUE!</v>
      </c>
      <c r="BC222" t="e">
        <f>AND(Sheet1!J2981,"AAAAAF8/0zY=")</f>
        <v>#VALUE!</v>
      </c>
      <c r="BD222" t="e">
        <f>AND(Sheet1!K2981,"AAAAAF8/0zc=")</f>
        <v>#VALUE!</v>
      </c>
      <c r="BE222" t="e">
        <f>AND(Sheet1!L2981,"AAAAAF8/0zg=")</f>
        <v>#VALUE!</v>
      </c>
      <c r="BF222" t="e">
        <f>AND(Sheet1!M2981,"AAAAAF8/0zk=")</f>
        <v>#VALUE!</v>
      </c>
      <c r="BG222" t="e">
        <f>AND(Sheet1!N2981,"AAAAAF8/0zo=")</f>
        <v>#VALUE!</v>
      </c>
      <c r="BH222" t="e">
        <f>AND(Sheet1!#REF!,"AAAAAF8/0zs=")</f>
        <v>#REF!</v>
      </c>
      <c r="BI222" t="e">
        <f>AND(Sheet1!#REF!,"AAAAAF8/0zw=")</f>
        <v>#REF!</v>
      </c>
      <c r="BJ222" t="e">
        <f>AND(Sheet1!#REF!,"AAAAAF8/0z0=")</f>
        <v>#REF!</v>
      </c>
      <c r="BK222" t="e">
        <f>AND(Sheet1!#REF!,"AAAAAF8/0z4=")</f>
        <v>#REF!</v>
      </c>
      <c r="BL222">
        <f>IF(Sheet1!2982:2982,"AAAAAF8/0z8=",0)</f>
        <v>0</v>
      </c>
      <c r="BM222" t="e">
        <f>AND(Sheet1!A2982,"AAAAAF8/00A=")</f>
        <v>#VALUE!</v>
      </c>
      <c r="BN222" t="e">
        <f>AND(Sheet1!B2982,"AAAAAF8/00E=")</f>
        <v>#VALUE!</v>
      </c>
      <c r="BO222" t="e">
        <f>AND(Sheet1!C2982,"AAAAAF8/00I=")</f>
        <v>#VALUE!</v>
      </c>
      <c r="BP222" t="e">
        <f>AND(Sheet1!D2982,"AAAAAF8/00M=")</f>
        <v>#VALUE!</v>
      </c>
      <c r="BQ222" t="e">
        <f>AND(Sheet1!E2982,"AAAAAF8/00Q=")</f>
        <v>#VALUE!</v>
      </c>
      <c r="BR222" t="e">
        <f>AND(Sheet1!F2982,"AAAAAF8/00U=")</f>
        <v>#VALUE!</v>
      </c>
      <c r="BS222" t="e">
        <f>AND(Sheet1!G2982,"AAAAAF8/00Y=")</f>
        <v>#VALUE!</v>
      </c>
      <c r="BT222" t="e">
        <f>AND(Sheet1!H2982,"AAAAAF8/00c=")</f>
        <v>#VALUE!</v>
      </c>
      <c r="BU222" t="e">
        <f>AND(Sheet1!I2982,"AAAAAF8/00g=")</f>
        <v>#VALUE!</v>
      </c>
      <c r="BV222" t="e">
        <f>AND(Sheet1!J2982,"AAAAAF8/00k=")</f>
        <v>#VALUE!</v>
      </c>
      <c r="BW222" t="e">
        <f>AND(Sheet1!K2982,"AAAAAF8/00o=")</f>
        <v>#VALUE!</v>
      </c>
      <c r="BX222" t="e">
        <f>AND(Sheet1!L2982,"AAAAAF8/00s=")</f>
        <v>#VALUE!</v>
      </c>
      <c r="BY222" t="e">
        <f>AND(Sheet1!M2982,"AAAAAF8/00w=")</f>
        <v>#VALUE!</v>
      </c>
      <c r="BZ222" t="e">
        <f>AND(Sheet1!N2982,"AAAAAF8/000=")</f>
        <v>#VALUE!</v>
      </c>
      <c r="CA222" t="e">
        <f>AND(Sheet1!#REF!,"AAAAAF8/004=")</f>
        <v>#REF!</v>
      </c>
      <c r="CB222" t="e">
        <f>AND(Sheet1!#REF!,"AAAAAF8/008=")</f>
        <v>#REF!</v>
      </c>
      <c r="CC222" t="e">
        <f>AND(Sheet1!#REF!,"AAAAAF8/01A=")</f>
        <v>#REF!</v>
      </c>
      <c r="CD222" t="e">
        <f>AND(Sheet1!#REF!,"AAAAAF8/01E=")</f>
        <v>#REF!</v>
      </c>
      <c r="CE222">
        <f>IF(Sheet1!2983:2983,"AAAAAF8/01I=",0)</f>
        <v>0</v>
      </c>
      <c r="CF222" t="e">
        <f>AND(Sheet1!A2983,"AAAAAF8/01M=")</f>
        <v>#VALUE!</v>
      </c>
      <c r="CG222" t="e">
        <f>AND(Sheet1!B2983,"AAAAAF8/01Q=")</f>
        <v>#VALUE!</v>
      </c>
      <c r="CH222" t="e">
        <f>AND(Sheet1!C2983,"AAAAAF8/01U=")</f>
        <v>#VALUE!</v>
      </c>
      <c r="CI222" t="e">
        <f>AND(Sheet1!D2983,"AAAAAF8/01Y=")</f>
        <v>#VALUE!</v>
      </c>
      <c r="CJ222" t="e">
        <f>AND(Sheet1!E2983,"AAAAAF8/01c=")</f>
        <v>#VALUE!</v>
      </c>
      <c r="CK222" t="e">
        <f>AND(Sheet1!F2983,"AAAAAF8/01g=")</f>
        <v>#VALUE!</v>
      </c>
      <c r="CL222" t="e">
        <f>AND(Sheet1!G2983,"AAAAAF8/01k=")</f>
        <v>#VALUE!</v>
      </c>
      <c r="CM222" t="e">
        <f>AND(Sheet1!H2983,"AAAAAF8/01o=")</f>
        <v>#VALUE!</v>
      </c>
      <c r="CN222" t="e">
        <f>AND(Sheet1!I2983,"AAAAAF8/01s=")</f>
        <v>#VALUE!</v>
      </c>
      <c r="CO222" t="e">
        <f>AND(Sheet1!J2983,"AAAAAF8/01w=")</f>
        <v>#VALUE!</v>
      </c>
      <c r="CP222" t="e">
        <f>AND(Sheet1!K2983,"AAAAAF8/010=")</f>
        <v>#VALUE!</v>
      </c>
      <c r="CQ222" t="e">
        <f>AND(Sheet1!L2983,"AAAAAF8/014=")</f>
        <v>#VALUE!</v>
      </c>
      <c r="CR222" t="e">
        <f>AND(Sheet1!M2983,"AAAAAF8/018=")</f>
        <v>#VALUE!</v>
      </c>
      <c r="CS222" t="e">
        <f>AND(Sheet1!N2983,"AAAAAF8/02A=")</f>
        <v>#VALUE!</v>
      </c>
      <c r="CT222" t="e">
        <f>AND(Sheet1!#REF!,"AAAAAF8/02E=")</f>
        <v>#REF!</v>
      </c>
      <c r="CU222" t="e">
        <f>AND(Sheet1!#REF!,"AAAAAF8/02I=")</f>
        <v>#REF!</v>
      </c>
      <c r="CV222" t="e">
        <f>AND(Sheet1!#REF!,"AAAAAF8/02M=")</f>
        <v>#REF!</v>
      </c>
      <c r="CW222" t="e">
        <f>AND(Sheet1!#REF!,"AAAAAF8/02Q=")</f>
        <v>#REF!</v>
      </c>
      <c r="CX222">
        <f>IF(Sheet1!2984:2984,"AAAAAF8/02U=",0)</f>
        <v>0</v>
      </c>
      <c r="CY222" t="e">
        <f>AND(Sheet1!A2984,"AAAAAF8/02Y=")</f>
        <v>#VALUE!</v>
      </c>
      <c r="CZ222" t="e">
        <f>AND(Sheet1!B2984,"AAAAAF8/02c=")</f>
        <v>#VALUE!</v>
      </c>
      <c r="DA222" t="e">
        <f>AND(Sheet1!C2984,"AAAAAF8/02g=")</f>
        <v>#VALUE!</v>
      </c>
      <c r="DB222" t="e">
        <f>AND(Sheet1!D2984,"AAAAAF8/02k=")</f>
        <v>#VALUE!</v>
      </c>
      <c r="DC222" t="e">
        <f>AND(Sheet1!E2984,"AAAAAF8/02o=")</f>
        <v>#VALUE!</v>
      </c>
      <c r="DD222" t="e">
        <f>AND(Sheet1!F2984,"AAAAAF8/02s=")</f>
        <v>#VALUE!</v>
      </c>
      <c r="DE222" t="e">
        <f>AND(Sheet1!G2984,"AAAAAF8/02w=")</f>
        <v>#VALUE!</v>
      </c>
      <c r="DF222" t="e">
        <f>AND(Sheet1!H2984,"AAAAAF8/020=")</f>
        <v>#VALUE!</v>
      </c>
      <c r="DG222" t="e">
        <f>AND(Sheet1!I2984,"AAAAAF8/024=")</f>
        <v>#VALUE!</v>
      </c>
      <c r="DH222" t="e">
        <f>AND(Sheet1!J2984,"AAAAAF8/028=")</f>
        <v>#VALUE!</v>
      </c>
      <c r="DI222" t="e">
        <f>AND(Sheet1!K2984,"AAAAAF8/03A=")</f>
        <v>#VALUE!</v>
      </c>
      <c r="DJ222" t="e">
        <f>AND(Sheet1!L2984,"AAAAAF8/03E=")</f>
        <v>#VALUE!</v>
      </c>
      <c r="DK222" t="e">
        <f>AND(Sheet1!M2984,"AAAAAF8/03I=")</f>
        <v>#VALUE!</v>
      </c>
      <c r="DL222" t="e">
        <f>AND(Sheet1!N2984,"AAAAAF8/03M=")</f>
        <v>#VALUE!</v>
      </c>
      <c r="DM222" t="e">
        <f>AND(Sheet1!#REF!,"AAAAAF8/03Q=")</f>
        <v>#REF!</v>
      </c>
      <c r="DN222" t="e">
        <f>AND(Sheet1!#REF!,"AAAAAF8/03U=")</f>
        <v>#REF!</v>
      </c>
      <c r="DO222" t="e">
        <f>AND(Sheet1!#REF!,"AAAAAF8/03Y=")</f>
        <v>#REF!</v>
      </c>
      <c r="DP222" t="e">
        <f>AND(Sheet1!#REF!,"AAAAAF8/03c=")</f>
        <v>#REF!</v>
      </c>
      <c r="DQ222">
        <f>IF(Sheet1!2985:2985,"AAAAAF8/03g=",0)</f>
        <v>0</v>
      </c>
      <c r="DR222" t="e">
        <f>AND(Sheet1!A2985,"AAAAAF8/03k=")</f>
        <v>#VALUE!</v>
      </c>
      <c r="DS222" t="e">
        <f>AND(Sheet1!B2985,"AAAAAF8/03o=")</f>
        <v>#VALUE!</v>
      </c>
      <c r="DT222" t="e">
        <f>AND(Sheet1!C2985,"AAAAAF8/03s=")</f>
        <v>#VALUE!</v>
      </c>
      <c r="DU222" t="e">
        <f>AND(Sheet1!D2985,"AAAAAF8/03w=")</f>
        <v>#VALUE!</v>
      </c>
      <c r="DV222" t="e">
        <f>AND(Sheet1!E2985,"AAAAAF8/030=")</f>
        <v>#VALUE!</v>
      </c>
      <c r="DW222" t="e">
        <f>AND(Sheet1!F2985,"AAAAAF8/034=")</f>
        <v>#VALUE!</v>
      </c>
      <c r="DX222" t="e">
        <f>AND(Sheet1!G2985,"AAAAAF8/038=")</f>
        <v>#VALUE!</v>
      </c>
      <c r="DY222" t="e">
        <f>AND(Sheet1!H2985,"AAAAAF8/04A=")</f>
        <v>#VALUE!</v>
      </c>
      <c r="DZ222" t="e">
        <f>AND(Sheet1!I2985,"AAAAAF8/04E=")</f>
        <v>#VALUE!</v>
      </c>
      <c r="EA222" t="e">
        <f>AND(Sheet1!J2985,"AAAAAF8/04I=")</f>
        <v>#VALUE!</v>
      </c>
      <c r="EB222" t="e">
        <f>AND(Sheet1!K2985,"AAAAAF8/04M=")</f>
        <v>#VALUE!</v>
      </c>
      <c r="EC222" t="e">
        <f>AND(Sheet1!L2985,"AAAAAF8/04Q=")</f>
        <v>#VALUE!</v>
      </c>
      <c r="ED222" t="e">
        <f>AND(Sheet1!M2985,"AAAAAF8/04U=")</f>
        <v>#VALUE!</v>
      </c>
      <c r="EE222" t="e">
        <f>AND(Sheet1!N2985,"AAAAAF8/04Y=")</f>
        <v>#VALUE!</v>
      </c>
      <c r="EF222" t="e">
        <f>AND(Sheet1!#REF!,"AAAAAF8/04c=")</f>
        <v>#REF!</v>
      </c>
      <c r="EG222" t="e">
        <f>AND(Sheet1!#REF!,"AAAAAF8/04g=")</f>
        <v>#REF!</v>
      </c>
      <c r="EH222" t="e">
        <f>AND(Sheet1!#REF!,"AAAAAF8/04k=")</f>
        <v>#REF!</v>
      </c>
      <c r="EI222" t="e">
        <f>AND(Sheet1!#REF!,"AAAAAF8/04o=")</f>
        <v>#REF!</v>
      </c>
      <c r="EJ222">
        <f>IF(Sheet1!2986:2986,"AAAAAF8/04s=",0)</f>
        <v>0</v>
      </c>
      <c r="EK222" t="e">
        <f>AND(Sheet1!A2986,"AAAAAF8/04w=")</f>
        <v>#VALUE!</v>
      </c>
      <c r="EL222" t="e">
        <f>AND(Sheet1!B2986,"AAAAAF8/040=")</f>
        <v>#VALUE!</v>
      </c>
      <c r="EM222" t="e">
        <f>AND(Sheet1!C2986,"AAAAAF8/044=")</f>
        <v>#VALUE!</v>
      </c>
      <c r="EN222" t="e">
        <f>AND(Sheet1!D2986,"AAAAAF8/048=")</f>
        <v>#VALUE!</v>
      </c>
      <c r="EO222" t="e">
        <f>AND(Sheet1!E2986,"AAAAAF8/05A=")</f>
        <v>#VALUE!</v>
      </c>
      <c r="EP222" t="e">
        <f>AND(Sheet1!F2986,"AAAAAF8/05E=")</f>
        <v>#VALUE!</v>
      </c>
      <c r="EQ222" t="e">
        <f>AND(Sheet1!G2986,"AAAAAF8/05I=")</f>
        <v>#VALUE!</v>
      </c>
      <c r="ER222" t="e">
        <f>AND(Sheet1!H2986,"AAAAAF8/05M=")</f>
        <v>#VALUE!</v>
      </c>
      <c r="ES222" t="e">
        <f>AND(Sheet1!I2986,"AAAAAF8/05Q=")</f>
        <v>#VALUE!</v>
      </c>
      <c r="ET222" t="e">
        <f>AND(Sheet1!J2986,"AAAAAF8/05U=")</f>
        <v>#VALUE!</v>
      </c>
      <c r="EU222" t="e">
        <f>AND(Sheet1!K2986,"AAAAAF8/05Y=")</f>
        <v>#VALUE!</v>
      </c>
      <c r="EV222" t="e">
        <f>AND(Sheet1!L2986,"AAAAAF8/05c=")</f>
        <v>#VALUE!</v>
      </c>
      <c r="EW222" t="e">
        <f>AND(Sheet1!M2986,"AAAAAF8/05g=")</f>
        <v>#VALUE!</v>
      </c>
      <c r="EX222" t="e">
        <f>AND(Sheet1!N2986,"AAAAAF8/05k=")</f>
        <v>#VALUE!</v>
      </c>
      <c r="EY222" t="e">
        <f>AND(Sheet1!#REF!,"AAAAAF8/05o=")</f>
        <v>#REF!</v>
      </c>
      <c r="EZ222" t="e">
        <f>AND(Sheet1!#REF!,"AAAAAF8/05s=")</f>
        <v>#REF!</v>
      </c>
      <c r="FA222" t="e">
        <f>AND(Sheet1!#REF!,"AAAAAF8/05w=")</f>
        <v>#REF!</v>
      </c>
      <c r="FB222" t="e">
        <f>AND(Sheet1!#REF!,"AAAAAF8/050=")</f>
        <v>#REF!</v>
      </c>
      <c r="FC222">
        <f>IF(Sheet1!2987:2987,"AAAAAF8/054=",0)</f>
        <v>0</v>
      </c>
      <c r="FD222" t="e">
        <f>AND(Sheet1!A2987,"AAAAAF8/058=")</f>
        <v>#VALUE!</v>
      </c>
      <c r="FE222" t="e">
        <f>AND(Sheet1!B2987,"AAAAAF8/06A=")</f>
        <v>#VALUE!</v>
      </c>
      <c r="FF222" t="e">
        <f>AND(Sheet1!C2987,"AAAAAF8/06E=")</f>
        <v>#VALUE!</v>
      </c>
      <c r="FG222" t="e">
        <f>AND(Sheet1!D2987,"AAAAAF8/06I=")</f>
        <v>#VALUE!</v>
      </c>
      <c r="FH222" t="e">
        <f>AND(Sheet1!E2987,"AAAAAF8/06M=")</f>
        <v>#VALUE!</v>
      </c>
      <c r="FI222" t="e">
        <f>AND(Sheet1!F2987,"AAAAAF8/06Q=")</f>
        <v>#VALUE!</v>
      </c>
      <c r="FJ222" t="e">
        <f>AND(Sheet1!G2987,"AAAAAF8/06U=")</f>
        <v>#VALUE!</v>
      </c>
      <c r="FK222" t="e">
        <f>AND(Sheet1!H2987,"AAAAAF8/06Y=")</f>
        <v>#VALUE!</v>
      </c>
      <c r="FL222" t="e">
        <f>AND(Sheet1!I2987,"AAAAAF8/06c=")</f>
        <v>#VALUE!</v>
      </c>
      <c r="FM222" t="e">
        <f>AND(Sheet1!J2987,"AAAAAF8/06g=")</f>
        <v>#VALUE!</v>
      </c>
      <c r="FN222" t="e">
        <f>AND(Sheet1!K2987,"AAAAAF8/06k=")</f>
        <v>#VALUE!</v>
      </c>
      <c r="FO222" t="e">
        <f>AND(Sheet1!L2987,"AAAAAF8/06o=")</f>
        <v>#VALUE!</v>
      </c>
      <c r="FP222" t="e">
        <f>AND(Sheet1!M2987,"AAAAAF8/06s=")</f>
        <v>#VALUE!</v>
      </c>
      <c r="FQ222" t="e">
        <f>AND(Sheet1!N2987,"AAAAAF8/06w=")</f>
        <v>#VALUE!</v>
      </c>
      <c r="FR222" t="e">
        <f>AND(Sheet1!#REF!,"AAAAAF8/060=")</f>
        <v>#REF!</v>
      </c>
      <c r="FS222" t="e">
        <f>AND(Sheet1!#REF!,"AAAAAF8/064=")</f>
        <v>#REF!</v>
      </c>
      <c r="FT222" t="e">
        <f>AND(Sheet1!#REF!,"AAAAAF8/068=")</f>
        <v>#REF!</v>
      </c>
      <c r="FU222" t="e">
        <f>AND(Sheet1!#REF!,"AAAAAF8/07A=")</f>
        <v>#REF!</v>
      </c>
      <c r="FV222">
        <f>IF(Sheet1!2988:2988,"AAAAAF8/07E=",0)</f>
        <v>0</v>
      </c>
      <c r="FW222" t="e">
        <f>AND(Sheet1!A2988,"AAAAAF8/07I=")</f>
        <v>#VALUE!</v>
      </c>
      <c r="FX222" t="e">
        <f>AND(Sheet1!B2988,"AAAAAF8/07M=")</f>
        <v>#VALUE!</v>
      </c>
      <c r="FY222" t="e">
        <f>AND(Sheet1!C2988,"AAAAAF8/07Q=")</f>
        <v>#VALUE!</v>
      </c>
      <c r="FZ222" t="e">
        <f>AND(Sheet1!D2988,"AAAAAF8/07U=")</f>
        <v>#VALUE!</v>
      </c>
      <c r="GA222" t="e">
        <f>AND(Sheet1!E2988,"AAAAAF8/07Y=")</f>
        <v>#VALUE!</v>
      </c>
      <c r="GB222" t="e">
        <f>AND(Sheet1!F2988,"AAAAAF8/07c=")</f>
        <v>#VALUE!</v>
      </c>
      <c r="GC222" t="e">
        <f>AND(Sheet1!G2988,"AAAAAF8/07g=")</f>
        <v>#VALUE!</v>
      </c>
      <c r="GD222" t="e">
        <f>AND(Sheet1!H2988,"AAAAAF8/07k=")</f>
        <v>#VALUE!</v>
      </c>
      <c r="GE222" t="e">
        <f>AND(Sheet1!I2988,"AAAAAF8/07o=")</f>
        <v>#VALUE!</v>
      </c>
      <c r="GF222" t="e">
        <f>AND(Sheet1!J2988,"AAAAAF8/07s=")</f>
        <v>#VALUE!</v>
      </c>
      <c r="GG222" t="e">
        <f>AND(Sheet1!K2988,"AAAAAF8/07w=")</f>
        <v>#VALUE!</v>
      </c>
      <c r="GH222" t="e">
        <f>AND(Sheet1!L2988,"AAAAAF8/070=")</f>
        <v>#VALUE!</v>
      </c>
      <c r="GI222" t="e">
        <f>AND(Sheet1!M2988,"AAAAAF8/074=")</f>
        <v>#VALUE!</v>
      </c>
      <c r="GJ222" t="e">
        <f>AND(Sheet1!N2988,"AAAAAF8/078=")</f>
        <v>#VALUE!</v>
      </c>
      <c r="GK222" t="e">
        <f>AND(Sheet1!#REF!,"AAAAAF8/08A=")</f>
        <v>#REF!</v>
      </c>
      <c r="GL222" t="e">
        <f>AND(Sheet1!#REF!,"AAAAAF8/08E=")</f>
        <v>#REF!</v>
      </c>
      <c r="GM222" t="e">
        <f>AND(Sheet1!#REF!,"AAAAAF8/08I=")</f>
        <v>#REF!</v>
      </c>
      <c r="GN222" t="e">
        <f>AND(Sheet1!#REF!,"AAAAAF8/08M=")</f>
        <v>#REF!</v>
      </c>
      <c r="GO222">
        <f>IF(Sheet1!2989:2989,"AAAAAF8/08Q=",0)</f>
        <v>0</v>
      </c>
      <c r="GP222" t="e">
        <f>AND(Sheet1!A2989,"AAAAAF8/08U=")</f>
        <v>#VALUE!</v>
      </c>
      <c r="GQ222" t="e">
        <f>AND(Sheet1!B2989,"AAAAAF8/08Y=")</f>
        <v>#VALUE!</v>
      </c>
      <c r="GR222" t="e">
        <f>AND(Sheet1!C2989,"AAAAAF8/08c=")</f>
        <v>#VALUE!</v>
      </c>
      <c r="GS222" t="e">
        <f>AND(Sheet1!D2989,"AAAAAF8/08g=")</f>
        <v>#VALUE!</v>
      </c>
      <c r="GT222" t="e">
        <f>AND(Sheet1!E2989,"AAAAAF8/08k=")</f>
        <v>#VALUE!</v>
      </c>
      <c r="GU222" t="e">
        <f>AND(Sheet1!F2989,"AAAAAF8/08o=")</f>
        <v>#VALUE!</v>
      </c>
      <c r="GV222" t="e">
        <f>AND(Sheet1!G2989,"AAAAAF8/08s=")</f>
        <v>#VALUE!</v>
      </c>
      <c r="GW222" t="e">
        <f>AND(Sheet1!H2989,"AAAAAF8/08w=")</f>
        <v>#VALUE!</v>
      </c>
      <c r="GX222" t="e">
        <f>AND(Sheet1!I2989,"AAAAAF8/080=")</f>
        <v>#VALUE!</v>
      </c>
      <c r="GY222" t="e">
        <f>AND(Sheet1!J2989,"AAAAAF8/084=")</f>
        <v>#VALUE!</v>
      </c>
      <c r="GZ222" t="e">
        <f>AND(Sheet1!K2989,"AAAAAF8/088=")</f>
        <v>#VALUE!</v>
      </c>
      <c r="HA222" t="e">
        <f>AND(Sheet1!L2989,"AAAAAF8/09A=")</f>
        <v>#VALUE!</v>
      </c>
      <c r="HB222" t="e">
        <f>AND(Sheet1!M2989,"AAAAAF8/09E=")</f>
        <v>#VALUE!</v>
      </c>
      <c r="HC222" t="e">
        <f>AND(Sheet1!N2989,"AAAAAF8/09I=")</f>
        <v>#VALUE!</v>
      </c>
      <c r="HD222" t="e">
        <f>AND(Sheet1!#REF!,"AAAAAF8/09M=")</f>
        <v>#REF!</v>
      </c>
      <c r="HE222" t="e">
        <f>AND(Sheet1!#REF!,"AAAAAF8/09Q=")</f>
        <v>#REF!</v>
      </c>
      <c r="HF222" t="e">
        <f>AND(Sheet1!#REF!,"AAAAAF8/09U=")</f>
        <v>#REF!</v>
      </c>
      <c r="HG222" t="e">
        <f>AND(Sheet1!#REF!,"AAAAAF8/09Y=")</f>
        <v>#REF!</v>
      </c>
      <c r="HH222">
        <f>IF(Sheet1!2990:2990,"AAAAAF8/09c=",0)</f>
        <v>0</v>
      </c>
      <c r="HI222" t="e">
        <f>AND(Sheet1!A2990,"AAAAAF8/09g=")</f>
        <v>#VALUE!</v>
      </c>
      <c r="HJ222" t="e">
        <f>AND(Sheet1!B2990,"AAAAAF8/09k=")</f>
        <v>#VALUE!</v>
      </c>
      <c r="HK222" t="e">
        <f>AND(Sheet1!C2990,"AAAAAF8/09o=")</f>
        <v>#VALUE!</v>
      </c>
      <c r="HL222" t="e">
        <f>AND(Sheet1!D2990,"AAAAAF8/09s=")</f>
        <v>#VALUE!</v>
      </c>
      <c r="HM222" t="e">
        <f>AND(Sheet1!E2990,"AAAAAF8/09w=")</f>
        <v>#VALUE!</v>
      </c>
      <c r="HN222" t="e">
        <f>AND(Sheet1!F2990,"AAAAAF8/090=")</f>
        <v>#VALUE!</v>
      </c>
      <c r="HO222" t="e">
        <f>AND(Sheet1!G2990,"AAAAAF8/094=")</f>
        <v>#VALUE!</v>
      </c>
      <c r="HP222" t="e">
        <f>AND(Sheet1!H2990,"AAAAAF8/098=")</f>
        <v>#VALUE!</v>
      </c>
      <c r="HQ222" t="e">
        <f>AND(Sheet1!I2990,"AAAAAF8/0+A=")</f>
        <v>#VALUE!</v>
      </c>
      <c r="HR222" t="e">
        <f>AND(Sheet1!J2990,"AAAAAF8/0+E=")</f>
        <v>#VALUE!</v>
      </c>
      <c r="HS222" t="e">
        <f>AND(Sheet1!K2990,"AAAAAF8/0+I=")</f>
        <v>#VALUE!</v>
      </c>
      <c r="HT222" t="e">
        <f>AND(Sheet1!L2990,"AAAAAF8/0+M=")</f>
        <v>#VALUE!</v>
      </c>
      <c r="HU222" t="e">
        <f>AND(Sheet1!M2990,"AAAAAF8/0+Q=")</f>
        <v>#VALUE!</v>
      </c>
      <c r="HV222" t="e">
        <f>AND(Sheet1!N2990,"AAAAAF8/0+U=")</f>
        <v>#VALUE!</v>
      </c>
      <c r="HW222" t="e">
        <f>AND(Sheet1!#REF!,"AAAAAF8/0+Y=")</f>
        <v>#REF!</v>
      </c>
      <c r="HX222" t="e">
        <f>AND(Sheet1!#REF!,"AAAAAF8/0+c=")</f>
        <v>#REF!</v>
      </c>
      <c r="HY222" t="e">
        <f>AND(Sheet1!#REF!,"AAAAAF8/0+g=")</f>
        <v>#REF!</v>
      </c>
      <c r="HZ222" t="e">
        <f>AND(Sheet1!#REF!,"AAAAAF8/0+k=")</f>
        <v>#REF!</v>
      </c>
      <c r="IA222">
        <f>IF(Sheet1!2991:2991,"AAAAAF8/0+o=",0)</f>
        <v>0</v>
      </c>
      <c r="IB222" t="e">
        <f>AND(Sheet1!A2991,"AAAAAF8/0+s=")</f>
        <v>#VALUE!</v>
      </c>
      <c r="IC222" t="e">
        <f>AND(Sheet1!B2991,"AAAAAF8/0+w=")</f>
        <v>#VALUE!</v>
      </c>
      <c r="ID222" t="e">
        <f>AND(Sheet1!C2991,"AAAAAF8/0+0=")</f>
        <v>#VALUE!</v>
      </c>
      <c r="IE222" t="e">
        <f>AND(Sheet1!D2991,"AAAAAF8/0+4=")</f>
        <v>#VALUE!</v>
      </c>
      <c r="IF222" t="e">
        <f>AND(Sheet1!E2991,"AAAAAF8/0+8=")</f>
        <v>#VALUE!</v>
      </c>
      <c r="IG222" t="e">
        <f>AND(Sheet1!F2991,"AAAAAF8/0/A=")</f>
        <v>#VALUE!</v>
      </c>
      <c r="IH222" t="e">
        <f>AND(Sheet1!G2991,"AAAAAF8/0/E=")</f>
        <v>#VALUE!</v>
      </c>
      <c r="II222" t="e">
        <f>AND(Sheet1!H2991,"AAAAAF8/0/I=")</f>
        <v>#VALUE!</v>
      </c>
      <c r="IJ222" t="e">
        <f>AND(Sheet1!I2991,"AAAAAF8/0/M=")</f>
        <v>#VALUE!</v>
      </c>
      <c r="IK222" t="e">
        <f>AND(Sheet1!J2991,"AAAAAF8/0/Q=")</f>
        <v>#VALUE!</v>
      </c>
      <c r="IL222" t="e">
        <f>AND(Sheet1!K2991,"AAAAAF8/0/U=")</f>
        <v>#VALUE!</v>
      </c>
      <c r="IM222" t="e">
        <f>AND(Sheet1!L2991,"AAAAAF8/0/Y=")</f>
        <v>#VALUE!</v>
      </c>
      <c r="IN222" t="e">
        <f>AND(Sheet1!M2991,"AAAAAF8/0/c=")</f>
        <v>#VALUE!</v>
      </c>
      <c r="IO222" t="e">
        <f>AND(Sheet1!N2991,"AAAAAF8/0/g=")</f>
        <v>#VALUE!</v>
      </c>
      <c r="IP222" t="e">
        <f>AND(Sheet1!#REF!,"AAAAAF8/0/k=")</f>
        <v>#REF!</v>
      </c>
      <c r="IQ222" t="e">
        <f>AND(Sheet1!#REF!,"AAAAAF8/0/o=")</f>
        <v>#REF!</v>
      </c>
      <c r="IR222" t="e">
        <f>AND(Sheet1!#REF!,"AAAAAF8/0/s=")</f>
        <v>#REF!</v>
      </c>
      <c r="IS222" t="e">
        <f>AND(Sheet1!#REF!,"AAAAAF8/0/w=")</f>
        <v>#REF!</v>
      </c>
      <c r="IT222">
        <f>IF(Sheet1!2992:2992,"AAAAAF8/0/0=",0)</f>
        <v>0</v>
      </c>
      <c r="IU222" t="e">
        <f>AND(Sheet1!A2992,"AAAAAF8/0/4=")</f>
        <v>#VALUE!</v>
      </c>
      <c r="IV222" t="e">
        <f>AND(Sheet1!B2992,"AAAAAF8/0/8=")</f>
        <v>#VALUE!</v>
      </c>
    </row>
    <row r="223" spans="1:256" x14ac:dyDescent="0.2">
      <c r="A223" t="e">
        <f>AND(Sheet1!C2992,"AAAAAHb+GwA=")</f>
        <v>#VALUE!</v>
      </c>
      <c r="B223" t="e">
        <f>AND(Sheet1!D2992,"AAAAAHb+GwE=")</f>
        <v>#VALUE!</v>
      </c>
      <c r="C223" t="e">
        <f>AND(Sheet1!E2992,"AAAAAHb+GwI=")</f>
        <v>#VALUE!</v>
      </c>
      <c r="D223" t="e">
        <f>AND(Sheet1!F2992,"AAAAAHb+GwM=")</f>
        <v>#VALUE!</v>
      </c>
      <c r="E223" t="e">
        <f>AND(Sheet1!G2992,"AAAAAHb+GwQ=")</f>
        <v>#VALUE!</v>
      </c>
      <c r="F223" t="e">
        <f>AND(Sheet1!H2992,"AAAAAHb+GwU=")</f>
        <v>#VALUE!</v>
      </c>
      <c r="G223" t="e">
        <f>AND(Sheet1!I2992,"AAAAAHb+GwY=")</f>
        <v>#VALUE!</v>
      </c>
      <c r="H223" t="e">
        <f>AND(Sheet1!J2992,"AAAAAHb+Gwc=")</f>
        <v>#VALUE!</v>
      </c>
      <c r="I223" t="e">
        <f>AND(Sheet1!K2992,"AAAAAHb+Gwg=")</f>
        <v>#VALUE!</v>
      </c>
      <c r="J223" t="e">
        <f>AND(Sheet1!L2992,"AAAAAHb+Gwk=")</f>
        <v>#VALUE!</v>
      </c>
      <c r="K223" t="e">
        <f>AND(Sheet1!M2992,"AAAAAHb+Gwo=")</f>
        <v>#VALUE!</v>
      </c>
      <c r="L223" t="e">
        <f>AND(Sheet1!N2992,"AAAAAHb+Gws=")</f>
        <v>#VALUE!</v>
      </c>
      <c r="M223" t="e">
        <f>AND(Sheet1!#REF!,"AAAAAHb+Gww=")</f>
        <v>#REF!</v>
      </c>
      <c r="N223" t="e">
        <f>AND(Sheet1!#REF!,"AAAAAHb+Gw0=")</f>
        <v>#REF!</v>
      </c>
      <c r="O223" t="e">
        <f>AND(Sheet1!#REF!,"AAAAAHb+Gw4=")</f>
        <v>#REF!</v>
      </c>
      <c r="P223" t="e">
        <f>AND(Sheet1!#REF!,"AAAAAHb+Gw8=")</f>
        <v>#REF!</v>
      </c>
      <c r="Q223">
        <f>IF(Sheet1!2993:2993,"AAAAAHb+GxA=",0)</f>
        <v>0</v>
      </c>
      <c r="R223" t="e">
        <f>AND(Sheet1!A2993,"AAAAAHb+GxE=")</f>
        <v>#VALUE!</v>
      </c>
      <c r="S223" t="e">
        <f>AND(Sheet1!B2993,"AAAAAHb+GxI=")</f>
        <v>#VALUE!</v>
      </c>
      <c r="T223" t="e">
        <f>AND(Sheet1!C2993,"AAAAAHb+GxM=")</f>
        <v>#VALUE!</v>
      </c>
      <c r="U223" t="e">
        <f>AND(Sheet1!D2993,"AAAAAHb+GxQ=")</f>
        <v>#VALUE!</v>
      </c>
      <c r="V223" t="e">
        <f>AND(Sheet1!E2993,"AAAAAHb+GxU=")</f>
        <v>#VALUE!</v>
      </c>
      <c r="W223" t="e">
        <f>AND(Sheet1!F2993,"AAAAAHb+GxY=")</f>
        <v>#VALUE!</v>
      </c>
      <c r="X223" t="e">
        <f>AND(Sheet1!G2993,"AAAAAHb+Gxc=")</f>
        <v>#VALUE!</v>
      </c>
      <c r="Y223" t="e">
        <f>AND(Sheet1!H2993,"AAAAAHb+Gxg=")</f>
        <v>#VALUE!</v>
      </c>
      <c r="Z223" t="e">
        <f>AND(Sheet1!I2993,"AAAAAHb+Gxk=")</f>
        <v>#VALUE!</v>
      </c>
      <c r="AA223" t="e">
        <f>AND(Sheet1!J2993,"AAAAAHb+Gxo=")</f>
        <v>#VALUE!</v>
      </c>
      <c r="AB223" t="e">
        <f>AND(Sheet1!K2993,"AAAAAHb+Gxs=")</f>
        <v>#VALUE!</v>
      </c>
      <c r="AC223" t="e">
        <f>AND(Sheet1!L2993,"AAAAAHb+Gxw=")</f>
        <v>#VALUE!</v>
      </c>
      <c r="AD223" t="e">
        <f>AND(Sheet1!M2993,"AAAAAHb+Gx0=")</f>
        <v>#VALUE!</v>
      </c>
      <c r="AE223" t="e">
        <f>AND(Sheet1!N2993,"AAAAAHb+Gx4=")</f>
        <v>#VALUE!</v>
      </c>
      <c r="AF223" t="e">
        <f>AND(Sheet1!#REF!,"AAAAAHb+Gx8=")</f>
        <v>#REF!</v>
      </c>
      <c r="AG223" t="e">
        <f>AND(Sheet1!#REF!,"AAAAAHb+GyA=")</f>
        <v>#REF!</v>
      </c>
      <c r="AH223" t="e">
        <f>AND(Sheet1!#REF!,"AAAAAHb+GyE=")</f>
        <v>#REF!</v>
      </c>
      <c r="AI223" t="e">
        <f>AND(Sheet1!#REF!,"AAAAAHb+GyI=")</f>
        <v>#REF!</v>
      </c>
      <c r="AJ223">
        <f>IF(Sheet1!2994:2994,"AAAAAHb+GyM=",0)</f>
        <v>0</v>
      </c>
      <c r="AK223" t="e">
        <f>AND(Sheet1!A2994,"AAAAAHb+GyQ=")</f>
        <v>#VALUE!</v>
      </c>
      <c r="AL223" t="e">
        <f>AND(Sheet1!B2994,"AAAAAHb+GyU=")</f>
        <v>#VALUE!</v>
      </c>
      <c r="AM223" t="e">
        <f>AND(Sheet1!C2994,"AAAAAHb+GyY=")</f>
        <v>#VALUE!</v>
      </c>
      <c r="AN223" t="e">
        <f>AND(Sheet1!D2994,"AAAAAHb+Gyc=")</f>
        <v>#VALUE!</v>
      </c>
      <c r="AO223" t="e">
        <f>AND(Sheet1!E2994,"AAAAAHb+Gyg=")</f>
        <v>#VALUE!</v>
      </c>
      <c r="AP223" t="e">
        <f>AND(Sheet1!F2994,"AAAAAHb+Gyk=")</f>
        <v>#VALUE!</v>
      </c>
      <c r="AQ223" t="e">
        <f>AND(Sheet1!G2994,"AAAAAHb+Gyo=")</f>
        <v>#VALUE!</v>
      </c>
      <c r="AR223" t="e">
        <f>AND(Sheet1!H2994,"AAAAAHb+Gys=")</f>
        <v>#VALUE!</v>
      </c>
      <c r="AS223" t="e">
        <f>AND(Sheet1!I2994,"AAAAAHb+Gyw=")</f>
        <v>#VALUE!</v>
      </c>
      <c r="AT223" t="e">
        <f>AND(Sheet1!J2994,"AAAAAHb+Gy0=")</f>
        <v>#VALUE!</v>
      </c>
      <c r="AU223" t="e">
        <f>AND(Sheet1!K2994,"AAAAAHb+Gy4=")</f>
        <v>#VALUE!</v>
      </c>
      <c r="AV223" t="e">
        <f>AND(Sheet1!L2994,"AAAAAHb+Gy8=")</f>
        <v>#VALUE!</v>
      </c>
      <c r="AW223" t="e">
        <f>AND(Sheet1!M2994,"AAAAAHb+GzA=")</f>
        <v>#VALUE!</v>
      </c>
      <c r="AX223" t="e">
        <f>AND(Sheet1!N2994,"AAAAAHb+GzE=")</f>
        <v>#VALUE!</v>
      </c>
      <c r="AY223" t="e">
        <f>AND(Sheet1!#REF!,"AAAAAHb+GzI=")</f>
        <v>#REF!</v>
      </c>
      <c r="AZ223" t="e">
        <f>AND(Sheet1!#REF!,"AAAAAHb+GzM=")</f>
        <v>#REF!</v>
      </c>
      <c r="BA223" t="e">
        <f>AND(Sheet1!#REF!,"AAAAAHb+GzQ=")</f>
        <v>#REF!</v>
      </c>
      <c r="BB223" t="e">
        <f>AND(Sheet1!#REF!,"AAAAAHb+GzU=")</f>
        <v>#REF!</v>
      </c>
      <c r="BC223">
        <f>IF(Sheet1!2995:2995,"AAAAAHb+GzY=",0)</f>
        <v>0</v>
      </c>
      <c r="BD223" t="e">
        <f>AND(Sheet1!A2995,"AAAAAHb+Gzc=")</f>
        <v>#VALUE!</v>
      </c>
      <c r="BE223" t="e">
        <f>AND(Sheet1!B2995,"AAAAAHb+Gzg=")</f>
        <v>#VALUE!</v>
      </c>
      <c r="BF223" t="e">
        <f>AND(Sheet1!C2995,"AAAAAHb+Gzk=")</f>
        <v>#VALUE!</v>
      </c>
      <c r="BG223" t="e">
        <f>AND(Sheet1!D2995,"AAAAAHb+Gzo=")</f>
        <v>#VALUE!</v>
      </c>
      <c r="BH223" t="e">
        <f>AND(Sheet1!E2995,"AAAAAHb+Gzs=")</f>
        <v>#VALUE!</v>
      </c>
      <c r="BI223" t="e">
        <f>AND(Sheet1!F2995,"AAAAAHb+Gzw=")</f>
        <v>#VALUE!</v>
      </c>
      <c r="BJ223" t="e">
        <f>AND(Sheet1!G2995,"AAAAAHb+Gz0=")</f>
        <v>#VALUE!</v>
      </c>
      <c r="BK223" t="e">
        <f>AND(Sheet1!H2995,"AAAAAHb+Gz4=")</f>
        <v>#VALUE!</v>
      </c>
      <c r="BL223" t="e">
        <f>AND(Sheet1!I2995,"AAAAAHb+Gz8=")</f>
        <v>#VALUE!</v>
      </c>
      <c r="BM223" t="e">
        <f>AND(Sheet1!J2995,"AAAAAHb+G0A=")</f>
        <v>#VALUE!</v>
      </c>
      <c r="BN223" t="e">
        <f>AND(Sheet1!K2995,"AAAAAHb+G0E=")</f>
        <v>#VALUE!</v>
      </c>
      <c r="BO223" t="e">
        <f>AND(Sheet1!L2995,"AAAAAHb+G0I=")</f>
        <v>#VALUE!</v>
      </c>
      <c r="BP223" t="e">
        <f>AND(Sheet1!M2995,"AAAAAHb+G0M=")</f>
        <v>#VALUE!</v>
      </c>
      <c r="BQ223" t="e">
        <f>AND(Sheet1!N2995,"AAAAAHb+G0Q=")</f>
        <v>#VALUE!</v>
      </c>
      <c r="BR223" t="e">
        <f>AND(Sheet1!#REF!,"AAAAAHb+G0U=")</f>
        <v>#REF!</v>
      </c>
      <c r="BS223" t="e">
        <f>AND(Sheet1!#REF!,"AAAAAHb+G0Y=")</f>
        <v>#REF!</v>
      </c>
      <c r="BT223" t="e">
        <f>AND(Sheet1!#REF!,"AAAAAHb+G0c=")</f>
        <v>#REF!</v>
      </c>
      <c r="BU223" t="e">
        <f>AND(Sheet1!#REF!,"AAAAAHb+G0g=")</f>
        <v>#REF!</v>
      </c>
      <c r="BV223">
        <f>IF(Sheet1!2996:2996,"AAAAAHb+G0k=",0)</f>
        <v>0</v>
      </c>
      <c r="BW223" t="e">
        <f>AND(Sheet1!A2996,"AAAAAHb+G0o=")</f>
        <v>#VALUE!</v>
      </c>
      <c r="BX223" t="e">
        <f>AND(Sheet1!B2996,"AAAAAHb+G0s=")</f>
        <v>#VALUE!</v>
      </c>
      <c r="BY223" t="e">
        <f>AND(Sheet1!C2996,"AAAAAHb+G0w=")</f>
        <v>#VALUE!</v>
      </c>
      <c r="BZ223" t="e">
        <f>AND(Sheet1!D2996,"AAAAAHb+G00=")</f>
        <v>#VALUE!</v>
      </c>
      <c r="CA223" t="e">
        <f>AND(Sheet1!E2996,"AAAAAHb+G04=")</f>
        <v>#VALUE!</v>
      </c>
      <c r="CB223" t="e">
        <f>AND(Sheet1!F2996,"AAAAAHb+G08=")</f>
        <v>#VALUE!</v>
      </c>
      <c r="CC223" t="e">
        <f>AND(Sheet1!G2996,"AAAAAHb+G1A=")</f>
        <v>#VALUE!</v>
      </c>
      <c r="CD223" t="e">
        <f>AND(Sheet1!H2996,"AAAAAHb+G1E=")</f>
        <v>#VALUE!</v>
      </c>
      <c r="CE223" t="e">
        <f>AND(Sheet1!I2996,"AAAAAHb+G1I=")</f>
        <v>#VALUE!</v>
      </c>
      <c r="CF223" t="e">
        <f>AND(Sheet1!J2996,"AAAAAHb+G1M=")</f>
        <v>#VALUE!</v>
      </c>
      <c r="CG223" t="e">
        <f>AND(Sheet1!K2996,"AAAAAHb+G1Q=")</f>
        <v>#VALUE!</v>
      </c>
      <c r="CH223" t="e">
        <f>AND(Sheet1!L2996,"AAAAAHb+G1U=")</f>
        <v>#VALUE!</v>
      </c>
      <c r="CI223" t="e">
        <f>AND(Sheet1!M2996,"AAAAAHb+G1Y=")</f>
        <v>#VALUE!</v>
      </c>
      <c r="CJ223" t="e">
        <f>AND(Sheet1!N2996,"AAAAAHb+G1c=")</f>
        <v>#VALUE!</v>
      </c>
      <c r="CK223" t="e">
        <f>AND(Sheet1!#REF!,"AAAAAHb+G1g=")</f>
        <v>#REF!</v>
      </c>
      <c r="CL223" t="e">
        <f>AND(Sheet1!#REF!,"AAAAAHb+G1k=")</f>
        <v>#REF!</v>
      </c>
      <c r="CM223" t="e">
        <f>AND(Sheet1!#REF!,"AAAAAHb+G1o=")</f>
        <v>#REF!</v>
      </c>
      <c r="CN223" t="e">
        <f>AND(Sheet1!#REF!,"AAAAAHb+G1s=")</f>
        <v>#REF!</v>
      </c>
      <c r="CO223">
        <f>IF(Sheet1!2997:2997,"AAAAAHb+G1w=",0)</f>
        <v>0</v>
      </c>
      <c r="CP223" t="e">
        <f>AND(Sheet1!A2997,"AAAAAHb+G10=")</f>
        <v>#VALUE!</v>
      </c>
      <c r="CQ223" t="e">
        <f>AND(Sheet1!B2997,"AAAAAHb+G14=")</f>
        <v>#VALUE!</v>
      </c>
      <c r="CR223" t="e">
        <f>AND(Sheet1!C2997,"AAAAAHb+G18=")</f>
        <v>#VALUE!</v>
      </c>
      <c r="CS223" t="e">
        <f>AND(Sheet1!D2997,"AAAAAHb+G2A=")</f>
        <v>#VALUE!</v>
      </c>
      <c r="CT223" t="e">
        <f>AND(Sheet1!E2997,"AAAAAHb+G2E=")</f>
        <v>#VALUE!</v>
      </c>
      <c r="CU223" t="e">
        <f>AND(Sheet1!F2997,"AAAAAHb+G2I=")</f>
        <v>#VALUE!</v>
      </c>
      <c r="CV223" t="e">
        <f>AND(Sheet1!G2997,"AAAAAHb+G2M=")</f>
        <v>#VALUE!</v>
      </c>
      <c r="CW223" t="e">
        <f>AND(Sheet1!H2997,"AAAAAHb+G2Q=")</f>
        <v>#VALUE!</v>
      </c>
      <c r="CX223" t="e">
        <f>AND(Sheet1!I2997,"AAAAAHb+G2U=")</f>
        <v>#VALUE!</v>
      </c>
      <c r="CY223" t="e">
        <f>AND(Sheet1!J2997,"AAAAAHb+G2Y=")</f>
        <v>#VALUE!</v>
      </c>
      <c r="CZ223" t="e">
        <f>AND(Sheet1!K2997,"AAAAAHb+G2c=")</f>
        <v>#VALUE!</v>
      </c>
      <c r="DA223" t="e">
        <f>AND(Sheet1!L2997,"AAAAAHb+G2g=")</f>
        <v>#VALUE!</v>
      </c>
      <c r="DB223" t="e">
        <f>AND(Sheet1!M2997,"AAAAAHb+G2k=")</f>
        <v>#VALUE!</v>
      </c>
      <c r="DC223" t="e">
        <f>AND(Sheet1!N2997,"AAAAAHb+G2o=")</f>
        <v>#VALUE!</v>
      </c>
      <c r="DD223" t="e">
        <f>AND(Sheet1!#REF!,"AAAAAHb+G2s=")</f>
        <v>#REF!</v>
      </c>
      <c r="DE223" t="e">
        <f>AND(Sheet1!#REF!,"AAAAAHb+G2w=")</f>
        <v>#REF!</v>
      </c>
      <c r="DF223" t="e">
        <f>AND(Sheet1!#REF!,"AAAAAHb+G20=")</f>
        <v>#REF!</v>
      </c>
      <c r="DG223" t="e">
        <f>AND(Sheet1!#REF!,"AAAAAHb+G24=")</f>
        <v>#REF!</v>
      </c>
      <c r="DH223">
        <f>IF(Sheet1!2998:2998,"AAAAAHb+G28=",0)</f>
        <v>0</v>
      </c>
      <c r="DI223" t="e">
        <f>AND(Sheet1!A2998,"AAAAAHb+G3A=")</f>
        <v>#VALUE!</v>
      </c>
      <c r="DJ223" t="e">
        <f>AND(Sheet1!B2998,"AAAAAHb+G3E=")</f>
        <v>#VALUE!</v>
      </c>
      <c r="DK223" t="e">
        <f>AND(Sheet1!C2998,"AAAAAHb+G3I=")</f>
        <v>#VALUE!</v>
      </c>
      <c r="DL223" t="e">
        <f>AND(Sheet1!D2998,"AAAAAHb+G3M=")</f>
        <v>#VALUE!</v>
      </c>
      <c r="DM223" t="e">
        <f>AND(Sheet1!E2998,"AAAAAHb+G3Q=")</f>
        <v>#VALUE!</v>
      </c>
      <c r="DN223" t="e">
        <f>AND(Sheet1!F2998,"AAAAAHb+G3U=")</f>
        <v>#VALUE!</v>
      </c>
      <c r="DO223" t="e">
        <f>AND(Sheet1!G2998,"AAAAAHb+G3Y=")</f>
        <v>#VALUE!</v>
      </c>
      <c r="DP223" t="e">
        <f>AND(Sheet1!H2998,"AAAAAHb+G3c=")</f>
        <v>#VALUE!</v>
      </c>
      <c r="DQ223" t="e">
        <f>AND(Sheet1!I2998,"AAAAAHb+G3g=")</f>
        <v>#VALUE!</v>
      </c>
      <c r="DR223" t="e">
        <f>AND(Sheet1!J2998,"AAAAAHb+G3k=")</f>
        <v>#VALUE!</v>
      </c>
      <c r="DS223" t="e">
        <f>AND(Sheet1!K2998,"AAAAAHb+G3o=")</f>
        <v>#VALUE!</v>
      </c>
      <c r="DT223" t="e">
        <f>AND(Sheet1!L2998,"AAAAAHb+G3s=")</f>
        <v>#VALUE!</v>
      </c>
      <c r="DU223" t="e">
        <f>AND(Sheet1!M2998,"AAAAAHb+G3w=")</f>
        <v>#VALUE!</v>
      </c>
      <c r="DV223" t="e">
        <f>AND(Sheet1!N2998,"AAAAAHb+G30=")</f>
        <v>#VALUE!</v>
      </c>
      <c r="DW223" t="e">
        <f>AND(Sheet1!#REF!,"AAAAAHb+G34=")</f>
        <v>#REF!</v>
      </c>
      <c r="DX223" t="e">
        <f>AND(Sheet1!#REF!,"AAAAAHb+G38=")</f>
        <v>#REF!</v>
      </c>
      <c r="DY223" t="e">
        <f>AND(Sheet1!#REF!,"AAAAAHb+G4A=")</f>
        <v>#REF!</v>
      </c>
      <c r="DZ223" t="e">
        <f>AND(Sheet1!#REF!,"AAAAAHb+G4E=")</f>
        <v>#REF!</v>
      </c>
      <c r="EA223">
        <f>IF(Sheet1!2999:2999,"AAAAAHb+G4I=",0)</f>
        <v>0</v>
      </c>
      <c r="EB223" t="e">
        <f>AND(Sheet1!A2999,"AAAAAHb+G4M=")</f>
        <v>#VALUE!</v>
      </c>
      <c r="EC223" t="e">
        <f>AND(Sheet1!B2999,"AAAAAHb+G4Q=")</f>
        <v>#VALUE!</v>
      </c>
      <c r="ED223" t="e">
        <f>AND(Sheet1!C2999,"AAAAAHb+G4U=")</f>
        <v>#VALUE!</v>
      </c>
      <c r="EE223" t="e">
        <f>AND(Sheet1!D2999,"AAAAAHb+G4Y=")</f>
        <v>#VALUE!</v>
      </c>
      <c r="EF223" t="e">
        <f>AND(Sheet1!E2999,"AAAAAHb+G4c=")</f>
        <v>#VALUE!</v>
      </c>
      <c r="EG223" t="e">
        <f>AND(Sheet1!F2999,"AAAAAHb+G4g=")</f>
        <v>#VALUE!</v>
      </c>
      <c r="EH223" t="e">
        <f>AND(Sheet1!G2999,"AAAAAHb+G4k=")</f>
        <v>#VALUE!</v>
      </c>
      <c r="EI223" t="e">
        <f>AND(Sheet1!H2999,"AAAAAHb+G4o=")</f>
        <v>#VALUE!</v>
      </c>
      <c r="EJ223" t="e">
        <f>AND(Sheet1!I2999,"AAAAAHb+G4s=")</f>
        <v>#VALUE!</v>
      </c>
      <c r="EK223" t="e">
        <f>AND(Sheet1!J2999,"AAAAAHb+G4w=")</f>
        <v>#VALUE!</v>
      </c>
      <c r="EL223" t="e">
        <f>AND(Sheet1!K2999,"AAAAAHb+G40=")</f>
        <v>#VALUE!</v>
      </c>
      <c r="EM223" t="e">
        <f>AND(Sheet1!L2999,"AAAAAHb+G44=")</f>
        <v>#VALUE!</v>
      </c>
      <c r="EN223" t="e">
        <f>AND(Sheet1!M2999,"AAAAAHb+G48=")</f>
        <v>#VALUE!</v>
      </c>
      <c r="EO223" t="e">
        <f>AND(Sheet1!N2999,"AAAAAHb+G5A=")</f>
        <v>#VALUE!</v>
      </c>
      <c r="EP223" t="e">
        <f>AND(Sheet1!#REF!,"AAAAAHb+G5E=")</f>
        <v>#REF!</v>
      </c>
      <c r="EQ223" t="e">
        <f>AND(Sheet1!#REF!,"AAAAAHb+G5I=")</f>
        <v>#REF!</v>
      </c>
      <c r="ER223" t="e">
        <f>AND(Sheet1!#REF!,"AAAAAHb+G5M=")</f>
        <v>#REF!</v>
      </c>
      <c r="ES223" t="e">
        <f>AND(Sheet1!#REF!,"AAAAAHb+G5Q=")</f>
        <v>#REF!</v>
      </c>
      <c r="ET223">
        <f>IF(Sheet1!3000:3000,"AAAAAHb+G5U=",0)</f>
        <v>0</v>
      </c>
      <c r="EU223" t="e">
        <f>AND(Sheet1!A3000,"AAAAAHb+G5Y=")</f>
        <v>#VALUE!</v>
      </c>
      <c r="EV223" t="e">
        <f>AND(Sheet1!B3000,"AAAAAHb+G5c=")</f>
        <v>#VALUE!</v>
      </c>
      <c r="EW223" t="e">
        <f>AND(Sheet1!C3000,"AAAAAHb+G5g=")</f>
        <v>#VALUE!</v>
      </c>
      <c r="EX223" t="e">
        <f>AND(Sheet1!D3000,"AAAAAHb+G5k=")</f>
        <v>#VALUE!</v>
      </c>
      <c r="EY223" t="e">
        <f>AND(Sheet1!E3000,"AAAAAHb+G5o=")</f>
        <v>#VALUE!</v>
      </c>
      <c r="EZ223" t="e">
        <f>AND(Sheet1!F3000,"AAAAAHb+G5s=")</f>
        <v>#VALUE!</v>
      </c>
      <c r="FA223" t="e">
        <f>AND(Sheet1!G3000,"AAAAAHb+G5w=")</f>
        <v>#VALUE!</v>
      </c>
      <c r="FB223" t="e">
        <f>AND(Sheet1!H3000,"AAAAAHb+G50=")</f>
        <v>#VALUE!</v>
      </c>
      <c r="FC223" t="e">
        <f>AND(Sheet1!I3000,"AAAAAHb+G54=")</f>
        <v>#VALUE!</v>
      </c>
      <c r="FD223" t="e">
        <f>AND(Sheet1!J3000,"AAAAAHb+G58=")</f>
        <v>#VALUE!</v>
      </c>
      <c r="FE223" t="e">
        <f>AND(Sheet1!K3000,"AAAAAHb+G6A=")</f>
        <v>#VALUE!</v>
      </c>
      <c r="FF223" t="e">
        <f>AND(Sheet1!L3000,"AAAAAHb+G6E=")</f>
        <v>#VALUE!</v>
      </c>
      <c r="FG223" t="e">
        <f>AND(Sheet1!M3000,"AAAAAHb+G6I=")</f>
        <v>#VALUE!</v>
      </c>
      <c r="FH223" t="e">
        <f>AND(Sheet1!N3000,"AAAAAHb+G6M=")</f>
        <v>#VALUE!</v>
      </c>
      <c r="FI223" t="e">
        <f>AND(Sheet1!#REF!,"AAAAAHb+G6Q=")</f>
        <v>#REF!</v>
      </c>
      <c r="FJ223" t="e">
        <f>AND(Sheet1!#REF!,"AAAAAHb+G6U=")</f>
        <v>#REF!</v>
      </c>
      <c r="FK223" t="e">
        <f>AND(Sheet1!#REF!,"AAAAAHb+G6Y=")</f>
        <v>#REF!</v>
      </c>
      <c r="FL223" t="e">
        <f>AND(Sheet1!#REF!,"AAAAAHb+G6c=")</f>
        <v>#REF!</v>
      </c>
      <c r="FM223">
        <f>IF(Sheet1!3001:3001,"AAAAAHb+G6g=",0)</f>
        <v>0</v>
      </c>
      <c r="FN223" t="e">
        <f>AND(Sheet1!A3001,"AAAAAHb+G6k=")</f>
        <v>#VALUE!</v>
      </c>
      <c r="FO223" t="e">
        <f>AND(Sheet1!B3001,"AAAAAHb+G6o=")</f>
        <v>#VALUE!</v>
      </c>
      <c r="FP223" t="e">
        <f>AND(Sheet1!C3001,"AAAAAHb+G6s=")</f>
        <v>#VALUE!</v>
      </c>
      <c r="FQ223" t="e">
        <f>AND(Sheet1!D3001,"AAAAAHb+G6w=")</f>
        <v>#VALUE!</v>
      </c>
      <c r="FR223" t="e">
        <f>AND(Sheet1!E3001,"AAAAAHb+G60=")</f>
        <v>#VALUE!</v>
      </c>
      <c r="FS223" t="e">
        <f>AND(Sheet1!F3001,"AAAAAHb+G64=")</f>
        <v>#VALUE!</v>
      </c>
      <c r="FT223" t="e">
        <f>AND(Sheet1!G3001,"AAAAAHb+G68=")</f>
        <v>#VALUE!</v>
      </c>
      <c r="FU223" t="e">
        <f>AND(Sheet1!H3001,"AAAAAHb+G7A=")</f>
        <v>#VALUE!</v>
      </c>
      <c r="FV223" t="e">
        <f>AND(Sheet1!I3001,"AAAAAHb+G7E=")</f>
        <v>#VALUE!</v>
      </c>
      <c r="FW223" t="e">
        <f>AND(Sheet1!J3001,"AAAAAHb+G7I=")</f>
        <v>#VALUE!</v>
      </c>
      <c r="FX223" t="e">
        <f>AND(Sheet1!K3001,"AAAAAHb+G7M=")</f>
        <v>#VALUE!</v>
      </c>
      <c r="FY223" t="e">
        <f>AND(Sheet1!L3001,"AAAAAHb+G7Q=")</f>
        <v>#VALUE!</v>
      </c>
      <c r="FZ223" t="e">
        <f>AND(Sheet1!M3001,"AAAAAHb+G7U=")</f>
        <v>#VALUE!</v>
      </c>
      <c r="GA223" t="e">
        <f>AND(Sheet1!N3001,"AAAAAHb+G7Y=")</f>
        <v>#VALUE!</v>
      </c>
      <c r="GB223" t="e">
        <f>AND(Sheet1!#REF!,"AAAAAHb+G7c=")</f>
        <v>#REF!</v>
      </c>
      <c r="GC223" t="e">
        <f>AND(Sheet1!#REF!,"AAAAAHb+G7g=")</f>
        <v>#REF!</v>
      </c>
      <c r="GD223" t="e">
        <f>AND(Sheet1!#REF!,"AAAAAHb+G7k=")</f>
        <v>#REF!</v>
      </c>
      <c r="GE223" t="e">
        <f>AND(Sheet1!#REF!,"AAAAAHb+G7o=")</f>
        <v>#REF!</v>
      </c>
      <c r="GF223">
        <f>IF(Sheet1!3002:3002,"AAAAAHb+G7s=",0)</f>
        <v>0</v>
      </c>
      <c r="GG223" t="e">
        <f>AND(Sheet1!A3002,"AAAAAHb+G7w=")</f>
        <v>#VALUE!</v>
      </c>
      <c r="GH223" t="e">
        <f>AND(Sheet1!B3002,"AAAAAHb+G70=")</f>
        <v>#VALUE!</v>
      </c>
      <c r="GI223" t="e">
        <f>AND(Sheet1!C3002,"AAAAAHb+G74=")</f>
        <v>#VALUE!</v>
      </c>
      <c r="GJ223" t="e">
        <f>AND(Sheet1!D3002,"AAAAAHb+G78=")</f>
        <v>#VALUE!</v>
      </c>
      <c r="GK223" t="e">
        <f>AND(Sheet1!E3002,"AAAAAHb+G8A=")</f>
        <v>#VALUE!</v>
      </c>
      <c r="GL223" t="e">
        <f>AND(Sheet1!F3002,"AAAAAHb+G8E=")</f>
        <v>#VALUE!</v>
      </c>
      <c r="GM223" t="e">
        <f>AND(Sheet1!G3002,"AAAAAHb+G8I=")</f>
        <v>#VALUE!</v>
      </c>
      <c r="GN223" t="e">
        <f>AND(Sheet1!H3002,"AAAAAHb+G8M=")</f>
        <v>#VALUE!</v>
      </c>
      <c r="GO223" t="e">
        <f>AND(Sheet1!I3002,"AAAAAHb+G8Q=")</f>
        <v>#VALUE!</v>
      </c>
      <c r="GP223" t="e">
        <f>AND(Sheet1!J3002,"AAAAAHb+G8U=")</f>
        <v>#VALUE!</v>
      </c>
      <c r="GQ223" t="e">
        <f>AND(Sheet1!K3002,"AAAAAHb+G8Y=")</f>
        <v>#VALUE!</v>
      </c>
      <c r="GR223" t="e">
        <f>AND(Sheet1!L3002,"AAAAAHb+G8c=")</f>
        <v>#VALUE!</v>
      </c>
      <c r="GS223" t="e">
        <f>AND(Sheet1!M3002,"AAAAAHb+G8g=")</f>
        <v>#VALUE!</v>
      </c>
      <c r="GT223" t="e">
        <f>AND(Sheet1!N3002,"AAAAAHb+G8k=")</f>
        <v>#VALUE!</v>
      </c>
      <c r="GU223" t="e">
        <f>AND(Sheet1!#REF!,"AAAAAHb+G8o=")</f>
        <v>#REF!</v>
      </c>
      <c r="GV223" t="e">
        <f>AND(Sheet1!#REF!,"AAAAAHb+G8s=")</f>
        <v>#REF!</v>
      </c>
      <c r="GW223" t="e">
        <f>AND(Sheet1!#REF!,"AAAAAHb+G8w=")</f>
        <v>#REF!</v>
      </c>
      <c r="GX223" t="e">
        <f>AND(Sheet1!#REF!,"AAAAAHb+G80=")</f>
        <v>#REF!</v>
      </c>
      <c r="GY223">
        <f>IF(Sheet1!3003:3003,"AAAAAHb+G84=",0)</f>
        <v>0</v>
      </c>
      <c r="GZ223" t="e">
        <f>AND(Sheet1!A3003,"AAAAAHb+G88=")</f>
        <v>#VALUE!</v>
      </c>
      <c r="HA223" t="e">
        <f>AND(Sheet1!B3003,"AAAAAHb+G9A=")</f>
        <v>#VALUE!</v>
      </c>
      <c r="HB223" t="e">
        <f>AND(Sheet1!C3003,"AAAAAHb+G9E=")</f>
        <v>#VALUE!</v>
      </c>
      <c r="HC223" t="e">
        <f>AND(Sheet1!D3003,"AAAAAHb+G9I=")</f>
        <v>#VALUE!</v>
      </c>
      <c r="HD223" t="e">
        <f>AND(Sheet1!E3003,"AAAAAHb+G9M=")</f>
        <v>#VALUE!</v>
      </c>
      <c r="HE223" t="e">
        <f>AND(Sheet1!F3003,"AAAAAHb+G9Q=")</f>
        <v>#VALUE!</v>
      </c>
      <c r="HF223" t="e">
        <f>AND(Sheet1!G3003,"AAAAAHb+G9U=")</f>
        <v>#VALUE!</v>
      </c>
      <c r="HG223" t="e">
        <f>AND(Sheet1!H3003,"AAAAAHb+G9Y=")</f>
        <v>#VALUE!</v>
      </c>
      <c r="HH223" t="e">
        <f>AND(Sheet1!I3003,"AAAAAHb+G9c=")</f>
        <v>#VALUE!</v>
      </c>
      <c r="HI223" t="e">
        <f>AND(Sheet1!J3003,"AAAAAHb+G9g=")</f>
        <v>#VALUE!</v>
      </c>
      <c r="HJ223" t="e">
        <f>AND(Sheet1!K3003,"AAAAAHb+G9k=")</f>
        <v>#VALUE!</v>
      </c>
      <c r="HK223" t="e">
        <f>AND(Sheet1!L3003,"AAAAAHb+G9o=")</f>
        <v>#VALUE!</v>
      </c>
      <c r="HL223" t="e">
        <f>AND(Sheet1!M3003,"AAAAAHb+G9s=")</f>
        <v>#VALUE!</v>
      </c>
      <c r="HM223" t="e">
        <f>AND(Sheet1!N3003,"AAAAAHb+G9w=")</f>
        <v>#VALUE!</v>
      </c>
      <c r="HN223" t="e">
        <f>AND(Sheet1!#REF!,"AAAAAHb+G90=")</f>
        <v>#REF!</v>
      </c>
      <c r="HO223" t="e">
        <f>AND(Sheet1!#REF!,"AAAAAHb+G94=")</f>
        <v>#REF!</v>
      </c>
      <c r="HP223" t="e">
        <f>AND(Sheet1!#REF!,"AAAAAHb+G98=")</f>
        <v>#REF!</v>
      </c>
      <c r="HQ223" t="e">
        <f>AND(Sheet1!#REF!,"AAAAAHb+G+A=")</f>
        <v>#REF!</v>
      </c>
      <c r="HR223">
        <f>IF(Sheet1!3004:3004,"AAAAAHb+G+E=",0)</f>
        <v>0</v>
      </c>
      <c r="HS223" t="e">
        <f>AND(Sheet1!A3004,"AAAAAHb+G+I=")</f>
        <v>#VALUE!</v>
      </c>
      <c r="HT223" t="e">
        <f>AND(Sheet1!B3004,"AAAAAHb+G+M=")</f>
        <v>#VALUE!</v>
      </c>
      <c r="HU223" t="e">
        <f>AND(Sheet1!C3004,"AAAAAHb+G+Q=")</f>
        <v>#VALUE!</v>
      </c>
      <c r="HV223" t="e">
        <f>AND(Sheet1!D3004,"AAAAAHb+G+U=")</f>
        <v>#VALUE!</v>
      </c>
      <c r="HW223" t="e">
        <f>AND(Sheet1!E3004,"AAAAAHb+G+Y=")</f>
        <v>#VALUE!</v>
      </c>
      <c r="HX223" t="e">
        <f>AND(Sheet1!F3004,"AAAAAHb+G+c=")</f>
        <v>#VALUE!</v>
      </c>
      <c r="HY223" t="e">
        <f>AND(Sheet1!G3004,"AAAAAHb+G+g=")</f>
        <v>#VALUE!</v>
      </c>
      <c r="HZ223" t="e">
        <f>AND(Sheet1!H3004,"AAAAAHb+G+k=")</f>
        <v>#VALUE!</v>
      </c>
      <c r="IA223" t="e">
        <f>AND(Sheet1!I3004,"AAAAAHb+G+o=")</f>
        <v>#VALUE!</v>
      </c>
      <c r="IB223" t="e">
        <f>AND(Sheet1!J3004,"AAAAAHb+G+s=")</f>
        <v>#VALUE!</v>
      </c>
      <c r="IC223" t="e">
        <f>AND(Sheet1!K3004,"AAAAAHb+G+w=")</f>
        <v>#VALUE!</v>
      </c>
      <c r="ID223" t="e">
        <f>AND(Sheet1!L3004,"AAAAAHb+G+0=")</f>
        <v>#VALUE!</v>
      </c>
      <c r="IE223" t="e">
        <f>AND(Sheet1!M3004,"AAAAAHb+G+4=")</f>
        <v>#VALUE!</v>
      </c>
      <c r="IF223" t="e">
        <f>AND(Sheet1!N3004,"AAAAAHb+G+8=")</f>
        <v>#VALUE!</v>
      </c>
      <c r="IG223" t="e">
        <f>AND(Sheet1!#REF!,"AAAAAHb+G/A=")</f>
        <v>#REF!</v>
      </c>
      <c r="IH223" t="e">
        <f>AND(Sheet1!#REF!,"AAAAAHb+G/E=")</f>
        <v>#REF!</v>
      </c>
      <c r="II223" t="e">
        <f>AND(Sheet1!#REF!,"AAAAAHb+G/I=")</f>
        <v>#REF!</v>
      </c>
      <c r="IJ223" t="e">
        <f>AND(Sheet1!#REF!,"AAAAAHb+G/M=")</f>
        <v>#REF!</v>
      </c>
      <c r="IK223">
        <f>IF(Sheet1!3005:3005,"AAAAAHb+G/Q=",0)</f>
        <v>0</v>
      </c>
      <c r="IL223" t="e">
        <f>AND(Sheet1!A3005,"AAAAAHb+G/U=")</f>
        <v>#VALUE!</v>
      </c>
      <c r="IM223" t="e">
        <f>AND(Sheet1!B3005,"AAAAAHb+G/Y=")</f>
        <v>#VALUE!</v>
      </c>
      <c r="IN223" t="e">
        <f>AND(Sheet1!C3005,"AAAAAHb+G/c=")</f>
        <v>#VALUE!</v>
      </c>
      <c r="IO223" t="e">
        <f>AND(Sheet1!D3005,"AAAAAHb+G/g=")</f>
        <v>#VALUE!</v>
      </c>
      <c r="IP223" t="e">
        <f>AND(Sheet1!E3005,"AAAAAHb+G/k=")</f>
        <v>#VALUE!</v>
      </c>
      <c r="IQ223" t="e">
        <f>AND(Sheet1!F3005,"AAAAAHb+G/o=")</f>
        <v>#VALUE!</v>
      </c>
      <c r="IR223" t="e">
        <f>AND(Sheet1!G3005,"AAAAAHb+G/s=")</f>
        <v>#VALUE!</v>
      </c>
      <c r="IS223" t="e">
        <f>AND(Sheet1!H3005,"AAAAAHb+G/w=")</f>
        <v>#VALUE!</v>
      </c>
      <c r="IT223" t="e">
        <f>AND(Sheet1!I3005,"AAAAAHb+G/0=")</f>
        <v>#VALUE!</v>
      </c>
      <c r="IU223" t="e">
        <f>AND(Sheet1!J3005,"AAAAAHb+G/4=")</f>
        <v>#VALUE!</v>
      </c>
      <c r="IV223" t="e">
        <f>AND(Sheet1!K3005,"AAAAAHb+G/8=")</f>
        <v>#VALUE!</v>
      </c>
    </row>
    <row r="224" spans="1:256" x14ac:dyDescent="0.2">
      <c r="A224" t="e">
        <f>AND(Sheet1!L3005,"AAAAAHd/zQA=")</f>
        <v>#VALUE!</v>
      </c>
      <c r="B224" t="e">
        <f>AND(Sheet1!M3005,"AAAAAHd/zQE=")</f>
        <v>#VALUE!</v>
      </c>
      <c r="C224" t="e">
        <f>AND(Sheet1!N3005,"AAAAAHd/zQI=")</f>
        <v>#VALUE!</v>
      </c>
      <c r="D224" t="e">
        <f>AND(Sheet1!#REF!,"AAAAAHd/zQM=")</f>
        <v>#REF!</v>
      </c>
      <c r="E224" t="e">
        <f>AND(Sheet1!#REF!,"AAAAAHd/zQQ=")</f>
        <v>#REF!</v>
      </c>
      <c r="F224" t="e">
        <f>AND(Sheet1!#REF!,"AAAAAHd/zQU=")</f>
        <v>#REF!</v>
      </c>
      <c r="G224" t="e">
        <f>AND(Sheet1!#REF!,"AAAAAHd/zQY=")</f>
        <v>#REF!</v>
      </c>
      <c r="H224">
        <f>IF(Sheet1!3006:3006,"AAAAAHd/zQc=",0)</f>
        <v>0</v>
      </c>
      <c r="I224" t="e">
        <f>AND(Sheet1!A3006,"AAAAAHd/zQg=")</f>
        <v>#VALUE!</v>
      </c>
      <c r="J224" t="e">
        <f>AND(Sheet1!B3006,"AAAAAHd/zQk=")</f>
        <v>#VALUE!</v>
      </c>
      <c r="K224" t="e">
        <f>AND(Sheet1!C3006,"AAAAAHd/zQo=")</f>
        <v>#VALUE!</v>
      </c>
      <c r="L224" t="e">
        <f>AND(Sheet1!D3006,"AAAAAHd/zQs=")</f>
        <v>#VALUE!</v>
      </c>
      <c r="M224" t="e">
        <f>AND(Sheet1!E3006,"AAAAAHd/zQw=")</f>
        <v>#VALUE!</v>
      </c>
      <c r="N224" t="e">
        <f>AND(Sheet1!F3006,"AAAAAHd/zQ0=")</f>
        <v>#VALUE!</v>
      </c>
      <c r="O224" t="e">
        <f>AND(Sheet1!G3006,"AAAAAHd/zQ4=")</f>
        <v>#VALUE!</v>
      </c>
      <c r="P224" t="e">
        <f>AND(Sheet1!H3006,"AAAAAHd/zQ8=")</f>
        <v>#VALUE!</v>
      </c>
      <c r="Q224" t="e">
        <f>AND(Sheet1!I3006,"AAAAAHd/zRA=")</f>
        <v>#VALUE!</v>
      </c>
      <c r="R224" t="e">
        <f>AND(Sheet1!J3006,"AAAAAHd/zRE=")</f>
        <v>#VALUE!</v>
      </c>
      <c r="S224" t="e">
        <f>AND(Sheet1!K3006,"AAAAAHd/zRI=")</f>
        <v>#VALUE!</v>
      </c>
      <c r="T224" t="e">
        <f>AND(Sheet1!L3006,"AAAAAHd/zRM=")</f>
        <v>#VALUE!</v>
      </c>
      <c r="U224" t="e">
        <f>AND(Sheet1!M3006,"AAAAAHd/zRQ=")</f>
        <v>#VALUE!</v>
      </c>
      <c r="V224" t="e">
        <f>AND(Sheet1!N3006,"AAAAAHd/zRU=")</f>
        <v>#VALUE!</v>
      </c>
      <c r="W224" t="e">
        <f>AND(Sheet1!#REF!,"AAAAAHd/zRY=")</f>
        <v>#REF!</v>
      </c>
      <c r="X224" t="e">
        <f>AND(Sheet1!#REF!,"AAAAAHd/zRc=")</f>
        <v>#REF!</v>
      </c>
      <c r="Y224" t="e">
        <f>AND(Sheet1!#REF!,"AAAAAHd/zRg=")</f>
        <v>#REF!</v>
      </c>
      <c r="Z224" t="e">
        <f>AND(Sheet1!#REF!,"AAAAAHd/zRk=")</f>
        <v>#REF!</v>
      </c>
      <c r="AA224">
        <f>IF(Sheet1!3007:3007,"AAAAAHd/zRo=",0)</f>
        <v>0</v>
      </c>
      <c r="AB224" t="e">
        <f>AND(Sheet1!A3007,"AAAAAHd/zRs=")</f>
        <v>#VALUE!</v>
      </c>
      <c r="AC224" t="e">
        <f>AND(Sheet1!B3007,"AAAAAHd/zRw=")</f>
        <v>#VALUE!</v>
      </c>
      <c r="AD224" t="e">
        <f>AND(Sheet1!C3007,"AAAAAHd/zR0=")</f>
        <v>#VALUE!</v>
      </c>
      <c r="AE224" t="e">
        <f>AND(Sheet1!D3007,"AAAAAHd/zR4=")</f>
        <v>#VALUE!</v>
      </c>
      <c r="AF224" t="e">
        <f>AND(Sheet1!E3007,"AAAAAHd/zR8=")</f>
        <v>#VALUE!</v>
      </c>
      <c r="AG224" t="e">
        <f>AND(Sheet1!F3007,"AAAAAHd/zSA=")</f>
        <v>#VALUE!</v>
      </c>
      <c r="AH224" t="e">
        <f>AND(Sheet1!G3007,"AAAAAHd/zSE=")</f>
        <v>#VALUE!</v>
      </c>
      <c r="AI224" t="e">
        <f>AND(Sheet1!H3007,"AAAAAHd/zSI=")</f>
        <v>#VALUE!</v>
      </c>
      <c r="AJ224" t="e">
        <f>AND(Sheet1!I3007,"AAAAAHd/zSM=")</f>
        <v>#VALUE!</v>
      </c>
      <c r="AK224" t="e">
        <f>AND(Sheet1!J3007,"AAAAAHd/zSQ=")</f>
        <v>#VALUE!</v>
      </c>
      <c r="AL224" t="e">
        <f>AND(Sheet1!K3007,"AAAAAHd/zSU=")</f>
        <v>#VALUE!</v>
      </c>
      <c r="AM224" t="e">
        <f>AND(Sheet1!L3007,"AAAAAHd/zSY=")</f>
        <v>#VALUE!</v>
      </c>
      <c r="AN224" t="e">
        <f>AND(Sheet1!M3007,"AAAAAHd/zSc=")</f>
        <v>#VALUE!</v>
      </c>
      <c r="AO224" t="e">
        <f>AND(Sheet1!N3007,"AAAAAHd/zSg=")</f>
        <v>#VALUE!</v>
      </c>
      <c r="AP224" t="e">
        <f>AND(Sheet1!#REF!,"AAAAAHd/zSk=")</f>
        <v>#REF!</v>
      </c>
      <c r="AQ224" t="e">
        <f>AND(Sheet1!#REF!,"AAAAAHd/zSo=")</f>
        <v>#REF!</v>
      </c>
      <c r="AR224" t="e">
        <f>AND(Sheet1!#REF!,"AAAAAHd/zSs=")</f>
        <v>#REF!</v>
      </c>
      <c r="AS224" t="e">
        <f>AND(Sheet1!#REF!,"AAAAAHd/zSw=")</f>
        <v>#REF!</v>
      </c>
      <c r="AT224">
        <f>IF(Sheet1!3008:3008,"AAAAAHd/zS0=",0)</f>
        <v>0</v>
      </c>
      <c r="AU224" t="e">
        <f>AND(Sheet1!A3008,"AAAAAHd/zS4=")</f>
        <v>#VALUE!</v>
      </c>
      <c r="AV224" t="e">
        <f>AND(Sheet1!B3008,"AAAAAHd/zS8=")</f>
        <v>#VALUE!</v>
      </c>
      <c r="AW224" t="e">
        <f>AND(Sheet1!C3008,"AAAAAHd/zTA=")</f>
        <v>#VALUE!</v>
      </c>
      <c r="AX224" t="e">
        <f>AND(Sheet1!D3008,"AAAAAHd/zTE=")</f>
        <v>#VALUE!</v>
      </c>
      <c r="AY224" t="e">
        <f>AND(Sheet1!E3008,"AAAAAHd/zTI=")</f>
        <v>#VALUE!</v>
      </c>
      <c r="AZ224" t="e">
        <f>AND(Sheet1!F3008,"AAAAAHd/zTM=")</f>
        <v>#VALUE!</v>
      </c>
      <c r="BA224" t="e">
        <f>AND(Sheet1!G3008,"AAAAAHd/zTQ=")</f>
        <v>#VALUE!</v>
      </c>
      <c r="BB224" t="e">
        <f>AND(Sheet1!H3008,"AAAAAHd/zTU=")</f>
        <v>#VALUE!</v>
      </c>
      <c r="BC224" t="e">
        <f>AND(Sheet1!I3008,"AAAAAHd/zTY=")</f>
        <v>#VALUE!</v>
      </c>
      <c r="BD224" t="e">
        <f>AND(Sheet1!J3008,"AAAAAHd/zTc=")</f>
        <v>#VALUE!</v>
      </c>
      <c r="BE224" t="e">
        <f>AND(Sheet1!K3008,"AAAAAHd/zTg=")</f>
        <v>#VALUE!</v>
      </c>
      <c r="BF224" t="e">
        <f>AND(Sheet1!L3008,"AAAAAHd/zTk=")</f>
        <v>#VALUE!</v>
      </c>
      <c r="BG224" t="e">
        <f>AND(Sheet1!M3008,"AAAAAHd/zTo=")</f>
        <v>#VALUE!</v>
      </c>
      <c r="BH224" t="e">
        <f>AND(Sheet1!N3008,"AAAAAHd/zTs=")</f>
        <v>#VALUE!</v>
      </c>
      <c r="BI224" t="e">
        <f>AND(Sheet1!#REF!,"AAAAAHd/zTw=")</f>
        <v>#REF!</v>
      </c>
      <c r="BJ224" t="e">
        <f>AND(Sheet1!#REF!,"AAAAAHd/zT0=")</f>
        <v>#REF!</v>
      </c>
      <c r="BK224" t="e">
        <f>AND(Sheet1!#REF!,"AAAAAHd/zT4=")</f>
        <v>#REF!</v>
      </c>
      <c r="BL224" t="e">
        <f>AND(Sheet1!#REF!,"AAAAAHd/zT8=")</f>
        <v>#REF!</v>
      </c>
      <c r="BM224">
        <f>IF(Sheet1!3009:3009,"AAAAAHd/zUA=",0)</f>
        <v>0</v>
      </c>
      <c r="BN224" t="e">
        <f>AND(Sheet1!A3009,"AAAAAHd/zUE=")</f>
        <v>#VALUE!</v>
      </c>
      <c r="BO224" t="e">
        <f>AND(Sheet1!B3009,"AAAAAHd/zUI=")</f>
        <v>#VALUE!</v>
      </c>
      <c r="BP224" t="e">
        <f>AND(Sheet1!C3009,"AAAAAHd/zUM=")</f>
        <v>#VALUE!</v>
      </c>
      <c r="BQ224" t="e">
        <f>AND(Sheet1!D3009,"AAAAAHd/zUQ=")</f>
        <v>#VALUE!</v>
      </c>
      <c r="BR224" t="e">
        <f>AND(Sheet1!E3009,"AAAAAHd/zUU=")</f>
        <v>#VALUE!</v>
      </c>
      <c r="BS224" t="e">
        <f>AND(Sheet1!F3009,"AAAAAHd/zUY=")</f>
        <v>#VALUE!</v>
      </c>
      <c r="BT224" t="e">
        <f>AND(Sheet1!G3009,"AAAAAHd/zUc=")</f>
        <v>#VALUE!</v>
      </c>
      <c r="BU224" t="e">
        <f>AND(Sheet1!H3009,"AAAAAHd/zUg=")</f>
        <v>#VALUE!</v>
      </c>
      <c r="BV224" t="e">
        <f>AND(Sheet1!I3009,"AAAAAHd/zUk=")</f>
        <v>#VALUE!</v>
      </c>
      <c r="BW224" t="e">
        <f>AND(Sheet1!J3009,"AAAAAHd/zUo=")</f>
        <v>#VALUE!</v>
      </c>
      <c r="BX224" t="e">
        <f>AND(Sheet1!K3009,"AAAAAHd/zUs=")</f>
        <v>#VALUE!</v>
      </c>
      <c r="BY224" t="e">
        <f>AND(Sheet1!L3009,"AAAAAHd/zUw=")</f>
        <v>#VALUE!</v>
      </c>
      <c r="BZ224" t="e">
        <f>AND(Sheet1!M3009,"AAAAAHd/zU0=")</f>
        <v>#VALUE!</v>
      </c>
      <c r="CA224" t="e">
        <f>AND(Sheet1!N3009,"AAAAAHd/zU4=")</f>
        <v>#VALUE!</v>
      </c>
      <c r="CB224" t="e">
        <f>AND(Sheet1!#REF!,"AAAAAHd/zU8=")</f>
        <v>#REF!</v>
      </c>
      <c r="CC224" t="e">
        <f>AND(Sheet1!#REF!,"AAAAAHd/zVA=")</f>
        <v>#REF!</v>
      </c>
      <c r="CD224" t="e">
        <f>AND(Sheet1!#REF!,"AAAAAHd/zVE=")</f>
        <v>#REF!</v>
      </c>
      <c r="CE224" t="e">
        <f>AND(Sheet1!#REF!,"AAAAAHd/zVI=")</f>
        <v>#REF!</v>
      </c>
      <c r="CF224">
        <f>IF(Sheet1!3010:3010,"AAAAAHd/zVM=",0)</f>
        <v>0</v>
      </c>
      <c r="CG224" t="e">
        <f>AND(Sheet1!A3010,"AAAAAHd/zVQ=")</f>
        <v>#VALUE!</v>
      </c>
      <c r="CH224" t="e">
        <f>AND(Sheet1!B3010,"AAAAAHd/zVU=")</f>
        <v>#VALUE!</v>
      </c>
      <c r="CI224" t="e">
        <f>AND(Sheet1!C3010,"AAAAAHd/zVY=")</f>
        <v>#VALUE!</v>
      </c>
      <c r="CJ224" t="e">
        <f>AND(Sheet1!D3010,"AAAAAHd/zVc=")</f>
        <v>#VALUE!</v>
      </c>
      <c r="CK224" t="e">
        <f>AND(Sheet1!E3010,"AAAAAHd/zVg=")</f>
        <v>#VALUE!</v>
      </c>
      <c r="CL224" t="e">
        <f>AND(Sheet1!F3010,"AAAAAHd/zVk=")</f>
        <v>#VALUE!</v>
      </c>
      <c r="CM224" t="e">
        <f>AND(Sheet1!G3010,"AAAAAHd/zVo=")</f>
        <v>#VALUE!</v>
      </c>
      <c r="CN224" t="e">
        <f>AND(Sheet1!H3010,"AAAAAHd/zVs=")</f>
        <v>#VALUE!</v>
      </c>
      <c r="CO224" t="e">
        <f>AND(Sheet1!I3010,"AAAAAHd/zVw=")</f>
        <v>#VALUE!</v>
      </c>
      <c r="CP224" t="e">
        <f>AND(Sheet1!J3010,"AAAAAHd/zV0=")</f>
        <v>#VALUE!</v>
      </c>
      <c r="CQ224" t="e">
        <f>AND(Sheet1!K3010,"AAAAAHd/zV4=")</f>
        <v>#VALUE!</v>
      </c>
      <c r="CR224" t="e">
        <f>AND(Sheet1!L3010,"AAAAAHd/zV8=")</f>
        <v>#VALUE!</v>
      </c>
      <c r="CS224" t="e">
        <f>AND(Sheet1!M3010,"AAAAAHd/zWA=")</f>
        <v>#VALUE!</v>
      </c>
      <c r="CT224" t="e">
        <f>AND(Sheet1!N3010,"AAAAAHd/zWE=")</f>
        <v>#VALUE!</v>
      </c>
      <c r="CU224" t="e">
        <f>AND(Sheet1!#REF!,"AAAAAHd/zWI=")</f>
        <v>#REF!</v>
      </c>
      <c r="CV224" t="e">
        <f>AND(Sheet1!#REF!,"AAAAAHd/zWM=")</f>
        <v>#REF!</v>
      </c>
      <c r="CW224" t="e">
        <f>AND(Sheet1!#REF!,"AAAAAHd/zWQ=")</f>
        <v>#REF!</v>
      </c>
      <c r="CX224" t="e">
        <f>AND(Sheet1!#REF!,"AAAAAHd/zWU=")</f>
        <v>#REF!</v>
      </c>
      <c r="CY224">
        <f>IF(Sheet1!3011:3011,"AAAAAHd/zWY=",0)</f>
        <v>0</v>
      </c>
      <c r="CZ224" t="e">
        <f>AND(Sheet1!A3011,"AAAAAHd/zWc=")</f>
        <v>#VALUE!</v>
      </c>
      <c r="DA224" t="e">
        <f>AND(Sheet1!B3011,"AAAAAHd/zWg=")</f>
        <v>#VALUE!</v>
      </c>
      <c r="DB224" t="e">
        <f>AND(Sheet1!C3011,"AAAAAHd/zWk=")</f>
        <v>#VALUE!</v>
      </c>
      <c r="DC224" t="e">
        <f>AND(Sheet1!D3011,"AAAAAHd/zWo=")</f>
        <v>#VALUE!</v>
      </c>
      <c r="DD224" t="e">
        <f>AND(Sheet1!E3011,"AAAAAHd/zWs=")</f>
        <v>#VALUE!</v>
      </c>
      <c r="DE224" t="e">
        <f>AND(Sheet1!F3011,"AAAAAHd/zWw=")</f>
        <v>#VALUE!</v>
      </c>
      <c r="DF224" t="e">
        <f>AND(Sheet1!G3011,"AAAAAHd/zW0=")</f>
        <v>#VALUE!</v>
      </c>
      <c r="DG224" t="e">
        <f>AND(Sheet1!H3011,"AAAAAHd/zW4=")</f>
        <v>#VALUE!</v>
      </c>
      <c r="DH224" t="e">
        <f>AND(Sheet1!I3011,"AAAAAHd/zW8=")</f>
        <v>#VALUE!</v>
      </c>
      <c r="DI224" t="e">
        <f>AND(Sheet1!J3011,"AAAAAHd/zXA=")</f>
        <v>#VALUE!</v>
      </c>
      <c r="DJ224" t="e">
        <f>AND(Sheet1!K3011,"AAAAAHd/zXE=")</f>
        <v>#VALUE!</v>
      </c>
      <c r="DK224" t="e">
        <f>AND(Sheet1!L3011,"AAAAAHd/zXI=")</f>
        <v>#VALUE!</v>
      </c>
      <c r="DL224" t="e">
        <f>AND(Sheet1!M3011,"AAAAAHd/zXM=")</f>
        <v>#VALUE!</v>
      </c>
      <c r="DM224" t="e">
        <f>AND(Sheet1!N3011,"AAAAAHd/zXQ=")</f>
        <v>#VALUE!</v>
      </c>
      <c r="DN224" t="e">
        <f>AND(Sheet1!#REF!,"AAAAAHd/zXU=")</f>
        <v>#REF!</v>
      </c>
      <c r="DO224" t="e">
        <f>AND(Sheet1!#REF!,"AAAAAHd/zXY=")</f>
        <v>#REF!</v>
      </c>
      <c r="DP224" t="e">
        <f>AND(Sheet1!#REF!,"AAAAAHd/zXc=")</f>
        <v>#REF!</v>
      </c>
      <c r="DQ224" t="e">
        <f>AND(Sheet1!#REF!,"AAAAAHd/zXg=")</f>
        <v>#REF!</v>
      </c>
      <c r="DR224">
        <f>IF(Sheet1!3012:3012,"AAAAAHd/zXk=",0)</f>
        <v>0</v>
      </c>
      <c r="DS224" t="e">
        <f>AND(Sheet1!A3012,"AAAAAHd/zXo=")</f>
        <v>#VALUE!</v>
      </c>
      <c r="DT224" t="e">
        <f>AND(Sheet1!B3012,"AAAAAHd/zXs=")</f>
        <v>#VALUE!</v>
      </c>
      <c r="DU224" t="e">
        <f>AND(Sheet1!C3012,"AAAAAHd/zXw=")</f>
        <v>#VALUE!</v>
      </c>
      <c r="DV224" t="e">
        <f>AND(Sheet1!D3012,"AAAAAHd/zX0=")</f>
        <v>#VALUE!</v>
      </c>
      <c r="DW224" t="e">
        <f>AND(Sheet1!E3012,"AAAAAHd/zX4=")</f>
        <v>#VALUE!</v>
      </c>
      <c r="DX224" t="e">
        <f>AND(Sheet1!F3012,"AAAAAHd/zX8=")</f>
        <v>#VALUE!</v>
      </c>
      <c r="DY224" t="e">
        <f>AND(Sheet1!G3012,"AAAAAHd/zYA=")</f>
        <v>#VALUE!</v>
      </c>
      <c r="DZ224" t="e">
        <f>AND(Sheet1!H3012,"AAAAAHd/zYE=")</f>
        <v>#VALUE!</v>
      </c>
      <c r="EA224" t="e">
        <f>AND(Sheet1!I3012,"AAAAAHd/zYI=")</f>
        <v>#VALUE!</v>
      </c>
      <c r="EB224" t="e">
        <f>AND(Sheet1!J3012,"AAAAAHd/zYM=")</f>
        <v>#VALUE!</v>
      </c>
      <c r="EC224" t="e">
        <f>AND(Sheet1!K3012,"AAAAAHd/zYQ=")</f>
        <v>#VALUE!</v>
      </c>
      <c r="ED224" t="e">
        <f>AND(Sheet1!L3012,"AAAAAHd/zYU=")</f>
        <v>#VALUE!</v>
      </c>
      <c r="EE224" t="e">
        <f>AND(Sheet1!M3012,"AAAAAHd/zYY=")</f>
        <v>#VALUE!</v>
      </c>
      <c r="EF224" t="e">
        <f>AND(Sheet1!N3012,"AAAAAHd/zYc=")</f>
        <v>#VALUE!</v>
      </c>
      <c r="EG224" t="e">
        <f>AND(Sheet1!#REF!,"AAAAAHd/zYg=")</f>
        <v>#REF!</v>
      </c>
      <c r="EH224" t="e">
        <f>AND(Sheet1!#REF!,"AAAAAHd/zYk=")</f>
        <v>#REF!</v>
      </c>
      <c r="EI224" t="e">
        <f>AND(Sheet1!#REF!,"AAAAAHd/zYo=")</f>
        <v>#REF!</v>
      </c>
      <c r="EJ224" t="e">
        <f>AND(Sheet1!#REF!,"AAAAAHd/zYs=")</f>
        <v>#REF!</v>
      </c>
      <c r="EK224">
        <f>IF(Sheet1!3013:3013,"AAAAAHd/zYw=",0)</f>
        <v>0</v>
      </c>
      <c r="EL224" t="e">
        <f>AND(Sheet1!A3013,"AAAAAHd/zY0=")</f>
        <v>#VALUE!</v>
      </c>
      <c r="EM224" t="e">
        <f>AND(Sheet1!B3013,"AAAAAHd/zY4=")</f>
        <v>#VALUE!</v>
      </c>
      <c r="EN224" t="e">
        <f>AND(Sheet1!C3013,"AAAAAHd/zY8=")</f>
        <v>#VALUE!</v>
      </c>
      <c r="EO224" t="e">
        <f>AND(Sheet1!D3013,"AAAAAHd/zZA=")</f>
        <v>#VALUE!</v>
      </c>
      <c r="EP224" t="e">
        <f>AND(Sheet1!E3013,"AAAAAHd/zZE=")</f>
        <v>#VALUE!</v>
      </c>
      <c r="EQ224" t="e">
        <f>AND(Sheet1!F3013,"AAAAAHd/zZI=")</f>
        <v>#VALUE!</v>
      </c>
      <c r="ER224" t="e">
        <f>AND(Sheet1!G3013,"AAAAAHd/zZM=")</f>
        <v>#VALUE!</v>
      </c>
      <c r="ES224" t="e">
        <f>AND(Sheet1!H3013,"AAAAAHd/zZQ=")</f>
        <v>#VALUE!</v>
      </c>
      <c r="ET224" t="e">
        <f>AND(Sheet1!I3013,"AAAAAHd/zZU=")</f>
        <v>#VALUE!</v>
      </c>
      <c r="EU224" t="e">
        <f>AND(Sheet1!J3013,"AAAAAHd/zZY=")</f>
        <v>#VALUE!</v>
      </c>
      <c r="EV224" t="e">
        <f>AND(Sheet1!K3013,"AAAAAHd/zZc=")</f>
        <v>#VALUE!</v>
      </c>
      <c r="EW224" t="e">
        <f>AND(Sheet1!L3013,"AAAAAHd/zZg=")</f>
        <v>#VALUE!</v>
      </c>
      <c r="EX224" t="e">
        <f>AND(Sheet1!M3013,"AAAAAHd/zZk=")</f>
        <v>#VALUE!</v>
      </c>
      <c r="EY224" t="e">
        <f>AND(Sheet1!N3013,"AAAAAHd/zZo=")</f>
        <v>#VALUE!</v>
      </c>
      <c r="EZ224" t="e">
        <f>AND(Sheet1!#REF!,"AAAAAHd/zZs=")</f>
        <v>#REF!</v>
      </c>
      <c r="FA224" t="e">
        <f>AND(Sheet1!#REF!,"AAAAAHd/zZw=")</f>
        <v>#REF!</v>
      </c>
      <c r="FB224" t="e">
        <f>AND(Sheet1!#REF!,"AAAAAHd/zZ0=")</f>
        <v>#REF!</v>
      </c>
      <c r="FC224" t="e">
        <f>AND(Sheet1!#REF!,"AAAAAHd/zZ4=")</f>
        <v>#REF!</v>
      </c>
      <c r="FD224">
        <f>IF(Sheet1!3014:3014,"AAAAAHd/zZ8=",0)</f>
        <v>0</v>
      </c>
      <c r="FE224" t="e">
        <f>AND(Sheet1!A3014,"AAAAAHd/zaA=")</f>
        <v>#VALUE!</v>
      </c>
      <c r="FF224" t="e">
        <f>AND(Sheet1!B3014,"AAAAAHd/zaE=")</f>
        <v>#VALUE!</v>
      </c>
      <c r="FG224" t="e">
        <f>AND(Sheet1!C3014,"AAAAAHd/zaI=")</f>
        <v>#VALUE!</v>
      </c>
      <c r="FH224" t="e">
        <f>AND(Sheet1!D3014,"AAAAAHd/zaM=")</f>
        <v>#VALUE!</v>
      </c>
      <c r="FI224" t="e">
        <f>AND(Sheet1!E3014,"AAAAAHd/zaQ=")</f>
        <v>#VALUE!</v>
      </c>
      <c r="FJ224" t="e">
        <f>AND(Sheet1!F3014,"AAAAAHd/zaU=")</f>
        <v>#VALUE!</v>
      </c>
      <c r="FK224" t="e">
        <f>AND(Sheet1!G3014,"AAAAAHd/zaY=")</f>
        <v>#VALUE!</v>
      </c>
      <c r="FL224" t="e">
        <f>AND(Sheet1!H3014,"AAAAAHd/zac=")</f>
        <v>#VALUE!</v>
      </c>
      <c r="FM224" t="e">
        <f>AND(Sheet1!I3014,"AAAAAHd/zag=")</f>
        <v>#VALUE!</v>
      </c>
      <c r="FN224" t="e">
        <f>AND(Sheet1!J3014,"AAAAAHd/zak=")</f>
        <v>#VALUE!</v>
      </c>
      <c r="FO224" t="e">
        <f>AND(Sheet1!K3014,"AAAAAHd/zao=")</f>
        <v>#VALUE!</v>
      </c>
      <c r="FP224" t="e">
        <f>AND(Sheet1!L3014,"AAAAAHd/zas=")</f>
        <v>#VALUE!</v>
      </c>
      <c r="FQ224" t="e">
        <f>AND(Sheet1!M3014,"AAAAAHd/zaw=")</f>
        <v>#VALUE!</v>
      </c>
      <c r="FR224" t="e">
        <f>AND(Sheet1!N3014,"AAAAAHd/za0=")</f>
        <v>#VALUE!</v>
      </c>
      <c r="FS224" t="e">
        <f>AND(Sheet1!#REF!,"AAAAAHd/za4=")</f>
        <v>#REF!</v>
      </c>
      <c r="FT224" t="e">
        <f>AND(Sheet1!#REF!,"AAAAAHd/za8=")</f>
        <v>#REF!</v>
      </c>
      <c r="FU224" t="e">
        <f>AND(Sheet1!#REF!,"AAAAAHd/zbA=")</f>
        <v>#REF!</v>
      </c>
      <c r="FV224" t="e">
        <f>AND(Sheet1!#REF!,"AAAAAHd/zbE=")</f>
        <v>#REF!</v>
      </c>
      <c r="FW224">
        <f>IF(Sheet1!3015:3015,"AAAAAHd/zbI=",0)</f>
        <v>0</v>
      </c>
      <c r="FX224" t="e">
        <f>AND(Sheet1!A3015,"AAAAAHd/zbM=")</f>
        <v>#VALUE!</v>
      </c>
      <c r="FY224" t="e">
        <f>AND(Sheet1!B3015,"AAAAAHd/zbQ=")</f>
        <v>#VALUE!</v>
      </c>
      <c r="FZ224" t="e">
        <f>AND(Sheet1!C3015,"AAAAAHd/zbU=")</f>
        <v>#VALUE!</v>
      </c>
      <c r="GA224" t="e">
        <f>AND(Sheet1!D3015,"AAAAAHd/zbY=")</f>
        <v>#VALUE!</v>
      </c>
      <c r="GB224" t="e">
        <f>AND(Sheet1!E3015,"AAAAAHd/zbc=")</f>
        <v>#VALUE!</v>
      </c>
      <c r="GC224" t="e">
        <f>AND(Sheet1!F3015,"AAAAAHd/zbg=")</f>
        <v>#VALUE!</v>
      </c>
      <c r="GD224" t="e">
        <f>AND(Sheet1!G3015,"AAAAAHd/zbk=")</f>
        <v>#VALUE!</v>
      </c>
      <c r="GE224" t="e">
        <f>AND(Sheet1!H3015,"AAAAAHd/zbo=")</f>
        <v>#VALUE!</v>
      </c>
      <c r="GF224" t="e">
        <f>AND(Sheet1!I3015,"AAAAAHd/zbs=")</f>
        <v>#VALUE!</v>
      </c>
      <c r="GG224" t="e">
        <f>AND(Sheet1!J3015,"AAAAAHd/zbw=")</f>
        <v>#VALUE!</v>
      </c>
      <c r="GH224" t="e">
        <f>AND(Sheet1!K3015,"AAAAAHd/zb0=")</f>
        <v>#VALUE!</v>
      </c>
      <c r="GI224" t="e">
        <f>AND(Sheet1!L3015,"AAAAAHd/zb4=")</f>
        <v>#VALUE!</v>
      </c>
      <c r="GJ224" t="e">
        <f>AND(Sheet1!M3015,"AAAAAHd/zb8=")</f>
        <v>#VALUE!</v>
      </c>
      <c r="GK224" t="e">
        <f>AND(Sheet1!N3015,"AAAAAHd/zcA=")</f>
        <v>#VALUE!</v>
      </c>
      <c r="GL224" t="e">
        <f>AND(Sheet1!#REF!,"AAAAAHd/zcE=")</f>
        <v>#REF!</v>
      </c>
      <c r="GM224" t="e">
        <f>AND(Sheet1!#REF!,"AAAAAHd/zcI=")</f>
        <v>#REF!</v>
      </c>
      <c r="GN224" t="e">
        <f>AND(Sheet1!#REF!,"AAAAAHd/zcM=")</f>
        <v>#REF!</v>
      </c>
      <c r="GO224" t="e">
        <f>AND(Sheet1!#REF!,"AAAAAHd/zcQ=")</f>
        <v>#REF!</v>
      </c>
      <c r="GP224">
        <f>IF(Sheet1!3016:3016,"AAAAAHd/zcU=",0)</f>
        <v>0</v>
      </c>
      <c r="GQ224" t="e">
        <f>AND(Sheet1!A3016,"AAAAAHd/zcY=")</f>
        <v>#VALUE!</v>
      </c>
      <c r="GR224" t="e">
        <f>AND(Sheet1!B3016,"AAAAAHd/zcc=")</f>
        <v>#VALUE!</v>
      </c>
      <c r="GS224" t="e">
        <f>AND(Sheet1!C3016,"AAAAAHd/zcg=")</f>
        <v>#VALUE!</v>
      </c>
      <c r="GT224" t="e">
        <f>AND(Sheet1!D3016,"AAAAAHd/zck=")</f>
        <v>#VALUE!</v>
      </c>
      <c r="GU224" t="e">
        <f>AND(Sheet1!E3016,"AAAAAHd/zco=")</f>
        <v>#VALUE!</v>
      </c>
      <c r="GV224" t="e">
        <f>AND(Sheet1!F3016,"AAAAAHd/zcs=")</f>
        <v>#VALUE!</v>
      </c>
      <c r="GW224" t="e">
        <f>AND(Sheet1!G3016,"AAAAAHd/zcw=")</f>
        <v>#VALUE!</v>
      </c>
      <c r="GX224" t="e">
        <f>AND(Sheet1!H3016,"AAAAAHd/zc0=")</f>
        <v>#VALUE!</v>
      </c>
      <c r="GY224" t="e">
        <f>AND(Sheet1!I3016,"AAAAAHd/zc4=")</f>
        <v>#VALUE!</v>
      </c>
      <c r="GZ224" t="e">
        <f>AND(Sheet1!J3016,"AAAAAHd/zc8=")</f>
        <v>#VALUE!</v>
      </c>
      <c r="HA224" t="e">
        <f>AND(Sheet1!K3016,"AAAAAHd/zdA=")</f>
        <v>#VALUE!</v>
      </c>
      <c r="HB224" t="e">
        <f>AND(Sheet1!L3016,"AAAAAHd/zdE=")</f>
        <v>#VALUE!</v>
      </c>
      <c r="HC224" t="e">
        <f>AND(Sheet1!M3016,"AAAAAHd/zdI=")</f>
        <v>#VALUE!</v>
      </c>
      <c r="HD224" t="e">
        <f>AND(Sheet1!N3016,"AAAAAHd/zdM=")</f>
        <v>#VALUE!</v>
      </c>
      <c r="HE224" t="e">
        <f>AND(Sheet1!#REF!,"AAAAAHd/zdQ=")</f>
        <v>#REF!</v>
      </c>
      <c r="HF224" t="e">
        <f>AND(Sheet1!#REF!,"AAAAAHd/zdU=")</f>
        <v>#REF!</v>
      </c>
      <c r="HG224" t="e">
        <f>AND(Sheet1!#REF!,"AAAAAHd/zdY=")</f>
        <v>#REF!</v>
      </c>
      <c r="HH224" t="e">
        <f>AND(Sheet1!#REF!,"AAAAAHd/zdc=")</f>
        <v>#REF!</v>
      </c>
      <c r="HI224">
        <f>IF(Sheet1!3017:3017,"AAAAAHd/zdg=",0)</f>
        <v>0</v>
      </c>
      <c r="HJ224" t="e">
        <f>AND(Sheet1!A3017,"AAAAAHd/zdk=")</f>
        <v>#VALUE!</v>
      </c>
      <c r="HK224" t="e">
        <f>AND(Sheet1!B3017,"AAAAAHd/zdo=")</f>
        <v>#VALUE!</v>
      </c>
      <c r="HL224" t="e">
        <f>AND(Sheet1!C3017,"AAAAAHd/zds=")</f>
        <v>#VALUE!</v>
      </c>
      <c r="HM224" t="e">
        <f>AND(Sheet1!D3017,"AAAAAHd/zdw=")</f>
        <v>#VALUE!</v>
      </c>
      <c r="HN224" t="e">
        <f>AND(Sheet1!E3017,"AAAAAHd/zd0=")</f>
        <v>#VALUE!</v>
      </c>
      <c r="HO224" t="e">
        <f>AND(Sheet1!F3017,"AAAAAHd/zd4=")</f>
        <v>#VALUE!</v>
      </c>
      <c r="HP224" t="e">
        <f>AND(Sheet1!G3017,"AAAAAHd/zd8=")</f>
        <v>#VALUE!</v>
      </c>
      <c r="HQ224" t="e">
        <f>AND(Sheet1!H3017,"AAAAAHd/zeA=")</f>
        <v>#VALUE!</v>
      </c>
      <c r="HR224" t="e">
        <f>AND(Sheet1!I3017,"AAAAAHd/zeE=")</f>
        <v>#VALUE!</v>
      </c>
      <c r="HS224" t="e">
        <f>AND(Sheet1!J3017,"AAAAAHd/zeI=")</f>
        <v>#VALUE!</v>
      </c>
      <c r="HT224" t="e">
        <f>AND(Sheet1!K3017,"AAAAAHd/zeM=")</f>
        <v>#VALUE!</v>
      </c>
      <c r="HU224" t="e">
        <f>AND(Sheet1!L3017,"AAAAAHd/zeQ=")</f>
        <v>#VALUE!</v>
      </c>
      <c r="HV224" t="e">
        <f>AND(Sheet1!M3017,"AAAAAHd/zeU=")</f>
        <v>#VALUE!</v>
      </c>
      <c r="HW224" t="e">
        <f>AND(Sheet1!N3017,"AAAAAHd/zeY=")</f>
        <v>#VALUE!</v>
      </c>
      <c r="HX224" t="e">
        <f>AND(Sheet1!#REF!,"AAAAAHd/zec=")</f>
        <v>#REF!</v>
      </c>
      <c r="HY224" t="e">
        <f>AND(Sheet1!#REF!,"AAAAAHd/zeg=")</f>
        <v>#REF!</v>
      </c>
      <c r="HZ224" t="e">
        <f>AND(Sheet1!#REF!,"AAAAAHd/zek=")</f>
        <v>#REF!</v>
      </c>
      <c r="IA224" t="e">
        <f>AND(Sheet1!#REF!,"AAAAAHd/zeo=")</f>
        <v>#REF!</v>
      </c>
      <c r="IB224">
        <f>IF(Sheet1!3018:3018,"AAAAAHd/zes=",0)</f>
        <v>0</v>
      </c>
      <c r="IC224" t="e">
        <f>AND(Sheet1!A3018,"AAAAAHd/zew=")</f>
        <v>#VALUE!</v>
      </c>
      <c r="ID224" t="e">
        <f>AND(Sheet1!B3018,"AAAAAHd/ze0=")</f>
        <v>#VALUE!</v>
      </c>
      <c r="IE224" t="e">
        <f>AND(Sheet1!C3018,"AAAAAHd/ze4=")</f>
        <v>#VALUE!</v>
      </c>
      <c r="IF224" t="e">
        <f>AND(Sheet1!D3018,"AAAAAHd/ze8=")</f>
        <v>#VALUE!</v>
      </c>
      <c r="IG224" t="e">
        <f>AND(Sheet1!E3018,"AAAAAHd/zfA=")</f>
        <v>#VALUE!</v>
      </c>
      <c r="IH224" t="e">
        <f>AND(Sheet1!F3018,"AAAAAHd/zfE=")</f>
        <v>#VALUE!</v>
      </c>
      <c r="II224" t="e">
        <f>AND(Sheet1!G3018,"AAAAAHd/zfI=")</f>
        <v>#VALUE!</v>
      </c>
      <c r="IJ224" t="e">
        <f>AND(Sheet1!H3018,"AAAAAHd/zfM=")</f>
        <v>#VALUE!</v>
      </c>
      <c r="IK224" t="e">
        <f>AND(Sheet1!I3018,"AAAAAHd/zfQ=")</f>
        <v>#VALUE!</v>
      </c>
      <c r="IL224" t="e">
        <f>AND(Sheet1!J3018,"AAAAAHd/zfU=")</f>
        <v>#VALUE!</v>
      </c>
      <c r="IM224" t="e">
        <f>AND(Sheet1!K3018,"AAAAAHd/zfY=")</f>
        <v>#VALUE!</v>
      </c>
      <c r="IN224" t="e">
        <f>AND(Sheet1!L3018,"AAAAAHd/zfc=")</f>
        <v>#VALUE!</v>
      </c>
      <c r="IO224" t="e">
        <f>AND(Sheet1!M3018,"AAAAAHd/zfg=")</f>
        <v>#VALUE!</v>
      </c>
      <c r="IP224" t="e">
        <f>AND(Sheet1!N3018,"AAAAAHd/zfk=")</f>
        <v>#VALUE!</v>
      </c>
      <c r="IQ224" t="e">
        <f>AND(Sheet1!#REF!,"AAAAAHd/zfo=")</f>
        <v>#REF!</v>
      </c>
      <c r="IR224" t="e">
        <f>AND(Sheet1!#REF!,"AAAAAHd/zfs=")</f>
        <v>#REF!</v>
      </c>
      <c r="IS224" t="e">
        <f>AND(Sheet1!#REF!,"AAAAAHd/zfw=")</f>
        <v>#REF!</v>
      </c>
      <c r="IT224" t="e">
        <f>AND(Sheet1!#REF!,"AAAAAHd/zf0=")</f>
        <v>#REF!</v>
      </c>
      <c r="IU224">
        <f>IF(Sheet1!3019:3019,"AAAAAHd/zf4=",0)</f>
        <v>0</v>
      </c>
      <c r="IV224" t="e">
        <f>AND(Sheet1!A3019,"AAAAAHd/zf8=")</f>
        <v>#VALUE!</v>
      </c>
    </row>
    <row r="225" spans="1:256" x14ac:dyDescent="0.2">
      <c r="A225" t="e">
        <f>AND(Sheet1!B3019,"AAAAAHb3XgA=")</f>
        <v>#VALUE!</v>
      </c>
      <c r="B225" t="e">
        <f>AND(Sheet1!C3019,"AAAAAHb3XgE=")</f>
        <v>#VALUE!</v>
      </c>
      <c r="C225" t="e">
        <f>AND(Sheet1!D3019,"AAAAAHb3XgI=")</f>
        <v>#VALUE!</v>
      </c>
      <c r="D225" t="e">
        <f>AND(Sheet1!E3019,"AAAAAHb3XgM=")</f>
        <v>#VALUE!</v>
      </c>
      <c r="E225" t="e">
        <f>AND(Sheet1!F3019,"AAAAAHb3XgQ=")</f>
        <v>#VALUE!</v>
      </c>
      <c r="F225" t="e">
        <f>AND(Sheet1!G3019,"AAAAAHb3XgU=")</f>
        <v>#VALUE!</v>
      </c>
      <c r="G225" t="e">
        <f>AND(Sheet1!H3019,"AAAAAHb3XgY=")</f>
        <v>#VALUE!</v>
      </c>
      <c r="H225" t="e">
        <f>AND(Sheet1!I3019,"AAAAAHb3Xgc=")</f>
        <v>#VALUE!</v>
      </c>
      <c r="I225" t="e">
        <f>AND(Sheet1!J3019,"AAAAAHb3Xgg=")</f>
        <v>#VALUE!</v>
      </c>
      <c r="J225" t="e">
        <f>AND(Sheet1!K3019,"AAAAAHb3Xgk=")</f>
        <v>#VALUE!</v>
      </c>
      <c r="K225" t="e">
        <f>AND(Sheet1!L3019,"AAAAAHb3Xgo=")</f>
        <v>#VALUE!</v>
      </c>
      <c r="L225" t="e">
        <f>AND(Sheet1!M3019,"AAAAAHb3Xgs=")</f>
        <v>#VALUE!</v>
      </c>
      <c r="M225" t="e">
        <f>AND(Sheet1!N3019,"AAAAAHb3Xgw=")</f>
        <v>#VALUE!</v>
      </c>
      <c r="N225" t="e">
        <f>AND(Sheet1!#REF!,"AAAAAHb3Xg0=")</f>
        <v>#REF!</v>
      </c>
      <c r="O225" t="e">
        <f>AND(Sheet1!#REF!,"AAAAAHb3Xg4=")</f>
        <v>#REF!</v>
      </c>
      <c r="P225" t="e">
        <f>AND(Sheet1!#REF!,"AAAAAHb3Xg8=")</f>
        <v>#REF!</v>
      </c>
      <c r="Q225" t="e">
        <f>AND(Sheet1!#REF!,"AAAAAHb3XhA=")</f>
        <v>#REF!</v>
      </c>
      <c r="R225">
        <f>IF(Sheet1!3020:3020,"AAAAAHb3XhE=",0)</f>
        <v>0</v>
      </c>
      <c r="S225" t="e">
        <f>AND(Sheet1!A3020,"AAAAAHb3XhI=")</f>
        <v>#VALUE!</v>
      </c>
      <c r="T225" t="e">
        <f>AND(Sheet1!B3020,"AAAAAHb3XhM=")</f>
        <v>#VALUE!</v>
      </c>
      <c r="U225" t="e">
        <f>AND(Sheet1!C3020,"AAAAAHb3XhQ=")</f>
        <v>#VALUE!</v>
      </c>
      <c r="V225" t="e">
        <f>AND(Sheet1!D3020,"AAAAAHb3XhU=")</f>
        <v>#VALUE!</v>
      </c>
      <c r="W225" t="e">
        <f>AND(Sheet1!E3020,"AAAAAHb3XhY=")</f>
        <v>#VALUE!</v>
      </c>
      <c r="X225" t="e">
        <f>AND(Sheet1!F3020,"AAAAAHb3Xhc=")</f>
        <v>#VALUE!</v>
      </c>
      <c r="Y225" t="e">
        <f>AND(Sheet1!G3020,"AAAAAHb3Xhg=")</f>
        <v>#VALUE!</v>
      </c>
      <c r="Z225" t="e">
        <f>AND(Sheet1!H3020,"AAAAAHb3Xhk=")</f>
        <v>#VALUE!</v>
      </c>
      <c r="AA225" t="e">
        <f>AND(Sheet1!I3020,"AAAAAHb3Xho=")</f>
        <v>#VALUE!</v>
      </c>
      <c r="AB225" t="e">
        <f>AND(Sheet1!J3020,"AAAAAHb3Xhs=")</f>
        <v>#VALUE!</v>
      </c>
      <c r="AC225" t="e">
        <f>AND(Sheet1!K3020,"AAAAAHb3Xhw=")</f>
        <v>#VALUE!</v>
      </c>
      <c r="AD225" t="e">
        <f>AND(Sheet1!L3020,"AAAAAHb3Xh0=")</f>
        <v>#VALUE!</v>
      </c>
      <c r="AE225" t="e">
        <f>AND(Sheet1!M3020,"AAAAAHb3Xh4=")</f>
        <v>#VALUE!</v>
      </c>
      <c r="AF225" t="e">
        <f>AND(Sheet1!N3020,"AAAAAHb3Xh8=")</f>
        <v>#VALUE!</v>
      </c>
      <c r="AG225" t="e">
        <f>AND(Sheet1!#REF!,"AAAAAHb3XiA=")</f>
        <v>#REF!</v>
      </c>
      <c r="AH225" t="e">
        <f>AND(Sheet1!#REF!,"AAAAAHb3XiE=")</f>
        <v>#REF!</v>
      </c>
      <c r="AI225" t="e">
        <f>AND(Sheet1!#REF!,"AAAAAHb3XiI=")</f>
        <v>#REF!</v>
      </c>
      <c r="AJ225" t="e">
        <f>AND(Sheet1!#REF!,"AAAAAHb3XiM=")</f>
        <v>#REF!</v>
      </c>
      <c r="AK225">
        <f>IF(Sheet1!3021:3021,"AAAAAHb3XiQ=",0)</f>
        <v>0</v>
      </c>
      <c r="AL225" t="e">
        <f>AND(Sheet1!A3021,"AAAAAHb3XiU=")</f>
        <v>#VALUE!</v>
      </c>
      <c r="AM225" t="e">
        <f>AND(Sheet1!B3021,"AAAAAHb3XiY=")</f>
        <v>#VALUE!</v>
      </c>
      <c r="AN225" t="e">
        <f>AND(Sheet1!C3021,"AAAAAHb3Xic=")</f>
        <v>#VALUE!</v>
      </c>
      <c r="AO225" t="e">
        <f>AND(Sheet1!D3021,"AAAAAHb3Xig=")</f>
        <v>#VALUE!</v>
      </c>
      <c r="AP225" t="e">
        <f>AND(Sheet1!E3021,"AAAAAHb3Xik=")</f>
        <v>#VALUE!</v>
      </c>
      <c r="AQ225" t="e">
        <f>AND(Sheet1!F3021,"AAAAAHb3Xio=")</f>
        <v>#VALUE!</v>
      </c>
      <c r="AR225" t="e">
        <f>AND(Sheet1!G3021,"AAAAAHb3Xis=")</f>
        <v>#VALUE!</v>
      </c>
      <c r="AS225" t="e">
        <f>AND(Sheet1!H3021,"AAAAAHb3Xiw=")</f>
        <v>#VALUE!</v>
      </c>
      <c r="AT225" t="e">
        <f>AND(Sheet1!I3021,"AAAAAHb3Xi0=")</f>
        <v>#VALUE!</v>
      </c>
      <c r="AU225" t="e">
        <f>AND(Sheet1!J3021,"AAAAAHb3Xi4=")</f>
        <v>#VALUE!</v>
      </c>
      <c r="AV225" t="e">
        <f>AND(Sheet1!K3021,"AAAAAHb3Xi8=")</f>
        <v>#VALUE!</v>
      </c>
      <c r="AW225" t="e">
        <f>AND(Sheet1!L3021,"AAAAAHb3XjA=")</f>
        <v>#VALUE!</v>
      </c>
      <c r="AX225" t="e">
        <f>AND(Sheet1!M3021,"AAAAAHb3XjE=")</f>
        <v>#VALUE!</v>
      </c>
      <c r="AY225" t="e">
        <f>AND(Sheet1!N3021,"AAAAAHb3XjI=")</f>
        <v>#VALUE!</v>
      </c>
      <c r="AZ225" t="e">
        <f>AND(Sheet1!#REF!,"AAAAAHb3XjM=")</f>
        <v>#REF!</v>
      </c>
      <c r="BA225" t="e">
        <f>AND(Sheet1!#REF!,"AAAAAHb3XjQ=")</f>
        <v>#REF!</v>
      </c>
      <c r="BB225" t="e">
        <f>AND(Sheet1!#REF!,"AAAAAHb3XjU=")</f>
        <v>#REF!</v>
      </c>
      <c r="BC225" t="e">
        <f>AND(Sheet1!#REF!,"AAAAAHb3XjY=")</f>
        <v>#REF!</v>
      </c>
      <c r="BD225">
        <f>IF(Sheet1!3022:3022,"AAAAAHb3Xjc=",0)</f>
        <v>0</v>
      </c>
      <c r="BE225" t="e">
        <f>AND(Sheet1!A3022,"AAAAAHb3Xjg=")</f>
        <v>#VALUE!</v>
      </c>
      <c r="BF225" t="e">
        <f>AND(Sheet1!B3022,"AAAAAHb3Xjk=")</f>
        <v>#VALUE!</v>
      </c>
      <c r="BG225" t="e">
        <f>AND(Sheet1!C3022,"AAAAAHb3Xjo=")</f>
        <v>#VALUE!</v>
      </c>
      <c r="BH225" t="e">
        <f>AND(Sheet1!D3022,"AAAAAHb3Xjs=")</f>
        <v>#VALUE!</v>
      </c>
      <c r="BI225" t="e">
        <f>AND(Sheet1!E3022,"AAAAAHb3Xjw=")</f>
        <v>#VALUE!</v>
      </c>
      <c r="BJ225" t="e">
        <f>AND(Sheet1!F3022,"AAAAAHb3Xj0=")</f>
        <v>#VALUE!</v>
      </c>
      <c r="BK225" t="e">
        <f>AND(Sheet1!G3022,"AAAAAHb3Xj4=")</f>
        <v>#VALUE!</v>
      </c>
      <c r="BL225" t="e">
        <f>AND(Sheet1!H3022,"AAAAAHb3Xj8=")</f>
        <v>#VALUE!</v>
      </c>
      <c r="BM225" t="e">
        <f>AND(Sheet1!I3022,"AAAAAHb3XkA=")</f>
        <v>#VALUE!</v>
      </c>
      <c r="BN225" t="e">
        <f>AND(Sheet1!J3022,"AAAAAHb3XkE=")</f>
        <v>#VALUE!</v>
      </c>
      <c r="BO225" t="e">
        <f>AND(Sheet1!K3022,"AAAAAHb3XkI=")</f>
        <v>#VALUE!</v>
      </c>
      <c r="BP225" t="e">
        <f>AND(Sheet1!L3022,"AAAAAHb3XkM=")</f>
        <v>#VALUE!</v>
      </c>
      <c r="BQ225" t="e">
        <f>AND(Sheet1!M3022,"AAAAAHb3XkQ=")</f>
        <v>#VALUE!</v>
      </c>
      <c r="BR225" t="e">
        <f>AND(Sheet1!N3022,"AAAAAHb3XkU=")</f>
        <v>#VALUE!</v>
      </c>
      <c r="BS225" t="e">
        <f>AND(Sheet1!#REF!,"AAAAAHb3XkY=")</f>
        <v>#REF!</v>
      </c>
      <c r="BT225" t="e">
        <f>AND(Sheet1!#REF!,"AAAAAHb3Xkc=")</f>
        <v>#REF!</v>
      </c>
      <c r="BU225" t="e">
        <f>AND(Sheet1!#REF!,"AAAAAHb3Xkg=")</f>
        <v>#REF!</v>
      </c>
      <c r="BV225" t="e">
        <f>AND(Sheet1!#REF!,"AAAAAHb3Xkk=")</f>
        <v>#REF!</v>
      </c>
      <c r="BW225">
        <f>IF(Sheet1!3023:3023,"AAAAAHb3Xko=",0)</f>
        <v>0</v>
      </c>
      <c r="BX225" t="e">
        <f>AND(Sheet1!A3023,"AAAAAHb3Xks=")</f>
        <v>#VALUE!</v>
      </c>
      <c r="BY225" t="e">
        <f>AND(Sheet1!B3023,"AAAAAHb3Xkw=")</f>
        <v>#VALUE!</v>
      </c>
      <c r="BZ225" t="e">
        <f>AND(Sheet1!C3023,"AAAAAHb3Xk0=")</f>
        <v>#VALUE!</v>
      </c>
      <c r="CA225" t="e">
        <f>AND(Sheet1!D3023,"AAAAAHb3Xk4=")</f>
        <v>#VALUE!</v>
      </c>
      <c r="CB225" t="e">
        <f>AND(Sheet1!E3023,"AAAAAHb3Xk8=")</f>
        <v>#VALUE!</v>
      </c>
      <c r="CC225" t="e">
        <f>AND(Sheet1!F3023,"AAAAAHb3XlA=")</f>
        <v>#VALUE!</v>
      </c>
      <c r="CD225" t="e">
        <f>AND(Sheet1!G3023,"AAAAAHb3XlE=")</f>
        <v>#VALUE!</v>
      </c>
      <c r="CE225" t="e">
        <f>AND(Sheet1!H3023,"AAAAAHb3XlI=")</f>
        <v>#VALUE!</v>
      </c>
      <c r="CF225" t="e">
        <f>AND(Sheet1!I3023,"AAAAAHb3XlM=")</f>
        <v>#VALUE!</v>
      </c>
      <c r="CG225" t="e">
        <f>AND(Sheet1!J3023,"AAAAAHb3XlQ=")</f>
        <v>#VALUE!</v>
      </c>
      <c r="CH225" t="e">
        <f>AND(Sheet1!K3023,"AAAAAHb3XlU=")</f>
        <v>#VALUE!</v>
      </c>
      <c r="CI225" t="e">
        <f>AND(Sheet1!L3023,"AAAAAHb3XlY=")</f>
        <v>#VALUE!</v>
      </c>
      <c r="CJ225" t="e">
        <f>AND(Sheet1!M3023,"AAAAAHb3Xlc=")</f>
        <v>#VALUE!</v>
      </c>
      <c r="CK225" t="e">
        <f>AND(Sheet1!N3023,"AAAAAHb3Xlg=")</f>
        <v>#VALUE!</v>
      </c>
      <c r="CL225" t="e">
        <f>AND(Sheet1!#REF!,"AAAAAHb3Xlk=")</f>
        <v>#REF!</v>
      </c>
      <c r="CM225" t="e">
        <f>AND(Sheet1!#REF!,"AAAAAHb3Xlo=")</f>
        <v>#REF!</v>
      </c>
      <c r="CN225" t="e">
        <f>AND(Sheet1!#REF!,"AAAAAHb3Xls=")</f>
        <v>#REF!</v>
      </c>
      <c r="CO225" t="e">
        <f>AND(Sheet1!#REF!,"AAAAAHb3Xlw=")</f>
        <v>#REF!</v>
      </c>
      <c r="CP225">
        <f>IF(Sheet1!3024:3024,"AAAAAHb3Xl0=",0)</f>
        <v>0</v>
      </c>
      <c r="CQ225" t="e">
        <f>AND(Sheet1!A3024,"AAAAAHb3Xl4=")</f>
        <v>#VALUE!</v>
      </c>
      <c r="CR225" t="e">
        <f>AND(Sheet1!B3024,"AAAAAHb3Xl8=")</f>
        <v>#VALUE!</v>
      </c>
      <c r="CS225" t="e">
        <f>AND(Sheet1!C3024,"AAAAAHb3XmA=")</f>
        <v>#VALUE!</v>
      </c>
      <c r="CT225" t="e">
        <f>AND(Sheet1!D3024,"AAAAAHb3XmE=")</f>
        <v>#VALUE!</v>
      </c>
      <c r="CU225" t="e">
        <f>AND(Sheet1!E3024,"AAAAAHb3XmI=")</f>
        <v>#VALUE!</v>
      </c>
      <c r="CV225" t="e">
        <f>AND(Sheet1!F3024,"AAAAAHb3XmM=")</f>
        <v>#VALUE!</v>
      </c>
      <c r="CW225" t="e">
        <f>AND(Sheet1!G3024,"AAAAAHb3XmQ=")</f>
        <v>#VALUE!</v>
      </c>
      <c r="CX225" t="e">
        <f>AND(Sheet1!H3024,"AAAAAHb3XmU=")</f>
        <v>#VALUE!</v>
      </c>
      <c r="CY225" t="e">
        <f>AND(Sheet1!I3024,"AAAAAHb3XmY=")</f>
        <v>#VALUE!</v>
      </c>
      <c r="CZ225" t="e">
        <f>AND(Sheet1!J3024,"AAAAAHb3Xmc=")</f>
        <v>#VALUE!</v>
      </c>
      <c r="DA225" t="e">
        <f>AND(Sheet1!K3024,"AAAAAHb3Xmg=")</f>
        <v>#VALUE!</v>
      </c>
      <c r="DB225" t="e">
        <f>AND(Sheet1!L3024,"AAAAAHb3Xmk=")</f>
        <v>#VALUE!</v>
      </c>
      <c r="DC225" t="e">
        <f>AND(Sheet1!M3024,"AAAAAHb3Xmo=")</f>
        <v>#VALUE!</v>
      </c>
      <c r="DD225" t="e">
        <f>AND(Sheet1!N3024,"AAAAAHb3Xms=")</f>
        <v>#VALUE!</v>
      </c>
      <c r="DE225" t="e">
        <f>AND(Sheet1!#REF!,"AAAAAHb3Xmw=")</f>
        <v>#REF!</v>
      </c>
      <c r="DF225" t="e">
        <f>AND(Sheet1!#REF!,"AAAAAHb3Xm0=")</f>
        <v>#REF!</v>
      </c>
      <c r="DG225" t="e">
        <f>AND(Sheet1!#REF!,"AAAAAHb3Xm4=")</f>
        <v>#REF!</v>
      </c>
      <c r="DH225" t="e">
        <f>AND(Sheet1!#REF!,"AAAAAHb3Xm8=")</f>
        <v>#REF!</v>
      </c>
      <c r="DI225">
        <f>IF(Sheet1!3025:3025,"AAAAAHb3XnA=",0)</f>
        <v>0</v>
      </c>
      <c r="DJ225" t="e">
        <f>AND(Sheet1!A3025,"AAAAAHb3XnE=")</f>
        <v>#VALUE!</v>
      </c>
      <c r="DK225" t="e">
        <f>AND(Sheet1!B3025,"AAAAAHb3XnI=")</f>
        <v>#VALUE!</v>
      </c>
      <c r="DL225" t="e">
        <f>AND(Sheet1!C3025,"AAAAAHb3XnM=")</f>
        <v>#VALUE!</v>
      </c>
      <c r="DM225" t="e">
        <f>AND(Sheet1!D3025,"AAAAAHb3XnQ=")</f>
        <v>#VALUE!</v>
      </c>
      <c r="DN225" t="e">
        <f>AND(Sheet1!E3025,"AAAAAHb3XnU=")</f>
        <v>#VALUE!</v>
      </c>
      <c r="DO225" t="e">
        <f>AND(Sheet1!F3025,"AAAAAHb3XnY=")</f>
        <v>#VALUE!</v>
      </c>
      <c r="DP225" t="e">
        <f>AND(Sheet1!G3025,"AAAAAHb3Xnc=")</f>
        <v>#VALUE!</v>
      </c>
      <c r="DQ225" t="e">
        <f>AND(Sheet1!H3025,"AAAAAHb3Xng=")</f>
        <v>#VALUE!</v>
      </c>
      <c r="DR225" t="e">
        <f>AND(Sheet1!I3025,"AAAAAHb3Xnk=")</f>
        <v>#VALUE!</v>
      </c>
      <c r="DS225" t="e">
        <f>AND(Sheet1!J3025,"AAAAAHb3Xno=")</f>
        <v>#VALUE!</v>
      </c>
      <c r="DT225" t="e">
        <f>AND(Sheet1!K3025,"AAAAAHb3Xns=")</f>
        <v>#VALUE!</v>
      </c>
      <c r="DU225" t="e">
        <f>AND(Sheet1!L3025,"AAAAAHb3Xnw=")</f>
        <v>#VALUE!</v>
      </c>
      <c r="DV225" t="e">
        <f>AND(Sheet1!M3025,"AAAAAHb3Xn0=")</f>
        <v>#VALUE!</v>
      </c>
      <c r="DW225" t="e">
        <f>AND(Sheet1!N3025,"AAAAAHb3Xn4=")</f>
        <v>#VALUE!</v>
      </c>
      <c r="DX225" t="e">
        <f>AND(Sheet1!#REF!,"AAAAAHb3Xn8=")</f>
        <v>#REF!</v>
      </c>
      <c r="DY225" t="e">
        <f>AND(Sheet1!#REF!,"AAAAAHb3XoA=")</f>
        <v>#REF!</v>
      </c>
      <c r="DZ225" t="e">
        <f>AND(Sheet1!#REF!,"AAAAAHb3XoE=")</f>
        <v>#REF!</v>
      </c>
      <c r="EA225" t="e">
        <f>AND(Sheet1!#REF!,"AAAAAHb3XoI=")</f>
        <v>#REF!</v>
      </c>
      <c r="EB225">
        <f>IF(Sheet1!3026:3026,"AAAAAHb3XoM=",0)</f>
        <v>0</v>
      </c>
      <c r="EC225" t="e">
        <f>AND(Sheet1!A3026,"AAAAAHb3XoQ=")</f>
        <v>#VALUE!</v>
      </c>
      <c r="ED225" t="e">
        <f>AND(Sheet1!B3026,"AAAAAHb3XoU=")</f>
        <v>#VALUE!</v>
      </c>
      <c r="EE225" t="e">
        <f>AND(Sheet1!C3026,"AAAAAHb3XoY=")</f>
        <v>#VALUE!</v>
      </c>
      <c r="EF225" t="e">
        <f>AND(Sheet1!D3026,"AAAAAHb3Xoc=")</f>
        <v>#VALUE!</v>
      </c>
      <c r="EG225" t="e">
        <f>AND(Sheet1!E3026,"AAAAAHb3Xog=")</f>
        <v>#VALUE!</v>
      </c>
      <c r="EH225" t="e">
        <f>AND(Sheet1!F3026,"AAAAAHb3Xok=")</f>
        <v>#VALUE!</v>
      </c>
      <c r="EI225" t="e">
        <f>AND(Sheet1!G3026,"AAAAAHb3Xoo=")</f>
        <v>#VALUE!</v>
      </c>
      <c r="EJ225" t="e">
        <f>AND(Sheet1!H3026,"AAAAAHb3Xos=")</f>
        <v>#VALUE!</v>
      </c>
      <c r="EK225" t="e">
        <f>AND(Sheet1!I3026,"AAAAAHb3Xow=")</f>
        <v>#VALUE!</v>
      </c>
      <c r="EL225" t="e">
        <f>AND(Sheet1!J3026,"AAAAAHb3Xo0=")</f>
        <v>#VALUE!</v>
      </c>
      <c r="EM225" t="e">
        <f>AND(Sheet1!K3026,"AAAAAHb3Xo4=")</f>
        <v>#VALUE!</v>
      </c>
      <c r="EN225" t="e">
        <f>AND(Sheet1!L3026,"AAAAAHb3Xo8=")</f>
        <v>#VALUE!</v>
      </c>
      <c r="EO225" t="e">
        <f>AND(Sheet1!M3026,"AAAAAHb3XpA=")</f>
        <v>#VALUE!</v>
      </c>
      <c r="EP225" t="e">
        <f>AND(Sheet1!N3026,"AAAAAHb3XpE=")</f>
        <v>#VALUE!</v>
      </c>
      <c r="EQ225" t="e">
        <f>AND(Sheet1!#REF!,"AAAAAHb3XpI=")</f>
        <v>#REF!</v>
      </c>
      <c r="ER225" t="e">
        <f>AND(Sheet1!#REF!,"AAAAAHb3XpM=")</f>
        <v>#REF!</v>
      </c>
      <c r="ES225" t="e">
        <f>AND(Sheet1!#REF!,"AAAAAHb3XpQ=")</f>
        <v>#REF!</v>
      </c>
      <c r="ET225" t="e">
        <f>AND(Sheet1!#REF!,"AAAAAHb3XpU=")</f>
        <v>#REF!</v>
      </c>
      <c r="EU225">
        <f>IF(Sheet1!3027:3027,"AAAAAHb3XpY=",0)</f>
        <v>0</v>
      </c>
      <c r="EV225" t="e">
        <f>AND(Sheet1!A3027,"AAAAAHb3Xpc=")</f>
        <v>#VALUE!</v>
      </c>
      <c r="EW225" t="e">
        <f>AND(Sheet1!B3027,"AAAAAHb3Xpg=")</f>
        <v>#VALUE!</v>
      </c>
      <c r="EX225" t="e">
        <f>AND(Sheet1!C3027,"AAAAAHb3Xpk=")</f>
        <v>#VALUE!</v>
      </c>
      <c r="EY225" t="e">
        <f>AND(Sheet1!D3027,"AAAAAHb3Xpo=")</f>
        <v>#VALUE!</v>
      </c>
      <c r="EZ225" t="e">
        <f>AND(Sheet1!E3027,"AAAAAHb3Xps=")</f>
        <v>#VALUE!</v>
      </c>
      <c r="FA225" t="e">
        <f>AND(Sheet1!F3027,"AAAAAHb3Xpw=")</f>
        <v>#VALUE!</v>
      </c>
      <c r="FB225" t="e">
        <f>AND(Sheet1!G3027,"AAAAAHb3Xp0=")</f>
        <v>#VALUE!</v>
      </c>
      <c r="FC225" t="e">
        <f>AND(Sheet1!H3027,"AAAAAHb3Xp4=")</f>
        <v>#VALUE!</v>
      </c>
      <c r="FD225" t="e">
        <f>AND(Sheet1!I3027,"AAAAAHb3Xp8=")</f>
        <v>#VALUE!</v>
      </c>
      <c r="FE225" t="e">
        <f>AND(Sheet1!J3027,"AAAAAHb3XqA=")</f>
        <v>#VALUE!</v>
      </c>
      <c r="FF225" t="e">
        <f>AND(Sheet1!K3027,"AAAAAHb3XqE=")</f>
        <v>#VALUE!</v>
      </c>
      <c r="FG225" t="e">
        <f>AND(Sheet1!L3027,"AAAAAHb3XqI=")</f>
        <v>#VALUE!</v>
      </c>
      <c r="FH225" t="e">
        <f>AND(Sheet1!M3027,"AAAAAHb3XqM=")</f>
        <v>#VALUE!</v>
      </c>
      <c r="FI225" t="e">
        <f>AND(Sheet1!N3027,"AAAAAHb3XqQ=")</f>
        <v>#VALUE!</v>
      </c>
      <c r="FJ225" t="e">
        <f>AND(Sheet1!#REF!,"AAAAAHb3XqU=")</f>
        <v>#REF!</v>
      </c>
      <c r="FK225" t="e">
        <f>AND(Sheet1!#REF!,"AAAAAHb3XqY=")</f>
        <v>#REF!</v>
      </c>
      <c r="FL225" t="e">
        <f>AND(Sheet1!#REF!,"AAAAAHb3Xqc=")</f>
        <v>#REF!</v>
      </c>
      <c r="FM225" t="e">
        <f>AND(Sheet1!#REF!,"AAAAAHb3Xqg=")</f>
        <v>#REF!</v>
      </c>
      <c r="FN225">
        <f>IF(Sheet1!3028:3028,"AAAAAHb3Xqk=",0)</f>
        <v>0</v>
      </c>
      <c r="FO225" t="e">
        <f>AND(Sheet1!A3028,"AAAAAHb3Xqo=")</f>
        <v>#VALUE!</v>
      </c>
      <c r="FP225" t="e">
        <f>AND(Sheet1!B3028,"AAAAAHb3Xqs=")</f>
        <v>#VALUE!</v>
      </c>
      <c r="FQ225" t="e">
        <f>AND(Sheet1!C3028,"AAAAAHb3Xqw=")</f>
        <v>#VALUE!</v>
      </c>
      <c r="FR225" t="e">
        <f>AND(Sheet1!D3028,"AAAAAHb3Xq0=")</f>
        <v>#VALUE!</v>
      </c>
      <c r="FS225" t="e">
        <f>AND(Sheet1!E3028,"AAAAAHb3Xq4=")</f>
        <v>#VALUE!</v>
      </c>
      <c r="FT225" t="e">
        <f>AND(Sheet1!F3028,"AAAAAHb3Xq8=")</f>
        <v>#VALUE!</v>
      </c>
      <c r="FU225" t="e">
        <f>AND(Sheet1!G3028,"AAAAAHb3XrA=")</f>
        <v>#VALUE!</v>
      </c>
      <c r="FV225" t="e">
        <f>AND(Sheet1!H3028,"AAAAAHb3XrE=")</f>
        <v>#VALUE!</v>
      </c>
      <c r="FW225" t="e">
        <f>AND(Sheet1!I3028,"AAAAAHb3XrI=")</f>
        <v>#VALUE!</v>
      </c>
      <c r="FX225" t="e">
        <f>AND(Sheet1!J3028,"AAAAAHb3XrM=")</f>
        <v>#VALUE!</v>
      </c>
      <c r="FY225" t="e">
        <f>AND(Sheet1!K3028,"AAAAAHb3XrQ=")</f>
        <v>#VALUE!</v>
      </c>
      <c r="FZ225" t="e">
        <f>AND(Sheet1!L3028,"AAAAAHb3XrU=")</f>
        <v>#VALUE!</v>
      </c>
      <c r="GA225" t="e">
        <f>AND(Sheet1!M3028,"AAAAAHb3XrY=")</f>
        <v>#VALUE!</v>
      </c>
      <c r="GB225" t="e">
        <f>AND(Sheet1!N3028,"AAAAAHb3Xrc=")</f>
        <v>#VALUE!</v>
      </c>
      <c r="GC225" t="e">
        <f>AND(Sheet1!#REF!,"AAAAAHb3Xrg=")</f>
        <v>#REF!</v>
      </c>
      <c r="GD225" t="e">
        <f>AND(Sheet1!#REF!,"AAAAAHb3Xrk=")</f>
        <v>#REF!</v>
      </c>
      <c r="GE225" t="e">
        <f>AND(Sheet1!#REF!,"AAAAAHb3Xro=")</f>
        <v>#REF!</v>
      </c>
      <c r="GF225" t="e">
        <f>AND(Sheet1!#REF!,"AAAAAHb3Xrs=")</f>
        <v>#REF!</v>
      </c>
      <c r="GG225">
        <f>IF(Sheet1!3029:3029,"AAAAAHb3Xrw=",0)</f>
        <v>0</v>
      </c>
      <c r="GH225" t="e">
        <f>AND(Sheet1!A3029,"AAAAAHb3Xr0=")</f>
        <v>#VALUE!</v>
      </c>
      <c r="GI225" t="e">
        <f>AND(Sheet1!B3029,"AAAAAHb3Xr4=")</f>
        <v>#VALUE!</v>
      </c>
      <c r="GJ225" t="e">
        <f>AND(Sheet1!C3029,"AAAAAHb3Xr8=")</f>
        <v>#VALUE!</v>
      </c>
      <c r="GK225" t="e">
        <f>AND(Sheet1!D3029,"AAAAAHb3XsA=")</f>
        <v>#VALUE!</v>
      </c>
      <c r="GL225" t="e">
        <f>AND(Sheet1!E3029,"AAAAAHb3XsE=")</f>
        <v>#VALUE!</v>
      </c>
      <c r="GM225" t="e">
        <f>AND(Sheet1!F3029,"AAAAAHb3XsI=")</f>
        <v>#VALUE!</v>
      </c>
      <c r="GN225" t="e">
        <f>AND(Sheet1!G3029,"AAAAAHb3XsM=")</f>
        <v>#VALUE!</v>
      </c>
      <c r="GO225" t="e">
        <f>AND(Sheet1!H3029,"AAAAAHb3XsQ=")</f>
        <v>#VALUE!</v>
      </c>
      <c r="GP225" t="e">
        <f>AND(Sheet1!I3029,"AAAAAHb3XsU=")</f>
        <v>#VALUE!</v>
      </c>
      <c r="GQ225" t="e">
        <f>AND(Sheet1!J3029,"AAAAAHb3XsY=")</f>
        <v>#VALUE!</v>
      </c>
      <c r="GR225" t="e">
        <f>AND(Sheet1!K3029,"AAAAAHb3Xsc=")</f>
        <v>#VALUE!</v>
      </c>
      <c r="GS225" t="e">
        <f>AND(Sheet1!L3029,"AAAAAHb3Xsg=")</f>
        <v>#VALUE!</v>
      </c>
      <c r="GT225" t="e">
        <f>AND(Sheet1!M3029,"AAAAAHb3Xsk=")</f>
        <v>#VALUE!</v>
      </c>
      <c r="GU225" t="e">
        <f>AND(Sheet1!N3029,"AAAAAHb3Xso=")</f>
        <v>#VALUE!</v>
      </c>
      <c r="GV225" t="e">
        <f>AND(Sheet1!#REF!,"AAAAAHb3Xss=")</f>
        <v>#REF!</v>
      </c>
      <c r="GW225" t="e">
        <f>AND(Sheet1!#REF!,"AAAAAHb3Xsw=")</f>
        <v>#REF!</v>
      </c>
      <c r="GX225" t="e">
        <f>AND(Sheet1!#REF!,"AAAAAHb3Xs0=")</f>
        <v>#REF!</v>
      </c>
      <c r="GY225" t="e">
        <f>AND(Sheet1!#REF!,"AAAAAHb3Xs4=")</f>
        <v>#REF!</v>
      </c>
      <c r="GZ225">
        <f>IF(Sheet1!3030:3030,"AAAAAHb3Xs8=",0)</f>
        <v>0</v>
      </c>
      <c r="HA225" t="e">
        <f>AND(Sheet1!A3030,"AAAAAHb3XtA=")</f>
        <v>#VALUE!</v>
      </c>
      <c r="HB225" t="e">
        <f>AND(Sheet1!B3030,"AAAAAHb3XtE=")</f>
        <v>#VALUE!</v>
      </c>
      <c r="HC225" t="e">
        <f>AND(Sheet1!C3030,"AAAAAHb3XtI=")</f>
        <v>#VALUE!</v>
      </c>
      <c r="HD225" t="e">
        <f>AND(Sheet1!D3030,"AAAAAHb3XtM=")</f>
        <v>#VALUE!</v>
      </c>
      <c r="HE225" t="e">
        <f>AND(Sheet1!E3030,"AAAAAHb3XtQ=")</f>
        <v>#VALUE!</v>
      </c>
      <c r="HF225" t="e">
        <f>AND(Sheet1!F3030,"AAAAAHb3XtU=")</f>
        <v>#VALUE!</v>
      </c>
      <c r="HG225" t="e">
        <f>AND(Sheet1!G3030,"AAAAAHb3XtY=")</f>
        <v>#VALUE!</v>
      </c>
      <c r="HH225" t="e">
        <f>AND(Sheet1!H3030,"AAAAAHb3Xtc=")</f>
        <v>#VALUE!</v>
      </c>
      <c r="HI225" t="e">
        <f>AND(Sheet1!I3030,"AAAAAHb3Xtg=")</f>
        <v>#VALUE!</v>
      </c>
      <c r="HJ225" t="e">
        <f>AND(Sheet1!J3030,"AAAAAHb3Xtk=")</f>
        <v>#VALUE!</v>
      </c>
      <c r="HK225" t="e">
        <f>AND(Sheet1!K3030,"AAAAAHb3Xto=")</f>
        <v>#VALUE!</v>
      </c>
      <c r="HL225" t="e">
        <f>AND(Sheet1!L3030,"AAAAAHb3Xts=")</f>
        <v>#VALUE!</v>
      </c>
      <c r="HM225" t="e">
        <f>AND(Sheet1!M3030,"AAAAAHb3Xtw=")</f>
        <v>#VALUE!</v>
      </c>
      <c r="HN225" t="e">
        <f>AND(Sheet1!N3030,"AAAAAHb3Xt0=")</f>
        <v>#VALUE!</v>
      </c>
      <c r="HO225" t="e">
        <f>AND(Sheet1!#REF!,"AAAAAHb3Xt4=")</f>
        <v>#REF!</v>
      </c>
      <c r="HP225" t="e">
        <f>AND(Sheet1!#REF!,"AAAAAHb3Xt8=")</f>
        <v>#REF!</v>
      </c>
      <c r="HQ225" t="e">
        <f>AND(Sheet1!#REF!,"AAAAAHb3XuA=")</f>
        <v>#REF!</v>
      </c>
      <c r="HR225" t="e">
        <f>AND(Sheet1!#REF!,"AAAAAHb3XuE=")</f>
        <v>#REF!</v>
      </c>
      <c r="HS225">
        <f>IF(Sheet1!3031:3031,"AAAAAHb3XuI=",0)</f>
        <v>0</v>
      </c>
      <c r="HT225" t="e">
        <f>AND(Sheet1!A3031,"AAAAAHb3XuM=")</f>
        <v>#VALUE!</v>
      </c>
      <c r="HU225" t="e">
        <f>AND(Sheet1!B3031,"AAAAAHb3XuQ=")</f>
        <v>#VALUE!</v>
      </c>
      <c r="HV225" t="e">
        <f>AND(Sheet1!C3031,"AAAAAHb3XuU=")</f>
        <v>#VALUE!</v>
      </c>
      <c r="HW225" t="e">
        <f>AND(Sheet1!D3031,"AAAAAHb3XuY=")</f>
        <v>#VALUE!</v>
      </c>
      <c r="HX225" t="e">
        <f>AND(Sheet1!E3031,"AAAAAHb3Xuc=")</f>
        <v>#VALUE!</v>
      </c>
      <c r="HY225" t="e">
        <f>AND(Sheet1!F3031,"AAAAAHb3Xug=")</f>
        <v>#VALUE!</v>
      </c>
      <c r="HZ225" t="e">
        <f>AND(Sheet1!G3031,"AAAAAHb3Xuk=")</f>
        <v>#VALUE!</v>
      </c>
      <c r="IA225" t="e">
        <f>AND(Sheet1!H3031,"AAAAAHb3Xuo=")</f>
        <v>#VALUE!</v>
      </c>
      <c r="IB225" t="e">
        <f>AND(Sheet1!I3031,"AAAAAHb3Xus=")</f>
        <v>#VALUE!</v>
      </c>
      <c r="IC225" t="e">
        <f>AND(Sheet1!J3031,"AAAAAHb3Xuw=")</f>
        <v>#VALUE!</v>
      </c>
      <c r="ID225" t="e">
        <f>AND(Sheet1!K3031,"AAAAAHb3Xu0=")</f>
        <v>#VALUE!</v>
      </c>
      <c r="IE225" t="e">
        <f>AND(Sheet1!L3031,"AAAAAHb3Xu4=")</f>
        <v>#VALUE!</v>
      </c>
      <c r="IF225" t="e">
        <f>AND(Sheet1!M3031,"AAAAAHb3Xu8=")</f>
        <v>#VALUE!</v>
      </c>
      <c r="IG225" t="e">
        <f>AND(Sheet1!N3031,"AAAAAHb3XvA=")</f>
        <v>#VALUE!</v>
      </c>
      <c r="IH225" t="e">
        <f>AND(Sheet1!#REF!,"AAAAAHb3XvE=")</f>
        <v>#REF!</v>
      </c>
      <c r="II225" t="e">
        <f>AND(Sheet1!#REF!,"AAAAAHb3XvI=")</f>
        <v>#REF!</v>
      </c>
      <c r="IJ225" t="e">
        <f>AND(Sheet1!#REF!,"AAAAAHb3XvM=")</f>
        <v>#REF!</v>
      </c>
      <c r="IK225" t="e">
        <f>AND(Sheet1!#REF!,"AAAAAHb3XvQ=")</f>
        <v>#REF!</v>
      </c>
      <c r="IL225">
        <f>IF(Sheet1!3032:3032,"AAAAAHb3XvU=",0)</f>
        <v>0</v>
      </c>
      <c r="IM225" t="e">
        <f>AND(Sheet1!A3032,"AAAAAHb3XvY=")</f>
        <v>#VALUE!</v>
      </c>
      <c r="IN225" t="e">
        <f>AND(Sheet1!B3032,"AAAAAHb3Xvc=")</f>
        <v>#VALUE!</v>
      </c>
      <c r="IO225" t="e">
        <f>AND(Sheet1!C3032,"AAAAAHb3Xvg=")</f>
        <v>#VALUE!</v>
      </c>
      <c r="IP225" t="e">
        <f>AND(Sheet1!D3032,"AAAAAHb3Xvk=")</f>
        <v>#VALUE!</v>
      </c>
      <c r="IQ225" t="e">
        <f>AND(Sheet1!E3032,"AAAAAHb3Xvo=")</f>
        <v>#VALUE!</v>
      </c>
      <c r="IR225" t="e">
        <f>AND(Sheet1!F3032,"AAAAAHb3Xvs=")</f>
        <v>#VALUE!</v>
      </c>
      <c r="IS225" t="e">
        <f>AND(Sheet1!G3032,"AAAAAHb3Xvw=")</f>
        <v>#VALUE!</v>
      </c>
      <c r="IT225" t="e">
        <f>AND(Sheet1!H3032,"AAAAAHb3Xv0=")</f>
        <v>#VALUE!</v>
      </c>
      <c r="IU225" t="e">
        <f>AND(Sheet1!I3032,"AAAAAHb3Xv4=")</f>
        <v>#VALUE!</v>
      </c>
      <c r="IV225" t="e">
        <f>AND(Sheet1!J3032,"AAAAAHb3Xv8=")</f>
        <v>#VALUE!</v>
      </c>
    </row>
    <row r="226" spans="1:256" x14ac:dyDescent="0.2">
      <c r="A226" t="e">
        <f>AND(Sheet1!K3032,"AAAAAD///wA=")</f>
        <v>#VALUE!</v>
      </c>
      <c r="B226" t="e">
        <f>AND(Sheet1!L3032,"AAAAAD///wE=")</f>
        <v>#VALUE!</v>
      </c>
      <c r="C226" t="e">
        <f>AND(Sheet1!M3032,"AAAAAD///wI=")</f>
        <v>#VALUE!</v>
      </c>
      <c r="D226" t="e">
        <f>AND(Sheet1!N3032,"AAAAAD///wM=")</f>
        <v>#VALUE!</v>
      </c>
      <c r="E226" t="e">
        <f>AND(Sheet1!#REF!,"AAAAAD///wQ=")</f>
        <v>#REF!</v>
      </c>
      <c r="F226" t="e">
        <f>AND(Sheet1!#REF!,"AAAAAD///wU=")</f>
        <v>#REF!</v>
      </c>
      <c r="G226" t="e">
        <f>AND(Sheet1!#REF!,"AAAAAD///wY=")</f>
        <v>#REF!</v>
      </c>
      <c r="H226" t="e">
        <f>AND(Sheet1!#REF!,"AAAAAD///wc=")</f>
        <v>#REF!</v>
      </c>
      <c r="I226">
        <f>IF(Sheet1!3033:3033,"AAAAAD///wg=",0)</f>
        <v>0</v>
      </c>
      <c r="J226" t="e">
        <f>AND(Sheet1!A3033,"AAAAAD///wk=")</f>
        <v>#VALUE!</v>
      </c>
      <c r="K226" t="e">
        <f>AND(Sheet1!B3033,"AAAAAD///wo=")</f>
        <v>#VALUE!</v>
      </c>
      <c r="L226" t="e">
        <f>AND(Sheet1!C3033,"AAAAAD///ws=")</f>
        <v>#VALUE!</v>
      </c>
      <c r="M226" t="e">
        <f>AND(Sheet1!D3033,"AAAAAD///ww=")</f>
        <v>#VALUE!</v>
      </c>
      <c r="N226" t="e">
        <f>AND(Sheet1!E3033,"AAAAAD///w0=")</f>
        <v>#VALUE!</v>
      </c>
      <c r="O226" t="e">
        <f>AND(Sheet1!F3033,"AAAAAD///w4=")</f>
        <v>#VALUE!</v>
      </c>
      <c r="P226" t="e">
        <f>AND(Sheet1!G3033,"AAAAAD///w8=")</f>
        <v>#VALUE!</v>
      </c>
      <c r="Q226" t="e">
        <f>AND(Sheet1!H3033,"AAAAAD///xA=")</f>
        <v>#VALUE!</v>
      </c>
      <c r="R226" t="e">
        <f>AND(Sheet1!I3033,"AAAAAD///xE=")</f>
        <v>#VALUE!</v>
      </c>
      <c r="S226" t="e">
        <f>AND(Sheet1!J3033,"AAAAAD///xI=")</f>
        <v>#VALUE!</v>
      </c>
      <c r="T226" t="e">
        <f>AND(Sheet1!K3033,"AAAAAD///xM=")</f>
        <v>#VALUE!</v>
      </c>
      <c r="U226" t="e">
        <f>AND(Sheet1!L3033,"AAAAAD///xQ=")</f>
        <v>#VALUE!</v>
      </c>
      <c r="V226" t="e">
        <f>AND(Sheet1!M3033,"AAAAAD///xU=")</f>
        <v>#VALUE!</v>
      </c>
      <c r="W226" t="e">
        <f>AND(Sheet1!N3033,"AAAAAD///xY=")</f>
        <v>#VALUE!</v>
      </c>
      <c r="X226" t="e">
        <f>AND(Sheet1!#REF!,"AAAAAD///xc=")</f>
        <v>#REF!</v>
      </c>
      <c r="Y226" t="e">
        <f>AND(Sheet1!#REF!,"AAAAAD///xg=")</f>
        <v>#REF!</v>
      </c>
      <c r="Z226" t="e">
        <f>AND(Sheet1!#REF!,"AAAAAD///xk=")</f>
        <v>#REF!</v>
      </c>
      <c r="AA226" t="e">
        <f>AND(Sheet1!#REF!,"AAAAAD///xo=")</f>
        <v>#REF!</v>
      </c>
      <c r="AB226">
        <f>IF(Sheet1!3034:3034,"AAAAAD///xs=",0)</f>
        <v>0</v>
      </c>
      <c r="AC226" t="e">
        <f>AND(Sheet1!A3034,"AAAAAD///xw=")</f>
        <v>#VALUE!</v>
      </c>
      <c r="AD226" t="e">
        <f>AND(Sheet1!B3034,"AAAAAD///x0=")</f>
        <v>#VALUE!</v>
      </c>
      <c r="AE226" t="e">
        <f>AND(Sheet1!C3034,"AAAAAD///x4=")</f>
        <v>#VALUE!</v>
      </c>
      <c r="AF226" t="e">
        <f>AND(Sheet1!D3034,"AAAAAD///x8=")</f>
        <v>#VALUE!</v>
      </c>
      <c r="AG226" t="e">
        <f>AND(Sheet1!E3034,"AAAAAD///yA=")</f>
        <v>#VALUE!</v>
      </c>
      <c r="AH226" t="e">
        <f>AND(Sheet1!F3034,"AAAAAD///yE=")</f>
        <v>#VALUE!</v>
      </c>
      <c r="AI226" t="e">
        <f>AND(Sheet1!G3034,"AAAAAD///yI=")</f>
        <v>#VALUE!</v>
      </c>
      <c r="AJ226" t="e">
        <f>AND(Sheet1!H3034,"AAAAAD///yM=")</f>
        <v>#VALUE!</v>
      </c>
      <c r="AK226" t="e">
        <f>AND(Sheet1!I3034,"AAAAAD///yQ=")</f>
        <v>#VALUE!</v>
      </c>
      <c r="AL226" t="e">
        <f>AND(Sheet1!J3034,"AAAAAD///yU=")</f>
        <v>#VALUE!</v>
      </c>
      <c r="AM226" t="e">
        <f>AND(Sheet1!K3034,"AAAAAD///yY=")</f>
        <v>#VALUE!</v>
      </c>
      <c r="AN226" t="e">
        <f>AND(Sheet1!L3034,"AAAAAD///yc=")</f>
        <v>#VALUE!</v>
      </c>
      <c r="AO226" t="e">
        <f>AND(Sheet1!M3034,"AAAAAD///yg=")</f>
        <v>#VALUE!</v>
      </c>
      <c r="AP226" t="e">
        <f>AND(Sheet1!N3034,"AAAAAD///yk=")</f>
        <v>#VALUE!</v>
      </c>
      <c r="AQ226" t="e">
        <f>AND(Sheet1!#REF!,"AAAAAD///yo=")</f>
        <v>#REF!</v>
      </c>
      <c r="AR226" t="e">
        <f>AND(Sheet1!#REF!,"AAAAAD///ys=")</f>
        <v>#REF!</v>
      </c>
      <c r="AS226" t="e">
        <f>AND(Sheet1!#REF!,"AAAAAD///yw=")</f>
        <v>#REF!</v>
      </c>
      <c r="AT226" t="e">
        <f>AND(Sheet1!#REF!,"AAAAAD///y0=")</f>
        <v>#REF!</v>
      </c>
      <c r="AU226">
        <f>IF(Sheet1!3035:3035,"AAAAAD///y4=",0)</f>
        <v>0</v>
      </c>
      <c r="AV226" t="e">
        <f>AND(Sheet1!A3035,"AAAAAD///y8=")</f>
        <v>#VALUE!</v>
      </c>
      <c r="AW226" t="e">
        <f>AND(Sheet1!B3035,"AAAAAD///zA=")</f>
        <v>#VALUE!</v>
      </c>
      <c r="AX226" t="e">
        <f>AND(Sheet1!C3035,"AAAAAD///zE=")</f>
        <v>#VALUE!</v>
      </c>
      <c r="AY226" t="e">
        <f>AND(Sheet1!D3035,"AAAAAD///zI=")</f>
        <v>#VALUE!</v>
      </c>
      <c r="AZ226" t="e">
        <f>AND(Sheet1!E3035,"AAAAAD///zM=")</f>
        <v>#VALUE!</v>
      </c>
      <c r="BA226" t="e">
        <f>AND(Sheet1!F3035,"AAAAAD///zQ=")</f>
        <v>#VALUE!</v>
      </c>
      <c r="BB226" t="e">
        <f>AND(Sheet1!G3035,"AAAAAD///zU=")</f>
        <v>#VALUE!</v>
      </c>
      <c r="BC226" t="e">
        <f>AND(Sheet1!H3035,"AAAAAD///zY=")</f>
        <v>#VALUE!</v>
      </c>
      <c r="BD226" t="e">
        <f>AND(Sheet1!I3035,"AAAAAD///zc=")</f>
        <v>#VALUE!</v>
      </c>
      <c r="BE226" t="e">
        <f>AND(Sheet1!J3035,"AAAAAD///zg=")</f>
        <v>#VALUE!</v>
      </c>
      <c r="BF226" t="e">
        <f>AND(Sheet1!K3035,"AAAAAD///zk=")</f>
        <v>#VALUE!</v>
      </c>
      <c r="BG226" t="e">
        <f>AND(Sheet1!L3035,"AAAAAD///zo=")</f>
        <v>#VALUE!</v>
      </c>
      <c r="BH226" t="e">
        <f>AND(Sheet1!M3035,"AAAAAD///zs=")</f>
        <v>#VALUE!</v>
      </c>
      <c r="BI226" t="e">
        <f>AND(Sheet1!N3035,"AAAAAD///zw=")</f>
        <v>#VALUE!</v>
      </c>
      <c r="BJ226" t="e">
        <f>AND(Sheet1!#REF!,"AAAAAD///z0=")</f>
        <v>#REF!</v>
      </c>
      <c r="BK226" t="e">
        <f>AND(Sheet1!#REF!,"AAAAAD///z4=")</f>
        <v>#REF!</v>
      </c>
      <c r="BL226" t="e">
        <f>AND(Sheet1!#REF!,"AAAAAD///z8=")</f>
        <v>#REF!</v>
      </c>
      <c r="BM226" t="e">
        <f>AND(Sheet1!#REF!,"AAAAAD///0A=")</f>
        <v>#REF!</v>
      </c>
      <c r="BN226">
        <f>IF(Sheet1!3036:3036,"AAAAAD///0E=",0)</f>
        <v>0</v>
      </c>
      <c r="BO226" t="e">
        <f>AND(Sheet1!A3036,"AAAAAD///0I=")</f>
        <v>#VALUE!</v>
      </c>
      <c r="BP226" t="e">
        <f>AND(Sheet1!B3036,"AAAAAD///0M=")</f>
        <v>#VALUE!</v>
      </c>
      <c r="BQ226" t="e">
        <f>AND(Sheet1!C3036,"AAAAAD///0Q=")</f>
        <v>#VALUE!</v>
      </c>
      <c r="BR226" t="e">
        <f>AND(Sheet1!D3036,"AAAAAD///0U=")</f>
        <v>#VALUE!</v>
      </c>
      <c r="BS226" t="e">
        <f>AND(Sheet1!E3036,"AAAAAD///0Y=")</f>
        <v>#VALUE!</v>
      </c>
      <c r="BT226" t="e">
        <f>AND(Sheet1!F3036,"AAAAAD///0c=")</f>
        <v>#VALUE!</v>
      </c>
      <c r="BU226" t="e">
        <f>AND(Sheet1!G3036,"AAAAAD///0g=")</f>
        <v>#VALUE!</v>
      </c>
      <c r="BV226" t="e">
        <f>AND(Sheet1!H3036,"AAAAAD///0k=")</f>
        <v>#VALUE!</v>
      </c>
      <c r="BW226" t="e">
        <f>AND(Sheet1!I3036,"AAAAAD///0o=")</f>
        <v>#VALUE!</v>
      </c>
      <c r="BX226" t="e">
        <f>AND(Sheet1!J3036,"AAAAAD///0s=")</f>
        <v>#VALUE!</v>
      </c>
      <c r="BY226" t="e">
        <f>AND(Sheet1!K3036,"AAAAAD///0w=")</f>
        <v>#VALUE!</v>
      </c>
      <c r="BZ226" t="e">
        <f>AND(Sheet1!L3036,"AAAAAD///00=")</f>
        <v>#VALUE!</v>
      </c>
      <c r="CA226" t="e">
        <f>AND(Sheet1!M3036,"AAAAAD///04=")</f>
        <v>#VALUE!</v>
      </c>
      <c r="CB226" t="e">
        <f>AND(Sheet1!N3036,"AAAAAD///08=")</f>
        <v>#VALUE!</v>
      </c>
      <c r="CC226" t="e">
        <f>AND(Sheet1!#REF!,"AAAAAD///1A=")</f>
        <v>#REF!</v>
      </c>
      <c r="CD226" t="e">
        <f>AND(Sheet1!#REF!,"AAAAAD///1E=")</f>
        <v>#REF!</v>
      </c>
      <c r="CE226" t="e">
        <f>AND(Sheet1!#REF!,"AAAAAD///1I=")</f>
        <v>#REF!</v>
      </c>
      <c r="CF226" t="e">
        <f>AND(Sheet1!#REF!,"AAAAAD///1M=")</f>
        <v>#REF!</v>
      </c>
      <c r="CG226">
        <f>IF(Sheet1!3037:3037,"AAAAAD///1Q=",0)</f>
        <v>0</v>
      </c>
      <c r="CH226" t="e">
        <f>AND(Sheet1!A3037,"AAAAAD///1U=")</f>
        <v>#VALUE!</v>
      </c>
      <c r="CI226" t="e">
        <f>AND(Sheet1!B3037,"AAAAAD///1Y=")</f>
        <v>#VALUE!</v>
      </c>
      <c r="CJ226" t="e">
        <f>AND(Sheet1!C3037,"AAAAAD///1c=")</f>
        <v>#VALUE!</v>
      </c>
      <c r="CK226" t="e">
        <f>AND(Sheet1!D3037,"AAAAAD///1g=")</f>
        <v>#VALUE!</v>
      </c>
      <c r="CL226" t="e">
        <f>AND(Sheet1!E3037,"AAAAAD///1k=")</f>
        <v>#VALUE!</v>
      </c>
      <c r="CM226" t="e">
        <f>AND(Sheet1!F3037,"AAAAAD///1o=")</f>
        <v>#VALUE!</v>
      </c>
      <c r="CN226" t="e">
        <f>AND(Sheet1!G3037,"AAAAAD///1s=")</f>
        <v>#VALUE!</v>
      </c>
      <c r="CO226" t="e">
        <f>AND(Sheet1!H3037,"AAAAAD///1w=")</f>
        <v>#VALUE!</v>
      </c>
      <c r="CP226" t="e">
        <f>AND(Sheet1!I3037,"AAAAAD///10=")</f>
        <v>#VALUE!</v>
      </c>
      <c r="CQ226" t="e">
        <f>AND(Sheet1!J3037,"AAAAAD///14=")</f>
        <v>#VALUE!</v>
      </c>
      <c r="CR226" t="e">
        <f>AND(Sheet1!K3037,"AAAAAD///18=")</f>
        <v>#VALUE!</v>
      </c>
      <c r="CS226" t="e">
        <f>AND(Sheet1!L3037,"AAAAAD///2A=")</f>
        <v>#VALUE!</v>
      </c>
      <c r="CT226" t="e">
        <f>AND(Sheet1!M3037,"AAAAAD///2E=")</f>
        <v>#VALUE!</v>
      </c>
      <c r="CU226" t="e">
        <f>AND(Sheet1!N3037,"AAAAAD///2I=")</f>
        <v>#VALUE!</v>
      </c>
      <c r="CV226" t="e">
        <f>AND(Sheet1!#REF!,"AAAAAD///2M=")</f>
        <v>#REF!</v>
      </c>
      <c r="CW226" t="e">
        <f>AND(Sheet1!#REF!,"AAAAAD///2Q=")</f>
        <v>#REF!</v>
      </c>
      <c r="CX226" t="e">
        <f>AND(Sheet1!#REF!,"AAAAAD///2U=")</f>
        <v>#REF!</v>
      </c>
      <c r="CY226" t="e">
        <f>AND(Sheet1!#REF!,"AAAAAD///2Y=")</f>
        <v>#REF!</v>
      </c>
      <c r="CZ226">
        <f>IF(Sheet1!3038:3038,"AAAAAD///2c=",0)</f>
        <v>0</v>
      </c>
      <c r="DA226" t="e">
        <f>AND(Sheet1!A3038,"AAAAAD///2g=")</f>
        <v>#VALUE!</v>
      </c>
      <c r="DB226" t="e">
        <f>AND(Sheet1!B3038,"AAAAAD///2k=")</f>
        <v>#VALUE!</v>
      </c>
      <c r="DC226" t="e">
        <f>AND(Sheet1!C3038,"AAAAAD///2o=")</f>
        <v>#VALUE!</v>
      </c>
      <c r="DD226" t="e">
        <f>AND(Sheet1!D3038,"AAAAAD///2s=")</f>
        <v>#VALUE!</v>
      </c>
      <c r="DE226" t="e">
        <f>AND(Sheet1!E3038,"AAAAAD///2w=")</f>
        <v>#VALUE!</v>
      </c>
      <c r="DF226" t="e">
        <f>AND(Sheet1!F3038,"AAAAAD///20=")</f>
        <v>#VALUE!</v>
      </c>
      <c r="DG226" t="e">
        <f>AND(Sheet1!G3038,"AAAAAD///24=")</f>
        <v>#VALUE!</v>
      </c>
      <c r="DH226" t="e">
        <f>AND(Sheet1!H3038,"AAAAAD///28=")</f>
        <v>#VALUE!</v>
      </c>
      <c r="DI226" t="e">
        <f>AND(Sheet1!I3038,"AAAAAD///3A=")</f>
        <v>#VALUE!</v>
      </c>
      <c r="DJ226" t="e">
        <f>AND(Sheet1!J3038,"AAAAAD///3E=")</f>
        <v>#VALUE!</v>
      </c>
      <c r="DK226" t="e">
        <f>AND(Sheet1!K3038,"AAAAAD///3I=")</f>
        <v>#VALUE!</v>
      </c>
      <c r="DL226" t="e">
        <f>AND(Sheet1!L3038,"AAAAAD///3M=")</f>
        <v>#VALUE!</v>
      </c>
      <c r="DM226" t="e">
        <f>AND(Sheet1!M3038,"AAAAAD///3Q=")</f>
        <v>#VALUE!</v>
      </c>
      <c r="DN226" t="e">
        <f>AND(Sheet1!N3038,"AAAAAD///3U=")</f>
        <v>#VALUE!</v>
      </c>
      <c r="DO226" t="e">
        <f>AND(Sheet1!#REF!,"AAAAAD///3Y=")</f>
        <v>#REF!</v>
      </c>
      <c r="DP226" t="e">
        <f>AND(Sheet1!#REF!,"AAAAAD///3c=")</f>
        <v>#REF!</v>
      </c>
      <c r="DQ226" t="e">
        <f>AND(Sheet1!#REF!,"AAAAAD///3g=")</f>
        <v>#REF!</v>
      </c>
      <c r="DR226" t="e">
        <f>AND(Sheet1!#REF!,"AAAAAD///3k=")</f>
        <v>#REF!</v>
      </c>
      <c r="DS226">
        <f>IF(Sheet1!3039:3039,"AAAAAD///3o=",0)</f>
        <v>0</v>
      </c>
      <c r="DT226" t="e">
        <f>AND(Sheet1!A3039,"AAAAAD///3s=")</f>
        <v>#VALUE!</v>
      </c>
      <c r="DU226" t="e">
        <f>AND(Sheet1!B3039,"AAAAAD///3w=")</f>
        <v>#VALUE!</v>
      </c>
      <c r="DV226" t="e">
        <f>AND(Sheet1!C3039,"AAAAAD///30=")</f>
        <v>#VALUE!</v>
      </c>
      <c r="DW226" t="e">
        <f>AND(Sheet1!D3039,"AAAAAD///34=")</f>
        <v>#VALUE!</v>
      </c>
      <c r="DX226" t="e">
        <f>AND(Sheet1!E3039,"AAAAAD///38=")</f>
        <v>#VALUE!</v>
      </c>
      <c r="DY226" t="e">
        <f>AND(Sheet1!F3039,"AAAAAD///4A=")</f>
        <v>#VALUE!</v>
      </c>
      <c r="DZ226" t="e">
        <f>AND(Sheet1!G3039,"AAAAAD///4E=")</f>
        <v>#VALUE!</v>
      </c>
      <c r="EA226" t="e">
        <f>AND(Sheet1!H3039,"AAAAAD///4I=")</f>
        <v>#VALUE!</v>
      </c>
      <c r="EB226" t="e">
        <f>AND(Sheet1!I3039,"AAAAAD///4M=")</f>
        <v>#VALUE!</v>
      </c>
      <c r="EC226" t="e">
        <f>AND(Sheet1!J3039,"AAAAAD///4Q=")</f>
        <v>#VALUE!</v>
      </c>
      <c r="ED226" t="e">
        <f>AND(Sheet1!K3039,"AAAAAD///4U=")</f>
        <v>#VALUE!</v>
      </c>
      <c r="EE226" t="e">
        <f>AND(Sheet1!L3039,"AAAAAD///4Y=")</f>
        <v>#VALUE!</v>
      </c>
      <c r="EF226" t="e">
        <f>AND(Sheet1!M3039,"AAAAAD///4c=")</f>
        <v>#VALUE!</v>
      </c>
      <c r="EG226" t="e">
        <f>AND(Sheet1!N3039,"AAAAAD///4g=")</f>
        <v>#VALUE!</v>
      </c>
      <c r="EH226" t="e">
        <f>AND(Sheet1!#REF!,"AAAAAD///4k=")</f>
        <v>#REF!</v>
      </c>
      <c r="EI226" t="e">
        <f>AND(Sheet1!#REF!,"AAAAAD///4o=")</f>
        <v>#REF!</v>
      </c>
      <c r="EJ226" t="e">
        <f>AND(Sheet1!#REF!,"AAAAAD///4s=")</f>
        <v>#REF!</v>
      </c>
      <c r="EK226" t="e">
        <f>AND(Sheet1!#REF!,"AAAAAD///4w=")</f>
        <v>#REF!</v>
      </c>
      <c r="EL226">
        <f>IF(Sheet1!3040:3040,"AAAAAD///40=",0)</f>
        <v>0</v>
      </c>
      <c r="EM226" t="e">
        <f>AND(Sheet1!A3040,"AAAAAD///44=")</f>
        <v>#VALUE!</v>
      </c>
      <c r="EN226" t="e">
        <f>AND(Sheet1!B3040,"AAAAAD///48=")</f>
        <v>#VALUE!</v>
      </c>
      <c r="EO226" t="e">
        <f>AND(Sheet1!C3040,"AAAAAD///5A=")</f>
        <v>#VALUE!</v>
      </c>
      <c r="EP226" t="e">
        <f>AND(Sheet1!D3040,"AAAAAD///5E=")</f>
        <v>#VALUE!</v>
      </c>
      <c r="EQ226" t="e">
        <f>AND(Sheet1!E3040,"AAAAAD///5I=")</f>
        <v>#VALUE!</v>
      </c>
      <c r="ER226" t="e">
        <f>AND(Sheet1!F3040,"AAAAAD///5M=")</f>
        <v>#VALUE!</v>
      </c>
      <c r="ES226" t="e">
        <f>AND(Sheet1!G3040,"AAAAAD///5Q=")</f>
        <v>#VALUE!</v>
      </c>
      <c r="ET226" t="e">
        <f>AND(Sheet1!H3040,"AAAAAD///5U=")</f>
        <v>#VALUE!</v>
      </c>
      <c r="EU226" t="e">
        <f>AND(Sheet1!I3040,"AAAAAD///5Y=")</f>
        <v>#VALUE!</v>
      </c>
      <c r="EV226" t="e">
        <f>AND(Sheet1!J3040,"AAAAAD///5c=")</f>
        <v>#VALUE!</v>
      </c>
      <c r="EW226" t="e">
        <f>AND(Sheet1!K3040,"AAAAAD///5g=")</f>
        <v>#VALUE!</v>
      </c>
      <c r="EX226" t="e">
        <f>AND(Sheet1!L3040,"AAAAAD///5k=")</f>
        <v>#VALUE!</v>
      </c>
      <c r="EY226" t="e">
        <f>AND(Sheet1!M3040,"AAAAAD///5o=")</f>
        <v>#VALUE!</v>
      </c>
      <c r="EZ226" t="e">
        <f>AND(Sheet1!N3040,"AAAAAD///5s=")</f>
        <v>#VALUE!</v>
      </c>
      <c r="FA226" t="e">
        <f>AND(Sheet1!#REF!,"AAAAAD///5w=")</f>
        <v>#REF!</v>
      </c>
      <c r="FB226" t="e">
        <f>AND(Sheet1!#REF!,"AAAAAD///50=")</f>
        <v>#REF!</v>
      </c>
      <c r="FC226" t="e">
        <f>AND(Sheet1!#REF!,"AAAAAD///54=")</f>
        <v>#REF!</v>
      </c>
      <c r="FD226" t="e">
        <f>AND(Sheet1!#REF!,"AAAAAD///58=")</f>
        <v>#REF!</v>
      </c>
      <c r="FE226">
        <f>IF(Sheet1!3041:3041,"AAAAAD///6A=",0)</f>
        <v>0</v>
      </c>
      <c r="FF226" t="e">
        <f>AND(Sheet1!A3041,"AAAAAD///6E=")</f>
        <v>#VALUE!</v>
      </c>
      <c r="FG226" t="e">
        <f>AND(Sheet1!B3041,"AAAAAD///6I=")</f>
        <v>#VALUE!</v>
      </c>
      <c r="FH226" t="e">
        <f>AND(Sheet1!C3041,"AAAAAD///6M=")</f>
        <v>#VALUE!</v>
      </c>
      <c r="FI226" t="e">
        <f>AND(Sheet1!D3041,"AAAAAD///6Q=")</f>
        <v>#VALUE!</v>
      </c>
      <c r="FJ226" t="e">
        <f>AND(Sheet1!E3041,"AAAAAD///6U=")</f>
        <v>#VALUE!</v>
      </c>
      <c r="FK226" t="e">
        <f>AND(Sheet1!F3041,"AAAAAD///6Y=")</f>
        <v>#VALUE!</v>
      </c>
      <c r="FL226" t="e">
        <f>AND(Sheet1!G3041,"AAAAAD///6c=")</f>
        <v>#VALUE!</v>
      </c>
      <c r="FM226" t="e">
        <f>AND(Sheet1!H3041,"AAAAAD///6g=")</f>
        <v>#VALUE!</v>
      </c>
      <c r="FN226" t="e">
        <f>AND(Sheet1!I3041,"AAAAAD///6k=")</f>
        <v>#VALUE!</v>
      </c>
      <c r="FO226" t="e">
        <f>AND(Sheet1!J3041,"AAAAAD///6o=")</f>
        <v>#VALUE!</v>
      </c>
      <c r="FP226" t="e">
        <f>AND(Sheet1!K3041,"AAAAAD///6s=")</f>
        <v>#VALUE!</v>
      </c>
      <c r="FQ226" t="e">
        <f>AND(Sheet1!L3041,"AAAAAD///6w=")</f>
        <v>#VALUE!</v>
      </c>
      <c r="FR226" t="e">
        <f>AND(Sheet1!M3041,"AAAAAD///60=")</f>
        <v>#VALUE!</v>
      </c>
      <c r="FS226" t="e">
        <f>AND(Sheet1!N3041,"AAAAAD///64=")</f>
        <v>#VALUE!</v>
      </c>
      <c r="FT226" t="e">
        <f>AND(Sheet1!#REF!,"AAAAAD///68=")</f>
        <v>#REF!</v>
      </c>
      <c r="FU226" t="e">
        <f>AND(Sheet1!#REF!,"AAAAAD///7A=")</f>
        <v>#REF!</v>
      </c>
      <c r="FV226" t="e">
        <f>AND(Sheet1!#REF!,"AAAAAD///7E=")</f>
        <v>#REF!</v>
      </c>
      <c r="FW226" t="e">
        <f>AND(Sheet1!#REF!,"AAAAAD///7I=")</f>
        <v>#REF!</v>
      </c>
      <c r="FX226">
        <f>IF(Sheet1!3042:3042,"AAAAAD///7M=",0)</f>
        <v>0</v>
      </c>
      <c r="FY226" t="e">
        <f>AND(Sheet1!A3042,"AAAAAD///7Q=")</f>
        <v>#VALUE!</v>
      </c>
      <c r="FZ226" t="e">
        <f>AND(Sheet1!B3042,"AAAAAD///7U=")</f>
        <v>#VALUE!</v>
      </c>
      <c r="GA226" t="e">
        <f>AND(Sheet1!C3042,"AAAAAD///7Y=")</f>
        <v>#VALUE!</v>
      </c>
      <c r="GB226" t="e">
        <f>AND(Sheet1!D3042,"AAAAAD///7c=")</f>
        <v>#VALUE!</v>
      </c>
      <c r="GC226" t="e">
        <f>AND(Sheet1!E3042,"AAAAAD///7g=")</f>
        <v>#VALUE!</v>
      </c>
      <c r="GD226" t="e">
        <f>AND(Sheet1!F3042,"AAAAAD///7k=")</f>
        <v>#VALUE!</v>
      </c>
      <c r="GE226" t="e">
        <f>AND(Sheet1!G3042,"AAAAAD///7o=")</f>
        <v>#VALUE!</v>
      </c>
      <c r="GF226" t="e">
        <f>AND(Sheet1!H3042,"AAAAAD///7s=")</f>
        <v>#VALUE!</v>
      </c>
      <c r="GG226" t="e">
        <f>AND(Sheet1!I3042,"AAAAAD///7w=")</f>
        <v>#VALUE!</v>
      </c>
      <c r="GH226" t="e">
        <f>AND(Sheet1!J3042,"AAAAAD///70=")</f>
        <v>#VALUE!</v>
      </c>
      <c r="GI226" t="e">
        <f>AND(Sheet1!K3042,"AAAAAD///74=")</f>
        <v>#VALUE!</v>
      </c>
      <c r="GJ226" t="e">
        <f>AND(Sheet1!L3042,"AAAAAD///78=")</f>
        <v>#VALUE!</v>
      </c>
      <c r="GK226" t="e">
        <f>AND(Sheet1!M3042,"AAAAAD///8A=")</f>
        <v>#VALUE!</v>
      </c>
      <c r="GL226" t="e">
        <f>AND(Sheet1!N3042,"AAAAAD///8E=")</f>
        <v>#VALUE!</v>
      </c>
      <c r="GM226" t="e">
        <f>AND(Sheet1!#REF!,"AAAAAD///8I=")</f>
        <v>#REF!</v>
      </c>
      <c r="GN226" t="e">
        <f>AND(Sheet1!#REF!,"AAAAAD///8M=")</f>
        <v>#REF!</v>
      </c>
      <c r="GO226" t="e">
        <f>AND(Sheet1!#REF!,"AAAAAD///8Q=")</f>
        <v>#REF!</v>
      </c>
      <c r="GP226" t="e">
        <f>AND(Sheet1!#REF!,"AAAAAD///8U=")</f>
        <v>#REF!</v>
      </c>
      <c r="GQ226">
        <f>IF(Sheet1!3043:3043,"AAAAAD///8Y=",0)</f>
        <v>0</v>
      </c>
      <c r="GR226" t="e">
        <f>AND(Sheet1!A3043,"AAAAAD///8c=")</f>
        <v>#VALUE!</v>
      </c>
      <c r="GS226" t="e">
        <f>AND(Sheet1!B3043,"AAAAAD///8g=")</f>
        <v>#VALUE!</v>
      </c>
      <c r="GT226" t="e">
        <f>AND(Sheet1!C3043,"AAAAAD///8k=")</f>
        <v>#VALUE!</v>
      </c>
      <c r="GU226" t="e">
        <f>AND(Sheet1!D3043,"AAAAAD///8o=")</f>
        <v>#VALUE!</v>
      </c>
      <c r="GV226" t="e">
        <f>AND(Sheet1!E3043,"AAAAAD///8s=")</f>
        <v>#VALUE!</v>
      </c>
      <c r="GW226" t="e">
        <f>AND(Sheet1!F3043,"AAAAAD///8w=")</f>
        <v>#VALUE!</v>
      </c>
      <c r="GX226" t="e">
        <f>AND(Sheet1!G3043,"AAAAAD///80=")</f>
        <v>#VALUE!</v>
      </c>
      <c r="GY226" t="e">
        <f>AND(Sheet1!H3043,"AAAAAD///84=")</f>
        <v>#VALUE!</v>
      </c>
      <c r="GZ226" t="e">
        <f>AND(Sheet1!I3043,"AAAAAD///88=")</f>
        <v>#VALUE!</v>
      </c>
      <c r="HA226" t="e">
        <f>AND(Sheet1!J3043,"AAAAAD///9A=")</f>
        <v>#VALUE!</v>
      </c>
      <c r="HB226" t="e">
        <f>AND(Sheet1!K3043,"AAAAAD///9E=")</f>
        <v>#VALUE!</v>
      </c>
      <c r="HC226" t="e">
        <f>AND(Sheet1!L3043,"AAAAAD///9I=")</f>
        <v>#VALUE!</v>
      </c>
      <c r="HD226" t="e">
        <f>AND(Sheet1!M3043,"AAAAAD///9M=")</f>
        <v>#VALUE!</v>
      </c>
      <c r="HE226" t="e">
        <f>AND(Sheet1!N3043,"AAAAAD///9Q=")</f>
        <v>#VALUE!</v>
      </c>
      <c r="HF226" t="e">
        <f>AND(Sheet1!#REF!,"AAAAAD///9U=")</f>
        <v>#REF!</v>
      </c>
      <c r="HG226" t="e">
        <f>AND(Sheet1!#REF!,"AAAAAD///9Y=")</f>
        <v>#REF!</v>
      </c>
      <c r="HH226" t="e">
        <f>AND(Sheet1!#REF!,"AAAAAD///9c=")</f>
        <v>#REF!</v>
      </c>
      <c r="HI226" t="e">
        <f>AND(Sheet1!#REF!,"AAAAAD///9g=")</f>
        <v>#REF!</v>
      </c>
      <c r="HJ226">
        <f>IF(Sheet1!3044:3044,"AAAAAD///9k=",0)</f>
        <v>0</v>
      </c>
      <c r="HK226" t="e">
        <f>AND(Sheet1!A3044,"AAAAAD///9o=")</f>
        <v>#VALUE!</v>
      </c>
      <c r="HL226" t="e">
        <f>AND(Sheet1!B3044,"AAAAAD///9s=")</f>
        <v>#VALUE!</v>
      </c>
      <c r="HM226" t="e">
        <f>AND(Sheet1!C3044,"AAAAAD///9w=")</f>
        <v>#VALUE!</v>
      </c>
      <c r="HN226" t="e">
        <f>AND(Sheet1!D3044,"AAAAAD///90=")</f>
        <v>#VALUE!</v>
      </c>
      <c r="HO226" t="e">
        <f>AND(Sheet1!E3044,"AAAAAD///94=")</f>
        <v>#VALUE!</v>
      </c>
      <c r="HP226" t="e">
        <f>AND(Sheet1!F3044,"AAAAAD///98=")</f>
        <v>#VALUE!</v>
      </c>
      <c r="HQ226" t="e">
        <f>AND(Sheet1!G3044,"AAAAAD///+A=")</f>
        <v>#VALUE!</v>
      </c>
      <c r="HR226" t="e">
        <f>AND(Sheet1!H3044,"AAAAAD///+E=")</f>
        <v>#VALUE!</v>
      </c>
      <c r="HS226" t="e">
        <f>AND(Sheet1!I3044,"AAAAAD///+I=")</f>
        <v>#VALUE!</v>
      </c>
      <c r="HT226" t="e">
        <f>AND(Sheet1!J3044,"AAAAAD///+M=")</f>
        <v>#VALUE!</v>
      </c>
      <c r="HU226" t="e">
        <f>AND(Sheet1!K3044,"AAAAAD///+Q=")</f>
        <v>#VALUE!</v>
      </c>
      <c r="HV226" t="e">
        <f>AND(Sheet1!L3044,"AAAAAD///+U=")</f>
        <v>#VALUE!</v>
      </c>
      <c r="HW226" t="e">
        <f>AND(Sheet1!M3044,"AAAAAD///+Y=")</f>
        <v>#VALUE!</v>
      </c>
      <c r="HX226" t="e">
        <f>AND(Sheet1!N3044,"AAAAAD///+c=")</f>
        <v>#VALUE!</v>
      </c>
      <c r="HY226" t="e">
        <f>AND(Sheet1!#REF!,"AAAAAD///+g=")</f>
        <v>#REF!</v>
      </c>
      <c r="HZ226" t="e">
        <f>AND(Sheet1!#REF!,"AAAAAD///+k=")</f>
        <v>#REF!</v>
      </c>
      <c r="IA226" t="e">
        <f>AND(Sheet1!#REF!,"AAAAAD///+o=")</f>
        <v>#REF!</v>
      </c>
      <c r="IB226" t="e">
        <f>AND(Sheet1!#REF!,"AAAAAD///+s=")</f>
        <v>#REF!</v>
      </c>
      <c r="IC226">
        <f>IF(Sheet1!3045:3045,"AAAAAD///+w=",0)</f>
        <v>0</v>
      </c>
      <c r="ID226" t="e">
        <f>AND(Sheet1!A3045,"AAAAAD///+0=")</f>
        <v>#VALUE!</v>
      </c>
      <c r="IE226" t="e">
        <f>AND(Sheet1!B3045,"AAAAAD///+4=")</f>
        <v>#VALUE!</v>
      </c>
      <c r="IF226" t="e">
        <f>AND(Sheet1!C3045,"AAAAAD///+8=")</f>
        <v>#VALUE!</v>
      </c>
      <c r="IG226" t="e">
        <f>AND(Sheet1!D3045,"AAAAAD////A=")</f>
        <v>#VALUE!</v>
      </c>
      <c r="IH226" t="e">
        <f>AND(Sheet1!E3045,"AAAAAD////E=")</f>
        <v>#VALUE!</v>
      </c>
      <c r="II226" t="e">
        <f>AND(Sheet1!F3045,"AAAAAD////I=")</f>
        <v>#VALUE!</v>
      </c>
      <c r="IJ226" t="e">
        <f>AND(Sheet1!G3045,"AAAAAD////M=")</f>
        <v>#VALUE!</v>
      </c>
      <c r="IK226" t="e">
        <f>AND(Sheet1!H3045,"AAAAAD////Q=")</f>
        <v>#VALUE!</v>
      </c>
      <c r="IL226" t="e">
        <f>AND(Sheet1!I3045,"AAAAAD////U=")</f>
        <v>#VALUE!</v>
      </c>
      <c r="IM226" t="e">
        <f>AND(Sheet1!J3045,"AAAAAD////Y=")</f>
        <v>#VALUE!</v>
      </c>
      <c r="IN226" t="e">
        <f>AND(Sheet1!K3045,"AAAAAD////c=")</f>
        <v>#VALUE!</v>
      </c>
      <c r="IO226" t="e">
        <f>AND(Sheet1!L3045,"AAAAAD////g=")</f>
        <v>#VALUE!</v>
      </c>
      <c r="IP226" t="e">
        <f>AND(Sheet1!M3045,"AAAAAD////k=")</f>
        <v>#VALUE!</v>
      </c>
      <c r="IQ226" t="e">
        <f>AND(Sheet1!N3045,"AAAAAD////o=")</f>
        <v>#VALUE!</v>
      </c>
      <c r="IR226" t="e">
        <f>AND(Sheet1!#REF!,"AAAAAD////s=")</f>
        <v>#REF!</v>
      </c>
      <c r="IS226" t="e">
        <f>AND(Sheet1!#REF!,"AAAAAD////w=")</f>
        <v>#REF!</v>
      </c>
      <c r="IT226" t="e">
        <f>AND(Sheet1!#REF!,"AAAAAD////0=")</f>
        <v>#REF!</v>
      </c>
      <c r="IU226" t="e">
        <f>AND(Sheet1!#REF!,"AAAAAD////4=")</f>
        <v>#REF!</v>
      </c>
      <c r="IV226">
        <f>IF(Sheet1!3046:3046,"AAAAAD////8=",0)</f>
        <v>0</v>
      </c>
    </row>
    <row r="227" spans="1:256" x14ac:dyDescent="0.2">
      <c r="A227" t="e">
        <f>AND(Sheet1!A3046,"AAAAAE31/wA=")</f>
        <v>#VALUE!</v>
      </c>
      <c r="B227" t="e">
        <f>AND(Sheet1!B3046,"AAAAAE31/wE=")</f>
        <v>#VALUE!</v>
      </c>
      <c r="C227" t="e">
        <f>AND(Sheet1!C3046,"AAAAAE31/wI=")</f>
        <v>#VALUE!</v>
      </c>
      <c r="D227" t="e">
        <f>AND(Sheet1!D3046,"AAAAAE31/wM=")</f>
        <v>#VALUE!</v>
      </c>
      <c r="E227" t="e">
        <f>AND(Sheet1!E3046,"AAAAAE31/wQ=")</f>
        <v>#VALUE!</v>
      </c>
      <c r="F227" t="e">
        <f>AND(Sheet1!F3046,"AAAAAE31/wU=")</f>
        <v>#VALUE!</v>
      </c>
      <c r="G227" t="e">
        <f>AND(Sheet1!G3046,"AAAAAE31/wY=")</f>
        <v>#VALUE!</v>
      </c>
      <c r="H227" t="e">
        <f>AND(Sheet1!H3046,"AAAAAE31/wc=")</f>
        <v>#VALUE!</v>
      </c>
      <c r="I227" t="e">
        <f>AND(Sheet1!I3046,"AAAAAE31/wg=")</f>
        <v>#VALUE!</v>
      </c>
      <c r="J227" t="e">
        <f>AND(Sheet1!J3046,"AAAAAE31/wk=")</f>
        <v>#VALUE!</v>
      </c>
      <c r="K227" t="e">
        <f>AND(Sheet1!K3046,"AAAAAE31/wo=")</f>
        <v>#VALUE!</v>
      </c>
      <c r="L227" t="e">
        <f>AND(Sheet1!L3046,"AAAAAE31/ws=")</f>
        <v>#VALUE!</v>
      </c>
      <c r="M227" t="e">
        <f>AND(Sheet1!M3046,"AAAAAE31/ww=")</f>
        <v>#VALUE!</v>
      </c>
      <c r="N227" t="e">
        <f>AND(Sheet1!N3046,"AAAAAE31/w0=")</f>
        <v>#VALUE!</v>
      </c>
      <c r="O227" t="e">
        <f>AND(Sheet1!#REF!,"AAAAAE31/w4=")</f>
        <v>#REF!</v>
      </c>
      <c r="P227" t="e">
        <f>AND(Sheet1!#REF!,"AAAAAE31/w8=")</f>
        <v>#REF!</v>
      </c>
      <c r="Q227" t="e">
        <f>AND(Sheet1!#REF!,"AAAAAE31/xA=")</f>
        <v>#REF!</v>
      </c>
      <c r="R227" t="e">
        <f>AND(Sheet1!#REF!,"AAAAAE31/xE=")</f>
        <v>#REF!</v>
      </c>
      <c r="S227">
        <f>IF(Sheet1!3047:3047,"AAAAAE31/xI=",0)</f>
        <v>0</v>
      </c>
      <c r="T227" t="e">
        <f>AND(Sheet1!A3047,"AAAAAE31/xM=")</f>
        <v>#VALUE!</v>
      </c>
      <c r="U227" t="e">
        <f>AND(Sheet1!B3047,"AAAAAE31/xQ=")</f>
        <v>#VALUE!</v>
      </c>
      <c r="V227" t="e">
        <f>AND(Sheet1!C3047,"AAAAAE31/xU=")</f>
        <v>#VALUE!</v>
      </c>
      <c r="W227" t="e">
        <f>AND(Sheet1!D3047,"AAAAAE31/xY=")</f>
        <v>#VALUE!</v>
      </c>
      <c r="X227" t="e">
        <f>AND(Sheet1!E3047,"AAAAAE31/xc=")</f>
        <v>#VALUE!</v>
      </c>
      <c r="Y227" t="e">
        <f>AND(Sheet1!F3047,"AAAAAE31/xg=")</f>
        <v>#VALUE!</v>
      </c>
      <c r="Z227" t="e">
        <f>AND(Sheet1!G3047,"AAAAAE31/xk=")</f>
        <v>#VALUE!</v>
      </c>
      <c r="AA227" t="e">
        <f>AND(Sheet1!H3047,"AAAAAE31/xo=")</f>
        <v>#VALUE!</v>
      </c>
      <c r="AB227" t="e">
        <f>AND(Sheet1!I3047,"AAAAAE31/xs=")</f>
        <v>#VALUE!</v>
      </c>
      <c r="AC227" t="e">
        <f>AND(Sheet1!J3047,"AAAAAE31/xw=")</f>
        <v>#VALUE!</v>
      </c>
      <c r="AD227" t="e">
        <f>AND(Sheet1!K3047,"AAAAAE31/x0=")</f>
        <v>#VALUE!</v>
      </c>
      <c r="AE227" t="e">
        <f>AND(Sheet1!L3047,"AAAAAE31/x4=")</f>
        <v>#VALUE!</v>
      </c>
      <c r="AF227" t="e">
        <f>AND(Sheet1!M3047,"AAAAAE31/x8=")</f>
        <v>#VALUE!</v>
      </c>
      <c r="AG227" t="e">
        <f>AND(Sheet1!N3047,"AAAAAE31/yA=")</f>
        <v>#VALUE!</v>
      </c>
      <c r="AH227" t="e">
        <f>AND(Sheet1!#REF!,"AAAAAE31/yE=")</f>
        <v>#REF!</v>
      </c>
      <c r="AI227" t="e">
        <f>AND(Sheet1!#REF!,"AAAAAE31/yI=")</f>
        <v>#REF!</v>
      </c>
      <c r="AJ227" t="e">
        <f>AND(Sheet1!#REF!,"AAAAAE31/yM=")</f>
        <v>#REF!</v>
      </c>
      <c r="AK227" t="e">
        <f>AND(Sheet1!#REF!,"AAAAAE31/yQ=")</f>
        <v>#REF!</v>
      </c>
      <c r="AL227">
        <f>IF(Sheet1!3048:3048,"AAAAAE31/yU=",0)</f>
        <v>0</v>
      </c>
      <c r="AM227" t="e">
        <f>AND(Sheet1!A3048,"AAAAAE31/yY=")</f>
        <v>#VALUE!</v>
      </c>
      <c r="AN227" t="e">
        <f>AND(Sheet1!B3048,"AAAAAE31/yc=")</f>
        <v>#VALUE!</v>
      </c>
      <c r="AO227" t="e">
        <f>AND(Sheet1!C3048,"AAAAAE31/yg=")</f>
        <v>#VALUE!</v>
      </c>
      <c r="AP227" t="e">
        <f>AND(Sheet1!D3048,"AAAAAE31/yk=")</f>
        <v>#VALUE!</v>
      </c>
      <c r="AQ227" t="e">
        <f>AND(Sheet1!E3048,"AAAAAE31/yo=")</f>
        <v>#VALUE!</v>
      </c>
      <c r="AR227" t="e">
        <f>AND(Sheet1!F3048,"AAAAAE31/ys=")</f>
        <v>#VALUE!</v>
      </c>
      <c r="AS227" t="e">
        <f>AND(Sheet1!G3048,"AAAAAE31/yw=")</f>
        <v>#VALUE!</v>
      </c>
      <c r="AT227" t="e">
        <f>AND(Sheet1!H3048,"AAAAAE31/y0=")</f>
        <v>#VALUE!</v>
      </c>
      <c r="AU227" t="e">
        <f>AND(Sheet1!I3048,"AAAAAE31/y4=")</f>
        <v>#VALUE!</v>
      </c>
      <c r="AV227" t="e">
        <f>AND(Sheet1!J3048,"AAAAAE31/y8=")</f>
        <v>#VALUE!</v>
      </c>
      <c r="AW227" t="e">
        <f>AND(Sheet1!K3048,"AAAAAE31/zA=")</f>
        <v>#VALUE!</v>
      </c>
      <c r="AX227" t="e">
        <f>AND(Sheet1!L3048,"AAAAAE31/zE=")</f>
        <v>#VALUE!</v>
      </c>
      <c r="AY227" t="e">
        <f>AND(Sheet1!M3048,"AAAAAE31/zI=")</f>
        <v>#VALUE!</v>
      </c>
      <c r="AZ227" t="e">
        <f>AND(Sheet1!N3048,"AAAAAE31/zM=")</f>
        <v>#VALUE!</v>
      </c>
      <c r="BA227" t="e">
        <f>AND(Sheet1!#REF!,"AAAAAE31/zQ=")</f>
        <v>#REF!</v>
      </c>
      <c r="BB227" t="e">
        <f>AND(Sheet1!#REF!,"AAAAAE31/zU=")</f>
        <v>#REF!</v>
      </c>
      <c r="BC227" t="e">
        <f>AND(Sheet1!#REF!,"AAAAAE31/zY=")</f>
        <v>#REF!</v>
      </c>
      <c r="BD227" t="e">
        <f>AND(Sheet1!#REF!,"AAAAAE31/zc=")</f>
        <v>#REF!</v>
      </c>
      <c r="BE227">
        <f>IF(Sheet1!3049:3049,"AAAAAE31/zg=",0)</f>
        <v>0</v>
      </c>
      <c r="BF227" t="e">
        <f>AND(Sheet1!A3049,"AAAAAE31/zk=")</f>
        <v>#VALUE!</v>
      </c>
      <c r="BG227" t="e">
        <f>AND(Sheet1!B3049,"AAAAAE31/zo=")</f>
        <v>#VALUE!</v>
      </c>
      <c r="BH227" t="e">
        <f>AND(Sheet1!C3049,"AAAAAE31/zs=")</f>
        <v>#VALUE!</v>
      </c>
      <c r="BI227" t="e">
        <f>AND(Sheet1!D3049,"AAAAAE31/zw=")</f>
        <v>#VALUE!</v>
      </c>
      <c r="BJ227" t="e">
        <f>AND(Sheet1!E3049,"AAAAAE31/z0=")</f>
        <v>#VALUE!</v>
      </c>
      <c r="BK227" t="e">
        <f>AND(Sheet1!F3049,"AAAAAE31/z4=")</f>
        <v>#VALUE!</v>
      </c>
      <c r="BL227" t="e">
        <f>AND(Sheet1!G3049,"AAAAAE31/z8=")</f>
        <v>#VALUE!</v>
      </c>
      <c r="BM227" t="e">
        <f>AND(Sheet1!H3049,"AAAAAE31/0A=")</f>
        <v>#VALUE!</v>
      </c>
      <c r="BN227" t="e">
        <f>AND(Sheet1!I3049,"AAAAAE31/0E=")</f>
        <v>#VALUE!</v>
      </c>
      <c r="BO227" t="e">
        <f>AND(Sheet1!J3049,"AAAAAE31/0I=")</f>
        <v>#VALUE!</v>
      </c>
      <c r="BP227" t="e">
        <f>AND(Sheet1!K3049,"AAAAAE31/0M=")</f>
        <v>#VALUE!</v>
      </c>
      <c r="BQ227" t="e">
        <f>AND(Sheet1!L3049,"AAAAAE31/0Q=")</f>
        <v>#VALUE!</v>
      </c>
      <c r="BR227" t="e">
        <f>AND(Sheet1!M3049,"AAAAAE31/0U=")</f>
        <v>#VALUE!</v>
      </c>
      <c r="BS227" t="e">
        <f>AND(Sheet1!N3049,"AAAAAE31/0Y=")</f>
        <v>#VALUE!</v>
      </c>
      <c r="BT227" t="e">
        <f>AND(Sheet1!#REF!,"AAAAAE31/0c=")</f>
        <v>#REF!</v>
      </c>
      <c r="BU227" t="e">
        <f>AND(Sheet1!#REF!,"AAAAAE31/0g=")</f>
        <v>#REF!</v>
      </c>
      <c r="BV227" t="e">
        <f>AND(Sheet1!#REF!,"AAAAAE31/0k=")</f>
        <v>#REF!</v>
      </c>
      <c r="BW227" t="e">
        <f>AND(Sheet1!#REF!,"AAAAAE31/0o=")</f>
        <v>#REF!</v>
      </c>
      <c r="BX227">
        <f>IF(Sheet1!3050:3050,"AAAAAE31/0s=",0)</f>
        <v>0</v>
      </c>
      <c r="BY227" t="e">
        <f>AND(Sheet1!A3050,"AAAAAE31/0w=")</f>
        <v>#VALUE!</v>
      </c>
      <c r="BZ227" t="e">
        <f>AND(Sheet1!B3050,"AAAAAE31/00=")</f>
        <v>#VALUE!</v>
      </c>
      <c r="CA227" t="e">
        <f>AND(Sheet1!C3050,"AAAAAE31/04=")</f>
        <v>#VALUE!</v>
      </c>
      <c r="CB227" t="e">
        <f>AND(Sheet1!D3050,"AAAAAE31/08=")</f>
        <v>#VALUE!</v>
      </c>
      <c r="CC227" t="e">
        <f>AND(Sheet1!E3050,"AAAAAE31/1A=")</f>
        <v>#VALUE!</v>
      </c>
      <c r="CD227" t="e">
        <f>AND(Sheet1!F3050,"AAAAAE31/1E=")</f>
        <v>#VALUE!</v>
      </c>
      <c r="CE227" t="e">
        <f>AND(Sheet1!G3050,"AAAAAE31/1I=")</f>
        <v>#VALUE!</v>
      </c>
      <c r="CF227" t="e">
        <f>AND(Sheet1!H3050,"AAAAAE31/1M=")</f>
        <v>#VALUE!</v>
      </c>
      <c r="CG227" t="e">
        <f>AND(Sheet1!I3050,"AAAAAE31/1Q=")</f>
        <v>#VALUE!</v>
      </c>
      <c r="CH227" t="e">
        <f>AND(Sheet1!J3050,"AAAAAE31/1U=")</f>
        <v>#VALUE!</v>
      </c>
      <c r="CI227" t="e">
        <f>AND(Sheet1!K3050,"AAAAAE31/1Y=")</f>
        <v>#VALUE!</v>
      </c>
      <c r="CJ227" t="e">
        <f>AND(Sheet1!L3050,"AAAAAE31/1c=")</f>
        <v>#VALUE!</v>
      </c>
      <c r="CK227" t="e">
        <f>AND(Sheet1!M3050,"AAAAAE31/1g=")</f>
        <v>#VALUE!</v>
      </c>
      <c r="CL227" t="e">
        <f>AND(Sheet1!N3050,"AAAAAE31/1k=")</f>
        <v>#VALUE!</v>
      </c>
      <c r="CM227" t="e">
        <f>AND(Sheet1!#REF!,"AAAAAE31/1o=")</f>
        <v>#REF!</v>
      </c>
      <c r="CN227" t="e">
        <f>AND(Sheet1!#REF!,"AAAAAE31/1s=")</f>
        <v>#REF!</v>
      </c>
      <c r="CO227" t="e">
        <f>AND(Sheet1!#REF!,"AAAAAE31/1w=")</f>
        <v>#REF!</v>
      </c>
      <c r="CP227" t="e">
        <f>AND(Sheet1!#REF!,"AAAAAE31/10=")</f>
        <v>#REF!</v>
      </c>
      <c r="CQ227">
        <f>IF(Sheet1!3051:3051,"AAAAAE31/14=",0)</f>
        <v>0</v>
      </c>
      <c r="CR227" t="e">
        <f>AND(Sheet1!A3051,"AAAAAE31/18=")</f>
        <v>#VALUE!</v>
      </c>
      <c r="CS227" t="e">
        <f>AND(Sheet1!B3051,"AAAAAE31/2A=")</f>
        <v>#VALUE!</v>
      </c>
      <c r="CT227" t="e">
        <f>AND(Sheet1!C3051,"AAAAAE31/2E=")</f>
        <v>#VALUE!</v>
      </c>
      <c r="CU227" t="e">
        <f>AND(Sheet1!D3051,"AAAAAE31/2I=")</f>
        <v>#VALUE!</v>
      </c>
      <c r="CV227" t="e">
        <f>AND(Sheet1!E3051,"AAAAAE31/2M=")</f>
        <v>#VALUE!</v>
      </c>
      <c r="CW227" t="e">
        <f>AND(Sheet1!F3051,"AAAAAE31/2Q=")</f>
        <v>#VALUE!</v>
      </c>
      <c r="CX227" t="e">
        <f>AND(Sheet1!G3051,"AAAAAE31/2U=")</f>
        <v>#VALUE!</v>
      </c>
      <c r="CY227" t="e">
        <f>AND(Sheet1!H3051,"AAAAAE31/2Y=")</f>
        <v>#VALUE!</v>
      </c>
      <c r="CZ227" t="e">
        <f>AND(Sheet1!I3051,"AAAAAE31/2c=")</f>
        <v>#VALUE!</v>
      </c>
      <c r="DA227" t="e">
        <f>AND(Sheet1!J3051,"AAAAAE31/2g=")</f>
        <v>#VALUE!</v>
      </c>
      <c r="DB227" t="e">
        <f>AND(Sheet1!K3051,"AAAAAE31/2k=")</f>
        <v>#VALUE!</v>
      </c>
      <c r="DC227" t="e">
        <f>AND(Sheet1!L3051,"AAAAAE31/2o=")</f>
        <v>#VALUE!</v>
      </c>
      <c r="DD227" t="e">
        <f>AND(Sheet1!M3051,"AAAAAE31/2s=")</f>
        <v>#VALUE!</v>
      </c>
      <c r="DE227" t="e">
        <f>AND(Sheet1!N3051,"AAAAAE31/2w=")</f>
        <v>#VALUE!</v>
      </c>
      <c r="DF227" t="e">
        <f>AND(Sheet1!#REF!,"AAAAAE31/20=")</f>
        <v>#REF!</v>
      </c>
      <c r="DG227" t="e">
        <f>AND(Sheet1!#REF!,"AAAAAE31/24=")</f>
        <v>#REF!</v>
      </c>
      <c r="DH227" t="e">
        <f>AND(Sheet1!#REF!,"AAAAAE31/28=")</f>
        <v>#REF!</v>
      </c>
      <c r="DI227" t="e">
        <f>AND(Sheet1!#REF!,"AAAAAE31/3A=")</f>
        <v>#REF!</v>
      </c>
      <c r="DJ227">
        <f>IF(Sheet1!3052:3052,"AAAAAE31/3E=",0)</f>
        <v>0</v>
      </c>
      <c r="DK227" t="e">
        <f>AND(Sheet1!A3052,"AAAAAE31/3I=")</f>
        <v>#VALUE!</v>
      </c>
      <c r="DL227" t="e">
        <f>AND(Sheet1!B3052,"AAAAAE31/3M=")</f>
        <v>#VALUE!</v>
      </c>
      <c r="DM227" t="e">
        <f>AND(Sheet1!C3052,"AAAAAE31/3Q=")</f>
        <v>#VALUE!</v>
      </c>
      <c r="DN227" t="e">
        <f>AND(Sheet1!D3052,"AAAAAE31/3U=")</f>
        <v>#VALUE!</v>
      </c>
      <c r="DO227" t="e">
        <f>AND(Sheet1!E3052,"AAAAAE31/3Y=")</f>
        <v>#VALUE!</v>
      </c>
      <c r="DP227" t="e">
        <f>AND(Sheet1!F3052,"AAAAAE31/3c=")</f>
        <v>#VALUE!</v>
      </c>
      <c r="DQ227" t="e">
        <f>AND(Sheet1!G3052,"AAAAAE31/3g=")</f>
        <v>#VALUE!</v>
      </c>
      <c r="DR227" t="e">
        <f>AND(Sheet1!H3052,"AAAAAE31/3k=")</f>
        <v>#VALUE!</v>
      </c>
      <c r="DS227" t="e">
        <f>AND(Sheet1!I3052,"AAAAAE31/3o=")</f>
        <v>#VALUE!</v>
      </c>
      <c r="DT227" t="e">
        <f>AND(Sheet1!J3052,"AAAAAE31/3s=")</f>
        <v>#VALUE!</v>
      </c>
      <c r="DU227" t="e">
        <f>AND(Sheet1!K3052,"AAAAAE31/3w=")</f>
        <v>#VALUE!</v>
      </c>
      <c r="DV227" t="e">
        <f>AND(Sheet1!L3052,"AAAAAE31/30=")</f>
        <v>#VALUE!</v>
      </c>
      <c r="DW227" t="e">
        <f>AND(Sheet1!M3052,"AAAAAE31/34=")</f>
        <v>#VALUE!</v>
      </c>
      <c r="DX227" t="e">
        <f>AND(Sheet1!N3052,"AAAAAE31/38=")</f>
        <v>#VALUE!</v>
      </c>
      <c r="DY227" t="e">
        <f>AND(Sheet1!#REF!,"AAAAAE31/4A=")</f>
        <v>#REF!</v>
      </c>
      <c r="DZ227" t="e">
        <f>AND(Sheet1!#REF!,"AAAAAE31/4E=")</f>
        <v>#REF!</v>
      </c>
      <c r="EA227" t="e">
        <f>AND(Sheet1!#REF!,"AAAAAE31/4I=")</f>
        <v>#REF!</v>
      </c>
      <c r="EB227" t="e">
        <f>AND(Sheet1!#REF!,"AAAAAE31/4M=")</f>
        <v>#REF!</v>
      </c>
      <c r="EC227">
        <f>IF(Sheet1!3053:3053,"AAAAAE31/4Q=",0)</f>
        <v>0</v>
      </c>
      <c r="ED227" t="e">
        <f>AND(Sheet1!A3053,"AAAAAE31/4U=")</f>
        <v>#VALUE!</v>
      </c>
      <c r="EE227" t="e">
        <f>AND(Sheet1!B3053,"AAAAAE31/4Y=")</f>
        <v>#VALUE!</v>
      </c>
      <c r="EF227" t="e">
        <f>AND(Sheet1!C3053,"AAAAAE31/4c=")</f>
        <v>#VALUE!</v>
      </c>
      <c r="EG227" t="e">
        <f>AND(Sheet1!D3053,"AAAAAE31/4g=")</f>
        <v>#VALUE!</v>
      </c>
      <c r="EH227" t="e">
        <f>AND(Sheet1!E3053,"AAAAAE31/4k=")</f>
        <v>#VALUE!</v>
      </c>
      <c r="EI227" t="e">
        <f>AND(Sheet1!F3053,"AAAAAE31/4o=")</f>
        <v>#VALUE!</v>
      </c>
      <c r="EJ227" t="e">
        <f>AND(Sheet1!G3053,"AAAAAE31/4s=")</f>
        <v>#VALUE!</v>
      </c>
      <c r="EK227" t="e">
        <f>AND(Sheet1!H3053,"AAAAAE31/4w=")</f>
        <v>#VALUE!</v>
      </c>
      <c r="EL227" t="e">
        <f>AND(Sheet1!I3053,"AAAAAE31/40=")</f>
        <v>#VALUE!</v>
      </c>
      <c r="EM227" t="e">
        <f>AND(Sheet1!J3053,"AAAAAE31/44=")</f>
        <v>#VALUE!</v>
      </c>
      <c r="EN227" t="e">
        <f>AND(Sheet1!K3053,"AAAAAE31/48=")</f>
        <v>#VALUE!</v>
      </c>
      <c r="EO227" t="e">
        <f>AND(Sheet1!L3053,"AAAAAE31/5A=")</f>
        <v>#VALUE!</v>
      </c>
      <c r="EP227" t="e">
        <f>AND(Sheet1!M3053,"AAAAAE31/5E=")</f>
        <v>#VALUE!</v>
      </c>
      <c r="EQ227" t="e">
        <f>AND(Sheet1!N3053,"AAAAAE31/5I=")</f>
        <v>#VALUE!</v>
      </c>
      <c r="ER227" t="e">
        <f>AND(Sheet1!#REF!,"AAAAAE31/5M=")</f>
        <v>#REF!</v>
      </c>
      <c r="ES227" t="e">
        <f>AND(Sheet1!#REF!,"AAAAAE31/5Q=")</f>
        <v>#REF!</v>
      </c>
      <c r="ET227" t="e">
        <f>AND(Sheet1!#REF!,"AAAAAE31/5U=")</f>
        <v>#REF!</v>
      </c>
      <c r="EU227" t="e">
        <f>AND(Sheet1!#REF!,"AAAAAE31/5Y=")</f>
        <v>#REF!</v>
      </c>
      <c r="EV227">
        <f>IF(Sheet1!3054:3054,"AAAAAE31/5c=",0)</f>
        <v>0</v>
      </c>
      <c r="EW227" t="e">
        <f>AND(Sheet1!A3054,"AAAAAE31/5g=")</f>
        <v>#VALUE!</v>
      </c>
      <c r="EX227" t="e">
        <f>AND(Sheet1!B3054,"AAAAAE31/5k=")</f>
        <v>#VALUE!</v>
      </c>
      <c r="EY227" t="e">
        <f>AND(Sheet1!C3054,"AAAAAE31/5o=")</f>
        <v>#VALUE!</v>
      </c>
      <c r="EZ227" t="e">
        <f>AND(Sheet1!D3054,"AAAAAE31/5s=")</f>
        <v>#VALUE!</v>
      </c>
      <c r="FA227" t="e">
        <f>AND(Sheet1!E3054,"AAAAAE31/5w=")</f>
        <v>#VALUE!</v>
      </c>
      <c r="FB227" t="e">
        <f>AND(Sheet1!F3054,"AAAAAE31/50=")</f>
        <v>#VALUE!</v>
      </c>
      <c r="FC227" t="e">
        <f>AND(Sheet1!G3054,"AAAAAE31/54=")</f>
        <v>#VALUE!</v>
      </c>
      <c r="FD227" t="e">
        <f>AND(Sheet1!H3054,"AAAAAE31/58=")</f>
        <v>#VALUE!</v>
      </c>
      <c r="FE227" t="e">
        <f>AND(Sheet1!I3054,"AAAAAE31/6A=")</f>
        <v>#VALUE!</v>
      </c>
      <c r="FF227" t="e">
        <f>AND(Sheet1!J3054,"AAAAAE31/6E=")</f>
        <v>#VALUE!</v>
      </c>
      <c r="FG227" t="e">
        <f>AND(Sheet1!K3054,"AAAAAE31/6I=")</f>
        <v>#VALUE!</v>
      </c>
      <c r="FH227" t="e">
        <f>AND(Sheet1!L3054,"AAAAAE31/6M=")</f>
        <v>#VALUE!</v>
      </c>
      <c r="FI227" t="e">
        <f>AND(Sheet1!M3054,"AAAAAE31/6Q=")</f>
        <v>#VALUE!</v>
      </c>
      <c r="FJ227" t="e">
        <f>AND(Sheet1!N3054,"AAAAAE31/6U=")</f>
        <v>#VALUE!</v>
      </c>
      <c r="FK227" t="e">
        <f>AND(Sheet1!#REF!,"AAAAAE31/6Y=")</f>
        <v>#REF!</v>
      </c>
      <c r="FL227" t="e">
        <f>AND(Sheet1!#REF!,"AAAAAE31/6c=")</f>
        <v>#REF!</v>
      </c>
      <c r="FM227" t="e">
        <f>AND(Sheet1!#REF!,"AAAAAE31/6g=")</f>
        <v>#REF!</v>
      </c>
      <c r="FN227" t="e">
        <f>AND(Sheet1!#REF!,"AAAAAE31/6k=")</f>
        <v>#REF!</v>
      </c>
      <c r="FO227">
        <f>IF(Sheet1!3055:3055,"AAAAAE31/6o=",0)</f>
        <v>0</v>
      </c>
      <c r="FP227" t="e">
        <f>AND(Sheet1!A3055,"AAAAAE31/6s=")</f>
        <v>#VALUE!</v>
      </c>
      <c r="FQ227" t="e">
        <f>AND(Sheet1!B3055,"AAAAAE31/6w=")</f>
        <v>#VALUE!</v>
      </c>
      <c r="FR227" t="e">
        <f>AND(Sheet1!C3055,"AAAAAE31/60=")</f>
        <v>#VALUE!</v>
      </c>
      <c r="FS227" t="e">
        <f>AND(Sheet1!D3055,"AAAAAE31/64=")</f>
        <v>#VALUE!</v>
      </c>
      <c r="FT227" t="e">
        <f>AND(Sheet1!E3055,"AAAAAE31/68=")</f>
        <v>#VALUE!</v>
      </c>
      <c r="FU227" t="e">
        <f>AND(Sheet1!F3055,"AAAAAE31/7A=")</f>
        <v>#VALUE!</v>
      </c>
      <c r="FV227" t="e">
        <f>AND(Sheet1!G3055,"AAAAAE31/7E=")</f>
        <v>#VALUE!</v>
      </c>
      <c r="FW227" t="e">
        <f>AND(Sheet1!H3055,"AAAAAE31/7I=")</f>
        <v>#VALUE!</v>
      </c>
      <c r="FX227" t="e">
        <f>AND(Sheet1!I3055,"AAAAAE31/7M=")</f>
        <v>#VALUE!</v>
      </c>
      <c r="FY227" t="e">
        <f>AND(Sheet1!J3055,"AAAAAE31/7Q=")</f>
        <v>#VALUE!</v>
      </c>
      <c r="FZ227" t="e">
        <f>AND(Sheet1!K3055,"AAAAAE31/7U=")</f>
        <v>#VALUE!</v>
      </c>
      <c r="GA227" t="e">
        <f>AND(Sheet1!L3055,"AAAAAE31/7Y=")</f>
        <v>#VALUE!</v>
      </c>
      <c r="GB227" t="e">
        <f>AND(Sheet1!M3055,"AAAAAE31/7c=")</f>
        <v>#VALUE!</v>
      </c>
      <c r="GC227" t="e">
        <f>AND(Sheet1!N3055,"AAAAAE31/7g=")</f>
        <v>#VALUE!</v>
      </c>
      <c r="GD227" t="e">
        <f>AND(Sheet1!#REF!,"AAAAAE31/7k=")</f>
        <v>#REF!</v>
      </c>
      <c r="GE227" t="e">
        <f>AND(Sheet1!#REF!,"AAAAAE31/7o=")</f>
        <v>#REF!</v>
      </c>
      <c r="GF227" t="e">
        <f>AND(Sheet1!#REF!,"AAAAAE31/7s=")</f>
        <v>#REF!</v>
      </c>
      <c r="GG227" t="e">
        <f>AND(Sheet1!#REF!,"AAAAAE31/7w=")</f>
        <v>#REF!</v>
      </c>
      <c r="GH227">
        <f>IF(Sheet1!3056:3056,"AAAAAE31/70=",0)</f>
        <v>0</v>
      </c>
      <c r="GI227" t="e">
        <f>AND(Sheet1!A3056,"AAAAAE31/74=")</f>
        <v>#VALUE!</v>
      </c>
      <c r="GJ227" t="e">
        <f>AND(Sheet1!B3056,"AAAAAE31/78=")</f>
        <v>#VALUE!</v>
      </c>
      <c r="GK227" t="e">
        <f>AND(Sheet1!C3056,"AAAAAE31/8A=")</f>
        <v>#VALUE!</v>
      </c>
      <c r="GL227" t="e">
        <f>AND(Sheet1!D3056,"AAAAAE31/8E=")</f>
        <v>#VALUE!</v>
      </c>
      <c r="GM227" t="e">
        <f>AND(Sheet1!E3056,"AAAAAE31/8I=")</f>
        <v>#VALUE!</v>
      </c>
      <c r="GN227" t="e">
        <f>AND(Sheet1!F3056,"AAAAAE31/8M=")</f>
        <v>#VALUE!</v>
      </c>
      <c r="GO227" t="e">
        <f>AND(Sheet1!G3056,"AAAAAE31/8Q=")</f>
        <v>#VALUE!</v>
      </c>
      <c r="GP227" t="e">
        <f>AND(Sheet1!H3056,"AAAAAE31/8U=")</f>
        <v>#VALUE!</v>
      </c>
      <c r="GQ227" t="e">
        <f>AND(Sheet1!I3056,"AAAAAE31/8Y=")</f>
        <v>#VALUE!</v>
      </c>
      <c r="GR227" t="e">
        <f>AND(Sheet1!J3056,"AAAAAE31/8c=")</f>
        <v>#VALUE!</v>
      </c>
      <c r="GS227" t="e">
        <f>AND(Sheet1!K3056,"AAAAAE31/8g=")</f>
        <v>#VALUE!</v>
      </c>
      <c r="GT227" t="e">
        <f>AND(Sheet1!L3056,"AAAAAE31/8k=")</f>
        <v>#VALUE!</v>
      </c>
      <c r="GU227" t="e">
        <f>AND(Sheet1!M3056,"AAAAAE31/8o=")</f>
        <v>#VALUE!</v>
      </c>
      <c r="GV227" t="e">
        <f>AND(Sheet1!N3056,"AAAAAE31/8s=")</f>
        <v>#VALUE!</v>
      </c>
      <c r="GW227" t="e">
        <f>AND(Sheet1!#REF!,"AAAAAE31/8w=")</f>
        <v>#REF!</v>
      </c>
      <c r="GX227" t="e">
        <f>AND(Sheet1!#REF!,"AAAAAE31/80=")</f>
        <v>#REF!</v>
      </c>
      <c r="GY227" t="e">
        <f>AND(Sheet1!#REF!,"AAAAAE31/84=")</f>
        <v>#REF!</v>
      </c>
      <c r="GZ227" t="e">
        <f>AND(Sheet1!#REF!,"AAAAAE31/88=")</f>
        <v>#REF!</v>
      </c>
      <c r="HA227">
        <f>IF(Sheet1!3057:3057,"AAAAAE31/9A=",0)</f>
        <v>0</v>
      </c>
      <c r="HB227" t="e">
        <f>AND(Sheet1!A3057,"AAAAAE31/9E=")</f>
        <v>#VALUE!</v>
      </c>
      <c r="HC227" t="e">
        <f>AND(Sheet1!B3057,"AAAAAE31/9I=")</f>
        <v>#VALUE!</v>
      </c>
      <c r="HD227" t="e">
        <f>AND(Sheet1!C3057,"AAAAAE31/9M=")</f>
        <v>#VALUE!</v>
      </c>
      <c r="HE227" t="e">
        <f>AND(Sheet1!D3057,"AAAAAE31/9Q=")</f>
        <v>#VALUE!</v>
      </c>
      <c r="HF227" t="e">
        <f>AND(Sheet1!E3057,"AAAAAE31/9U=")</f>
        <v>#VALUE!</v>
      </c>
      <c r="HG227" t="e">
        <f>AND(Sheet1!F3057,"AAAAAE31/9Y=")</f>
        <v>#VALUE!</v>
      </c>
      <c r="HH227" t="e">
        <f>AND(Sheet1!G3057,"AAAAAE31/9c=")</f>
        <v>#VALUE!</v>
      </c>
      <c r="HI227" t="e">
        <f>AND(Sheet1!H3057,"AAAAAE31/9g=")</f>
        <v>#VALUE!</v>
      </c>
      <c r="HJ227" t="e">
        <f>AND(Sheet1!I3057,"AAAAAE31/9k=")</f>
        <v>#VALUE!</v>
      </c>
      <c r="HK227" t="e">
        <f>AND(Sheet1!J3057,"AAAAAE31/9o=")</f>
        <v>#VALUE!</v>
      </c>
      <c r="HL227" t="e">
        <f>AND(Sheet1!K3057,"AAAAAE31/9s=")</f>
        <v>#VALUE!</v>
      </c>
      <c r="HM227" t="e">
        <f>AND(Sheet1!L3057,"AAAAAE31/9w=")</f>
        <v>#VALUE!</v>
      </c>
      <c r="HN227" t="e">
        <f>AND(Sheet1!M3057,"AAAAAE31/90=")</f>
        <v>#VALUE!</v>
      </c>
      <c r="HO227" t="e">
        <f>AND(Sheet1!N3057,"AAAAAE31/94=")</f>
        <v>#VALUE!</v>
      </c>
      <c r="HP227" t="e">
        <f>AND(Sheet1!#REF!,"AAAAAE31/98=")</f>
        <v>#REF!</v>
      </c>
      <c r="HQ227" t="e">
        <f>AND(Sheet1!#REF!,"AAAAAE31/+A=")</f>
        <v>#REF!</v>
      </c>
      <c r="HR227" t="e">
        <f>AND(Sheet1!#REF!,"AAAAAE31/+E=")</f>
        <v>#REF!</v>
      </c>
      <c r="HS227" t="e">
        <f>AND(Sheet1!#REF!,"AAAAAE31/+I=")</f>
        <v>#REF!</v>
      </c>
      <c r="HT227">
        <f>IF(Sheet1!3058:3058,"AAAAAE31/+M=",0)</f>
        <v>0</v>
      </c>
      <c r="HU227" t="e">
        <f>AND(Sheet1!A3058,"AAAAAE31/+Q=")</f>
        <v>#VALUE!</v>
      </c>
      <c r="HV227" t="e">
        <f>AND(Sheet1!B3058,"AAAAAE31/+U=")</f>
        <v>#VALUE!</v>
      </c>
      <c r="HW227" t="e">
        <f>AND(Sheet1!C3058,"AAAAAE31/+Y=")</f>
        <v>#VALUE!</v>
      </c>
      <c r="HX227" t="e">
        <f>AND(Sheet1!D3058,"AAAAAE31/+c=")</f>
        <v>#VALUE!</v>
      </c>
      <c r="HY227" t="e">
        <f>AND(Sheet1!E3058,"AAAAAE31/+g=")</f>
        <v>#VALUE!</v>
      </c>
      <c r="HZ227" t="e">
        <f>AND(Sheet1!F3058,"AAAAAE31/+k=")</f>
        <v>#VALUE!</v>
      </c>
      <c r="IA227" t="e">
        <f>AND(Sheet1!G3058,"AAAAAE31/+o=")</f>
        <v>#VALUE!</v>
      </c>
      <c r="IB227" t="e">
        <f>AND(Sheet1!H3058,"AAAAAE31/+s=")</f>
        <v>#VALUE!</v>
      </c>
      <c r="IC227" t="e">
        <f>AND(Sheet1!I3058,"AAAAAE31/+w=")</f>
        <v>#VALUE!</v>
      </c>
      <c r="ID227" t="e">
        <f>AND(Sheet1!J3058,"AAAAAE31/+0=")</f>
        <v>#VALUE!</v>
      </c>
      <c r="IE227" t="e">
        <f>AND(Sheet1!K3058,"AAAAAE31/+4=")</f>
        <v>#VALUE!</v>
      </c>
      <c r="IF227" t="e">
        <f>AND(Sheet1!L3058,"AAAAAE31/+8=")</f>
        <v>#VALUE!</v>
      </c>
      <c r="IG227" t="e">
        <f>AND(Sheet1!M3058,"AAAAAE31//A=")</f>
        <v>#VALUE!</v>
      </c>
      <c r="IH227" t="e">
        <f>AND(Sheet1!N3058,"AAAAAE31//E=")</f>
        <v>#VALUE!</v>
      </c>
      <c r="II227" t="e">
        <f>AND(Sheet1!#REF!,"AAAAAE31//I=")</f>
        <v>#REF!</v>
      </c>
      <c r="IJ227" t="e">
        <f>AND(Sheet1!#REF!,"AAAAAE31//M=")</f>
        <v>#REF!</v>
      </c>
      <c r="IK227" t="e">
        <f>AND(Sheet1!#REF!,"AAAAAE31//Q=")</f>
        <v>#REF!</v>
      </c>
      <c r="IL227" t="e">
        <f>AND(Sheet1!#REF!,"AAAAAE31//U=")</f>
        <v>#REF!</v>
      </c>
      <c r="IM227">
        <f>IF(Sheet1!3059:3059,"AAAAAE31//Y=",0)</f>
        <v>0</v>
      </c>
      <c r="IN227" t="e">
        <f>AND(Sheet1!A3059,"AAAAAE31//c=")</f>
        <v>#VALUE!</v>
      </c>
      <c r="IO227" t="e">
        <f>AND(Sheet1!B3059,"AAAAAE31//g=")</f>
        <v>#VALUE!</v>
      </c>
      <c r="IP227" t="e">
        <f>AND(Sheet1!C3059,"AAAAAE31//k=")</f>
        <v>#VALUE!</v>
      </c>
      <c r="IQ227" t="e">
        <f>AND(Sheet1!D3059,"AAAAAE31//o=")</f>
        <v>#VALUE!</v>
      </c>
      <c r="IR227" t="e">
        <f>AND(Sheet1!E3059,"AAAAAE31//s=")</f>
        <v>#VALUE!</v>
      </c>
      <c r="IS227" t="e">
        <f>AND(Sheet1!F3059,"AAAAAE31//w=")</f>
        <v>#VALUE!</v>
      </c>
      <c r="IT227" t="e">
        <f>AND(Sheet1!G3059,"AAAAAE31//0=")</f>
        <v>#VALUE!</v>
      </c>
      <c r="IU227" t="e">
        <f>AND(Sheet1!H3059,"AAAAAE31//4=")</f>
        <v>#VALUE!</v>
      </c>
      <c r="IV227" t="e">
        <f>AND(Sheet1!I3059,"AAAAAE31//8=")</f>
        <v>#VALUE!</v>
      </c>
    </row>
    <row r="228" spans="1:256" x14ac:dyDescent="0.2">
      <c r="A228" t="e">
        <f>AND(Sheet1!J3059,"AAAAAF/+8wA=")</f>
        <v>#VALUE!</v>
      </c>
      <c r="B228" t="e">
        <f>AND(Sheet1!K3059,"AAAAAF/+8wE=")</f>
        <v>#VALUE!</v>
      </c>
      <c r="C228" t="e">
        <f>AND(Sheet1!L3059,"AAAAAF/+8wI=")</f>
        <v>#VALUE!</v>
      </c>
      <c r="D228" t="e">
        <f>AND(Sheet1!M3059,"AAAAAF/+8wM=")</f>
        <v>#VALUE!</v>
      </c>
      <c r="E228" t="e">
        <f>AND(Sheet1!N3059,"AAAAAF/+8wQ=")</f>
        <v>#VALUE!</v>
      </c>
      <c r="F228" t="e">
        <f>AND(Sheet1!#REF!,"AAAAAF/+8wU=")</f>
        <v>#REF!</v>
      </c>
      <c r="G228" t="e">
        <f>AND(Sheet1!#REF!,"AAAAAF/+8wY=")</f>
        <v>#REF!</v>
      </c>
      <c r="H228" t="e">
        <f>AND(Sheet1!#REF!,"AAAAAF/+8wc=")</f>
        <v>#REF!</v>
      </c>
      <c r="I228" t="e">
        <f>AND(Sheet1!#REF!,"AAAAAF/+8wg=")</f>
        <v>#REF!</v>
      </c>
      <c r="J228" t="e">
        <f>IF(Sheet1!3060:3060,"AAAAAF/+8wk=",0)</f>
        <v>#VALUE!</v>
      </c>
      <c r="K228" t="e">
        <f>AND(Sheet1!A3060,"AAAAAF/+8wo=")</f>
        <v>#VALUE!</v>
      </c>
      <c r="L228" t="e">
        <f>AND(Sheet1!B3060,"AAAAAF/+8ws=")</f>
        <v>#VALUE!</v>
      </c>
      <c r="M228" t="e">
        <f>AND(Sheet1!C3060,"AAAAAF/+8ww=")</f>
        <v>#VALUE!</v>
      </c>
      <c r="N228" t="e">
        <f>AND(Sheet1!D3060,"AAAAAF/+8w0=")</f>
        <v>#VALUE!</v>
      </c>
      <c r="O228" t="e">
        <f>AND(Sheet1!E3060,"AAAAAF/+8w4=")</f>
        <v>#VALUE!</v>
      </c>
      <c r="P228" t="e">
        <f>AND(Sheet1!F3060,"AAAAAF/+8w8=")</f>
        <v>#VALUE!</v>
      </c>
      <c r="Q228" t="e">
        <f>AND(Sheet1!G3060,"AAAAAF/+8xA=")</f>
        <v>#VALUE!</v>
      </c>
      <c r="R228" t="e">
        <f>AND(Sheet1!H3060,"AAAAAF/+8xE=")</f>
        <v>#VALUE!</v>
      </c>
      <c r="S228" t="e">
        <f>AND(Sheet1!I3060,"AAAAAF/+8xI=")</f>
        <v>#VALUE!</v>
      </c>
      <c r="T228" t="e">
        <f>AND(Sheet1!J3060,"AAAAAF/+8xM=")</f>
        <v>#VALUE!</v>
      </c>
      <c r="U228" t="e">
        <f>AND(Sheet1!K3060,"AAAAAF/+8xQ=")</f>
        <v>#VALUE!</v>
      </c>
      <c r="V228" t="e">
        <f>AND(Sheet1!L3060,"AAAAAF/+8xU=")</f>
        <v>#VALUE!</v>
      </c>
      <c r="W228" t="e">
        <f>AND(Sheet1!M3060,"AAAAAF/+8xY=")</f>
        <v>#VALUE!</v>
      </c>
      <c r="X228" t="e">
        <f>AND(Sheet1!N3060,"AAAAAF/+8xc=")</f>
        <v>#VALUE!</v>
      </c>
      <c r="Y228" t="e">
        <f>AND(Sheet1!#REF!,"AAAAAF/+8xg=")</f>
        <v>#REF!</v>
      </c>
      <c r="Z228" t="e">
        <f>AND(Sheet1!#REF!,"AAAAAF/+8xk=")</f>
        <v>#REF!</v>
      </c>
      <c r="AA228" t="e">
        <f>AND(Sheet1!#REF!,"AAAAAF/+8xo=")</f>
        <v>#REF!</v>
      </c>
      <c r="AB228" t="e">
        <f>AND(Sheet1!#REF!,"AAAAAF/+8xs=")</f>
        <v>#REF!</v>
      </c>
      <c r="AC228">
        <f>IF(Sheet1!3061:3061,"AAAAAF/+8xw=",0)</f>
        <v>0</v>
      </c>
      <c r="AD228" t="e">
        <f>AND(Sheet1!A3061,"AAAAAF/+8x0=")</f>
        <v>#VALUE!</v>
      </c>
      <c r="AE228" t="e">
        <f>AND(Sheet1!B3061,"AAAAAF/+8x4=")</f>
        <v>#VALUE!</v>
      </c>
      <c r="AF228" t="e">
        <f>AND(Sheet1!C3061,"AAAAAF/+8x8=")</f>
        <v>#VALUE!</v>
      </c>
      <c r="AG228" t="e">
        <f>AND(Sheet1!D3061,"AAAAAF/+8yA=")</f>
        <v>#VALUE!</v>
      </c>
      <c r="AH228" t="e">
        <f>AND(Sheet1!E3061,"AAAAAF/+8yE=")</f>
        <v>#VALUE!</v>
      </c>
      <c r="AI228" t="e">
        <f>AND(Sheet1!F3061,"AAAAAF/+8yI=")</f>
        <v>#VALUE!</v>
      </c>
      <c r="AJ228" t="e">
        <f>AND(Sheet1!G3061,"AAAAAF/+8yM=")</f>
        <v>#VALUE!</v>
      </c>
      <c r="AK228" t="e">
        <f>AND(Sheet1!H3061,"AAAAAF/+8yQ=")</f>
        <v>#VALUE!</v>
      </c>
      <c r="AL228" t="e">
        <f>AND(Sheet1!I3061,"AAAAAF/+8yU=")</f>
        <v>#VALUE!</v>
      </c>
      <c r="AM228" t="e">
        <f>AND(Sheet1!J3061,"AAAAAF/+8yY=")</f>
        <v>#VALUE!</v>
      </c>
      <c r="AN228" t="e">
        <f>AND(Sheet1!K3061,"AAAAAF/+8yc=")</f>
        <v>#VALUE!</v>
      </c>
      <c r="AO228" t="e">
        <f>AND(Sheet1!L3061,"AAAAAF/+8yg=")</f>
        <v>#VALUE!</v>
      </c>
      <c r="AP228" t="e">
        <f>AND(Sheet1!M3061,"AAAAAF/+8yk=")</f>
        <v>#VALUE!</v>
      </c>
      <c r="AQ228" t="e">
        <f>AND(Sheet1!N3061,"AAAAAF/+8yo=")</f>
        <v>#VALUE!</v>
      </c>
      <c r="AR228" t="e">
        <f>AND(Sheet1!#REF!,"AAAAAF/+8ys=")</f>
        <v>#REF!</v>
      </c>
      <c r="AS228" t="e">
        <f>AND(Sheet1!#REF!,"AAAAAF/+8yw=")</f>
        <v>#REF!</v>
      </c>
      <c r="AT228" t="e">
        <f>AND(Sheet1!#REF!,"AAAAAF/+8y0=")</f>
        <v>#REF!</v>
      </c>
      <c r="AU228" t="e">
        <f>AND(Sheet1!#REF!,"AAAAAF/+8y4=")</f>
        <v>#REF!</v>
      </c>
      <c r="AV228">
        <f>IF(Sheet1!3062:3062,"AAAAAF/+8y8=",0)</f>
        <v>0</v>
      </c>
      <c r="AW228" t="e">
        <f>AND(Sheet1!A3062,"AAAAAF/+8zA=")</f>
        <v>#VALUE!</v>
      </c>
      <c r="AX228" t="e">
        <f>AND(Sheet1!B3062,"AAAAAF/+8zE=")</f>
        <v>#VALUE!</v>
      </c>
      <c r="AY228" t="e">
        <f>AND(Sheet1!C3062,"AAAAAF/+8zI=")</f>
        <v>#VALUE!</v>
      </c>
      <c r="AZ228" t="e">
        <f>AND(Sheet1!D3062,"AAAAAF/+8zM=")</f>
        <v>#VALUE!</v>
      </c>
      <c r="BA228" t="e">
        <f>AND(Sheet1!E3062,"AAAAAF/+8zQ=")</f>
        <v>#VALUE!</v>
      </c>
      <c r="BB228" t="e">
        <f>AND(Sheet1!F3062,"AAAAAF/+8zU=")</f>
        <v>#VALUE!</v>
      </c>
      <c r="BC228" t="e">
        <f>AND(Sheet1!G3062,"AAAAAF/+8zY=")</f>
        <v>#VALUE!</v>
      </c>
      <c r="BD228" t="e">
        <f>AND(Sheet1!H3062,"AAAAAF/+8zc=")</f>
        <v>#VALUE!</v>
      </c>
      <c r="BE228" t="e">
        <f>AND(Sheet1!I3062,"AAAAAF/+8zg=")</f>
        <v>#VALUE!</v>
      </c>
      <c r="BF228" t="e">
        <f>AND(Sheet1!J3062,"AAAAAF/+8zk=")</f>
        <v>#VALUE!</v>
      </c>
      <c r="BG228" t="e">
        <f>AND(Sheet1!K3062,"AAAAAF/+8zo=")</f>
        <v>#VALUE!</v>
      </c>
      <c r="BH228" t="e">
        <f>AND(Sheet1!L3062,"AAAAAF/+8zs=")</f>
        <v>#VALUE!</v>
      </c>
      <c r="BI228" t="e">
        <f>AND(Sheet1!M3062,"AAAAAF/+8zw=")</f>
        <v>#VALUE!</v>
      </c>
      <c r="BJ228" t="e">
        <f>AND(Sheet1!N3062,"AAAAAF/+8z0=")</f>
        <v>#VALUE!</v>
      </c>
      <c r="BK228" t="e">
        <f>AND(Sheet1!#REF!,"AAAAAF/+8z4=")</f>
        <v>#REF!</v>
      </c>
      <c r="BL228" t="e">
        <f>AND(Sheet1!#REF!,"AAAAAF/+8z8=")</f>
        <v>#REF!</v>
      </c>
      <c r="BM228" t="e">
        <f>AND(Sheet1!#REF!,"AAAAAF/+80A=")</f>
        <v>#REF!</v>
      </c>
      <c r="BN228" t="e">
        <f>AND(Sheet1!#REF!,"AAAAAF/+80E=")</f>
        <v>#REF!</v>
      </c>
      <c r="BO228">
        <f>IF(Sheet1!3063:3063,"AAAAAF/+80I=",0)</f>
        <v>0</v>
      </c>
      <c r="BP228" t="e">
        <f>AND(Sheet1!A3063,"AAAAAF/+80M=")</f>
        <v>#VALUE!</v>
      </c>
      <c r="BQ228" t="e">
        <f>AND(Sheet1!B3063,"AAAAAF/+80Q=")</f>
        <v>#VALUE!</v>
      </c>
      <c r="BR228" t="e">
        <f>AND(Sheet1!C3063,"AAAAAF/+80U=")</f>
        <v>#VALUE!</v>
      </c>
      <c r="BS228" t="e">
        <f>AND(Sheet1!D3063,"AAAAAF/+80Y=")</f>
        <v>#VALUE!</v>
      </c>
      <c r="BT228" t="e">
        <f>AND(Sheet1!E3063,"AAAAAF/+80c=")</f>
        <v>#VALUE!</v>
      </c>
      <c r="BU228" t="e">
        <f>AND(Sheet1!F3063,"AAAAAF/+80g=")</f>
        <v>#VALUE!</v>
      </c>
      <c r="BV228" t="e">
        <f>AND(Sheet1!G3063,"AAAAAF/+80k=")</f>
        <v>#VALUE!</v>
      </c>
      <c r="BW228" t="e">
        <f>AND(Sheet1!H3063,"AAAAAF/+80o=")</f>
        <v>#VALUE!</v>
      </c>
      <c r="BX228" t="e">
        <f>AND(Sheet1!I3063,"AAAAAF/+80s=")</f>
        <v>#VALUE!</v>
      </c>
      <c r="BY228" t="e">
        <f>AND(Sheet1!J3063,"AAAAAF/+80w=")</f>
        <v>#VALUE!</v>
      </c>
      <c r="BZ228" t="e">
        <f>AND(Sheet1!K3063,"AAAAAF/+800=")</f>
        <v>#VALUE!</v>
      </c>
      <c r="CA228" t="e">
        <f>AND(Sheet1!L3063,"AAAAAF/+804=")</f>
        <v>#VALUE!</v>
      </c>
      <c r="CB228" t="e">
        <f>AND(Sheet1!M3063,"AAAAAF/+808=")</f>
        <v>#VALUE!</v>
      </c>
      <c r="CC228" t="e">
        <f>AND(Sheet1!N3063,"AAAAAF/+81A=")</f>
        <v>#VALUE!</v>
      </c>
      <c r="CD228" t="e">
        <f>AND(Sheet1!#REF!,"AAAAAF/+81E=")</f>
        <v>#REF!</v>
      </c>
      <c r="CE228" t="e">
        <f>AND(Sheet1!#REF!,"AAAAAF/+81I=")</f>
        <v>#REF!</v>
      </c>
      <c r="CF228" t="e">
        <f>AND(Sheet1!#REF!,"AAAAAF/+81M=")</f>
        <v>#REF!</v>
      </c>
      <c r="CG228" t="e">
        <f>AND(Sheet1!#REF!,"AAAAAF/+81Q=")</f>
        <v>#REF!</v>
      </c>
      <c r="CH228">
        <f>IF(Sheet1!3064:3064,"AAAAAF/+81U=",0)</f>
        <v>0</v>
      </c>
      <c r="CI228" t="e">
        <f>AND(Sheet1!A3064,"AAAAAF/+81Y=")</f>
        <v>#VALUE!</v>
      </c>
      <c r="CJ228" t="e">
        <f>AND(Sheet1!B3064,"AAAAAF/+81c=")</f>
        <v>#VALUE!</v>
      </c>
      <c r="CK228" t="e">
        <f>AND(Sheet1!C3064,"AAAAAF/+81g=")</f>
        <v>#VALUE!</v>
      </c>
      <c r="CL228" t="e">
        <f>AND(Sheet1!D3064,"AAAAAF/+81k=")</f>
        <v>#VALUE!</v>
      </c>
      <c r="CM228" t="e">
        <f>AND(Sheet1!E3064,"AAAAAF/+81o=")</f>
        <v>#VALUE!</v>
      </c>
      <c r="CN228" t="e">
        <f>AND(Sheet1!F3064,"AAAAAF/+81s=")</f>
        <v>#VALUE!</v>
      </c>
      <c r="CO228" t="e">
        <f>AND(Sheet1!G3064,"AAAAAF/+81w=")</f>
        <v>#VALUE!</v>
      </c>
      <c r="CP228" t="e">
        <f>AND(Sheet1!H3064,"AAAAAF/+810=")</f>
        <v>#VALUE!</v>
      </c>
      <c r="CQ228" t="e">
        <f>AND(Sheet1!I3064,"AAAAAF/+814=")</f>
        <v>#VALUE!</v>
      </c>
      <c r="CR228" t="e">
        <f>AND(Sheet1!J3064,"AAAAAF/+818=")</f>
        <v>#VALUE!</v>
      </c>
      <c r="CS228" t="e">
        <f>AND(Sheet1!K3064,"AAAAAF/+82A=")</f>
        <v>#VALUE!</v>
      </c>
      <c r="CT228" t="e">
        <f>AND(Sheet1!L3064,"AAAAAF/+82E=")</f>
        <v>#VALUE!</v>
      </c>
      <c r="CU228" t="e">
        <f>AND(Sheet1!M3064,"AAAAAF/+82I=")</f>
        <v>#VALUE!</v>
      </c>
      <c r="CV228" t="e">
        <f>AND(Sheet1!N3064,"AAAAAF/+82M=")</f>
        <v>#VALUE!</v>
      </c>
      <c r="CW228" t="e">
        <f>AND(Sheet1!#REF!,"AAAAAF/+82Q=")</f>
        <v>#REF!</v>
      </c>
      <c r="CX228" t="e">
        <f>AND(Sheet1!#REF!,"AAAAAF/+82U=")</f>
        <v>#REF!</v>
      </c>
      <c r="CY228" t="e">
        <f>AND(Sheet1!#REF!,"AAAAAF/+82Y=")</f>
        <v>#REF!</v>
      </c>
      <c r="CZ228" t="e">
        <f>AND(Sheet1!#REF!,"AAAAAF/+82c=")</f>
        <v>#REF!</v>
      </c>
      <c r="DA228">
        <f>IF(Sheet1!3065:3065,"AAAAAF/+82g=",0)</f>
        <v>0</v>
      </c>
      <c r="DB228" t="e">
        <f>AND(Sheet1!A3065,"AAAAAF/+82k=")</f>
        <v>#VALUE!</v>
      </c>
      <c r="DC228" t="e">
        <f>AND(Sheet1!B3065,"AAAAAF/+82o=")</f>
        <v>#VALUE!</v>
      </c>
      <c r="DD228" t="e">
        <f>AND(Sheet1!C3065,"AAAAAF/+82s=")</f>
        <v>#VALUE!</v>
      </c>
      <c r="DE228" t="e">
        <f>AND(Sheet1!D3065,"AAAAAF/+82w=")</f>
        <v>#VALUE!</v>
      </c>
      <c r="DF228" t="e">
        <f>AND(Sheet1!E3065,"AAAAAF/+820=")</f>
        <v>#VALUE!</v>
      </c>
      <c r="DG228" t="e">
        <f>AND(Sheet1!F3065,"AAAAAF/+824=")</f>
        <v>#VALUE!</v>
      </c>
      <c r="DH228" t="e">
        <f>AND(Sheet1!G3065,"AAAAAF/+828=")</f>
        <v>#VALUE!</v>
      </c>
      <c r="DI228" t="e">
        <f>AND(Sheet1!H3065,"AAAAAF/+83A=")</f>
        <v>#VALUE!</v>
      </c>
      <c r="DJ228" t="e">
        <f>AND(Sheet1!I3065,"AAAAAF/+83E=")</f>
        <v>#VALUE!</v>
      </c>
      <c r="DK228" t="e">
        <f>AND(Sheet1!J3065,"AAAAAF/+83I=")</f>
        <v>#VALUE!</v>
      </c>
      <c r="DL228" t="e">
        <f>AND(Sheet1!K3065,"AAAAAF/+83M=")</f>
        <v>#VALUE!</v>
      </c>
      <c r="DM228" t="e">
        <f>AND(Sheet1!L3065,"AAAAAF/+83Q=")</f>
        <v>#VALUE!</v>
      </c>
      <c r="DN228" t="e">
        <f>AND(Sheet1!M3065,"AAAAAF/+83U=")</f>
        <v>#VALUE!</v>
      </c>
      <c r="DO228" t="e">
        <f>AND(Sheet1!N3065,"AAAAAF/+83Y=")</f>
        <v>#VALUE!</v>
      </c>
      <c r="DP228" t="e">
        <f>AND(Sheet1!#REF!,"AAAAAF/+83c=")</f>
        <v>#REF!</v>
      </c>
      <c r="DQ228" t="e">
        <f>AND(Sheet1!#REF!,"AAAAAF/+83g=")</f>
        <v>#REF!</v>
      </c>
      <c r="DR228" t="e">
        <f>AND(Sheet1!#REF!,"AAAAAF/+83k=")</f>
        <v>#REF!</v>
      </c>
      <c r="DS228" t="e">
        <f>AND(Sheet1!#REF!,"AAAAAF/+83o=")</f>
        <v>#REF!</v>
      </c>
      <c r="DT228">
        <f>IF(Sheet1!3066:3066,"AAAAAF/+83s=",0)</f>
        <v>0</v>
      </c>
      <c r="DU228" t="e">
        <f>AND(Sheet1!A3066,"AAAAAF/+83w=")</f>
        <v>#VALUE!</v>
      </c>
      <c r="DV228" t="e">
        <f>AND(Sheet1!B3066,"AAAAAF/+830=")</f>
        <v>#VALUE!</v>
      </c>
      <c r="DW228" t="e">
        <f>AND(Sheet1!C3066,"AAAAAF/+834=")</f>
        <v>#VALUE!</v>
      </c>
      <c r="DX228" t="e">
        <f>AND(Sheet1!D3066,"AAAAAF/+838=")</f>
        <v>#VALUE!</v>
      </c>
      <c r="DY228" t="e">
        <f>AND(Sheet1!E3066,"AAAAAF/+84A=")</f>
        <v>#VALUE!</v>
      </c>
      <c r="DZ228" t="e">
        <f>AND(Sheet1!F3066,"AAAAAF/+84E=")</f>
        <v>#VALUE!</v>
      </c>
      <c r="EA228" t="e">
        <f>AND(Sheet1!G3066,"AAAAAF/+84I=")</f>
        <v>#VALUE!</v>
      </c>
      <c r="EB228" t="e">
        <f>AND(Sheet1!H3066,"AAAAAF/+84M=")</f>
        <v>#VALUE!</v>
      </c>
      <c r="EC228" t="e">
        <f>AND(Sheet1!I3066,"AAAAAF/+84Q=")</f>
        <v>#VALUE!</v>
      </c>
      <c r="ED228" t="e">
        <f>AND(Sheet1!J3066,"AAAAAF/+84U=")</f>
        <v>#VALUE!</v>
      </c>
      <c r="EE228" t="e">
        <f>AND(Sheet1!K3066,"AAAAAF/+84Y=")</f>
        <v>#VALUE!</v>
      </c>
      <c r="EF228" t="e">
        <f>AND(Sheet1!L3066,"AAAAAF/+84c=")</f>
        <v>#VALUE!</v>
      </c>
      <c r="EG228" t="e">
        <f>AND(Sheet1!M3066,"AAAAAF/+84g=")</f>
        <v>#VALUE!</v>
      </c>
      <c r="EH228" t="e">
        <f>AND(Sheet1!N3066,"AAAAAF/+84k=")</f>
        <v>#VALUE!</v>
      </c>
      <c r="EI228" t="e">
        <f>AND(Sheet1!#REF!,"AAAAAF/+84o=")</f>
        <v>#REF!</v>
      </c>
      <c r="EJ228" t="e">
        <f>AND(Sheet1!#REF!,"AAAAAF/+84s=")</f>
        <v>#REF!</v>
      </c>
      <c r="EK228" t="e">
        <f>AND(Sheet1!#REF!,"AAAAAF/+84w=")</f>
        <v>#REF!</v>
      </c>
      <c r="EL228" t="e">
        <f>AND(Sheet1!#REF!,"AAAAAF/+840=")</f>
        <v>#REF!</v>
      </c>
      <c r="EM228">
        <f>IF(Sheet1!3067:3067,"AAAAAF/+844=",0)</f>
        <v>0</v>
      </c>
      <c r="EN228" t="e">
        <f>AND(Sheet1!A3067,"AAAAAF/+848=")</f>
        <v>#VALUE!</v>
      </c>
      <c r="EO228" t="e">
        <f>AND(Sheet1!B3067,"AAAAAF/+85A=")</f>
        <v>#VALUE!</v>
      </c>
      <c r="EP228" t="e">
        <f>AND(Sheet1!C3067,"AAAAAF/+85E=")</f>
        <v>#VALUE!</v>
      </c>
      <c r="EQ228" t="e">
        <f>AND(Sheet1!D3067,"AAAAAF/+85I=")</f>
        <v>#VALUE!</v>
      </c>
      <c r="ER228" t="e">
        <f>AND(Sheet1!E3067,"AAAAAF/+85M=")</f>
        <v>#VALUE!</v>
      </c>
      <c r="ES228" t="e">
        <f>AND(Sheet1!F3067,"AAAAAF/+85Q=")</f>
        <v>#VALUE!</v>
      </c>
      <c r="ET228" t="e">
        <f>AND(Sheet1!G3067,"AAAAAF/+85U=")</f>
        <v>#VALUE!</v>
      </c>
      <c r="EU228" t="e">
        <f>AND(Sheet1!H3067,"AAAAAF/+85Y=")</f>
        <v>#VALUE!</v>
      </c>
      <c r="EV228" t="e">
        <f>AND(Sheet1!I3067,"AAAAAF/+85c=")</f>
        <v>#VALUE!</v>
      </c>
      <c r="EW228" t="e">
        <f>AND(Sheet1!J3067,"AAAAAF/+85g=")</f>
        <v>#VALUE!</v>
      </c>
      <c r="EX228" t="e">
        <f>AND(Sheet1!K3067,"AAAAAF/+85k=")</f>
        <v>#VALUE!</v>
      </c>
      <c r="EY228" t="e">
        <f>AND(Sheet1!L3067,"AAAAAF/+85o=")</f>
        <v>#VALUE!</v>
      </c>
      <c r="EZ228" t="e">
        <f>AND(Sheet1!M3067,"AAAAAF/+85s=")</f>
        <v>#VALUE!</v>
      </c>
      <c r="FA228" t="e">
        <f>AND(Sheet1!N3067,"AAAAAF/+85w=")</f>
        <v>#VALUE!</v>
      </c>
      <c r="FB228" t="e">
        <f>AND(Sheet1!#REF!,"AAAAAF/+850=")</f>
        <v>#REF!</v>
      </c>
      <c r="FC228" t="e">
        <f>AND(Sheet1!#REF!,"AAAAAF/+854=")</f>
        <v>#REF!</v>
      </c>
      <c r="FD228" t="e">
        <f>AND(Sheet1!#REF!,"AAAAAF/+858=")</f>
        <v>#REF!</v>
      </c>
      <c r="FE228" t="e">
        <f>AND(Sheet1!#REF!,"AAAAAF/+86A=")</f>
        <v>#REF!</v>
      </c>
      <c r="FF228">
        <f>IF(Sheet1!3068:3068,"AAAAAF/+86E=",0)</f>
        <v>0</v>
      </c>
      <c r="FG228" t="e">
        <f>AND(Sheet1!A3068,"AAAAAF/+86I=")</f>
        <v>#VALUE!</v>
      </c>
      <c r="FH228" t="e">
        <f>AND(Sheet1!B3068,"AAAAAF/+86M=")</f>
        <v>#VALUE!</v>
      </c>
      <c r="FI228" t="e">
        <f>AND(Sheet1!C3068,"AAAAAF/+86Q=")</f>
        <v>#VALUE!</v>
      </c>
      <c r="FJ228" t="e">
        <f>AND(Sheet1!D3068,"AAAAAF/+86U=")</f>
        <v>#VALUE!</v>
      </c>
      <c r="FK228" t="e">
        <f>AND(Sheet1!E3068,"AAAAAF/+86Y=")</f>
        <v>#VALUE!</v>
      </c>
      <c r="FL228" t="e">
        <f>AND(Sheet1!F3068,"AAAAAF/+86c=")</f>
        <v>#VALUE!</v>
      </c>
      <c r="FM228" t="e">
        <f>AND(Sheet1!G3068,"AAAAAF/+86g=")</f>
        <v>#VALUE!</v>
      </c>
      <c r="FN228" t="e">
        <f>AND(Sheet1!H3068,"AAAAAF/+86k=")</f>
        <v>#VALUE!</v>
      </c>
      <c r="FO228" t="e">
        <f>AND(Sheet1!I3068,"AAAAAF/+86o=")</f>
        <v>#VALUE!</v>
      </c>
      <c r="FP228" t="e">
        <f>AND(Sheet1!J3068,"AAAAAF/+86s=")</f>
        <v>#VALUE!</v>
      </c>
      <c r="FQ228" t="e">
        <f>AND(Sheet1!K3068,"AAAAAF/+86w=")</f>
        <v>#VALUE!</v>
      </c>
      <c r="FR228" t="e">
        <f>AND(Sheet1!L3068,"AAAAAF/+860=")</f>
        <v>#VALUE!</v>
      </c>
      <c r="FS228" t="e">
        <f>AND(Sheet1!M3068,"AAAAAF/+864=")</f>
        <v>#VALUE!</v>
      </c>
      <c r="FT228" t="e">
        <f>AND(Sheet1!N3068,"AAAAAF/+868=")</f>
        <v>#VALUE!</v>
      </c>
      <c r="FU228" t="e">
        <f>AND(Sheet1!#REF!,"AAAAAF/+87A=")</f>
        <v>#REF!</v>
      </c>
      <c r="FV228" t="e">
        <f>AND(Sheet1!#REF!,"AAAAAF/+87E=")</f>
        <v>#REF!</v>
      </c>
      <c r="FW228" t="e">
        <f>AND(Sheet1!#REF!,"AAAAAF/+87I=")</f>
        <v>#REF!</v>
      </c>
      <c r="FX228" t="e">
        <f>AND(Sheet1!#REF!,"AAAAAF/+87M=")</f>
        <v>#REF!</v>
      </c>
      <c r="FY228">
        <f>IF(Sheet1!3069:3069,"AAAAAF/+87Q=",0)</f>
        <v>0</v>
      </c>
      <c r="FZ228" t="e">
        <f>AND(Sheet1!A3069,"AAAAAF/+87U=")</f>
        <v>#VALUE!</v>
      </c>
      <c r="GA228" t="e">
        <f>AND(Sheet1!B3069,"AAAAAF/+87Y=")</f>
        <v>#VALUE!</v>
      </c>
      <c r="GB228" t="e">
        <f>AND(Sheet1!C3069,"AAAAAF/+87c=")</f>
        <v>#VALUE!</v>
      </c>
      <c r="GC228" t="e">
        <f>AND(Sheet1!D3069,"AAAAAF/+87g=")</f>
        <v>#VALUE!</v>
      </c>
      <c r="GD228" t="e">
        <f>AND(Sheet1!E3069,"AAAAAF/+87k=")</f>
        <v>#VALUE!</v>
      </c>
      <c r="GE228" t="e">
        <f>AND(Sheet1!F3069,"AAAAAF/+87o=")</f>
        <v>#VALUE!</v>
      </c>
      <c r="GF228" t="e">
        <f>AND(Sheet1!G3069,"AAAAAF/+87s=")</f>
        <v>#VALUE!</v>
      </c>
      <c r="GG228" t="e">
        <f>AND(Sheet1!H3069,"AAAAAF/+87w=")</f>
        <v>#VALUE!</v>
      </c>
      <c r="GH228" t="e">
        <f>AND(Sheet1!I3069,"AAAAAF/+870=")</f>
        <v>#VALUE!</v>
      </c>
      <c r="GI228" t="e">
        <f>AND(Sheet1!J3069,"AAAAAF/+874=")</f>
        <v>#VALUE!</v>
      </c>
      <c r="GJ228" t="e">
        <f>AND(Sheet1!K3069,"AAAAAF/+878=")</f>
        <v>#VALUE!</v>
      </c>
      <c r="GK228" t="e">
        <f>AND(Sheet1!L3069,"AAAAAF/+88A=")</f>
        <v>#VALUE!</v>
      </c>
      <c r="GL228" t="e">
        <f>AND(Sheet1!M3069,"AAAAAF/+88E=")</f>
        <v>#VALUE!</v>
      </c>
      <c r="GM228" t="e">
        <f>AND(Sheet1!N3069,"AAAAAF/+88I=")</f>
        <v>#VALUE!</v>
      </c>
      <c r="GN228" t="e">
        <f>AND(Sheet1!#REF!,"AAAAAF/+88M=")</f>
        <v>#REF!</v>
      </c>
      <c r="GO228" t="e">
        <f>AND(Sheet1!#REF!,"AAAAAF/+88Q=")</f>
        <v>#REF!</v>
      </c>
      <c r="GP228" t="e">
        <f>AND(Sheet1!#REF!,"AAAAAF/+88U=")</f>
        <v>#REF!</v>
      </c>
      <c r="GQ228" t="e">
        <f>AND(Sheet1!#REF!,"AAAAAF/+88Y=")</f>
        <v>#REF!</v>
      </c>
      <c r="GR228">
        <f>IF(Sheet1!3070:3070,"AAAAAF/+88c=",0)</f>
        <v>0</v>
      </c>
      <c r="GS228" t="e">
        <f>AND(Sheet1!A3070,"AAAAAF/+88g=")</f>
        <v>#VALUE!</v>
      </c>
      <c r="GT228" t="e">
        <f>AND(Sheet1!B3070,"AAAAAF/+88k=")</f>
        <v>#VALUE!</v>
      </c>
      <c r="GU228" t="e">
        <f>AND(Sheet1!C3070,"AAAAAF/+88o=")</f>
        <v>#VALUE!</v>
      </c>
      <c r="GV228" t="e">
        <f>AND(Sheet1!D3070,"AAAAAF/+88s=")</f>
        <v>#VALUE!</v>
      </c>
      <c r="GW228" t="e">
        <f>AND(Sheet1!E3070,"AAAAAF/+88w=")</f>
        <v>#VALUE!</v>
      </c>
      <c r="GX228" t="e">
        <f>AND(Sheet1!F3070,"AAAAAF/+880=")</f>
        <v>#VALUE!</v>
      </c>
      <c r="GY228" t="e">
        <f>AND(Sheet1!G3070,"AAAAAF/+884=")</f>
        <v>#VALUE!</v>
      </c>
      <c r="GZ228" t="e">
        <f>AND(Sheet1!H3070,"AAAAAF/+888=")</f>
        <v>#VALUE!</v>
      </c>
      <c r="HA228" t="e">
        <f>AND(Sheet1!I3070,"AAAAAF/+89A=")</f>
        <v>#VALUE!</v>
      </c>
      <c r="HB228" t="e">
        <f>AND(Sheet1!J3070,"AAAAAF/+89E=")</f>
        <v>#VALUE!</v>
      </c>
      <c r="HC228" t="e">
        <f>AND(Sheet1!K3070,"AAAAAF/+89I=")</f>
        <v>#VALUE!</v>
      </c>
      <c r="HD228" t="e">
        <f>AND(Sheet1!L3070,"AAAAAF/+89M=")</f>
        <v>#VALUE!</v>
      </c>
      <c r="HE228" t="e">
        <f>AND(Sheet1!M3070,"AAAAAF/+89Q=")</f>
        <v>#VALUE!</v>
      </c>
      <c r="HF228" t="e">
        <f>AND(Sheet1!N3070,"AAAAAF/+89U=")</f>
        <v>#VALUE!</v>
      </c>
      <c r="HG228" t="e">
        <f>AND(Sheet1!#REF!,"AAAAAF/+89Y=")</f>
        <v>#REF!</v>
      </c>
      <c r="HH228" t="e">
        <f>AND(Sheet1!#REF!,"AAAAAF/+89c=")</f>
        <v>#REF!</v>
      </c>
      <c r="HI228" t="e">
        <f>AND(Sheet1!#REF!,"AAAAAF/+89g=")</f>
        <v>#REF!</v>
      </c>
      <c r="HJ228" t="e">
        <f>AND(Sheet1!#REF!,"AAAAAF/+89k=")</f>
        <v>#REF!</v>
      </c>
      <c r="HK228">
        <f>IF(Sheet1!3071:3071,"AAAAAF/+89o=",0)</f>
        <v>0</v>
      </c>
      <c r="HL228" t="e">
        <f>AND(Sheet1!A3071,"AAAAAF/+89s=")</f>
        <v>#VALUE!</v>
      </c>
      <c r="HM228" t="e">
        <f>AND(Sheet1!B3071,"AAAAAF/+89w=")</f>
        <v>#VALUE!</v>
      </c>
      <c r="HN228" t="e">
        <f>AND(Sheet1!C3071,"AAAAAF/+890=")</f>
        <v>#VALUE!</v>
      </c>
      <c r="HO228" t="e">
        <f>AND(Sheet1!D3071,"AAAAAF/+894=")</f>
        <v>#VALUE!</v>
      </c>
      <c r="HP228" t="e">
        <f>AND(Sheet1!E3071,"AAAAAF/+898=")</f>
        <v>#VALUE!</v>
      </c>
      <c r="HQ228" t="e">
        <f>AND(Sheet1!F3071,"AAAAAF/+8+A=")</f>
        <v>#VALUE!</v>
      </c>
      <c r="HR228" t="e">
        <f>AND(Sheet1!G3071,"AAAAAF/+8+E=")</f>
        <v>#VALUE!</v>
      </c>
      <c r="HS228" t="e">
        <f>AND(Sheet1!H3071,"AAAAAF/+8+I=")</f>
        <v>#VALUE!</v>
      </c>
      <c r="HT228" t="e">
        <f>AND(Sheet1!I3071,"AAAAAF/+8+M=")</f>
        <v>#VALUE!</v>
      </c>
      <c r="HU228" t="e">
        <f>AND(Sheet1!J3071,"AAAAAF/+8+Q=")</f>
        <v>#VALUE!</v>
      </c>
      <c r="HV228" t="e">
        <f>AND(Sheet1!K3071,"AAAAAF/+8+U=")</f>
        <v>#VALUE!</v>
      </c>
      <c r="HW228" t="e">
        <f>AND(Sheet1!L3071,"AAAAAF/+8+Y=")</f>
        <v>#VALUE!</v>
      </c>
      <c r="HX228" t="e">
        <f>AND(Sheet1!M3071,"AAAAAF/+8+c=")</f>
        <v>#VALUE!</v>
      </c>
      <c r="HY228" t="e">
        <f>AND(Sheet1!N3071,"AAAAAF/+8+g=")</f>
        <v>#VALUE!</v>
      </c>
      <c r="HZ228" t="e">
        <f>AND(Sheet1!#REF!,"AAAAAF/+8+k=")</f>
        <v>#REF!</v>
      </c>
      <c r="IA228" t="e">
        <f>AND(Sheet1!#REF!,"AAAAAF/+8+o=")</f>
        <v>#REF!</v>
      </c>
      <c r="IB228" t="e">
        <f>AND(Sheet1!#REF!,"AAAAAF/+8+s=")</f>
        <v>#REF!</v>
      </c>
      <c r="IC228" t="e">
        <f>AND(Sheet1!#REF!,"AAAAAF/+8+w=")</f>
        <v>#REF!</v>
      </c>
      <c r="ID228">
        <f>IF(Sheet1!3072:3072,"AAAAAF/+8+0=",0)</f>
        <v>0</v>
      </c>
      <c r="IE228" t="e">
        <f>AND(Sheet1!A3072,"AAAAAF/+8+4=")</f>
        <v>#VALUE!</v>
      </c>
      <c r="IF228" t="e">
        <f>AND(Sheet1!B3072,"AAAAAF/+8+8=")</f>
        <v>#VALUE!</v>
      </c>
      <c r="IG228" t="e">
        <f>AND(Sheet1!C3072,"AAAAAF/+8/A=")</f>
        <v>#VALUE!</v>
      </c>
      <c r="IH228" t="e">
        <f>AND(Sheet1!D3072,"AAAAAF/+8/E=")</f>
        <v>#VALUE!</v>
      </c>
      <c r="II228" t="e">
        <f>AND(Sheet1!E3072,"AAAAAF/+8/I=")</f>
        <v>#VALUE!</v>
      </c>
      <c r="IJ228" t="e">
        <f>AND(Sheet1!F3072,"AAAAAF/+8/M=")</f>
        <v>#VALUE!</v>
      </c>
      <c r="IK228" t="e">
        <f>AND(Sheet1!G3072,"AAAAAF/+8/Q=")</f>
        <v>#VALUE!</v>
      </c>
      <c r="IL228" t="e">
        <f>AND(Sheet1!H3072,"AAAAAF/+8/U=")</f>
        <v>#VALUE!</v>
      </c>
      <c r="IM228" t="e">
        <f>AND(Sheet1!I3072,"AAAAAF/+8/Y=")</f>
        <v>#VALUE!</v>
      </c>
      <c r="IN228" t="e">
        <f>AND(Sheet1!J3072,"AAAAAF/+8/c=")</f>
        <v>#VALUE!</v>
      </c>
      <c r="IO228" t="e">
        <f>AND(Sheet1!K3072,"AAAAAF/+8/g=")</f>
        <v>#VALUE!</v>
      </c>
      <c r="IP228" t="e">
        <f>AND(Sheet1!L3072,"AAAAAF/+8/k=")</f>
        <v>#VALUE!</v>
      </c>
      <c r="IQ228" t="e">
        <f>AND(Sheet1!M3072,"AAAAAF/+8/o=")</f>
        <v>#VALUE!</v>
      </c>
      <c r="IR228" t="e">
        <f>AND(Sheet1!N3072,"AAAAAF/+8/s=")</f>
        <v>#VALUE!</v>
      </c>
      <c r="IS228" t="e">
        <f>AND(Sheet1!#REF!,"AAAAAF/+8/w=")</f>
        <v>#REF!</v>
      </c>
      <c r="IT228" t="e">
        <f>AND(Sheet1!#REF!,"AAAAAF/+8/0=")</f>
        <v>#REF!</v>
      </c>
      <c r="IU228" t="e">
        <f>AND(Sheet1!#REF!,"AAAAAF/+8/4=")</f>
        <v>#REF!</v>
      </c>
      <c r="IV228" t="e">
        <f>AND(Sheet1!#REF!,"AAAAAF/+8/8=")</f>
        <v>#REF!</v>
      </c>
    </row>
    <row r="229" spans="1:256" x14ac:dyDescent="0.2">
      <c r="A229" t="e">
        <f>IF(Sheet1!3073:3073,"AAAAAHLz+wA=",0)</f>
        <v>#VALUE!</v>
      </c>
      <c r="B229" t="e">
        <f>AND(Sheet1!A3073,"AAAAAHLz+wE=")</f>
        <v>#VALUE!</v>
      </c>
      <c r="C229" t="e">
        <f>AND(Sheet1!B3073,"AAAAAHLz+wI=")</f>
        <v>#VALUE!</v>
      </c>
      <c r="D229" t="e">
        <f>AND(Sheet1!C3073,"AAAAAHLz+wM=")</f>
        <v>#VALUE!</v>
      </c>
      <c r="E229" t="e">
        <f>AND(Sheet1!D3073,"AAAAAHLz+wQ=")</f>
        <v>#VALUE!</v>
      </c>
      <c r="F229" t="e">
        <f>AND(Sheet1!E3073,"AAAAAHLz+wU=")</f>
        <v>#VALUE!</v>
      </c>
      <c r="G229" t="e">
        <f>AND(Sheet1!F3073,"AAAAAHLz+wY=")</f>
        <v>#VALUE!</v>
      </c>
      <c r="H229" t="e">
        <f>AND(Sheet1!G3073,"AAAAAHLz+wc=")</f>
        <v>#VALUE!</v>
      </c>
      <c r="I229" t="e">
        <f>AND(Sheet1!H3073,"AAAAAHLz+wg=")</f>
        <v>#VALUE!</v>
      </c>
      <c r="J229" t="e">
        <f>AND(Sheet1!I3073,"AAAAAHLz+wk=")</f>
        <v>#VALUE!</v>
      </c>
      <c r="K229" t="e">
        <f>AND(Sheet1!J3073,"AAAAAHLz+wo=")</f>
        <v>#VALUE!</v>
      </c>
      <c r="L229" t="e">
        <f>AND(Sheet1!K3073,"AAAAAHLz+ws=")</f>
        <v>#VALUE!</v>
      </c>
      <c r="M229" t="e">
        <f>AND(Sheet1!L3073,"AAAAAHLz+ww=")</f>
        <v>#VALUE!</v>
      </c>
      <c r="N229" t="e">
        <f>AND(Sheet1!M3073,"AAAAAHLz+w0=")</f>
        <v>#VALUE!</v>
      </c>
      <c r="O229" t="e">
        <f>AND(Sheet1!N3073,"AAAAAHLz+w4=")</f>
        <v>#VALUE!</v>
      </c>
      <c r="P229" t="e">
        <f>AND(Sheet1!#REF!,"AAAAAHLz+w8=")</f>
        <v>#REF!</v>
      </c>
      <c r="Q229" t="e">
        <f>AND(Sheet1!#REF!,"AAAAAHLz+xA=")</f>
        <v>#REF!</v>
      </c>
      <c r="R229" t="e">
        <f>AND(Sheet1!#REF!,"AAAAAHLz+xE=")</f>
        <v>#REF!</v>
      </c>
      <c r="S229" t="e">
        <f>AND(Sheet1!#REF!,"AAAAAHLz+xI=")</f>
        <v>#REF!</v>
      </c>
      <c r="T229">
        <f>IF(Sheet1!3074:3074,"AAAAAHLz+xM=",0)</f>
        <v>0</v>
      </c>
      <c r="U229" t="e">
        <f>AND(Sheet1!A3074,"AAAAAHLz+xQ=")</f>
        <v>#VALUE!</v>
      </c>
      <c r="V229" t="e">
        <f>AND(Sheet1!B3074,"AAAAAHLz+xU=")</f>
        <v>#VALUE!</v>
      </c>
      <c r="W229" t="e">
        <f>AND(Sheet1!C3074,"AAAAAHLz+xY=")</f>
        <v>#VALUE!</v>
      </c>
      <c r="X229" t="e">
        <f>AND(Sheet1!D3074,"AAAAAHLz+xc=")</f>
        <v>#VALUE!</v>
      </c>
      <c r="Y229" t="e">
        <f>AND(Sheet1!E3074,"AAAAAHLz+xg=")</f>
        <v>#VALUE!</v>
      </c>
      <c r="Z229" t="e">
        <f>AND(Sheet1!F3074,"AAAAAHLz+xk=")</f>
        <v>#VALUE!</v>
      </c>
      <c r="AA229" t="e">
        <f>AND(Sheet1!G3074,"AAAAAHLz+xo=")</f>
        <v>#VALUE!</v>
      </c>
      <c r="AB229" t="e">
        <f>AND(Sheet1!H3074,"AAAAAHLz+xs=")</f>
        <v>#VALUE!</v>
      </c>
      <c r="AC229" t="e">
        <f>AND(Sheet1!I3074,"AAAAAHLz+xw=")</f>
        <v>#VALUE!</v>
      </c>
      <c r="AD229" t="e">
        <f>AND(Sheet1!J3074,"AAAAAHLz+x0=")</f>
        <v>#VALUE!</v>
      </c>
      <c r="AE229" t="e">
        <f>AND(Sheet1!K3074,"AAAAAHLz+x4=")</f>
        <v>#VALUE!</v>
      </c>
      <c r="AF229" t="e">
        <f>AND(Sheet1!L3074,"AAAAAHLz+x8=")</f>
        <v>#VALUE!</v>
      </c>
      <c r="AG229" t="e">
        <f>AND(Sheet1!M3074,"AAAAAHLz+yA=")</f>
        <v>#VALUE!</v>
      </c>
      <c r="AH229" t="e">
        <f>AND(Sheet1!N3074,"AAAAAHLz+yE=")</f>
        <v>#VALUE!</v>
      </c>
      <c r="AI229" t="e">
        <f>AND(Sheet1!#REF!,"AAAAAHLz+yI=")</f>
        <v>#REF!</v>
      </c>
      <c r="AJ229" t="e">
        <f>AND(Sheet1!#REF!,"AAAAAHLz+yM=")</f>
        <v>#REF!</v>
      </c>
      <c r="AK229" t="e">
        <f>AND(Sheet1!#REF!,"AAAAAHLz+yQ=")</f>
        <v>#REF!</v>
      </c>
      <c r="AL229" t="e">
        <f>AND(Sheet1!#REF!,"AAAAAHLz+yU=")</f>
        <v>#REF!</v>
      </c>
      <c r="AM229">
        <f>IF(Sheet1!3075:3075,"AAAAAHLz+yY=",0)</f>
        <v>0</v>
      </c>
      <c r="AN229" t="e">
        <f>AND(Sheet1!A3075,"AAAAAHLz+yc=")</f>
        <v>#VALUE!</v>
      </c>
      <c r="AO229" t="e">
        <f>AND(Sheet1!B3075,"AAAAAHLz+yg=")</f>
        <v>#VALUE!</v>
      </c>
      <c r="AP229" t="e">
        <f>AND(Sheet1!C3075,"AAAAAHLz+yk=")</f>
        <v>#VALUE!</v>
      </c>
      <c r="AQ229" t="e">
        <f>AND(Sheet1!D3075,"AAAAAHLz+yo=")</f>
        <v>#VALUE!</v>
      </c>
      <c r="AR229" t="e">
        <f>AND(Sheet1!E3075,"AAAAAHLz+ys=")</f>
        <v>#VALUE!</v>
      </c>
      <c r="AS229" t="e">
        <f>AND(Sheet1!F3075,"AAAAAHLz+yw=")</f>
        <v>#VALUE!</v>
      </c>
      <c r="AT229" t="e">
        <f>AND(Sheet1!G3075,"AAAAAHLz+y0=")</f>
        <v>#VALUE!</v>
      </c>
      <c r="AU229" t="e">
        <f>AND(Sheet1!H3075,"AAAAAHLz+y4=")</f>
        <v>#VALUE!</v>
      </c>
      <c r="AV229" t="e">
        <f>AND(Sheet1!I3075,"AAAAAHLz+y8=")</f>
        <v>#VALUE!</v>
      </c>
      <c r="AW229" t="e">
        <f>AND(Sheet1!J3075,"AAAAAHLz+zA=")</f>
        <v>#VALUE!</v>
      </c>
      <c r="AX229" t="e">
        <f>AND(Sheet1!K3075,"AAAAAHLz+zE=")</f>
        <v>#VALUE!</v>
      </c>
      <c r="AY229" t="e">
        <f>AND(Sheet1!L3075,"AAAAAHLz+zI=")</f>
        <v>#VALUE!</v>
      </c>
      <c r="AZ229" t="e">
        <f>AND(Sheet1!M3075,"AAAAAHLz+zM=")</f>
        <v>#VALUE!</v>
      </c>
      <c r="BA229" t="e">
        <f>AND(Sheet1!N3075,"AAAAAHLz+zQ=")</f>
        <v>#VALUE!</v>
      </c>
      <c r="BB229" t="e">
        <f>AND(Sheet1!#REF!,"AAAAAHLz+zU=")</f>
        <v>#REF!</v>
      </c>
      <c r="BC229" t="e">
        <f>AND(Sheet1!#REF!,"AAAAAHLz+zY=")</f>
        <v>#REF!</v>
      </c>
      <c r="BD229" t="e">
        <f>AND(Sheet1!#REF!,"AAAAAHLz+zc=")</f>
        <v>#REF!</v>
      </c>
      <c r="BE229" t="e">
        <f>AND(Sheet1!#REF!,"AAAAAHLz+zg=")</f>
        <v>#REF!</v>
      </c>
      <c r="BF229">
        <f>IF(Sheet1!3076:3076,"AAAAAHLz+zk=",0)</f>
        <v>0</v>
      </c>
      <c r="BG229" t="e">
        <f>AND(Sheet1!A3076,"AAAAAHLz+zo=")</f>
        <v>#VALUE!</v>
      </c>
      <c r="BH229" t="e">
        <f>AND(Sheet1!B3076,"AAAAAHLz+zs=")</f>
        <v>#VALUE!</v>
      </c>
      <c r="BI229" t="e">
        <f>AND(Sheet1!C3076,"AAAAAHLz+zw=")</f>
        <v>#VALUE!</v>
      </c>
      <c r="BJ229" t="e">
        <f>AND(Sheet1!D3076,"AAAAAHLz+z0=")</f>
        <v>#VALUE!</v>
      </c>
      <c r="BK229" t="e">
        <f>AND(Sheet1!E3076,"AAAAAHLz+z4=")</f>
        <v>#VALUE!</v>
      </c>
      <c r="BL229" t="e">
        <f>AND(Sheet1!F3076,"AAAAAHLz+z8=")</f>
        <v>#VALUE!</v>
      </c>
      <c r="BM229" t="e">
        <f>AND(Sheet1!G3076,"AAAAAHLz+0A=")</f>
        <v>#VALUE!</v>
      </c>
      <c r="BN229" t="e">
        <f>AND(Sheet1!H3076,"AAAAAHLz+0E=")</f>
        <v>#VALUE!</v>
      </c>
      <c r="BO229" t="e">
        <f>AND(Sheet1!I3076,"AAAAAHLz+0I=")</f>
        <v>#VALUE!</v>
      </c>
      <c r="BP229" t="e">
        <f>AND(Sheet1!J3076,"AAAAAHLz+0M=")</f>
        <v>#VALUE!</v>
      </c>
      <c r="BQ229" t="e">
        <f>AND(Sheet1!K3076,"AAAAAHLz+0Q=")</f>
        <v>#VALUE!</v>
      </c>
      <c r="BR229" t="e">
        <f>AND(Sheet1!L3076,"AAAAAHLz+0U=")</f>
        <v>#VALUE!</v>
      </c>
      <c r="BS229" t="e">
        <f>AND(Sheet1!M3076,"AAAAAHLz+0Y=")</f>
        <v>#VALUE!</v>
      </c>
      <c r="BT229" t="e">
        <f>AND(Sheet1!N3076,"AAAAAHLz+0c=")</f>
        <v>#VALUE!</v>
      </c>
      <c r="BU229" t="e">
        <f>AND(Sheet1!#REF!,"AAAAAHLz+0g=")</f>
        <v>#REF!</v>
      </c>
      <c r="BV229" t="e">
        <f>AND(Sheet1!#REF!,"AAAAAHLz+0k=")</f>
        <v>#REF!</v>
      </c>
      <c r="BW229" t="e">
        <f>AND(Sheet1!#REF!,"AAAAAHLz+0o=")</f>
        <v>#REF!</v>
      </c>
      <c r="BX229" t="e">
        <f>AND(Sheet1!#REF!,"AAAAAHLz+0s=")</f>
        <v>#REF!</v>
      </c>
      <c r="BY229">
        <f>IF(Sheet1!3077:3077,"AAAAAHLz+0w=",0)</f>
        <v>0</v>
      </c>
      <c r="BZ229" t="e">
        <f>AND(Sheet1!A3077,"AAAAAHLz+00=")</f>
        <v>#VALUE!</v>
      </c>
      <c r="CA229" t="e">
        <f>AND(Sheet1!B3077,"AAAAAHLz+04=")</f>
        <v>#VALUE!</v>
      </c>
      <c r="CB229" t="e">
        <f>AND(Sheet1!C3077,"AAAAAHLz+08=")</f>
        <v>#VALUE!</v>
      </c>
      <c r="CC229" t="e">
        <f>AND(Sheet1!D3077,"AAAAAHLz+1A=")</f>
        <v>#VALUE!</v>
      </c>
      <c r="CD229" t="e">
        <f>AND(Sheet1!E3077,"AAAAAHLz+1E=")</f>
        <v>#VALUE!</v>
      </c>
      <c r="CE229" t="e">
        <f>AND(Sheet1!F3077,"AAAAAHLz+1I=")</f>
        <v>#VALUE!</v>
      </c>
      <c r="CF229" t="e">
        <f>AND(Sheet1!G3077,"AAAAAHLz+1M=")</f>
        <v>#VALUE!</v>
      </c>
      <c r="CG229" t="e">
        <f>AND(Sheet1!H3077,"AAAAAHLz+1Q=")</f>
        <v>#VALUE!</v>
      </c>
      <c r="CH229" t="e">
        <f>AND(Sheet1!I3077,"AAAAAHLz+1U=")</f>
        <v>#VALUE!</v>
      </c>
      <c r="CI229" t="e">
        <f>AND(Sheet1!J3077,"AAAAAHLz+1Y=")</f>
        <v>#VALUE!</v>
      </c>
      <c r="CJ229" t="e">
        <f>AND(Sheet1!K3077,"AAAAAHLz+1c=")</f>
        <v>#VALUE!</v>
      </c>
      <c r="CK229" t="e">
        <f>AND(Sheet1!L3077,"AAAAAHLz+1g=")</f>
        <v>#VALUE!</v>
      </c>
      <c r="CL229" t="e">
        <f>AND(Sheet1!M3077,"AAAAAHLz+1k=")</f>
        <v>#VALUE!</v>
      </c>
      <c r="CM229" t="e">
        <f>AND(Sheet1!N3077,"AAAAAHLz+1o=")</f>
        <v>#VALUE!</v>
      </c>
      <c r="CN229" t="e">
        <f>AND(Sheet1!#REF!,"AAAAAHLz+1s=")</f>
        <v>#REF!</v>
      </c>
      <c r="CO229" t="e">
        <f>AND(Sheet1!#REF!,"AAAAAHLz+1w=")</f>
        <v>#REF!</v>
      </c>
      <c r="CP229" t="e">
        <f>AND(Sheet1!#REF!,"AAAAAHLz+10=")</f>
        <v>#REF!</v>
      </c>
      <c r="CQ229" t="e">
        <f>AND(Sheet1!#REF!,"AAAAAHLz+14=")</f>
        <v>#REF!</v>
      </c>
      <c r="CR229">
        <f>IF(Sheet1!3078:3078,"AAAAAHLz+18=",0)</f>
        <v>0</v>
      </c>
      <c r="CS229" t="e">
        <f>AND(Sheet1!A3078,"AAAAAHLz+2A=")</f>
        <v>#VALUE!</v>
      </c>
      <c r="CT229" t="e">
        <f>AND(Sheet1!B3078,"AAAAAHLz+2E=")</f>
        <v>#VALUE!</v>
      </c>
      <c r="CU229" t="e">
        <f>AND(Sheet1!C3078,"AAAAAHLz+2I=")</f>
        <v>#VALUE!</v>
      </c>
      <c r="CV229" t="e">
        <f>AND(Sheet1!D3078,"AAAAAHLz+2M=")</f>
        <v>#VALUE!</v>
      </c>
      <c r="CW229" t="e">
        <f>AND(Sheet1!E3078,"AAAAAHLz+2Q=")</f>
        <v>#VALUE!</v>
      </c>
      <c r="CX229" t="e">
        <f>AND(Sheet1!F3078,"AAAAAHLz+2U=")</f>
        <v>#VALUE!</v>
      </c>
      <c r="CY229" t="e">
        <f>AND(Sheet1!G3078,"AAAAAHLz+2Y=")</f>
        <v>#VALUE!</v>
      </c>
      <c r="CZ229" t="e">
        <f>AND(Sheet1!H3078,"AAAAAHLz+2c=")</f>
        <v>#VALUE!</v>
      </c>
      <c r="DA229" t="e">
        <f>AND(Sheet1!I3078,"AAAAAHLz+2g=")</f>
        <v>#VALUE!</v>
      </c>
      <c r="DB229" t="e">
        <f>AND(Sheet1!J3078,"AAAAAHLz+2k=")</f>
        <v>#VALUE!</v>
      </c>
      <c r="DC229" t="e">
        <f>AND(Sheet1!K3078,"AAAAAHLz+2o=")</f>
        <v>#VALUE!</v>
      </c>
      <c r="DD229" t="e">
        <f>AND(Sheet1!L3078,"AAAAAHLz+2s=")</f>
        <v>#VALUE!</v>
      </c>
      <c r="DE229" t="e">
        <f>AND(Sheet1!M3078,"AAAAAHLz+2w=")</f>
        <v>#VALUE!</v>
      </c>
      <c r="DF229" t="e">
        <f>AND(Sheet1!N3078,"AAAAAHLz+20=")</f>
        <v>#VALUE!</v>
      </c>
      <c r="DG229" t="e">
        <f>AND(Sheet1!#REF!,"AAAAAHLz+24=")</f>
        <v>#REF!</v>
      </c>
      <c r="DH229" t="e">
        <f>AND(Sheet1!#REF!,"AAAAAHLz+28=")</f>
        <v>#REF!</v>
      </c>
      <c r="DI229" t="e">
        <f>AND(Sheet1!#REF!,"AAAAAHLz+3A=")</f>
        <v>#REF!</v>
      </c>
      <c r="DJ229" t="e">
        <f>AND(Sheet1!#REF!,"AAAAAHLz+3E=")</f>
        <v>#REF!</v>
      </c>
      <c r="DK229">
        <f>IF(Sheet1!3079:3079,"AAAAAHLz+3I=",0)</f>
        <v>0</v>
      </c>
      <c r="DL229" t="e">
        <f>AND(Sheet1!A3079,"AAAAAHLz+3M=")</f>
        <v>#VALUE!</v>
      </c>
      <c r="DM229" t="e">
        <f>AND(Sheet1!B3079,"AAAAAHLz+3Q=")</f>
        <v>#VALUE!</v>
      </c>
      <c r="DN229" t="e">
        <f>AND(Sheet1!C3079,"AAAAAHLz+3U=")</f>
        <v>#VALUE!</v>
      </c>
      <c r="DO229" t="e">
        <f>AND(Sheet1!D3079,"AAAAAHLz+3Y=")</f>
        <v>#VALUE!</v>
      </c>
      <c r="DP229" t="e">
        <f>AND(Sheet1!E3079,"AAAAAHLz+3c=")</f>
        <v>#VALUE!</v>
      </c>
      <c r="DQ229" t="e">
        <f>AND(Sheet1!F3079,"AAAAAHLz+3g=")</f>
        <v>#VALUE!</v>
      </c>
      <c r="DR229" t="e">
        <f>AND(Sheet1!G3079,"AAAAAHLz+3k=")</f>
        <v>#VALUE!</v>
      </c>
      <c r="DS229" t="e">
        <f>AND(Sheet1!H3079,"AAAAAHLz+3o=")</f>
        <v>#VALUE!</v>
      </c>
      <c r="DT229" t="e">
        <f>AND(Sheet1!I3079,"AAAAAHLz+3s=")</f>
        <v>#VALUE!</v>
      </c>
      <c r="DU229" t="e">
        <f>AND(Sheet1!J3079,"AAAAAHLz+3w=")</f>
        <v>#VALUE!</v>
      </c>
      <c r="DV229" t="e">
        <f>AND(Sheet1!K3079,"AAAAAHLz+30=")</f>
        <v>#VALUE!</v>
      </c>
      <c r="DW229" t="e">
        <f>AND(Sheet1!L3079,"AAAAAHLz+34=")</f>
        <v>#VALUE!</v>
      </c>
      <c r="DX229" t="e">
        <f>AND(Sheet1!M3079,"AAAAAHLz+38=")</f>
        <v>#VALUE!</v>
      </c>
      <c r="DY229" t="e">
        <f>AND(Sheet1!N3079,"AAAAAHLz+4A=")</f>
        <v>#VALUE!</v>
      </c>
      <c r="DZ229" t="e">
        <f>AND(Sheet1!#REF!,"AAAAAHLz+4E=")</f>
        <v>#REF!</v>
      </c>
      <c r="EA229" t="e">
        <f>AND(Sheet1!#REF!,"AAAAAHLz+4I=")</f>
        <v>#REF!</v>
      </c>
      <c r="EB229" t="e">
        <f>AND(Sheet1!#REF!,"AAAAAHLz+4M=")</f>
        <v>#REF!</v>
      </c>
      <c r="EC229" t="e">
        <f>AND(Sheet1!#REF!,"AAAAAHLz+4Q=")</f>
        <v>#REF!</v>
      </c>
      <c r="ED229">
        <f>IF(Sheet1!3080:3080,"AAAAAHLz+4U=",0)</f>
        <v>0</v>
      </c>
      <c r="EE229" t="e">
        <f>AND(Sheet1!A3080,"AAAAAHLz+4Y=")</f>
        <v>#VALUE!</v>
      </c>
      <c r="EF229" t="e">
        <f>AND(Sheet1!B3080,"AAAAAHLz+4c=")</f>
        <v>#VALUE!</v>
      </c>
      <c r="EG229" t="e">
        <f>AND(Sheet1!C3080,"AAAAAHLz+4g=")</f>
        <v>#VALUE!</v>
      </c>
      <c r="EH229" t="e">
        <f>AND(Sheet1!D3080,"AAAAAHLz+4k=")</f>
        <v>#VALUE!</v>
      </c>
      <c r="EI229" t="e">
        <f>AND(Sheet1!E3080,"AAAAAHLz+4o=")</f>
        <v>#VALUE!</v>
      </c>
      <c r="EJ229" t="e">
        <f>AND(Sheet1!F3080,"AAAAAHLz+4s=")</f>
        <v>#VALUE!</v>
      </c>
      <c r="EK229" t="e">
        <f>AND(Sheet1!G3080,"AAAAAHLz+4w=")</f>
        <v>#VALUE!</v>
      </c>
      <c r="EL229" t="e">
        <f>AND(Sheet1!H3080,"AAAAAHLz+40=")</f>
        <v>#VALUE!</v>
      </c>
      <c r="EM229" t="e">
        <f>AND(Sheet1!I3080,"AAAAAHLz+44=")</f>
        <v>#VALUE!</v>
      </c>
      <c r="EN229" t="e">
        <f>AND(Sheet1!J3080,"AAAAAHLz+48=")</f>
        <v>#VALUE!</v>
      </c>
      <c r="EO229" t="e">
        <f>AND(Sheet1!K3080,"AAAAAHLz+5A=")</f>
        <v>#VALUE!</v>
      </c>
      <c r="EP229" t="e">
        <f>AND(Sheet1!L3080,"AAAAAHLz+5E=")</f>
        <v>#VALUE!</v>
      </c>
      <c r="EQ229" t="e">
        <f>AND(Sheet1!M3080,"AAAAAHLz+5I=")</f>
        <v>#VALUE!</v>
      </c>
      <c r="ER229" t="e">
        <f>AND(Sheet1!N3080,"AAAAAHLz+5M=")</f>
        <v>#VALUE!</v>
      </c>
      <c r="ES229" t="e">
        <f>AND(Sheet1!#REF!,"AAAAAHLz+5Q=")</f>
        <v>#REF!</v>
      </c>
      <c r="ET229" t="e">
        <f>AND(Sheet1!#REF!,"AAAAAHLz+5U=")</f>
        <v>#REF!</v>
      </c>
      <c r="EU229" t="e">
        <f>AND(Sheet1!#REF!,"AAAAAHLz+5Y=")</f>
        <v>#REF!</v>
      </c>
      <c r="EV229" t="e">
        <f>AND(Sheet1!#REF!,"AAAAAHLz+5c=")</f>
        <v>#REF!</v>
      </c>
      <c r="EW229">
        <f>IF(Sheet1!3081:3081,"AAAAAHLz+5g=",0)</f>
        <v>0</v>
      </c>
      <c r="EX229" t="e">
        <f>AND(Sheet1!A3081,"AAAAAHLz+5k=")</f>
        <v>#VALUE!</v>
      </c>
      <c r="EY229" t="e">
        <f>AND(Sheet1!B3081,"AAAAAHLz+5o=")</f>
        <v>#VALUE!</v>
      </c>
      <c r="EZ229" t="e">
        <f>AND(Sheet1!C3081,"AAAAAHLz+5s=")</f>
        <v>#VALUE!</v>
      </c>
      <c r="FA229" t="e">
        <f>AND(Sheet1!D3081,"AAAAAHLz+5w=")</f>
        <v>#VALUE!</v>
      </c>
      <c r="FB229" t="e">
        <f>AND(Sheet1!E3081,"AAAAAHLz+50=")</f>
        <v>#VALUE!</v>
      </c>
      <c r="FC229" t="e">
        <f>AND(Sheet1!F3081,"AAAAAHLz+54=")</f>
        <v>#VALUE!</v>
      </c>
      <c r="FD229" t="e">
        <f>AND(Sheet1!G3081,"AAAAAHLz+58=")</f>
        <v>#VALUE!</v>
      </c>
      <c r="FE229" t="e">
        <f>AND(Sheet1!H3081,"AAAAAHLz+6A=")</f>
        <v>#VALUE!</v>
      </c>
      <c r="FF229" t="e">
        <f>AND(Sheet1!I3081,"AAAAAHLz+6E=")</f>
        <v>#VALUE!</v>
      </c>
      <c r="FG229" t="e">
        <f>AND(Sheet1!J3081,"AAAAAHLz+6I=")</f>
        <v>#VALUE!</v>
      </c>
      <c r="FH229" t="e">
        <f>AND(Sheet1!K3081,"AAAAAHLz+6M=")</f>
        <v>#VALUE!</v>
      </c>
      <c r="FI229" t="e">
        <f>AND(Sheet1!L3081,"AAAAAHLz+6Q=")</f>
        <v>#VALUE!</v>
      </c>
      <c r="FJ229" t="e">
        <f>AND(Sheet1!M3081,"AAAAAHLz+6U=")</f>
        <v>#VALUE!</v>
      </c>
      <c r="FK229" t="e">
        <f>AND(Sheet1!N3081,"AAAAAHLz+6Y=")</f>
        <v>#VALUE!</v>
      </c>
      <c r="FL229" t="e">
        <f>AND(Sheet1!#REF!,"AAAAAHLz+6c=")</f>
        <v>#REF!</v>
      </c>
      <c r="FM229" t="e">
        <f>AND(Sheet1!#REF!,"AAAAAHLz+6g=")</f>
        <v>#REF!</v>
      </c>
      <c r="FN229" t="e">
        <f>AND(Sheet1!#REF!,"AAAAAHLz+6k=")</f>
        <v>#REF!</v>
      </c>
      <c r="FO229" t="e">
        <f>AND(Sheet1!#REF!,"AAAAAHLz+6o=")</f>
        <v>#REF!</v>
      </c>
      <c r="FP229">
        <f>IF(Sheet1!3082:3082,"AAAAAHLz+6s=",0)</f>
        <v>0</v>
      </c>
      <c r="FQ229" t="e">
        <f>AND(Sheet1!A3082,"AAAAAHLz+6w=")</f>
        <v>#VALUE!</v>
      </c>
      <c r="FR229" t="e">
        <f>AND(Sheet1!B3082,"AAAAAHLz+60=")</f>
        <v>#VALUE!</v>
      </c>
      <c r="FS229" t="e">
        <f>AND(Sheet1!C3082,"AAAAAHLz+64=")</f>
        <v>#VALUE!</v>
      </c>
      <c r="FT229" t="e">
        <f>AND(Sheet1!D3082,"AAAAAHLz+68=")</f>
        <v>#VALUE!</v>
      </c>
      <c r="FU229" t="e">
        <f>AND(Sheet1!E3082,"AAAAAHLz+7A=")</f>
        <v>#VALUE!</v>
      </c>
      <c r="FV229" t="e">
        <f>AND(Sheet1!F3082,"AAAAAHLz+7E=")</f>
        <v>#VALUE!</v>
      </c>
      <c r="FW229" t="e">
        <f>AND(Sheet1!G3082,"AAAAAHLz+7I=")</f>
        <v>#VALUE!</v>
      </c>
      <c r="FX229" t="e">
        <f>AND(Sheet1!H3082,"AAAAAHLz+7M=")</f>
        <v>#VALUE!</v>
      </c>
      <c r="FY229" t="e">
        <f>AND(Sheet1!I3082,"AAAAAHLz+7Q=")</f>
        <v>#VALUE!</v>
      </c>
      <c r="FZ229" t="e">
        <f>AND(Sheet1!J3082,"AAAAAHLz+7U=")</f>
        <v>#VALUE!</v>
      </c>
      <c r="GA229" t="e">
        <f>AND(Sheet1!K3082,"AAAAAHLz+7Y=")</f>
        <v>#VALUE!</v>
      </c>
      <c r="GB229" t="e">
        <f>AND(Sheet1!L3082,"AAAAAHLz+7c=")</f>
        <v>#VALUE!</v>
      </c>
      <c r="GC229" t="e">
        <f>AND(Sheet1!M3082,"AAAAAHLz+7g=")</f>
        <v>#VALUE!</v>
      </c>
      <c r="GD229" t="e">
        <f>AND(Sheet1!N3082,"AAAAAHLz+7k=")</f>
        <v>#VALUE!</v>
      </c>
      <c r="GE229" t="e">
        <f>AND(Sheet1!#REF!,"AAAAAHLz+7o=")</f>
        <v>#REF!</v>
      </c>
      <c r="GF229" t="e">
        <f>AND(Sheet1!#REF!,"AAAAAHLz+7s=")</f>
        <v>#REF!</v>
      </c>
      <c r="GG229" t="e">
        <f>AND(Sheet1!#REF!,"AAAAAHLz+7w=")</f>
        <v>#REF!</v>
      </c>
      <c r="GH229" t="e">
        <f>AND(Sheet1!#REF!,"AAAAAHLz+70=")</f>
        <v>#REF!</v>
      </c>
      <c r="GI229">
        <f>IF(Sheet1!3083:3083,"AAAAAHLz+74=",0)</f>
        <v>0</v>
      </c>
      <c r="GJ229" t="e">
        <f>AND(Sheet1!A3083,"AAAAAHLz+78=")</f>
        <v>#VALUE!</v>
      </c>
      <c r="GK229" t="e">
        <f>AND(Sheet1!B3083,"AAAAAHLz+8A=")</f>
        <v>#VALUE!</v>
      </c>
      <c r="GL229" t="e">
        <f>AND(Sheet1!C3083,"AAAAAHLz+8E=")</f>
        <v>#VALUE!</v>
      </c>
      <c r="GM229" t="e">
        <f>AND(Sheet1!D3083,"AAAAAHLz+8I=")</f>
        <v>#VALUE!</v>
      </c>
      <c r="GN229" t="e">
        <f>AND(Sheet1!E3083,"AAAAAHLz+8M=")</f>
        <v>#VALUE!</v>
      </c>
      <c r="GO229" t="e">
        <f>AND(Sheet1!F3083,"AAAAAHLz+8Q=")</f>
        <v>#VALUE!</v>
      </c>
      <c r="GP229" t="e">
        <f>AND(Sheet1!G3083,"AAAAAHLz+8U=")</f>
        <v>#VALUE!</v>
      </c>
      <c r="GQ229" t="e">
        <f>AND(Sheet1!H3083,"AAAAAHLz+8Y=")</f>
        <v>#VALUE!</v>
      </c>
      <c r="GR229" t="e">
        <f>AND(Sheet1!I3083,"AAAAAHLz+8c=")</f>
        <v>#VALUE!</v>
      </c>
      <c r="GS229" t="e">
        <f>AND(Sheet1!J3083,"AAAAAHLz+8g=")</f>
        <v>#VALUE!</v>
      </c>
      <c r="GT229" t="e">
        <f>AND(Sheet1!K3083,"AAAAAHLz+8k=")</f>
        <v>#VALUE!</v>
      </c>
      <c r="GU229" t="e">
        <f>AND(Sheet1!L3083,"AAAAAHLz+8o=")</f>
        <v>#VALUE!</v>
      </c>
      <c r="GV229" t="e">
        <f>AND(Sheet1!M3083,"AAAAAHLz+8s=")</f>
        <v>#VALUE!</v>
      </c>
      <c r="GW229" t="e">
        <f>AND(Sheet1!N3083,"AAAAAHLz+8w=")</f>
        <v>#VALUE!</v>
      </c>
      <c r="GX229" t="e">
        <f>AND(Sheet1!#REF!,"AAAAAHLz+80=")</f>
        <v>#REF!</v>
      </c>
      <c r="GY229" t="e">
        <f>AND(Sheet1!#REF!,"AAAAAHLz+84=")</f>
        <v>#REF!</v>
      </c>
      <c r="GZ229" t="e">
        <f>AND(Sheet1!#REF!,"AAAAAHLz+88=")</f>
        <v>#REF!</v>
      </c>
      <c r="HA229" t="e">
        <f>AND(Sheet1!#REF!,"AAAAAHLz+9A=")</f>
        <v>#REF!</v>
      </c>
      <c r="HB229">
        <f>IF(Sheet1!3084:3084,"AAAAAHLz+9E=",0)</f>
        <v>0</v>
      </c>
      <c r="HC229" t="e">
        <f>AND(Sheet1!A3084,"AAAAAHLz+9I=")</f>
        <v>#VALUE!</v>
      </c>
      <c r="HD229" t="e">
        <f>AND(Sheet1!B3084,"AAAAAHLz+9M=")</f>
        <v>#VALUE!</v>
      </c>
      <c r="HE229" t="e">
        <f>AND(Sheet1!C3084,"AAAAAHLz+9Q=")</f>
        <v>#VALUE!</v>
      </c>
      <c r="HF229" t="e">
        <f>AND(Sheet1!D3084,"AAAAAHLz+9U=")</f>
        <v>#VALUE!</v>
      </c>
      <c r="HG229" t="e">
        <f>AND(Sheet1!E3084,"AAAAAHLz+9Y=")</f>
        <v>#VALUE!</v>
      </c>
      <c r="HH229" t="e">
        <f>AND(Sheet1!F3084,"AAAAAHLz+9c=")</f>
        <v>#VALUE!</v>
      </c>
      <c r="HI229" t="e">
        <f>AND(Sheet1!G3084,"AAAAAHLz+9g=")</f>
        <v>#VALUE!</v>
      </c>
      <c r="HJ229" t="e">
        <f>AND(Sheet1!H3084,"AAAAAHLz+9k=")</f>
        <v>#VALUE!</v>
      </c>
      <c r="HK229" t="e">
        <f>AND(Sheet1!I3084,"AAAAAHLz+9o=")</f>
        <v>#VALUE!</v>
      </c>
      <c r="HL229" t="e">
        <f>AND(Sheet1!J3084,"AAAAAHLz+9s=")</f>
        <v>#VALUE!</v>
      </c>
      <c r="HM229" t="e">
        <f>AND(Sheet1!K3084,"AAAAAHLz+9w=")</f>
        <v>#VALUE!</v>
      </c>
      <c r="HN229" t="e">
        <f>AND(Sheet1!L3084,"AAAAAHLz+90=")</f>
        <v>#VALUE!</v>
      </c>
      <c r="HO229" t="e">
        <f>AND(Sheet1!M3084,"AAAAAHLz+94=")</f>
        <v>#VALUE!</v>
      </c>
      <c r="HP229" t="e">
        <f>AND(Sheet1!N3084,"AAAAAHLz+98=")</f>
        <v>#VALUE!</v>
      </c>
      <c r="HQ229" t="e">
        <f>AND(Sheet1!#REF!,"AAAAAHLz++A=")</f>
        <v>#REF!</v>
      </c>
      <c r="HR229" t="e">
        <f>AND(Sheet1!#REF!,"AAAAAHLz++E=")</f>
        <v>#REF!</v>
      </c>
      <c r="HS229" t="e">
        <f>AND(Sheet1!#REF!,"AAAAAHLz++I=")</f>
        <v>#REF!</v>
      </c>
      <c r="HT229" t="e">
        <f>AND(Sheet1!#REF!,"AAAAAHLz++M=")</f>
        <v>#REF!</v>
      </c>
      <c r="HU229">
        <f>IF(Sheet1!3085:3085,"AAAAAHLz++Q=",0)</f>
        <v>0</v>
      </c>
      <c r="HV229" t="e">
        <f>AND(Sheet1!A3085,"AAAAAHLz++U=")</f>
        <v>#VALUE!</v>
      </c>
      <c r="HW229" t="e">
        <f>AND(Sheet1!B3085,"AAAAAHLz++Y=")</f>
        <v>#VALUE!</v>
      </c>
      <c r="HX229" t="e">
        <f>AND(Sheet1!C3085,"AAAAAHLz++c=")</f>
        <v>#VALUE!</v>
      </c>
      <c r="HY229" t="e">
        <f>AND(Sheet1!D3085,"AAAAAHLz++g=")</f>
        <v>#VALUE!</v>
      </c>
      <c r="HZ229" t="e">
        <f>AND(Sheet1!E3085,"AAAAAHLz++k=")</f>
        <v>#VALUE!</v>
      </c>
      <c r="IA229" t="e">
        <f>AND(Sheet1!F3085,"AAAAAHLz++o=")</f>
        <v>#VALUE!</v>
      </c>
      <c r="IB229" t="e">
        <f>AND(Sheet1!G3085,"AAAAAHLz++s=")</f>
        <v>#VALUE!</v>
      </c>
      <c r="IC229" t="e">
        <f>AND(Sheet1!H3085,"AAAAAHLz++w=")</f>
        <v>#VALUE!</v>
      </c>
      <c r="ID229" t="e">
        <f>AND(Sheet1!I3085,"AAAAAHLz++0=")</f>
        <v>#VALUE!</v>
      </c>
      <c r="IE229" t="e">
        <f>AND(Sheet1!J3085,"AAAAAHLz++4=")</f>
        <v>#VALUE!</v>
      </c>
      <c r="IF229" t="e">
        <f>AND(Sheet1!K3085,"AAAAAHLz++8=")</f>
        <v>#VALUE!</v>
      </c>
      <c r="IG229" t="e">
        <f>AND(Sheet1!L3085,"AAAAAHLz+/A=")</f>
        <v>#VALUE!</v>
      </c>
      <c r="IH229" t="e">
        <f>AND(Sheet1!M3085,"AAAAAHLz+/E=")</f>
        <v>#VALUE!</v>
      </c>
      <c r="II229" t="e">
        <f>AND(Sheet1!N3085,"AAAAAHLz+/I=")</f>
        <v>#VALUE!</v>
      </c>
      <c r="IJ229" t="e">
        <f>AND(Sheet1!#REF!,"AAAAAHLz+/M=")</f>
        <v>#REF!</v>
      </c>
      <c r="IK229" t="e">
        <f>AND(Sheet1!#REF!,"AAAAAHLz+/Q=")</f>
        <v>#REF!</v>
      </c>
      <c r="IL229" t="e">
        <f>AND(Sheet1!#REF!,"AAAAAHLz+/U=")</f>
        <v>#REF!</v>
      </c>
      <c r="IM229" t="e">
        <f>AND(Sheet1!#REF!,"AAAAAHLz+/Y=")</f>
        <v>#REF!</v>
      </c>
      <c r="IN229">
        <f>IF(Sheet1!3086:3086,"AAAAAHLz+/c=",0)</f>
        <v>0</v>
      </c>
      <c r="IO229" t="e">
        <f>AND(Sheet1!A3086,"AAAAAHLz+/g=")</f>
        <v>#VALUE!</v>
      </c>
      <c r="IP229" t="e">
        <f>AND(Sheet1!B3086,"AAAAAHLz+/k=")</f>
        <v>#VALUE!</v>
      </c>
      <c r="IQ229" t="e">
        <f>AND(Sheet1!C3086,"AAAAAHLz+/o=")</f>
        <v>#VALUE!</v>
      </c>
      <c r="IR229" t="e">
        <f>AND(Sheet1!D3086,"AAAAAHLz+/s=")</f>
        <v>#VALUE!</v>
      </c>
      <c r="IS229" t="e">
        <f>AND(Sheet1!E3086,"AAAAAHLz+/w=")</f>
        <v>#VALUE!</v>
      </c>
      <c r="IT229" t="e">
        <f>AND(Sheet1!F3086,"AAAAAHLz+/0=")</f>
        <v>#VALUE!</v>
      </c>
      <c r="IU229" t="e">
        <f>AND(Sheet1!G3086,"AAAAAHLz+/4=")</f>
        <v>#VALUE!</v>
      </c>
      <c r="IV229" t="e">
        <f>AND(Sheet1!H3086,"AAAAAHLz+/8=")</f>
        <v>#VALUE!</v>
      </c>
    </row>
    <row r="230" spans="1:256" x14ac:dyDescent="0.2">
      <c r="A230" t="e">
        <f>AND(Sheet1!I3086,"AAAAAG/XqwA=")</f>
        <v>#VALUE!</v>
      </c>
      <c r="B230" t="e">
        <f>AND(Sheet1!J3086,"AAAAAG/XqwE=")</f>
        <v>#VALUE!</v>
      </c>
      <c r="C230" t="e">
        <f>AND(Sheet1!K3086,"AAAAAG/XqwI=")</f>
        <v>#VALUE!</v>
      </c>
      <c r="D230" t="e">
        <f>AND(Sheet1!L3086,"AAAAAG/XqwM=")</f>
        <v>#VALUE!</v>
      </c>
      <c r="E230" t="e">
        <f>AND(Sheet1!M3086,"AAAAAG/XqwQ=")</f>
        <v>#VALUE!</v>
      </c>
      <c r="F230" t="e">
        <f>AND(Sheet1!N3086,"AAAAAG/XqwU=")</f>
        <v>#VALUE!</v>
      </c>
      <c r="G230" t="e">
        <f>AND(Sheet1!#REF!,"AAAAAG/XqwY=")</f>
        <v>#REF!</v>
      </c>
      <c r="H230" t="e">
        <f>AND(Sheet1!#REF!,"AAAAAG/Xqwc=")</f>
        <v>#REF!</v>
      </c>
      <c r="I230" t="e">
        <f>AND(Sheet1!#REF!,"AAAAAG/Xqwg=")</f>
        <v>#REF!</v>
      </c>
      <c r="J230" t="e">
        <f>AND(Sheet1!#REF!,"AAAAAG/Xqwk=")</f>
        <v>#REF!</v>
      </c>
      <c r="K230" t="e">
        <f>IF(Sheet1!3087:3087,"AAAAAG/Xqwo=",0)</f>
        <v>#VALUE!</v>
      </c>
      <c r="L230" t="e">
        <f>AND(Sheet1!A3087,"AAAAAG/Xqws=")</f>
        <v>#VALUE!</v>
      </c>
      <c r="M230" t="e">
        <f>AND(Sheet1!B3087,"AAAAAG/Xqww=")</f>
        <v>#VALUE!</v>
      </c>
      <c r="N230" t="e">
        <f>AND(Sheet1!C3087,"AAAAAG/Xqw0=")</f>
        <v>#VALUE!</v>
      </c>
      <c r="O230" t="e">
        <f>AND(Sheet1!D3087,"AAAAAG/Xqw4=")</f>
        <v>#VALUE!</v>
      </c>
      <c r="P230" t="e">
        <f>AND(Sheet1!E3087,"AAAAAG/Xqw8=")</f>
        <v>#VALUE!</v>
      </c>
      <c r="Q230" t="e">
        <f>AND(Sheet1!F3087,"AAAAAG/XqxA=")</f>
        <v>#VALUE!</v>
      </c>
      <c r="R230" t="e">
        <f>AND(Sheet1!G3087,"AAAAAG/XqxE=")</f>
        <v>#VALUE!</v>
      </c>
      <c r="S230" t="e">
        <f>AND(Sheet1!H3087,"AAAAAG/XqxI=")</f>
        <v>#VALUE!</v>
      </c>
      <c r="T230" t="e">
        <f>AND(Sheet1!I3087,"AAAAAG/XqxM=")</f>
        <v>#VALUE!</v>
      </c>
      <c r="U230" t="e">
        <f>AND(Sheet1!J3087,"AAAAAG/XqxQ=")</f>
        <v>#VALUE!</v>
      </c>
      <c r="V230" t="e">
        <f>AND(Sheet1!K3087,"AAAAAG/XqxU=")</f>
        <v>#VALUE!</v>
      </c>
      <c r="W230" t="e">
        <f>AND(Sheet1!L3087,"AAAAAG/XqxY=")</f>
        <v>#VALUE!</v>
      </c>
      <c r="X230" t="e">
        <f>AND(Sheet1!M3087,"AAAAAG/Xqxc=")</f>
        <v>#VALUE!</v>
      </c>
      <c r="Y230" t="e">
        <f>AND(Sheet1!N3087,"AAAAAG/Xqxg=")</f>
        <v>#VALUE!</v>
      </c>
      <c r="Z230" t="e">
        <f>AND(Sheet1!#REF!,"AAAAAG/Xqxk=")</f>
        <v>#REF!</v>
      </c>
      <c r="AA230" t="e">
        <f>AND(Sheet1!#REF!,"AAAAAG/Xqxo=")</f>
        <v>#REF!</v>
      </c>
      <c r="AB230" t="e">
        <f>AND(Sheet1!#REF!,"AAAAAG/Xqxs=")</f>
        <v>#REF!</v>
      </c>
      <c r="AC230" t="e">
        <f>AND(Sheet1!#REF!,"AAAAAG/Xqxw=")</f>
        <v>#REF!</v>
      </c>
      <c r="AD230">
        <f>IF(Sheet1!3088:3088,"AAAAAG/Xqx0=",0)</f>
        <v>0</v>
      </c>
      <c r="AE230" t="e">
        <f>AND(Sheet1!A3088,"AAAAAG/Xqx4=")</f>
        <v>#VALUE!</v>
      </c>
      <c r="AF230" t="e">
        <f>AND(Sheet1!B3088,"AAAAAG/Xqx8=")</f>
        <v>#VALUE!</v>
      </c>
      <c r="AG230" t="e">
        <f>AND(Sheet1!C3088,"AAAAAG/XqyA=")</f>
        <v>#VALUE!</v>
      </c>
      <c r="AH230" t="e">
        <f>AND(Sheet1!D3088,"AAAAAG/XqyE=")</f>
        <v>#VALUE!</v>
      </c>
      <c r="AI230" t="e">
        <f>AND(Sheet1!E3088,"AAAAAG/XqyI=")</f>
        <v>#VALUE!</v>
      </c>
      <c r="AJ230" t="e">
        <f>AND(Sheet1!F3088,"AAAAAG/XqyM=")</f>
        <v>#VALUE!</v>
      </c>
      <c r="AK230" t="e">
        <f>AND(Sheet1!G3088,"AAAAAG/XqyQ=")</f>
        <v>#VALUE!</v>
      </c>
      <c r="AL230" t="e">
        <f>AND(Sheet1!H3088,"AAAAAG/XqyU=")</f>
        <v>#VALUE!</v>
      </c>
      <c r="AM230" t="e">
        <f>AND(Sheet1!I3088,"AAAAAG/XqyY=")</f>
        <v>#VALUE!</v>
      </c>
      <c r="AN230" t="e">
        <f>AND(Sheet1!J3088,"AAAAAG/Xqyc=")</f>
        <v>#VALUE!</v>
      </c>
      <c r="AO230" t="e">
        <f>AND(Sheet1!K3088,"AAAAAG/Xqyg=")</f>
        <v>#VALUE!</v>
      </c>
      <c r="AP230" t="e">
        <f>AND(Sheet1!L3088,"AAAAAG/Xqyk=")</f>
        <v>#VALUE!</v>
      </c>
      <c r="AQ230" t="e">
        <f>AND(Sheet1!M3088,"AAAAAG/Xqyo=")</f>
        <v>#VALUE!</v>
      </c>
      <c r="AR230" t="e">
        <f>AND(Sheet1!N3088,"AAAAAG/Xqys=")</f>
        <v>#VALUE!</v>
      </c>
      <c r="AS230" t="e">
        <f>AND(Sheet1!#REF!,"AAAAAG/Xqyw=")</f>
        <v>#REF!</v>
      </c>
      <c r="AT230" t="e">
        <f>AND(Sheet1!#REF!,"AAAAAG/Xqy0=")</f>
        <v>#REF!</v>
      </c>
      <c r="AU230" t="e">
        <f>AND(Sheet1!#REF!,"AAAAAG/Xqy4=")</f>
        <v>#REF!</v>
      </c>
      <c r="AV230" t="e">
        <f>AND(Sheet1!#REF!,"AAAAAG/Xqy8=")</f>
        <v>#REF!</v>
      </c>
      <c r="AW230">
        <f>IF(Sheet1!3089:3089,"AAAAAG/XqzA=",0)</f>
        <v>0</v>
      </c>
      <c r="AX230" t="e">
        <f>AND(Sheet1!A3089,"AAAAAG/XqzE=")</f>
        <v>#VALUE!</v>
      </c>
      <c r="AY230" t="e">
        <f>AND(Sheet1!B3089,"AAAAAG/XqzI=")</f>
        <v>#VALUE!</v>
      </c>
      <c r="AZ230" t="e">
        <f>AND(Sheet1!C3089,"AAAAAG/XqzM=")</f>
        <v>#VALUE!</v>
      </c>
      <c r="BA230" t="e">
        <f>AND(Sheet1!D3089,"AAAAAG/XqzQ=")</f>
        <v>#VALUE!</v>
      </c>
      <c r="BB230" t="e">
        <f>AND(Sheet1!E3089,"AAAAAG/XqzU=")</f>
        <v>#VALUE!</v>
      </c>
      <c r="BC230" t="e">
        <f>AND(Sheet1!F3089,"AAAAAG/XqzY=")</f>
        <v>#VALUE!</v>
      </c>
      <c r="BD230" t="e">
        <f>AND(Sheet1!G3089,"AAAAAG/Xqzc=")</f>
        <v>#VALUE!</v>
      </c>
      <c r="BE230" t="e">
        <f>AND(Sheet1!H3089,"AAAAAG/Xqzg=")</f>
        <v>#VALUE!</v>
      </c>
      <c r="BF230" t="e">
        <f>AND(Sheet1!I3089,"AAAAAG/Xqzk=")</f>
        <v>#VALUE!</v>
      </c>
      <c r="BG230" t="e">
        <f>AND(Sheet1!J3089,"AAAAAG/Xqzo=")</f>
        <v>#VALUE!</v>
      </c>
      <c r="BH230" t="e">
        <f>AND(Sheet1!K3089,"AAAAAG/Xqzs=")</f>
        <v>#VALUE!</v>
      </c>
      <c r="BI230" t="e">
        <f>AND(Sheet1!L3089,"AAAAAG/Xqzw=")</f>
        <v>#VALUE!</v>
      </c>
      <c r="BJ230" t="e">
        <f>AND(Sheet1!M3089,"AAAAAG/Xqz0=")</f>
        <v>#VALUE!</v>
      </c>
      <c r="BK230" t="e">
        <f>AND(Sheet1!N3089,"AAAAAG/Xqz4=")</f>
        <v>#VALUE!</v>
      </c>
      <c r="BL230" t="e">
        <f>AND(Sheet1!#REF!,"AAAAAG/Xqz8=")</f>
        <v>#REF!</v>
      </c>
      <c r="BM230" t="e">
        <f>AND(Sheet1!#REF!,"AAAAAG/Xq0A=")</f>
        <v>#REF!</v>
      </c>
      <c r="BN230" t="e">
        <f>AND(Sheet1!#REF!,"AAAAAG/Xq0E=")</f>
        <v>#REF!</v>
      </c>
      <c r="BO230" t="e">
        <f>AND(Sheet1!#REF!,"AAAAAG/Xq0I=")</f>
        <v>#REF!</v>
      </c>
      <c r="BP230">
        <f>IF(Sheet1!3090:3090,"AAAAAG/Xq0M=",0)</f>
        <v>0</v>
      </c>
      <c r="BQ230" t="e">
        <f>AND(Sheet1!A3090,"AAAAAG/Xq0Q=")</f>
        <v>#VALUE!</v>
      </c>
      <c r="BR230" t="e">
        <f>AND(Sheet1!B3090,"AAAAAG/Xq0U=")</f>
        <v>#VALUE!</v>
      </c>
      <c r="BS230" t="e">
        <f>AND(Sheet1!C3090,"AAAAAG/Xq0Y=")</f>
        <v>#VALUE!</v>
      </c>
      <c r="BT230" t="e">
        <f>AND(Sheet1!D3090,"AAAAAG/Xq0c=")</f>
        <v>#VALUE!</v>
      </c>
      <c r="BU230" t="e">
        <f>AND(Sheet1!E3090,"AAAAAG/Xq0g=")</f>
        <v>#VALUE!</v>
      </c>
      <c r="BV230" t="e">
        <f>AND(Sheet1!F3090,"AAAAAG/Xq0k=")</f>
        <v>#VALUE!</v>
      </c>
      <c r="BW230" t="e">
        <f>AND(Sheet1!G3090,"AAAAAG/Xq0o=")</f>
        <v>#VALUE!</v>
      </c>
      <c r="BX230" t="e">
        <f>AND(Sheet1!H3090,"AAAAAG/Xq0s=")</f>
        <v>#VALUE!</v>
      </c>
      <c r="BY230" t="e">
        <f>AND(Sheet1!I3090,"AAAAAG/Xq0w=")</f>
        <v>#VALUE!</v>
      </c>
      <c r="BZ230" t="e">
        <f>AND(Sheet1!J3090,"AAAAAG/Xq00=")</f>
        <v>#VALUE!</v>
      </c>
      <c r="CA230" t="e">
        <f>AND(Sheet1!K3090,"AAAAAG/Xq04=")</f>
        <v>#VALUE!</v>
      </c>
      <c r="CB230" t="e">
        <f>AND(Sheet1!L3090,"AAAAAG/Xq08=")</f>
        <v>#VALUE!</v>
      </c>
      <c r="CC230" t="e">
        <f>AND(Sheet1!M3090,"AAAAAG/Xq1A=")</f>
        <v>#VALUE!</v>
      </c>
      <c r="CD230" t="e">
        <f>AND(Sheet1!N3090,"AAAAAG/Xq1E=")</f>
        <v>#VALUE!</v>
      </c>
      <c r="CE230" t="e">
        <f>AND(Sheet1!#REF!,"AAAAAG/Xq1I=")</f>
        <v>#REF!</v>
      </c>
      <c r="CF230" t="e">
        <f>AND(Sheet1!#REF!,"AAAAAG/Xq1M=")</f>
        <v>#REF!</v>
      </c>
      <c r="CG230" t="e">
        <f>AND(Sheet1!#REF!,"AAAAAG/Xq1Q=")</f>
        <v>#REF!</v>
      </c>
      <c r="CH230" t="e">
        <f>AND(Sheet1!#REF!,"AAAAAG/Xq1U=")</f>
        <v>#REF!</v>
      </c>
      <c r="CI230">
        <f>IF(Sheet1!3091:3091,"AAAAAG/Xq1Y=",0)</f>
        <v>0</v>
      </c>
      <c r="CJ230" t="e">
        <f>AND(Sheet1!A3091,"AAAAAG/Xq1c=")</f>
        <v>#VALUE!</v>
      </c>
      <c r="CK230" t="e">
        <f>AND(Sheet1!B3091,"AAAAAG/Xq1g=")</f>
        <v>#VALUE!</v>
      </c>
      <c r="CL230" t="e">
        <f>AND(Sheet1!C3091,"AAAAAG/Xq1k=")</f>
        <v>#VALUE!</v>
      </c>
      <c r="CM230" t="e">
        <f>AND(Sheet1!D3091,"AAAAAG/Xq1o=")</f>
        <v>#VALUE!</v>
      </c>
      <c r="CN230" t="e">
        <f>AND(Sheet1!E3091,"AAAAAG/Xq1s=")</f>
        <v>#VALUE!</v>
      </c>
      <c r="CO230" t="e">
        <f>AND(Sheet1!F3091,"AAAAAG/Xq1w=")</f>
        <v>#VALUE!</v>
      </c>
      <c r="CP230" t="e">
        <f>AND(Sheet1!G3091,"AAAAAG/Xq10=")</f>
        <v>#VALUE!</v>
      </c>
      <c r="CQ230" t="e">
        <f>AND(Sheet1!H3091,"AAAAAG/Xq14=")</f>
        <v>#VALUE!</v>
      </c>
      <c r="CR230" t="e">
        <f>AND(Sheet1!I3091,"AAAAAG/Xq18=")</f>
        <v>#VALUE!</v>
      </c>
      <c r="CS230" t="e">
        <f>AND(Sheet1!J3091,"AAAAAG/Xq2A=")</f>
        <v>#VALUE!</v>
      </c>
      <c r="CT230" t="e">
        <f>AND(Sheet1!K3091,"AAAAAG/Xq2E=")</f>
        <v>#VALUE!</v>
      </c>
      <c r="CU230" t="e">
        <f>AND(Sheet1!L3091,"AAAAAG/Xq2I=")</f>
        <v>#VALUE!</v>
      </c>
      <c r="CV230" t="e">
        <f>AND(Sheet1!M3091,"AAAAAG/Xq2M=")</f>
        <v>#VALUE!</v>
      </c>
      <c r="CW230" t="e">
        <f>AND(Sheet1!N3091,"AAAAAG/Xq2Q=")</f>
        <v>#VALUE!</v>
      </c>
      <c r="CX230" t="e">
        <f>AND(Sheet1!#REF!,"AAAAAG/Xq2U=")</f>
        <v>#REF!</v>
      </c>
      <c r="CY230" t="e">
        <f>AND(Sheet1!#REF!,"AAAAAG/Xq2Y=")</f>
        <v>#REF!</v>
      </c>
      <c r="CZ230" t="e">
        <f>AND(Sheet1!#REF!,"AAAAAG/Xq2c=")</f>
        <v>#REF!</v>
      </c>
      <c r="DA230" t="e">
        <f>AND(Sheet1!#REF!,"AAAAAG/Xq2g=")</f>
        <v>#REF!</v>
      </c>
      <c r="DB230">
        <f>IF(Sheet1!3092:3092,"AAAAAG/Xq2k=",0)</f>
        <v>0</v>
      </c>
      <c r="DC230" t="e">
        <f>AND(Sheet1!A3092,"AAAAAG/Xq2o=")</f>
        <v>#VALUE!</v>
      </c>
      <c r="DD230" t="e">
        <f>AND(Sheet1!B3092,"AAAAAG/Xq2s=")</f>
        <v>#VALUE!</v>
      </c>
      <c r="DE230" t="e">
        <f>AND(Sheet1!C3092,"AAAAAG/Xq2w=")</f>
        <v>#VALUE!</v>
      </c>
      <c r="DF230" t="e">
        <f>AND(Sheet1!D3092,"AAAAAG/Xq20=")</f>
        <v>#VALUE!</v>
      </c>
      <c r="DG230" t="e">
        <f>AND(Sheet1!E3092,"AAAAAG/Xq24=")</f>
        <v>#VALUE!</v>
      </c>
      <c r="DH230" t="e">
        <f>AND(Sheet1!F3092,"AAAAAG/Xq28=")</f>
        <v>#VALUE!</v>
      </c>
      <c r="DI230" t="e">
        <f>AND(Sheet1!G3092,"AAAAAG/Xq3A=")</f>
        <v>#VALUE!</v>
      </c>
      <c r="DJ230" t="e">
        <f>AND(Sheet1!H3092,"AAAAAG/Xq3E=")</f>
        <v>#VALUE!</v>
      </c>
      <c r="DK230" t="e">
        <f>AND(Sheet1!I3092,"AAAAAG/Xq3I=")</f>
        <v>#VALUE!</v>
      </c>
      <c r="DL230" t="e">
        <f>AND(Sheet1!J3092,"AAAAAG/Xq3M=")</f>
        <v>#VALUE!</v>
      </c>
      <c r="DM230" t="e">
        <f>AND(Sheet1!K3092,"AAAAAG/Xq3Q=")</f>
        <v>#VALUE!</v>
      </c>
      <c r="DN230" t="e">
        <f>AND(Sheet1!L3092,"AAAAAG/Xq3U=")</f>
        <v>#VALUE!</v>
      </c>
      <c r="DO230" t="e">
        <f>AND(Sheet1!M3092,"AAAAAG/Xq3Y=")</f>
        <v>#VALUE!</v>
      </c>
      <c r="DP230" t="e">
        <f>AND(Sheet1!N3092,"AAAAAG/Xq3c=")</f>
        <v>#VALUE!</v>
      </c>
      <c r="DQ230" t="e">
        <f>AND(Sheet1!#REF!,"AAAAAG/Xq3g=")</f>
        <v>#REF!</v>
      </c>
      <c r="DR230" t="e">
        <f>AND(Sheet1!#REF!,"AAAAAG/Xq3k=")</f>
        <v>#REF!</v>
      </c>
      <c r="DS230" t="e">
        <f>AND(Sheet1!#REF!,"AAAAAG/Xq3o=")</f>
        <v>#REF!</v>
      </c>
      <c r="DT230" t="e">
        <f>AND(Sheet1!#REF!,"AAAAAG/Xq3s=")</f>
        <v>#REF!</v>
      </c>
      <c r="DU230">
        <f>IF(Sheet1!3093:3093,"AAAAAG/Xq3w=",0)</f>
        <v>0</v>
      </c>
      <c r="DV230" t="e">
        <f>AND(Sheet1!A3093,"AAAAAG/Xq30=")</f>
        <v>#VALUE!</v>
      </c>
      <c r="DW230" t="e">
        <f>AND(Sheet1!B3093,"AAAAAG/Xq34=")</f>
        <v>#VALUE!</v>
      </c>
      <c r="DX230" t="e">
        <f>AND(Sheet1!C3093,"AAAAAG/Xq38=")</f>
        <v>#VALUE!</v>
      </c>
      <c r="DY230" t="e">
        <f>AND(Sheet1!D3093,"AAAAAG/Xq4A=")</f>
        <v>#VALUE!</v>
      </c>
      <c r="DZ230" t="e">
        <f>AND(Sheet1!E3093,"AAAAAG/Xq4E=")</f>
        <v>#VALUE!</v>
      </c>
      <c r="EA230" t="e">
        <f>AND(Sheet1!F3093,"AAAAAG/Xq4I=")</f>
        <v>#VALUE!</v>
      </c>
      <c r="EB230" t="e">
        <f>AND(Sheet1!G3093,"AAAAAG/Xq4M=")</f>
        <v>#VALUE!</v>
      </c>
      <c r="EC230" t="e">
        <f>AND(Sheet1!H3093,"AAAAAG/Xq4Q=")</f>
        <v>#VALUE!</v>
      </c>
      <c r="ED230" t="e">
        <f>AND(Sheet1!I3093,"AAAAAG/Xq4U=")</f>
        <v>#VALUE!</v>
      </c>
      <c r="EE230" t="e">
        <f>AND(Sheet1!J3093,"AAAAAG/Xq4Y=")</f>
        <v>#VALUE!</v>
      </c>
      <c r="EF230" t="e">
        <f>AND(Sheet1!K3093,"AAAAAG/Xq4c=")</f>
        <v>#VALUE!</v>
      </c>
      <c r="EG230" t="e">
        <f>AND(Sheet1!L3093,"AAAAAG/Xq4g=")</f>
        <v>#VALUE!</v>
      </c>
      <c r="EH230" t="e">
        <f>AND(Sheet1!M3093,"AAAAAG/Xq4k=")</f>
        <v>#VALUE!</v>
      </c>
      <c r="EI230" t="e">
        <f>AND(Sheet1!N3093,"AAAAAG/Xq4o=")</f>
        <v>#VALUE!</v>
      </c>
      <c r="EJ230" t="e">
        <f>AND(Sheet1!#REF!,"AAAAAG/Xq4s=")</f>
        <v>#REF!</v>
      </c>
      <c r="EK230" t="e">
        <f>AND(Sheet1!#REF!,"AAAAAG/Xq4w=")</f>
        <v>#REF!</v>
      </c>
      <c r="EL230" t="e">
        <f>AND(Sheet1!#REF!,"AAAAAG/Xq40=")</f>
        <v>#REF!</v>
      </c>
      <c r="EM230" t="e">
        <f>AND(Sheet1!#REF!,"AAAAAG/Xq44=")</f>
        <v>#REF!</v>
      </c>
      <c r="EN230">
        <f>IF(Sheet1!3094:3094,"AAAAAG/Xq48=",0)</f>
        <v>0</v>
      </c>
      <c r="EO230" t="e">
        <f>AND(Sheet1!A3094,"AAAAAG/Xq5A=")</f>
        <v>#VALUE!</v>
      </c>
      <c r="EP230" t="e">
        <f>AND(Sheet1!B3094,"AAAAAG/Xq5E=")</f>
        <v>#VALUE!</v>
      </c>
      <c r="EQ230" t="e">
        <f>AND(Sheet1!C3094,"AAAAAG/Xq5I=")</f>
        <v>#VALUE!</v>
      </c>
      <c r="ER230" t="e">
        <f>AND(Sheet1!D3094,"AAAAAG/Xq5M=")</f>
        <v>#VALUE!</v>
      </c>
      <c r="ES230" t="e">
        <f>AND(Sheet1!E3094,"AAAAAG/Xq5Q=")</f>
        <v>#VALUE!</v>
      </c>
      <c r="ET230" t="e">
        <f>AND(Sheet1!F3094,"AAAAAG/Xq5U=")</f>
        <v>#VALUE!</v>
      </c>
      <c r="EU230" t="e">
        <f>AND(Sheet1!G3094,"AAAAAG/Xq5Y=")</f>
        <v>#VALUE!</v>
      </c>
      <c r="EV230" t="e">
        <f>AND(Sheet1!H3094,"AAAAAG/Xq5c=")</f>
        <v>#VALUE!</v>
      </c>
      <c r="EW230" t="e">
        <f>AND(Sheet1!I3094,"AAAAAG/Xq5g=")</f>
        <v>#VALUE!</v>
      </c>
      <c r="EX230" t="e">
        <f>AND(Sheet1!J3094,"AAAAAG/Xq5k=")</f>
        <v>#VALUE!</v>
      </c>
      <c r="EY230" t="e">
        <f>AND(Sheet1!K3094,"AAAAAG/Xq5o=")</f>
        <v>#VALUE!</v>
      </c>
      <c r="EZ230" t="e">
        <f>AND(Sheet1!L3094,"AAAAAG/Xq5s=")</f>
        <v>#VALUE!</v>
      </c>
      <c r="FA230" t="e">
        <f>AND(Sheet1!M3094,"AAAAAG/Xq5w=")</f>
        <v>#VALUE!</v>
      </c>
      <c r="FB230" t="e">
        <f>AND(Sheet1!N3094,"AAAAAG/Xq50=")</f>
        <v>#VALUE!</v>
      </c>
      <c r="FC230" t="e">
        <f>AND(Sheet1!#REF!,"AAAAAG/Xq54=")</f>
        <v>#REF!</v>
      </c>
      <c r="FD230" t="e">
        <f>AND(Sheet1!#REF!,"AAAAAG/Xq58=")</f>
        <v>#REF!</v>
      </c>
      <c r="FE230" t="e">
        <f>AND(Sheet1!#REF!,"AAAAAG/Xq6A=")</f>
        <v>#REF!</v>
      </c>
      <c r="FF230" t="e">
        <f>AND(Sheet1!#REF!,"AAAAAG/Xq6E=")</f>
        <v>#REF!</v>
      </c>
      <c r="FG230">
        <f>IF(Sheet1!3095:3095,"AAAAAG/Xq6I=",0)</f>
        <v>0</v>
      </c>
      <c r="FH230" t="e">
        <f>AND(Sheet1!A3095,"AAAAAG/Xq6M=")</f>
        <v>#VALUE!</v>
      </c>
      <c r="FI230" t="e">
        <f>AND(Sheet1!B3095,"AAAAAG/Xq6Q=")</f>
        <v>#VALUE!</v>
      </c>
      <c r="FJ230" t="e">
        <f>AND(Sheet1!C3095,"AAAAAG/Xq6U=")</f>
        <v>#VALUE!</v>
      </c>
      <c r="FK230" t="e">
        <f>AND(Sheet1!D3095,"AAAAAG/Xq6Y=")</f>
        <v>#VALUE!</v>
      </c>
      <c r="FL230" t="e">
        <f>AND(Sheet1!E3095,"AAAAAG/Xq6c=")</f>
        <v>#VALUE!</v>
      </c>
      <c r="FM230" t="e">
        <f>AND(Sheet1!F3095,"AAAAAG/Xq6g=")</f>
        <v>#VALUE!</v>
      </c>
      <c r="FN230" t="e">
        <f>AND(Sheet1!G3095,"AAAAAG/Xq6k=")</f>
        <v>#VALUE!</v>
      </c>
      <c r="FO230" t="e">
        <f>AND(Sheet1!H3095,"AAAAAG/Xq6o=")</f>
        <v>#VALUE!</v>
      </c>
      <c r="FP230" t="e">
        <f>AND(Sheet1!I3095,"AAAAAG/Xq6s=")</f>
        <v>#VALUE!</v>
      </c>
      <c r="FQ230" t="e">
        <f>AND(Sheet1!J3095,"AAAAAG/Xq6w=")</f>
        <v>#VALUE!</v>
      </c>
      <c r="FR230" t="e">
        <f>AND(Sheet1!K3095,"AAAAAG/Xq60=")</f>
        <v>#VALUE!</v>
      </c>
      <c r="FS230" t="e">
        <f>AND(Sheet1!L3095,"AAAAAG/Xq64=")</f>
        <v>#VALUE!</v>
      </c>
      <c r="FT230" t="e">
        <f>AND(Sheet1!M3095,"AAAAAG/Xq68=")</f>
        <v>#VALUE!</v>
      </c>
      <c r="FU230" t="e">
        <f>AND(Sheet1!N3095,"AAAAAG/Xq7A=")</f>
        <v>#VALUE!</v>
      </c>
      <c r="FV230" t="e">
        <f>AND(Sheet1!#REF!,"AAAAAG/Xq7E=")</f>
        <v>#REF!</v>
      </c>
      <c r="FW230" t="e">
        <f>AND(Sheet1!#REF!,"AAAAAG/Xq7I=")</f>
        <v>#REF!</v>
      </c>
      <c r="FX230" t="e">
        <f>AND(Sheet1!#REF!,"AAAAAG/Xq7M=")</f>
        <v>#REF!</v>
      </c>
      <c r="FY230" t="e">
        <f>AND(Sheet1!#REF!,"AAAAAG/Xq7Q=")</f>
        <v>#REF!</v>
      </c>
      <c r="FZ230">
        <f>IF(Sheet1!3096:3096,"AAAAAG/Xq7U=",0)</f>
        <v>0</v>
      </c>
      <c r="GA230" t="e">
        <f>AND(Sheet1!A3096,"AAAAAG/Xq7Y=")</f>
        <v>#VALUE!</v>
      </c>
      <c r="GB230" t="e">
        <f>AND(Sheet1!B3096,"AAAAAG/Xq7c=")</f>
        <v>#VALUE!</v>
      </c>
      <c r="GC230" t="e">
        <f>AND(Sheet1!C3096,"AAAAAG/Xq7g=")</f>
        <v>#VALUE!</v>
      </c>
      <c r="GD230" t="e">
        <f>AND(Sheet1!D3096,"AAAAAG/Xq7k=")</f>
        <v>#VALUE!</v>
      </c>
      <c r="GE230" t="e">
        <f>AND(Sheet1!E3096,"AAAAAG/Xq7o=")</f>
        <v>#VALUE!</v>
      </c>
      <c r="GF230" t="e">
        <f>AND(Sheet1!F3096,"AAAAAG/Xq7s=")</f>
        <v>#VALUE!</v>
      </c>
      <c r="GG230" t="e">
        <f>AND(Sheet1!G3096,"AAAAAG/Xq7w=")</f>
        <v>#VALUE!</v>
      </c>
      <c r="GH230" t="e">
        <f>AND(Sheet1!H3096,"AAAAAG/Xq70=")</f>
        <v>#VALUE!</v>
      </c>
      <c r="GI230" t="e">
        <f>AND(Sheet1!I3096,"AAAAAG/Xq74=")</f>
        <v>#VALUE!</v>
      </c>
      <c r="GJ230" t="e">
        <f>AND(Sheet1!J3096,"AAAAAG/Xq78=")</f>
        <v>#VALUE!</v>
      </c>
      <c r="GK230" t="e">
        <f>AND(Sheet1!K3096,"AAAAAG/Xq8A=")</f>
        <v>#VALUE!</v>
      </c>
      <c r="GL230" t="e">
        <f>AND(Sheet1!L3096,"AAAAAG/Xq8E=")</f>
        <v>#VALUE!</v>
      </c>
      <c r="GM230" t="e">
        <f>AND(Sheet1!M3096,"AAAAAG/Xq8I=")</f>
        <v>#VALUE!</v>
      </c>
      <c r="GN230" t="e">
        <f>AND(Sheet1!N3096,"AAAAAG/Xq8M=")</f>
        <v>#VALUE!</v>
      </c>
      <c r="GO230" t="e">
        <f>AND(Sheet1!#REF!,"AAAAAG/Xq8Q=")</f>
        <v>#REF!</v>
      </c>
      <c r="GP230" t="e">
        <f>AND(Sheet1!#REF!,"AAAAAG/Xq8U=")</f>
        <v>#REF!</v>
      </c>
      <c r="GQ230" t="e">
        <f>AND(Sheet1!#REF!,"AAAAAG/Xq8Y=")</f>
        <v>#REF!</v>
      </c>
      <c r="GR230" t="e">
        <f>AND(Sheet1!#REF!,"AAAAAG/Xq8c=")</f>
        <v>#REF!</v>
      </c>
      <c r="GS230">
        <f>IF(Sheet1!3097:3097,"AAAAAG/Xq8g=",0)</f>
        <v>0</v>
      </c>
      <c r="GT230" t="e">
        <f>AND(Sheet1!A3097,"AAAAAG/Xq8k=")</f>
        <v>#VALUE!</v>
      </c>
      <c r="GU230" t="e">
        <f>AND(Sheet1!B3097,"AAAAAG/Xq8o=")</f>
        <v>#VALUE!</v>
      </c>
      <c r="GV230" t="e">
        <f>AND(Sheet1!C3097,"AAAAAG/Xq8s=")</f>
        <v>#VALUE!</v>
      </c>
      <c r="GW230" t="e">
        <f>AND(Sheet1!D3097,"AAAAAG/Xq8w=")</f>
        <v>#VALUE!</v>
      </c>
      <c r="GX230" t="e">
        <f>AND(Sheet1!E3097,"AAAAAG/Xq80=")</f>
        <v>#VALUE!</v>
      </c>
      <c r="GY230" t="e">
        <f>AND(Sheet1!F3097,"AAAAAG/Xq84=")</f>
        <v>#VALUE!</v>
      </c>
      <c r="GZ230" t="e">
        <f>AND(Sheet1!G3097,"AAAAAG/Xq88=")</f>
        <v>#VALUE!</v>
      </c>
      <c r="HA230" t="e">
        <f>AND(Sheet1!H3097,"AAAAAG/Xq9A=")</f>
        <v>#VALUE!</v>
      </c>
      <c r="HB230" t="e">
        <f>AND(Sheet1!I3097,"AAAAAG/Xq9E=")</f>
        <v>#VALUE!</v>
      </c>
      <c r="HC230" t="e">
        <f>AND(Sheet1!J3097,"AAAAAG/Xq9I=")</f>
        <v>#VALUE!</v>
      </c>
      <c r="HD230" t="e">
        <f>AND(Sheet1!K3097,"AAAAAG/Xq9M=")</f>
        <v>#VALUE!</v>
      </c>
      <c r="HE230" t="e">
        <f>AND(Sheet1!L3097,"AAAAAG/Xq9Q=")</f>
        <v>#VALUE!</v>
      </c>
      <c r="HF230" t="e">
        <f>AND(Sheet1!M3097,"AAAAAG/Xq9U=")</f>
        <v>#VALUE!</v>
      </c>
      <c r="HG230" t="e">
        <f>AND(Sheet1!N3097,"AAAAAG/Xq9Y=")</f>
        <v>#VALUE!</v>
      </c>
      <c r="HH230" t="e">
        <f>AND(Sheet1!#REF!,"AAAAAG/Xq9c=")</f>
        <v>#REF!</v>
      </c>
      <c r="HI230" t="e">
        <f>AND(Sheet1!#REF!,"AAAAAG/Xq9g=")</f>
        <v>#REF!</v>
      </c>
      <c r="HJ230" t="e">
        <f>AND(Sheet1!#REF!,"AAAAAG/Xq9k=")</f>
        <v>#REF!</v>
      </c>
      <c r="HK230" t="e">
        <f>AND(Sheet1!#REF!,"AAAAAG/Xq9o=")</f>
        <v>#REF!</v>
      </c>
      <c r="HL230">
        <f>IF(Sheet1!3098:3098,"AAAAAG/Xq9s=",0)</f>
        <v>0</v>
      </c>
      <c r="HM230" t="e">
        <f>AND(Sheet1!A3098,"AAAAAG/Xq9w=")</f>
        <v>#VALUE!</v>
      </c>
      <c r="HN230" t="e">
        <f>AND(Sheet1!B3098,"AAAAAG/Xq90=")</f>
        <v>#VALUE!</v>
      </c>
      <c r="HO230" t="e">
        <f>AND(Sheet1!C3098,"AAAAAG/Xq94=")</f>
        <v>#VALUE!</v>
      </c>
      <c r="HP230" t="e">
        <f>AND(Sheet1!D3098,"AAAAAG/Xq98=")</f>
        <v>#VALUE!</v>
      </c>
      <c r="HQ230" t="e">
        <f>AND(Sheet1!E3098,"AAAAAG/Xq+A=")</f>
        <v>#VALUE!</v>
      </c>
      <c r="HR230" t="e">
        <f>AND(Sheet1!F3098,"AAAAAG/Xq+E=")</f>
        <v>#VALUE!</v>
      </c>
      <c r="HS230" t="e">
        <f>AND(Sheet1!G3098,"AAAAAG/Xq+I=")</f>
        <v>#VALUE!</v>
      </c>
      <c r="HT230" t="e">
        <f>AND(Sheet1!H3098,"AAAAAG/Xq+M=")</f>
        <v>#VALUE!</v>
      </c>
      <c r="HU230" t="e">
        <f>AND(Sheet1!I3098,"AAAAAG/Xq+Q=")</f>
        <v>#VALUE!</v>
      </c>
      <c r="HV230" t="e">
        <f>AND(Sheet1!J3098,"AAAAAG/Xq+U=")</f>
        <v>#VALUE!</v>
      </c>
      <c r="HW230" t="e">
        <f>AND(Sheet1!K3098,"AAAAAG/Xq+Y=")</f>
        <v>#VALUE!</v>
      </c>
      <c r="HX230" t="e">
        <f>AND(Sheet1!L3098,"AAAAAG/Xq+c=")</f>
        <v>#VALUE!</v>
      </c>
      <c r="HY230" t="e">
        <f>AND(Sheet1!M3098,"AAAAAG/Xq+g=")</f>
        <v>#VALUE!</v>
      </c>
      <c r="HZ230" t="e">
        <f>AND(Sheet1!N3098,"AAAAAG/Xq+k=")</f>
        <v>#VALUE!</v>
      </c>
      <c r="IA230" t="e">
        <f>AND(Sheet1!#REF!,"AAAAAG/Xq+o=")</f>
        <v>#REF!</v>
      </c>
      <c r="IB230" t="e">
        <f>AND(Sheet1!#REF!,"AAAAAG/Xq+s=")</f>
        <v>#REF!</v>
      </c>
      <c r="IC230" t="e">
        <f>AND(Sheet1!#REF!,"AAAAAG/Xq+w=")</f>
        <v>#REF!</v>
      </c>
      <c r="ID230" t="e">
        <f>AND(Sheet1!#REF!,"AAAAAG/Xq+0=")</f>
        <v>#REF!</v>
      </c>
      <c r="IE230">
        <f>IF(Sheet1!3099:3099,"AAAAAG/Xq+4=",0)</f>
        <v>0</v>
      </c>
      <c r="IF230" t="e">
        <f>AND(Sheet1!A3099,"AAAAAG/Xq+8=")</f>
        <v>#VALUE!</v>
      </c>
      <c r="IG230" t="e">
        <f>AND(Sheet1!B3099,"AAAAAG/Xq/A=")</f>
        <v>#VALUE!</v>
      </c>
      <c r="IH230" t="e">
        <f>AND(Sheet1!C3099,"AAAAAG/Xq/E=")</f>
        <v>#VALUE!</v>
      </c>
      <c r="II230" t="e">
        <f>AND(Sheet1!D3099,"AAAAAG/Xq/I=")</f>
        <v>#VALUE!</v>
      </c>
      <c r="IJ230" t="e">
        <f>AND(Sheet1!E3099,"AAAAAG/Xq/M=")</f>
        <v>#VALUE!</v>
      </c>
      <c r="IK230" t="e">
        <f>AND(Sheet1!F3099,"AAAAAG/Xq/Q=")</f>
        <v>#VALUE!</v>
      </c>
      <c r="IL230" t="e">
        <f>AND(Sheet1!G3099,"AAAAAG/Xq/U=")</f>
        <v>#VALUE!</v>
      </c>
      <c r="IM230" t="e">
        <f>AND(Sheet1!H3099,"AAAAAG/Xq/Y=")</f>
        <v>#VALUE!</v>
      </c>
      <c r="IN230" t="e">
        <f>AND(Sheet1!I3099,"AAAAAG/Xq/c=")</f>
        <v>#VALUE!</v>
      </c>
      <c r="IO230" t="e">
        <f>AND(Sheet1!J3099,"AAAAAG/Xq/g=")</f>
        <v>#VALUE!</v>
      </c>
      <c r="IP230" t="e">
        <f>AND(Sheet1!K3099,"AAAAAG/Xq/k=")</f>
        <v>#VALUE!</v>
      </c>
      <c r="IQ230" t="e">
        <f>AND(Sheet1!L3099,"AAAAAG/Xq/o=")</f>
        <v>#VALUE!</v>
      </c>
      <c r="IR230" t="e">
        <f>AND(Sheet1!M3099,"AAAAAG/Xq/s=")</f>
        <v>#VALUE!</v>
      </c>
      <c r="IS230" t="e">
        <f>AND(Sheet1!N3099,"AAAAAG/Xq/w=")</f>
        <v>#VALUE!</v>
      </c>
      <c r="IT230" t="e">
        <f>AND(Sheet1!#REF!,"AAAAAG/Xq/0=")</f>
        <v>#REF!</v>
      </c>
      <c r="IU230" t="e">
        <f>AND(Sheet1!#REF!,"AAAAAG/Xq/4=")</f>
        <v>#REF!</v>
      </c>
      <c r="IV230" t="e">
        <f>AND(Sheet1!#REF!,"AAAAAG/Xq/8=")</f>
        <v>#REF!</v>
      </c>
    </row>
    <row r="231" spans="1:256" x14ac:dyDescent="0.2">
      <c r="A231" t="e">
        <f>AND(Sheet1!#REF!,"AAAAAH22dwA=")</f>
        <v>#REF!</v>
      </c>
      <c r="B231" t="e">
        <f>IF(Sheet1!3100:3100,"AAAAAH22dwE=",0)</f>
        <v>#VALUE!</v>
      </c>
      <c r="C231" t="e">
        <f>AND(Sheet1!A3100,"AAAAAH22dwI=")</f>
        <v>#VALUE!</v>
      </c>
      <c r="D231" t="e">
        <f>AND(Sheet1!B3100,"AAAAAH22dwM=")</f>
        <v>#VALUE!</v>
      </c>
      <c r="E231" t="e">
        <f>AND(Sheet1!C3100,"AAAAAH22dwQ=")</f>
        <v>#VALUE!</v>
      </c>
      <c r="F231" t="e">
        <f>AND(Sheet1!D3100,"AAAAAH22dwU=")</f>
        <v>#VALUE!</v>
      </c>
      <c r="G231" t="e">
        <f>AND(Sheet1!E3100,"AAAAAH22dwY=")</f>
        <v>#VALUE!</v>
      </c>
      <c r="H231" t="e">
        <f>AND(Sheet1!F3100,"AAAAAH22dwc=")</f>
        <v>#VALUE!</v>
      </c>
      <c r="I231" t="e">
        <f>AND(Sheet1!G3100,"AAAAAH22dwg=")</f>
        <v>#VALUE!</v>
      </c>
      <c r="J231" t="e">
        <f>AND(Sheet1!H3100,"AAAAAH22dwk=")</f>
        <v>#VALUE!</v>
      </c>
      <c r="K231" t="e">
        <f>AND(Sheet1!I3100,"AAAAAH22dwo=")</f>
        <v>#VALUE!</v>
      </c>
      <c r="L231" t="e">
        <f>AND(Sheet1!J3100,"AAAAAH22dws=")</f>
        <v>#VALUE!</v>
      </c>
      <c r="M231" t="e">
        <f>AND(Sheet1!K3100,"AAAAAH22dww=")</f>
        <v>#VALUE!</v>
      </c>
      <c r="N231" t="e">
        <f>AND(Sheet1!L3100,"AAAAAH22dw0=")</f>
        <v>#VALUE!</v>
      </c>
      <c r="O231" t="e">
        <f>AND(Sheet1!M3100,"AAAAAH22dw4=")</f>
        <v>#VALUE!</v>
      </c>
      <c r="P231" t="e">
        <f>AND(Sheet1!N3100,"AAAAAH22dw8=")</f>
        <v>#VALUE!</v>
      </c>
      <c r="Q231" t="e">
        <f>AND(Sheet1!#REF!,"AAAAAH22dxA=")</f>
        <v>#REF!</v>
      </c>
      <c r="R231" t="e">
        <f>AND(Sheet1!#REF!,"AAAAAH22dxE=")</f>
        <v>#REF!</v>
      </c>
      <c r="S231" t="e">
        <f>AND(Sheet1!#REF!,"AAAAAH22dxI=")</f>
        <v>#REF!</v>
      </c>
      <c r="T231" t="e">
        <f>AND(Sheet1!#REF!,"AAAAAH22dxM=")</f>
        <v>#REF!</v>
      </c>
      <c r="U231">
        <f>IF(Sheet1!3101:3101,"AAAAAH22dxQ=",0)</f>
        <v>0</v>
      </c>
      <c r="V231" t="e">
        <f>AND(Sheet1!A3101,"AAAAAH22dxU=")</f>
        <v>#VALUE!</v>
      </c>
      <c r="W231" t="e">
        <f>AND(Sheet1!B3101,"AAAAAH22dxY=")</f>
        <v>#VALUE!</v>
      </c>
      <c r="X231" t="e">
        <f>AND(Sheet1!C3101,"AAAAAH22dxc=")</f>
        <v>#VALUE!</v>
      </c>
      <c r="Y231" t="e">
        <f>AND(Sheet1!D3101,"AAAAAH22dxg=")</f>
        <v>#VALUE!</v>
      </c>
      <c r="Z231" t="e">
        <f>AND(Sheet1!E3101,"AAAAAH22dxk=")</f>
        <v>#VALUE!</v>
      </c>
      <c r="AA231" t="e">
        <f>AND(Sheet1!F3101,"AAAAAH22dxo=")</f>
        <v>#VALUE!</v>
      </c>
      <c r="AB231" t="e">
        <f>AND(Sheet1!G3101,"AAAAAH22dxs=")</f>
        <v>#VALUE!</v>
      </c>
      <c r="AC231" t="e">
        <f>AND(Sheet1!H3101,"AAAAAH22dxw=")</f>
        <v>#VALUE!</v>
      </c>
      <c r="AD231" t="e">
        <f>AND(Sheet1!I3101,"AAAAAH22dx0=")</f>
        <v>#VALUE!</v>
      </c>
      <c r="AE231" t="e">
        <f>AND(Sheet1!J3101,"AAAAAH22dx4=")</f>
        <v>#VALUE!</v>
      </c>
      <c r="AF231" t="e">
        <f>AND(Sheet1!K3101,"AAAAAH22dx8=")</f>
        <v>#VALUE!</v>
      </c>
      <c r="AG231" t="e">
        <f>AND(Sheet1!L3101,"AAAAAH22dyA=")</f>
        <v>#VALUE!</v>
      </c>
      <c r="AH231" t="e">
        <f>AND(Sheet1!M3101,"AAAAAH22dyE=")</f>
        <v>#VALUE!</v>
      </c>
      <c r="AI231" t="e">
        <f>AND(Sheet1!N3101,"AAAAAH22dyI=")</f>
        <v>#VALUE!</v>
      </c>
      <c r="AJ231" t="e">
        <f>AND(Sheet1!#REF!,"AAAAAH22dyM=")</f>
        <v>#REF!</v>
      </c>
      <c r="AK231" t="e">
        <f>AND(Sheet1!#REF!,"AAAAAH22dyQ=")</f>
        <v>#REF!</v>
      </c>
      <c r="AL231" t="e">
        <f>AND(Sheet1!#REF!,"AAAAAH22dyU=")</f>
        <v>#REF!</v>
      </c>
      <c r="AM231" t="e">
        <f>AND(Sheet1!#REF!,"AAAAAH22dyY=")</f>
        <v>#REF!</v>
      </c>
      <c r="AN231">
        <f>IF(Sheet1!3102:3102,"AAAAAH22dyc=",0)</f>
        <v>0</v>
      </c>
      <c r="AO231" t="e">
        <f>AND(Sheet1!A3102,"AAAAAH22dyg=")</f>
        <v>#VALUE!</v>
      </c>
      <c r="AP231" t="e">
        <f>AND(Sheet1!B3102,"AAAAAH22dyk=")</f>
        <v>#VALUE!</v>
      </c>
      <c r="AQ231" t="e">
        <f>AND(Sheet1!C3102,"AAAAAH22dyo=")</f>
        <v>#VALUE!</v>
      </c>
      <c r="AR231" t="e">
        <f>AND(Sheet1!D3102,"AAAAAH22dys=")</f>
        <v>#VALUE!</v>
      </c>
      <c r="AS231" t="e">
        <f>AND(Sheet1!E3102,"AAAAAH22dyw=")</f>
        <v>#VALUE!</v>
      </c>
      <c r="AT231" t="e">
        <f>AND(Sheet1!F3102,"AAAAAH22dy0=")</f>
        <v>#VALUE!</v>
      </c>
      <c r="AU231" t="e">
        <f>AND(Sheet1!G3102,"AAAAAH22dy4=")</f>
        <v>#VALUE!</v>
      </c>
      <c r="AV231" t="e">
        <f>AND(Sheet1!H3102,"AAAAAH22dy8=")</f>
        <v>#VALUE!</v>
      </c>
      <c r="AW231" t="e">
        <f>AND(Sheet1!I3102,"AAAAAH22dzA=")</f>
        <v>#VALUE!</v>
      </c>
      <c r="AX231" t="e">
        <f>AND(Sheet1!J3102,"AAAAAH22dzE=")</f>
        <v>#VALUE!</v>
      </c>
      <c r="AY231" t="e">
        <f>AND(Sheet1!K3102,"AAAAAH22dzI=")</f>
        <v>#VALUE!</v>
      </c>
      <c r="AZ231" t="e">
        <f>AND(Sheet1!L3102,"AAAAAH22dzM=")</f>
        <v>#VALUE!</v>
      </c>
      <c r="BA231" t="e">
        <f>AND(Sheet1!M3102,"AAAAAH22dzQ=")</f>
        <v>#VALUE!</v>
      </c>
      <c r="BB231" t="e">
        <f>AND(Sheet1!N3102,"AAAAAH22dzU=")</f>
        <v>#VALUE!</v>
      </c>
      <c r="BC231" t="e">
        <f>AND(Sheet1!#REF!,"AAAAAH22dzY=")</f>
        <v>#REF!</v>
      </c>
      <c r="BD231" t="e">
        <f>AND(Sheet1!#REF!,"AAAAAH22dzc=")</f>
        <v>#REF!</v>
      </c>
      <c r="BE231" t="e">
        <f>AND(Sheet1!#REF!,"AAAAAH22dzg=")</f>
        <v>#REF!</v>
      </c>
      <c r="BF231" t="e">
        <f>AND(Sheet1!#REF!,"AAAAAH22dzk=")</f>
        <v>#REF!</v>
      </c>
      <c r="BG231">
        <f>IF(Sheet1!3103:3103,"AAAAAH22dzo=",0)</f>
        <v>0</v>
      </c>
      <c r="BH231" t="e">
        <f>AND(Sheet1!A3103,"AAAAAH22dzs=")</f>
        <v>#VALUE!</v>
      </c>
      <c r="BI231" t="e">
        <f>AND(Sheet1!B3103,"AAAAAH22dzw=")</f>
        <v>#VALUE!</v>
      </c>
      <c r="BJ231" t="e">
        <f>AND(Sheet1!C3103,"AAAAAH22dz0=")</f>
        <v>#VALUE!</v>
      </c>
      <c r="BK231" t="e">
        <f>AND(Sheet1!D3103,"AAAAAH22dz4=")</f>
        <v>#VALUE!</v>
      </c>
      <c r="BL231" t="e">
        <f>AND(Sheet1!E3103,"AAAAAH22dz8=")</f>
        <v>#VALUE!</v>
      </c>
      <c r="BM231" t="e">
        <f>AND(Sheet1!F3103,"AAAAAH22d0A=")</f>
        <v>#VALUE!</v>
      </c>
      <c r="BN231" t="e">
        <f>AND(Sheet1!G3103,"AAAAAH22d0E=")</f>
        <v>#VALUE!</v>
      </c>
      <c r="BO231" t="e">
        <f>AND(Sheet1!H3103,"AAAAAH22d0I=")</f>
        <v>#VALUE!</v>
      </c>
      <c r="BP231" t="e">
        <f>AND(Sheet1!I3103,"AAAAAH22d0M=")</f>
        <v>#VALUE!</v>
      </c>
      <c r="BQ231" t="e">
        <f>AND(Sheet1!J3103,"AAAAAH22d0Q=")</f>
        <v>#VALUE!</v>
      </c>
      <c r="BR231" t="e">
        <f>AND(Sheet1!K3103,"AAAAAH22d0U=")</f>
        <v>#VALUE!</v>
      </c>
      <c r="BS231" t="e">
        <f>AND(Sheet1!L3103,"AAAAAH22d0Y=")</f>
        <v>#VALUE!</v>
      </c>
      <c r="BT231" t="e">
        <f>AND(Sheet1!M3103,"AAAAAH22d0c=")</f>
        <v>#VALUE!</v>
      </c>
      <c r="BU231" t="e">
        <f>AND(Sheet1!N3103,"AAAAAH22d0g=")</f>
        <v>#VALUE!</v>
      </c>
      <c r="BV231" t="e">
        <f>AND(Sheet1!#REF!,"AAAAAH22d0k=")</f>
        <v>#REF!</v>
      </c>
      <c r="BW231" t="e">
        <f>AND(Sheet1!#REF!,"AAAAAH22d0o=")</f>
        <v>#REF!</v>
      </c>
      <c r="BX231" t="e">
        <f>AND(Sheet1!#REF!,"AAAAAH22d0s=")</f>
        <v>#REF!</v>
      </c>
      <c r="BY231" t="e">
        <f>AND(Sheet1!#REF!,"AAAAAH22d0w=")</f>
        <v>#REF!</v>
      </c>
      <c r="BZ231">
        <f>IF(Sheet1!3104:3104,"AAAAAH22d00=",0)</f>
        <v>0</v>
      </c>
      <c r="CA231" t="e">
        <f>AND(Sheet1!A3104,"AAAAAH22d04=")</f>
        <v>#VALUE!</v>
      </c>
      <c r="CB231" t="e">
        <f>AND(Sheet1!B3104,"AAAAAH22d08=")</f>
        <v>#VALUE!</v>
      </c>
      <c r="CC231" t="e">
        <f>AND(Sheet1!C3104,"AAAAAH22d1A=")</f>
        <v>#VALUE!</v>
      </c>
      <c r="CD231" t="e">
        <f>AND(Sheet1!D3104,"AAAAAH22d1E=")</f>
        <v>#VALUE!</v>
      </c>
      <c r="CE231" t="e">
        <f>AND(Sheet1!E3104,"AAAAAH22d1I=")</f>
        <v>#VALUE!</v>
      </c>
      <c r="CF231" t="e">
        <f>AND(Sheet1!F3104,"AAAAAH22d1M=")</f>
        <v>#VALUE!</v>
      </c>
      <c r="CG231" t="e">
        <f>AND(Sheet1!G3104,"AAAAAH22d1Q=")</f>
        <v>#VALUE!</v>
      </c>
      <c r="CH231" t="e">
        <f>AND(Sheet1!H3104,"AAAAAH22d1U=")</f>
        <v>#VALUE!</v>
      </c>
      <c r="CI231" t="e">
        <f>AND(Sheet1!I3104,"AAAAAH22d1Y=")</f>
        <v>#VALUE!</v>
      </c>
      <c r="CJ231" t="e">
        <f>AND(Sheet1!J3104,"AAAAAH22d1c=")</f>
        <v>#VALUE!</v>
      </c>
      <c r="CK231" t="e">
        <f>AND(Sheet1!K3104,"AAAAAH22d1g=")</f>
        <v>#VALUE!</v>
      </c>
      <c r="CL231" t="e">
        <f>AND(Sheet1!L3104,"AAAAAH22d1k=")</f>
        <v>#VALUE!</v>
      </c>
      <c r="CM231" t="e">
        <f>AND(Sheet1!M3104,"AAAAAH22d1o=")</f>
        <v>#VALUE!</v>
      </c>
      <c r="CN231" t="e">
        <f>AND(Sheet1!N3104,"AAAAAH22d1s=")</f>
        <v>#VALUE!</v>
      </c>
      <c r="CO231" t="e">
        <f>AND(Sheet1!#REF!,"AAAAAH22d1w=")</f>
        <v>#REF!</v>
      </c>
      <c r="CP231" t="e">
        <f>AND(Sheet1!#REF!,"AAAAAH22d10=")</f>
        <v>#REF!</v>
      </c>
      <c r="CQ231" t="e">
        <f>AND(Sheet1!#REF!,"AAAAAH22d14=")</f>
        <v>#REF!</v>
      </c>
      <c r="CR231" t="e">
        <f>AND(Sheet1!#REF!,"AAAAAH22d18=")</f>
        <v>#REF!</v>
      </c>
      <c r="CS231">
        <f>IF(Sheet1!3105:3105,"AAAAAH22d2A=",0)</f>
        <v>0</v>
      </c>
      <c r="CT231" t="e">
        <f>AND(Sheet1!A3105,"AAAAAH22d2E=")</f>
        <v>#VALUE!</v>
      </c>
      <c r="CU231" t="e">
        <f>AND(Sheet1!B3105,"AAAAAH22d2I=")</f>
        <v>#VALUE!</v>
      </c>
      <c r="CV231" t="e">
        <f>AND(Sheet1!C3105,"AAAAAH22d2M=")</f>
        <v>#VALUE!</v>
      </c>
      <c r="CW231" t="e">
        <f>AND(Sheet1!D3105,"AAAAAH22d2Q=")</f>
        <v>#VALUE!</v>
      </c>
      <c r="CX231" t="e">
        <f>AND(Sheet1!E3105,"AAAAAH22d2U=")</f>
        <v>#VALUE!</v>
      </c>
      <c r="CY231" t="e">
        <f>AND(Sheet1!F3105,"AAAAAH22d2Y=")</f>
        <v>#VALUE!</v>
      </c>
      <c r="CZ231" t="e">
        <f>AND(Sheet1!G3105,"AAAAAH22d2c=")</f>
        <v>#VALUE!</v>
      </c>
      <c r="DA231" t="e">
        <f>AND(Sheet1!H3105,"AAAAAH22d2g=")</f>
        <v>#VALUE!</v>
      </c>
      <c r="DB231" t="e">
        <f>AND(Sheet1!I3105,"AAAAAH22d2k=")</f>
        <v>#VALUE!</v>
      </c>
      <c r="DC231" t="e">
        <f>AND(Sheet1!J3105,"AAAAAH22d2o=")</f>
        <v>#VALUE!</v>
      </c>
      <c r="DD231" t="e">
        <f>AND(Sheet1!K3105,"AAAAAH22d2s=")</f>
        <v>#VALUE!</v>
      </c>
      <c r="DE231" t="e">
        <f>AND(Sheet1!L3105,"AAAAAH22d2w=")</f>
        <v>#VALUE!</v>
      </c>
      <c r="DF231" t="e">
        <f>AND(Sheet1!M3105,"AAAAAH22d20=")</f>
        <v>#VALUE!</v>
      </c>
      <c r="DG231" t="e">
        <f>AND(Sheet1!N3105,"AAAAAH22d24=")</f>
        <v>#VALUE!</v>
      </c>
      <c r="DH231" t="e">
        <f>AND(Sheet1!#REF!,"AAAAAH22d28=")</f>
        <v>#REF!</v>
      </c>
      <c r="DI231" t="e">
        <f>AND(Sheet1!#REF!,"AAAAAH22d3A=")</f>
        <v>#REF!</v>
      </c>
      <c r="DJ231" t="e">
        <f>AND(Sheet1!#REF!,"AAAAAH22d3E=")</f>
        <v>#REF!</v>
      </c>
      <c r="DK231" t="e">
        <f>AND(Sheet1!#REF!,"AAAAAH22d3I=")</f>
        <v>#REF!</v>
      </c>
      <c r="DL231">
        <f>IF(Sheet1!3106:3106,"AAAAAH22d3M=",0)</f>
        <v>0</v>
      </c>
      <c r="DM231" t="e">
        <f>AND(Sheet1!A3106,"AAAAAH22d3Q=")</f>
        <v>#VALUE!</v>
      </c>
      <c r="DN231" t="e">
        <f>AND(Sheet1!B3106,"AAAAAH22d3U=")</f>
        <v>#VALUE!</v>
      </c>
      <c r="DO231" t="e">
        <f>AND(Sheet1!C3106,"AAAAAH22d3Y=")</f>
        <v>#VALUE!</v>
      </c>
      <c r="DP231" t="e">
        <f>AND(Sheet1!D3106,"AAAAAH22d3c=")</f>
        <v>#VALUE!</v>
      </c>
      <c r="DQ231" t="e">
        <f>AND(Sheet1!E3106,"AAAAAH22d3g=")</f>
        <v>#VALUE!</v>
      </c>
      <c r="DR231" t="e">
        <f>AND(Sheet1!F3106,"AAAAAH22d3k=")</f>
        <v>#VALUE!</v>
      </c>
      <c r="DS231" t="e">
        <f>AND(Sheet1!G3106,"AAAAAH22d3o=")</f>
        <v>#VALUE!</v>
      </c>
      <c r="DT231" t="e">
        <f>AND(Sheet1!H3106,"AAAAAH22d3s=")</f>
        <v>#VALUE!</v>
      </c>
      <c r="DU231" t="e">
        <f>AND(Sheet1!I3106,"AAAAAH22d3w=")</f>
        <v>#VALUE!</v>
      </c>
      <c r="DV231" t="e">
        <f>AND(Sheet1!J3106,"AAAAAH22d30=")</f>
        <v>#VALUE!</v>
      </c>
      <c r="DW231" t="e">
        <f>AND(Sheet1!K3106,"AAAAAH22d34=")</f>
        <v>#VALUE!</v>
      </c>
      <c r="DX231" t="e">
        <f>AND(Sheet1!L3106,"AAAAAH22d38=")</f>
        <v>#VALUE!</v>
      </c>
      <c r="DY231" t="e">
        <f>AND(Sheet1!M3106,"AAAAAH22d4A=")</f>
        <v>#VALUE!</v>
      </c>
      <c r="DZ231" t="e">
        <f>AND(Sheet1!N3106,"AAAAAH22d4E=")</f>
        <v>#VALUE!</v>
      </c>
      <c r="EA231" t="e">
        <f>AND(Sheet1!#REF!,"AAAAAH22d4I=")</f>
        <v>#REF!</v>
      </c>
      <c r="EB231" t="e">
        <f>AND(Sheet1!#REF!,"AAAAAH22d4M=")</f>
        <v>#REF!</v>
      </c>
      <c r="EC231" t="e">
        <f>AND(Sheet1!#REF!,"AAAAAH22d4Q=")</f>
        <v>#REF!</v>
      </c>
      <c r="ED231" t="e">
        <f>AND(Sheet1!#REF!,"AAAAAH22d4U=")</f>
        <v>#REF!</v>
      </c>
      <c r="EE231">
        <f>IF(Sheet1!3107:3107,"AAAAAH22d4Y=",0)</f>
        <v>0</v>
      </c>
      <c r="EF231" t="e">
        <f>AND(Sheet1!A3107,"AAAAAH22d4c=")</f>
        <v>#VALUE!</v>
      </c>
      <c r="EG231" t="e">
        <f>AND(Sheet1!B3107,"AAAAAH22d4g=")</f>
        <v>#VALUE!</v>
      </c>
      <c r="EH231" t="e">
        <f>AND(Sheet1!C3107,"AAAAAH22d4k=")</f>
        <v>#VALUE!</v>
      </c>
      <c r="EI231" t="e">
        <f>AND(Sheet1!D3107,"AAAAAH22d4o=")</f>
        <v>#VALUE!</v>
      </c>
      <c r="EJ231" t="e">
        <f>AND(Sheet1!E3107,"AAAAAH22d4s=")</f>
        <v>#VALUE!</v>
      </c>
      <c r="EK231" t="e">
        <f>AND(Sheet1!F3107,"AAAAAH22d4w=")</f>
        <v>#VALUE!</v>
      </c>
      <c r="EL231" t="e">
        <f>AND(Sheet1!G3107,"AAAAAH22d40=")</f>
        <v>#VALUE!</v>
      </c>
      <c r="EM231" t="e">
        <f>AND(Sheet1!H3107,"AAAAAH22d44=")</f>
        <v>#VALUE!</v>
      </c>
      <c r="EN231" t="e">
        <f>AND(Sheet1!I3107,"AAAAAH22d48=")</f>
        <v>#VALUE!</v>
      </c>
      <c r="EO231" t="e">
        <f>AND(Sheet1!J3107,"AAAAAH22d5A=")</f>
        <v>#VALUE!</v>
      </c>
      <c r="EP231" t="e">
        <f>AND(Sheet1!K3107,"AAAAAH22d5E=")</f>
        <v>#VALUE!</v>
      </c>
      <c r="EQ231" t="e">
        <f>AND(Sheet1!L3107,"AAAAAH22d5I=")</f>
        <v>#VALUE!</v>
      </c>
      <c r="ER231" t="e">
        <f>AND(Sheet1!M3107,"AAAAAH22d5M=")</f>
        <v>#VALUE!</v>
      </c>
      <c r="ES231" t="e">
        <f>AND(Sheet1!N3107,"AAAAAH22d5Q=")</f>
        <v>#VALUE!</v>
      </c>
      <c r="ET231" t="e">
        <f>AND(Sheet1!#REF!,"AAAAAH22d5U=")</f>
        <v>#REF!</v>
      </c>
      <c r="EU231" t="e">
        <f>AND(Sheet1!#REF!,"AAAAAH22d5Y=")</f>
        <v>#REF!</v>
      </c>
      <c r="EV231" t="e">
        <f>AND(Sheet1!#REF!,"AAAAAH22d5c=")</f>
        <v>#REF!</v>
      </c>
      <c r="EW231" t="e">
        <f>AND(Sheet1!#REF!,"AAAAAH22d5g=")</f>
        <v>#REF!</v>
      </c>
      <c r="EX231">
        <f>IF(Sheet1!3108:3108,"AAAAAH22d5k=",0)</f>
        <v>0</v>
      </c>
      <c r="EY231" t="e">
        <f>AND(Sheet1!A3108,"AAAAAH22d5o=")</f>
        <v>#VALUE!</v>
      </c>
      <c r="EZ231" t="e">
        <f>AND(Sheet1!B3108,"AAAAAH22d5s=")</f>
        <v>#VALUE!</v>
      </c>
      <c r="FA231" t="e">
        <f>AND(Sheet1!C3108,"AAAAAH22d5w=")</f>
        <v>#VALUE!</v>
      </c>
      <c r="FB231" t="e">
        <f>AND(Sheet1!D3108,"AAAAAH22d50=")</f>
        <v>#VALUE!</v>
      </c>
      <c r="FC231" t="e">
        <f>AND(Sheet1!E3108,"AAAAAH22d54=")</f>
        <v>#VALUE!</v>
      </c>
      <c r="FD231" t="e">
        <f>AND(Sheet1!F3108,"AAAAAH22d58=")</f>
        <v>#VALUE!</v>
      </c>
      <c r="FE231" t="e">
        <f>AND(Sheet1!G3108,"AAAAAH22d6A=")</f>
        <v>#VALUE!</v>
      </c>
      <c r="FF231" t="e">
        <f>AND(Sheet1!H3108,"AAAAAH22d6E=")</f>
        <v>#VALUE!</v>
      </c>
      <c r="FG231" t="e">
        <f>AND(Sheet1!I3108,"AAAAAH22d6I=")</f>
        <v>#VALUE!</v>
      </c>
      <c r="FH231" t="e">
        <f>AND(Sheet1!J3108,"AAAAAH22d6M=")</f>
        <v>#VALUE!</v>
      </c>
      <c r="FI231" t="e">
        <f>AND(Sheet1!K3108,"AAAAAH22d6Q=")</f>
        <v>#VALUE!</v>
      </c>
      <c r="FJ231" t="e">
        <f>AND(Sheet1!L3108,"AAAAAH22d6U=")</f>
        <v>#VALUE!</v>
      </c>
      <c r="FK231" t="e">
        <f>AND(Sheet1!M3108,"AAAAAH22d6Y=")</f>
        <v>#VALUE!</v>
      </c>
      <c r="FL231" t="e">
        <f>AND(Sheet1!N3108,"AAAAAH22d6c=")</f>
        <v>#VALUE!</v>
      </c>
      <c r="FM231" t="e">
        <f>AND(Sheet1!#REF!,"AAAAAH22d6g=")</f>
        <v>#REF!</v>
      </c>
      <c r="FN231" t="e">
        <f>AND(Sheet1!#REF!,"AAAAAH22d6k=")</f>
        <v>#REF!</v>
      </c>
      <c r="FO231" t="e">
        <f>AND(Sheet1!#REF!,"AAAAAH22d6o=")</f>
        <v>#REF!</v>
      </c>
      <c r="FP231" t="e">
        <f>AND(Sheet1!#REF!,"AAAAAH22d6s=")</f>
        <v>#REF!</v>
      </c>
      <c r="FQ231">
        <f>IF(Sheet1!3109:3109,"AAAAAH22d6w=",0)</f>
        <v>0</v>
      </c>
      <c r="FR231" t="e">
        <f>AND(Sheet1!A3109,"AAAAAH22d60=")</f>
        <v>#VALUE!</v>
      </c>
      <c r="FS231" t="e">
        <f>AND(Sheet1!B3109,"AAAAAH22d64=")</f>
        <v>#VALUE!</v>
      </c>
      <c r="FT231" t="e">
        <f>AND(Sheet1!C3109,"AAAAAH22d68=")</f>
        <v>#VALUE!</v>
      </c>
      <c r="FU231" t="e">
        <f>AND(Sheet1!D3109,"AAAAAH22d7A=")</f>
        <v>#VALUE!</v>
      </c>
      <c r="FV231" t="e">
        <f>AND(Sheet1!E3109,"AAAAAH22d7E=")</f>
        <v>#VALUE!</v>
      </c>
      <c r="FW231" t="e">
        <f>AND(Sheet1!F3109,"AAAAAH22d7I=")</f>
        <v>#VALUE!</v>
      </c>
      <c r="FX231" t="e">
        <f>AND(Sheet1!G3109,"AAAAAH22d7M=")</f>
        <v>#VALUE!</v>
      </c>
      <c r="FY231" t="e">
        <f>AND(Sheet1!H3109,"AAAAAH22d7Q=")</f>
        <v>#VALUE!</v>
      </c>
      <c r="FZ231" t="e">
        <f>AND(Sheet1!I3109,"AAAAAH22d7U=")</f>
        <v>#VALUE!</v>
      </c>
      <c r="GA231" t="e">
        <f>AND(Sheet1!J3109,"AAAAAH22d7Y=")</f>
        <v>#VALUE!</v>
      </c>
      <c r="GB231" t="e">
        <f>AND(Sheet1!K3109,"AAAAAH22d7c=")</f>
        <v>#VALUE!</v>
      </c>
      <c r="GC231" t="e">
        <f>AND(Sheet1!L3109,"AAAAAH22d7g=")</f>
        <v>#VALUE!</v>
      </c>
      <c r="GD231" t="e">
        <f>AND(Sheet1!M3109,"AAAAAH22d7k=")</f>
        <v>#VALUE!</v>
      </c>
      <c r="GE231" t="e">
        <f>AND(Sheet1!N3109,"AAAAAH22d7o=")</f>
        <v>#VALUE!</v>
      </c>
      <c r="GF231" t="e">
        <f>AND(Sheet1!#REF!,"AAAAAH22d7s=")</f>
        <v>#REF!</v>
      </c>
      <c r="GG231" t="e">
        <f>AND(Sheet1!#REF!,"AAAAAH22d7w=")</f>
        <v>#REF!</v>
      </c>
      <c r="GH231" t="e">
        <f>AND(Sheet1!#REF!,"AAAAAH22d70=")</f>
        <v>#REF!</v>
      </c>
      <c r="GI231" t="e">
        <f>AND(Sheet1!#REF!,"AAAAAH22d74=")</f>
        <v>#REF!</v>
      </c>
      <c r="GJ231">
        <f>IF(Sheet1!3110:3110,"AAAAAH22d78=",0)</f>
        <v>0</v>
      </c>
      <c r="GK231" t="e">
        <f>AND(Sheet1!A3110,"AAAAAH22d8A=")</f>
        <v>#VALUE!</v>
      </c>
      <c r="GL231" t="e">
        <f>AND(Sheet1!B3110,"AAAAAH22d8E=")</f>
        <v>#VALUE!</v>
      </c>
      <c r="GM231" t="e">
        <f>AND(Sheet1!C3110,"AAAAAH22d8I=")</f>
        <v>#VALUE!</v>
      </c>
      <c r="GN231" t="e">
        <f>AND(Sheet1!D3110,"AAAAAH22d8M=")</f>
        <v>#VALUE!</v>
      </c>
      <c r="GO231" t="e">
        <f>AND(Sheet1!E3110,"AAAAAH22d8Q=")</f>
        <v>#VALUE!</v>
      </c>
      <c r="GP231" t="e">
        <f>AND(Sheet1!F3110,"AAAAAH22d8U=")</f>
        <v>#VALUE!</v>
      </c>
      <c r="GQ231" t="e">
        <f>AND(Sheet1!G3110,"AAAAAH22d8Y=")</f>
        <v>#VALUE!</v>
      </c>
      <c r="GR231" t="e">
        <f>AND(Sheet1!H3110,"AAAAAH22d8c=")</f>
        <v>#VALUE!</v>
      </c>
      <c r="GS231" t="e">
        <f>AND(Sheet1!I3110,"AAAAAH22d8g=")</f>
        <v>#VALUE!</v>
      </c>
      <c r="GT231" t="e">
        <f>AND(Sheet1!J3110,"AAAAAH22d8k=")</f>
        <v>#VALUE!</v>
      </c>
      <c r="GU231" t="e">
        <f>AND(Sheet1!K3110,"AAAAAH22d8o=")</f>
        <v>#VALUE!</v>
      </c>
      <c r="GV231" t="e">
        <f>AND(Sheet1!L3110,"AAAAAH22d8s=")</f>
        <v>#VALUE!</v>
      </c>
      <c r="GW231" t="e">
        <f>AND(Sheet1!M3110,"AAAAAH22d8w=")</f>
        <v>#VALUE!</v>
      </c>
      <c r="GX231" t="e">
        <f>AND(Sheet1!N3110,"AAAAAH22d80=")</f>
        <v>#VALUE!</v>
      </c>
      <c r="GY231" t="e">
        <f>AND(Sheet1!#REF!,"AAAAAH22d84=")</f>
        <v>#REF!</v>
      </c>
      <c r="GZ231" t="e">
        <f>AND(Sheet1!#REF!,"AAAAAH22d88=")</f>
        <v>#REF!</v>
      </c>
      <c r="HA231" t="e">
        <f>AND(Sheet1!#REF!,"AAAAAH22d9A=")</f>
        <v>#REF!</v>
      </c>
      <c r="HB231" t="e">
        <f>AND(Sheet1!#REF!,"AAAAAH22d9E=")</f>
        <v>#REF!</v>
      </c>
      <c r="HC231">
        <f>IF(Sheet1!3111:3111,"AAAAAH22d9I=",0)</f>
        <v>0</v>
      </c>
      <c r="HD231" t="e">
        <f>AND(Sheet1!A3111,"AAAAAH22d9M=")</f>
        <v>#VALUE!</v>
      </c>
      <c r="HE231" t="e">
        <f>AND(Sheet1!B3111,"AAAAAH22d9Q=")</f>
        <v>#VALUE!</v>
      </c>
      <c r="HF231" t="e">
        <f>AND(Sheet1!C3111,"AAAAAH22d9U=")</f>
        <v>#VALUE!</v>
      </c>
      <c r="HG231" t="e">
        <f>AND(Sheet1!D3111,"AAAAAH22d9Y=")</f>
        <v>#VALUE!</v>
      </c>
      <c r="HH231" t="e">
        <f>AND(Sheet1!E3111,"AAAAAH22d9c=")</f>
        <v>#VALUE!</v>
      </c>
      <c r="HI231" t="e">
        <f>AND(Sheet1!F3111,"AAAAAH22d9g=")</f>
        <v>#VALUE!</v>
      </c>
      <c r="HJ231" t="e">
        <f>AND(Sheet1!G3111,"AAAAAH22d9k=")</f>
        <v>#VALUE!</v>
      </c>
      <c r="HK231" t="e">
        <f>AND(Sheet1!H3111,"AAAAAH22d9o=")</f>
        <v>#VALUE!</v>
      </c>
      <c r="HL231" t="e">
        <f>AND(Sheet1!I3111,"AAAAAH22d9s=")</f>
        <v>#VALUE!</v>
      </c>
      <c r="HM231" t="e">
        <f>AND(Sheet1!J3111,"AAAAAH22d9w=")</f>
        <v>#VALUE!</v>
      </c>
      <c r="HN231" t="e">
        <f>AND(Sheet1!K3111,"AAAAAH22d90=")</f>
        <v>#VALUE!</v>
      </c>
      <c r="HO231" t="e">
        <f>AND(Sheet1!L3111,"AAAAAH22d94=")</f>
        <v>#VALUE!</v>
      </c>
      <c r="HP231" t="e">
        <f>AND(Sheet1!M3111,"AAAAAH22d98=")</f>
        <v>#VALUE!</v>
      </c>
      <c r="HQ231" t="e">
        <f>AND(Sheet1!N3111,"AAAAAH22d+A=")</f>
        <v>#VALUE!</v>
      </c>
      <c r="HR231" t="e">
        <f>AND(Sheet1!#REF!,"AAAAAH22d+E=")</f>
        <v>#REF!</v>
      </c>
      <c r="HS231" t="e">
        <f>AND(Sheet1!#REF!,"AAAAAH22d+I=")</f>
        <v>#REF!</v>
      </c>
      <c r="HT231" t="e">
        <f>AND(Sheet1!#REF!,"AAAAAH22d+M=")</f>
        <v>#REF!</v>
      </c>
      <c r="HU231" t="e">
        <f>AND(Sheet1!#REF!,"AAAAAH22d+Q=")</f>
        <v>#REF!</v>
      </c>
      <c r="HV231">
        <f>IF(Sheet1!3112:3112,"AAAAAH22d+U=",0)</f>
        <v>0</v>
      </c>
      <c r="HW231" t="e">
        <f>AND(Sheet1!A3112,"AAAAAH22d+Y=")</f>
        <v>#VALUE!</v>
      </c>
      <c r="HX231" t="e">
        <f>AND(Sheet1!B3112,"AAAAAH22d+c=")</f>
        <v>#VALUE!</v>
      </c>
      <c r="HY231" t="e">
        <f>AND(Sheet1!C3112,"AAAAAH22d+g=")</f>
        <v>#VALUE!</v>
      </c>
      <c r="HZ231" t="e">
        <f>AND(Sheet1!D3112,"AAAAAH22d+k=")</f>
        <v>#VALUE!</v>
      </c>
      <c r="IA231" t="e">
        <f>AND(Sheet1!E3112,"AAAAAH22d+o=")</f>
        <v>#VALUE!</v>
      </c>
      <c r="IB231" t="e">
        <f>AND(Sheet1!F3112,"AAAAAH22d+s=")</f>
        <v>#VALUE!</v>
      </c>
      <c r="IC231" t="e">
        <f>AND(Sheet1!G3112,"AAAAAH22d+w=")</f>
        <v>#VALUE!</v>
      </c>
      <c r="ID231" t="e">
        <f>AND(Sheet1!H3112,"AAAAAH22d+0=")</f>
        <v>#VALUE!</v>
      </c>
      <c r="IE231" t="e">
        <f>AND(Sheet1!I3112,"AAAAAH22d+4=")</f>
        <v>#VALUE!</v>
      </c>
      <c r="IF231" t="e">
        <f>AND(Sheet1!J3112,"AAAAAH22d+8=")</f>
        <v>#VALUE!</v>
      </c>
      <c r="IG231" t="e">
        <f>AND(Sheet1!K3112,"AAAAAH22d/A=")</f>
        <v>#VALUE!</v>
      </c>
      <c r="IH231" t="e">
        <f>AND(Sheet1!L3112,"AAAAAH22d/E=")</f>
        <v>#VALUE!</v>
      </c>
      <c r="II231" t="e">
        <f>AND(Sheet1!M3112,"AAAAAH22d/I=")</f>
        <v>#VALUE!</v>
      </c>
      <c r="IJ231" t="e">
        <f>AND(Sheet1!N3112,"AAAAAH22d/M=")</f>
        <v>#VALUE!</v>
      </c>
      <c r="IK231" t="e">
        <f>AND(Sheet1!#REF!,"AAAAAH22d/Q=")</f>
        <v>#REF!</v>
      </c>
      <c r="IL231" t="e">
        <f>AND(Sheet1!#REF!,"AAAAAH22d/U=")</f>
        <v>#REF!</v>
      </c>
      <c r="IM231" t="e">
        <f>AND(Sheet1!#REF!,"AAAAAH22d/Y=")</f>
        <v>#REF!</v>
      </c>
      <c r="IN231" t="e">
        <f>AND(Sheet1!#REF!,"AAAAAH22d/c=")</f>
        <v>#REF!</v>
      </c>
      <c r="IO231">
        <f>IF(Sheet1!3113:3113,"AAAAAH22d/g=",0)</f>
        <v>0</v>
      </c>
      <c r="IP231" t="e">
        <f>AND(Sheet1!A3113,"AAAAAH22d/k=")</f>
        <v>#VALUE!</v>
      </c>
      <c r="IQ231" t="e">
        <f>AND(Sheet1!B3113,"AAAAAH22d/o=")</f>
        <v>#VALUE!</v>
      </c>
      <c r="IR231" t="e">
        <f>AND(Sheet1!C3113,"AAAAAH22d/s=")</f>
        <v>#VALUE!</v>
      </c>
      <c r="IS231" t="e">
        <f>AND(Sheet1!D3113,"AAAAAH22d/w=")</f>
        <v>#VALUE!</v>
      </c>
      <c r="IT231" t="e">
        <f>AND(Sheet1!E3113,"AAAAAH22d/0=")</f>
        <v>#VALUE!</v>
      </c>
      <c r="IU231" t="e">
        <f>AND(Sheet1!F3113,"AAAAAH22d/4=")</f>
        <v>#VALUE!</v>
      </c>
      <c r="IV231" t="e">
        <f>AND(Sheet1!G3113,"AAAAAH22d/8=")</f>
        <v>#VALUE!</v>
      </c>
    </row>
    <row r="232" spans="1:256" x14ac:dyDescent="0.2">
      <c r="A232" t="e">
        <f>AND(Sheet1!H3113,"AAAAAH7H7QA=")</f>
        <v>#VALUE!</v>
      </c>
      <c r="B232" t="e">
        <f>AND(Sheet1!I3113,"AAAAAH7H7QE=")</f>
        <v>#VALUE!</v>
      </c>
      <c r="C232" t="e">
        <f>AND(Sheet1!J3113,"AAAAAH7H7QI=")</f>
        <v>#VALUE!</v>
      </c>
      <c r="D232" t="e">
        <f>AND(Sheet1!K3113,"AAAAAH7H7QM=")</f>
        <v>#VALUE!</v>
      </c>
      <c r="E232" t="e">
        <f>AND(Sheet1!L3113,"AAAAAH7H7QQ=")</f>
        <v>#VALUE!</v>
      </c>
      <c r="F232" t="e">
        <f>AND(Sheet1!M3113,"AAAAAH7H7QU=")</f>
        <v>#VALUE!</v>
      </c>
      <c r="G232" t="e">
        <f>AND(Sheet1!N3113,"AAAAAH7H7QY=")</f>
        <v>#VALUE!</v>
      </c>
      <c r="H232" t="e">
        <f>AND(Sheet1!#REF!,"AAAAAH7H7Qc=")</f>
        <v>#REF!</v>
      </c>
      <c r="I232" t="e">
        <f>AND(Sheet1!#REF!,"AAAAAH7H7Qg=")</f>
        <v>#REF!</v>
      </c>
      <c r="J232" t="e">
        <f>AND(Sheet1!#REF!,"AAAAAH7H7Qk=")</f>
        <v>#REF!</v>
      </c>
      <c r="K232" t="e">
        <f>AND(Sheet1!#REF!,"AAAAAH7H7Qo=")</f>
        <v>#REF!</v>
      </c>
      <c r="L232">
        <f>IF(Sheet1!3114:3114,"AAAAAH7H7Qs=",0)</f>
        <v>0</v>
      </c>
      <c r="M232" t="e">
        <f>AND(Sheet1!A3114,"AAAAAH7H7Qw=")</f>
        <v>#VALUE!</v>
      </c>
      <c r="N232" t="e">
        <f>AND(Sheet1!B3114,"AAAAAH7H7Q0=")</f>
        <v>#VALUE!</v>
      </c>
      <c r="O232" t="e">
        <f>AND(Sheet1!C3114,"AAAAAH7H7Q4=")</f>
        <v>#VALUE!</v>
      </c>
      <c r="P232" t="e">
        <f>AND(Sheet1!D3114,"AAAAAH7H7Q8=")</f>
        <v>#VALUE!</v>
      </c>
      <c r="Q232" t="e">
        <f>AND(Sheet1!E3114,"AAAAAH7H7RA=")</f>
        <v>#VALUE!</v>
      </c>
      <c r="R232" t="e">
        <f>AND(Sheet1!F3114,"AAAAAH7H7RE=")</f>
        <v>#VALUE!</v>
      </c>
      <c r="S232" t="e">
        <f>AND(Sheet1!G3114,"AAAAAH7H7RI=")</f>
        <v>#VALUE!</v>
      </c>
      <c r="T232" t="e">
        <f>AND(Sheet1!H3114,"AAAAAH7H7RM=")</f>
        <v>#VALUE!</v>
      </c>
      <c r="U232" t="e">
        <f>AND(Sheet1!I3114,"AAAAAH7H7RQ=")</f>
        <v>#VALUE!</v>
      </c>
      <c r="V232" t="e">
        <f>AND(Sheet1!J3114,"AAAAAH7H7RU=")</f>
        <v>#VALUE!</v>
      </c>
      <c r="W232" t="e">
        <f>AND(Sheet1!K3114,"AAAAAH7H7RY=")</f>
        <v>#VALUE!</v>
      </c>
      <c r="X232" t="e">
        <f>AND(Sheet1!L3114,"AAAAAH7H7Rc=")</f>
        <v>#VALUE!</v>
      </c>
      <c r="Y232" t="e">
        <f>AND(Sheet1!M3114,"AAAAAH7H7Rg=")</f>
        <v>#VALUE!</v>
      </c>
      <c r="Z232" t="e">
        <f>AND(Sheet1!N3114,"AAAAAH7H7Rk=")</f>
        <v>#VALUE!</v>
      </c>
      <c r="AA232" t="e">
        <f>AND(Sheet1!#REF!,"AAAAAH7H7Ro=")</f>
        <v>#REF!</v>
      </c>
      <c r="AB232" t="e">
        <f>AND(Sheet1!#REF!,"AAAAAH7H7Rs=")</f>
        <v>#REF!</v>
      </c>
      <c r="AC232" t="e">
        <f>AND(Sheet1!#REF!,"AAAAAH7H7Rw=")</f>
        <v>#REF!</v>
      </c>
      <c r="AD232" t="e">
        <f>AND(Sheet1!#REF!,"AAAAAH7H7R0=")</f>
        <v>#REF!</v>
      </c>
      <c r="AE232">
        <f>IF(Sheet1!3115:3115,"AAAAAH7H7R4=",0)</f>
        <v>0</v>
      </c>
      <c r="AF232" t="e">
        <f>AND(Sheet1!A3115,"AAAAAH7H7R8=")</f>
        <v>#VALUE!</v>
      </c>
      <c r="AG232" t="e">
        <f>AND(Sheet1!B3115,"AAAAAH7H7SA=")</f>
        <v>#VALUE!</v>
      </c>
      <c r="AH232" t="e">
        <f>AND(Sheet1!C3115,"AAAAAH7H7SE=")</f>
        <v>#VALUE!</v>
      </c>
      <c r="AI232" t="e">
        <f>AND(Sheet1!D3115,"AAAAAH7H7SI=")</f>
        <v>#VALUE!</v>
      </c>
      <c r="AJ232" t="e">
        <f>AND(Sheet1!E3115,"AAAAAH7H7SM=")</f>
        <v>#VALUE!</v>
      </c>
      <c r="AK232" t="e">
        <f>AND(Sheet1!F3115,"AAAAAH7H7SQ=")</f>
        <v>#VALUE!</v>
      </c>
      <c r="AL232" t="e">
        <f>AND(Sheet1!G3115,"AAAAAH7H7SU=")</f>
        <v>#VALUE!</v>
      </c>
      <c r="AM232" t="e">
        <f>AND(Sheet1!H3115,"AAAAAH7H7SY=")</f>
        <v>#VALUE!</v>
      </c>
      <c r="AN232" t="e">
        <f>AND(Sheet1!I3115,"AAAAAH7H7Sc=")</f>
        <v>#VALUE!</v>
      </c>
      <c r="AO232" t="e">
        <f>AND(Sheet1!J3115,"AAAAAH7H7Sg=")</f>
        <v>#VALUE!</v>
      </c>
      <c r="AP232" t="e">
        <f>AND(Sheet1!K3115,"AAAAAH7H7Sk=")</f>
        <v>#VALUE!</v>
      </c>
      <c r="AQ232" t="e">
        <f>AND(Sheet1!L3115,"AAAAAH7H7So=")</f>
        <v>#VALUE!</v>
      </c>
      <c r="AR232" t="e">
        <f>AND(Sheet1!M3115,"AAAAAH7H7Ss=")</f>
        <v>#VALUE!</v>
      </c>
      <c r="AS232" t="e">
        <f>AND(Sheet1!N3115,"AAAAAH7H7Sw=")</f>
        <v>#VALUE!</v>
      </c>
      <c r="AT232" t="e">
        <f>AND(Sheet1!#REF!,"AAAAAH7H7S0=")</f>
        <v>#REF!</v>
      </c>
      <c r="AU232" t="e">
        <f>AND(Sheet1!#REF!,"AAAAAH7H7S4=")</f>
        <v>#REF!</v>
      </c>
      <c r="AV232" t="e">
        <f>AND(Sheet1!#REF!,"AAAAAH7H7S8=")</f>
        <v>#REF!</v>
      </c>
      <c r="AW232" t="e">
        <f>AND(Sheet1!#REF!,"AAAAAH7H7TA=")</f>
        <v>#REF!</v>
      </c>
      <c r="AX232">
        <f>IF(Sheet1!3116:3116,"AAAAAH7H7TE=",0)</f>
        <v>0</v>
      </c>
      <c r="AY232" t="e">
        <f>AND(Sheet1!A3116,"AAAAAH7H7TI=")</f>
        <v>#VALUE!</v>
      </c>
      <c r="AZ232" t="e">
        <f>AND(Sheet1!B3116,"AAAAAH7H7TM=")</f>
        <v>#VALUE!</v>
      </c>
      <c r="BA232" t="e">
        <f>AND(Sheet1!C3116,"AAAAAH7H7TQ=")</f>
        <v>#VALUE!</v>
      </c>
      <c r="BB232" t="e">
        <f>AND(Sheet1!D3116,"AAAAAH7H7TU=")</f>
        <v>#VALUE!</v>
      </c>
      <c r="BC232" t="e">
        <f>AND(Sheet1!E3116,"AAAAAH7H7TY=")</f>
        <v>#VALUE!</v>
      </c>
      <c r="BD232" t="e">
        <f>AND(Sheet1!F3116,"AAAAAH7H7Tc=")</f>
        <v>#VALUE!</v>
      </c>
      <c r="BE232" t="e">
        <f>AND(Sheet1!G3116,"AAAAAH7H7Tg=")</f>
        <v>#VALUE!</v>
      </c>
      <c r="BF232" t="e">
        <f>AND(Sheet1!H3116,"AAAAAH7H7Tk=")</f>
        <v>#VALUE!</v>
      </c>
      <c r="BG232" t="e">
        <f>AND(Sheet1!I3116,"AAAAAH7H7To=")</f>
        <v>#VALUE!</v>
      </c>
      <c r="BH232" t="e">
        <f>AND(Sheet1!J3116,"AAAAAH7H7Ts=")</f>
        <v>#VALUE!</v>
      </c>
      <c r="BI232" t="e">
        <f>AND(Sheet1!K3116,"AAAAAH7H7Tw=")</f>
        <v>#VALUE!</v>
      </c>
      <c r="BJ232" t="e">
        <f>AND(Sheet1!L3116,"AAAAAH7H7T0=")</f>
        <v>#VALUE!</v>
      </c>
      <c r="BK232" t="e">
        <f>AND(Sheet1!M3116,"AAAAAH7H7T4=")</f>
        <v>#VALUE!</v>
      </c>
      <c r="BL232" t="e">
        <f>AND(Sheet1!N3116,"AAAAAH7H7T8=")</f>
        <v>#VALUE!</v>
      </c>
      <c r="BM232" t="e">
        <f>AND(Sheet1!#REF!,"AAAAAH7H7UA=")</f>
        <v>#REF!</v>
      </c>
      <c r="BN232" t="e">
        <f>AND(Sheet1!#REF!,"AAAAAH7H7UE=")</f>
        <v>#REF!</v>
      </c>
      <c r="BO232" t="e">
        <f>AND(Sheet1!#REF!,"AAAAAH7H7UI=")</f>
        <v>#REF!</v>
      </c>
      <c r="BP232" t="e">
        <f>AND(Sheet1!#REF!,"AAAAAH7H7UM=")</f>
        <v>#REF!</v>
      </c>
      <c r="BQ232">
        <f>IF(Sheet1!3117:3117,"AAAAAH7H7UQ=",0)</f>
        <v>0</v>
      </c>
      <c r="BR232" t="e">
        <f>AND(Sheet1!A3117,"AAAAAH7H7UU=")</f>
        <v>#VALUE!</v>
      </c>
      <c r="BS232" t="e">
        <f>AND(Sheet1!B3117,"AAAAAH7H7UY=")</f>
        <v>#VALUE!</v>
      </c>
      <c r="BT232" t="e">
        <f>AND(Sheet1!C3117,"AAAAAH7H7Uc=")</f>
        <v>#VALUE!</v>
      </c>
      <c r="BU232" t="e">
        <f>AND(Sheet1!D3117,"AAAAAH7H7Ug=")</f>
        <v>#VALUE!</v>
      </c>
      <c r="BV232" t="e">
        <f>AND(Sheet1!E3117,"AAAAAH7H7Uk=")</f>
        <v>#VALUE!</v>
      </c>
      <c r="BW232" t="e">
        <f>AND(Sheet1!F3117,"AAAAAH7H7Uo=")</f>
        <v>#VALUE!</v>
      </c>
      <c r="BX232" t="e">
        <f>AND(Sheet1!G3117,"AAAAAH7H7Us=")</f>
        <v>#VALUE!</v>
      </c>
      <c r="BY232" t="e">
        <f>AND(Sheet1!H3117,"AAAAAH7H7Uw=")</f>
        <v>#VALUE!</v>
      </c>
      <c r="BZ232" t="e">
        <f>AND(Sheet1!I3117,"AAAAAH7H7U0=")</f>
        <v>#VALUE!</v>
      </c>
      <c r="CA232" t="e">
        <f>AND(Sheet1!J3117,"AAAAAH7H7U4=")</f>
        <v>#VALUE!</v>
      </c>
      <c r="CB232" t="e">
        <f>AND(Sheet1!K3117,"AAAAAH7H7U8=")</f>
        <v>#VALUE!</v>
      </c>
      <c r="CC232" t="e">
        <f>AND(Sheet1!L3117,"AAAAAH7H7VA=")</f>
        <v>#VALUE!</v>
      </c>
      <c r="CD232" t="e">
        <f>AND(Sheet1!M3117,"AAAAAH7H7VE=")</f>
        <v>#VALUE!</v>
      </c>
      <c r="CE232" t="e">
        <f>AND(Sheet1!N3117,"AAAAAH7H7VI=")</f>
        <v>#VALUE!</v>
      </c>
      <c r="CF232" t="e">
        <f>AND(Sheet1!#REF!,"AAAAAH7H7VM=")</f>
        <v>#REF!</v>
      </c>
      <c r="CG232" t="e">
        <f>AND(Sheet1!#REF!,"AAAAAH7H7VQ=")</f>
        <v>#REF!</v>
      </c>
      <c r="CH232" t="e">
        <f>AND(Sheet1!#REF!,"AAAAAH7H7VU=")</f>
        <v>#REF!</v>
      </c>
      <c r="CI232" t="e">
        <f>AND(Sheet1!#REF!,"AAAAAH7H7VY=")</f>
        <v>#REF!</v>
      </c>
      <c r="CJ232">
        <f>IF(Sheet1!3118:3118,"AAAAAH7H7Vc=",0)</f>
        <v>0</v>
      </c>
      <c r="CK232" t="e">
        <f>AND(Sheet1!A3118,"AAAAAH7H7Vg=")</f>
        <v>#VALUE!</v>
      </c>
      <c r="CL232" t="e">
        <f>AND(Sheet1!B3118,"AAAAAH7H7Vk=")</f>
        <v>#VALUE!</v>
      </c>
      <c r="CM232" t="e">
        <f>AND(Sheet1!C3118,"AAAAAH7H7Vo=")</f>
        <v>#VALUE!</v>
      </c>
      <c r="CN232" t="e">
        <f>AND(Sheet1!D3118,"AAAAAH7H7Vs=")</f>
        <v>#VALUE!</v>
      </c>
      <c r="CO232" t="e">
        <f>AND(Sheet1!E3118,"AAAAAH7H7Vw=")</f>
        <v>#VALUE!</v>
      </c>
      <c r="CP232" t="e">
        <f>AND(Sheet1!F3118,"AAAAAH7H7V0=")</f>
        <v>#VALUE!</v>
      </c>
      <c r="CQ232" t="e">
        <f>AND(Sheet1!G3118,"AAAAAH7H7V4=")</f>
        <v>#VALUE!</v>
      </c>
      <c r="CR232" t="e">
        <f>AND(Sheet1!H3118,"AAAAAH7H7V8=")</f>
        <v>#VALUE!</v>
      </c>
      <c r="CS232" t="e">
        <f>AND(Sheet1!I3118,"AAAAAH7H7WA=")</f>
        <v>#VALUE!</v>
      </c>
      <c r="CT232" t="e">
        <f>AND(Sheet1!J3118,"AAAAAH7H7WE=")</f>
        <v>#VALUE!</v>
      </c>
      <c r="CU232" t="e">
        <f>AND(Sheet1!K3118,"AAAAAH7H7WI=")</f>
        <v>#VALUE!</v>
      </c>
      <c r="CV232" t="e">
        <f>AND(Sheet1!L3118,"AAAAAH7H7WM=")</f>
        <v>#VALUE!</v>
      </c>
      <c r="CW232" t="e">
        <f>AND(Sheet1!M3118,"AAAAAH7H7WQ=")</f>
        <v>#VALUE!</v>
      </c>
      <c r="CX232" t="e">
        <f>AND(Sheet1!N3118,"AAAAAH7H7WU=")</f>
        <v>#VALUE!</v>
      </c>
      <c r="CY232" t="e">
        <f>AND(Sheet1!#REF!,"AAAAAH7H7WY=")</f>
        <v>#REF!</v>
      </c>
      <c r="CZ232" t="e">
        <f>AND(Sheet1!#REF!,"AAAAAH7H7Wc=")</f>
        <v>#REF!</v>
      </c>
      <c r="DA232" t="e">
        <f>AND(Sheet1!#REF!,"AAAAAH7H7Wg=")</f>
        <v>#REF!</v>
      </c>
      <c r="DB232" t="e">
        <f>AND(Sheet1!#REF!,"AAAAAH7H7Wk=")</f>
        <v>#REF!</v>
      </c>
      <c r="DC232">
        <f>IF(Sheet1!3119:3119,"AAAAAH7H7Wo=",0)</f>
        <v>0</v>
      </c>
      <c r="DD232" t="e">
        <f>AND(Sheet1!A3119,"AAAAAH7H7Ws=")</f>
        <v>#VALUE!</v>
      </c>
      <c r="DE232" t="e">
        <f>AND(Sheet1!B3119,"AAAAAH7H7Ww=")</f>
        <v>#VALUE!</v>
      </c>
      <c r="DF232" t="e">
        <f>AND(Sheet1!C3119,"AAAAAH7H7W0=")</f>
        <v>#VALUE!</v>
      </c>
      <c r="DG232" t="e">
        <f>AND(Sheet1!D3119,"AAAAAH7H7W4=")</f>
        <v>#VALUE!</v>
      </c>
      <c r="DH232" t="e">
        <f>AND(Sheet1!E3119,"AAAAAH7H7W8=")</f>
        <v>#VALUE!</v>
      </c>
      <c r="DI232" t="e">
        <f>AND(Sheet1!F3119,"AAAAAH7H7XA=")</f>
        <v>#VALUE!</v>
      </c>
      <c r="DJ232" t="e">
        <f>AND(Sheet1!G3119,"AAAAAH7H7XE=")</f>
        <v>#VALUE!</v>
      </c>
      <c r="DK232" t="e">
        <f>AND(Sheet1!H3119,"AAAAAH7H7XI=")</f>
        <v>#VALUE!</v>
      </c>
      <c r="DL232" t="e">
        <f>AND(Sheet1!I3119,"AAAAAH7H7XM=")</f>
        <v>#VALUE!</v>
      </c>
      <c r="DM232" t="e">
        <f>AND(Sheet1!J3119,"AAAAAH7H7XQ=")</f>
        <v>#VALUE!</v>
      </c>
      <c r="DN232" t="e">
        <f>AND(Sheet1!K3119,"AAAAAH7H7XU=")</f>
        <v>#VALUE!</v>
      </c>
      <c r="DO232" t="e">
        <f>AND(Sheet1!L3119,"AAAAAH7H7XY=")</f>
        <v>#VALUE!</v>
      </c>
      <c r="DP232" t="e">
        <f>AND(Sheet1!M3119,"AAAAAH7H7Xc=")</f>
        <v>#VALUE!</v>
      </c>
      <c r="DQ232" t="e">
        <f>AND(Sheet1!N3119,"AAAAAH7H7Xg=")</f>
        <v>#VALUE!</v>
      </c>
      <c r="DR232" t="e">
        <f>AND(Sheet1!#REF!,"AAAAAH7H7Xk=")</f>
        <v>#REF!</v>
      </c>
      <c r="DS232" t="e">
        <f>AND(Sheet1!#REF!,"AAAAAH7H7Xo=")</f>
        <v>#REF!</v>
      </c>
      <c r="DT232" t="e">
        <f>AND(Sheet1!#REF!,"AAAAAH7H7Xs=")</f>
        <v>#REF!</v>
      </c>
      <c r="DU232" t="e">
        <f>AND(Sheet1!#REF!,"AAAAAH7H7Xw=")</f>
        <v>#REF!</v>
      </c>
      <c r="DV232">
        <f>IF(Sheet1!3120:3120,"AAAAAH7H7X0=",0)</f>
        <v>0</v>
      </c>
      <c r="DW232" t="e">
        <f>AND(Sheet1!A3120,"AAAAAH7H7X4=")</f>
        <v>#VALUE!</v>
      </c>
      <c r="DX232" t="e">
        <f>AND(Sheet1!B3120,"AAAAAH7H7X8=")</f>
        <v>#VALUE!</v>
      </c>
      <c r="DY232" t="e">
        <f>AND(Sheet1!C3120,"AAAAAH7H7YA=")</f>
        <v>#VALUE!</v>
      </c>
      <c r="DZ232" t="e">
        <f>AND(Sheet1!D3120,"AAAAAH7H7YE=")</f>
        <v>#VALUE!</v>
      </c>
      <c r="EA232" t="e">
        <f>AND(Sheet1!E3120,"AAAAAH7H7YI=")</f>
        <v>#VALUE!</v>
      </c>
      <c r="EB232" t="e">
        <f>AND(Sheet1!F3120,"AAAAAH7H7YM=")</f>
        <v>#VALUE!</v>
      </c>
      <c r="EC232" t="e">
        <f>AND(Sheet1!G3120,"AAAAAH7H7YQ=")</f>
        <v>#VALUE!</v>
      </c>
      <c r="ED232" t="e">
        <f>AND(Sheet1!H3120,"AAAAAH7H7YU=")</f>
        <v>#VALUE!</v>
      </c>
      <c r="EE232" t="e">
        <f>AND(Sheet1!I3120,"AAAAAH7H7YY=")</f>
        <v>#VALUE!</v>
      </c>
      <c r="EF232" t="e">
        <f>AND(Sheet1!J3120,"AAAAAH7H7Yc=")</f>
        <v>#VALUE!</v>
      </c>
      <c r="EG232" t="e">
        <f>AND(Sheet1!K3120,"AAAAAH7H7Yg=")</f>
        <v>#VALUE!</v>
      </c>
      <c r="EH232" t="e">
        <f>AND(Sheet1!L3120,"AAAAAH7H7Yk=")</f>
        <v>#VALUE!</v>
      </c>
      <c r="EI232" t="e">
        <f>AND(Sheet1!M3120,"AAAAAH7H7Yo=")</f>
        <v>#VALUE!</v>
      </c>
      <c r="EJ232" t="e">
        <f>AND(Sheet1!N3120,"AAAAAH7H7Ys=")</f>
        <v>#VALUE!</v>
      </c>
      <c r="EK232" t="e">
        <f>AND(Sheet1!#REF!,"AAAAAH7H7Yw=")</f>
        <v>#REF!</v>
      </c>
      <c r="EL232" t="e">
        <f>AND(Sheet1!#REF!,"AAAAAH7H7Y0=")</f>
        <v>#REF!</v>
      </c>
      <c r="EM232" t="e">
        <f>AND(Sheet1!#REF!,"AAAAAH7H7Y4=")</f>
        <v>#REF!</v>
      </c>
      <c r="EN232" t="e">
        <f>AND(Sheet1!#REF!,"AAAAAH7H7Y8=")</f>
        <v>#REF!</v>
      </c>
      <c r="EO232">
        <f>IF(Sheet1!3121:3121,"AAAAAH7H7ZA=",0)</f>
        <v>0</v>
      </c>
      <c r="EP232" t="e">
        <f>AND(Sheet1!A3121,"AAAAAH7H7ZE=")</f>
        <v>#VALUE!</v>
      </c>
      <c r="EQ232" t="e">
        <f>AND(Sheet1!B3121,"AAAAAH7H7ZI=")</f>
        <v>#VALUE!</v>
      </c>
      <c r="ER232" t="e">
        <f>AND(Sheet1!C3121,"AAAAAH7H7ZM=")</f>
        <v>#VALUE!</v>
      </c>
      <c r="ES232" t="e">
        <f>AND(Sheet1!D3121,"AAAAAH7H7ZQ=")</f>
        <v>#VALUE!</v>
      </c>
      <c r="ET232" t="e">
        <f>AND(Sheet1!E3121,"AAAAAH7H7ZU=")</f>
        <v>#VALUE!</v>
      </c>
      <c r="EU232" t="e">
        <f>AND(Sheet1!F3121,"AAAAAH7H7ZY=")</f>
        <v>#VALUE!</v>
      </c>
      <c r="EV232" t="e">
        <f>AND(Sheet1!G3121,"AAAAAH7H7Zc=")</f>
        <v>#VALUE!</v>
      </c>
      <c r="EW232" t="e">
        <f>AND(Sheet1!H3121,"AAAAAH7H7Zg=")</f>
        <v>#VALUE!</v>
      </c>
      <c r="EX232" t="e">
        <f>AND(Sheet1!I3121,"AAAAAH7H7Zk=")</f>
        <v>#VALUE!</v>
      </c>
      <c r="EY232" t="e">
        <f>AND(Sheet1!J3121,"AAAAAH7H7Zo=")</f>
        <v>#VALUE!</v>
      </c>
      <c r="EZ232" t="e">
        <f>AND(Sheet1!K3121,"AAAAAH7H7Zs=")</f>
        <v>#VALUE!</v>
      </c>
      <c r="FA232" t="e">
        <f>AND(Sheet1!L3121,"AAAAAH7H7Zw=")</f>
        <v>#VALUE!</v>
      </c>
      <c r="FB232" t="e">
        <f>AND(Sheet1!M3121,"AAAAAH7H7Z0=")</f>
        <v>#VALUE!</v>
      </c>
      <c r="FC232" t="e">
        <f>AND(Sheet1!N3121,"AAAAAH7H7Z4=")</f>
        <v>#VALUE!</v>
      </c>
      <c r="FD232" t="e">
        <f>AND(Sheet1!#REF!,"AAAAAH7H7Z8=")</f>
        <v>#REF!</v>
      </c>
      <c r="FE232" t="e">
        <f>AND(Sheet1!#REF!,"AAAAAH7H7aA=")</f>
        <v>#REF!</v>
      </c>
      <c r="FF232" t="e">
        <f>AND(Sheet1!#REF!,"AAAAAH7H7aE=")</f>
        <v>#REF!</v>
      </c>
      <c r="FG232" t="e">
        <f>AND(Sheet1!#REF!,"AAAAAH7H7aI=")</f>
        <v>#REF!</v>
      </c>
      <c r="FH232">
        <f>IF(Sheet1!3122:3122,"AAAAAH7H7aM=",0)</f>
        <v>0</v>
      </c>
      <c r="FI232" t="e">
        <f>AND(Sheet1!A3122,"AAAAAH7H7aQ=")</f>
        <v>#VALUE!</v>
      </c>
      <c r="FJ232" t="e">
        <f>AND(Sheet1!B3122,"AAAAAH7H7aU=")</f>
        <v>#VALUE!</v>
      </c>
      <c r="FK232" t="e">
        <f>AND(Sheet1!C3122,"AAAAAH7H7aY=")</f>
        <v>#VALUE!</v>
      </c>
      <c r="FL232" t="e">
        <f>AND(Sheet1!D3122,"AAAAAH7H7ac=")</f>
        <v>#VALUE!</v>
      </c>
      <c r="FM232" t="e">
        <f>AND(Sheet1!E3122,"AAAAAH7H7ag=")</f>
        <v>#VALUE!</v>
      </c>
      <c r="FN232" t="e">
        <f>AND(Sheet1!F3122,"AAAAAH7H7ak=")</f>
        <v>#VALUE!</v>
      </c>
      <c r="FO232" t="e">
        <f>AND(Sheet1!G3122,"AAAAAH7H7ao=")</f>
        <v>#VALUE!</v>
      </c>
      <c r="FP232" t="e">
        <f>AND(Sheet1!H3122,"AAAAAH7H7as=")</f>
        <v>#VALUE!</v>
      </c>
      <c r="FQ232" t="e">
        <f>AND(Sheet1!I3122,"AAAAAH7H7aw=")</f>
        <v>#VALUE!</v>
      </c>
      <c r="FR232" t="e">
        <f>AND(Sheet1!J3122,"AAAAAH7H7a0=")</f>
        <v>#VALUE!</v>
      </c>
      <c r="FS232" t="e">
        <f>AND(Sheet1!K3122,"AAAAAH7H7a4=")</f>
        <v>#VALUE!</v>
      </c>
      <c r="FT232" t="e">
        <f>AND(Sheet1!L3122,"AAAAAH7H7a8=")</f>
        <v>#VALUE!</v>
      </c>
      <c r="FU232" t="e">
        <f>AND(Sheet1!M3122,"AAAAAH7H7bA=")</f>
        <v>#VALUE!</v>
      </c>
      <c r="FV232" t="e">
        <f>AND(Sheet1!N3122,"AAAAAH7H7bE=")</f>
        <v>#VALUE!</v>
      </c>
      <c r="FW232" t="e">
        <f>AND(Sheet1!#REF!,"AAAAAH7H7bI=")</f>
        <v>#REF!</v>
      </c>
      <c r="FX232" t="e">
        <f>AND(Sheet1!#REF!,"AAAAAH7H7bM=")</f>
        <v>#REF!</v>
      </c>
      <c r="FY232" t="e">
        <f>AND(Sheet1!#REF!,"AAAAAH7H7bQ=")</f>
        <v>#REF!</v>
      </c>
      <c r="FZ232" t="e">
        <f>AND(Sheet1!#REF!,"AAAAAH7H7bU=")</f>
        <v>#REF!</v>
      </c>
      <c r="GA232">
        <f>IF(Sheet1!3123:3123,"AAAAAH7H7bY=",0)</f>
        <v>0</v>
      </c>
      <c r="GB232" t="e">
        <f>AND(Sheet1!A3123,"AAAAAH7H7bc=")</f>
        <v>#VALUE!</v>
      </c>
      <c r="GC232" t="e">
        <f>AND(Sheet1!B3123,"AAAAAH7H7bg=")</f>
        <v>#VALUE!</v>
      </c>
      <c r="GD232" t="e">
        <f>AND(Sheet1!C3123,"AAAAAH7H7bk=")</f>
        <v>#VALUE!</v>
      </c>
      <c r="GE232" t="e">
        <f>AND(Sheet1!D3123,"AAAAAH7H7bo=")</f>
        <v>#VALUE!</v>
      </c>
      <c r="GF232" t="e">
        <f>AND(Sheet1!E3123,"AAAAAH7H7bs=")</f>
        <v>#VALUE!</v>
      </c>
      <c r="GG232" t="e">
        <f>AND(Sheet1!F3123,"AAAAAH7H7bw=")</f>
        <v>#VALUE!</v>
      </c>
      <c r="GH232" t="e">
        <f>AND(Sheet1!G3123,"AAAAAH7H7b0=")</f>
        <v>#VALUE!</v>
      </c>
      <c r="GI232" t="e">
        <f>AND(Sheet1!H3123,"AAAAAH7H7b4=")</f>
        <v>#VALUE!</v>
      </c>
      <c r="GJ232" t="e">
        <f>AND(Sheet1!I3123,"AAAAAH7H7b8=")</f>
        <v>#VALUE!</v>
      </c>
      <c r="GK232" t="e">
        <f>AND(Sheet1!J3123,"AAAAAH7H7cA=")</f>
        <v>#VALUE!</v>
      </c>
      <c r="GL232" t="e">
        <f>AND(Sheet1!K3123,"AAAAAH7H7cE=")</f>
        <v>#VALUE!</v>
      </c>
      <c r="GM232" t="e">
        <f>AND(Sheet1!L3123,"AAAAAH7H7cI=")</f>
        <v>#VALUE!</v>
      </c>
      <c r="GN232" t="e">
        <f>AND(Sheet1!M3123,"AAAAAH7H7cM=")</f>
        <v>#VALUE!</v>
      </c>
      <c r="GO232" t="e">
        <f>AND(Sheet1!N3123,"AAAAAH7H7cQ=")</f>
        <v>#VALUE!</v>
      </c>
      <c r="GP232" t="e">
        <f>AND(Sheet1!#REF!,"AAAAAH7H7cU=")</f>
        <v>#REF!</v>
      </c>
      <c r="GQ232" t="e">
        <f>AND(Sheet1!#REF!,"AAAAAH7H7cY=")</f>
        <v>#REF!</v>
      </c>
      <c r="GR232" t="e">
        <f>AND(Sheet1!#REF!,"AAAAAH7H7cc=")</f>
        <v>#REF!</v>
      </c>
      <c r="GS232" t="e">
        <f>AND(Sheet1!#REF!,"AAAAAH7H7cg=")</f>
        <v>#REF!</v>
      </c>
      <c r="GT232">
        <f>IF(Sheet1!3124:3124,"AAAAAH7H7ck=",0)</f>
        <v>0</v>
      </c>
      <c r="GU232" t="e">
        <f>AND(Sheet1!A3124,"AAAAAH7H7co=")</f>
        <v>#VALUE!</v>
      </c>
      <c r="GV232" t="e">
        <f>AND(Sheet1!B3124,"AAAAAH7H7cs=")</f>
        <v>#VALUE!</v>
      </c>
      <c r="GW232" t="e">
        <f>AND(Sheet1!C3124,"AAAAAH7H7cw=")</f>
        <v>#VALUE!</v>
      </c>
      <c r="GX232" t="e">
        <f>AND(Sheet1!D3124,"AAAAAH7H7c0=")</f>
        <v>#VALUE!</v>
      </c>
      <c r="GY232" t="e">
        <f>AND(Sheet1!E3124,"AAAAAH7H7c4=")</f>
        <v>#VALUE!</v>
      </c>
      <c r="GZ232" t="e">
        <f>AND(Sheet1!F3124,"AAAAAH7H7c8=")</f>
        <v>#VALUE!</v>
      </c>
      <c r="HA232" t="e">
        <f>AND(Sheet1!G3124,"AAAAAH7H7dA=")</f>
        <v>#VALUE!</v>
      </c>
      <c r="HB232" t="e">
        <f>AND(Sheet1!H3124,"AAAAAH7H7dE=")</f>
        <v>#VALUE!</v>
      </c>
      <c r="HC232" t="e">
        <f>AND(Sheet1!I3124,"AAAAAH7H7dI=")</f>
        <v>#VALUE!</v>
      </c>
      <c r="HD232" t="e">
        <f>AND(Sheet1!J3124,"AAAAAH7H7dM=")</f>
        <v>#VALUE!</v>
      </c>
      <c r="HE232" t="e">
        <f>AND(Sheet1!K3124,"AAAAAH7H7dQ=")</f>
        <v>#VALUE!</v>
      </c>
      <c r="HF232" t="e">
        <f>AND(Sheet1!L3124,"AAAAAH7H7dU=")</f>
        <v>#VALUE!</v>
      </c>
      <c r="HG232" t="e">
        <f>AND(Sheet1!M3124,"AAAAAH7H7dY=")</f>
        <v>#VALUE!</v>
      </c>
      <c r="HH232" t="e">
        <f>AND(Sheet1!N3124,"AAAAAH7H7dc=")</f>
        <v>#VALUE!</v>
      </c>
      <c r="HI232" t="e">
        <f>AND(Sheet1!#REF!,"AAAAAH7H7dg=")</f>
        <v>#REF!</v>
      </c>
      <c r="HJ232" t="e">
        <f>AND(Sheet1!#REF!,"AAAAAH7H7dk=")</f>
        <v>#REF!</v>
      </c>
      <c r="HK232" t="e">
        <f>AND(Sheet1!#REF!,"AAAAAH7H7do=")</f>
        <v>#REF!</v>
      </c>
      <c r="HL232" t="e">
        <f>AND(Sheet1!#REF!,"AAAAAH7H7ds=")</f>
        <v>#REF!</v>
      </c>
      <c r="HM232">
        <f>IF(Sheet1!3125:3125,"AAAAAH7H7dw=",0)</f>
        <v>0</v>
      </c>
      <c r="HN232" t="e">
        <f>AND(Sheet1!A3125,"AAAAAH7H7d0=")</f>
        <v>#VALUE!</v>
      </c>
      <c r="HO232" t="e">
        <f>AND(Sheet1!B3125,"AAAAAH7H7d4=")</f>
        <v>#VALUE!</v>
      </c>
      <c r="HP232" t="e">
        <f>AND(Sheet1!C3125,"AAAAAH7H7d8=")</f>
        <v>#VALUE!</v>
      </c>
      <c r="HQ232" t="e">
        <f>AND(Sheet1!D3125,"AAAAAH7H7eA=")</f>
        <v>#VALUE!</v>
      </c>
      <c r="HR232" t="e">
        <f>AND(Sheet1!E3125,"AAAAAH7H7eE=")</f>
        <v>#VALUE!</v>
      </c>
      <c r="HS232" t="e">
        <f>AND(Sheet1!F3125,"AAAAAH7H7eI=")</f>
        <v>#VALUE!</v>
      </c>
      <c r="HT232" t="e">
        <f>AND(Sheet1!G3125,"AAAAAH7H7eM=")</f>
        <v>#VALUE!</v>
      </c>
      <c r="HU232" t="e">
        <f>AND(Sheet1!H3125,"AAAAAH7H7eQ=")</f>
        <v>#VALUE!</v>
      </c>
      <c r="HV232" t="e">
        <f>AND(Sheet1!I3125,"AAAAAH7H7eU=")</f>
        <v>#VALUE!</v>
      </c>
      <c r="HW232" t="e">
        <f>AND(Sheet1!J3125,"AAAAAH7H7eY=")</f>
        <v>#VALUE!</v>
      </c>
      <c r="HX232" t="e">
        <f>AND(Sheet1!K3125,"AAAAAH7H7ec=")</f>
        <v>#VALUE!</v>
      </c>
      <c r="HY232" t="e">
        <f>AND(Sheet1!L3125,"AAAAAH7H7eg=")</f>
        <v>#VALUE!</v>
      </c>
      <c r="HZ232" t="e">
        <f>AND(Sheet1!M3125,"AAAAAH7H7ek=")</f>
        <v>#VALUE!</v>
      </c>
      <c r="IA232" t="e">
        <f>AND(Sheet1!N3125,"AAAAAH7H7eo=")</f>
        <v>#VALUE!</v>
      </c>
      <c r="IB232" t="e">
        <f>AND(Sheet1!#REF!,"AAAAAH7H7es=")</f>
        <v>#REF!</v>
      </c>
      <c r="IC232" t="e">
        <f>AND(Sheet1!#REF!,"AAAAAH7H7ew=")</f>
        <v>#REF!</v>
      </c>
      <c r="ID232" t="e">
        <f>AND(Sheet1!#REF!,"AAAAAH7H7e0=")</f>
        <v>#REF!</v>
      </c>
      <c r="IE232" t="e">
        <f>AND(Sheet1!#REF!,"AAAAAH7H7e4=")</f>
        <v>#REF!</v>
      </c>
      <c r="IF232">
        <f>IF(Sheet1!3126:3126,"AAAAAH7H7e8=",0)</f>
        <v>0</v>
      </c>
      <c r="IG232" t="e">
        <f>AND(Sheet1!A3126,"AAAAAH7H7fA=")</f>
        <v>#VALUE!</v>
      </c>
      <c r="IH232" t="e">
        <f>AND(Sheet1!B3126,"AAAAAH7H7fE=")</f>
        <v>#VALUE!</v>
      </c>
      <c r="II232" t="e">
        <f>AND(Sheet1!C3126,"AAAAAH7H7fI=")</f>
        <v>#VALUE!</v>
      </c>
      <c r="IJ232" t="e">
        <f>AND(Sheet1!D3126,"AAAAAH7H7fM=")</f>
        <v>#VALUE!</v>
      </c>
      <c r="IK232" t="e">
        <f>AND(Sheet1!E3126,"AAAAAH7H7fQ=")</f>
        <v>#VALUE!</v>
      </c>
      <c r="IL232" t="e">
        <f>AND(Sheet1!F3126,"AAAAAH7H7fU=")</f>
        <v>#VALUE!</v>
      </c>
      <c r="IM232" t="e">
        <f>AND(Sheet1!G3126,"AAAAAH7H7fY=")</f>
        <v>#VALUE!</v>
      </c>
      <c r="IN232" t="e">
        <f>AND(Sheet1!H3126,"AAAAAH7H7fc=")</f>
        <v>#VALUE!</v>
      </c>
      <c r="IO232" t="e">
        <f>AND(Sheet1!I3126,"AAAAAH7H7fg=")</f>
        <v>#VALUE!</v>
      </c>
      <c r="IP232" t="e">
        <f>AND(Sheet1!J3126,"AAAAAH7H7fk=")</f>
        <v>#VALUE!</v>
      </c>
      <c r="IQ232" t="e">
        <f>AND(Sheet1!K3126,"AAAAAH7H7fo=")</f>
        <v>#VALUE!</v>
      </c>
      <c r="IR232" t="e">
        <f>AND(Sheet1!L3126,"AAAAAH7H7fs=")</f>
        <v>#VALUE!</v>
      </c>
      <c r="IS232" t="e">
        <f>AND(Sheet1!M3126,"AAAAAH7H7fw=")</f>
        <v>#VALUE!</v>
      </c>
      <c r="IT232" t="e">
        <f>AND(Sheet1!N3126,"AAAAAH7H7f0=")</f>
        <v>#VALUE!</v>
      </c>
      <c r="IU232" t="e">
        <f>AND(Sheet1!#REF!,"AAAAAH7H7f4=")</f>
        <v>#REF!</v>
      </c>
      <c r="IV232" t="e">
        <f>AND(Sheet1!#REF!,"AAAAAH7H7f8=")</f>
        <v>#REF!</v>
      </c>
    </row>
    <row r="233" spans="1:256" x14ac:dyDescent="0.2">
      <c r="A233" t="e">
        <f>AND(Sheet1!#REF!,"AAAAAFtb/wA=")</f>
        <v>#REF!</v>
      </c>
      <c r="B233" t="e">
        <f>AND(Sheet1!#REF!,"AAAAAFtb/wE=")</f>
        <v>#REF!</v>
      </c>
      <c r="C233" t="e">
        <f>IF(Sheet1!3127:3127,"AAAAAFtb/wI=",0)</f>
        <v>#VALUE!</v>
      </c>
      <c r="D233" t="e">
        <f>AND(Sheet1!A3127,"AAAAAFtb/wM=")</f>
        <v>#VALUE!</v>
      </c>
      <c r="E233" t="e">
        <f>AND(Sheet1!B3127,"AAAAAFtb/wQ=")</f>
        <v>#VALUE!</v>
      </c>
      <c r="F233" t="e">
        <f>AND(Sheet1!C3127,"AAAAAFtb/wU=")</f>
        <v>#VALUE!</v>
      </c>
      <c r="G233" t="e">
        <f>AND(Sheet1!D3127,"AAAAAFtb/wY=")</f>
        <v>#VALUE!</v>
      </c>
      <c r="H233" t="e">
        <f>AND(Sheet1!E3127,"AAAAAFtb/wc=")</f>
        <v>#VALUE!</v>
      </c>
      <c r="I233" t="e">
        <f>AND(Sheet1!F3127,"AAAAAFtb/wg=")</f>
        <v>#VALUE!</v>
      </c>
      <c r="J233" t="e">
        <f>AND(Sheet1!G3127,"AAAAAFtb/wk=")</f>
        <v>#VALUE!</v>
      </c>
      <c r="K233" t="e">
        <f>AND(Sheet1!H3127,"AAAAAFtb/wo=")</f>
        <v>#VALUE!</v>
      </c>
      <c r="L233" t="e">
        <f>AND(Sheet1!I3127,"AAAAAFtb/ws=")</f>
        <v>#VALUE!</v>
      </c>
      <c r="M233" t="e">
        <f>AND(Sheet1!J3127,"AAAAAFtb/ww=")</f>
        <v>#VALUE!</v>
      </c>
      <c r="N233" t="e">
        <f>AND(Sheet1!K3127,"AAAAAFtb/w0=")</f>
        <v>#VALUE!</v>
      </c>
      <c r="O233" t="e">
        <f>AND(Sheet1!L3127,"AAAAAFtb/w4=")</f>
        <v>#VALUE!</v>
      </c>
      <c r="P233" t="e">
        <f>AND(Sheet1!M3127,"AAAAAFtb/w8=")</f>
        <v>#VALUE!</v>
      </c>
      <c r="Q233" t="e">
        <f>AND(Sheet1!N3127,"AAAAAFtb/xA=")</f>
        <v>#VALUE!</v>
      </c>
      <c r="R233" t="e">
        <f>AND(Sheet1!#REF!,"AAAAAFtb/xE=")</f>
        <v>#REF!</v>
      </c>
      <c r="S233" t="e">
        <f>AND(Sheet1!#REF!,"AAAAAFtb/xI=")</f>
        <v>#REF!</v>
      </c>
      <c r="T233" t="e">
        <f>AND(Sheet1!#REF!,"AAAAAFtb/xM=")</f>
        <v>#REF!</v>
      </c>
      <c r="U233" t="e">
        <f>AND(Sheet1!#REF!,"AAAAAFtb/xQ=")</f>
        <v>#REF!</v>
      </c>
      <c r="V233">
        <f>IF(Sheet1!3128:3128,"AAAAAFtb/xU=",0)</f>
        <v>0</v>
      </c>
      <c r="W233" t="e">
        <f>AND(Sheet1!A3128,"AAAAAFtb/xY=")</f>
        <v>#VALUE!</v>
      </c>
      <c r="X233" t="e">
        <f>AND(Sheet1!B3128,"AAAAAFtb/xc=")</f>
        <v>#VALUE!</v>
      </c>
      <c r="Y233" t="e">
        <f>AND(Sheet1!C3128,"AAAAAFtb/xg=")</f>
        <v>#VALUE!</v>
      </c>
      <c r="Z233" t="e">
        <f>AND(Sheet1!D3128,"AAAAAFtb/xk=")</f>
        <v>#VALUE!</v>
      </c>
      <c r="AA233" t="e">
        <f>AND(Sheet1!E3128,"AAAAAFtb/xo=")</f>
        <v>#VALUE!</v>
      </c>
      <c r="AB233" t="e">
        <f>AND(Sheet1!F3128,"AAAAAFtb/xs=")</f>
        <v>#VALUE!</v>
      </c>
      <c r="AC233" t="e">
        <f>AND(Sheet1!G3128,"AAAAAFtb/xw=")</f>
        <v>#VALUE!</v>
      </c>
      <c r="AD233" t="e">
        <f>AND(Sheet1!H3128,"AAAAAFtb/x0=")</f>
        <v>#VALUE!</v>
      </c>
      <c r="AE233" t="e">
        <f>AND(Sheet1!I3128,"AAAAAFtb/x4=")</f>
        <v>#VALUE!</v>
      </c>
      <c r="AF233" t="e">
        <f>AND(Sheet1!J3128,"AAAAAFtb/x8=")</f>
        <v>#VALUE!</v>
      </c>
      <c r="AG233" t="e">
        <f>AND(Sheet1!K3128,"AAAAAFtb/yA=")</f>
        <v>#VALUE!</v>
      </c>
      <c r="AH233" t="e">
        <f>AND(Sheet1!L3128,"AAAAAFtb/yE=")</f>
        <v>#VALUE!</v>
      </c>
      <c r="AI233" t="e">
        <f>AND(Sheet1!M3128,"AAAAAFtb/yI=")</f>
        <v>#VALUE!</v>
      </c>
      <c r="AJ233" t="e">
        <f>AND(Sheet1!N3128,"AAAAAFtb/yM=")</f>
        <v>#VALUE!</v>
      </c>
      <c r="AK233" t="e">
        <f>AND(Sheet1!#REF!,"AAAAAFtb/yQ=")</f>
        <v>#REF!</v>
      </c>
      <c r="AL233" t="e">
        <f>AND(Sheet1!#REF!,"AAAAAFtb/yU=")</f>
        <v>#REF!</v>
      </c>
      <c r="AM233" t="e">
        <f>AND(Sheet1!#REF!,"AAAAAFtb/yY=")</f>
        <v>#REF!</v>
      </c>
      <c r="AN233" t="e">
        <f>AND(Sheet1!#REF!,"AAAAAFtb/yc=")</f>
        <v>#REF!</v>
      </c>
      <c r="AO233">
        <f>IF(Sheet1!3129:3129,"AAAAAFtb/yg=",0)</f>
        <v>0</v>
      </c>
      <c r="AP233" t="e">
        <f>AND(Sheet1!A3129,"AAAAAFtb/yk=")</f>
        <v>#VALUE!</v>
      </c>
      <c r="AQ233" t="e">
        <f>AND(Sheet1!B3129,"AAAAAFtb/yo=")</f>
        <v>#VALUE!</v>
      </c>
      <c r="AR233" t="e">
        <f>AND(Sheet1!C3129,"AAAAAFtb/ys=")</f>
        <v>#VALUE!</v>
      </c>
      <c r="AS233" t="e">
        <f>AND(Sheet1!D3129,"AAAAAFtb/yw=")</f>
        <v>#VALUE!</v>
      </c>
      <c r="AT233" t="e">
        <f>AND(Sheet1!E3129,"AAAAAFtb/y0=")</f>
        <v>#VALUE!</v>
      </c>
      <c r="AU233" t="e">
        <f>AND(Sheet1!F3129,"AAAAAFtb/y4=")</f>
        <v>#VALUE!</v>
      </c>
      <c r="AV233" t="e">
        <f>AND(Sheet1!G3129,"AAAAAFtb/y8=")</f>
        <v>#VALUE!</v>
      </c>
      <c r="AW233" t="e">
        <f>AND(Sheet1!H3129,"AAAAAFtb/zA=")</f>
        <v>#VALUE!</v>
      </c>
      <c r="AX233" t="e">
        <f>AND(Sheet1!I3129,"AAAAAFtb/zE=")</f>
        <v>#VALUE!</v>
      </c>
      <c r="AY233" t="e">
        <f>AND(Sheet1!J3129,"AAAAAFtb/zI=")</f>
        <v>#VALUE!</v>
      </c>
      <c r="AZ233" t="e">
        <f>AND(Sheet1!K3129,"AAAAAFtb/zM=")</f>
        <v>#VALUE!</v>
      </c>
      <c r="BA233" t="e">
        <f>AND(Sheet1!L3129,"AAAAAFtb/zQ=")</f>
        <v>#VALUE!</v>
      </c>
      <c r="BB233" t="e">
        <f>AND(Sheet1!M3129,"AAAAAFtb/zU=")</f>
        <v>#VALUE!</v>
      </c>
      <c r="BC233" t="e">
        <f>AND(Sheet1!N3129,"AAAAAFtb/zY=")</f>
        <v>#VALUE!</v>
      </c>
      <c r="BD233" t="e">
        <f>AND(Sheet1!#REF!,"AAAAAFtb/zc=")</f>
        <v>#REF!</v>
      </c>
      <c r="BE233" t="e">
        <f>AND(Sheet1!#REF!,"AAAAAFtb/zg=")</f>
        <v>#REF!</v>
      </c>
      <c r="BF233" t="e">
        <f>AND(Sheet1!#REF!,"AAAAAFtb/zk=")</f>
        <v>#REF!</v>
      </c>
      <c r="BG233" t="e">
        <f>AND(Sheet1!#REF!,"AAAAAFtb/zo=")</f>
        <v>#REF!</v>
      </c>
      <c r="BH233">
        <f>IF(Sheet1!3130:3130,"AAAAAFtb/zs=",0)</f>
        <v>0</v>
      </c>
      <c r="BI233" t="e">
        <f>AND(Sheet1!A3130,"AAAAAFtb/zw=")</f>
        <v>#VALUE!</v>
      </c>
      <c r="BJ233" t="e">
        <f>AND(Sheet1!B3130,"AAAAAFtb/z0=")</f>
        <v>#VALUE!</v>
      </c>
      <c r="BK233" t="e">
        <f>AND(Sheet1!C3130,"AAAAAFtb/z4=")</f>
        <v>#VALUE!</v>
      </c>
      <c r="BL233" t="e">
        <f>AND(Sheet1!D3130,"AAAAAFtb/z8=")</f>
        <v>#VALUE!</v>
      </c>
      <c r="BM233" t="e">
        <f>AND(Sheet1!E3130,"AAAAAFtb/0A=")</f>
        <v>#VALUE!</v>
      </c>
      <c r="BN233" t="e">
        <f>AND(Sheet1!F3130,"AAAAAFtb/0E=")</f>
        <v>#VALUE!</v>
      </c>
      <c r="BO233" t="e">
        <f>AND(Sheet1!G3130,"AAAAAFtb/0I=")</f>
        <v>#VALUE!</v>
      </c>
      <c r="BP233" t="e">
        <f>AND(Sheet1!H3130,"AAAAAFtb/0M=")</f>
        <v>#VALUE!</v>
      </c>
      <c r="BQ233" t="e">
        <f>AND(Sheet1!I3130,"AAAAAFtb/0Q=")</f>
        <v>#VALUE!</v>
      </c>
      <c r="BR233" t="e">
        <f>AND(Sheet1!J3130,"AAAAAFtb/0U=")</f>
        <v>#VALUE!</v>
      </c>
      <c r="BS233" t="e">
        <f>AND(Sheet1!K3130,"AAAAAFtb/0Y=")</f>
        <v>#VALUE!</v>
      </c>
      <c r="BT233" t="e">
        <f>AND(Sheet1!L3130,"AAAAAFtb/0c=")</f>
        <v>#VALUE!</v>
      </c>
      <c r="BU233" t="e">
        <f>AND(Sheet1!M3130,"AAAAAFtb/0g=")</f>
        <v>#VALUE!</v>
      </c>
      <c r="BV233" t="e">
        <f>AND(Sheet1!N3130,"AAAAAFtb/0k=")</f>
        <v>#VALUE!</v>
      </c>
      <c r="BW233" t="e">
        <f>AND(Sheet1!#REF!,"AAAAAFtb/0o=")</f>
        <v>#REF!</v>
      </c>
      <c r="BX233" t="e">
        <f>AND(Sheet1!#REF!,"AAAAAFtb/0s=")</f>
        <v>#REF!</v>
      </c>
      <c r="BY233" t="e">
        <f>AND(Sheet1!#REF!,"AAAAAFtb/0w=")</f>
        <v>#REF!</v>
      </c>
      <c r="BZ233" t="e">
        <f>AND(Sheet1!#REF!,"AAAAAFtb/00=")</f>
        <v>#REF!</v>
      </c>
      <c r="CA233">
        <f>IF(Sheet1!3131:3131,"AAAAAFtb/04=",0)</f>
        <v>0</v>
      </c>
      <c r="CB233" t="e">
        <f>AND(Sheet1!A3131,"AAAAAFtb/08=")</f>
        <v>#VALUE!</v>
      </c>
      <c r="CC233" t="e">
        <f>AND(Sheet1!B3131,"AAAAAFtb/1A=")</f>
        <v>#VALUE!</v>
      </c>
      <c r="CD233" t="e">
        <f>AND(Sheet1!C3131,"AAAAAFtb/1E=")</f>
        <v>#VALUE!</v>
      </c>
      <c r="CE233" t="e">
        <f>AND(Sheet1!D3131,"AAAAAFtb/1I=")</f>
        <v>#VALUE!</v>
      </c>
      <c r="CF233" t="e">
        <f>AND(Sheet1!E3131,"AAAAAFtb/1M=")</f>
        <v>#VALUE!</v>
      </c>
      <c r="CG233" t="e">
        <f>AND(Sheet1!F3131,"AAAAAFtb/1Q=")</f>
        <v>#VALUE!</v>
      </c>
      <c r="CH233" t="e">
        <f>AND(Sheet1!G3131,"AAAAAFtb/1U=")</f>
        <v>#VALUE!</v>
      </c>
      <c r="CI233" t="e">
        <f>AND(Sheet1!H3131,"AAAAAFtb/1Y=")</f>
        <v>#VALUE!</v>
      </c>
      <c r="CJ233" t="e">
        <f>AND(Sheet1!I3131,"AAAAAFtb/1c=")</f>
        <v>#VALUE!</v>
      </c>
      <c r="CK233" t="e">
        <f>AND(Sheet1!J3131,"AAAAAFtb/1g=")</f>
        <v>#VALUE!</v>
      </c>
      <c r="CL233" t="e">
        <f>AND(Sheet1!K3131,"AAAAAFtb/1k=")</f>
        <v>#VALUE!</v>
      </c>
      <c r="CM233" t="e">
        <f>AND(Sheet1!L3131,"AAAAAFtb/1o=")</f>
        <v>#VALUE!</v>
      </c>
      <c r="CN233" t="e">
        <f>AND(Sheet1!M3131,"AAAAAFtb/1s=")</f>
        <v>#VALUE!</v>
      </c>
      <c r="CO233" t="e">
        <f>AND(Sheet1!N3131,"AAAAAFtb/1w=")</f>
        <v>#VALUE!</v>
      </c>
      <c r="CP233" t="e">
        <f>AND(Sheet1!#REF!,"AAAAAFtb/10=")</f>
        <v>#REF!</v>
      </c>
      <c r="CQ233" t="e">
        <f>AND(Sheet1!#REF!,"AAAAAFtb/14=")</f>
        <v>#REF!</v>
      </c>
      <c r="CR233" t="e">
        <f>AND(Sheet1!#REF!,"AAAAAFtb/18=")</f>
        <v>#REF!</v>
      </c>
      <c r="CS233" t="e">
        <f>AND(Sheet1!#REF!,"AAAAAFtb/2A=")</f>
        <v>#REF!</v>
      </c>
      <c r="CT233">
        <f>IF(Sheet1!3132:3132,"AAAAAFtb/2E=",0)</f>
        <v>0</v>
      </c>
      <c r="CU233" t="e">
        <f>AND(Sheet1!A3132,"AAAAAFtb/2I=")</f>
        <v>#VALUE!</v>
      </c>
      <c r="CV233" t="e">
        <f>AND(Sheet1!B3132,"AAAAAFtb/2M=")</f>
        <v>#VALUE!</v>
      </c>
      <c r="CW233" t="e">
        <f>AND(Sheet1!C3132,"AAAAAFtb/2Q=")</f>
        <v>#VALUE!</v>
      </c>
      <c r="CX233" t="e">
        <f>AND(Sheet1!D3132,"AAAAAFtb/2U=")</f>
        <v>#VALUE!</v>
      </c>
      <c r="CY233" t="e">
        <f>AND(Sheet1!E3132,"AAAAAFtb/2Y=")</f>
        <v>#VALUE!</v>
      </c>
      <c r="CZ233" t="e">
        <f>AND(Sheet1!F3132,"AAAAAFtb/2c=")</f>
        <v>#VALUE!</v>
      </c>
      <c r="DA233" t="e">
        <f>AND(Sheet1!G3132,"AAAAAFtb/2g=")</f>
        <v>#VALUE!</v>
      </c>
      <c r="DB233" t="e">
        <f>AND(Sheet1!H3132,"AAAAAFtb/2k=")</f>
        <v>#VALUE!</v>
      </c>
      <c r="DC233" t="e">
        <f>AND(Sheet1!I3132,"AAAAAFtb/2o=")</f>
        <v>#VALUE!</v>
      </c>
      <c r="DD233" t="e">
        <f>AND(Sheet1!J3132,"AAAAAFtb/2s=")</f>
        <v>#VALUE!</v>
      </c>
      <c r="DE233" t="e">
        <f>AND(Sheet1!K3132,"AAAAAFtb/2w=")</f>
        <v>#VALUE!</v>
      </c>
      <c r="DF233" t="e">
        <f>AND(Sheet1!L3132,"AAAAAFtb/20=")</f>
        <v>#VALUE!</v>
      </c>
      <c r="DG233" t="e">
        <f>AND(Sheet1!M3132,"AAAAAFtb/24=")</f>
        <v>#VALUE!</v>
      </c>
      <c r="DH233" t="e">
        <f>AND(Sheet1!N3132,"AAAAAFtb/28=")</f>
        <v>#VALUE!</v>
      </c>
      <c r="DI233" t="e">
        <f>AND(Sheet1!#REF!,"AAAAAFtb/3A=")</f>
        <v>#REF!</v>
      </c>
      <c r="DJ233" t="e">
        <f>AND(Sheet1!#REF!,"AAAAAFtb/3E=")</f>
        <v>#REF!</v>
      </c>
      <c r="DK233" t="e">
        <f>AND(Sheet1!#REF!,"AAAAAFtb/3I=")</f>
        <v>#REF!</v>
      </c>
      <c r="DL233" t="e">
        <f>AND(Sheet1!#REF!,"AAAAAFtb/3M=")</f>
        <v>#REF!</v>
      </c>
      <c r="DM233">
        <f>IF(Sheet1!3133:3133,"AAAAAFtb/3Q=",0)</f>
        <v>0</v>
      </c>
      <c r="DN233" t="e">
        <f>AND(Sheet1!A3133,"AAAAAFtb/3U=")</f>
        <v>#VALUE!</v>
      </c>
      <c r="DO233" t="e">
        <f>AND(Sheet1!B3133,"AAAAAFtb/3Y=")</f>
        <v>#VALUE!</v>
      </c>
      <c r="DP233" t="e">
        <f>AND(Sheet1!C3133,"AAAAAFtb/3c=")</f>
        <v>#VALUE!</v>
      </c>
      <c r="DQ233" t="e">
        <f>AND(Sheet1!D3133,"AAAAAFtb/3g=")</f>
        <v>#VALUE!</v>
      </c>
      <c r="DR233" t="e">
        <f>AND(Sheet1!E3133,"AAAAAFtb/3k=")</f>
        <v>#VALUE!</v>
      </c>
      <c r="DS233" t="e">
        <f>AND(Sheet1!F3133,"AAAAAFtb/3o=")</f>
        <v>#VALUE!</v>
      </c>
      <c r="DT233" t="e">
        <f>AND(Sheet1!G3133,"AAAAAFtb/3s=")</f>
        <v>#VALUE!</v>
      </c>
      <c r="DU233" t="e">
        <f>AND(Sheet1!H3133,"AAAAAFtb/3w=")</f>
        <v>#VALUE!</v>
      </c>
      <c r="DV233" t="e">
        <f>AND(Sheet1!I3133,"AAAAAFtb/30=")</f>
        <v>#VALUE!</v>
      </c>
      <c r="DW233" t="e">
        <f>AND(Sheet1!J3133,"AAAAAFtb/34=")</f>
        <v>#VALUE!</v>
      </c>
      <c r="DX233" t="e">
        <f>AND(Sheet1!K3133,"AAAAAFtb/38=")</f>
        <v>#VALUE!</v>
      </c>
      <c r="DY233" t="e">
        <f>AND(Sheet1!L3133,"AAAAAFtb/4A=")</f>
        <v>#VALUE!</v>
      </c>
      <c r="DZ233" t="e">
        <f>AND(Sheet1!M3133,"AAAAAFtb/4E=")</f>
        <v>#VALUE!</v>
      </c>
      <c r="EA233" t="e">
        <f>AND(Sheet1!N3133,"AAAAAFtb/4I=")</f>
        <v>#VALUE!</v>
      </c>
      <c r="EB233" t="e">
        <f>AND(Sheet1!#REF!,"AAAAAFtb/4M=")</f>
        <v>#REF!</v>
      </c>
      <c r="EC233" t="e">
        <f>AND(Sheet1!#REF!,"AAAAAFtb/4Q=")</f>
        <v>#REF!</v>
      </c>
      <c r="ED233" t="e">
        <f>AND(Sheet1!#REF!,"AAAAAFtb/4U=")</f>
        <v>#REF!</v>
      </c>
      <c r="EE233" t="e">
        <f>AND(Sheet1!#REF!,"AAAAAFtb/4Y=")</f>
        <v>#REF!</v>
      </c>
      <c r="EF233">
        <f>IF(Sheet1!3134:3134,"AAAAAFtb/4c=",0)</f>
        <v>0</v>
      </c>
      <c r="EG233" t="e">
        <f>AND(Sheet1!A3134,"AAAAAFtb/4g=")</f>
        <v>#VALUE!</v>
      </c>
      <c r="EH233" t="e">
        <f>AND(Sheet1!B3134,"AAAAAFtb/4k=")</f>
        <v>#VALUE!</v>
      </c>
      <c r="EI233" t="e">
        <f>AND(Sheet1!C3134,"AAAAAFtb/4o=")</f>
        <v>#VALUE!</v>
      </c>
      <c r="EJ233" t="e">
        <f>AND(Sheet1!D3134,"AAAAAFtb/4s=")</f>
        <v>#VALUE!</v>
      </c>
      <c r="EK233" t="e">
        <f>AND(Sheet1!E3134,"AAAAAFtb/4w=")</f>
        <v>#VALUE!</v>
      </c>
      <c r="EL233" t="e">
        <f>AND(Sheet1!F3134,"AAAAAFtb/40=")</f>
        <v>#VALUE!</v>
      </c>
      <c r="EM233" t="e">
        <f>AND(Sheet1!G3134,"AAAAAFtb/44=")</f>
        <v>#VALUE!</v>
      </c>
      <c r="EN233" t="e">
        <f>AND(Sheet1!H3134,"AAAAAFtb/48=")</f>
        <v>#VALUE!</v>
      </c>
      <c r="EO233" t="e">
        <f>AND(Sheet1!I3134,"AAAAAFtb/5A=")</f>
        <v>#VALUE!</v>
      </c>
      <c r="EP233" t="e">
        <f>AND(Sheet1!J3134,"AAAAAFtb/5E=")</f>
        <v>#VALUE!</v>
      </c>
      <c r="EQ233" t="e">
        <f>AND(Sheet1!K3134,"AAAAAFtb/5I=")</f>
        <v>#VALUE!</v>
      </c>
      <c r="ER233" t="e">
        <f>AND(Sheet1!L3134,"AAAAAFtb/5M=")</f>
        <v>#VALUE!</v>
      </c>
      <c r="ES233" t="e">
        <f>AND(Sheet1!M3134,"AAAAAFtb/5Q=")</f>
        <v>#VALUE!</v>
      </c>
      <c r="ET233" t="e">
        <f>AND(Sheet1!N3134,"AAAAAFtb/5U=")</f>
        <v>#VALUE!</v>
      </c>
      <c r="EU233" t="e">
        <f>AND(Sheet1!#REF!,"AAAAAFtb/5Y=")</f>
        <v>#REF!</v>
      </c>
      <c r="EV233" t="e">
        <f>AND(Sheet1!#REF!,"AAAAAFtb/5c=")</f>
        <v>#REF!</v>
      </c>
      <c r="EW233" t="e">
        <f>AND(Sheet1!#REF!,"AAAAAFtb/5g=")</f>
        <v>#REF!</v>
      </c>
      <c r="EX233" t="e">
        <f>AND(Sheet1!#REF!,"AAAAAFtb/5k=")</f>
        <v>#REF!</v>
      </c>
      <c r="EY233">
        <f>IF(Sheet1!3135:3135,"AAAAAFtb/5o=",0)</f>
        <v>0</v>
      </c>
      <c r="EZ233" t="e">
        <f>AND(Sheet1!A3135,"AAAAAFtb/5s=")</f>
        <v>#VALUE!</v>
      </c>
      <c r="FA233" t="e">
        <f>AND(Sheet1!B3135,"AAAAAFtb/5w=")</f>
        <v>#VALUE!</v>
      </c>
      <c r="FB233" t="e">
        <f>AND(Sheet1!C3135,"AAAAAFtb/50=")</f>
        <v>#VALUE!</v>
      </c>
      <c r="FC233" t="e">
        <f>AND(Sheet1!D3135,"AAAAAFtb/54=")</f>
        <v>#VALUE!</v>
      </c>
      <c r="FD233" t="e">
        <f>AND(Sheet1!E3135,"AAAAAFtb/58=")</f>
        <v>#VALUE!</v>
      </c>
      <c r="FE233" t="e">
        <f>AND(Sheet1!F3135,"AAAAAFtb/6A=")</f>
        <v>#VALUE!</v>
      </c>
      <c r="FF233" t="e">
        <f>AND(Sheet1!G3135,"AAAAAFtb/6E=")</f>
        <v>#VALUE!</v>
      </c>
      <c r="FG233" t="e">
        <f>AND(Sheet1!H3135,"AAAAAFtb/6I=")</f>
        <v>#VALUE!</v>
      </c>
      <c r="FH233" t="e">
        <f>AND(Sheet1!I3135,"AAAAAFtb/6M=")</f>
        <v>#VALUE!</v>
      </c>
      <c r="FI233" t="e">
        <f>AND(Sheet1!J3135,"AAAAAFtb/6Q=")</f>
        <v>#VALUE!</v>
      </c>
      <c r="FJ233" t="e">
        <f>AND(Sheet1!K3135,"AAAAAFtb/6U=")</f>
        <v>#VALUE!</v>
      </c>
      <c r="FK233" t="e">
        <f>AND(Sheet1!L3135,"AAAAAFtb/6Y=")</f>
        <v>#VALUE!</v>
      </c>
      <c r="FL233" t="e">
        <f>AND(Sheet1!M3135,"AAAAAFtb/6c=")</f>
        <v>#VALUE!</v>
      </c>
      <c r="FM233" t="e">
        <f>AND(Sheet1!N3135,"AAAAAFtb/6g=")</f>
        <v>#VALUE!</v>
      </c>
      <c r="FN233" t="e">
        <f>AND(Sheet1!#REF!,"AAAAAFtb/6k=")</f>
        <v>#REF!</v>
      </c>
      <c r="FO233" t="e">
        <f>AND(Sheet1!#REF!,"AAAAAFtb/6o=")</f>
        <v>#REF!</v>
      </c>
      <c r="FP233" t="e">
        <f>AND(Sheet1!#REF!,"AAAAAFtb/6s=")</f>
        <v>#REF!</v>
      </c>
      <c r="FQ233" t="e">
        <f>AND(Sheet1!#REF!,"AAAAAFtb/6w=")</f>
        <v>#REF!</v>
      </c>
      <c r="FR233">
        <f>IF(Sheet1!3136:3136,"AAAAAFtb/60=",0)</f>
        <v>0</v>
      </c>
      <c r="FS233" t="e">
        <f>AND(Sheet1!A3136,"AAAAAFtb/64=")</f>
        <v>#VALUE!</v>
      </c>
      <c r="FT233" t="e">
        <f>AND(Sheet1!B3136,"AAAAAFtb/68=")</f>
        <v>#VALUE!</v>
      </c>
      <c r="FU233" t="e">
        <f>AND(Sheet1!C3136,"AAAAAFtb/7A=")</f>
        <v>#VALUE!</v>
      </c>
      <c r="FV233" t="e">
        <f>AND(Sheet1!D3136,"AAAAAFtb/7E=")</f>
        <v>#VALUE!</v>
      </c>
      <c r="FW233" t="e">
        <f>AND(Sheet1!E3136,"AAAAAFtb/7I=")</f>
        <v>#VALUE!</v>
      </c>
      <c r="FX233" t="e">
        <f>AND(Sheet1!F3136,"AAAAAFtb/7M=")</f>
        <v>#VALUE!</v>
      </c>
      <c r="FY233" t="e">
        <f>AND(Sheet1!G3136,"AAAAAFtb/7Q=")</f>
        <v>#VALUE!</v>
      </c>
      <c r="FZ233" t="e">
        <f>AND(Sheet1!H3136,"AAAAAFtb/7U=")</f>
        <v>#VALUE!</v>
      </c>
      <c r="GA233" t="e">
        <f>AND(Sheet1!I3136,"AAAAAFtb/7Y=")</f>
        <v>#VALUE!</v>
      </c>
      <c r="GB233" t="e">
        <f>AND(Sheet1!J3136,"AAAAAFtb/7c=")</f>
        <v>#VALUE!</v>
      </c>
      <c r="GC233" t="e">
        <f>AND(Sheet1!K3136,"AAAAAFtb/7g=")</f>
        <v>#VALUE!</v>
      </c>
      <c r="GD233" t="e">
        <f>AND(Sheet1!L3136,"AAAAAFtb/7k=")</f>
        <v>#VALUE!</v>
      </c>
      <c r="GE233" t="e">
        <f>AND(Sheet1!M3136,"AAAAAFtb/7o=")</f>
        <v>#VALUE!</v>
      </c>
      <c r="GF233" t="e">
        <f>AND(Sheet1!N3136,"AAAAAFtb/7s=")</f>
        <v>#VALUE!</v>
      </c>
      <c r="GG233" t="e">
        <f>AND(Sheet1!#REF!,"AAAAAFtb/7w=")</f>
        <v>#REF!</v>
      </c>
      <c r="GH233" t="e">
        <f>AND(Sheet1!#REF!,"AAAAAFtb/70=")</f>
        <v>#REF!</v>
      </c>
      <c r="GI233" t="e">
        <f>AND(Sheet1!#REF!,"AAAAAFtb/74=")</f>
        <v>#REF!</v>
      </c>
      <c r="GJ233" t="e">
        <f>AND(Sheet1!#REF!,"AAAAAFtb/78=")</f>
        <v>#REF!</v>
      </c>
      <c r="GK233">
        <f>IF(Sheet1!3137:3137,"AAAAAFtb/8A=",0)</f>
        <v>0</v>
      </c>
      <c r="GL233" t="e">
        <f>AND(Sheet1!A3137,"AAAAAFtb/8E=")</f>
        <v>#VALUE!</v>
      </c>
      <c r="GM233" t="e">
        <f>AND(Sheet1!B3137,"AAAAAFtb/8I=")</f>
        <v>#VALUE!</v>
      </c>
      <c r="GN233" t="e">
        <f>AND(Sheet1!C3137,"AAAAAFtb/8M=")</f>
        <v>#VALUE!</v>
      </c>
      <c r="GO233" t="e">
        <f>AND(Sheet1!D3137,"AAAAAFtb/8Q=")</f>
        <v>#VALUE!</v>
      </c>
      <c r="GP233" t="e">
        <f>AND(Sheet1!E3137,"AAAAAFtb/8U=")</f>
        <v>#VALUE!</v>
      </c>
      <c r="GQ233" t="e">
        <f>AND(Sheet1!F3137,"AAAAAFtb/8Y=")</f>
        <v>#VALUE!</v>
      </c>
      <c r="GR233" t="e">
        <f>AND(Sheet1!G3137,"AAAAAFtb/8c=")</f>
        <v>#VALUE!</v>
      </c>
      <c r="GS233" t="e">
        <f>AND(Sheet1!H3137,"AAAAAFtb/8g=")</f>
        <v>#VALUE!</v>
      </c>
      <c r="GT233" t="e">
        <f>AND(Sheet1!I3137,"AAAAAFtb/8k=")</f>
        <v>#VALUE!</v>
      </c>
      <c r="GU233" t="e">
        <f>AND(Sheet1!J3137,"AAAAAFtb/8o=")</f>
        <v>#VALUE!</v>
      </c>
      <c r="GV233" t="e">
        <f>AND(Sheet1!K3137,"AAAAAFtb/8s=")</f>
        <v>#VALUE!</v>
      </c>
      <c r="GW233" t="e">
        <f>AND(Sheet1!L3137,"AAAAAFtb/8w=")</f>
        <v>#VALUE!</v>
      </c>
      <c r="GX233" t="e">
        <f>AND(Sheet1!M3137,"AAAAAFtb/80=")</f>
        <v>#VALUE!</v>
      </c>
      <c r="GY233" t="e">
        <f>AND(Sheet1!N3137,"AAAAAFtb/84=")</f>
        <v>#VALUE!</v>
      </c>
      <c r="GZ233" t="e">
        <f>AND(Sheet1!#REF!,"AAAAAFtb/88=")</f>
        <v>#REF!</v>
      </c>
      <c r="HA233" t="e">
        <f>AND(Sheet1!#REF!,"AAAAAFtb/9A=")</f>
        <v>#REF!</v>
      </c>
      <c r="HB233" t="e">
        <f>AND(Sheet1!#REF!,"AAAAAFtb/9E=")</f>
        <v>#REF!</v>
      </c>
      <c r="HC233" t="e">
        <f>AND(Sheet1!#REF!,"AAAAAFtb/9I=")</f>
        <v>#REF!</v>
      </c>
      <c r="HD233">
        <f>IF(Sheet1!3138:3138,"AAAAAFtb/9M=",0)</f>
        <v>0</v>
      </c>
      <c r="HE233" t="e">
        <f>AND(Sheet1!A3138,"AAAAAFtb/9Q=")</f>
        <v>#VALUE!</v>
      </c>
      <c r="HF233" t="e">
        <f>AND(Sheet1!B3138,"AAAAAFtb/9U=")</f>
        <v>#VALUE!</v>
      </c>
      <c r="HG233" t="e">
        <f>AND(Sheet1!C3138,"AAAAAFtb/9Y=")</f>
        <v>#VALUE!</v>
      </c>
      <c r="HH233" t="e">
        <f>AND(Sheet1!D3138,"AAAAAFtb/9c=")</f>
        <v>#VALUE!</v>
      </c>
      <c r="HI233" t="e">
        <f>AND(Sheet1!E3138,"AAAAAFtb/9g=")</f>
        <v>#VALUE!</v>
      </c>
      <c r="HJ233" t="e">
        <f>AND(Sheet1!F3138,"AAAAAFtb/9k=")</f>
        <v>#VALUE!</v>
      </c>
      <c r="HK233" t="e">
        <f>AND(Sheet1!G3138,"AAAAAFtb/9o=")</f>
        <v>#VALUE!</v>
      </c>
      <c r="HL233" t="e">
        <f>AND(Sheet1!H3138,"AAAAAFtb/9s=")</f>
        <v>#VALUE!</v>
      </c>
      <c r="HM233" t="e">
        <f>AND(Sheet1!I3138,"AAAAAFtb/9w=")</f>
        <v>#VALUE!</v>
      </c>
      <c r="HN233" t="e">
        <f>AND(Sheet1!J3138,"AAAAAFtb/90=")</f>
        <v>#VALUE!</v>
      </c>
      <c r="HO233" t="e">
        <f>AND(Sheet1!K3138,"AAAAAFtb/94=")</f>
        <v>#VALUE!</v>
      </c>
      <c r="HP233" t="e">
        <f>AND(Sheet1!L3138,"AAAAAFtb/98=")</f>
        <v>#VALUE!</v>
      </c>
      <c r="HQ233" t="e">
        <f>AND(Sheet1!M3138,"AAAAAFtb/+A=")</f>
        <v>#VALUE!</v>
      </c>
      <c r="HR233" t="e">
        <f>AND(Sheet1!N3138,"AAAAAFtb/+E=")</f>
        <v>#VALUE!</v>
      </c>
      <c r="HS233" t="e">
        <f>AND(Sheet1!#REF!,"AAAAAFtb/+I=")</f>
        <v>#REF!</v>
      </c>
      <c r="HT233" t="e">
        <f>AND(Sheet1!#REF!,"AAAAAFtb/+M=")</f>
        <v>#REF!</v>
      </c>
      <c r="HU233" t="e">
        <f>AND(Sheet1!#REF!,"AAAAAFtb/+Q=")</f>
        <v>#REF!</v>
      </c>
      <c r="HV233" t="e">
        <f>AND(Sheet1!#REF!,"AAAAAFtb/+U=")</f>
        <v>#REF!</v>
      </c>
      <c r="HW233">
        <f>IF(Sheet1!3139:3139,"AAAAAFtb/+Y=",0)</f>
        <v>0</v>
      </c>
      <c r="HX233" t="e">
        <f>AND(Sheet1!A3139,"AAAAAFtb/+c=")</f>
        <v>#VALUE!</v>
      </c>
      <c r="HY233" t="e">
        <f>AND(Sheet1!B3139,"AAAAAFtb/+g=")</f>
        <v>#VALUE!</v>
      </c>
      <c r="HZ233" t="e">
        <f>AND(Sheet1!C3139,"AAAAAFtb/+k=")</f>
        <v>#VALUE!</v>
      </c>
      <c r="IA233" t="e">
        <f>AND(Sheet1!D3139,"AAAAAFtb/+o=")</f>
        <v>#VALUE!</v>
      </c>
      <c r="IB233" t="e">
        <f>AND(Sheet1!E3139,"AAAAAFtb/+s=")</f>
        <v>#VALUE!</v>
      </c>
      <c r="IC233" t="e">
        <f>AND(Sheet1!F3139,"AAAAAFtb/+w=")</f>
        <v>#VALUE!</v>
      </c>
      <c r="ID233" t="e">
        <f>AND(Sheet1!G3139,"AAAAAFtb/+0=")</f>
        <v>#VALUE!</v>
      </c>
      <c r="IE233" t="e">
        <f>AND(Sheet1!H3139,"AAAAAFtb/+4=")</f>
        <v>#VALUE!</v>
      </c>
      <c r="IF233" t="e">
        <f>AND(Sheet1!I3139,"AAAAAFtb/+8=")</f>
        <v>#VALUE!</v>
      </c>
      <c r="IG233" t="e">
        <f>AND(Sheet1!J3139,"AAAAAFtb//A=")</f>
        <v>#VALUE!</v>
      </c>
      <c r="IH233" t="e">
        <f>AND(Sheet1!K3139,"AAAAAFtb//E=")</f>
        <v>#VALUE!</v>
      </c>
      <c r="II233" t="e">
        <f>AND(Sheet1!L3139,"AAAAAFtb//I=")</f>
        <v>#VALUE!</v>
      </c>
      <c r="IJ233" t="e">
        <f>AND(Sheet1!M3139,"AAAAAFtb//M=")</f>
        <v>#VALUE!</v>
      </c>
      <c r="IK233" t="e">
        <f>AND(Sheet1!N3139,"AAAAAFtb//Q=")</f>
        <v>#VALUE!</v>
      </c>
      <c r="IL233" t="e">
        <f>AND(Sheet1!#REF!,"AAAAAFtb//U=")</f>
        <v>#REF!</v>
      </c>
      <c r="IM233" t="e">
        <f>AND(Sheet1!#REF!,"AAAAAFtb//Y=")</f>
        <v>#REF!</v>
      </c>
      <c r="IN233" t="e">
        <f>AND(Sheet1!#REF!,"AAAAAFtb//c=")</f>
        <v>#REF!</v>
      </c>
      <c r="IO233" t="e">
        <f>AND(Sheet1!#REF!,"AAAAAFtb//g=")</f>
        <v>#REF!</v>
      </c>
      <c r="IP233">
        <f>IF(Sheet1!3140:3140,"AAAAAFtb//k=",0)</f>
        <v>0</v>
      </c>
      <c r="IQ233" t="e">
        <f>AND(Sheet1!A3140,"AAAAAFtb//o=")</f>
        <v>#VALUE!</v>
      </c>
      <c r="IR233" t="e">
        <f>AND(Sheet1!B3140,"AAAAAFtb//s=")</f>
        <v>#VALUE!</v>
      </c>
      <c r="IS233" t="e">
        <f>AND(Sheet1!C3140,"AAAAAFtb//w=")</f>
        <v>#VALUE!</v>
      </c>
      <c r="IT233" t="e">
        <f>AND(Sheet1!D3140,"AAAAAFtb//0=")</f>
        <v>#VALUE!</v>
      </c>
      <c r="IU233" t="e">
        <f>AND(Sheet1!E3140,"AAAAAFtb//4=")</f>
        <v>#VALUE!</v>
      </c>
      <c r="IV233" t="e">
        <f>AND(Sheet1!F3140,"AAAAAFtb//8=")</f>
        <v>#VALUE!</v>
      </c>
    </row>
    <row r="234" spans="1:256" x14ac:dyDescent="0.2">
      <c r="A234" t="e">
        <f>AND(Sheet1!G3140,"AAAAAH/t3gA=")</f>
        <v>#VALUE!</v>
      </c>
      <c r="B234" t="e">
        <f>AND(Sheet1!H3140,"AAAAAH/t3gE=")</f>
        <v>#VALUE!</v>
      </c>
      <c r="C234" t="e">
        <f>AND(Sheet1!I3140,"AAAAAH/t3gI=")</f>
        <v>#VALUE!</v>
      </c>
      <c r="D234" t="e">
        <f>AND(Sheet1!J3140,"AAAAAH/t3gM=")</f>
        <v>#VALUE!</v>
      </c>
      <c r="E234" t="e">
        <f>AND(Sheet1!K3140,"AAAAAH/t3gQ=")</f>
        <v>#VALUE!</v>
      </c>
      <c r="F234" t="e">
        <f>AND(Sheet1!L3140,"AAAAAH/t3gU=")</f>
        <v>#VALUE!</v>
      </c>
      <c r="G234" t="e">
        <f>AND(Sheet1!M3140,"AAAAAH/t3gY=")</f>
        <v>#VALUE!</v>
      </c>
      <c r="H234" t="e">
        <f>AND(Sheet1!N3140,"AAAAAH/t3gc=")</f>
        <v>#VALUE!</v>
      </c>
      <c r="I234" t="e">
        <f>AND(Sheet1!#REF!,"AAAAAH/t3gg=")</f>
        <v>#REF!</v>
      </c>
      <c r="J234" t="e">
        <f>AND(Sheet1!#REF!,"AAAAAH/t3gk=")</f>
        <v>#REF!</v>
      </c>
      <c r="K234" t="e">
        <f>AND(Sheet1!#REF!,"AAAAAH/t3go=")</f>
        <v>#REF!</v>
      </c>
      <c r="L234" t="e">
        <f>AND(Sheet1!#REF!,"AAAAAH/t3gs=")</f>
        <v>#REF!</v>
      </c>
      <c r="M234" t="str">
        <f>IF(Sheet1!3141:3141,"AAAAAH/t3gw=",0)</f>
        <v>AAAAAH/t3gw=</v>
      </c>
      <c r="N234" t="e">
        <f>AND(Sheet1!A3141,"AAAAAH/t3g0=")</f>
        <v>#VALUE!</v>
      </c>
      <c r="O234" t="e">
        <f>AND(Sheet1!B3141,"AAAAAH/t3g4=")</f>
        <v>#VALUE!</v>
      </c>
      <c r="P234" t="e">
        <f>AND(Sheet1!C3141,"AAAAAH/t3g8=")</f>
        <v>#VALUE!</v>
      </c>
      <c r="Q234" t="e">
        <f>AND(Sheet1!D3141,"AAAAAH/t3hA=")</f>
        <v>#VALUE!</v>
      </c>
      <c r="R234" t="e">
        <f>AND(Sheet1!E3141,"AAAAAH/t3hE=")</f>
        <v>#VALUE!</v>
      </c>
      <c r="S234" t="e">
        <f>AND(Sheet1!F3141,"AAAAAH/t3hI=")</f>
        <v>#VALUE!</v>
      </c>
      <c r="T234" t="e">
        <f>AND(Sheet1!G3141,"AAAAAH/t3hM=")</f>
        <v>#VALUE!</v>
      </c>
      <c r="U234" t="e">
        <f>AND(Sheet1!H3141,"AAAAAH/t3hQ=")</f>
        <v>#VALUE!</v>
      </c>
      <c r="V234" t="e">
        <f>AND(Sheet1!I3141,"AAAAAH/t3hU=")</f>
        <v>#VALUE!</v>
      </c>
      <c r="W234" t="e">
        <f>AND(Sheet1!J3141,"AAAAAH/t3hY=")</f>
        <v>#VALUE!</v>
      </c>
      <c r="X234" t="e">
        <f>AND(Sheet1!K3141,"AAAAAH/t3hc=")</f>
        <v>#VALUE!</v>
      </c>
      <c r="Y234" t="e">
        <f>AND(Sheet1!L3141,"AAAAAH/t3hg=")</f>
        <v>#VALUE!</v>
      </c>
      <c r="Z234" t="e">
        <f>AND(Sheet1!M3141,"AAAAAH/t3hk=")</f>
        <v>#VALUE!</v>
      </c>
      <c r="AA234" t="e">
        <f>AND(Sheet1!N3141,"AAAAAH/t3ho=")</f>
        <v>#VALUE!</v>
      </c>
      <c r="AB234" t="e">
        <f>AND(Sheet1!#REF!,"AAAAAH/t3hs=")</f>
        <v>#REF!</v>
      </c>
      <c r="AC234" t="e">
        <f>AND(Sheet1!#REF!,"AAAAAH/t3hw=")</f>
        <v>#REF!</v>
      </c>
      <c r="AD234" t="e">
        <f>AND(Sheet1!#REF!,"AAAAAH/t3h0=")</f>
        <v>#REF!</v>
      </c>
      <c r="AE234" t="e">
        <f>AND(Sheet1!#REF!,"AAAAAH/t3h4=")</f>
        <v>#REF!</v>
      </c>
      <c r="AF234">
        <f>IF(Sheet1!3142:3142,"AAAAAH/t3h8=",0)</f>
        <v>0</v>
      </c>
      <c r="AG234" t="e">
        <f>AND(Sheet1!A3142,"AAAAAH/t3iA=")</f>
        <v>#VALUE!</v>
      </c>
      <c r="AH234" t="e">
        <f>AND(Sheet1!B3142,"AAAAAH/t3iE=")</f>
        <v>#VALUE!</v>
      </c>
      <c r="AI234" t="e">
        <f>AND(Sheet1!C3142,"AAAAAH/t3iI=")</f>
        <v>#VALUE!</v>
      </c>
      <c r="AJ234" t="e">
        <f>AND(Sheet1!D3142,"AAAAAH/t3iM=")</f>
        <v>#VALUE!</v>
      </c>
      <c r="AK234" t="e">
        <f>AND(Sheet1!E3142,"AAAAAH/t3iQ=")</f>
        <v>#VALUE!</v>
      </c>
      <c r="AL234" t="e">
        <f>AND(Sheet1!F3142,"AAAAAH/t3iU=")</f>
        <v>#VALUE!</v>
      </c>
      <c r="AM234" t="e">
        <f>AND(Sheet1!G3142,"AAAAAH/t3iY=")</f>
        <v>#VALUE!</v>
      </c>
      <c r="AN234" t="e">
        <f>AND(Sheet1!H3142,"AAAAAH/t3ic=")</f>
        <v>#VALUE!</v>
      </c>
      <c r="AO234" t="e">
        <f>AND(Sheet1!I3142,"AAAAAH/t3ig=")</f>
        <v>#VALUE!</v>
      </c>
      <c r="AP234" t="e">
        <f>AND(Sheet1!J3142,"AAAAAH/t3ik=")</f>
        <v>#VALUE!</v>
      </c>
      <c r="AQ234" t="e">
        <f>AND(Sheet1!K3142,"AAAAAH/t3io=")</f>
        <v>#VALUE!</v>
      </c>
      <c r="AR234" t="e">
        <f>AND(Sheet1!L3142,"AAAAAH/t3is=")</f>
        <v>#VALUE!</v>
      </c>
      <c r="AS234" t="e">
        <f>AND(Sheet1!M3142,"AAAAAH/t3iw=")</f>
        <v>#VALUE!</v>
      </c>
      <c r="AT234" t="e">
        <f>AND(Sheet1!N3142,"AAAAAH/t3i0=")</f>
        <v>#VALUE!</v>
      </c>
      <c r="AU234" t="e">
        <f>AND(Sheet1!#REF!,"AAAAAH/t3i4=")</f>
        <v>#REF!</v>
      </c>
      <c r="AV234" t="e">
        <f>AND(Sheet1!#REF!,"AAAAAH/t3i8=")</f>
        <v>#REF!</v>
      </c>
      <c r="AW234" t="e">
        <f>AND(Sheet1!#REF!,"AAAAAH/t3jA=")</f>
        <v>#REF!</v>
      </c>
      <c r="AX234" t="e">
        <f>AND(Sheet1!#REF!,"AAAAAH/t3jE=")</f>
        <v>#REF!</v>
      </c>
      <c r="AY234">
        <f>IF(Sheet1!3143:3143,"AAAAAH/t3jI=",0)</f>
        <v>0</v>
      </c>
      <c r="AZ234" t="e">
        <f>AND(Sheet1!A3143,"AAAAAH/t3jM=")</f>
        <v>#VALUE!</v>
      </c>
      <c r="BA234" t="e">
        <f>AND(Sheet1!B3143,"AAAAAH/t3jQ=")</f>
        <v>#VALUE!</v>
      </c>
      <c r="BB234" t="e">
        <f>AND(Sheet1!C3143,"AAAAAH/t3jU=")</f>
        <v>#VALUE!</v>
      </c>
      <c r="BC234" t="e">
        <f>AND(Sheet1!D3143,"AAAAAH/t3jY=")</f>
        <v>#VALUE!</v>
      </c>
      <c r="BD234" t="e">
        <f>AND(Sheet1!E3143,"AAAAAH/t3jc=")</f>
        <v>#VALUE!</v>
      </c>
      <c r="BE234" t="e">
        <f>AND(Sheet1!F3143,"AAAAAH/t3jg=")</f>
        <v>#VALUE!</v>
      </c>
      <c r="BF234" t="e">
        <f>AND(Sheet1!G3143,"AAAAAH/t3jk=")</f>
        <v>#VALUE!</v>
      </c>
      <c r="BG234" t="e">
        <f>AND(Sheet1!H3143,"AAAAAH/t3jo=")</f>
        <v>#VALUE!</v>
      </c>
      <c r="BH234" t="e">
        <f>AND(Sheet1!I3143,"AAAAAH/t3js=")</f>
        <v>#VALUE!</v>
      </c>
      <c r="BI234" t="e">
        <f>AND(Sheet1!J3143,"AAAAAH/t3jw=")</f>
        <v>#VALUE!</v>
      </c>
      <c r="BJ234" t="e">
        <f>AND(Sheet1!K3143,"AAAAAH/t3j0=")</f>
        <v>#VALUE!</v>
      </c>
      <c r="BK234" t="e">
        <f>AND(Sheet1!L3143,"AAAAAH/t3j4=")</f>
        <v>#VALUE!</v>
      </c>
      <c r="BL234" t="e">
        <f>AND(Sheet1!M3143,"AAAAAH/t3j8=")</f>
        <v>#VALUE!</v>
      </c>
      <c r="BM234" t="e">
        <f>AND(Sheet1!N3143,"AAAAAH/t3kA=")</f>
        <v>#VALUE!</v>
      </c>
      <c r="BN234" t="e">
        <f>AND(Sheet1!#REF!,"AAAAAH/t3kE=")</f>
        <v>#REF!</v>
      </c>
      <c r="BO234" t="e">
        <f>AND(Sheet1!#REF!,"AAAAAH/t3kI=")</f>
        <v>#REF!</v>
      </c>
      <c r="BP234" t="e">
        <f>AND(Sheet1!#REF!,"AAAAAH/t3kM=")</f>
        <v>#REF!</v>
      </c>
      <c r="BQ234" t="e">
        <f>AND(Sheet1!#REF!,"AAAAAH/t3kQ=")</f>
        <v>#REF!</v>
      </c>
      <c r="BR234">
        <f>IF(Sheet1!3144:3144,"AAAAAH/t3kU=",0)</f>
        <v>0</v>
      </c>
      <c r="BS234" t="e">
        <f>AND(Sheet1!A3144,"AAAAAH/t3kY=")</f>
        <v>#VALUE!</v>
      </c>
      <c r="BT234" t="e">
        <f>AND(Sheet1!B3144,"AAAAAH/t3kc=")</f>
        <v>#VALUE!</v>
      </c>
      <c r="BU234" t="e">
        <f>AND(Sheet1!C3144,"AAAAAH/t3kg=")</f>
        <v>#VALUE!</v>
      </c>
      <c r="BV234" t="e">
        <f>AND(Sheet1!D3144,"AAAAAH/t3kk=")</f>
        <v>#VALUE!</v>
      </c>
      <c r="BW234" t="e">
        <f>AND(Sheet1!E3144,"AAAAAH/t3ko=")</f>
        <v>#VALUE!</v>
      </c>
      <c r="BX234" t="e">
        <f>AND(Sheet1!F3144,"AAAAAH/t3ks=")</f>
        <v>#VALUE!</v>
      </c>
      <c r="BY234" t="e">
        <f>AND(Sheet1!G3144,"AAAAAH/t3kw=")</f>
        <v>#VALUE!</v>
      </c>
      <c r="BZ234" t="e">
        <f>AND(Sheet1!H3144,"AAAAAH/t3k0=")</f>
        <v>#VALUE!</v>
      </c>
      <c r="CA234" t="e">
        <f>AND(Sheet1!I3144,"AAAAAH/t3k4=")</f>
        <v>#VALUE!</v>
      </c>
      <c r="CB234" t="e">
        <f>AND(Sheet1!J3144,"AAAAAH/t3k8=")</f>
        <v>#VALUE!</v>
      </c>
      <c r="CC234" t="e">
        <f>AND(Sheet1!K3144,"AAAAAH/t3lA=")</f>
        <v>#VALUE!</v>
      </c>
      <c r="CD234" t="e">
        <f>AND(Sheet1!L3144,"AAAAAH/t3lE=")</f>
        <v>#VALUE!</v>
      </c>
      <c r="CE234" t="e">
        <f>AND(Sheet1!M3144,"AAAAAH/t3lI=")</f>
        <v>#VALUE!</v>
      </c>
      <c r="CF234" t="e">
        <f>AND(Sheet1!N3144,"AAAAAH/t3lM=")</f>
        <v>#VALUE!</v>
      </c>
      <c r="CG234" t="e">
        <f>AND(Sheet1!#REF!,"AAAAAH/t3lQ=")</f>
        <v>#REF!</v>
      </c>
      <c r="CH234" t="e">
        <f>AND(Sheet1!#REF!,"AAAAAH/t3lU=")</f>
        <v>#REF!</v>
      </c>
      <c r="CI234" t="e">
        <f>AND(Sheet1!#REF!,"AAAAAH/t3lY=")</f>
        <v>#REF!</v>
      </c>
      <c r="CJ234" t="e">
        <f>AND(Sheet1!#REF!,"AAAAAH/t3lc=")</f>
        <v>#REF!</v>
      </c>
      <c r="CK234">
        <f>IF(Sheet1!3145:3145,"AAAAAH/t3lg=",0)</f>
        <v>0</v>
      </c>
      <c r="CL234" t="e">
        <f>AND(Sheet1!A3145,"AAAAAH/t3lk=")</f>
        <v>#VALUE!</v>
      </c>
      <c r="CM234" t="e">
        <f>AND(Sheet1!B3145,"AAAAAH/t3lo=")</f>
        <v>#VALUE!</v>
      </c>
      <c r="CN234" t="e">
        <f>AND(Sheet1!C3145,"AAAAAH/t3ls=")</f>
        <v>#VALUE!</v>
      </c>
      <c r="CO234" t="e">
        <f>AND(Sheet1!D3145,"AAAAAH/t3lw=")</f>
        <v>#VALUE!</v>
      </c>
      <c r="CP234" t="e">
        <f>AND(Sheet1!E3145,"AAAAAH/t3l0=")</f>
        <v>#VALUE!</v>
      </c>
      <c r="CQ234" t="e">
        <f>AND(Sheet1!F3145,"AAAAAH/t3l4=")</f>
        <v>#VALUE!</v>
      </c>
      <c r="CR234" t="e">
        <f>AND(Sheet1!G3145,"AAAAAH/t3l8=")</f>
        <v>#VALUE!</v>
      </c>
      <c r="CS234" t="e">
        <f>AND(Sheet1!H3145,"AAAAAH/t3mA=")</f>
        <v>#VALUE!</v>
      </c>
      <c r="CT234" t="e">
        <f>AND(Sheet1!I3145,"AAAAAH/t3mE=")</f>
        <v>#VALUE!</v>
      </c>
      <c r="CU234" t="e">
        <f>AND(Sheet1!J3145,"AAAAAH/t3mI=")</f>
        <v>#VALUE!</v>
      </c>
      <c r="CV234" t="e">
        <f>AND(Sheet1!K3145,"AAAAAH/t3mM=")</f>
        <v>#VALUE!</v>
      </c>
      <c r="CW234" t="e">
        <f>AND(Sheet1!L3145,"AAAAAH/t3mQ=")</f>
        <v>#VALUE!</v>
      </c>
      <c r="CX234" t="e">
        <f>AND(Sheet1!M3145,"AAAAAH/t3mU=")</f>
        <v>#VALUE!</v>
      </c>
      <c r="CY234" t="e">
        <f>AND(Sheet1!N3145,"AAAAAH/t3mY=")</f>
        <v>#VALUE!</v>
      </c>
      <c r="CZ234" t="e">
        <f>AND(Sheet1!#REF!,"AAAAAH/t3mc=")</f>
        <v>#REF!</v>
      </c>
      <c r="DA234" t="e">
        <f>AND(Sheet1!#REF!,"AAAAAH/t3mg=")</f>
        <v>#REF!</v>
      </c>
      <c r="DB234" t="e">
        <f>AND(Sheet1!#REF!,"AAAAAH/t3mk=")</f>
        <v>#REF!</v>
      </c>
      <c r="DC234" t="e">
        <f>AND(Sheet1!#REF!,"AAAAAH/t3mo=")</f>
        <v>#REF!</v>
      </c>
      <c r="DD234">
        <f>IF(Sheet1!3146:3146,"AAAAAH/t3ms=",0)</f>
        <v>0</v>
      </c>
      <c r="DE234" t="e">
        <f>AND(Sheet1!A3146,"AAAAAH/t3mw=")</f>
        <v>#VALUE!</v>
      </c>
      <c r="DF234" t="e">
        <f>AND(Sheet1!B3146,"AAAAAH/t3m0=")</f>
        <v>#VALUE!</v>
      </c>
      <c r="DG234" t="e">
        <f>AND(Sheet1!C3146,"AAAAAH/t3m4=")</f>
        <v>#VALUE!</v>
      </c>
      <c r="DH234" t="e">
        <f>AND(Sheet1!D3146,"AAAAAH/t3m8=")</f>
        <v>#VALUE!</v>
      </c>
      <c r="DI234" t="e">
        <f>AND(Sheet1!E3146,"AAAAAH/t3nA=")</f>
        <v>#VALUE!</v>
      </c>
      <c r="DJ234" t="e">
        <f>AND(Sheet1!F3146,"AAAAAH/t3nE=")</f>
        <v>#VALUE!</v>
      </c>
      <c r="DK234" t="e">
        <f>AND(Sheet1!G3146,"AAAAAH/t3nI=")</f>
        <v>#VALUE!</v>
      </c>
      <c r="DL234" t="e">
        <f>AND(Sheet1!H3146,"AAAAAH/t3nM=")</f>
        <v>#VALUE!</v>
      </c>
      <c r="DM234" t="e">
        <f>AND(Sheet1!I3146,"AAAAAH/t3nQ=")</f>
        <v>#VALUE!</v>
      </c>
      <c r="DN234" t="e">
        <f>AND(Sheet1!J3146,"AAAAAH/t3nU=")</f>
        <v>#VALUE!</v>
      </c>
      <c r="DO234" t="e">
        <f>AND(Sheet1!K3146,"AAAAAH/t3nY=")</f>
        <v>#VALUE!</v>
      </c>
      <c r="DP234" t="e">
        <f>AND(Sheet1!L3146,"AAAAAH/t3nc=")</f>
        <v>#VALUE!</v>
      </c>
      <c r="DQ234" t="e">
        <f>AND(Sheet1!M3146,"AAAAAH/t3ng=")</f>
        <v>#VALUE!</v>
      </c>
      <c r="DR234" t="e">
        <f>AND(Sheet1!N3146,"AAAAAH/t3nk=")</f>
        <v>#VALUE!</v>
      </c>
      <c r="DS234" t="e">
        <f>AND(Sheet1!#REF!,"AAAAAH/t3no=")</f>
        <v>#REF!</v>
      </c>
      <c r="DT234" t="e">
        <f>AND(Sheet1!#REF!,"AAAAAH/t3ns=")</f>
        <v>#REF!</v>
      </c>
      <c r="DU234" t="e">
        <f>AND(Sheet1!#REF!,"AAAAAH/t3nw=")</f>
        <v>#REF!</v>
      </c>
      <c r="DV234" t="e">
        <f>AND(Sheet1!#REF!,"AAAAAH/t3n0=")</f>
        <v>#REF!</v>
      </c>
      <c r="DW234">
        <f>IF(Sheet1!3147:3147,"AAAAAH/t3n4=",0)</f>
        <v>0</v>
      </c>
      <c r="DX234" t="e">
        <f>AND(Sheet1!A3147,"AAAAAH/t3n8=")</f>
        <v>#VALUE!</v>
      </c>
      <c r="DY234" t="e">
        <f>AND(Sheet1!B3147,"AAAAAH/t3oA=")</f>
        <v>#VALUE!</v>
      </c>
      <c r="DZ234" t="e">
        <f>AND(Sheet1!C3147,"AAAAAH/t3oE=")</f>
        <v>#VALUE!</v>
      </c>
      <c r="EA234" t="e">
        <f>AND(Sheet1!D3147,"AAAAAH/t3oI=")</f>
        <v>#VALUE!</v>
      </c>
      <c r="EB234" t="e">
        <f>AND(Sheet1!E3147,"AAAAAH/t3oM=")</f>
        <v>#VALUE!</v>
      </c>
      <c r="EC234" t="e">
        <f>AND(Sheet1!F3147,"AAAAAH/t3oQ=")</f>
        <v>#VALUE!</v>
      </c>
      <c r="ED234" t="e">
        <f>AND(Sheet1!G3147,"AAAAAH/t3oU=")</f>
        <v>#VALUE!</v>
      </c>
      <c r="EE234" t="e">
        <f>AND(Sheet1!H3147,"AAAAAH/t3oY=")</f>
        <v>#VALUE!</v>
      </c>
      <c r="EF234" t="e">
        <f>AND(Sheet1!I3147,"AAAAAH/t3oc=")</f>
        <v>#VALUE!</v>
      </c>
      <c r="EG234" t="e">
        <f>AND(Sheet1!J3147,"AAAAAH/t3og=")</f>
        <v>#VALUE!</v>
      </c>
      <c r="EH234" t="e">
        <f>AND(Sheet1!K3147,"AAAAAH/t3ok=")</f>
        <v>#VALUE!</v>
      </c>
      <c r="EI234" t="e">
        <f>AND(Sheet1!L3147,"AAAAAH/t3oo=")</f>
        <v>#VALUE!</v>
      </c>
      <c r="EJ234" t="e">
        <f>AND(Sheet1!M3147,"AAAAAH/t3os=")</f>
        <v>#VALUE!</v>
      </c>
      <c r="EK234" t="e">
        <f>AND(Sheet1!N3147,"AAAAAH/t3ow=")</f>
        <v>#VALUE!</v>
      </c>
      <c r="EL234" t="e">
        <f>AND(Sheet1!#REF!,"AAAAAH/t3o0=")</f>
        <v>#REF!</v>
      </c>
      <c r="EM234" t="e">
        <f>AND(Sheet1!#REF!,"AAAAAH/t3o4=")</f>
        <v>#REF!</v>
      </c>
      <c r="EN234" t="e">
        <f>AND(Sheet1!#REF!,"AAAAAH/t3o8=")</f>
        <v>#REF!</v>
      </c>
      <c r="EO234" t="e">
        <f>AND(Sheet1!#REF!,"AAAAAH/t3pA=")</f>
        <v>#REF!</v>
      </c>
      <c r="EP234">
        <f>IF(Sheet1!3148:3148,"AAAAAH/t3pE=",0)</f>
        <v>0</v>
      </c>
      <c r="EQ234" t="e">
        <f>AND(Sheet1!A3148,"AAAAAH/t3pI=")</f>
        <v>#VALUE!</v>
      </c>
      <c r="ER234" t="e">
        <f>AND(Sheet1!B3148,"AAAAAH/t3pM=")</f>
        <v>#VALUE!</v>
      </c>
      <c r="ES234" t="e">
        <f>AND(Sheet1!C3148,"AAAAAH/t3pQ=")</f>
        <v>#VALUE!</v>
      </c>
      <c r="ET234" t="e">
        <f>AND(Sheet1!D3148,"AAAAAH/t3pU=")</f>
        <v>#VALUE!</v>
      </c>
      <c r="EU234" t="e">
        <f>AND(Sheet1!E3148,"AAAAAH/t3pY=")</f>
        <v>#VALUE!</v>
      </c>
      <c r="EV234" t="e">
        <f>AND(Sheet1!F3148,"AAAAAH/t3pc=")</f>
        <v>#VALUE!</v>
      </c>
      <c r="EW234" t="e">
        <f>AND(Sheet1!G3148,"AAAAAH/t3pg=")</f>
        <v>#VALUE!</v>
      </c>
      <c r="EX234" t="e">
        <f>AND(Sheet1!H3148,"AAAAAH/t3pk=")</f>
        <v>#VALUE!</v>
      </c>
      <c r="EY234" t="e">
        <f>AND(Sheet1!I3148,"AAAAAH/t3po=")</f>
        <v>#VALUE!</v>
      </c>
      <c r="EZ234" t="e">
        <f>AND(Sheet1!J3148,"AAAAAH/t3ps=")</f>
        <v>#VALUE!</v>
      </c>
      <c r="FA234" t="e">
        <f>AND(Sheet1!K3148,"AAAAAH/t3pw=")</f>
        <v>#VALUE!</v>
      </c>
      <c r="FB234" t="e">
        <f>AND(Sheet1!L3148,"AAAAAH/t3p0=")</f>
        <v>#VALUE!</v>
      </c>
      <c r="FC234" t="e">
        <f>AND(Sheet1!M3148,"AAAAAH/t3p4=")</f>
        <v>#VALUE!</v>
      </c>
      <c r="FD234" t="e">
        <f>AND(Sheet1!N3148,"AAAAAH/t3p8=")</f>
        <v>#VALUE!</v>
      </c>
      <c r="FE234" t="e">
        <f>AND(Sheet1!#REF!,"AAAAAH/t3qA=")</f>
        <v>#REF!</v>
      </c>
      <c r="FF234" t="e">
        <f>AND(Sheet1!#REF!,"AAAAAH/t3qE=")</f>
        <v>#REF!</v>
      </c>
      <c r="FG234" t="e">
        <f>AND(Sheet1!#REF!,"AAAAAH/t3qI=")</f>
        <v>#REF!</v>
      </c>
      <c r="FH234" t="e">
        <f>AND(Sheet1!#REF!,"AAAAAH/t3qM=")</f>
        <v>#REF!</v>
      </c>
      <c r="FI234">
        <f>IF(Sheet1!3149:3149,"AAAAAH/t3qQ=",0)</f>
        <v>0</v>
      </c>
      <c r="FJ234" t="e">
        <f>AND(Sheet1!A3149,"AAAAAH/t3qU=")</f>
        <v>#VALUE!</v>
      </c>
      <c r="FK234" t="e">
        <f>AND(Sheet1!B3149,"AAAAAH/t3qY=")</f>
        <v>#VALUE!</v>
      </c>
      <c r="FL234" t="e">
        <f>AND(Sheet1!C3149,"AAAAAH/t3qc=")</f>
        <v>#VALUE!</v>
      </c>
      <c r="FM234" t="e">
        <f>AND(Sheet1!D3149,"AAAAAH/t3qg=")</f>
        <v>#VALUE!</v>
      </c>
      <c r="FN234" t="e">
        <f>AND(Sheet1!E3149,"AAAAAH/t3qk=")</f>
        <v>#VALUE!</v>
      </c>
      <c r="FO234" t="e">
        <f>AND(Sheet1!F3149,"AAAAAH/t3qo=")</f>
        <v>#VALUE!</v>
      </c>
      <c r="FP234" t="e">
        <f>AND(Sheet1!G3149,"AAAAAH/t3qs=")</f>
        <v>#VALUE!</v>
      </c>
      <c r="FQ234" t="e">
        <f>AND(Sheet1!H3149,"AAAAAH/t3qw=")</f>
        <v>#VALUE!</v>
      </c>
      <c r="FR234" t="e">
        <f>AND(Sheet1!I3149,"AAAAAH/t3q0=")</f>
        <v>#VALUE!</v>
      </c>
      <c r="FS234" t="e">
        <f>AND(Sheet1!J3149,"AAAAAH/t3q4=")</f>
        <v>#VALUE!</v>
      </c>
      <c r="FT234" t="e">
        <f>AND(Sheet1!K3149,"AAAAAH/t3q8=")</f>
        <v>#VALUE!</v>
      </c>
      <c r="FU234" t="e">
        <f>AND(Sheet1!L3149,"AAAAAH/t3rA=")</f>
        <v>#VALUE!</v>
      </c>
      <c r="FV234" t="e">
        <f>AND(Sheet1!M3149,"AAAAAH/t3rE=")</f>
        <v>#VALUE!</v>
      </c>
      <c r="FW234" t="e">
        <f>AND(Sheet1!N3149,"AAAAAH/t3rI=")</f>
        <v>#VALUE!</v>
      </c>
      <c r="FX234" t="e">
        <f>AND(Sheet1!#REF!,"AAAAAH/t3rM=")</f>
        <v>#REF!</v>
      </c>
      <c r="FY234" t="e">
        <f>AND(Sheet1!#REF!,"AAAAAH/t3rQ=")</f>
        <v>#REF!</v>
      </c>
      <c r="FZ234" t="e">
        <f>AND(Sheet1!#REF!,"AAAAAH/t3rU=")</f>
        <v>#REF!</v>
      </c>
      <c r="GA234" t="e">
        <f>AND(Sheet1!#REF!,"AAAAAH/t3rY=")</f>
        <v>#REF!</v>
      </c>
      <c r="GB234">
        <f>IF(Sheet1!3150:3150,"AAAAAH/t3rc=",0)</f>
        <v>0</v>
      </c>
      <c r="GC234" t="e">
        <f>AND(Sheet1!A3150,"AAAAAH/t3rg=")</f>
        <v>#VALUE!</v>
      </c>
      <c r="GD234" t="e">
        <f>AND(Sheet1!B3150,"AAAAAH/t3rk=")</f>
        <v>#VALUE!</v>
      </c>
      <c r="GE234" t="e">
        <f>AND(Sheet1!C3150,"AAAAAH/t3ro=")</f>
        <v>#VALUE!</v>
      </c>
      <c r="GF234" t="e">
        <f>AND(Sheet1!D3150,"AAAAAH/t3rs=")</f>
        <v>#VALUE!</v>
      </c>
      <c r="GG234" t="e">
        <f>AND(Sheet1!E3150,"AAAAAH/t3rw=")</f>
        <v>#VALUE!</v>
      </c>
      <c r="GH234" t="e">
        <f>AND(Sheet1!F3150,"AAAAAH/t3r0=")</f>
        <v>#VALUE!</v>
      </c>
      <c r="GI234" t="e">
        <f>AND(Sheet1!G3150,"AAAAAH/t3r4=")</f>
        <v>#VALUE!</v>
      </c>
      <c r="GJ234" t="e">
        <f>AND(Sheet1!H3150,"AAAAAH/t3r8=")</f>
        <v>#VALUE!</v>
      </c>
      <c r="GK234" t="e">
        <f>AND(Sheet1!I3150,"AAAAAH/t3sA=")</f>
        <v>#VALUE!</v>
      </c>
      <c r="GL234" t="e">
        <f>AND(Sheet1!J3150,"AAAAAH/t3sE=")</f>
        <v>#VALUE!</v>
      </c>
      <c r="GM234" t="e">
        <f>AND(Sheet1!K3150,"AAAAAH/t3sI=")</f>
        <v>#VALUE!</v>
      </c>
      <c r="GN234" t="e">
        <f>AND(Sheet1!L3150,"AAAAAH/t3sM=")</f>
        <v>#VALUE!</v>
      </c>
      <c r="GO234" t="e">
        <f>AND(Sheet1!M3150,"AAAAAH/t3sQ=")</f>
        <v>#VALUE!</v>
      </c>
      <c r="GP234" t="e">
        <f>AND(Sheet1!N3150,"AAAAAH/t3sU=")</f>
        <v>#VALUE!</v>
      </c>
      <c r="GQ234" t="e">
        <f>AND(Sheet1!#REF!,"AAAAAH/t3sY=")</f>
        <v>#REF!</v>
      </c>
      <c r="GR234" t="e">
        <f>AND(Sheet1!#REF!,"AAAAAH/t3sc=")</f>
        <v>#REF!</v>
      </c>
      <c r="GS234" t="e">
        <f>AND(Sheet1!#REF!,"AAAAAH/t3sg=")</f>
        <v>#REF!</v>
      </c>
      <c r="GT234" t="e">
        <f>AND(Sheet1!#REF!,"AAAAAH/t3sk=")</f>
        <v>#REF!</v>
      </c>
      <c r="GU234">
        <f>IF(Sheet1!3151:3151,"AAAAAH/t3so=",0)</f>
        <v>0</v>
      </c>
      <c r="GV234" t="e">
        <f>AND(Sheet1!A3151,"AAAAAH/t3ss=")</f>
        <v>#VALUE!</v>
      </c>
      <c r="GW234" t="e">
        <f>AND(Sheet1!B3151,"AAAAAH/t3sw=")</f>
        <v>#VALUE!</v>
      </c>
      <c r="GX234" t="e">
        <f>AND(Sheet1!C3151,"AAAAAH/t3s0=")</f>
        <v>#VALUE!</v>
      </c>
      <c r="GY234" t="e">
        <f>AND(Sheet1!D3151,"AAAAAH/t3s4=")</f>
        <v>#VALUE!</v>
      </c>
      <c r="GZ234" t="e">
        <f>AND(Sheet1!E3151,"AAAAAH/t3s8=")</f>
        <v>#VALUE!</v>
      </c>
      <c r="HA234" t="e">
        <f>AND(Sheet1!F3151,"AAAAAH/t3tA=")</f>
        <v>#VALUE!</v>
      </c>
      <c r="HB234" t="e">
        <f>AND(Sheet1!G3151,"AAAAAH/t3tE=")</f>
        <v>#VALUE!</v>
      </c>
      <c r="HC234" t="e">
        <f>AND(Sheet1!H3151,"AAAAAH/t3tI=")</f>
        <v>#VALUE!</v>
      </c>
      <c r="HD234" t="e">
        <f>AND(Sheet1!I3151,"AAAAAH/t3tM=")</f>
        <v>#VALUE!</v>
      </c>
      <c r="HE234" t="e">
        <f>AND(Sheet1!J3151,"AAAAAH/t3tQ=")</f>
        <v>#VALUE!</v>
      </c>
      <c r="HF234" t="e">
        <f>AND(Sheet1!K3151,"AAAAAH/t3tU=")</f>
        <v>#VALUE!</v>
      </c>
      <c r="HG234" t="e">
        <f>AND(Sheet1!L3151,"AAAAAH/t3tY=")</f>
        <v>#VALUE!</v>
      </c>
      <c r="HH234" t="e">
        <f>AND(Sheet1!M3151,"AAAAAH/t3tc=")</f>
        <v>#VALUE!</v>
      </c>
      <c r="HI234" t="e">
        <f>AND(Sheet1!N3151,"AAAAAH/t3tg=")</f>
        <v>#VALUE!</v>
      </c>
      <c r="HJ234" t="e">
        <f>AND(Sheet1!#REF!,"AAAAAH/t3tk=")</f>
        <v>#REF!</v>
      </c>
      <c r="HK234" t="e">
        <f>AND(Sheet1!#REF!,"AAAAAH/t3to=")</f>
        <v>#REF!</v>
      </c>
      <c r="HL234" t="e">
        <f>AND(Sheet1!#REF!,"AAAAAH/t3ts=")</f>
        <v>#REF!</v>
      </c>
      <c r="HM234" t="e">
        <f>AND(Sheet1!#REF!,"AAAAAH/t3tw=")</f>
        <v>#REF!</v>
      </c>
      <c r="HN234">
        <f>IF(Sheet1!3152:3152,"AAAAAH/t3t0=",0)</f>
        <v>0</v>
      </c>
      <c r="HO234" t="e">
        <f>AND(Sheet1!A3152,"AAAAAH/t3t4=")</f>
        <v>#VALUE!</v>
      </c>
      <c r="HP234" t="e">
        <f>AND(Sheet1!B3152,"AAAAAH/t3t8=")</f>
        <v>#VALUE!</v>
      </c>
      <c r="HQ234" t="e">
        <f>AND(Sheet1!C3152,"AAAAAH/t3uA=")</f>
        <v>#VALUE!</v>
      </c>
      <c r="HR234" t="e">
        <f>AND(Sheet1!D3152,"AAAAAH/t3uE=")</f>
        <v>#VALUE!</v>
      </c>
      <c r="HS234" t="e">
        <f>AND(Sheet1!E3152,"AAAAAH/t3uI=")</f>
        <v>#VALUE!</v>
      </c>
      <c r="HT234" t="e">
        <f>AND(Sheet1!F3152,"AAAAAH/t3uM=")</f>
        <v>#VALUE!</v>
      </c>
      <c r="HU234" t="e">
        <f>AND(Sheet1!G3152,"AAAAAH/t3uQ=")</f>
        <v>#VALUE!</v>
      </c>
      <c r="HV234" t="e">
        <f>AND(Sheet1!H3152,"AAAAAH/t3uU=")</f>
        <v>#VALUE!</v>
      </c>
      <c r="HW234" t="e">
        <f>AND(Sheet1!I3152,"AAAAAH/t3uY=")</f>
        <v>#VALUE!</v>
      </c>
      <c r="HX234" t="e">
        <f>AND(Sheet1!J3152,"AAAAAH/t3uc=")</f>
        <v>#VALUE!</v>
      </c>
      <c r="HY234" t="e">
        <f>AND(Sheet1!K3152,"AAAAAH/t3ug=")</f>
        <v>#VALUE!</v>
      </c>
      <c r="HZ234" t="e">
        <f>AND(Sheet1!L3152,"AAAAAH/t3uk=")</f>
        <v>#VALUE!</v>
      </c>
      <c r="IA234" t="e">
        <f>AND(Sheet1!M3152,"AAAAAH/t3uo=")</f>
        <v>#VALUE!</v>
      </c>
      <c r="IB234" t="e">
        <f>AND(Sheet1!N3152,"AAAAAH/t3us=")</f>
        <v>#VALUE!</v>
      </c>
      <c r="IC234" t="e">
        <f>AND(Sheet1!#REF!,"AAAAAH/t3uw=")</f>
        <v>#REF!</v>
      </c>
      <c r="ID234" t="e">
        <f>AND(Sheet1!#REF!,"AAAAAH/t3u0=")</f>
        <v>#REF!</v>
      </c>
      <c r="IE234" t="e">
        <f>AND(Sheet1!#REF!,"AAAAAH/t3u4=")</f>
        <v>#REF!</v>
      </c>
      <c r="IF234" t="e">
        <f>AND(Sheet1!#REF!,"AAAAAH/t3u8=")</f>
        <v>#REF!</v>
      </c>
      <c r="IG234">
        <f>IF(Sheet1!3153:3153,"AAAAAH/t3vA=",0)</f>
        <v>0</v>
      </c>
      <c r="IH234" t="e">
        <f>AND(Sheet1!A3153,"AAAAAH/t3vE=")</f>
        <v>#VALUE!</v>
      </c>
      <c r="II234" t="e">
        <f>AND(Sheet1!B3153,"AAAAAH/t3vI=")</f>
        <v>#VALUE!</v>
      </c>
      <c r="IJ234" t="e">
        <f>AND(Sheet1!C3153,"AAAAAH/t3vM=")</f>
        <v>#VALUE!</v>
      </c>
      <c r="IK234" t="e">
        <f>AND(Sheet1!D3153,"AAAAAH/t3vQ=")</f>
        <v>#VALUE!</v>
      </c>
      <c r="IL234" t="e">
        <f>AND(Sheet1!E3153,"AAAAAH/t3vU=")</f>
        <v>#VALUE!</v>
      </c>
      <c r="IM234" t="e">
        <f>AND(Sheet1!F3153,"AAAAAH/t3vY=")</f>
        <v>#VALUE!</v>
      </c>
      <c r="IN234" t="e">
        <f>AND(Sheet1!G3153,"AAAAAH/t3vc=")</f>
        <v>#VALUE!</v>
      </c>
      <c r="IO234" t="e">
        <f>AND(Sheet1!H3153,"AAAAAH/t3vg=")</f>
        <v>#VALUE!</v>
      </c>
      <c r="IP234" t="e">
        <f>AND(Sheet1!I3153,"AAAAAH/t3vk=")</f>
        <v>#VALUE!</v>
      </c>
      <c r="IQ234" t="e">
        <f>AND(Sheet1!J3153,"AAAAAH/t3vo=")</f>
        <v>#VALUE!</v>
      </c>
      <c r="IR234" t="e">
        <f>AND(Sheet1!K3153,"AAAAAH/t3vs=")</f>
        <v>#VALUE!</v>
      </c>
      <c r="IS234" t="e">
        <f>AND(Sheet1!L3153,"AAAAAH/t3vw=")</f>
        <v>#VALUE!</v>
      </c>
      <c r="IT234" t="e">
        <f>AND(Sheet1!M3153,"AAAAAH/t3v0=")</f>
        <v>#VALUE!</v>
      </c>
      <c r="IU234" t="e">
        <f>AND(Sheet1!N3153,"AAAAAH/t3v4=")</f>
        <v>#VALUE!</v>
      </c>
      <c r="IV234" t="e">
        <f>AND(Sheet1!#REF!,"AAAAAH/t3v8=")</f>
        <v>#REF!</v>
      </c>
    </row>
    <row r="235" spans="1:256" x14ac:dyDescent="0.2">
      <c r="A235" t="e">
        <f>AND(Sheet1!#REF!,"AAAAAHu93wA=")</f>
        <v>#REF!</v>
      </c>
      <c r="B235" t="e">
        <f>AND(Sheet1!#REF!,"AAAAAHu93wE=")</f>
        <v>#REF!</v>
      </c>
      <c r="C235" t="e">
        <f>AND(Sheet1!#REF!,"AAAAAHu93wI=")</f>
        <v>#REF!</v>
      </c>
      <c r="D235" t="e">
        <f>IF(Sheet1!3154:3154,"AAAAAHu93wM=",0)</f>
        <v>#VALUE!</v>
      </c>
      <c r="E235" t="e">
        <f>AND(Sheet1!A3154,"AAAAAHu93wQ=")</f>
        <v>#VALUE!</v>
      </c>
      <c r="F235" t="e">
        <f>AND(Sheet1!B3154,"AAAAAHu93wU=")</f>
        <v>#VALUE!</v>
      </c>
      <c r="G235" t="e">
        <f>AND(Sheet1!C3154,"AAAAAHu93wY=")</f>
        <v>#VALUE!</v>
      </c>
      <c r="H235" t="e">
        <f>AND(Sheet1!D3154,"AAAAAHu93wc=")</f>
        <v>#VALUE!</v>
      </c>
      <c r="I235" t="e">
        <f>AND(Sheet1!E3154,"AAAAAHu93wg=")</f>
        <v>#VALUE!</v>
      </c>
      <c r="J235" t="e">
        <f>AND(Sheet1!F3154,"AAAAAHu93wk=")</f>
        <v>#VALUE!</v>
      </c>
      <c r="K235" t="e">
        <f>AND(Sheet1!G3154,"AAAAAHu93wo=")</f>
        <v>#VALUE!</v>
      </c>
      <c r="L235" t="e">
        <f>AND(Sheet1!H3154,"AAAAAHu93ws=")</f>
        <v>#VALUE!</v>
      </c>
      <c r="M235" t="e">
        <f>AND(Sheet1!I3154,"AAAAAHu93ww=")</f>
        <v>#VALUE!</v>
      </c>
      <c r="N235" t="e">
        <f>AND(Sheet1!J3154,"AAAAAHu93w0=")</f>
        <v>#VALUE!</v>
      </c>
      <c r="O235" t="e">
        <f>AND(Sheet1!K3154,"AAAAAHu93w4=")</f>
        <v>#VALUE!</v>
      </c>
      <c r="P235" t="e">
        <f>AND(Sheet1!L3154,"AAAAAHu93w8=")</f>
        <v>#VALUE!</v>
      </c>
      <c r="Q235" t="e">
        <f>AND(Sheet1!M3154,"AAAAAHu93xA=")</f>
        <v>#VALUE!</v>
      </c>
      <c r="R235" t="e">
        <f>AND(Sheet1!N3154,"AAAAAHu93xE=")</f>
        <v>#VALUE!</v>
      </c>
      <c r="S235" t="e">
        <f>AND(Sheet1!#REF!,"AAAAAHu93xI=")</f>
        <v>#REF!</v>
      </c>
      <c r="T235" t="e">
        <f>AND(Sheet1!#REF!,"AAAAAHu93xM=")</f>
        <v>#REF!</v>
      </c>
      <c r="U235" t="e">
        <f>AND(Sheet1!#REF!,"AAAAAHu93xQ=")</f>
        <v>#REF!</v>
      </c>
      <c r="V235" t="e">
        <f>AND(Sheet1!#REF!,"AAAAAHu93xU=")</f>
        <v>#REF!</v>
      </c>
      <c r="W235">
        <f>IF(Sheet1!3155:3155,"AAAAAHu93xY=",0)</f>
        <v>0</v>
      </c>
      <c r="X235" t="e">
        <f>AND(Sheet1!A3155,"AAAAAHu93xc=")</f>
        <v>#VALUE!</v>
      </c>
      <c r="Y235" t="e">
        <f>AND(Sheet1!B3155,"AAAAAHu93xg=")</f>
        <v>#VALUE!</v>
      </c>
      <c r="Z235" t="e">
        <f>AND(Sheet1!C3155,"AAAAAHu93xk=")</f>
        <v>#VALUE!</v>
      </c>
      <c r="AA235" t="e">
        <f>AND(Sheet1!D3155,"AAAAAHu93xo=")</f>
        <v>#VALUE!</v>
      </c>
      <c r="AB235" t="e">
        <f>AND(Sheet1!E3155,"AAAAAHu93xs=")</f>
        <v>#VALUE!</v>
      </c>
      <c r="AC235" t="e">
        <f>AND(Sheet1!F3155,"AAAAAHu93xw=")</f>
        <v>#VALUE!</v>
      </c>
      <c r="AD235" t="e">
        <f>AND(Sheet1!G3155,"AAAAAHu93x0=")</f>
        <v>#VALUE!</v>
      </c>
      <c r="AE235" t="e">
        <f>AND(Sheet1!H3155,"AAAAAHu93x4=")</f>
        <v>#VALUE!</v>
      </c>
      <c r="AF235" t="e">
        <f>AND(Sheet1!I3155,"AAAAAHu93x8=")</f>
        <v>#VALUE!</v>
      </c>
      <c r="AG235" t="e">
        <f>AND(Sheet1!J3155,"AAAAAHu93yA=")</f>
        <v>#VALUE!</v>
      </c>
      <c r="AH235" t="e">
        <f>AND(Sheet1!K3155,"AAAAAHu93yE=")</f>
        <v>#VALUE!</v>
      </c>
      <c r="AI235" t="e">
        <f>AND(Sheet1!L3155,"AAAAAHu93yI=")</f>
        <v>#VALUE!</v>
      </c>
      <c r="AJ235" t="e">
        <f>AND(Sheet1!M3155,"AAAAAHu93yM=")</f>
        <v>#VALUE!</v>
      </c>
      <c r="AK235" t="e">
        <f>AND(Sheet1!N3155,"AAAAAHu93yQ=")</f>
        <v>#VALUE!</v>
      </c>
      <c r="AL235" t="e">
        <f>AND(Sheet1!#REF!,"AAAAAHu93yU=")</f>
        <v>#REF!</v>
      </c>
      <c r="AM235" t="e">
        <f>AND(Sheet1!#REF!,"AAAAAHu93yY=")</f>
        <v>#REF!</v>
      </c>
      <c r="AN235" t="e">
        <f>AND(Sheet1!#REF!,"AAAAAHu93yc=")</f>
        <v>#REF!</v>
      </c>
      <c r="AO235" t="e">
        <f>AND(Sheet1!#REF!,"AAAAAHu93yg=")</f>
        <v>#REF!</v>
      </c>
      <c r="AP235">
        <f>IF(Sheet1!3156:3156,"AAAAAHu93yk=",0)</f>
        <v>0</v>
      </c>
      <c r="AQ235" t="e">
        <f>AND(Sheet1!A3156,"AAAAAHu93yo=")</f>
        <v>#VALUE!</v>
      </c>
      <c r="AR235" t="e">
        <f>AND(Sheet1!B3156,"AAAAAHu93ys=")</f>
        <v>#VALUE!</v>
      </c>
      <c r="AS235" t="e">
        <f>AND(Sheet1!C3156,"AAAAAHu93yw=")</f>
        <v>#VALUE!</v>
      </c>
      <c r="AT235" t="e">
        <f>AND(Sheet1!D3156,"AAAAAHu93y0=")</f>
        <v>#VALUE!</v>
      </c>
      <c r="AU235" t="e">
        <f>AND(Sheet1!E3156,"AAAAAHu93y4=")</f>
        <v>#VALUE!</v>
      </c>
      <c r="AV235" t="e">
        <f>AND(Sheet1!F3156,"AAAAAHu93y8=")</f>
        <v>#VALUE!</v>
      </c>
      <c r="AW235" t="e">
        <f>AND(Sheet1!G3156,"AAAAAHu93zA=")</f>
        <v>#VALUE!</v>
      </c>
      <c r="AX235" t="e">
        <f>AND(Sheet1!H3156,"AAAAAHu93zE=")</f>
        <v>#VALUE!</v>
      </c>
      <c r="AY235" t="e">
        <f>AND(Sheet1!I3156,"AAAAAHu93zI=")</f>
        <v>#VALUE!</v>
      </c>
      <c r="AZ235" t="e">
        <f>AND(Sheet1!J3156,"AAAAAHu93zM=")</f>
        <v>#VALUE!</v>
      </c>
      <c r="BA235" t="e">
        <f>AND(Sheet1!K3156,"AAAAAHu93zQ=")</f>
        <v>#VALUE!</v>
      </c>
      <c r="BB235" t="e">
        <f>AND(Sheet1!L3156,"AAAAAHu93zU=")</f>
        <v>#VALUE!</v>
      </c>
      <c r="BC235" t="e">
        <f>AND(Sheet1!M3156,"AAAAAHu93zY=")</f>
        <v>#VALUE!</v>
      </c>
      <c r="BD235" t="e">
        <f>AND(Sheet1!N3156,"AAAAAHu93zc=")</f>
        <v>#VALUE!</v>
      </c>
      <c r="BE235" t="e">
        <f>AND(Sheet1!#REF!,"AAAAAHu93zg=")</f>
        <v>#REF!</v>
      </c>
      <c r="BF235" t="e">
        <f>AND(Sheet1!#REF!,"AAAAAHu93zk=")</f>
        <v>#REF!</v>
      </c>
      <c r="BG235" t="e">
        <f>AND(Sheet1!#REF!,"AAAAAHu93zo=")</f>
        <v>#REF!</v>
      </c>
      <c r="BH235" t="e">
        <f>AND(Sheet1!#REF!,"AAAAAHu93zs=")</f>
        <v>#REF!</v>
      </c>
      <c r="BI235">
        <f>IF(Sheet1!3157:3157,"AAAAAHu93zw=",0)</f>
        <v>0</v>
      </c>
      <c r="BJ235" t="e">
        <f>AND(Sheet1!A3157,"AAAAAHu93z0=")</f>
        <v>#VALUE!</v>
      </c>
      <c r="BK235" t="e">
        <f>AND(Sheet1!B3157,"AAAAAHu93z4=")</f>
        <v>#VALUE!</v>
      </c>
      <c r="BL235" t="e">
        <f>AND(Sheet1!C3157,"AAAAAHu93z8=")</f>
        <v>#VALUE!</v>
      </c>
      <c r="BM235" t="e">
        <f>AND(Sheet1!D3157,"AAAAAHu930A=")</f>
        <v>#VALUE!</v>
      </c>
      <c r="BN235" t="e">
        <f>AND(Sheet1!E3157,"AAAAAHu930E=")</f>
        <v>#VALUE!</v>
      </c>
      <c r="BO235" t="e">
        <f>AND(Sheet1!F3157,"AAAAAHu930I=")</f>
        <v>#VALUE!</v>
      </c>
      <c r="BP235" t="e">
        <f>AND(Sheet1!G3157,"AAAAAHu930M=")</f>
        <v>#VALUE!</v>
      </c>
      <c r="BQ235" t="e">
        <f>AND(Sheet1!H3157,"AAAAAHu930Q=")</f>
        <v>#VALUE!</v>
      </c>
      <c r="BR235" t="e">
        <f>AND(Sheet1!I3157,"AAAAAHu930U=")</f>
        <v>#VALUE!</v>
      </c>
      <c r="BS235" t="e">
        <f>AND(Sheet1!J3157,"AAAAAHu930Y=")</f>
        <v>#VALUE!</v>
      </c>
      <c r="BT235" t="e">
        <f>AND(Sheet1!K3157,"AAAAAHu930c=")</f>
        <v>#VALUE!</v>
      </c>
      <c r="BU235" t="e">
        <f>AND(Sheet1!L3157,"AAAAAHu930g=")</f>
        <v>#VALUE!</v>
      </c>
      <c r="BV235" t="e">
        <f>AND(Sheet1!M3157,"AAAAAHu930k=")</f>
        <v>#VALUE!</v>
      </c>
      <c r="BW235" t="e">
        <f>AND(Sheet1!N3157,"AAAAAHu930o=")</f>
        <v>#VALUE!</v>
      </c>
      <c r="BX235" t="e">
        <f>AND(Sheet1!#REF!,"AAAAAHu930s=")</f>
        <v>#REF!</v>
      </c>
      <c r="BY235" t="e">
        <f>AND(Sheet1!#REF!,"AAAAAHu930w=")</f>
        <v>#REF!</v>
      </c>
      <c r="BZ235" t="e">
        <f>AND(Sheet1!#REF!,"AAAAAHu9300=")</f>
        <v>#REF!</v>
      </c>
      <c r="CA235" t="e">
        <f>AND(Sheet1!#REF!,"AAAAAHu9304=")</f>
        <v>#REF!</v>
      </c>
      <c r="CB235">
        <f>IF(Sheet1!3158:3158,"AAAAAHu9308=",0)</f>
        <v>0</v>
      </c>
      <c r="CC235" t="e">
        <f>AND(Sheet1!A3158,"AAAAAHu931A=")</f>
        <v>#VALUE!</v>
      </c>
      <c r="CD235" t="e">
        <f>AND(Sheet1!B3158,"AAAAAHu931E=")</f>
        <v>#VALUE!</v>
      </c>
      <c r="CE235" t="e">
        <f>AND(Sheet1!C3158,"AAAAAHu931I=")</f>
        <v>#VALUE!</v>
      </c>
      <c r="CF235" t="e">
        <f>AND(Sheet1!D3158,"AAAAAHu931M=")</f>
        <v>#VALUE!</v>
      </c>
      <c r="CG235" t="e">
        <f>AND(Sheet1!E3158,"AAAAAHu931Q=")</f>
        <v>#VALUE!</v>
      </c>
      <c r="CH235" t="e">
        <f>AND(Sheet1!F3158,"AAAAAHu931U=")</f>
        <v>#VALUE!</v>
      </c>
      <c r="CI235" t="e">
        <f>AND(Sheet1!G3158,"AAAAAHu931Y=")</f>
        <v>#VALUE!</v>
      </c>
      <c r="CJ235" t="e">
        <f>AND(Sheet1!H3158,"AAAAAHu931c=")</f>
        <v>#VALUE!</v>
      </c>
      <c r="CK235" t="e">
        <f>AND(Sheet1!I3158,"AAAAAHu931g=")</f>
        <v>#VALUE!</v>
      </c>
      <c r="CL235" t="e">
        <f>AND(Sheet1!J3158,"AAAAAHu931k=")</f>
        <v>#VALUE!</v>
      </c>
      <c r="CM235" t="e">
        <f>AND(Sheet1!K3158,"AAAAAHu931o=")</f>
        <v>#VALUE!</v>
      </c>
      <c r="CN235" t="e">
        <f>AND(Sheet1!L3158,"AAAAAHu931s=")</f>
        <v>#VALUE!</v>
      </c>
      <c r="CO235" t="e">
        <f>AND(Sheet1!M3158,"AAAAAHu931w=")</f>
        <v>#VALUE!</v>
      </c>
      <c r="CP235" t="e">
        <f>AND(Sheet1!N3158,"AAAAAHu9310=")</f>
        <v>#VALUE!</v>
      </c>
      <c r="CQ235" t="e">
        <f>AND(Sheet1!#REF!,"AAAAAHu9314=")</f>
        <v>#REF!</v>
      </c>
      <c r="CR235" t="e">
        <f>AND(Sheet1!#REF!,"AAAAAHu9318=")</f>
        <v>#REF!</v>
      </c>
      <c r="CS235" t="e">
        <f>AND(Sheet1!#REF!,"AAAAAHu932A=")</f>
        <v>#REF!</v>
      </c>
      <c r="CT235" t="e">
        <f>AND(Sheet1!#REF!,"AAAAAHu932E=")</f>
        <v>#REF!</v>
      </c>
      <c r="CU235">
        <f>IF(Sheet1!3159:3159,"AAAAAHu932I=",0)</f>
        <v>0</v>
      </c>
      <c r="CV235" t="e">
        <f>AND(Sheet1!A3159,"AAAAAHu932M=")</f>
        <v>#VALUE!</v>
      </c>
      <c r="CW235" t="e">
        <f>AND(Sheet1!B3159,"AAAAAHu932Q=")</f>
        <v>#VALUE!</v>
      </c>
      <c r="CX235" t="e">
        <f>AND(Sheet1!C3159,"AAAAAHu932U=")</f>
        <v>#VALUE!</v>
      </c>
      <c r="CY235" t="e">
        <f>AND(Sheet1!D3159,"AAAAAHu932Y=")</f>
        <v>#VALUE!</v>
      </c>
      <c r="CZ235" t="e">
        <f>AND(Sheet1!E3159,"AAAAAHu932c=")</f>
        <v>#VALUE!</v>
      </c>
      <c r="DA235" t="e">
        <f>AND(Sheet1!F3159,"AAAAAHu932g=")</f>
        <v>#VALUE!</v>
      </c>
      <c r="DB235" t="e">
        <f>AND(Sheet1!G3159,"AAAAAHu932k=")</f>
        <v>#VALUE!</v>
      </c>
      <c r="DC235" t="e">
        <f>AND(Sheet1!H3159,"AAAAAHu932o=")</f>
        <v>#VALUE!</v>
      </c>
      <c r="DD235" t="e">
        <f>AND(Sheet1!I3159,"AAAAAHu932s=")</f>
        <v>#VALUE!</v>
      </c>
      <c r="DE235" t="e">
        <f>AND(Sheet1!J3159,"AAAAAHu932w=")</f>
        <v>#VALUE!</v>
      </c>
      <c r="DF235" t="e">
        <f>AND(Sheet1!K3159,"AAAAAHu9320=")</f>
        <v>#VALUE!</v>
      </c>
      <c r="DG235" t="e">
        <f>AND(Sheet1!L3159,"AAAAAHu9324=")</f>
        <v>#VALUE!</v>
      </c>
      <c r="DH235" t="e">
        <f>AND(Sheet1!M3159,"AAAAAHu9328=")</f>
        <v>#VALUE!</v>
      </c>
      <c r="DI235" t="e">
        <f>AND(Sheet1!N3159,"AAAAAHu933A=")</f>
        <v>#VALUE!</v>
      </c>
      <c r="DJ235" t="e">
        <f>AND(Sheet1!#REF!,"AAAAAHu933E=")</f>
        <v>#REF!</v>
      </c>
      <c r="DK235" t="e">
        <f>AND(Sheet1!#REF!,"AAAAAHu933I=")</f>
        <v>#REF!</v>
      </c>
      <c r="DL235" t="e">
        <f>AND(Sheet1!#REF!,"AAAAAHu933M=")</f>
        <v>#REF!</v>
      </c>
      <c r="DM235" t="e">
        <f>AND(Sheet1!#REF!,"AAAAAHu933Q=")</f>
        <v>#REF!</v>
      </c>
      <c r="DN235">
        <f>IF(Sheet1!3160:3160,"AAAAAHu933U=",0)</f>
        <v>0</v>
      </c>
      <c r="DO235" t="e">
        <f>AND(Sheet1!A3160,"AAAAAHu933Y=")</f>
        <v>#VALUE!</v>
      </c>
      <c r="DP235" t="e">
        <f>AND(Sheet1!B3160,"AAAAAHu933c=")</f>
        <v>#VALUE!</v>
      </c>
      <c r="DQ235" t="e">
        <f>AND(Sheet1!C3160,"AAAAAHu933g=")</f>
        <v>#VALUE!</v>
      </c>
      <c r="DR235" t="e">
        <f>AND(Sheet1!D3160,"AAAAAHu933k=")</f>
        <v>#VALUE!</v>
      </c>
      <c r="DS235" t="e">
        <f>AND(Sheet1!E3160,"AAAAAHu933o=")</f>
        <v>#VALUE!</v>
      </c>
      <c r="DT235" t="e">
        <f>AND(Sheet1!F3160,"AAAAAHu933s=")</f>
        <v>#VALUE!</v>
      </c>
      <c r="DU235" t="e">
        <f>AND(Sheet1!G3160,"AAAAAHu933w=")</f>
        <v>#VALUE!</v>
      </c>
      <c r="DV235" t="e">
        <f>AND(Sheet1!H3160,"AAAAAHu9330=")</f>
        <v>#VALUE!</v>
      </c>
      <c r="DW235" t="e">
        <f>AND(Sheet1!I3160,"AAAAAHu9334=")</f>
        <v>#VALUE!</v>
      </c>
      <c r="DX235" t="e">
        <f>AND(Sheet1!J3160,"AAAAAHu9338=")</f>
        <v>#VALUE!</v>
      </c>
      <c r="DY235" t="e">
        <f>AND(Sheet1!K3160,"AAAAAHu934A=")</f>
        <v>#VALUE!</v>
      </c>
      <c r="DZ235" t="e">
        <f>AND(Sheet1!L3160,"AAAAAHu934E=")</f>
        <v>#VALUE!</v>
      </c>
      <c r="EA235" t="e">
        <f>AND(Sheet1!M3160,"AAAAAHu934I=")</f>
        <v>#VALUE!</v>
      </c>
      <c r="EB235" t="e">
        <f>AND(Sheet1!N3160,"AAAAAHu934M=")</f>
        <v>#VALUE!</v>
      </c>
      <c r="EC235" t="e">
        <f>AND(Sheet1!#REF!,"AAAAAHu934Q=")</f>
        <v>#REF!</v>
      </c>
      <c r="ED235" t="e">
        <f>AND(Sheet1!#REF!,"AAAAAHu934U=")</f>
        <v>#REF!</v>
      </c>
      <c r="EE235" t="e">
        <f>AND(Sheet1!#REF!,"AAAAAHu934Y=")</f>
        <v>#REF!</v>
      </c>
      <c r="EF235" t="e">
        <f>AND(Sheet1!#REF!,"AAAAAHu934c=")</f>
        <v>#REF!</v>
      </c>
      <c r="EG235">
        <f>IF(Sheet1!3161:3161,"AAAAAHu934g=",0)</f>
        <v>0</v>
      </c>
      <c r="EH235" t="e">
        <f>AND(Sheet1!A3161,"AAAAAHu934k=")</f>
        <v>#VALUE!</v>
      </c>
      <c r="EI235" t="e">
        <f>AND(Sheet1!B3161,"AAAAAHu934o=")</f>
        <v>#VALUE!</v>
      </c>
      <c r="EJ235" t="e">
        <f>AND(Sheet1!C3161,"AAAAAHu934s=")</f>
        <v>#VALUE!</v>
      </c>
      <c r="EK235" t="e">
        <f>AND(Sheet1!D3161,"AAAAAHu934w=")</f>
        <v>#VALUE!</v>
      </c>
      <c r="EL235" t="e">
        <f>AND(Sheet1!E3161,"AAAAAHu9340=")</f>
        <v>#VALUE!</v>
      </c>
      <c r="EM235" t="e">
        <f>AND(Sheet1!F3161,"AAAAAHu9344=")</f>
        <v>#VALUE!</v>
      </c>
      <c r="EN235" t="e">
        <f>AND(Sheet1!G3161,"AAAAAHu9348=")</f>
        <v>#VALUE!</v>
      </c>
      <c r="EO235" t="e">
        <f>AND(Sheet1!H3161,"AAAAAHu935A=")</f>
        <v>#VALUE!</v>
      </c>
      <c r="EP235" t="e">
        <f>AND(Sheet1!I3161,"AAAAAHu935E=")</f>
        <v>#VALUE!</v>
      </c>
      <c r="EQ235" t="e">
        <f>AND(Sheet1!J3161,"AAAAAHu935I=")</f>
        <v>#VALUE!</v>
      </c>
      <c r="ER235" t="e">
        <f>AND(Sheet1!K3161,"AAAAAHu935M=")</f>
        <v>#VALUE!</v>
      </c>
      <c r="ES235" t="e">
        <f>AND(Sheet1!L3161,"AAAAAHu935Q=")</f>
        <v>#VALUE!</v>
      </c>
      <c r="ET235" t="e">
        <f>AND(Sheet1!M3161,"AAAAAHu935U=")</f>
        <v>#VALUE!</v>
      </c>
      <c r="EU235" t="e">
        <f>AND(Sheet1!N3161,"AAAAAHu935Y=")</f>
        <v>#VALUE!</v>
      </c>
      <c r="EV235" t="e">
        <f>AND(Sheet1!#REF!,"AAAAAHu935c=")</f>
        <v>#REF!</v>
      </c>
      <c r="EW235" t="e">
        <f>AND(Sheet1!#REF!,"AAAAAHu935g=")</f>
        <v>#REF!</v>
      </c>
      <c r="EX235" t="e">
        <f>AND(Sheet1!#REF!,"AAAAAHu935k=")</f>
        <v>#REF!</v>
      </c>
      <c r="EY235" t="e">
        <f>AND(Sheet1!#REF!,"AAAAAHu935o=")</f>
        <v>#REF!</v>
      </c>
      <c r="EZ235">
        <f>IF(Sheet1!3162:3162,"AAAAAHu935s=",0)</f>
        <v>0</v>
      </c>
      <c r="FA235" t="e">
        <f>AND(Sheet1!A3162,"AAAAAHu935w=")</f>
        <v>#VALUE!</v>
      </c>
      <c r="FB235" t="e">
        <f>AND(Sheet1!B3162,"AAAAAHu9350=")</f>
        <v>#VALUE!</v>
      </c>
      <c r="FC235" t="e">
        <f>AND(Sheet1!C3162,"AAAAAHu9354=")</f>
        <v>#VALUE!</v>
      </c>
      <c r="FD235" t="e">
        <f>AND(Sheet1!D3162,"AAAAAHu9358=")</f>
        <v>#VALUE!</v>
      </c>
      <c r="FE235" t="e">
        <f>AND(Sheet1!E3162,"AAAAAHu936A=")</f>
        <v>#VALUE!</v>
      </c>
      <c r="FF235" t="e">
        <f>AND(Sheet1!F3162,"AAAAAHu936E=")</f>
        <v>#VALUE!</v>
      </c>
      <c r="FG235" t="e">
        <f>AND(Sheet1!G3162,"AAAAAHu936I=")</f>
        <v>#VALUE!</v>
      </c>
      <c r="FH235" t="e">
        <f>AND(Sheet1!H3162,"AAAAAHu936M=")</f>
        <v>#VALUE!</v>
      </c>
      <c r="FI235" t="e">
        <f>AND(Sheet1!I3162,"AAAAAHu936Q=")</f>
        <v>#VALUE!</v>
      </c>
      <c r="FJ235" t="e">
        <f>AND(Sheet1!J3162,"AAAAAHu936U=")</f>
        <v>#VALUE!</v>
      </c>
      <c r="FK235" t="e">
        <f>AND(Sheet1!K3162,"AAAAAHu936Y=")</f>
        <v>#VALUE!</v>
      </c>
      <c r="FL235" t="e">
        <f>AND(Sheet1!L3162,"AAAAAHu936c=")</f>
        <v>#VALUE!</v>
      </c>
      <c r="FM235" t="e">
        <f>AND(Sheet1!M3162,"AAAAAHu936g=")</f>
        <v>#VALUE!</v>
      </c>
      <c r="FN235" t="e">
        <f>AND(Sheet1!N3162,"AAAAAHu936k=")</f>
        <v>#VALUE!</v>
      </c>
      <c r="FO235" t="e">
        <f>AND(Sheet1!#REF!,"AAAAAHu936o=")</f>
        <v>#REF!</v>
      </c>
      <c r="FP235" t="e">
        <f>AND(Sheet1!#REF!,"AAAAAHu936s=")</f>
        <v>#REF!</v>
      </c>
      <c r="FQ235" t="e">
        <f>AND(Sheet1!#REF!,"AAAAAHu936w=")</f>
        <v>#REF!</v>
      </c>
      <c r="FR235" t="e">
        <f>AND(Sheet1!#REF!,"AAAAAHu9360=")</f>
        <v>#REF!</v>
      </c>
      <c r="FS235">
        <f>IF(Sheet1!3163:3163,"AAAAAHu9364=",0)</f>
        <v>0</v>
      </c>
      <c r="FT235" t="e">
        <f>AND(Sheet1!A3163,"AAAAAHu9368=")</f>
        <v>#VALUE!</v>
      </c>
      <c r="FU235" t="e">
        <f>AND(Sheet1!B3163,"AAAAAHu937A=")</f>
        <v>#VALUE!</v>
      </c>
      <c r="FV235" t="e">
        <f>AND(Sheet1!C3163,"AAAAAHu937E=")</f>
        <v>#VALUE!</v>
      </c>
      <c r="FW235" t="e">
        <f>AND(Sheet1!D3163,"AAAAAHu937I=")</f>
        <v>#VALUE!</v>
      </c>
      <c r="FX235" t="e">
        <f>AND(Sheet1!E3163,"AAAAAHu937M=")</f>
        <v>#VALUE!</v>
      </c>
      <c r="FY235" t="e">
        <f>AND(Sheet1!F3163,"AAAAAHu937Q=")</f>
        <v>#VALUE!</v>
      </c>
      <c r="FZ235" t="e">
        <f>AND(Sheet1!G3163,"AAAAAHu937U=")</f>
        <v>#VALUE!</v>
      </c>
      <c r="GA235" t="e">
        <f>AND(Sheet1!H3163,"AAAAAHu937Y=")</f>
        <v>#VALUE!</v>
      </c>
      <c r="GB235" t="e">
        <f>AND(Sheet1!I3163,"AAAAAHu937c=")</f>
        <v>#VALUE!</v>
      </c>
      <c r="GC235" t="e">
        <f>AND(Sheet1!J3163,"AAAAAHu937g=")</f>
        <v>#VALUE!</v>
      </c>
      <c r="GD235" t="e">
        <f>AND(Sheet1!K3163,"AAAAAHu937k=")</f>
        <v>#VALUE!</v>
      </c>
      <c r="GE235" t="e">
        <f>AND(Sheet1!L3163,"AAAAAHu937o=")</f>
        <v>#VALUE!</v>
      </c>
      <c r="GF235" t="e">
        <f>AND(Sheet1!M3163,"AAAAAHu937s=")</f>
        <v>#VALUE!</v>
      </c>
      <c r="GG235" t="e">
        <f>AND(Sheet1!N3163,"AAAAAHu937w=")</f>
        <v>#VALUE!</v>
      </c>
      <c r="GH235" t="e">
        <f>AND(Sheet1!#REF!,"AAAAAHu9370=")</f>
        <v>#REF!</v>
      </c>
      <c r="GI235" t="e">
        <f>AND(Sheet1!#REF!,"AAAAAHu9374=")</f>
        <v>#REF!</v>
      </c>
      <c r="GJ235" t="e">
        <f>AND(Sheet1!#REF!,"AAAAAHu9378=")</f>
        <v>#REF!</v>
      </c>
      <c r="GK235" t="e">
        <f>AND(Sheet1!#REF!,"AAAAAHu938A=")</f>
        <v>#REF!</v>
      </c>
      <c r="GL235">
        <f>IF(Sheet1!3164:3164,"AAAAAHu938E=",0)</f>
        <v>0</v>
      </c>
      <c r="GM235" t="e">
        <f>AND(Sheet1!A3164,"AAAAAHu938I=")</f>
        <v>#VALUE!</v>
      </c>
      <c r="GN235" t="e">
        <f>AND(Sheet1!B3164,"AAAAAHu938M=")</f>
        <v>#VALUE!</v>
      </c>
      <c r="GO235" t="e">
        <f>AND(Sheet1!C3164,"AAAAAHu938Q=")</f>
        <v>#VALUE!</v>
      </c>
      <c r="GP235" t="e">
        <f>AND(Sheet1!D3164,"AAAAAHu938U=")</f>
        <v>#VALUE!</v>
      </c>
      <c r="GQ235" t="e">
        <f>AND(Sheet1!E3164,"AAAAAHu938Y=")</f>
        <v>#VALUE!</v>
      </c>
      <c r="GR235" t="e">
        <f>AND(Sheet1!F3164,"AAAAAHu938c=")</f>
        <v>#VALUE!</v>
      </c>
      <c r="GS235" t="e">
        <f>AND(Sheet1!G3164,"AAAAAHu938g=")</f>
        <v>#VALUE!</v>
      </c>
      <c r="GT235" t="e">
        <f>AND(Sheet1!H3164,"AAAAAHu938k=")</f>
        <v>#VALUE!</v>
      </c>
      <c r="GU235" t="e">
        <f>AND(Sheet1!I3164,"AAAAAHu938o=")</f>
        <v>#VALUE!</v>
      </c>
      <c r="GV235" t="e">
        <f>AND(Sheet1!J3164,"AAAAAHu938s=")</f>
        <v>#VALUE!</v>
      </c>
      <c r="GW235" t="e">
        <f>AND(Sheet1!K3164,"AAAAAHu938w=")</f>
        <v>#VALUE!</v>
      </c>
      <c r="GX235" t="e">
        <f>AND(Sheet1!L3164,"AAAAAHu9380=")</f>
        <v>#VALUE!</v>
      </c>
      <c r="GY235" t="e">
        <f>AND(Sheet1!M3164,"AAAAAHu9384=")</f>
        <v>#VALUE!</v>
      </c>
      <c r="GZ235" t="e">
        <f>AND(Sheet1!N3164,"AAAAAHu9388=")</f>
        <v>#VALUE!</v>
      </c>
      <c r="HA235" t="e">
        <f>AND(Sheet1!#REF!,"AAAAAHu939A=")</f>
        <v>#REF!</v>
      </c>
      <c r="HB235" t="e">
        <f>AND(Sheet1!#REF!,"AAAAAHu939E=")</f>
        <v>#REF!</v>
      </c>
      <c r="HC235" t="e">
        <f>AND(Sheet1!#REF!,"AAAAAHu939I=")</f>
        <v>#REF!</v>
      </c>
      <c r="HD235" t="e">
        <f>AND(Sheet1!#REF!,"AAAAAHu939M=")</f>
        <v>#REF!</v>
      </c>
      <c r="HE235">
        <f>IF(Sheet1!3165:3165,"AAAAAHu939Q=",0)</f>
        <v>0</v>
      </c>
      <c r="HF235" t="e">
        <f>AND(Sheet1!A3165,"AAAAAHu939U=")</f>
        <v>#VALUE!</v>
      </c>
      <c r="HG235" t="e">
        <f>AND(Sheet1!B3165,"AAAAAHu939Y=")</f>
        <v>#VALUE!</v>
      </c>
      <c r="HH235" t="e">
        <f>AND(Sheet1!C3165,"AAAAAHu939c=")</f>
        <v>#VALUE!</v>
      </c>
      <c r="HI235" t="e">
        <f>AND(Sheet1!D3165,"AAAAAHu939g=")</f>
        <v>#VALUE!</v>
      </c>
      <c r="HJ235" t="e">
        <f>AND(Sheet1!E3165,"AAAAAHu939k=")</f>
        <v>#VALUE!</v>
      </c>
      <c r="HK235" t="e">
        <f>AND(Sheet1!F3165,"AAAAAHu939o=")</f>
        <v>#VALUE!</v>
      </c>
      <c r="HL235" t="e">
        <f>AND(Sheet1!G3165,"AAAAAHu939s=")</f>
        <v>#VALUE!</v>
      </c>
      <c r="HM235" t="e">
        <f>AND(Sheet1!H3165,"AAAAAHu939w=")</f>
        <v>#VALUE!</v>
      </c>
      <c r="HN235" t="e">
        <f>AND(Sheet1!I3165,"AAAAAHu9390=")</f>
        <v>#VALUE!</v>
      </c>
      <c r="HO235" t="e">
        <f>AND(Sheet1!J3165,"AAAAAHu9394=")</f>
        <v>#VALUE!</v>
      </c>
      <c r="HP235" t="e">
        <f>AND(Sheet1!K3165,"AAAAAHu9398=")</f>
        <v>#VALUE!</v>
      </c>
      <c r="HQ235" t="e">
        <f>AND(Sheet1!L3165,"AAAAAHu93+A=")</f>
        <v>#VALUE!</v>
      </c>
      <c r="HR235" t="e">
        <f>AND(Sheet1!M3165,"AAAAAHu93+E=")</f>
        <v>#VALUE!</v>
      </c>
      <c r="HS235" t="e">
        <f>AND(Sheet1!N3165,"AAAAAHu93+I=")</f>
        <v>#VALUE!</v>
      </c>
      <c r="HT235" t="e">
        <f>AND(Sheet1!#REF!,"AAAAAHu93+M=")</f>
        <v>#REF!</v>
      </c>
      <c r="HU235" t="e">
        <f>AND(Sheet1!#REF!,"AAAAAHu93+Q=")</f>
        <v>#REF!</v>
      </c>
      <c r="HV235" t="e">
        <f>AND(Sheet1!#REF!,"AAAAAHu93+U=")</f>
        <v>#REF!</v>
      </c>
      <c r="HW235" t="e">
        <f>AND(Sheet1!#REF!,"AAAAAHu93+Y=")</f>
        <v>#REF!</v>
      </c>
      <c r="HX235">
        <f>IF(Sheet1!3166:3166,"AAAAAHu93+c=",0)</f>
        <v>0</v>
      </c>
      <c r="HY235" t="e">
        <f>AND(Sheet1!A3166,"AAAAAHu93+g=")</f>
        <v>#VALUE!</v>
      </c>
      <c r="HZ235" t="e">
        <f>AND(Sheet1!B3166,"AAAAAHu93+k=")</f>
        <v>#VALUE!</v>
      </c>
      <c r="IA235" t="e">
        <f>AND(Sheet1!C3166,"AAAAAHu93+o=")</f>
        <v>#VALUE!</v>
      </c>
      <c r="IB235" t="e">
        <f>AND(Sheet1!D3166,"AAAAAHu93+s=")</f>
        <v>#VALUE!</v>
      </c>
      <c r="IC235" t="e">
        <f>AND(Sheet1!E3166,"AAAAAHu93+w=")</f>
        <v>#VALUE!</v>
      </c>
      <c r="ID235" t="e">
        <f>AND(Sheet1!F3166,"AAAAAHu93+0=")</f>
        <v>#VALUE!</v>
      </c>
      <c r="IE235" t="e">
        <f>AND(Sheet1!G3166,"AAAAAHu93+4=")</f>
        <v>#VALUE!</v>
      </c>
      <c r="IF235" t="e">
        <f>AND(Sheet1!H3166,"AAAAAHu93+8=")</f>
        <v>#VALUE!</v>
      </c>
      <c r="IG235" t="e">
        <f>AND(Sheet1!I3166,"AAAAAHu93/A=")</f>
        <v>#VALUE!</v>
      </c>
      <c r="IH235" t="e">
        <f>AND(Sheet1!J3166,"AAAAAHu93/E=")</f>
        <v>#VALUE!</v>
      </c>
      <c r="II235" t="e">
        <f>AND(Sheet1!K3166,"AAAAAHu93/I=")</f>
        <v>#VALUE!</v>
      </c>
      <c r="IJ235" t="e">
        <f>AND(Sheet1!L3166,"AAAAAHu93/M=")</f>
        <v>#VALUE!</v>
      </c>
      <c r="IK235" t="e">
        <f>AND(Sheet1!M3166,"AAAAAHu93/Q=")</f>
        <v>#VALUE!</v>
      </c>
      <c r="IL235" t="e">
        <f>AND(Sheet1!N3166,"AAAAAHu93/U=")</f>
        <v>#VALUE!</v>
      </c>
      <c r="IM235" t="e">
        <f>AND(Sheet1!#REF!,"AAAAAHu93/Y=")</f>
        <v>#REF!</v>
      </c>
      <c r="IN235" t="e">
        <f>AND(Sheet1!#REF!,"AAAAAHu93/c=")</f>
        <v>#REF!</v>
      </c>
      <c r="IO235" t="e">
        <f>AND(Sheet1!#REF!,"AAAAAHu93/g=")</f>
        <v>#REF!</v>
      </c>
      <c r="IP235" t="e">
        <f>AND(Sheet1!#REF!,"AAAAAHu93/k=")</f>
        <v>#REF!</v>
      </c>
      <c r="IQ235">
        <f>IF(Sheet1!3167:3167,"AAAAAHu93/o=",0)</f>
        <v>0</v>
      </c>
      <c r="IR235" t="e">
        <f>AND(Sheet1!A3167,"AAAAAHu93/s=")</f>
        <v>#VALUE!</v>
      </c>
      <c r="IS235" t="e">
        <f>AND(Sheet1!B3167,"AAAAAHu93/w=")</f>
        <v>#VALUE!</v>
      </c>
      <c r="IT235" t="e">
        <f>AND(Sheet1!C3167,"AAAAAHu93/0=")</f>
        <v>#VALUE!</v>
      </c>
      <c r="IU235" t="e">
        <f>AND(Sheet1!D3167,"AAAAAHu93/4=")</f>
        <v>#VALUE!</v>
      </c>
      <c r="IV235" t="e">
        <f>AND(Sheet1!E3167,"AAAAAHu93/8=")</f>
        <v>#VALUE!</v>
      </c>
    </row>
    <row r="236" spans="1:256" x14ac:dyDescent="0.2">
      <c r="A236" t="e">
        <f>AND(Sheet1!F3167,"AAAAAH743wA=")</f>
        <v>#VALUE!</v>
      </c>
      <c r="B236" t="e">
        <f>AND(Sheet1!G3167,"AAAAAH743wE=")</f>
        <v>#VALUE!</v>
      </c>
      <c r="C236" t="e">
        <f>AND(Sheet1!H3167,"AAAAAH743wI=")</f>
        <v>#VALUE!</v>
      </c>
      <c r="D236" t="e">
        <f>AND(Sheet1!I3167,"AAAAAH743wM=")</f>
        <v>#VALUE!</v>
      </c>
      <c r="E236" t="e">
        <f>AND(Sheet1!J3167,"AAAAAH743wQ=")</f>
        <v>#VALUE!</v>
      </c>
      <c r="F236" t="e">
        <f>AND(Sheet1!K3167,"AAAAAH743wU=")</f>
        <v>#VALUE!</v>
      </c>
      <c r="G236" t="e">
        <f>AND(Sheet1!L3167,"AAAAAH743wY=")</f>
        <v>#VALUE!</v>
      </c>
      <c r="H236" t="e">
        <f>AND(Sheet1!M3167,"AAAAAH743wc=")</f>
        <v>#VALUE!</v>
      </c>
      <c r="I236" t="e">
        <f>AND(Sheet1!N3167,"AAAAAH743wg=")</f>
        <v>#VALUE!</v>
      </c>
      <c r="J236" t="e">
        <f>AND(Sheet1!#REF!,"AAAAAH743wk=")</f>
        <v>#REF!</v>
      </c>
      <c r="K236" t="e">
        <f>AND(Sheet1!#REF!,"AAAAAH743wo=")</f>
        <v>#REF!</v>
      </c>
      <c r="L236" t="e">
        <f>AND(Sheet1!#REF!,"AAAAAH743ws=")</f>
        <v>#REF!</v>
      </c>
      <c r="M236" t="e">
        <f>AND(Sheet1!#REF!,"AAAAAH743ww=")</f>
        <v>#REF!</v>
      </c>
      <c r="N236" t="e">
        <f>IF(Sheet1!3168:3168,"AAAAAH743w0=",0)</f>
        <v>#VALUE!</v>
      </c>
      <c r="O236" t="e">
        <f>AND(Sheet1!A3168,"AAAAAH743w4=")</f>
        <v>#VALUE!</v>
      </c>
      <c r="P236" t="e">
        <f>AND(Sheet1!B3168,"AAAAAH743w8=")</f>
        <v>#VALUE!</v>
      </c>
      <c r="Q236" t="e">
        <f>AND(Sheet1!C3168,"AAAAAH743xA=")</f>
        <v>#VALUE!</v>
      </c>
      <c r="R236" t="e">
        <f>AND(Sheet1!D3168,"AAAAAH743xE=")</f>
        <v>#VALUE!</v>
      </c>
      <c r="S236" t="e">
        <f>AND(Sheet1!E3168,"AAAAAH743xI=")</f>
        <v>#VALUE!</v>
      </c>
      <c r="T236" t="e">
        <f>AND(Sheet1!F3168,"AAAAAH743xM=")</f>
        <v>#VALUE!</v>
      </c>
      <c r="U236" t="e">
        <f>AND(Sheet1!G3168,"AAAAAH743xQ=")</f>
        <v>#VALUE!</v>
      </c>
      <c r="V236" t="e">
        <f>AND(Sheet1!H3168,"AAAAAH743xU=")</f>
        <v>#VALUE!</v>
      </c>
      <c r="W236" t="e">
        <f>AND(Sheet1!I3168,"AAAAAH743xY=")</f>
        <v>#VALUE!</v>
      </c>
      <c r="X236" t="e">
        <f>AND(Sheet1!J3168,"AAAAAH743xc=")</f>
        <v>#VALUE!</v>
      </c>
      <c r="Y236" t="e">
        <f>AND(Sheet1!K3168,"AAAAAH743xg=")</f>
        <v>#VALUE!</v>
      </c>
      <c r="Z236" t="e">
        <f>AND(Sheet1!L3168,"AAAAAH743xk=")</f>
        <v>#VALUE!</v>
      </c>
      <c r="AA236" t="e">
        <f>AND(Sheet1!M3168,"AAAAAH743xo=")</f>
        <v>#VALUE!</v>
      </c>
      <c r="AB236" t="e">
        <f>AND(Sheet1!N3168,"AAAAAH743xs=")</f>
        <v>#VALUE!</v>
      </c>
      <c r="AC236" t="e">
        <f>AND(Sheet1!#REF!,"AAAAAH743xw=")</f>
        <v>#REF!</v>
      </c>
      <c r="AD236" t="e">
        <f>AND(Sheet1!#REF!,"AAAAAH743x0=")</f>
        <v>#REF!</v>
      </c>
      <c r="AE236" t="e">
        <f>AND(Sheet1!#REF!,"AAAAAH743x4=")</f>
        <v>#REF!</v>
      </c>
      <c r="AF236" t="e">
        <f>AND(Sheet1!#REF!,"AAAAAH743x8=")</f>
        <v>#REF!</v>
      </c>
      <c r="AG236">
        <f>IF(Sheet1!3169:3169,"AAAAAH743yA=",0)</f>
        <v>0</v>
      </c>
      <c r="AH236" t="e">
        <f>AND(Sheet1!A3169,"AAAAAH743yE=")</f>
        <v>#VALUE!</v>
      </c>
      <c r="AI236" t="e">
        <f>AND(Sheet1!B3169,"AAAAAH743yI=")</f>
        <v>#VALUE!</v>
      </c>
      <c r="AJ236" t="e">
        <f>AND(Sheet1!C3169,"AAAAAH743yM=")</f>
        <v>#VALUE!</v>
      </c>
      <c r="AK236" t="e">
        <f>AND(Sheet1!D3169,"AAAAAH743yQ=")</f>
        <v>#VALUE!</v>
      </c>
      <c r="AL236" t="e">
        <f>AND(Sheet1!E3169,"AAAAAH743yU=")</f>
        <v>#VALUE!</v>
      </c>
      <c r="AM236" t="e">
        <f>AND(Sheet1!F3169,"AAAAAH743yY=")</f>
        <v>#VALUE!</v>
      </c>
      <c r="AN236" t="e">
        <f>AND(Sheet1!G3169,"AAAAAH743yc=")</f>
        <v>#VALUE!</v>
      </c>
      <c r="AO236" t="e">
        <f>AND(Sheet1!H3169,"AAAAAH743yg=")</f>
        <v>#VALUE!</v>
      </c>
      <c r="AP236" t="e">
        <f>AND(Sheet1!I3169,"AAAAAH743yk=")</f>
        <v>#VALUE!</v>
      </c>
      <c r="AQ236" t="e">
        <f>AND(Sheet1!J3169,"AAAAAH743yo=")</f>
        <v>#VALUE!</v>
      </c>
      <c r="AR236" t="e">
        <f>AND(Sheet1!K3169,"AAAAAH743ys=")</f>
        <v>#VALUE!</v>
      </c>
      <c r="AS236" t="e">
        <f>AND(Sheet1!L3169,"AAAAAH743yw=")</f>
        <v>#VALUE!</v>
      </c>
      <c r="AT236" t="e">
        <f>AND(Sheet1!M3169,"AAAAAH743y0=")</f>
        <v>#VALUE!</v>
      </c>
      <c r="AU236" t="e">
        <f>AND(Sheet1!N3169,"AAAAAH743y4=")</f>
        <v>#VALUE!</v>
      </c>
      <c r="AV236" t="e">
        <f>AND(Sheet1!#REF!,"AAAAAH743y8=")</f>
        <v>#REF!</v>
      </c>
      <c r="AW236" t="e">
        <f>AND(Sheet1!#REF!,"AAAAAH743zA=")</f>
        <v>#REF!</v>
      </c>
      <c r="AX236" t="e">
        <f>AND(Sheet1!#REF!,"AAAAAH743zE=")</f>
        <v>#REF!</v>
      </c>
      <c r="AY236" t="e">
        <f>AND(Sheet1!#REF!,"AAAAAH743zI=")</f>
        <v>#REF!</v>
      </c>
      <c r="AZ236">
        <f>IF(Sheet1!3170:3170,"AAAAAH743zM=",0)</f>
        <v>0</v>
      </c>
      <c r="BA236" t="e">
        <f>AND(Sheet1!A3170,"AAAAAH743zQ=")</f>
        <v>#VALUE!</v>
      </c>
      <c r="BB236" t="e">
        <f>AND(Sheet1!B3170,"AAAAAH743zU=")</f>
        <v>#VALUE!</v>
      </c>
      <c r="BC236" t="e">
        <f>AND(Sheet1!C3170,"AAAAAH743zY=")</f>
        <v>#VALUE!</v>
      </c>
      <c r="BD236" t="e">
        <f>AND(Sheet1!D3170,"AAAAAH743zc=")</f>
        <v>#VALUE!</v>
      </c>
      <c r="BE236" t="e">
        <f>AND(Sheet1!E3170,"AAAAAH743zg=")</f>
        <v>#VALUE!</v>
      </c>
      <c r="BF236" t="e">
        <f>AND(Sheet1!F3170,"AAAAAH743zk=")</f>
        <v>#VALUE!</v>
      </c>
      <c r="BG236" t="e">
        <f>AND(Sheet1!G3170,"AAAAAH743zo=")</f>
        <v>#VALUE!</v>
      </c>
      <c r="BH236" t="e">
        <f>AND(Sheet1!H3170,"AAAAAH743zs=")</f>
        <v>#VALUE!</v>
      </c>
      <c r="BI236" t="e">
        <f>AND(Sheet1!I3170,"AAAAAH743zw=")</f>
        <v>#VALUE!</v>
      </c>
      <c r="BJ236" t="e">
        <f>AND(Sheet1!J3170,"AAAAAH743z0=")</f>
        <v>#VALUE!</v>
      </c>
      <c r="BK236" t="e">
        <f>AND(Sheet1!K3170,"AAAAAH743z4=")</f>
        <v>#VALUE!</v>
      </c>
      <c r="BL236" t="e">
        <f>AND(Sheet1!L3170,"AAAAAH743z8=")</f>
        <v>#VALUE!</v>
      </c>
      <c r="BM236" t="e">
        <f>AND(Sheet1!M3170,"AAAAAH7430A=")</f>
        <v>#VALUE!</v>
      </c>
      <c r="BN236" t="e">
        <f>AND(Sheet1!N3170,"AAAAAH7430E=")</f>
        <v>#VALUE!</v>
      </c>
      <c r="BO236" t="e">
        <f>AND(Sheet1!#REF!,"AAAAAH7430I=")</f>
        <v>#REF!</v>
      </c>
      <c r="BP236" t="e">
        <f>AND(Sheet1!#REF!,"AAAAAH7430M=")</f>
        <v>#REF!</v>
      </c>
      <c r="BQ236" t="e">
        <f>AND(Sheet1!#REF!,"AAAAAH7430Q=")</f>
        <v>#REF!</v>
      </c>
      <c r="BR236" t="e">
        <f>AND(Sheet1!#REF!,"AAAAAH7430U=")</f>
        <v>#REF!</v>
      </c>
      <c r="BS236">
        <f>IF(Sheet1!3171:3171,"AAAAAH7430Y=",0)</f>
        <v>0</v>
      </c>
      <c r="BT236" t="e">
        <f>AND(Sheet1!A3171,"AAAAAH7430c=")</f>
        <v>#VALUE!</v>
      </c>
      <c r="BU236" t="e">
        <f>AND(Sheet1!B3171,"AAAAAH7430g=")</f>
        <v>#VALUE!</v>
      </c>
      <c r="BV236" t="e">
        <f>AND(Sheet1!C3171,"AAAAAH7430k=")</f>
        <v>#VALUE!</v>
      </c>
      <c r="BW236" t="e">
        <f>AND(Sheet1!D3171,"AAAAAH7430o=")</f>
        <v>#VALUE!</v>
      </c>
      <c r="BX236" t="e">
        <f>AND(Sheet1!E3171,"AAAAAH7430s=")</f>
        <v>#VALUE!</v>
      </c>
      <c r="BY236" t="e">
        <f>AND(Sheet1!F3171,"AAAAAH7430w=")</f>
        <v>#VALUE!</v>
      </c>
      <c r="BZ236" t="e">
        <f>AND(Sheet1!G3171,"AAAAAH74300=")</f>
        <v>#VALUE!</v>
      </c>
      <c r="CA236" t="e">
        <f>AND(Sheet1!H3171,"AAAAAH74304=")</f>
        <v>#VALUE!</v>
      </c>
      <c r="CB236" t="e">
        <f>AND(Sheet1!I3171,"AAAAAH74308=")</f>
        <v>#VALUE!</v>
      </c>
      <c r="CC236" t="e">
        <f>AND(Sheet1!J3171,"AAAAAH7431A=")</f>
        <v>#VALUE!</v>
      </c>
      <c r="CD236" t="e">
        <f>AND(Sheet1!K3171,"AAAAAH7431E=")</f>
        <v>#VALUE!</v>
      </c>
      <c r="CE236" t="e">
        <f>AND(Sheet1!L3171,"AAAAAH7431I=")</f>
        <v>#VALUE!</v>
      </c>
      <c r="CF236" t="e">
        <f>AND(Sheet1!M3171,"AAAAAH7431M=")</f>
        <v>#VALUE!</v>
      </c>
      <c r="CG236" t="e">
        <f>AND(Sheet1!N3171,"AAAAAH7431Q=")</f>
        <v>#VALUE!</v>
      </c>
      <c r="CH236" t="e">
        <f>AND(Sheet1!#REF!,"AAAAAH7431U=")</f>
        <v>#REF!</v>
      </c>
      <c r="CI236" t="e">
        <f>AND(Sheet1!#REF!,"AAAAAH7431Y=")</f>
        <v>#REF!</v>
      </c>
      <c r="CJ236" t="e">
        <f>AND(Sheet1!#REF!,"AAAAAH7431c=")</f>
        <v>#REF!</v>
      </c>
      <c r="CK236" t="e">
        <f>AND(Sheet1!#REF!,"AAAAAH7431g=")</f>
        <v>#REF!</v>
      </c>
      <c r="CL236">
        <f>IF(Sheet1!3172:3172,"AAAAAH7431k=",0)</f>
        <v>0</v>
      </c>
      <c r="CM236" t="e">
        <f>AND(Sheet1!A3172,"AAAAAH7431o=")</f>
        <v>#VALUE!</v>
      </c>
      <c r="CN236" t="e">
        <f>AND(Sheet1!B3172,"AAAAAH7431s=")</f>
        <v>#VALUE!</v>
      </c>
      <c r="CO236" t="e">
        <f>AND(Sheet1!C3172,"AAAAAH7431w=")</f>
        <v>#VALUE!</v>
      </c>
      <c r="CP236" t="e">
        <f>AND(Sheet1!D3172,"AAAAAH74310=")</f>
        <v>#VALUE!</v>
      </c>
      <c r="CQ236" t="e">
        <f>AND(Sheet1!E3172,"AAAAAH74314=")</f>
        <v>#VALUE!</v>
      </c>
      <c r="CR236" t="e">
        <f>AND(Sheet1!F3172,"AAAAAH74318=")</f>
        <v>#VALUE!</v>
      </c>
      <c r="CS236" t="e">
        <f>AND(Sheet1!G3172,"AAAAAH7432A=")</f>
        <v>#VALUE!</v>
      </c>
      <c r="CT236" t="e">
        <f>AND(Sheet1!H3172,"AAAAAH7432E=")</f>
        <v>#VALUE!</v>
      </c>
      <c r="CU236" t="e">
        <f>AND(Sheet1!I3172,"AAAAAH7432I=")</f>
        <v>#VALUE!</v>
      </c>
      <c r="CV236" t="e">
        <f>AND(Sheet1!J3172,"AAAAAH7432M=")</f>
        <v>#VALUE!</v>
      </c>
      <c r="CW236" t="e">
        <f>AND(Sheet1!K3172,"AAAAAH7432Q=")</f>
        <v>#VALUE!</v>
      </c>
      <c r="CX236" t="e">
        <f>AND(Sheet1!L3172,"AAAAAH7432U=")</f>
        <v>#VALUE!</v>
      </c>
      <c r="CY236" t="e">
        <f>AND(Sheet1!M3172,"AAAAAH7432Y=")</f>
        <v>#VALUE!</v>
      </c>
      <c r="CZ236" t="e">
        <f>AND(Sheet1!N3172,"AAAAAH7432c=")</f>
        <v>#VALUE!</v>
      </c>
      <c r="DA236" t="e">
        <f>AND(Sheet1!#REF!,"AAAAAH7432g=")</f>
        <v>#REF!</v>
      </c>
      <c r="DB236" t="e">
        <f>AND(Sheet1!#REF!,"AAAAAH7432k=")</f>
        <v>#REF!</v>
      </c>
      <c r="DC236" t="e">
        <f>AND(Sheet1!#REF!,"AAAAAH7432o=")</f>
        <v>#REF!</v>
      </c>
      <c r="DD236" t="e">
        <f>AND(Sheet1!#REF!,"AAAAAH7432s=")</f>
        <v>#REF!</v>
      </c>
      <c r="DE236">
        <f>IF(Sheet1!3173:3173,"AAAAAH7432w=",0)</f>
        <v>0</v>
      </c>
      <c r="DF236" t="e">
        <f>AND(Sheet1!A3173,"AAAAAH74320=")</f>
        <v>#VALUE!</v>
      </c>
      <c r="DG236" t="e">
        <f>AND(Sheet1!B3173,"AAAAAH74324=")</f>
        <v>#VALUE!</v>
      </c>
      <c r="DH236" t="e">
        <f>AND(Sheet1!C3173,"AAAAAH74328=")</f>
        <v>#VALUE!</v>
      </c>
      <c r="DI236" t="e">
        <f>AND(Sheet1!D3173,"AAAAAH7433A=")</f>
        <v>#VALUE!</v>
      </c>
      <c r="DJ236" t="e">
        <f>AND(Sheet1!E3173,"AAAAAH7433E=")</f>
        <v>#VALUE!</v>
      </c>
      <c r="DK236" t="e">
        <f>AND(Sheet1!F3173,"AAAAAH7433I=")</f>
        <v>#VALUE!</v>
      </c>
      <c r="DL236" t="e">
        <f>AND(Sheet1!G3173,"AAAAAH7433M=")</f>
        <v>#VALUE!</v>
      </c>
      <c r="DM236" t="e">
        <f>AND(Sheet1!H3173,"AAAAAH7433Q=")</f>
        <v>#VALUE!</v>
      </c>
      <c r="DN236" t="e">
        <f>AND(Sheet1!I3173,"AAAAAH7433U=")</f>
        <v>#VALUE!</v>
      </c>
      <c r="DO236" t="e">
        <f>AND(Sheet1!J3173,"AAAAAH7433Y=")</f>
        <v>#VALUE!</v>
      </c>
      <c r="DP236" t="e">
        <f>AND(Sheet1!K3173,"AAAAAH7433c=")</f>
        <v>#VALUE!</v>
      </c>
      <c r="DQ236" t="e">
        <f>AND(Sheet1!L3173,"AAAAAH7433g=")</f>
        <v>#VALUE!</v>
      </c>
      <c r="DR236" t="e">
        <f>AND(Sheet1!M3173,"AAAAAH7433k=")</f>
        <v>#VALUE!</v>
      </c>
      <c r="DS236" t="e">
        <f>AND(Sheet1!N3173,"AAAAAH7433o=")</f>
        <v>#VALUE!</v>
      </c>
      <c r="DT236" t="e">
        <f>AND(Sheet1!#REF!,"AAAAAH7433s=")</f>
        <v>#REF!</v>
      </c>
      <c r="DU236" t="e">
        <f>AND(Sheet1!#REF!,"AAAAAH7433w=")</f>
        <v>#REF!</v>
      </c>
      <c r="DV236" t="e">
        <f>AND(Sheet1!#REF!,"AAAAAH74330=")</f>
        <v>#REF!</v>
      </c>
      <c r="DW236" t="e">
        <f>AND(Sheet1!#REF!,"AAAAAH74334=")</f>
        <v>#REF!</v>
      </c>
      <c r="DX236">
        <f>IF(Sheet1!3174:3174,"AAAAAH74338=",0)</f>
        <v>0</v>
      </c>
      <c r="DY236" t="e">
        <f>AND(Sheet1!A3174,"AAAAAH7434A=")</f>
        <v>#VALUE!</v>
      </c>
      <c r="DZ236" t="e">
        <f>AND(Sheet1!B3174,"AAAAAH7434E=")</f>
        <v>#VALUE!</v>
      </c>
      <c r="EA236" t="e">
        <f>AND(Sheet1!C3174,"AAAAAH7434I=")</f>
        <v>#VALUE!</v>
      </c>
      <c r="EB236" t="e">
        <f>AND(Sheet1!D3174,"AAAAAH7434M=")</f>
        <v>#VALUE!</v>
      </c>
      <c r="EC236" t="e">
        <f>AND(Sheet1!E3174,"AAAAAH7434Q=")</f>
        <v>#VALUE!</v>
      </c>
      <c r="ED236" t="e">
        <f>AND(Sheet1!F3174,"AAAAAH7434U=")</f>
        <v>#VALUE!</v>
      </c>
      <c r="EE236" t="e">
        <f>AND(Sheet1!G3174,"AAAAAH7434Y=")</f>
        <v>#VALUE!</v>
      </c>
      <c r="EF236" t="e">
        <f>AND(Sheet1!H3174,"AAAAAH7434c=")</f>
        <v>#VALUE!</v>
      </c>
      <c r="EG236" t="e">
        <f>AND(Sheet1!I3174,"AAAAAH7434g=")</f>
        <v>#VALUE!</v>
      </c>
      <c r="EH236" t="e">
        <f>AND(Sheet1!J3174,"AAAAAH7434k=")</f>
        <v>#VALUE!</v>
      </c>
      <c r="EI236" t="e">
        <f>AND(Sheet1!K3174,"AAAAAH7434o=")</f>
        <v>#VALUE!</v>
      </c>
      <c r="EJ236" t="e">
        <f>AND(Sheet1!L3174,"AAAAAH7434s=")</f>
        <v>#VALUE!</v>
      </c>
      <c r="EK236" t="e">
        <f>AND(Sheet1!M3174,"AAAAAH7434w=")</f>
        <v>#VALUE!</v>
      </c>
      <c r="EL236" t="e">
        <f>AND(Sheet1!N3174,"AAAAAH74340=")</f>
        <v>#VALUE!</v>
      </c>
      <c r="EM236" t="e">
        <f>AND(Sheet1!#REF!,"AAAAAH74344=")</f>
        <v>#REF!</v>
      </c>
      <c r="EN236" t="e">
        <f>AND(Sheet1!#REF!,"AAAAAH74348=")</f>
        <v>#REF!</v>
      </c>
      <c r="EO236" t="e">
        <f>AND(Sheet1!#REF!,"AAAAAH7435A=")</f>
        <v>#REF!</v>
      </c>
      <c r="EP236" t="e">
        <f>AND(Sheet1!#REF!,"AAAAAH7435E=")</f>
        <v>#REF!</v>
      </c>
      <c r="EQ236">
        <f>IF(Sheet1!3175:3175,"AAAAAH7435I=",0)</f>
        <v>0</v>
      </c>
      <c r="ER236" t="e">
        <f>AND(Sheet1!A3175,"AAAAAH7435M=")</f>
        <v>#VALUE!</v>
      </c>
      <c r="ES236" t="e">
        <f>AND(Sheet1!B3175,"AAAAAH7435Q=")</f>
        <v>#VALUE!</v>
      </c>
      <c r="ET236" t="e">
        <f>AND(Sheet1!C3175,"AAAAAH7435U=")</f>
        <v>#VALUE!</v>
      </c>
      <c r="EU236" t="e">
        <f>AND(Sheet1!D3175,"AAAAAH7435Y=")</f>
        <v>#VALUE!</v>
      </c>
      <c r="EV236" t="e">
        <f>AND(Sheet1!E3175,"AAAAAH7435c=")</f>
        <v>#VALUE!</v>
      </c>
      <c r="EW236" t="e">
        <f>AND(Sheet1!F3175,"AAAAAH7435g=")</f>
        <v>#VALUE!</v>
      </c>
      <c r="EX236" t="e">
        <f>AND(Sheet1!G3175,"AAAAAH7435k=")</f>
        <v>#VALUE!</v>
      </c>
      <c r="EY236" t="e">
        <f>AND(Sheet1!H3175,"AAAAAH7435o=")</f>
        <v>#VALUE!</v>
      </c>
      <c r="EZ236" t="e">
        <f>AND(Sheet1!I3175,"AAAAAH7435s=")</f>
        <v>#VALUE!</v>
      </c>
      <c r="FA236" t="e">
        <f>AND(Sheet1!J3175,"AAAAAH7435w=")</f>
        <v>#VALUE!</v>
      </c>
      <c r="FB236" t="e">
        <f>AND(Sheet1!K3175,"AAAAAH74350=")</f>
        <v>#VALUE!</v>
      </c>
      <c r="FC236" t="e">
        <f>AND(Sheet1!L3175,"AAAAAH74354=")</f>
        <v>#VALUE!</v>
      </c>
      <c r="FD236" t="e">
        <f>AND(Sheet1!M3175,"AAAAAH74358=")</f>
        <v>#VALUE!</v>
      </c>
      <c r="FE236" t="e">
        <f>AND(Sheet1!N3175,"AAAAAH7436A=")</f>
        <v>#VALUE!</v>
      </c>
      <c r="FF236" t="e">
        <f>AND(Sheet1!#REF!,"AAAAAH7436E=")</f>
        <v>#REF!</v>
      </c>
      <c r="FG236" t="e">
        <f>AND(Sheet1!#REF!,"AAAAAH7436I=")</f>
        <v>#REF!</v>
      </c>
      <c r="FH236" t="e">
        <f>AND(Sheet1!#REF!,"AAAAAH7436M=")</f>
        <v>#REF!</v>
      </c>
      <c r="FI236" t="e">
        <f>AND(Sheet1!#REF!,"AAAAAH7436Q=")</f>
        <v>#REF!</v>
      </c>
      <c r="FJ236">
        <f>IF(Sheet1!3176:3176,"AAAAAH7436U=",0)</f>
        <v>0</v>
      </c>
      <c r="FK236" t="e">
        <f>AND(Sheet1!A3176,"AAAAAH7436Y=")</f>
        <v>#VALUE!</v>
      </c>
      <c r="FL236" t="e">
        <f>AND(Sheet1!B3176,"AAAAAH7436c=")</f>
        <v>#VALUE!</v>
      </c>
      <c r="FM236" t="e">
        <f>AND(Sheet1!C3176,"AAAAAH7436g=")</f>
        <v>#VALUE!</v>
      </c>
      <c r="FN236" t="e">
        <f>AND(Sheet1!D3176,"AAAAAH7436k=")</f>
        <v>#VALUE!</v>
      </c>
      <c r="FO236" t="e">
        <f>AND(Sheet1!E3176,"AAAAAH7436o=")</f>
        <v>#VALUE!</v>
      </c>
      <c r="FP236" t="e">
        <f>AND(Sheet1!F3176,"AAAAAH7436s=")</f>
        <v>#VALUE!</v>
      </c>
      <c r="FQ236" t="e">
        <f>AND(Sheet1!G3176,"AAAAAH7436w=")</f>
        <v>#VALUE!</v>
      </c>
      <c r="FR236" t="e">
        <f>AND(Sheet1!H3176,"AAAAAH74360=")</f>
        <v>#VALUE!</v>
      </c>
      <c r="FS236" t="e">
        <f>AND(Sheet1!I3176,"AAAAAH74364=")</f>
        <v>#VALUE!</v>
      </c>
      <c r="FT236" t="e">
        <f>AND(Sheet1!J3176,"AAAAAH74368=")</f>
        <v>#VALUE!</v>
      </c>
      <c r="FU236" t="e">
        <f>AND(Sheet1!K3176,"AAAAAH7437A=")</f>
        <v>#VALUE!</v>
      </c>
      <c r="FV236" t="e">
        <f>AND(Sheet1!L3176,"AAAAAH7437E=")</f>
        <v>#VALUE!</v>
      </c>
      <c r="FW236" t="e">
        <f>AND(Sheet1!M3176,"AAAAAH7437I=")</f>
        <v>#VALUE!</v>
      </c>
      <c r="FX236" t="e">
        <f>AND(Sheet1!N3176,"AAAAAH7437M=")</f>
        <v>#VALUE!</v>
      </c>
      <c r="FY236" t="e">
        <f>AND(Sheet1!#REF!,"AAAAAH7437Q=")</f>
        <v>#REF!</v>
      </c>
      <c r="FZ236" t="e">
        <f>AND(Sheet1!#REF!,"AAAAAH7437U=")</f>
        <v>#REF!</v>
      </c>
      <c r="GA236" t="e">
        <f>AND(Sheet1!#REF!,"AAAAAH7437Y=")</f>
        <v>#REF!</v>
      </c>
      <c r="GB236" t="e">
        <f>AND(Sheet1!#REF!,"AAAAAH7437c=")</f>
        <v>#REF!</v>
      </c>
      <c r="GC236">
        <f>IF(Sheet1!3177:3177,"AAAAAH7437g=",0)</f>
        <v>0</v>
      </c>
      <c r="GD236" t="e">
        <f>AND(Sheet1!A3177,"AAAAAH7437k=")</f>
        <v>#VALUE!</v>
      </c>
      <c r="GE236" t="e">
        <f>AND(Sheet1!B3177,"AAAAAH7437o=")</f>
        <v>#VALUE!</v>
      </c>
      <c r="GF236" t="e">
        <f>AND(Sheet1!C3177,"AAAAAH7437s=")</f>
        <v>#VALUE!</v>
      </c>
      <c r="GG236" t="e">
        <f>AND(Sheet1!D3177,"AAAAAH7437w=")</f>
        <v>#VALUE!</v>
      </c>
      <c r="GH236" t="e">
        <f>AND(Sheet1!E3177,"AAAAAH74370=")</f>
        <v>#VALUE!</v>
      </c>
      <c r="GI236" t="e">
        <f>AND(Sheet1!F3177,"AAAAAH74374=")</f>
        <v>#VALUE!</v>
      </c>
      <c r="GJ236" t="e">
        <f>AND(Sheet1!G3177,"AAAAAH74378=")</f>
        <v>#VALUE!</v>
      </c>
      <c r="GK236" t="e">
        <f>AND(Sheet1!H3177,"AAAAAH7438A=")</f>
        <v>#VALUE!</v>
      </c>
      <c r="GL236" t="e">
        <f>AND(Sheet1!I3177,"AAAAAH7438E=")</f>
        <v>#VALUE!</v>
      </c>
      <c r="GM236" t="e">
        <f>AND(Sheet1!J3177,"AAAAAH7438I=")</f>
        <v>#VALUE!</v>
      </c>
      <c r="GN236" t="e">
        <f>AND(Sheet1!K3177,"AAAAAH7438M=")</f>
        <v>#VALUE!</v>
      </c>
      <c r="GO236" t="e">
        <f>AND(Sheet1!L3177,"AAAAAH7438Q=")</f>
        <v>#VALUE!</v>
      </c>
      <c r="GP236" t="e">
        <f>AND(Sheet1!M3177,"AAAAAH7438U=")</f>
        <v>#VALUE!</v>
      </c>
      <c r="GQ236" t="e">
        <f>AND(Sheet1!N3177,"AAAAAH7438Y=")</f>
        <v>#VALUE!</v>
      </c>
      <c r="GR236" t="e">
        <f>AND(Sheet1!#REF!,"AAAAAH7438c=")</f>
        <v>#REF!</v>
      </c>
      <c r="GS236" t="e">
        <f>AND(Sheet1!#REF!,"AAAAAH7438g=")</f>
        <v>#REF!</v>
      </c>
      <c r="GT236" t="e">
        <f>AND(Sheet1!#REF!,"AAAAAH7438k=")</f>
        <v>#REF!</v>
      </c>
      <c r="GU236" t="e">
        <f>AND(Sheet1!#REF!,"AAAAAH7438o=")</f>
        <v>#REF!</v>
      </c>
      <c r="GV236">
        <f>IF(Sheet1!3178:3178,"AAAAAH7438s=",0)</f>
        <v>0</v>
      </c>
      <c r="GW236" t="e">
        <f>AND(Sheet1!A3178,"AAAAAH7438w=")</f>
        <v>#VALUE!</v>
      </c>
      <c r="GX236" t="e">
        <f>AND(Sheet1!B3178,"AAAAAH74380=")</f>
        <v>#VALUE!</v>
      </c>
      <c r="GY236" t="e">
        <f>AND(Sheet1!C3178,"AAAAAH74384=")</f>
        <v>#VALUE!</v>
      </c>
      <c r="GZ236" t="e">
        <f>AND(Sheet1!D3178,"AAAAAH74388=")</f>
        <v>#VALUE!</v>
      </c>
      <c r="HA236" t="e">
        <f>AND(Sheet1!E3178,"AAAAAH7439A=")</f>
        <v>#VALUE!</v>
      </c>
      <c r="HB236" t="e">
        <f>AND(Sheet1!F3178,"AAAAAH7439E=")</f>
        <v>#VALUE!</v>
      </c>
      <c r="HC236" t="e">
        <f>AND(Sheet1!G3178,"AAAAAH7439I=")</f>
        <v>#VALUE!</v>
      </c>
      <c r="HD236" t="e">
        <f>AND(Sheet1!H3178,"AAAAAH7439M=")</f>
        <v>#VALUE!</v>
      </c>
      <c r="HE236" t="e">
        <f>AND(Sheet1!I3178,"AAAAAH7439Q=")</f>
        <v>#VALUE!</v>
      </c>
      <c r="HF236" t="e">
        <f>AND(Sheet1!J3178,"AAAAAH7439U=")</f>
        <v>#VALUE!</v>
      </c>
      <c r="HG236" t="e">
        <f>AND(Sheet1!K3178,"AAAAAH7439Y=")</f>
        <v>#VALUE!</v>
      </c>
      <c r="HH236" t="e">
        <f>AND(Sheet1!L3178,"AAAAAH7439c=")</f>
        <v>#VALUE!</v>
      </c>
      <c r="HI236" t="e">
        <f>AND(Sheet1!M3178,"AAAAAH7439g=")</f>
        <v>#VALUE!</v>
      </c>
      <c r="HJ236" t="e">
        <f>AND(Sheet1!N3178,"AAAAAH7439k=")</f>
        <v>#VALUE!</v>
      </c>
      <c r="HK236" t="e">
        <f>AND(Sheet1!#REF!,"AAAAAH7439o=")</f>
        <v>#REF!</v>
      </c>
      <c r="HL236" t="e">
        <f>AND(Sheet1!#REF!,"AAAAAH7439s=")</f>
        <v>#REF!</v>
      </c>
      <c r="HM236" t="e">
        <f>AND(Sheet1!#REF!,"AAAAAH7439w=")</f>
        <v>#REF!</v>
      </c>
      <c r="HN236" t="e">
        <f>AND(Sheet1!#REF!,"AAAAAH74390=")</f>
        <v>#REF!</v>
      </c>
      <c r="HO236">
        <f>IF(Sheet1!3179:3179,"AAAAAH74394=",0)</f>
        <v>0</v>
      </c>
      <c r="HP236" t="e">
        <f>AND(Sheet1!A3179,"AAAAAH74398=")</f>
        <v>#VALUE!</v>
      </c>
      <c r="HQ236" t="e">
        <f>AND(Sheet1!B3179,"AAAAAH743+A=")</f>
        <v>#VALUE!</v>
      </c>
      <c r="HR236" t="e">
        <f>AND(Sheet1!C3179,"AAAAAH743+E=")</f>
        <v>#VALUE!</v>
      </c>
      <c r="HS236" t="e">
        <f>AND(Sheet1!D3179,"AAAAAH743+I=")</f>
        <v>#VALUE!</v>
      </c>
      <c r="HT236" t="e">
        <f>AND(Sheet1!E3179,"AAAAAH743+M=")</f>
        <v>#VALUE!</v>
      </c>
      <c r="HU236" t="e">
        <f>AND(Sheet1!F3179,"AAAAAH743+Q=")</f>
        <v>#VALUE!</v>
      </c>
      <c r="HV236" t="e">
        <f>AND(Sheet1!G3179,"AAAAAH743+U=")</f>
        <v>#VALUE!</v>
      </c>
      <c r="HW236" t="e">
        <f>AND(Sheet1!H3179,"AAAAAH743+Y=")</f>
        <v>#VALUE!</v>
      </c>
      <c r="HX236" t="e">
        <f>AND(Sheet1!I3179,"AAAAAH743+c=")</f>
        <v>#VALUE!</v>
      </c>
      <c r="HY236" t="e">
        <f>AND(Sheet1!J3179,"AAAAAH743+g=")</f>
        <v>#VALUE!</v>
      </c>
      <c r="HZ236" t="e">
        <f>AND(Sheet1!K3179,"AAAAAH743+k=")</f>
        <v>#VALUE!</v>
      </c>
      <c r="IA236" t="e">
        <f>AND(Sheet1!L3179,"AAAAAH743+o=")</f>
        <v>#VALUE!</v>
      </c>
      <c r="IB236" t="e">
        <f>AND(Sheet1!M3179,"AAAAAH743+s=")</f>
        <v>#VALUE!</v>
      </c>
      <c r="IC236" t="e">
        <f>AND(Sheet1!N3179,"AAAAAH743+w=")</f>
        <v>#VALUE!</v>
      </c>
      <c r="ID236" t="e">
        <f>AND(Sheet1!#REF!,"AAAAAH743+0=")</f>
        <v>#REF!</v>
      </c>
      <c r="IE236" t="e">
        <f>AND(Sheet1!#REF!,"AAAAAH743+4=")</f>
        <v>#REF!</v>
      </c>
      <c r="IF236" t="e">
        <f>AND(Sheet1!#REF!,"AAAAAH743+8=")</f>
        <v>#REF!</v>
      </c>
      <c r="IG236" t="e">
        <f>AND(Sheet1!#REF!,"AAAAAH743/A=")</f>
        <v>#REF!</v>
      </c>
      <c r="IH236">
        <f>IF(Sheet1!3180:3180,"AAAAAH743/E=",0)</f>
        <v>0</v>
      </c>
      <c r="II236" t="e">
        <f>AND(Sheet1!A3180,"AAAAAH743/I=")</f>
        <v>#VALUE!</v>
      </c>
      <c r="IJ236" t="e">
        <f>AND(Sheet1!B3180,"AAAAAH743/M=")</f>
        <v>#VALUE!</v>
      </c>
      <c r="IK236" t="e">
        <f>AND(Sheet1!C3180,"AAAAAH743/Q=")</f>
        <v>#VALUE!</v>
      </c>
      <c r="IL236" t="e">
        <f>AND(Sheet1!D3180,"AAAAAH743/U=")</f>
        <v>#VALUE!</v>
      </c>
      <c r="IM236" t="e">
        <f>AND(Sheet1!E3180,"AAAAAH743/Y=")</f>
        <v>#VALUE!</v>
      </c>
      <c r="IN236" t="e">
        <f>AND(Sheet1!F3180,"AAAAAH743/c=")</f>
        <v>#VALUE!</v>
      </c>
      <c r="IO236" t="e">
        <f>AND(Sheet1!G3180,"AAAAAH743/g=")</f>
        <v>#VALUE!</v>
      </c>
      <c r="IP236" t="e">
        <f>AND(Sheet1!H3180,"AAAAAH743/k=")</f>
        <v>#VALUE!</v>
      </c>
      <c r="IQ236" t="e">
        <f>AND(Sheet1!I3180,"AAAAAH743/o=")</f>
        <v>#VALUE!</v>
      </c>
      <c r="IR236" t="e">
        <f>AND(Sheet1!J3180,"AAAAAH743/s=")</f>
        <v>#VALUE!</v>
      </c>
      <c r="IS236" t="e">
        <f>AND(Sheet1!K3180,"AAAAAH743/w=")</f>
        <v>#VALUE!</v>
      </c>
      <c r="IT236" t="e">
        <f>AND(Sheet1!L3180,"AAAAAH743/0=")</f>
        <v>#VALUE!</v>
      </c>
      <c r="IU236" t="e">
        <f>AND(Sheet1!M3180,"AAAAAH743/4=")</f>
        <v>#VALUE!</v>
      </c>
      <c r="IV236" t="e">
        <f>AND(Sheet1!N3180,"AAAAAH743/8=")</f>
        <v>#VALUE!</v>
      </c>
    </row>
    <row r="237" spans="1:256" x14ac:dyDescent="0.2">
      <c r="A237" t="e">
        <f>AND(Sheet1!#REF!,"AAAAAF7x/QA=")</f>
        <v>#REF!</v>
      </c>
      <c r="B237" t="e">
        <f>AND(Sheet1!#REF!,"AAAAAF7x/QE=")</f>
        <v>#REF!</v>
      </c>
      <c r="C237" t="e">
        <f>AND(Sheet1!#REF!,"AAAAAF7x/QI=")</f>
        <v>#REF!</v>
      </c>
      <c r="D237" t="e">
        <f>AND(Sheet1!#REF!,"AAAAAF7x/QM=")</f>
        <v>#REF!</v>
      </c>
      <c r="E237" t="e">
        <f>IF(Sheet1!3181:3181,"AAAAAF7x/QQ=",0)</f>
        <v>#VALUE!</v>
      </c>
      <c r="F237" t="e">
        <f>AND(Sheet1!A3181,"AAAAAF7x/QU=")</f>
        <v>#VALUE!</v>
      </c>
      <c r="G237" t="e">
        <f>AND(Sheet1!B3181,"AAAAAF7x/QY=")</f>
        <v>#VALUE!</v>
      </c>
      <c r="H237" t="e">
        <f>AND(Sheet1!C3181,"AAAAAF7x/Qc=")</f>
        <v>#VALUE!</v>
      </c>
      <c r="I237" t="e">
        <f>AND(Sheet1!D3181,"AAAAAF7x/Qg=")</f>
        <v>#VALUE!</v>
      </c>
      <c r="J237" t="e">
        <f>AND(Sheet1!E3181,"AAAAAF7x/Qk=")</f>
        <v>#VALUE!</v>
      </c>
      <c r="K237" t="e">
        <f>AND(Sheet1!F3181,"AAAAAF7x/Qo=")</f>
        <v>#VALUE!</v>
      </c>
      <c r="L237" t="e">
        <f>AND(Sheet1!G3181,"AAAAAF7x/Qs=")</f>
        <v>#VALUE!</v>
      </c>
      <c r="M237" t="e">
        <f>AND(Sheet1!H3181,"AAAAAF7x/Qw=")</f>
        <v>#VALUE!</v>
      </c>
      <c r="N237" t="e">
        <f>AND(Sheet1!I3181,"AAAAAF7x/Q0=")</f>
        <v>#VALUE!</v>
      </c>
      <c r="O237" t="e">
        <f>AND(Sheet1!J3181,"AAAAAF7x/Q4=")</f>
        <v>#VALUE!</v>
      </c>
      <c r="P237" t="e">
        <f>AND(Sheet1!K3181,"AAAAAF7x/Q8=")</f>
        <v>#VALUE!</v>
      </c>
      <c r="Q237" t="e">
        <f>AND(Sheet1!L3181,"AAAAAF7x/RA=")</f>
        <v>#VALUE!</v>
      </c>
      <c r="R237" t="e">
        <f>AND(Sheet1!M3181,"AAAAAF7x/RE=")</f>
        <v>#VALUE!</v>
      </c>
      <c r="S237" t="e">
        <f>AND(Sheet1!N3181,"AAAAAF7x/RI=")</f>
        <v>#VALUE!</v>
      </c>
      <c r="T237" t="e">
        <f>AND(Sheet1!#REF!,"AAAAAF7x/RM=")</f>
        <v>#REF!</v>
      </c>
      <c r="U237" t="e">
        <f>AND(Sheet1!#REF!,"AAAAAF7x/RQ=")</f>
        <v>#REF!</v>
      </c>
      <c r="V237" t="e">
        <f>AND(Sheet1!#REF!,"AAAAAF7x/RU=")</f>
        <v>#REF!</v>
      </c>
      <c r="W237" t="e">
        <f>AND(Sheet1!#REF!,"AAAAAF7x/RY=")</f>
        <v>#REF!</v>
      </c>
      <c r="X237">
        <f>IF(Sheet1!3182:3182,"AAAAAF7x/Rc=",0)</f>
        <v>0</v>
      </c>
      <c r="Y237" t="e">
        <f>AND(Sheet1!A3182,"AAAAAF7x/Rg=")</f>
        <v>#VALUE!</v>
      </c>
      <c r="Z237" t="e">
        <f>AND(Sheet1!B3182,"AAAAAF7x/Rk=")</f>
        <v>#VALUE!</v>
      </c>
      <c r="AA237" t="e">
        <f>AND(Sheet1!C3182,"AAAAAF7x/Ro=")</f>
        <v>#VALUE!</v>
      </c>
      <c r="AB237" t="e">
        <f>AND(Sheet1!D3182,"AAAAAF7x/Rs=")</f>
        <v>#VALUE!</v>
      </c>
      <c r="AC237" t="e">
        <f>AND(Sheet1!E3182,"AAAAAF7x/Rw=")</f>
        <v>#VALUE!</v>
      </c>
      <c r="AD237" t="e">
        <f>AND(Sheet1!F3182,"AAAAAF7x/R0=")</f>
        <v>#VALUE!</v>
      </c>
      <c r="AE237" t="e">
        <f>AND(Sheet1!G3182,"AAAAAF7x/R4=")</f>
        <v>#VALUE!</v>
      </c>
      <c r="AF237" t="e">
        <f>AND(Sheet1!H3182,"AAAAAF7x/R8=")</f>
        <v>#VALUE!</v>
      </c>
      <c r="AG237" t="e">
        <f>AND(Sheet1!I3182,"AAAAAF7x/SA=")</f>
        <v>#VALUE!</v>
      </c>
      <c r="AH237" t="e">
        <f>AND(Sheet1!J3182,"AAAAAF7x/SE=")</f>
        <v>#VALUE!</v>
      </c>
      <c r="AI237" t="e">
        <f>AND(Sheet1!K3182,"AAAAAF7x/SI=")</f>
        <v>#VALUE!</v>
      </c>
      <c r="AJ237" t="e">
        <f>AND(Sheet1!L3182,"AAAAAF7x/SM=")</f>
        <v>#VALUE!</v>
      </c>
      <c r="AK237" t="e">
        <f>AND(Sheet1!M3182,"AAAAAF7x/SQ=")</f>
        <v>#VALUE!</v>
      </c>
      <c r="AL237" t="e">
        <f>AND(Sheet1!N3182,"AAAAAF7x/SU=")</f>
        <v>#VALUE!</v>
      </c>
      <c r="AM237" t="e">
        <f>AND(Sheet1!#REF!,"AAAAAF7x/SY=")</f>
        <v>#REF!</v>
      </c>
      <c r="AN237" t="e">
        <f>AND(Sheet1!#REF!,"AAAAAF7x/Sc=")</f>
        <v>#REF!</v>
      </c>
      <c r="AO237" t="e">
        <f>AND(Sheet1!#REF!,"AAAAAF7x/Sg=")</f>
        <v>#REF!</v>
      </c>
      <c r="AP237" t="e">
        <f>AND(Sheet1!#REF!,"AAAAAF7x/Sk=")</f>
        <v>#REF!</v>
      </c>
      <c r="AQ237">
        <f>IF(Sheet1!3183:3183,"AAAAAF7x/So=",0)</f>
        <v>0</v>
      </c>
      <c r="AR237" t="e">
        <f>AND(Sheet1!A3183,"AAAAAF7x/Ss=")</f>
        <v>#VALUE!</v>
      </c>
      <c r="AS237" t="e">
        <f>AND(Sheet1!B3183,"AAAAAF7x/Sw=")</f>
        <v>#VALUE!</v>
      </c>
      <c r="AT237" t="e">
        <f>AND(Sheet1!C3183,"AAAAAF7x/S0=")</f>
        <v>#VALUE!</v>
      </c>
      <c r="AU237" t="e">
        <f>AND(Sheet1!D3183,"AAAAAF7x/S4=")</f>
        <v>#VALUE!</v>
      </c>
      <c r="AV237" t="e">
        <f>AND(Sheet1!E3183,"AAAAAF7x/S8=")</f>
        <v>#VALUE!</v>
      </c>
      <c r="AW237" t="e">
        <f>AND(Sheet1!F3183,"AAAAAF7x/TA=")</f>
        <v>#VALUE!</v>
      </c>
      <c r="AX237" t="e">
        <f>AND(Sheet1!G3183,"AAAAAF7x/TE=")</f>
        <v>#VALUE!</v>
      </c>
      <c r="AY237" t="e">
        <f>AND(Sheet1!H3183,"AAAAAF7x/TI=")</f>
        <v>#VALUE!</v>
      </c>
      <c r="AZ237" t="e">
        <f>AND(Sheet1!I3183,"AAAAAF7x/TM=")</f>
        <v>#VALUE!</v>
      </c>
      <c r="BA237" t="e">
        <f>AND(Sheet1!J3183,"AAAAAF7x/TQ=")</f>
        <v>#VALUE!</v>
      </c>
      <c r="BB237" t="e">
        <f>AND(Sheet1!K3183,"AAAAAF7x/TU=")</f>
        <v>#VALUE!</v>
      </c>
      <c r="BC237" t="e">
        <f>AND(Sheet1!L3183,"AAAAAF7x/TY=")</f>
        <v>#VALUE!</v>
      </c>
      <c r="BD237" t="e">
        <f>AND(Sheet1!M3183,"AAAAAF7x/Tc=")</f>
        <v>#VALUE!</v>
      </c>
      <c r="BE237" t="e">
        <f>AND(Sheet1!N3183,"AAAAAF7x/Tg=")</f>
        <v>#VALUE!</v>
      </c>
      <c r="BF237" t="e">
        <f>AND(Sheet1!#REF!,"AAAAAF7x/Tk=")</f>
        <v>#REF!</v>
      </c>
      <c r="BG237" t="e">
        <f>AND(Sheet1!#REF!,"AAAAAF7x/To=")</f>
        <v>#REF!</v>
      </c>
      <c r="BH237" t="e">
        <f>AND(Sheet1!#REF!,"AAAAAF7x/Ts=")</f>
        <v>#REF!</v>
      </c>
      <c r="BI237" t="e">
        <f>AND(Sheet1!#REF!,"AAAAAF7x/Tw=")</f>
        <v>#REF!</v>
      </c>
      <c r="BJ237">
        <f>IF(Sheet1!3184:3184,"AAAAAF7x/T0=",0)</f>
        <v>0</v>
      </c>
      <c r="BK237" t="e">
        <f>AND(Sheet1!A3184,"AAAAAF7x/T4=")</f>
        <v>#VALUE!</v>
      </c>
      <c r="BL237" t="e">
        <f>AND(Sheet1!B3184,"AAAAAF7x/T8=")</f>
        <v>#VALUE!</v>
      </c>
      <c r="BM237" t="e">
        <f>AND(Sheet1!C3184,"AAAAAF7x/UA=")</f>
        <v>#VALUE!</v>
      </c>
      <c r="BN237" t="e">
        <f>AND(Sheet1!D3184,"AAAAAF7x/UE=")</f>
        <v>#VALUE!</v>
      </c>
      <c r="BO237" t="e">
        <f>AND(Sheet1!E3184,"AAAAAF7x/UI=")</f>
        <v>#VALUE!</v>
      </c>
      <c r="BP237" t="e">
        <f>AND(Sheet1!F3184,"AAAAAF7x/UM=")</f>
        <v>#VALUE!</v>
      </c>
      <c r="BQ237" t="e">
        <f>AND(Sheet1!G3184,"AAAAAF7x/UQ=")</f>
        <v>#VALUE!</v>
      </c>
      <c r="BR237" t="e">
        <f>AND(Sheet1!H3184,"AAAAAF7x/UU=")</f>
        <v>#VALUE!</v>
      </c>
      <c r="BS237" t="e">
        <f>AND(Sheet1!I3184,"AAAAAF7x/UY=")</f>
        <v>#VALUE!</v>
      </c>
      <c r="BT237" t="e">
        <f>AND(Sheet1!J3184,"AAAAAF7x/Uc=")</f>
        <v>#VALUE!</v>
      </c>
      <c r="BU237" t="e">
        <f>AND(Sheet1!K3184,"AAAAAF7x/Ug=")</f>
        <v>#VALUE!</v>
      </c>
      <c r="BV237" t="e">
        <f>AND(Sheet1!L3184,"AAAAAF7x/Uk=")</f>
        <v>#VALUE!</v>
      </c>
      <c r="BW237" t="e">
        <f>AND(Sheet1!M3184,"AAAAAF7x/Uo=")</f>
        <v>#VALUE!</v>
      </c>
      <c r="BX237" t="e">
        <f>AND(Sheet1!N3184,"AAAAAF7x/Us=")</f>
        <v>#VALUE!</v>
      </c>
      <c r="BY237" t="e">
        <f>AND(Sheet1!#REF!,"AAAAAF7x/Uw=")</f>
        <v>#REF!</v>
      </c>
      <c r="BZ237" t="e">
        <f>AND(Sheet1!#REF!,"AAAAAF7x/U0=")</f>
        <v>#REF!</v>
      </c>
      <c r="CA237" t="e">
        <f>AND(Sheet1!#REF!,"AAAAAF7x/U4=")</f>
        <v>#REF!</v>
      </c>
      <c r="CB237" t="e">
        <f>AND(Sheet1!#REF!,"AAAAAF7x/U8=")</f>
        <v>#REF!</v>
      </c>
      <c r="CC237">
        <f>IF(Sheet1!3185:3185,"AAAAAF7x/VA=",0)</f>
        <v>0</v>
      </c>
      <c r="CD237" t="e">
        <f>AND(Sheet1!A3185,"AAAAAF7x/VE=")</f>
        <v>#VALUE!</v>
      </c>
      <c r="CE237" t="e">
        <f>AND(Sheet1!B3185,"AAAAAF7x/VI=")</f>
        <v>#VALUE!</v>
      </c>
      <c r="CF237" t="e">
        <f>AND(Sheet1!C3185,"AAAAAF7x/VM=")</f>
        <v>#VALUE!</v>
      </c>
      <c r="CG237" t="e">
        <f>AND(Sheet1!D3185,"AAAAAF7x/VQ=")</f>
        <v>#VALUE!</v>
      </c>
      <c r="CH237" t="e">
        <f>AND(Sheet1!E3185,"AAAAAF7x/VU=")</f>
        <v>#VALUE!</v>
      </c>
      <c r="CI237" t="e">
        <f>AND(Sheet1!F3185,"AAAAAF7x/VY=")</f>
        <v>#VALUE!</v>
      </c>
      <c r="CJ237" t="e">
        <f>AND(Sheet1!G3185,"AAAAAF7x/Vc=")</f>
        <v>#VALUE!</v>
      </c>
      <c r="CK237" t="e">
        <f>AND(Sheet1!H3185,"AAAAAF7x/Vg=")</f>
        <v>#VALUE!</v>
      </c>
      <c r="CL237" t="e">
        <f>AND(Sheet1!I3185,"AAAAAF7x/Vk=")</f>
        <v>#VALUE!</v>
      </c>
      <c r="CM237" t="e">
        <f>AND(Sheet1!J3185,"AAAAAF7x/Vo=")</f>
        <v>#VALUE!</v>
      </c>
      <c r="CN237" t="e">
        <f>AND(Sheet1!K3185,"AAAAAF7x/Vs=")</f>
        <v>#VALUE!</v>
      </c>
      <c r="CO237" t="e">
        <f>AND(Sheet1!L3185,"AAAAAF7x/Vw=")</f>
        <v>#VALUE!</v>
      </c>
      <c r="CP237" t="e">
        <f>AND(Sheet1!M3185,"AAAAAF7x/V0=")</f>
        <v>#VALUE!</v>
      </c>
      <c r="CQ237" t="e">
        <f>AND(Sheet1!N3185,"AAAAAF7x/V4=")</f>
        <v>#VALUE!</v>
      </c>
      <c r="CR237" t="e">
        <f>AND(Sheet1!#REF!,"AAAAAF7x/V8=")</f>
        <v>#REF!</v>
      </c>
      <c r="CS237" t="e">
        <f>AND(Sheet1!#REF!,"AAAAAF7x/WA=")</f>
        <v>#REF!</v>
      </c>
      <c r="CT237" t="e">
        <f>AND(Sheet1!#REF!,"AAAAAF7x/WE=")</f>
        <v>#REF!</v>
      </c>
      <c r="CU237" t="e">
        <f>AND(Sheet1!#REF!,"AAAAAF7x/WI=")</f>
        <v>#REF!</v>
      </c>
      <c r="CV237">
        <f>IF(Sheet1!3186:3186,"AAAAAF7x/WM=",0)</f>
        <v>0</v>
      </c>
      <c r="CW237" t="e">
        <f>AND(Sheet1!A3186,"AAAAAF7x/WQ=")</f>
        <v>#VALUE!</v>
      </c>
      <c r="CX237" t="e">
        <f>AND(Sheet1!B3186,"AAAAAF7x/WU=")</f>
        <v>#VALUE!</v>
      </c>
      <c r="CY237" t="e">
        <f>AND(Sheet1!C3186,"AAAAAF7x/WY=")</f>
        <v>#VALUE!</v>
      </c>
      <c r="CZ237" t="e">
        <f>AND(Sheet1!D3186,"AAAAAF7x/Wc=")</f>
        <v>#VALUE!</v>
      </c>
      <c r="DA237" t="e">
        <f>AND(Sheet1!E3186,"AAAAAF7x/Wg=")</f>
        <v>#VALUE!</v>
      </c>
      <c r="DB237" t="e">
        <f>AND(Sheet1!F3186,"AAAAAF7x/Wk=")</f>
        <v>#VALUE!</v>
      </c>
      <c r="DC237" t="e">
        <f>AND(Sheet1!G3186,"AAAAAF7x/Wo=")</f>
        <v>#VALUE!</v>
      </c>
      <c r="DD237" t="e">
        <f>AND(Sheet1!H3186,"AAAAAF7x/Ws=")</f>
        <v>#VALUE!</v>
      </c>
      <c r="DE237" t="e">
        <f>AND(Sheet1!I3186,"AAAAAF7x/Ww=")</f>
        <v>#VALUE!</v>
      </c>
      <c r="DF237" t="e">
        <f>AND(Sheet1!J3186,"AAAAAF7x/W0=")</f>
        <v>#VALUE!</v>
      </c>
      <c r="DG237" t="e">
        <f>AND(Sheet1!K3186,"AAAAAF7x/W4=")</f>
        <v>#VALUE!</v>
      </c>
      <c r="DH237" t="e">
        <f>AND(Sheet1!L3186,"AAAAAF7x/W8=")</f>
        <v>#VALUE!</v>
      </c>
      <c r="DI237" t="e">
        <f>AND(Sheet1!M3186,"AAAAAF7x/XA=")</f>
        <v>#VALUE!</v>
      </c>
      <c r="DJ237" t="e">
        <f>AND(Sheet1!N3186,"AAAAAF7x/XE=")</f>
        <v>#VALUE!</v>
      </c>
      <c r="DK237" t="e">
        <f>AND(Sheet1!#REF!,"AAAAAF7x/XI=")</f>
        <v>#REF!</v>
      </c>
      <c r="DL237" t="e">
        <f>AND(Sheet1!#REF!,"AAAAAF7x/XM=")</f>
        <v>#REF!</v>
      </c>
      <c r="DM237" t="e">
        <f>AND(Sheet1!#REF!,"AAAAAF7x/XQ=")</f>
        <v>#REF!</v>
      </c>
      <c r="DN237" t="e">
        <f>AND(Sheet1!#REF!,"AAAAAF7x/XU=")</f>
        <v>#REF!</v>
      </c>
      <c r="DO237">
        <f>IF(Sheet1!3187:3187,"AAAAAF7x/XY=",0)</f>
        <v>0</v>
      </c>
      <c r="DP237" t="e">
        <f>AND(Sheet1!A3187,"AAAAAF7x/Xc=")</f>
        <v>#VALUE!</v>
      </c>
      <c r="DQ237" t="e">
        <f>AND(Sheet1!B3187,"AAAAAF7x/Xg=")</f>
        <v>#VALUE!</v>
      </c>
      <c r="DR237" t="e">
        <f>AND(Sheet1!C3187,"AAAAAF7x/Xk=")</f>
        <v>#VALUE!</v>
      </c>
      <c r="DS237" t="e">
        <f>AND(Sheet1!D3187,"AAAAAF7x/Xo=")</f>
        <v>#VALUE!</v>
      </c>
      <c r="DT237" t="e">
        <f>AND(Sheet1!E3187,"AAAAAF7x/Xs=")</f>
        <v>#VALUE!</v>
      </c>
      <c r="DU237" t="e">
        <f>AND(Sheet1!F3187,"AAAAAF7x/Xw=")</f>
        <v>#VALUE!</v>
      </c>
      <c r="DV237" t="e">
        <f>AND(Sheet1!G3187,"AAAAAF7x/X0=")</f>
        <v>#VALUE!</v>
      </c>
      <c r="DW237" t="e">
        <f>AND(Sheet1!H3187,"AAAAAF7x/X4=")</f>
        <v>#VALUE!</v>
      </c>
      <c r="DX237" t="e">
        <f>AND(Sheet1!I3187,"AAAAAF7x/X8=")</f>
        <v>#VALUE!</v>
      </c>
      <c r="DY237" t="e">
        <f>AND(Sheet1!J3187,"AAAAAF7x/YA=")</f>
        <v>#VALUE!</v>
      </c>
      <c r="DZ237" t="e">
        <f>AND(Sheet1!K3187,"AAAAAF7x/YE=")</f>
        <v>#VALUE!</v>
      </c>
      <c r="EA237" t="e">
        <f>AND(Sheet1!L3187,"AAAAAF7x/YI=")</f>
        <v>#VALUE!</v>
      </c>
      <c r="EB237" t="e">
        <f>AND(Sheet1!M3187,"AAAAAF7x/YM=")</f>
        <v>#VALUE!</v>
      </c>
      <c r="EC237" t="e">
        <f>AND(Sheet1!N3187,"AAAAAF7x/YQ=")</f>
        <v>#VALUE!</v>
      </c>
      <c r="ED237" t="e">
        <f>AND(Sheet1!#REF!,"AAAAAF7x/YU=")</f>
        <v>#REF!</v>
      </c>
      <c r="EE237" t="e">
        <f>AND(Sheet1!#REF!,"AAAAAF7x/YY=")</f>
        <v>#REF!</v>
      </c>
      <c r="EF237" t="e">
        <f>AND(Sheet1!#REF!,"AAAAAF7x/Yc=")</f>
        <v>#REF!</v>
      </c>
      <c r="EG237" t="e">
        <f>AND(Sheet1!#REF!,"AAAAAF7x/Yg=")</f>
        <v>#REF!</v>
      </c>
      <c r="EH237">
        <f>IF(Sheet1!3188:3188,"AAAAAF7x/Yk=",0)</f>
        <v>0</v>
      </c>
      <c r="EI237" t="e">
        <f>AND(Sheet1!A3188,"AAAAAF7x/Yo=")</f>
        <v>#VALUE!</v>
      </c>
      <c r="EJ237" t="e">
        <f>AND(Sheet1!B3188,"AAAAAF7x/Ys=")</f>
        <v>#VALUE!</v>
      </c>
      <c r="EK237" t="e">
        <f>AND(Sheet1!C3188,"AAAAAF7x/Yw=")</f>
        <v>#VALUE!</v>
      </c>
      <c r="EL237" t="e">
        <f>AND(Sheet1!D3188,"AAAAAF7x/Y0=")</f>
        <v>#VALUE!</v>
      </c>
      <c r="EM237" t="e">
        <f>AND(Sheet1!E3188,"AAAAAF7x/Y4=")</f>
        <v>#VALUE!</v>
      </c>
      <c r="EN237" t="e">
        <f>AND(Sheet1!F3188,"AAAAAF7x/Y8=")</f>
        <v>#VALUE!</v>
      </c>
      <c r="EO237" t="e">
        <f>AND(Sheet1!G3188,"AAAAAF7x/ZA=")</f>
        <v>#VALUE!</v>
      </c>
      <c r="EP237" t="e">
        <f>AND(Sheet1!H3188,"AAAAAF7x/ZE=")</f>
        <v>#VALUE!</v>
      </c>
      <c r="EQ237" t="e">
        <f>AND(Sheet1!I3188,"AAAAAF7x/ZI=")</f>
        <v>#VALUE!</v>
      </c>
      <c r="ER237" t="e">
        <f>AND(Sheet1!J3188,"AAAAAF7x/ZM=")</f>
        <v>#VALUE!</v>
      </c>
      <c r="ES237" t="e">
        <f>AND(Sheet1!K3188,"AAAAAF7x/ZQ=")</f>
        <v>#VALUE!</v>
      </c>
      <c r="ET237" t="e">
        <f>AND(Sheet1!L3188,"AAAAAF7x/ZU=")</f>
        <v>#VALUE!</v>
      </c>
      <c r="EU237" t="e">
        <f>AND(Sheet1!M3188,"AAAAAF7x/ZY=")</f>
        <v>#VALUE!</v>
      </c>
      <c r="EV237" t="e">
        <f>AND(Sheet1!N3188,"AAAAAF7x/Zc=")</f>
        <v>#VALUE!</v>
      </c>
      <c r="EW237" t="e">
        <f>AND(Sheet1!#REF!,"AAAAAF7x/Zg=")</f>
        <v>#REF!</v>
      </c>
      <c r="EX237" t="e">
        <f>AND(Sheet1!#REF!,"AAAAAF7x/Zk=")</f>
        <v>#REF!</v>
      </c>
      <c r="EY237" t="e">
        <f>AND(Sheet1!#REF!,"AAAAAF7x/Zo=")</f>
        <v>#REF!</v>
      </c>
      <c r="EZ237" t="e">
        <f>AND(Sheet1!#REF!,"AAAAAF7x/Zs=")</f>
        <v>#REF!</v>
      </c>
      <c r="FA237">
        <f>IF(Sheet1!3189:3189,"AAAAAF7x/Zw=",0)</f>
        <v>0</v>
      </c>
      <c r="FB237" t="e">
        <f>AND(Sheet1!A3189,"AAAAAF7x/Z0=")</f>
        <v>#VALUE!</v>
      </c>
      <c r="FC237" t="e">
        <f>AND(Sheet1!B3189,"AAAAAF7x/Z4=")</f>
        <v>#VALUE!</v>
      </c>
      <c r="FD237" t="e">
        <f>AND(Sheet1!C3189,"AAAAAF7x/Z8=")</f>
        <v>#VALUE!</v>
      </c>
      <c r="FE237" t="e">
        <f>AND(Sheet1!D3189,"AAAAAF7x/aA=")</f>
        <v>#VALUE!</v>
      </c>
      <c r="FF237" t="e">
        <f>AND(Sheet1!E3189,"AAAAAF7x/aE=")</f>
        <v>#VALUE!</v>
      </c>
      <c r="FG237" t="e">
        <f>AND(Sheet1!F3189,"AAAAAF7x/aI=")</f>
        <v>#VALUE!</v>
      </c>
      <c r="FH237" t="e">
        <f>AND(Sheet1!G3189,"AAAAAF7x/aM=")</f>
        <v>#VALUE!</v>
      </c>
      <c r="FI237" t="e">
        <f>AND(Sheet1!H3189,"AAAAAF7x/aQ=")</f>
        <v>#VALUE!</v>
      </c>
      <c r="FJ237" t="e">
        <f>AND(Sheet1!I3189,"AAAAAF7x/aU=")</f>
        <v>#VALUE!</v>
      </c>
      <c r="FK237" t="e">
        <f>AND(Sheet1!J3189,"AAAAAF7x/aY=")</f>
        <v>#VALUE!</v>
      </c>
      <c r="FL237" t="e">
        <f>AND(Sheet1!K3189,"AAAAAF7x/ac=")</f>
        <v>#VALUE!</v>
      </c>
      <c r="FM237" t="e">
        <f>AND(Sheet1!L3189,"AAAAAF7x/ag=")</f>
        <v>#VALUE!</v>
      </c>
      <c r="FN237" t="e">
        <f>AND(Sheet1!M3189,"AAAAAF7x/ak=")</f>
        <v>#VALUE!</v>
      </c>
      <c r="FO237" t="e">
        <f>AND(Sheet1!N3189,"AAAAAF7x/ao=")</f>
        <v>#VALUE!</v>
      </c>
      <c r="FP237" t="e">
        <f>AND(Sheet1!#REF!,"AAAAAF7x/as=")</f>
        <v>#REF!</v>
      </c>
      <c r="FQ237" t="e">
        <f>AND(Sheet1!#REF!,"AAAAAF7x/aw=")</f>
        <v>#REF!</v>
      </c>
      <c r="FR237" t="e">
        <f>AND(Sheet1!#REF!,"AAAAAF7x/a0=")</f>
        <v>#REF!</v>
      </c>
      <c r="FS237" t="e">
        <f>AND(Sheet1!#REF!,"AAAAAF7x/a4=")</f>
        <v>#REF!</v>
      </c>
      <c r="FT237">
        <f>IF(Sheet1!3190:3190,"AAAAAF7x/a8=",0)</f>
        <v>0</v>
      </c>
      <c r="FU237" t="e">
        <f>AND(Sheet1!A3190,"AAAAAF7x/bA=")</f>
        <v>#VALUE!</v>
      </c>
      <c r="FV237" t="e">
        <f>AND(Sheet1!B3190,"AAAAAF7x/bE=")</f>
        <v>#VALUE!</v>
      </c>
      <c r="FW237" t="e">
        <f>AND(Sheet1!C3190,"AAAAAF7x/bI=")</f>
        <v>#VALUE!</v>
      </c>
      <c r="FX237" t="e">
        <f>AND(Sheet1!D3190,"AAAAAF7x/bM=")</f>
        <v>#VALUE!</v>
      </c>
      <c r="FY237" t="e">
        <f>AND(Sheet1!E3190,"AAAAAF7x/bQ=")</f>
        <v>#VALUE!</v>
      </c>
      <c r="FZ237" t="e">
        <f>AND(Sheet1!F3190,"AAAAAF7x/bU=")</f>
        <v>#VALUE!</v>
      </c>
      <c r="GA237" t="e">
        <f>AND(Sheet1!G3190,"AAAAAF7x/bY=")</f>
        <v>#VALUE!</v>
      </c>
      <c r="GB237" t="e">
        <f>AND(Sheet1!H3190,"AAAAAF7x/bc=")</f>
        <v>#VALUE!</v>
      </c>
      <c r="GC237" t="e">
        <f>AND(Sheet1!I3190,"AAAAAF7x/bg=")</f>
        <v>#VALUE!</v>
      </c>
      <c r="GD237" t="e">
        <f>AND(Sheet1!J3190,"AAAAAF7x/bk=")</f>
        <v>#VALUE!</v>
      </c>
      <c r="GE237" t="e">
        <f>AND(Sheet1!K3190,"AAAAAF7x/bo=")</f>
        <v>#VALUE!</v>
      </c>
      <c r="GF237" t="e">
        <f>AND(Sheet1!L3190,"AAAAAF7x/bs=")</f>
        <v>#VALUE!</v>
      </c>
      <c r="GG237" t="e">
        <f>AND(Sheet1!M3190,"AAAAAF7x/bw=")</f>
        <v>#VALUE!</v>
      </c>
      <c r="GH237" t="e">
        <f>AND(Sheet1!N3190,"AAAAAF7x/b0=")</f>
        <v>#VALUE!</v>
      </c>
      <c r="GI237" t="e">
        <f>AND(Sheet1!#REF!,"AAAAAF7x/b4=")</f>
        <v>#REF!</v>
      </c>
      <c r="GJ237" t="e">
        <f>AND(Sheet1!#REF!,"AAAAAF7x/b8=")</f>
        <v>#REF!</v>
      </c>
      <c r="GK237" t="e">
        <f>AND(Sheet1!#REF!,"AAAAAF7x/cA=")</f>
        <v>#REF!</v>
      </c>
      <c r="GL237" t="e">
        <f>AND(Sheet1!#REF!,"AAAAAF7x/cE=")</f>
        <v>#REF!</v>
      </c>
      <c r="GM237">
        <f>IF(Sheet1!3191:3191,"AAAAAF7x/cI=",0)</f>
        <v>0</v>
      </c>
      <c r="GN237" t="e">
        <f>AND(Sheet1!A3191,"AAAAAF7x/cM=")</f>
        <v>#VALUE!</v>
      </c>
      <c r="GO237" t="e">
        <f>AND(Sheet1!B3191,"AAAAAF7x/cQ=")</f>
        <v>#VALUE!</v>
      </c>
      <c r="GP237" t="e">
        <f>AND(Sheet1!C3191,"AAAAAF7x/cU=")</f>
        <v>#VALUE!</v>
      </c>
      <c r="GQ237" t="e">
        <f>AND(Sheet1!D3191,"AAAAAF7x/cY=")</f>
        <v>#VALUE!</v>
      </c>
      <c r="GR237" t="e">
        <f>AND(Sheet1!E3191,"AAAAAF7x/cc=")</f>
        <v>#VALUE!</v>
      </c>
      <c r="GS237" t="e">
        <f>AND(Sheet1!F3191,"AAAAAF7x/cg=")</f>
        <v>#VALUE!</v>
      </c>
      <c r="GT237" t="e">
        <f>AND(Sheet1!G3191,"AAAAAF7x/ck=")</f>
        <v>#VALUE!</v>
      </c>
      <c r="GU237" t="e">
        <f>AND(Sheet1!H3191,"AAAAAF7x/co=")</f>
        <v>#VALUE!</v>
      </c>
      <c r="GV237" t="e">
        <f>AND(Sheet1!I3191,"AAAAAF7x/cs=")</f>
        <v>#VALUE!</v>
      </c>
      <c r="GW237" t="e">
        <f>AND(Sheet1!J3191,"AAAAAF7x/cw=")</f>
        <v>#VALUE!</v>
      </c>
      <c r="GX237" t="e">
        <f>AND(Sheet1!K3191,"AAAAAF7x/c0=")</f>
        <v>#VALUE!</v>
      </c>
      <c r="GY237" t="e">
        <f>AND(Sheet1!L3191,"AAAAAF7x/c4=")</f>
        <v>#VALUE!</v>
      </c>
      <c r="GZ237" t="e">
        <f>AND(Sheet1!M3191,"AAAAAF7x/c8=")</f>
        <v>#VALUE!</v>
      </c>
      <c r="HA237" t="e">
        <f>AND(Sheet1!N3191,"AAAAAF7x/dA=")</f>
        <v>#VALUE!</v>
      </c>
      <c r="HB237" t="e">
        <f>AND(Sheet1!#REF!,"AAAAAF7x/dE=")</f>
        <v>#REF!</v>
      </c>
      <c r="HC237" t="e">
        <f>AND(Sheet1!#REF!,"AAAAAF7x/dI=")</f>
        <v>#REF!</v>
      </c>
      <c r="HD237" t="e">
        <f>AND(Sheet1!#REF!,"AAAAAF7x/dM=")</f>
        <v>#REF!</v>
      </c>
      <c r="HE237" t="e">
        <f>AND(Sheet1!#REF!,"AAAAAF7x/dQ=")</f>
        <v>#REF!</v>
      </c>
      <c r="HF237">
        <f>IF(Sheet1!3192:3192,"AAAAAF7x/dU=",0)</f>
        <v>0</v>
      </c>
      <c r="HG237" t="e">
        <f>AND(Sheet1!A3192,"AAAAAF7x/dY=")</f>
        <v>#VALUE!</v>
      </c>
      <c r="HH237" t="e">
        <f>AND(Sheet1!B3192,"AAAAAF7x/dc=")</f>
        <v>#VALUE!</v>
      </c>
      <c r="HI237" t="e">
        <f>AND(Sheet1!C3192,"AAAAAF7x/dg=")</f>
        <v>#VALUE!</v>
      </c>
      <c r="HJ237" t="e">
        <f>AND(Sheet1!D3192,"AAAAAF7x/dk=")</f>
        <v>#VALUE!</v>
      </c>
      <c r="HK237" t="e">
        <f>AND(Sheet1!E3192,"AAAAAF7x/do=")</f>
        <v>#VALUE!</v>
      </c>
      <c r="HL237" t="e">
        <f>AND(Sheet1!F3192,"AAAAAF7x/ds=")</f>
        <v>#VALUE!</v>
      </c>
      <c r="HM237" t="e">
        <f>AND(Sheet1!G3192,"AAAAAF7x/dw=")</f>
        <v>#VALUE!</v>
      </c>
      <c r="HN237" t="e">
        <f>AND(Sheet1!H3192,"AAAAAF7x/d0=")</f>
        <v>#VALUE!</v>
      </c>
      <c r="HO237" t="e">
        <f>AND(Sheet1!I3192,"AAAAAF7x/d4=")</f>
        <v>#VALUE!</v>
      </c>
      <c r="HP237" t="e">
        <f>AND(Sheet1!J3192,"AAAAAF7x/d8=")</f>
        <v>#VALUE!</v>
      </c>
      <c r="HQ237" t="e">
        <f>AND(Sheet1!K3192,"AAAAAF7x/eA=")</f>
        <v>#VALUE!</v>
      </c>
      <c r="HR237" t="e">
        <f>AND(Sheet1!L3192,"AAAAAF7x/eE=")</f>
        <v>#VALUE!</v>
      </c>
      <c r="HS237" t="e">
        <f>AND(Sheet1!M3192,"AAAAAF7x/eI=")</f>
        <v>#VALUE!</v>
      </c>
      <c r="HT237" t="e">
        <f>AND(Sheet1!N3192,"AAAAAF7x/eM=")</f>
        <v>#VALUE!</v>
      </c>
      <c r="HU237" t="e">
        <f>AND(Sheet1!#REF!,"AAAAAF7x/eQ=")</f>
        <v>#REF!</v>
      </c>
      <c r="HV237" t="e">
        <f>AND(Sheet1!#REF!,"AAAAAF7x/eU=")</f>
        <v>#REF!</v>
      </c>
      <c r="HW237" t="e">
        <f>AND(Sheet1!#REF!,"AAAAAF7x/eY=")</f>
        <v>#REF!</v>
      </c>
      <c r="HX237" t="e">
        <f>AND(Sheet1!#REF!,"AAAAAF7x/ec=")</f>
        <v>#REF!</v>
      </c>
      <c r="HY237">
        <f>IF(Sheet1!3193:3193,"AAAAAF7x/eg=",0)</f>
        <v>0</v>
      </c>
      <c r="HZ237" t="e">
        <f>AND(Sheet1!A3193,"AAAAAF7x/ek=")</f>
        <v>#VALUE!</v>
      </c>
      <c r="IA237" t="e">
        <f>AND(Sheet1!B3193,"AAAAAF7x/eo=")</f>
        <v>#VALUE!</v>
      </c>
      <c r="IB237" t="e">
        <f>AND(Sheet1!C3193,"AAAAAF7x/es=")</f>
        <v>#VALUE!</v>
      </c>
      <c r="IC237" t="e">
        <f>AND(Sheet1!D3193,"AAAAAF7x/ew=")</f>
        <v>#VALUE!</v>
      </c>
      <c r="ID237" t="e">
        <f>AND(Sheet1!E3193,"AAAAAF7x/e0=")</f>
        <v>#VALUE!</v>
      </c>
      <c r="IE237" t="e">
        <f>AND(Sheet1!F3193,"AAAAAF7x/e4=")</f>
        <v>#VALUE!</v>
      </c>
      <c r="IF237" t="e">
        <f>AND(Sheet1!G3193,"AAAAAF7x/e8=")</f>
        <v>#VALUE!</v>
      </c>
      <c r="IG237" t="e">
        <f>AND(Sheet1!H3193,"AAAAAF7x/fA=")</f>
        <v>#VALUE!</v>
      </c>
      <c r="IH237" t="e">
        <f>AND(Sheet1!I3193,"AAAAAF7x/fE=")</f>
        <v>#VALUE!</v>
      </c>
      <c r="II237" t="e">
        <f>AND(Sheet1!J3193,"AAAAAF7x/fI=")</f>
        <v>#VALUE!</v>
      </c>
      <c r="IJ237" t="e">
        <f>AND(Sheet1!K3193,"AAAAAF7x/fM=")</f>
        <v>#VALUE!</v>
      </c>
      <c r="IK237" t="e">
        <f>AND(Sheet1!L3193,"AAAAAF7x/fQ=")</f>
        <v>#VALUE!</v>
      </c>
      <c r="IL237" t="e">
        <f>AND(Sheet1!M3193,"AAAAAF7x/fU=")</f>
        <v>#VALUE!</v>
      </c>
      <c r="IM237" t="e">
        <f>AND(Sheet1!N3193,"AAAAAF7x/fY=")</f>
        <v>#VALUE!</v>
      </c>
      <c r="IN237" t="e">
        <f>AND(Sheet1!#REF!,"AAAAAF7x/fc=")</f>
        <v>#REF!</v>
      </c>
      <c r="IO237" t="e">
        <f>AND(Sheet1!#REF!,"AAAAAF7x/fg=")</f>
        <v>#REF!</v>
      </c>
      <c r="IP237" t="e">
        <f>AND(Sheet1!#REF!,"AAAAAF7x/fk=")</f>
        <v>#REF!</v>
      </c>
      <c r="IQ237" t="e">
        <f>AND(Sheet1!#REF!,"AAAAAF7x/fo=")</f>
        <v>#REF!</v>
      </c>
      <c r="IR237">
        <f>IF(Sheet1!3194:3194,"AAAAAF7x/fs=",0)</f>
        <v>0</v>
      </c>
      <c r="IS237" t="e">
        <f>AND(Sheet1!A3194,"AAAAAF7x/fw=")</f>
        <v>#VALUE!</v>
      </c>
      <c r="IT237" t="e">
        <f>AND(Sheet1!B3194,"AAAAAF7x/f0=")</f>
        <v>#VALUE!</v>
      </c>
      <c r="IU237" t="e">
        <f>AND(Sheet1!C3194,"AAAAAF7x/f4=")</f>
        <v>#VALUE!</v>
      </c>
      <c r="IV237" t="e">
        <f>AND(Sheet1!D3194,"AAAAAF7x/f8=")</f>
        <v>#VALUE!</v>
      </c>
    </row>
    <row r="238" spans="1:256" x14ac:dyDescent="0.2">
      <c r="A238" t="e">
        <f>AND(Sheet1!E3194,"AAAAAC7/HwA=")</f>
        <v>#VALUE!</v>
      </c>
      <c r="B238" t="e">
        <f>AND(Sheet1!F3194,"AAAAAC7/HwE=")</f>
        <v>#VALUE!</v>
      </c>
      <c r="C238" t="e">
        <f>AND(Sheet1!G3194,"AAAAAC7/HwI=")</f>
        <v>#VALUE!</v>
      </c>
      <c r="D238" t="e">
        <f>AND(Sheet1!H3194,"AAAAAC7/HwM=")</f>
        <v>#VALUE!</v>
      </c>
      <c r="E238" t="e">
        <f>AND(Sheet1!I3194,"AAAAAC7/HwQ=")</f>
        <v>#VALUE!</v>
      </c>
      <c r="F238" t="e">
        <f>AND(Sheet1!J3194,"AAAAAC7/HwU=")</f>
        <v>#VALUE!</v>
      </c>
      <c r="G238" t="e">
        <f>AND(Sheet1!K3194,"AAAAAC7/HwY=")</f>
        <v>#VALUE!</v>
      </c>
      <c r="H238" t="e">
        <f>AND(Sheet1!L3194,"AAAAAC7/Hwc=")</f>
        <v>#VALUE!</v>
      </c>
      <c r="I238" t="e">
        <f>AND(Sheet1!M3194,"AAAAAC7/Hwg=")</f>
        <v>#VALUE!</v>
      </c>
      <c r="J238" t="e">
        <f>AND(Sheet1!N3194,"AAAAAC7/Hwk=")</f>
        <v>#VALUE!</v>
      </c>
      <c r="K238" t="e">
        <f>AND(Sheet1!#REF!,"AAAAAC7/Hwo=")</f>
        <v>#REF!</v>
      </c>
      <c r="L238" t="e">
        <f>AND(Sheet1!#REF!,"AAAAAC7/Hws=")</f>
        <v>#REF!</v>
      </c>
      <c r="M238" t="e">
        <f>AND(Sheet1!#REF!,"AAAAAC7/Hww=")</f>
        <v>#REF!</v>
      </c>
      <c r="N238" t="e">
        <f>AND(Sheet1!#REF!,"AAAAAC7/Hw0=")</f>
        <v>#REF!</v>
      </c>
      <c r="O238">
        <f>IF(Sheet1!3195:3195,"AAAAAC7/Hw4=",0)</f>
        <v>0</v>
      </c>
      <c r="P238" t="e">
        <f>AND(Sheet1!A3195,"AAAAAC7/Hw8=")</f>
        <v>#VALUE!</v>
      </c>
      <c r="Q238" t="e">
        <f>AND(Sheet1!B3195,"AAAAAC7/HxA=")</f>
        <v>#VALUE!</v>
      </c>
      <c r="R238" t="e">
        <f>AND(Sheet1!C3195,"AAAAAC7/HxE=")</f>
        <v>#VALUE!</v>
      </c>
      <c r="S238" t="e">
        <f>AND(Sheet1!D3195,"AAAAAC7/HxI=")</f>
        <v>#VALUE!</v>
      </c>
      <c r="T238" t="e">
        <f>AND(Sheet1!E3195,"AAAAAC7/HxM=")</f>
        <v>#VALUE!</v>
      </c>
      <c r="U238" t="e">
        <f>AND(Sheet1!F3195,"AAAAAC7/HxQ=")</f>
        <v>#VALUE!</v>
      </c>
      <c r="V238" t="e">
        <f>AND(Sheet1!G3195,"AAAAAC7/HxU=")</f>
        <v>#VALUE!</v>
      </c>
      <c r="W238" t="e">
        <f>AND(Sheet1!H3195,"AAAAAC7/HxY=")</f>
        <v>#VALUE!</v>
      </c>
      <c r="X238" t="e">
        <f>AND(Sheet1!I3195,"AAAAAC7/Hxc=")</f>
        <v>#VALUE!</v>
      </c>
      <c r="Y238" t="e">
        <f>AND(Sheet1!J3195,"AAAAAC7/Hxg=")</f>
        <v>#VALUE!</v>
      </c>
      <c r="Z238" t="e">
        <f>AND(Sheet1!K3195,"AAAAAC7/Hxk=")</f>
        <v>#VALUE!</v>
      </c>
      <c r="AA238" t="e">
        <f>AND(Sheet1!L3195,"AAAAAC7/Hxo=")</f>
        <v>#VALUE!</v>
      </c>
      <c r="AB238" t="e">
        <f>AND(Sheet1!M3195,"AAAAAC7/Hxs=")</f>
        <v>#VALUE!</v>
      </c>
      <c r="AC238" t="e">
        <f>AND(Sheet1!N3195,"AAAAAC7/Hxw=")</f>
        <v>#VALUE!</v>
      </c>
      <c r="AD238" t="e">
        <f>AND(Sheet1!#REF!,"AAAAAC7/Hx0=")</f>
        <v>#REF!</v>
      </c>
      <c r="AE238" t="e">
        <f>AND(Sheet1!#REF!,"AAAAAC7/Hx4=")</f>
        <v>#REF!</v>
      </c>
      <c r="AF238" t="e">
        <f>AND(Sheet1!#REF!,"AAAAAC7/Hx8=")</f>
        <v>#REF!</v>
      </c>
      <c r="AG238" t="e">
        <f>AND(Sheet1!#REF!,"AAAAAC7/HyA=")</f>
        <v>#REF!</v>
      </c>
      <c r="AH238">
        <f>IF(Sheet1!3196:3196,"AAAAAC7/HyE=",0)</f>
        <v>0</v>
      </c>
      <c r="AI238" t="e">
        <f>AND(Sheet1!A3196,"AAAAAC7/HyI=")</f>
        <v>#VALUE!</v>
      </c>
      <c r="AJ238" t="e">
        <f>AND(Sheet1!B3196,"AAAAAC7/HyM=")</f>
        <v>#VALUE!</v>
      </c>
      <c r="AK238" t="e">
        <f>AND(Sheet1!C3196,"AAAAAC7/HyQ=")</f>
        <v>#VALUE!</v>
      </c>
      <c r="AL238" t="e">
        <f>AND(Sheet1!D3196,"AAAAAC7/HyU=")</f>
        <v>#VALUE!</v>
      </c>
      <c r="AM238" t="e">
        <f>AND(Sheet1!E3196,"AAAAAC7/HyY=")</f>
        <v>#VALUE!</v>
      </c>
      <c r="AN238" t="e">
        <f>AND(Sheet1!F3196,"AAAAAC7/Hyc=")</f>
        <v>#VALUE!</v>
      </c>
      <c r="AO238" t="e">
        <f>AND(Sheet1!G3196,"AAAAAC7/Hyg=")</f>
        <v>#VALUE!</v>
      </c>
      <c r="AP238" t="e">
        <f>AND(Sheet1!H3196,"AAAAAC7/Hyk=")</f>
        <v>#VALUE!</v>
      </c>
      <c r="AQ238" t="e">
        <f>AND(Sheet1!I3196,"AAAAAC7/Hyo=")</f>
        <v>#VALUE!</v>
      </c>
      <c r="AR238" t="e">
        <f>AND(Sheet1!J3196,"AAAAAC7/Hys=")</f>
        <v>#VALUE!</v>
      </c>
      <c r="AS238" t="e">
        <f>AND(Sheet1!K3196,"AAAAAC7/Hyw=")</f>
        <v>#VALUE!</v>
      </c>
      <c r="AT238" t="e">
        <f>AND(Sheet1!L3196,"AAAAAC7/Hy0=")</f>
        <v>#VALUE!</v>
      </c>
      <c r="AU238" t="e">
        <f>AND(Sheet1!M3196,"AAAAAC7/Hy4=")</f>
        <v>#VALUE!</v>
      </c>
      <c r="AV238" t="e">
        <f>AND(Sheet1!N3196,"AAAAAC7/Hy8=")</f>
        <v>#VALUE!</v>
      </c>
      <c r="AW238" t="e">
        <f>AND(Sheet1!#REF!,"AAAAAC7/HzA=")</f>
        <v>#REF!</v>
      </c>
      <c r="AX238" t="e">
        <f>AND(Sheet1!#REF!,"AAAAAC7/HzE=")</f>
        <v>#REF!</v>
      </c>
      <c r="AY238" t="e">
        <f>AND(Sheet1!#REF!,"AAAAAC7/HzI=")</f>
        <v>#REF!</v>
      </c>
      <c r="AZ238" t="e">
        <f>AND(Sheet1!#REF!,"AAAAAC7/HzM=")</f>
        <v>#REF!</v>
      </c>
      <c r="BA238">
        <f>IF(Sheet1!3197:3197,"AAAAAC7/HzQ=",0)</f>
        <v>0</v>
      </c>
      <c r="BB238" t="e">
        <f>AND(Sheet1!A3197,"AAAAAC7/HzU=")</f>
        <v>#VALUE!</v>
      </c>
      <c r="BC238" t="e">
        <f>AND(Sheet1!B3197,"AAAAAC7/HzY=")</f>
        <v>#VALUE!</v>
      </c>
      <c r="BD238" t="e">
        <f>AND(Sheet1!C3197,"AAAAAC7/Hzc=")</f>
        <v>#VALUE!</v>
      </c>
      <c r="BE238" t="e">
        <f>AND(Sheet1!D3197,"AAAAAC7/Hzg=")</f>
        <v>#VALUE!</v>
      </c>
      <c r="BF238" t="e">
        <f>AND(Sheet1!E3197,"AAAAAC7/Hzk=")</f>
        <v>#VALUE!</v>
      </c>
      <c r="BG238" t="e">
        <f>AND(Sheet1!F3197,"AAAAAC7/Hzo=")</f>
        <v>#VALUE!</v>
      </c>
      <c r="BH238" t="e">
        <f>AND(Sheet1!G3197,"AAAAAC7/Hzs=")</f>
        <v>#VALUE!</v>
      </c>
      <c r="BI238" t="e">
        <f>AND(Sheet1!H3197,"AAAAAC7/Hzw=")</f>
        <v>#VALUE!</v>
      </c>
      <c r="BJ238" t="e">
        <f>AND(Sheet1!I3197,"AAAAAC7/Hz0=")</f>
        <v>#VALUE!</v>
      </c>
      <c r="BK238" t="e">
        <f>AND(Sheet1!J3197,"AAAAAC7/Hz4=")</f>
        <v>#VALUE!</v>
      </c>
      <c r="BL238" t="e">
        <f>AND(Sheet1!K3197,"AAAAAC7/Hz8=")</f>
        <v>#VALUE!</v>
      </c>
      <c r="BM238" t="e">
        <f>AND(Sheet1!L3197,"AAAAAC7/H0A=")</f>
        <v>#VALUE!</v>
      </c>
      <c r="BN238" t="e">
        <f>AND(Sheet1!M3197,"AAAAAC7/H0E=")</f>
        <v>#VALUE!</v>
      </c>
      <c r="BO238" t="e">
        <f>AND(Sheet1!N3197,"AAAAAC7/H0I=")</f>
        <v>#VALUE!</v>
      </c>
      <c r="BP238" t="e">
        <f>AND(Sheet1!#REF!,"AAAAAC7/H0M=")</f>
        <v>#REF!</v>
      </c>
      <c r="BQ238" t="e">
        <f>AND(Sheet1!#REF!,"AAAAAC7/H0Q=")</f>
        <v>#REF!</v>
      </c>
      <c r="BR238" t="e">
        <f>AND(Sheet1!#REF!,"AAAAAC7/H0U=")</f>
        <v>#REF!</v>
      </c>
      <c r="BS238" t="e">
        <f>AND(Sheet1!#REF!,"AAAAAC7/H0Y=")</f>
        <v>#REF!</v>
      </c>
      <c r="BT238">
        <f>IF(Sheet1!3198:3198,"AAAAAC7/H0c=",0)</f>
        <v>0</v>
      </c>
      <c r="BU238" t="e">
        <f>AND(Sheet1!A3198,"AAAAAC7/H0g=")</f>
        <v>#VALUE!</v>
      </c>
      <c r="BV238" t="e">
        <f>AND(Sheet1!B3198,"AAAAAC7/H0k=")</f>
        <v>#VALUE!</v>
      </c>
      <c r="BW238" t="e">
        <f>AND(Sheet1!C3198,"AAAAAC7/H0o=")</f>
        <v>#VALUE!</v>
      </c>
      <c r="BX238" t="e">
        <f>AND(Sheet1!D3198,"AAAAAC7/H0s=")</f>
        <v>#VALUE!</v>
      </c>
      <c r="BY238" t="e">
        <f>AND(Sheet1!E3198,"AAAAAC7/H0w=")</f>
        <v>#VALUE!</v>
      </c>
      <c r="BZ238" t="e">
        <f>AND(Sheet1!F3198,"AAAAAC7/H00=")</f>
        <v>#VALUE!</v>
      </c>
      <c r="CA238" t="e">
        <f>AND(Sheet1!G3198,"AAAAAC7/H04=")</f>
        <v>#VALUE!</v>
      </c>
      <c r="CB238" t="e">
        <f>AND(Sheet1!H3198,"AAAAAC7/H08=")</f>
        <v>#VALUE!</v>
      </c>
      <c r="CC238" t="e">
        <f>AND(Sheet1!I3198,"AAAAAC7/H1A=")</f>
        <v>#VALUE!</v>
      </c>
      <c r="CD238" t="e">
        <f>AND(Sheet1!J3198,"AAAAAC7/H1E=")</f>
        <v>#VALUE!</v>
      </c>
      <c r="CE238" t="e">
        <f>AND(Sheet1!K3198,"AAAAAC7/H1I=")</f>
        <v>#VALUE!</v>
      </c>
      <c r="CF238" t="e">
        <f>AND(Sheet1!L3198,"AAAAAC7/H1M=")</f>
        <v>#VALUE!</v>
      </c>
      <c r="CG238" t="e">
        <f>AND(Sheet1!M3198,"AAAAAC7/H1Q=")</f>
        <v>#VALUE!</v>
      </c>
      <c r="CH238" t="e">
        <f>AND(Sheet1!N3198,"AAAAAC7/H1U=")</f>
        <v>#VALUE!</v>
      </c>
      <c r="CI238" t="e">
        <f>AND(Sheet1!#REF!,"AAAAAC7/H1Y=")</f>
        <v>#REF!</v>
      </c>
      <c r="CJ238" t="e">
        <f>AND(Sheet1!#REF!,"AAAAAC7/H1c=")</f>
        <v>#REF!</v>
      </c>
      <c r="CK238" t="e">
        <f>AND(Sheet1!#REF!,"AAAAAC7/H1g=")</f>
        <v>#REF!</v>
      </c>
      <c r="CL238" t="e">
        <f>AND(Sheet1!#REF!,"AAAAAC7/H1k=")</f>
        <v>#REF!</v>
      </c>
      <c r="CM238">
        <f>IF(Sheet1!3199:3199,"AAAAAC7/H1o=",0)</f>
        <v>0</v>
      </c>
      <c r="CN238" t="e">
        <f>AND(Sheet1!A3199,"AAAAAC7/H1s=")</f>
        <v>#VALUE!</v>
      </c>
      <c r="CO238" t="e">
        <f>AND(Sheet1!B3199,"AAAAAC7/H1w=")</f>
        <v>#VALUE!</v>
      </c>
      <c r="CP238" t="e">
        <f>AND(Sheet1!C3199,"AAAAAC7/H10=")</f>
        <v>#VALUE!</v>
      </c>
      <c r="CQ238" t="e">
        <f>AND(Sheet1!D3199,"AAAAAC7/H14=")</f>
        <v>#VALUE!</v>
      </c>
      <c r="CR238" t="e">
        <f>AND(Sheet1!E3199,"AAAAAC7/H18=")</f>
        <v>#VALUE!</v>
      </c>
      <c r="CS238" t="e">
        <f>AND(Sheet1!F3199,"AAAAAC7/H2A=")</f>
        <v>#VALUE!</v>
      </c>
      <c r="CT238" t="e">
        <f>AND(Sheet1!G3199,"AAAAAC7/H2E=")</f>
        <v>#VALUE!</v>
      </c>
      <c r="CU238" t="e">
        <f>AND(Sheet1!H3199,"AAAAAC7/H2I=")</f>
        <v>#VALUE!</v>
      </c>
      <c r="CV238" t="e">
        <f>AND(Sheet1!I3199,"AAAAAC7/H2M=")</f>
        <v>#VALUE!</v>
      </c>
      <c r="CW238" t="e">
        <f>AND(Sheet1!J3199,"AAAAAC7/H2Q=")</f>
        <v>#VALUE!</v>
      </c>
      <c r="CX238" t="e">
        <f>AND(Sheet1!K3199,"AAAAAC7/H2U=")</f>
        <v>#VALUE!</v>
      </c>
      <c r="CY238" t="e">
        <f>AND(Sheet1!L3199,"AAAAAC7/H2Y=")</f>
        <v>#VALUE!</v>
      </c>
      <c r="CZ238" t="e">
        <f>AND(Sheet1!M3199,"AAAAAC7/H2c=")</f>
        <v>#VALUE!</v>
      </c>
      <c r="DA238" t="e">
        <f>AND(Sheet1!N3199,"AAAAAC7/H2g=")</f>
        <v>#VALUE!</v>
      </c>
      <c r="DB238" t="e">
        <f>AND(Sheet1!#REF!,"AAAAAC7/H2k=")</f>
        <v>#REF!</v>
      </c>
      <c r="DC238" t="e">
        <f>AND(Sheet1!#REF!,"AAAAAC7/H2o=")</f>
        <v>#REF!</v>
      </c>
      <c r="DD238" t="e">
        <f>AND(Sheet1!#REF!,"AAAAAC7/H2s=")</f>
        <v>#REF!</v>
      </c>
      <c r="DE238" t="e">
        <f>AND(Sheet1!#REF!,"AAAAAC7/H2w=")</f>
        <v>#REF!</v>
      </c>
      <c r="DF238">
        <f>IF(Sheet1!3200:3200,"AAAAAC7/H20=",0)</f>
        <v>0</v>
      </c>
      <c r="DG238" t="e">
        <f>AND(Sheet1!A3200,"AAAAAC7/H24=")</f>
        <v>#VALUE!</v>
      </c>
      <c r="DH238" t="e">
        <f>AND(Sheet1!B3200,"AAAAAC7/H28=")</f>
        <v>#VALUE!</v>
      </c>
      <c r="DI238" t="e">
        <f>AND(Sheet1!C3200,"AAAAAC7/H3A=")</f>
        <v>#VALUE!</v>
      </c>
      <c r="DJ238" t="e">
        <f>AND(Sheet1!D3200,"AAAAAC7/H3E=")</f>
        <v>#VALUE!</v>
      </c>
      <c r="DK238" t="e">
        <f>AND(Sheet1!E3200,"AAAAAC7/H3I=")</f>
        <v>#VALUE!</v>
      </c>
      <c r="DL238" t="e">
        <f>AND(Sheet1!F3200,"AAAAAC7/H3M=")</f>
        <v>#VALUE!</v>
      </c>
      <c r="DM238" t="e">
        <f>AND(Sheet1!G3200,"AAAAAC7/H3Q=")</f>
        <v>#VALUE!</v>
      </c>
      <c r="DN238" t="e">
        <f>AND(Sheet1!H3200,"AAAAAC7/H3U=")</f>
        <v>#VALUE!</v>
      </c>
      <c r="DO238" t="e">
        <f>AND(Sheet1!I3200,"AAAAAC7/H3Y=")</f>
        <v>#VALUE!</v>
      </c>
      <c r="DP238" t="e">
        <f>AND(Sheet1!J3200,"AAAAAC7/H3c=")</f>
        <v>#VALUE!</v>
      </c>
      <c r="DQ238" t="e">
        <f>AND(Sheet1!K3200,"AAAAAC7/H3g=")</f>
        <v>#VALUE!</v>
      </c>
      <c r="DR238" t="e">
        <f>AND(Sheet1!L3200,"AAAAAC7/H3k=")</f>
        <v>#VALUE!</v>
      </c>
      <c r="DS238" t="e">
        <f>AND(Sheet1!M3200,"AAAAAC7/H3o=")</f>
        <v>#VALUE!</v>
      </c>
      <c r="DT238" t="e">
        <f>AND(Sheet1!N3200,"AAAAAC7/H3s=")</f>
        <v>#VALUE!</v>
      </c>
      <c r="DU238" t="e">
        <f>AND(Sheet1!#REF!,"AAAAAC7/H3w=")</f>
        <v>#REF!</v>
      </c>
      <c r="DV238" t="e">
        <f>AND(Sheet1!#REF!,"AAAAAC7/H30=")</f>
        <v>#REF!</v>
      </c>
      <c r="DW238" t="e">
        <f>AND(Sheet1!#REF!,"AAAAAC7/H34=")</f>
        <v>#REF!</v>
      </c>
      <c r="DX238" t="e">
        <f>AND(Sheet1!#REF!,"AAAAAC7/H38=")</f>
        <v>#REF!</v>
      </c>
      <c r="DY238">
        <f>IF(Sheet1!3201:3201,"AAAAAC7/H4A=",0)</f>
        <v>0</v>
      </c>
      <c r="DZ238" t="e">
        <f>AND(Sheet1!A3201,"AAAAAC7/H4E=")</f>
        <v>#VALUE!</v>
      </c>
      <c r="EA238" t="e">
        <f>AND(Sheet1!B3201,"AAAAAC7/H4I=")</f>
        <v>#VALUE!</v>
      </c>
      <c r="EB238" t="e">
        <f>AND(Sheet1!C3201,"AAAAAC7/H4M=")</f>
        <v>#VALUE!</v>
      </c>
      <c r="EC238" t="e">
        <f>AND(Sheet1!D3201,"AAAAAC7/H4Q=")</f>
        <v>#VALUE!</v>
      </c>
      <c r="ED238" t="e">
        <f>AND(Sheet1!E3201,"AAAAAC7/H4U=")</f>
        <v>#VALUE!</v>
      </c>
      <c r="EE238" t="e">
        <f>AND(Sheet1!F3201,"AAAAAC7/H4Y=")</f>
        <v>#VALUE!</v>
      </c>
      <c r="EF238" t="e">
        <f>AND(Sheet1!G3201,"AAAAAC7/H4c=")</f>
        <v>#VALUE!</v>
      </c>
      <c r="EG238" t="e">
        <f>AND(Sheet1!H3201,"AAAAAC7/H4g=")</f>
        <v>#VALUE!</v>
      </c>
      <c r="EH238" t="e">
        <f>AND(Sheet1!I3201,"AAAAAC7/H4k=")</f>
        <v>#VALUE!</v>
      </c>
      <c r="EI238" t="e">
        <f>AND(Sheet1!J3201,"AAAAAC7/H4o=")</f>
        <v>#VALUE!</v>
      </c>
      <c r="EJ238" t="e">
        <f>AND(Sheet1!K3201,"AAAAAC7/H4s=")</f>
        <v>#VALUE!</v>
      </c>
      <c r="EK238" t="e">
        <f>AND(Sheet1!L3201,"AAAAAC7/H4w=")</f>
        <v>#VALUE!</v>
      </c>
      <c r="EL238" t="e">
        <f>AND(Sheet1!M3201,"AAAAAC7/H40=")</f>
        <v>#VALUE!</v>
      </c>
      <c r="EM238" t="e">
        <f>AND(Sheet1!N3201,"AAAAAC7/H44=")</f>
        <v>#VALUE!</v>
      </c>
      <c r="EN238" t="e">
        <f>AND(Sheet1!#REF!,"AAAAAC7/H48=")</f>
        <v>#REF!</v>
      </c>
      <c r="EO238" t="e">
        <f>AND(Sheet1!#REF!,"AAAAAC7/H5A=")</f>
        <v>#REF!</v>
      </c>
      <c r="EP238" t="e">
        <f>AND(Sheet1!#REF!,"AAAAAC7/H5E=")</f>
        <v>#REF!</v>
      </c>
      <c r="EQ238" t="e">
        <f>AND(Sheet1!#REF!,"AAAAAC7/H5I=")</f>
        <v>#REF!</v>
      </c>
      <c r="ER238">
        <f>IF(Sheet1!3202:3202,"AAAAAC7/H5M=",0)</f>
        <v>0</v>
      </c>
      <c r="ES238" t="e">
        <f>AND(Sheet1!A3202,"AAAAAC7/H5Q=")</f>
        <v>#VALUE!</v>
      </c>
      <c r="ET238" t="e">
        <f>AND(Sheet1!B3202,"AAAAAC7/H5U=")</f>
        <v>#VALUE!</v>
      </c>
      <c r="EU238" t="e">
        <f>AND(Sheet1!C3202,"AAAAAC7/H5Y=")</f>
        <v>#VALUE!</v>
      </c>
      <c r="EV238" t="e">
        <f>AND(Sheet1!D3202,"AAAAAC7/H5c=")</f>
        <v>#VALUE!</v>
      </c>
      <c r="EW238" t="e">
        <f>AND(Sheet1!E3202,"AAAAAC7/H5g=")</f>
        <v>#VALUE!</v>
      </c>
      <c r="EX238" t="e">
        <f>AND(Sheet1!F3202,"AAAAAC7/H5k=")</f>
        <v>#VALUE!</v>
      </c>
      <c r="EY238" t="e">
        <f>AND(Sheet1!G3202,"AAAAAC7/H5o=")</f>
        <v>#VALUE!</v>
      </c>
      <c r="EZ238" t="e">
        <f>AND(Sheet1!H3202,"AAAAAC7/H5s=")</f>
        <v>#VALUE!</v>
      </c>
      <c r="FA238" t="e">
        <f>AND(Sheet1!I3202,"AAAAAC7/H5w=")</f>
        <v>#VALUE!</v>
      </c>
      <c r="FB238" t="e">
        <f>AND(Sheet1!J3202,"AAAAAC7/H50=")</f>
        <v>#VALUE!</v>
      </c>
      <c r="FC238" t="e">
        <f>AND(Sheet1!K3202,"AAAAAC7/H54=")</f>
        <v>#VALUE!</v>
      </c>
      <c r="FD238" t="e">
        <f>AND(Sheet1!L3202,"AAAAAC7/H58=")</f>
        <v>#VALUE!</v>
      </c>
      <c r="FE238" t="e">
        <f>AND(Sheet1!M3202,"AAAAAC7/H6A=")</f>
        <v>#VALUE!</v>
      </c>
      <c r="FF238" t="e">
        <f>AND(Sheet1!N3202,"AAAAAC7/H6E=")</f>
        <v>#VALUE!</v>
      </c>
      <c r="FG238" t="e">
        <f>AND(Sheet1!#REF!,"AAAAAC7/H6I=")</f>
        <v>#REF!</v>
      </c>
      <c r="FH238" t="e">
        <f>AND(Sheet1!#REF!,"AAAAAC7/H6M=")</f>
        <v>#REF!</v>
      </c>
      <c r="FI238" t="e">
        <f>AND(Sheet1!#REF!,"AAAAAC7/H6Q=")</f>
        <v>#REF!</v>
      </c>
      <c r="FJ238" t="e">
        <f>AND(Sheet1!#REF!,"AAAAAC7/H6U=")</f>
        <v>#REF!</v>
      </c>
      <c r="FK238">
        <f>IF(Sheet1!3203:3203,"AAAAAC7/H6Y=",0)</f>
        <v>0</v>
      </c>
      <c r="FL238" t="e">
        <f>AND(Sheet1!A3203,"AAAAAC7/H6c=")</f>
        <v>#VALUE!</v>
      </c>
      <c r="FM238" t="e">
        <f>AND(Sheet1!B3203,"AAAAAC7/H6g=")</f>
        <v>#VALUE!</v>
      </c>
      <c r="FN238" t="e">
        <f>AND(Sheet1!C3203,"AAAAAC7/H6k=")</f>
        <v>#VALUE!</v>
      </c>
      <c r="FO238" t="e">
        <f>AND(Sheet1!D3203,"AAAAAC7/H6o=")</f>
        <v>#VALUE!</v>
      </c>
      <c r="FP238" t="e">
        <f>AND(Sheet1!E3203,"AAAAAC7/H6s=")</f>
        <v>#VALUE!</v>
      </c>
      <c r="FQ238" t="e">
        <f>AND(Sheet1!F3203,"AAAAAC7/H6w=")</f>
        <v>#VALUE!</v>
      </c>
      <c r="FR238" t="e">
        <f>AND(Sheet1!G3203,"AAAAAC7/H60=")</f>
        <v>#VALUE!</v>
      </c>
      <c r="FS238" t="e">
        <f>AND(Sheet1!H3203,"AAAAAC7/H64=")</f>
        <v>#VALUE!</v>
      </c>
      <c r="FT238" t="e">
        <f>AND(Sheet1!I3203,"AAAAAC7/H68=")</f>
        <v>#VALUE!</v>
      </c>
      <c r="FU238" t="e">
        <f>AND(Sheet1!J3203,"AAAAAC7/H7A=")</f>
        <v>#VALUE!</v>
      </c>
      <c r="FV238" t="e">
        <f>AND(Sheet1!K3203,"AAAAAC7/H7E=")</f>
        <v>#VALUE!</v>
      </c>
      <c r="FW238" t="e">
        <f>AND(Sheet1!L3203,"AAAAAC7/H7I=")</f>
        <v>#VALUE!</v>
      </c>
      <c r="FX238" t="e">
        <f>AND(Sheet1!M3203,"AAAAAC7/H7M=")</f>
        <v>#VALUE!</v>
      </c>
      <c r="FY238" t="e">
        <f>AND(Sheet1!N3203,"AAAAAC7/H7Q=")</f>
        <v>#VALUE!</v>
      </c>
      <c r="FZ238" t="e">
        <f>AND(Sheet1!#REF!,"AAAAAC7/H7U=")</f>
        <v>#REF!</v>
      </c>
      <c r="GA238" t="e">
        <f>AND(Sheet1!#REF!,"AAAAAC7/H7Y=")</f>
        <v>#REF!</v>
      </c>
      <c r="GB238" t="e">
        <f>AND(Sheet1!#REF!,"AAAAAC7/H7c=")</f>
        <v>#REF!</v>
      </c>
      <c r="GC238" t="e">
        <f>AND(Sheet1!#REF!,"AAAAAC7/H7g=")</f>
        <v>#REF!</v>
      </c>
      <c r="GD238">
        <f>IF(Sheet1!3204:3204,"AAAAAC7/H7k=",0)</f>
        <v>0</v>
      </c>
      <c r="GE238" t="e">
        <f>AND(Sheet1!A3204,"AAAAAC7/H7o=")</f>
        <v>#VALUE!</v>
      </c>
      <c r="GF238" t="e">
        <f>AND(Sheet1!B3204,"AAAAAC7/H7s=")</f>
        <v>#VALUE!</v>
      </c>
      <c r="GG238" t="e">
        <f>AND(Sheet1!C3204,"AAAAAC7/H7w=")</f>
        <v>#VALUE!</v>
      </c>
      <c r="GH238" t="e">
        <f>AND(Sheet1!D3204,"AAAAAC7/H70=")</f>
        <v>#VALUE!</v>
      </c>
      <c r="GI238" t="e">
        <f>AND(Sheet1!E3204,"AAAAAC7/H74=")</f>
        <v>#VALUE!</v>
      </c>
      <c r="GJ238" t="e">
        <f>AND(Sheet1!F3204,"AAAAAC7/H78=")</f>
        <v>#VALUE!</v>
      </c>
      <c r="GK238" t="e">
        <f>AND(Sheet1!G3204,"AAAAAC7/H8A=")</f>
        <v>#VALUE!</v>
      </c>
      <c r="GL238" t="e">
        <f>AND(Sheet1!H3204,"AAAAAC7/H8E=")</f>
        <v>#VALUE!</v>
      </c>
      <c r="GM238" t="e">
        <f>AND(Sheet1!I3204,"AAAAAC7/H8I=")</f>
        <v>#VALUE!</v>
      </c>
      <c r="GN238" t="e">
        <f>AND(Sheet1!J3204,"AAAAAC7/H8M=")</f>
        <v>#VALUE!</v>
      </c>
      <c r="GO238" t="e">
        <f>AND(Sheet1!K3204,"AAAAAC7/H8Q=")</f>
        <v>#VALUE!</v>
      </c>
      <c r="GP238" t="e">
        <f>AND(Sheet1!L3204,"AAAAAC7/H8U=")</f>
        <v>#VALUE!</v>
      </c>
      <c r="GQ238" t="e">
        <f>AND(Sheet1!M3204,"AAAAAC7/H8Y=")</f>
        <v>#VALUE!</v>
      </c>
      <c r="GR238" t="e">
        <f>AND(Sheet1!N3204,"AAAAAC7/H8c=")</f>
        <v>#VALUE!</v>
      </c>
      <c r="GS238" t="e">
        <f>AND(Sheet1!#REF!,"AAAAAC7/H8g=")</f>
        <v>#REF!</v>
      </c>
      <c r="GT238" t="e">
        <f>AND(Sheet1!#REF!,"AAAAAC7/H8k=")</f>
        <v>#REF!</v>
      </c>
      <c r="GU238" t="e">
        <f>AND(Sheet1!#REF!,"AAAAAC7/H8o=")</f>
        <v>#REF!</v>
      </c>
      <c r="GV238" t="e">
        <f>AND(Sheet1!#REF!,"AAAAAC7/H8s=")</f>
        <v>#REF!</v>
      </c>
      <c r="GW238">
        <f>IF(Sheet1!3205:3205,"AAAAAC7/H8w=",0)</f>
        <v>0</v>
      </c>
      <c r="GX238" t="e">
        <f>AND(Sheet1!A3205,"AAAAAC7/H80=")</f>
        <v>#VALUE!</v>
      </c>
      <c r="GY238" t="e">
        <f>AND(Sheet1!B3205,"AAAAAC7/H84=")</f>
        <v>#VALUE!</v>
      </c>
      <c r="GZ238" t="e">
        <f>AND(Sheet1!C3205,"AAAAAC7/H88=")</f>
        <v>#VALUE!</v>
      </c>
      <c r="HA238" t="e">
        <f>AND(Sheet1!D3205,"AAAAAC7/H9A=")</f>
        <v>#VALUE!</v>
      </c>
      <c r="HB238" t="e">
        <f>AND(Sheet1!E3205,"AAAAAC7/H9E=")</f>
        <v>#VALUE!</v>
      </c>
      <c r="HC238" t="e">
        <f>AND(Sheet1!F3205,"AAAAAC7/H9I=")</f>
        <v>#VALUE!</v>
      </c>
      <c r="HD238" t="e">
        <f>AND(Sheet1!G3205,"AAAAAC7/H9M=")</f>
        <v>#VALUE!</v>
      </c>
      <c r="HE238" t="e">
        <f>AND(Sheet1!H3205,"AAAAAC7/H9Q=")</f>
        <v>#VALUE!</v>
      </c>
      <c r="HF238" t="e">
        <f>AND(Sheet1!I3205,"AAAAAC7/H9U=")</f>
        <v>#VALUE!</v>
      </c>
      <c r="HG238" t="e">
        <f>AND(Sheet1!J3205,"AAAAAC7/H9Y=")</f>
        <v>#VALUE!</v>
      </c>
      <c r="HH238" t="e">
        <f>AND(Sheet1!K3205,"AAAAAC7/H9c=")</f>
        <v>#VALUE!</v>
      </c>
      <c r="HI238" t="e">
        <f>AND(Sheet1!L3205,"AAAAAC7/H9g=")</f>
        <v>#VALUE!</v>
      </c>
      <c r="HJ238" t="e">
        <f>AND(Sheet1!M3205,"AAAAAC7/H9k=")</f>
        <v>#VALUE!</v>
      </c>
      <c r="HK238" t="e">
        <f>AND(Sheet1!N3205,"AAAAAC7/H9o=")</f>
        <v>#VALUE!</v>
      </c>
      <c r="HL238" t="e">
        <f>AND(Sheet1!#REF!,"AAAAAC7/H9s=")</f>
        <v>#REF!</v>
      </c>
      <c r="HM238" t="e">
        <f>AND(Sheet1!#REF!,"AAAAAC7/H9w=")</f>
        <v>#REF!</v>
      </c>
      <c r="HN238" t="e">
        <f>AND(Sheet1!#REF!,"AAAAAC7/H90=")</f>
        <v>#REF!</v>
      </c>
      <c r="HO238" t="e">
        <f>AND(Sheet1!#REF!,"AAAAAC7/H94=")</f>
        <v>#REF!</v>
      </c>
      <c r="HP238">
        <f>IF(Sheet1!3206:3206,"AAAAAC7/H98=",0)</f>
        <v>0</v>
      </c>
      <c r="HQ238" t="e">
        <f>AND(Sheet1!A3206,"AAAAAC7/H+A=")</f>
        <v>#VALUE!</v>
      </c>
      <c r="HR238" t="e">
        <f>AND(Sheet1!B3206,"AAAAAC7/H+E=")</f>
        <v>#VALUE!</v>
      </c>
      <c r="HS238" t="e">
        <f>AND(Sheet1!C3206,"AAAAAC7/H+I=")</f>
        <v>#VALUE!</v>
      </c>
      <c r="HT238" t="e">
        <f>AND(Sheet1!D3206,"AAAAAC7/H+M=")</f>
        <v>#VALUE!</v>
      </c>
      <c r="HU238" t="e">
        <f>AND(Sheet1!E3206,"AAAAAC7/H+Q=")</f>
        <v>#VALUE!</v>
      </c>
      <c r="HV238" t="e">
        <f>AND(Sheet1!F3206,"AAAAAC7/H+U=")</f>
        <v>#VALUE!</v>
      </c>
      <c r="HW238" t="e">
        <f>AND(Sheet1!G3206,"AAAAAC7/H+Y=")</f>
        <v>#VALUE!</v>
      </c>
      <c r="HX238" t="e">
        <f>AND(Sheet1!H3206,"AAAAAC7/H+c=")</f>
        <v>#VALUE!</v>
      </c>
      <c r="HY238" t="e">
        <f>AND(Sheet1!I3206,"AAAAAC7/H+g=")</f>
        <v>#VALUE!</v>
      </c>
      <c r="HZ238" t="e">
        <f>AND(Sheet1!J3206,"AAAAAC7/H+k=")</f>
        <v>#VALUE!</v>
      </c>
      <c r="IA238" t="e">
        <f>AND(Sheet1!K3206,"AAAAAC7/H+o=")</f>
        <v>#VALUE!</v>
      </c>
      <c r="IB238" t="e">
        <f>AND(Sheet1!L3206,"AAAAAC7/H+s=")</f>
        <v>#VALUE!</v>
      </c>
      <c r="IC238" t="e">
        <f>AND(Sheet1!M3206,"AAAAAC7/H+w=")</f>
        <v>#VALUE!</v>
      </c>
      <c r="ID238" t="e">
        <f>AND(Sheet1!N3206,"AAAAAC7/H+0=")</f>
        <v>#VALUE!</v>
      </c>
      <c r="IE238" t="e">
        <f>AND(Sheet1!#REF!,"AAAAAC7/H+4=")</f>
        <v>#REF!</v>
      </c>
      <c r="IF238" t="e">
        <f>AND(Sheet1!#REF!,"AAAAAC7/H+8=")</f>
        <v>#REF!</v>
      </c>
      <c r="IG238" t="e">
        <f>AND(Sheet1!#REF!,"AAAAAC7/H/A=")</f>
        <v>#REF!</v>
      </c>
      <c r="IH238" t="e">
        <f>AND(Sheet1!#REF!,"AAAAAC7/H/E=")</f>
        <v>#REF!</v>
      </c>
      <c r="II238">
        <f>IF(Sheet1!3207:3207,"AAAAAC7/H/I=",0)</f>
        <v>0</v>
      </c>
      <c r="IJ238" t="e">
        <f>AND(Sheet1!A3207,"AAAAAC7/H/M=")</f>
        <v>#VALUE!</v>
      </c>
      <c r="IK238" t="e">
        <f>AND(Sheet1!B3207,"AAAAAC7/H/Q=")</f>
        <v>#VALUE!</v>
      </c>
      <c r="IL238" t="e">
        <f>AND(Sheet1!C3207,"AAAAAC7/H/U=")</f>
        <v>#VALUE!</v>
      </c>
      <c r="IM238" t="e">
        <f>AND(Sheet1!D3207,"AAAAAC7/H/Y=")</f>
        <v>#VALUE!</v>
      </c>
      <c r="IN238" t="e">
        <f>AND(Sheet1!E3207,"AAAAAC7/H/c=")</f>
        <v>#VALUE!</v>
      </c>
      <c r="IO238" t="e">
        <f>AND(Sheet1!F3207,"AAAAAC7/H/g=")</f>
        <v>#VALUE!</v>
      </c>
      <c r="IP238" t="e">
        <f>AND(Sheet1!G3207,"AAAAAC7/H/k=")</f>
        <v>#VALUE!</v>
      </c>
      <c r="IQ238" t="e">
        <f>AND(Sheet1!H3207,"AAAAAC7/H/o=")</f>
        <v>#VALUE!</v>
      </c>
      <c r="IR238" t="e">
        <f>AND(Sheet1!I3207,"AAAAAC7/H/s=")</f>
        <v>#VALUE!</v>
      </c>
      <c r="IS238" t="e">
        <f>AND(Sheet1!J3207,"AAAAAC7/H/w=")</f>
        <v>#VALUE!</v>
      </c>
      <c r="IT238" t="e">
        <f>AND(Sheet1!K3207,"AAAAAC7/H/0=")</f>
        <v>#VALUE!</v>
      </c>
      <c r="IU238" t="e">
        <f>AND(Sheet1!L3207,"AAAAAC7/H/4=")</f>
        <v>#VALUE!</v>
      </c>
      <c r="IV238" t="e">
        <f>AND(Sheet1!M3207,"AAAAAC7/H/8=")</f>
        <v>#VALUE!</v>
      </c>
    </row>
    <row r="239" spans="1:256" x14ac:dyDescent="0.2">
      <c r="A239" t="e">
        <f>AND(Sheet1!N3207,"AAAAAHbvnwA=")</f>
        <v>#VALUE!</v>
      </c>
      <c r="B239" t="e">
        <f>AND(Sheet1!#REF!,"AAAAAHbvnwE=")</f>
        <v>#REF!</v>
      </c>
      <c r="C239" t="e">
        <f>AND(Sheet1!#REF!,"AAAAAHbvnwI=")</f>
        <v>#REF!</v>
      </c>
      <c r="D239" t="e">
        <f>AND(Sheet1!#REF!,"AAAAAHbvnwM=")</f>
        <v>#REF!</v>
      </c>
      <c r="E239" t="e">
        <f>AND(Sheet1!#REF!,"AAAAAHbvnwQ=")</f>
        <v>#REF!</v>
      </c>
      <c r="F239" t="e">
        <f>IF(Sheet1!3208:3208,"AAAAAHbvnwU=",0)</f>
        <v>#VALUE!</v>
      </c>
      <c r="G239" t="e">
        <f>AND(Sheet1!A3208,"AAAAAHbvnwY=")</f>
        <v>#VALUE!</v>
      </c>
      <c r="H239" t="e">
        <f>AND(Sheet1!B3208,"AAAAAHbvnwc=")</f>
        <v>#VALUE!</v>
      </c>
      <c r="I239" t="e">
        <f>AND(Sheet1!C3208,"AAAAAHbvnwg=")</f>
        <v>#VALUE!</v>
      </c>
      <c r="J239" t="e">
        <f>AND(Sheet1!D3208,"AAAAAHbvnwk=")</f>
        <v>#VALUE!</v>
      </c>
      <c r="K239" t="e">
        <f>AND(Sheet1!E3208,"AAAAAHbvnwo=")</f>
        <v>#VALUE!</v>
      </c>
      <c r="L239" t="e">
        <f>AND(Sheet1!F3208,"AAAAAHbvnws=")</f>
        <v>#VALUE!</v>
      </c>
      <c r="M239" t="e">
        <f>AND(Sheet1!G3208,"AAAAAHbvnww=")</f>
        <v>#VALUE!</v>
      </c>
      <c r="N239" t="e">
        <f>AND(Sheet1!H3208,"AAAAAHbvnw0=")</f>
        <v>#VALUE!</v>
      </c>
      <c r="O239" t="e">
        <f>AND(Sheet1!I3208,"AAAAAHbvnw4=")</f>
        <v>#VALUE!</v>
      </c>
      <c r="P239" t="e">
        <f>AND(Sheet1!J3208,"AAAAAHbvnw8=")</f>
        <v>#VALUE!</v>
      </c>
      <c r="Q239" t="e">
        <f>AND(Sheet1!K3208,"AAAAAHbvnxA=")</f>
        <v>#VALUE!</v>
      </c>
      <c r="R239" t="e">
        <f>AND(Sheet1!L3208,"AAAAAHbvnxE=")</f>
        <v>#VALUE!</v>
      </c>
      <c r="S239" t="e">
        <f>AND(Sheet1!M3208,"AAAAAHbvnxI=")</f>
        <v>#VALUE!</v>
      </c>
      <c r="T239" t="e">
        <f>AND(Sheet1!N3208,"AAAAAHbvnxM=")</f>
        <v>#VALUE!</v>
      </c>
      <c r="U239" t="e">
        <f>AND(Sheet1!#REF!,"AAAAAHbvnxQ=")</f>
        <v>#REF!</v>
      </c>
      <c r="V239" t="e">
        <f>AND(Sheet1!#REF!,"AAAAAHbvnxU=")</f>
        <v>#REF!</v>
      </c>
      <c r="W239" t="e">
        <f>AND(Sheet1!#REF!,"AAAAAHbvnxY=")</f>
        <v>#REF!</v>
      </c>
      <c r="X239" t="e">
        <f>AND(Sheet1!#REF!,"AAAAAHbvnxc=")</f>
        <v>#REF!</v>
      </c>
      <c r="Y239">
        <f>IF(Sheet1!3209:3209,"AAAAAHbvnxg=",0)</f>
        <v>0</v>
      </c>
      <c r="Z239" t="e">
        <f>AND(Sheet1!A3209,"AAAAAHbvnxk=")</f>
        <v>#VALUE!</v>
      </c>
      <c r="AA239" t="e">
        <f>AND(Sheet1!B3209,"AAAAAHbvnxo=")</f>
        <v>#VALUE!</v>
      </c>
      <c r="AB239" t="e">
        <f>AND(Sheet1!C3209,"AAAAAHbvnxs=")</f>
        <v>#VALUE!</v>
      </c>
      <c r="AC239" t="e">
        <f>AND(Sheet1!D3209,"AAAAAHbvnxw=")</f>
        <v>#VALUE!</v>
      </c>
      <c r="AD239" t="e">
        <f>AND(Sheet1!E3209,"AAAAAHbvnx0=")</f>
        <v>#VALUE!</v>
      </c>
      <c r="AE239" t="e">
        <f>AND(Sheet1!F3209,"AAAAAHbvnx4=")</f>
        <v>#VALUE!</v>
      </c>
      <c r="AF239" t="e">
        <f>AND(Sheet1!G3209,"AAAAAHbvnx8=")</f>
        <v>#VALUE!</v>
      </c>
      <c r="AG239" t="e">
        <f>AND(Sheet1!H3209,"AAAAAHbvnyA=")</f>
        <v>#VALUE!</v>
      </c>
      <c r="AH239" t="e">
        <f>AND(Sheet1!I3209,"AAAAAHbvnyE=")</f>
        <v>#VALUE!</v>
      </c>
      <c r="AI239" t="e">
        <f>AND(Sheet1!J3209,"AAAAAHbvnyI=")</f>
        <v>#VALUE!</v>
      </c>
      <c r="AJ239" t="e">
        <f>AND(Sheet1!K3209,"AAAAAHbvnyM=")</f>
        <v>#VALUE!</v>
      </c>
      <c r="AK239" t="e">
        <f>AND(Sheet1!L3209,"AAAAAHbvnyQ=")</f>
        <v>#VALUE!</v>
      </c>
      <c r="AL239" t="e">
        <f>AND(Sheet1!M3209,"AAAAAHbvnyU=")</f>
        <v>#VALUE!</v>
      </c>
      <c r="AM239" t="e">
        <f>AND(Sheet1!N3209,"AAAAAHbvnyY=")</f>
        <v>#VALUE!</v>
      </c>
      <c r="AN239" t="e">
        <f>AND(Sheet1!#REF!,"AAAAAHbvnyc=")</f>
        <v>#REF!</v>
      </c>
      <c r="AO239" t="e">
        <f>AND(Sheet1!#REF!,"AAAAAHbvnyg=")</f>
        <v>#REF!</v>
      </c>
      <c r="AP239" t="e">
        <f>AND(Sheet1!#REF!,"AAAAAHbvnyk=")</f>
        <v>#REF!</v>
      </c>
      <c r="AQ239" t="e">
        <f>AND(Sheet1!#REF!,"AAAAAHbvnyo=")</f>
        <v>#REF!</v>
      </c>
      <c r="AR239">
        <f>IF(Sheet1!3210:3210,"AAAAAHbvnys=",0)</f>
        <v>0</v>
      </c>
      <c r="AS239" t="e">
        <f>AND(Sheet1!A3210,"AAAAAHbvnyw=")</f>
        <v>#VALUE!</v>
      </c>
      <c r="AT239" t="e">
        <f>AND(Sheet1!B3210,"AAAAAHbvny0=")</f>
        <v>#VALUE!</v>
      </c>
      <c r="AU239" t="e">
        <f>AND(Sheet1!C3210,"AAAAAHbvny4=")</f>
        <v>#VALUE!</v>
      </c>
      <c r="AV239" t="e">
        <f>AND(Sheet1!D3210,"AAAAAHbvny8=")</f>
        <v>#VALUE!</v>
      </c>
      <c r="AW239" t="e">
        <f>AND(Sheet1!E3210,"AAAAAHbvnzA=")</f>
        <v>#VALUE!</v>
      </c>
      <c r="AX239" t="e">
        <f>AND(Sheet1!F3210,"AAAAAHbvnzE=")</f>
        <v>#VALUE!</v>
      </c>
      <c r="AY239" t="e">
        <f>AND(Sheet1!G3210,"AAAAAHbvnzI=")</f>
        <v>#VALUE!</v>
      </c>
      <c r="AZ239" t="e">
        <f>AND(Sheet1!H3210,"AAAAAHbvnzM=")</f>
        <v>#VALUE!</v>
      </c>
      <c r="BA239" t="e">
        <f>AND(Sheet1!I3210,"AAAAAHbvnzQ=")</f>
        <v>#VALUE!</v>
      </c>
      <c r="BB239" t="e">
        <f>AND(Sheet1!J3210,"AAAAAHbvnzU=")</f>
        <v>#VALUE!</v>
      </c>
      <c r="BC239" t="e">
        <f>AND(Sheet1!K3210,"AAAAAHbvnzY=")</f>
        <v>#VALUE!</v>
      </c>
      <c r="BD239" t="e">
        <f>AND(Sheet1!L3210,"AAAAAHbvnzc=")</f>
        <v>#VALUE!</v>
      </c>
      <c r="BE239" t="e">
        <f>AND(Sheet1!M3210,"AAAAAHbvnzg=")</f>
        <v>#VALUE!</v>
      </c>
      <c r="BF239" t="e">
        <f>AND(Sheet1!N3210,"AAAAAHbvnzk=")</f>
        <v>#VALUE!</v>
      </c>
      <c r="BG239" t="e">
        <f>AND(Sheet1!#REF!,"AAAAAHbvnzo=")</f>
        <v>#REF!</v>
      </c>
      <c r="BH239" t="e">
        <f>AND(Sheet1!#REF!,"AAAAAHbvnzs=")</f>
        <v>#REF!</v>
      </c>
      <c r="BI239" t="e">
        <f>AND(Sheet1!#REF!,"AAAAAHbvnzw=")</f>
        <v>#REF!</v>
      </c>
      <c r="BJ239" t="e">
        <f>AND(Sheet1!#REF!,"AAAAAHbvnz0=")</f>
        <v>#REF!</v>
      </c>
      <c r="BK239">
        <f>IF(Sheet1!3211:3211,"AAAAAHbvnz4=",0)</f>
        <v>0</v>
      </c>
      <c r="BL239" t="e">
        <f>AND(Sheet1!A3211,"AAAAAHbvnz8=")</f>
        <v>#VALUE!</v>
      </c>
      <c r="BM239" t="e">
        <f>AND(Sheet1!B3211,"AAAAAHbvn0A=")</f>
        <v>#VALUE!</v>
      </c>
      <c r="BN239" t="e">
        <f>AND(Sheet1!C3211,"AAAAAHbvn0E=")</f>
        <v>#VALUE!</v>
      </c>
      <c r="BO239" t="e">
        <f>AND(Sheet1!D3211,"AAAAAHbvn0I=")</f>
        <v>#VALUE!</v>
      </c>
      <c r="BP239" t="e">
        <f>AND(Sheet1!E3211,"AAAAAHbvn0M=")</f>
        <v>#VALUE!</v>
      </c>
      <c r="BQ239" t="e">
        <f>AND(Sheet1!F3211,"AAAAAHbvn0Q=")</f>
        <v>#VALUE!</v>
      </c>
      <c r="BR239" t="e">
        <f>AND(Sheet1!G3211,"AAAAAHbvn0U=")</f>
        <v>#VALUE!</v>
      </c>
      <c r="BS239" t="e">
        <f>AND(Sheet1!H3211,"AAAAAHbvn0Y=")</f>
        <v>#VALUE!</v>
      </c>
      <c r="BT239" t="e">
        <f>AND(Sheet1!I3211,"AAAAAHbvn0c=")</f>
        <v>#VALUE!</v>
      </c>
      <c r="BU239" t="e">
        <f>AND(Sheet1!J3211,"AAAAAHbvn0g=")</f>
        <v>#VALUE!</v>
      </c>
      <c r="BV239" t="e">
        <f>AND(Sheet1!K3211,"AAAAAHbvn0k=")</f>
        <v>#VALUE!</v>
      </c>
      <c r="BW239" t="e">
        <f>AND(Sheet1!L3211,"AAAAAHbvn0o=")</f>
        <v>#VALUE!</v>
      </c>
      <c r="BX239" t="e">
        <f>AND(Sheet1!M3211,"AAAAAHbvn0s=")</f>
        <v>#VALUE!</v>
      </c>
      <c r="BY239" t="e">
        <f>AND(Sheet1!N3211,"AAAAAHbvn0w=")</f>
        <v>#VALUE!</v>
      </c>
      <c r="BZ239" t="e">
        <f>AND(Sheet1!#REF!,"AAAAAHbvn00=")</f>
        <v>#REF!</v>
      </c>
      <c r="CA239" t="e">
        <f>AND(Sheet1!#REF!,"AAAAAHbvn04=")</f>
        <v>#REF!</v>
      </c>
      <c r="CB239" t="e">
        <f>AND(Sheet1!#REF!,"AAAAAHbvn08=")</f>
        <v>#REF!</v>
      </c>
      <c r="CC239" t="e">
        <f>AND(Sheet1!#REF!,"AAAAAHbvn1A=")</f>
        <v>#REF!</v>
      </c>
      <c r="CD239">
        <f>IF(Sheet1!3212:3212,"AAAAAHbvn1E=",0)</f>
        <v>0</v>
      </c>
      <c r="CE239" t="e">
        <f>AND(Sheet1!A3212,"AAAAAHbvn1I=")</f>
        <v>#VALUE!</v>
      </c>
      <c r="CF239" t="e">
        <f>AND(Sheet1!B3212,"AAAAAHbvn1M=")</f>
        <v>#VALUE!</v>
      </c>
      <c r="CG239" t="e">
        <f>AND(Sheet1!C3212,"AAAAAHbvn1Q=")</f>
        <v>#VALUE!</v>
      </c>
      <c r="CH239" t="e">
        <f>AND(Sheet1!D3212,"AAAAAHbvn1U=")</f>
        <v>#VALUE!</v>
      </c>
      <c r="CI239" t="e">
        <f>AND(Sheet1!E3212,"AAAAAHbvn1Y=")</f>
        <v>#VALUE!</v>
      </c>
      <c r="CJ239" t="e">
        <f>AND(Sheet1!F3212,"AAAAAHbvn1c=")</f>
        <v>#VALUE!</v>
      </c>
      <c r="CK239" t="e">
        <f>AND(Sheet1!G3212,"AAAAAHbvn1g=")</f>
        <v>#VALUE!</v>
      </c>
      <c r="CL239" t="e">
        <f>AND(Sheet1!H3212,"AAAAAHbvn1k=")</f>
        <v>#VALUE!</v>
      </c>
      <c r="CM239" t="e">
        <f>AND(Sheet1!I3212,"AAAAAHbvn1o=")</f>
        <v>#VALUE!</v>
      </c>
      <c r="CN239" t="e">
        <f>AND(Sheet1!J3212,"AAAAAHbvn1s=")</f>
        <v>#VALUE!</v>
      </c>
      <c r="CO239" t="e">
        <f>AND(Sheet1!K3212,"AAAAAHbvn1w=")</f>
        <v>#VALUE!</v>
      </c>
      <c r="CP239" t="e">
        <f>AND(Sheet1!L3212,"AAAAAHbvn10=")</f>
        <v>#VALUE!</v>
      </c>
      <c r="CQ239" t="e">
        <f>AND(Sheet1!M3212,"AAAAAHbvn14=")</f>
        <v>#VALUE!</v>
      </c>
      <c r="CR239" t="e">
        <f>AND(Sheet1!N3212,"AAAAAHbvn18=")</f>
        <v>#VALUE!</v>
      </c>
      <c r="CS239" t="e">
        <f>AND(Sheet1!#REF!,"AAAAAHbvn2A=")</f>
        <v>#REF!</v>
      </c>
      <c r="CT239" t="e">
        <f>AND(Sheet1!#REF!,"AAAAAHbvn2E=")</f>
        <v>#REF!</v>
      </c>
      <c r="CU239" t="e">
        <f>AND(Sheet1!#REF!,"AAAAAHbvn2I=")</f>
        <v>#REF!</v>
      </c>
      <c r="CV239" t="e">
        <f>AND(Sheet1!#REF!,"AAAAAHbvn2M=")</f>
        <v>#REF!</v>
      </c>
      <c r="CW239">
        <f>IF(Sheet1!3213:3213,"AAAAAHbvn2Q=",0)</f>
        <v>0</v>
      </c>
      <c r="CX239" t="e">
        <f>AND(Sheet1!A3213,"AAAAAHbvn2U=")</f>
        <v>#VALUE!</v>
      </c>
      <c r="CY239" t="e">
        <f>AND(Sheet1!B3213,"AAAAAHbvn2Y=")</f>
        <v>#VALUE!</v>
      </c>
      <c r="CZ239" t="e">
        <f>AND(Sheet1!C3213,"AAAAAHbvn2c=")</f>
        <v>#VALUE!</v>
      </c>
      <c r="DA239" t="e">
        <f>AND(Sheet1!D3213,"AAAAAHbvn2g=")</f>
        <v>#VALUE!</v>
      </c>
      <c r="DB239" t="e">
        <f>AND(Sheet1!E3213,"AAAAAHbvn2k=")</f>
        <v>#VALUE!</v>
      </c>
      <c r="DC239" t="e">
        <f>AND(Sheet1!F3213,"AAAAAHbvn2o=")</f>
        <v>#VALUE!</v>
      </c>
      <c r="DD239" t="e">
        <f>AND(Sheet1!G3213,"AAAAAHbvn2s=")</f>
        <v>#VALUE!</v>
      </c>
      <c r="DE239" t="e">
        <f>AND(Sheet1!H3213,"AAAAAHbvn2w=")</f>
        <v>#VALUE!</v>
      </c>
      <c r="DF239" t="e">
        <f>AND(Sheet1!I3213,"AAAAAHbvn20=")</f>
        <v>#VALUE!</v>
      </c>
      <c r="DG239" t="e">
        <f>AND(Sheet1!J3213,"AAAAAHbvn24=")</f>
        <v>#VALUE!</v>
      </c>
      <c r="DH239" t="e">
        <f>AND(Sheet1!K3213,"AAAAAHbvn28=")</f>
        <v>#VALUE!</v>
      </c>
      <c r="DI239" t="e">
        <f>AND(Sheet1!L3213,"AAAAAHbvn3A=")</f>
        <v>#VALUE!</v>
      </c>
      <c r="DJ239" t="e">
        <f>AND(Sheet1!M3213,"AAAAAHbvn3E=")</f>
        <v>#VALUE!</v>
      </c>
      <c r="DK239" t="e">
        <f>AND(Sheet1!N3213,"AAAAAHbvn3I=")</f>
        <v>#VALUE!</v>
      </c>
      <c r="DL239" t="e">
        <f>AND(Sheet1!#REF!,"AAAAAHbvn3M=")</f>
        <v>#REF!</v>
      </c>
      <c r="DM239" t="e">
        <f>AND(Sheet1!#REF!,"AAAAAHbvn3Q=")</f>
        <v>#REF!</v>
      </c>
      <c r="DN239" t="e">
        <f>AND(Sheet1!#REF!,"AAAAAHbvn3U=")</f>
        <v>#REF!</v>
      </c>
      <c r="DO239" t="e">
        <f>AND(Sheet1!#REF!,"AAAAAHbvn3Y=")</f>
        <v>#REF!</v>
      </c>
      <c r="DP239">
        <f>IF(Sheet1!3214:3214,"AAAAAHbvn3c=",0)</f>
        <v>0</v>
      </c>
      <c r="DQ239" t="e">
        <f>AND(Sheet1!A3214,"AAAAAHbvn3g=")</f>
        <v>#VALUE!</v>
      </c>
      <c r="DR239" t="e">
        <f>AND(Sheet1!B3214,"AAAAAHbvn3k=")</f>
        <v>#VALUE!</v>
      </c>
      <c r="DS239" t="e">
        <f>AND(Sheet1!C3214,"AAAAAHbvn3o=")</f>
        <v>#VALUE!</v>
      </c>
      <c r="DT239" t="e">
        <f>AND(Sheet1!D3214,"AAAAAHbvn3s=")</f>
        <v>#VALUE!</v>
      </c>
      <c r="DU239" t="e">
        <f>AND(Sheet1!E3214,"AAAAAHbvn3w=")</f>
        <v>#VALUE!</v>
      </c>
      <c r="DV239" t="e">
        <f>AND(Sheet1!F3214,"AAAAAHbvn30=")</f>
        <v>#VALUE!</v>
      </c>
      <c r="DW239" t="e">
        <f>AND(Sheet1!G3214,"AAAAAHbvn34=")</f>
        <v>#VALUE!</v>
      </c>
      <c r="DX239" t="e">
        <f>AND(Sheet1!H3214,"AAAAAHbvn38=")</f>
        <v>#VALUE!</v>
      </c>
      <c r="DY239" t="e">
        <f>AND(Sheet1!I3214,"AAAAAHbvn4A=")</f>
        <v>#VALUE!</v>
      </c>
      <c r="DZ239" t="e">
        <f>AND(Sheet1!J3214,"AAAAAHbvn4E=")</f>
        <v>#VALUE!</v>
      </c>
      <c r="EA239" t="e">
        <f>AND(Sheet1!K3214,"AAAAAHbvn4I=")</f>
        <v>#VALUE!</v>
      </c>
      <c r="EB239" t="e">
        <f>AND(Sheet1!L3214,"AAAAAHbvn4M=")</f>
        <v>#VALUE!</v>
      </c>
      <c r="EC239" t="e">
        <f>AND(Sheet1!M3214,"AAAAAHbvn4Q=")</f>
        <v>#VALUE!</v>
      </c>
      <c r="ED239" t="e">
        <f>AND(Sheet1!N3214,"AAAAAHbvn4U=")</f>
        <v>#VALUE!</v>
      </c>
      <c r="EE239" t="e">
        <f>AND(Sheet1!#REF!,"AAAAAHbvn4Y=")</f>
        <v>#REF!</v>
      </c>
      <c r="EF239" t="e">
        <f>AND(Sheet1!#REF!,"AAAAAHbvn4c=")</f>
        <v>#REF!</v>
      </c>
      <c r="EG239" t="e">
        <f>AND(Sheet1!#REF!,"AAAAAHbvn4g=")</f>
        <v>#REF!</v>
      </c>
      <c r="EH239" t="e">
        <f>AND(Sheet1!#REF!,"AAAAAHbvn4k=")</f>
        <v>#REF!</v>
      </c>
      <c r="EI239">
        <f>IF(Sheet1!3215:3215,"AAAAAHbvn4o=",0)</f>
        <v>0</v>
      </c>
      <c r="EJ239" t="e">
        <f>AND(Sheet1!A3215,"AAAAAHbvn4s=")</f>
        <v>#VALUE!</v>
      </c>
      <c r="EK239" t="e">
        <f>AND(Sheet1!B3215,"AAAAAHbvn4w=")</f>
        <v>#VALUE!</v>
      </c>
      <c r="EL239" t="e">
        <f>AND(Sheet1!C3215,"AAAAAHbvn40=")</f>
        <v>#VALUE!</v>
      </c>
      <c r="EM239" t="e">
        <f>AND(Sheet1!D3215,"AAAAAHbvn44=")</f>
        <v>#VALUE!</v>
      </c>
      <c r="EN239" t="e">
        <f>AND(Sheet1!E3215,"AAAAAHbvn48=")</f>
        <v>#VALUE!</v>
      </c>
      <c r="EO239" t="e">
        <f>AND(Sheet1!F3215,"AAAAAHbvn5A=")</f>
        <v>#VALUE!</v>
      </c>
      <c r="EP239" t="e">
        <f>AND(Sheet1!G3215,"AAAAAHbvn5E=")</f>
        <v>#VALUE!</v>
      </c>
      <c r="EQ239" t="e">
        <f>AND(Sheet1!H3215,"AAAAAHbvn5I=")</f>
        <v>#VALUE!</v>
      </c>
      <c r="ER239" t="e">
        <f>AND(Sheet1!I3215,"AAAAAHbvn5M=")</f>
        <v>#VALUE!</v>
      </c>
      <c r="ES239" t="e">
        <f>AND(Sheet1!J3215,"AAAAAHbvn5Q=")</f>
        <v>#VALUE!</v>
      </c>
      <c r="ET239" t="e">
        <f>AND(Sheet1!K3215,"AAAAAHbvn5U=")</f>
        <v>#VALUE!</v>
      </c>
      <c r="EU239" t="e">
        <f>AND(Sheet1!L3215,"AAAAAHbvn5Y=")</f>
        <v>#VALUE!</v>
      </c>
      <c r="EV239" t="e">
        <f>AND(Sheet1!M3215,"AAAAAHbvn5c=")</f>
        <v>#VALUE!</v>
      </c>
      <c r="EW239" t="e">
        <f>AND(Sheet1!N3215,"AAAAAHbvn5g=")</f>
        <v>#VALUE!</v>
      </c>
      <c r="EX239" t="e">
        <f>AND(Sheet1!#REF!,"AAAAAHbvn5k=")</f>
        <v>#REF!</v>
      </c>
      <c r="EY239" t="e">
        <f>AND(Sheet1!#REF!,"AAAAAHbvn5o=")</f>
        <v>#REF!</v>
      </c>
      <c r="EZ239" t="e">
        <f>AND(Sheet1!#REF!,"AAAAAHbvn5s=")</f>
        <v>#REF!</v>
      </c>
      <c r="FA239" t="e">
        <f>AND(Sheet1!#REF!,"AAAAAHbvn5w=")</f>
        <v>#REF!</v>
      </c>
      <c r="FB239">
        <f>IF(Sheet1!3216:3216,"AAAAAHbvn50=",0)</f>
        <v>0</v>
      </c>
      <c r="FC239" t="e">
        <f>AND(Sheet1!A3216,"AAAAAHbvn54=")</f>
        <v>#VALUE!</v>
      </c>
      <c r="FD239" t="e">
        <f>AND(Sheet1!B3216,"AAAAAHbvn58=")</f>
        <v>#VALUE!</v>
      </c>
      <c r="FE239" t="e">
        <f>AND(Sheet1!C3216,"AAAAAHbvn6A=")</f>
        <v>#VALUE!</v>
      </c>
      <c r="FF239" t="e">
        <f>AND(Sheet1!D3216,"AAAAAHbvn6E=")</f>
        <v>#VALUE!</v>
      </c>
      <c r="FG239" t="e">
        <f>AND(Sheet1!E3216,"AAAAAHbvn6I=")</f>
        <v>#VALUE!</v>
      </c>
      <c r="FH239" t="e">
        <f>AND(Sheet1!F3216,"AAAAAHbvn6M=")</f>
        <v>#VALUE!</v>
      </c>
      <c r="FI239" t="e">
        <f>AND(Sheet1!G3216,"AAAAAHbvn6Q=")</f>
        <v>#VALUE!</v>
      </c>
      <c r="FJ239" t="e">
        <f>AND(Sheet1!H3216,"AAAAAHbvn6U=")</f>
        <v>#VALUE!</v>
      </c>
      <c r="FK239" t="e">
        <f>AND(Sheet1!I3216,"AAAAAHbvn6Y=")</f>
        <v>#VALUE!</v>
      </c>
      <c r="FL239" t="e">
        <f>AND(Sheet1!J3216,"AAAAAHbvn6c=")</f>
        <v>#VALUE!</v>
      </c>
      <c r="FM239" t="e">
        <f>AND(Sheet1!K3216,"AAAAAHbvn6g=")</f>
        <v>#VALUE!</v>
      </c>
      <c r="FN239" t="e">
        <f>AND(Sheet1!L3216,"AAAAAHbvn6k=")</f>
        <v>#VALUE!</v>
      </c>
      <c r="FO239" t="e">
        <f>AND(Sheet1!M3216,"AAAAAHbvn6o=")</f>
        <v>#VALUE!</v>
      </c>
      <c r="FP239" t="e">
        <f>AND(Sheet1!N3216,"AAAAAHbvn6s=")</f>
        <v>#VALUE!</v>
      </c>
      <c r="FQ239" t="e">
        <f>AND(Sheet1!#REF!,"AAAAAHbvn6w=")</f>
        <v>#REF!</v>
      </c>
      <c r="FR239" t="e">
        <f>AND(Sheet1!#REF!,"AAAAAHbvn60=")</f>
        <v>#REF!</v>
      </c>
      <c r="FS239" t="e">
        <f>AND(Sheet1!#REF!,"AAAAAHbvn64=")</f>
        <v>#REF!</v>
      </c>
      <c r="FT239" t="e">
        <f>AND(Sheet1!#REF!,"AAAAAHbvn68=")</f>
        <v>#REF!</v>
      </c>
      <c r="FU239">
        <f>IF(Sheet1!3217:3217,"AAAAAHbvn7A=",0)</f>
        <v>0</v>
      </c>
      <c r="FV239" t="e">
        <f>AND(Sheet1!A3217,"AAAAAHbvn7E=")</f>
        <v>#VALUE!</v>
      </c>
      <c r="FW239" t="e">
        <f>AND(Sheet1!B3217,"AAAAAHbvn7I=")</f>
        <v>#VALUE!</v>
      </c>
      <c r="FX239" t="e">
        <f>AND(Sheet1!C3217,"AAAAAHbvn7M=")</f>
        <v>#VALUE!</v>
      </c>
      <c r="FY239" t="e">
        <f>AND(Sheet1!D3217,"AAAAAHbvn7Q=")</f>
        <v>#VALUE!</v>
      </c>
      <c r="FZ239" t="e">
        <f>AND(Sheet1!E3217,"AAAAAHbvn7U=")</f>
        <v>#VALUE!</v>
      </c>
      <c r="GA239" t="e">
        <f>AND(Sheet1!F3217,"AAAAAHbvn7Y=")</f>
        <v>#VALUE!</v>
      </c>
      <c r="GB239" t="e">
        <f>AND(Sheet1!G3217,"AAAAAHbvn7c=")</f>
        <v>#VALUE!</v>
      </c>
      <c r="GC239" t="e">
        <f>AND(Sheet1!H3217,"AAAAAHbvn7g=")</f>
        <v>#VALUE!</v>
      </c>
      <c r="GD239" t="e">
        <f>AND(Sheet1!I3217,"AAAAAHbvn7k=")</f>
        <v>#VALUE!</v>
      </c>
      <c r="GE239" t="e">
        <f>AND(Sheet1!J3217,"AAAAAHbvn7o=")</f>
        <v>#VALUE!</v>
      </c>
      <c r="GF239" t="e">
        <f>AND(Sheet1!K3217,"AAAAAHbvn7s=")</f>
        <v>#VALUE!</v>
      </c>
      <c r="GG239" t="e">
        <f>AND(Sheet1!L3217,"AAAAAHbvn7w=")</f>
        <v>#VALUE!</v>
      </c>
      <c r="GH239" t="e">
        <f>AND(Sheet1!M3217,"AAAAAHbvn70=")</f>
        <v>#VALUE!</v>
      </c>
      <c r="GI239" t="e">
        <f>AND(Sheet1!N3217,"AAAAAHbvn74=")</f>
        <v>#VALUE!</v>
      </c>
      <c r="GJ239" t="e">
        <f>AND(Sheet1!#REF!,"AAAAAHbvn78=")</f>
        <v>#REF!</v>
      </c>
      <c r="GK239" t="e">
        <f>AND(Sheet1!#REF!,"AAAAAHbvn8A=")</f>
        <v>#REF!</v>
      </c>
      <c r="GL239" t="e">
        <f>AND(Sheet1!#REF!,"AAAAAHbvn8E=")</f>
        <v>#REF!</v>
      </c>
      <c r="GM239" t="e">
        <f>AND(Sheet1!#REF!,"AAAAAHbvn8I=")</f>
        <v>#REF!</v>
      </c>
      <c r="GN239">
        <f>IF(Sheet1!3218:3218,"AAAAAHbvn8M=",0)</f>
        <v>0</v>
      </c>
      <c r="GO239" t="e">
        <f>AND(Sheet1!A3218,"AAAAAHbvn8Q=")</f>
        <v>#VALUE!</v>
      </c>
      <c r="GP239" t="e">
        <f>AND(Sheet1!B3218,"AAAAAHbvn8U=")</f>
        <v>#VALUE!</v>
      </c>
      <c r="GQ239" t="e">
        <f>AND(Sheet1!C3218,"AAAAAHbvn8Y=")</f>
        <v>#VALUE!</v>
      </c>
      <c r="GR239" t="e">
        <f>AND(Sheet1!D3218,"AAAAAHbvn8c=")</f>
        <v>#VALUE!</v>
      </c>
      <c r="GS239" t="e">
        <f>AND(Sheet1!E3218,"AAAAAHbvn8g=")</f>
        <v>#VALUE!</v>
      </c>
      <c r="GT239" t="e">
        <f>AND(Sheet1!F3218,"AAAAAHbvn8k=")</f>
        <v>#VALUE!</v>
      </c>
      <c r="GU239" t="e">
        <f>AND(Sheet1!G3218,"AAAAAHbvn8o=")</f>
        <v>#VALUE!</v>
      </c>
      <c r="GV239" t="e">
        <f>AND(Sheet1!H3218,"AAAAAHbvn8s=")</f>
        <v>#VALUE!</v>
      </c>
      <c r="GW239" t="e">
        <f>AND(Sheet1!I3218,"AAAAAHbvn8w=")</f>
        <v>#VALUE!</v>
      </c>
      <c r="GX239" t="e">
        <f>AND(Sheet1!J3218,"AAAAAHbvn80=")</f>
        <v>#VALUE!</v>
      </c>
      <c r="GY239" t="e">
        <f>AND(Sheet1!K3218,"AAAAAHbvn84=")</f>
        <v>#VALUE!</v>
      </c>
      <c r="GZ239" t="e">
        <f>AND(Sheet1!L3218,"AAAAAHbvn88=")</f>
        <v>#VALUE!</v>
      </c>
      <c r="HA239" t="e">
        <f>AND(Sheet1!M3218,"AAAAAHbvn9A=")</f>
        <v>#VALUE!</v>
      </c>
      <c r="HB239" t="e">
        <f>AND(Sheet1!N3218,"AAAAAHbvn9E=")</f>
        <v>#VALUE!</v>
      </c>
      <c r="HC239" t="e">
        <f>AND(Sheet1!#REF!,"AAAAAHbvn9I=")</f>
        <v>#REF!</v>
      </c>
      <c r="HD239" t="e">
        <f>AND(Sheet1!#REF!,"AAAAAHbvn9M=")</f>
        <v>#REF!</v>
      </c>
      <c r="HE239" t="e">
        <f>AND(Sheet1!#REF!,"AAAAAHbvn9Q=")</f>
        <v>#REF!</v>
      </c>
      <c r="HF239" t="e">
        <f>AND(Sheet1!#REF!,"AAAAAHbvn9U=")</f>
        <v>#REF!</v>
      </c>
      <c r="HG239">
        <f>IF(Sheet1!3219:3219,"AAAAAHbvn9Y=",0)</f>
        <v>0</v>
      </c>
      <c r="HH239" t="e">
        <f>AND(Sheet1!A3219,"AAAAAHbvn9c=")</f>
        <v>#VALUE!</v>
      </c>
      <c r="HI239" t="e">
        <f>AND(Sheet1!B3219,"AAAAAHbvn9g=")</f>
        <v>#VALUE!</v>
      </c>
      <c r="HJ239" t="e">
        <f>AND(Sheet1!C3219,"AAAAAHbvn9k=")</f>
        <v>#VALUE!</v>
      </c>
      <c r="HK239" t="e">
        <f>AND(Sheet1!D3219,"AAAAAHbvn9o=")</f>
        <v>#VALUE!</v>
      </c>
      <c r="HL239" t="e">
        <f>AND(Sheet1!E3219,"AAAAAHbvn9s=")</f>
        <v>#VALUE!</v>
      </c>
      <c r="HM239" t="e">
        <f>AND(Sheet1!F3219,"AAAAAHbvn9w=")</f>
        <v>#VALUE!</v>
      </c>
      <c r="HN239" t="e">
        <f>AND(Sheet1!G3219,"AAAAAHbvn90=")</f>
        <v>#VALUE!</v>
      </c>
      <c r="HO239" t="e">
        <f>AND(Sheet1!H3219,"AAAAAHbvn94=")</f>
        <v>#VALUE!</v>
      </c>
      <c r="HP239" t="e">
        <f>AND(Sheet1!I3219,"AAAAAHbvn98=")</f>
        <v>#VALUE!</v>
      </c>
      <c r="HQ239" t="e">
        <f>AND(Sheet1!J3219,"AAAAAHbvn+A=")</f>
        <v>#VALUE!</v>
      </c>
      <c r="HR239" t="e">
        <f>AND(Sheet1!K3219,"AAAAAHbvn+E=")</f>
        <v>#VALUE!</v>
      </c>
      <c r="HS239" t="e">
        <f>AND(Sheet1!L3219,"AAAAAHbvn+I=")</f>
        <v>#VALUE!</v>
      </c>
      <c r="HT239" t="e">
        <f>AND(Sheet1!M3219,"AAAAAHbvn+M=")</f>
        <v>#VALUE!</v>
      </c>
      <c r="HU239" t="e">
        <f>AND(Sheet1!N3219,"AAAAAHbvn+Q=")</f>
        <v>#VALUE!</v>
      </c>
      <c r="HV239" t="e">
        <f>AND(Sheet1!#REF!,"AAAAAHbvn+U=")</f>
        <v>#REF!</v>
      </c>
      <c r="HW239" t="e">
        <f>AND(Sheet1!#REF!,"AAAAAHbvn+Y=")</f>
        <v>#REF!</v>
      </c>
      <c r="HX239" t="e">
        <f>AND(Sheet1!#REF!,"AAAAAHbvn+c=")</f>
        <v>#REF!</v>
      </c>
      <c r="HY239" t="e">
        <f>AND(Sheet1!#REF!,"AAAAAHbvn+g=")</f>
        <v>#REF!</v>
      </c>
      <c r="HZ239">
        <f>IF(Sheet1!3220:3220,"AAAAAHbvn+k=",0)</f>
        <v>0</v>
      </c>
      <c r="IA239" t="e">
        <f>AND(Sheet1!A3220,"AAAAAHbvn+o=")</f>
        <v>#VALUE!</v>
      </c>
      <c r="IB239" t="e">
        <f>AND(Sheet1!B3220,"AAAAAHbvn+s=")</f>
        <v>#VALUE!</v>
      </c>
      <c r="IC239" t="e">
        <f>AND(Sheet1!C3220,"AAAAAHbvn+w=")</f>
        <v>#VALUE!</v>
      </c>
      <c r="ID239" t="e">
        <f>AND(Sheet1!D3220,"AAAAAHbvn+0=")</f>
        <v>#VALUE!</v>
      </c>
      <c r="IE239" t="e">
        <f>AND(Sheet1!E3220,"AAAAAHbvn+4=")</f>
        <v>#VALUE!</v>
      </c>
      <c r="IF239" t="e">
        <f>AND(Sheet1!F3220,"AAAAAHbvn+8=")</f>
        <v>#VALUE!</v>
      </c>
      <c r="IG239" t="e">
        <f>AND(Sheet1!G3220,"AAAAAHbvn/A=")</f>
        <v>#VALUE!</v>
      </c>
      <c r="IH239" t="e">
        <f>AND(Sheet1!H3220,"AAAAAHbvn/E=")</f>
        <v>#VALUE!</v>
      </c>
      <c r="II239" t="e">
        <f>AND(Sheet1!I3220,"AAAAAHbvn/I=")</f>
        <v>#VALUE!</v>
      </c>
      <c r="IJ239" t="e">
        <f>AND(Sheet1!J3220,"AAAAAHbvn/M=")</f>
        <v>#VALUE!</v>
      </c>
      <c r="IK239" t="e">
        <f>AND(Sheet1!K3220,"AAAAAHbvn/Q=")</f>
        <v>#VALUE!</v>
      </c>
      <c r="IL239" t="e">
        <f>AND(Sheet1!L3220,"AAAAAHbvn/U=")</f>
        <v>#VALUE!</v>
      </c>
      <c r="IM239" t="e">
        <f>AND(Sheet1!M3220,"AAAAAHbvn/Y=")</f>
        <v>#VALUE!</v>
      </c>
      <c r="IN239" t="e">
        <f>AND(Sheet1!N3220,"AAAAAHbvn/c=")</f>
        <v>#VALUE!</v>
      </c>
      <c r="IO239" t="e">
        <f>AND(Sheet1!#REF!,"AAAAAHbvn/g=")</f>
        <v>#REF!</v>
      </c>
      <c r="IP239" t="e">
        <f>AND(Sheet1!#REF!,"AAAAAHbvn/k=")</f>
        <v>#REF!</v>
      </c>
      <c r="IQ239" t="e">
        <f>AND(Sheet1!#REF!,"AAAAAHbvn/o=")</f>
        <v>#REF!</v>
      </c>
      <c r="IR239" t="e">
        <f>AND(Sheet1!#REF!,"AAAAAHbvn/s=")</f>
        <v>#REF!</v>
      </c>
      <c r="IS239">
        <f>IF(Sheet1!3221:3221,"AAAAAHbvn/w=",0)</f>
        <v>0</v>
      </c>
      <c r="IT239" t="e">
        <f>AND(Sheet1!A3221,"AAAAAHbvn/0=")</f>
        <v>#VALUE!</v>
      </c>
      <c r="IU239" t="e">
        <f>AND(Sheet1!B3221,"AAAAAHbvn/4=")</f>
        <v>#VALUE!</v>
      </c>
      <c r="IV239" t="e">
        <f>AND(Sheet1!C3221,"AAAAAHbvn/8=")</f>
        <v>#VALUE!</v>
      </c>
    </row>
    <row r="240" spans="1:256" x14ac:dyDescent="0.2">
      <c r="A240" t="e">
        <f>AND(Sheet1!D3221,"AAAAAHLr7wA=")</f>
        <v>#VALUE!</v>
      </c>
      <c r="B240" t="e">
        <f>AND(Sheet1!E3221,"AAAAAHLr7wE=")</f>
        <v>#VALUE!</v>
      </c>
      <c r="C240" t="e">
        <f>AND(Sheet1!F3221,"AAAAAHLr7wI=")</f>
        <v>#VALUE!</v>
      </c>
      <c r="D240" t="e">
        <f>AND(Sheet1!G3221,"AAAAAHLr7wM=")</f>
        <v>#VALUE!</v>
      </c>
      <c r="E240" t="e">
        <f>AND(Sheet1!H3221,"AAAAAHLr7wQ=")</f>
        <v>#VALUE!</v>
      </c>
      <c r="F240" t="e">
        <f>AND(Sheet1!I3221,"AAAAAHLr7wU=")</f>
        <v>#VALUE!</v>
      </c>
      <c r="G240" t="e">
        <f>AND(Sheet1!J3221,"AAAAAHLr7wY=")</f>
        <v>#VALUE!</v>
      </c>
      <c r="H240" t="e">
        <f>AND(Sheet1!K3221,"AAAAAHLr7wc=")</f>
        <v>#VALUE!</v>
      </c>
      <c r="I240" t="e">
        <f>AND(Sheet1!L3221,"AAAAAHLr7wg=")</f>
        <v>#VALUE!</v>
      </c>
      <c r="J240" t="e">
        <f>AND(Sheet1!M3221,"AAAAAHLr7wk=")</f>
        <v>#VALUE!</v>
      </c>
      <c r="K240" t="e">
        <f>AND(Sheet1!N3221,"AAAAAHLr7wo=")</f>
        <v>#VALUE!</v>
      </c>
      <c r="L240" t="e">
        <f>AND(Sheet1!#REF!,"AAAAAHLr7ws=")</f>
        <v>#REF!</v>
      </c>
      <c r="M240" t="e">
        <f>AND(Sheet1!#REF!,"AAAAAHLr7ww=")</f>
        <v>#REF!</v>
      </c>
      <c r="N240" t="e">
        <f>AND(Sheet1!#REF!,"AAAAAHLr7w0=")</f>
        <v>#REF!</v>
      </c>
      <c r="O240" t="e">
        <f>AND(Sheet1!#REF!,"AAAAAHLr7w4=")</f>
        <v>#REF!</v>
      </c>
      <c r="P240">
        <f>IF(Sheet1!3222:3222,"AAAAAHLr7w8=",0)</f>
        <v>0</v>
      </c>
      <c r="Q240" t="e">
        <f>AND(Sheet1!A3222,"AAAAAHLr7xA=")</f>
        <v>#VALUE!</v>
      </c>
      <c r="R240" t="e">
        <f>AND(Sheet1!B3222,"AAAAAHLr7xE=")</f>
        <v>#VALUE!</v>
      </c>
      <c r="S240" t="e">
        <f>AND(Sheet1!C3222,"AAAAAHLr7xI=")</f>
        <v>#VALUE!</v>
      </c>
      <c r="T240" t="e">
        <f>AND(Sheet1!D3222,"AAAAAHLr7xM=")</f>
        <v>#VALUE!</v>
      </c>
      <c r="U240" t="e">
        <f>AND(Sheet1!E3222,"AAAAAHLr7xQ=")</f>
        <v>#VALUE!</v>
      </c>
      <c r="V240" t="e">
        <f>AND(Sheet1!F3222,"AAAAAHLr7xU=")</f>
        <v>#VALUE!</v>
      </c>
      <c r="W240" t="e">
        <f>AND(Sheet1!G3222,"AAAAAHLr7xY=")</f>
        <v>#VALUE!</v>
      </c>
      <c r="X240" t="e">
        <f>AND(Sheet1!H3222,"AAAAAHLr7xc=")</f>
        <v>#VALUE!</v>
      </c>
      <c r="Y240" t="e">
        <f>AND(Sheet1!I3222,"AAAAAHLr7xg=")</f>
        <v>#VALUE!</v>
      </c>
      <c r="Z240" t="e">
        <f>AND(Sheet1!J3222,"AAAAAHLr7xk=")</f>
        <v>#VALUE!</v>
      </c>
      <c r="AA240" t="e">
        <f>AND(Sheet1!K3222,"AAAAAHLr7xo=")</f>
        <v>#VALUE!</v>
      </c>
      <c r="AB240" t="e">
        <f>AND(Sheet1!L3222,"AAAAAHLr7xs=")</f>
        <v>#VALUE!</v>
      </c>
      <c r="AC240" t="e">
        <f>AND(Sheet1!M3222,"AAAAAHLr7xw=")</f>
        <v>#VALUE!</v>
      </c>
      <c r="AD240" t="e">
        <f>AND(Sheet1!N3222,"AAAAAHLr7x0=")</f>
        <v>#VALUE!</v>
      </c>
      <c r="AE240" t="e">
        <f>AND(Sheet1!#REF!,"AAAAAHLr7x4=")</f>
        <v>#REF!</v>
      </c>
      <c r="AF240" t="e">
        <f>AND(Sheet1!#REF!,"AAAAAHLr7x8=")</f>
        <v>#REF!</v>
      </c>
      <c r="AG240" t="e">
        <f>AND(Sheet1!#REF!,"AAAAAHLr7yA=")</f>
        <v>#REF!</v>
      </c>
      <c r="AH240" t="e">
        <f>AND(Sheet1!#REF!,"AAAAAHLr7yE=")</f>
        <v>#REF!</v>
      </c>
      <c r="AI240">
        <f>IF(Sheet1!3223:3223,"AAAAAHLr7yI=",0)</f>
        <v>0</v>
      </c>
      <c r="AJ240" t="e">
        <f>AND(Sheet1!A3223,"AAAAAHLr7yM=")</f>
        <v>#VALUE!</v>
      </c>
      <c r="AK240" t="e">
        <f>AND(Sheet1!B3223,"AAAAAHLr7yQ=")</f>
        <v>#VALUE!</v>
      </c>
      <c r="AL240" t="e">
        <f>AND(Sheet1!C3223,"AAAAAHLr7yU=")</f>
        <v>#VALUE!</v>
      </c>
      <c r="AM240" t="e">
        <f>AND(Sheet1!D3223,"AAAAAHLr7yY=")</f>
        <v>#VALUE!</v>
      </c>
      <c r="AN240" t="e">
        <f>AND(Sheet1!E3223,"AAAAAHLr7yc=")</f>
        <v>#VALUE!</v>
      </c>
      <c r="AO240" t="e">
        <f>AND(Sheet1!F3223,"AAAAAHLr7yg=")</f>
        <v>#VALUE!</v>
      </c>
      <c r="AP240" t="e">
        <f>AND(Sheet1!G3223,"AAAAAHLr7yk=")</f>
        <v>#VALUE!</v>
      </c>
      <c r="AQ240" t="e">
        <f>AND(Sheet1!H3223,"AAAAAHLr7yo=")</f>
        <v>#VALUE!</v>
      </c>
      <c r="AR240" t="e">
        <f>AND(Sheet1!I3223,"AAAAAHLr7ys=")</f>
        <v>#VALUE!</v>
      </c>
      <c r="AS240" t="e">
        <f>AND(Sheet1!J3223,"AAAAAHLr7yw=")</f>
        <v>#VALUE!</v>
      </c>
      <c r="AT240" t="e">
        <f>AND(Sheet1!K3223,"AAAAAHLr7y0=")</f>
        <v>#VALUE!</v>
      </c>
      <c r="AU240" t="e">
        <f>AND(Sheet1!L3223,"AAAAAHLr7y4=")</f>
        <v>#VALUE!</v>
      </c>
      <c r="AV240" t="e">
        <f>AND(Sheet1!M3223,"AAAAAHLr7y8=")</f>
        <v>#VALUE!</v>
      </c>
      <c r="AW240" t="e">
        <f>AND(Sheet1!N3223,"AAAAAHLr7zA=")</f>
        <v>#VALUE!</v>
      </c>
      <c r="AX240" t="e">
        <f>AND(Sheet1!#REF!,"AAAAAHLr7zE=")</f>
        <v>#REF!</v>
      </c>
      <c r="AY240" t="e">
        <f>AND(Sheet1!#REF!,"AAAAAHLr7zI=")</f>
        <v>#REF!</v>
      </c>
      <c r="AZ240" t="e">
        <f>AND(Sheet1!#REF!,"AAAAAHLr7zM=")</f>
        <v>#REF!</v>
      </c>
      <c r="BA240" t="e">
        <f>AND(Sheet1!#REF!,"AAAAAHLr7zQ=")</f>
        <v>#REF!</v>
      </c>
      <c r="BB240">
        <f>IF(Sheet1!3224:3224,"AAAAAHLr7zU=",0)</f>
        <v>0</v>
      </c>
      <c r="BC240" t="e">
        <f>AND(Sheet1!A3224,"AAAAAHLr7zY=")</f>
        <v>#VALUE!</v>
      </c>
      <c r="BD240" t="e">
        <f>AND(Sheet1!B3224,"AAAAAHLr7zc=")</f>
        <v>#VALUE!</v>
      </c>
      <c r="BE240" t="e">
        <f>AND(Sheet1!C3224,"AAAAAHLr7zg=")</f>
        <v>#VALUE!</v>
      </c>
      <c r="BF240" t="e">
        <f>AND(Sheet1!D3224,"AAAAAHLr7zk=")</f>
        <v>#VALUE!</v>
      </c>
      <c r="BG240" t="e">
        <f>AND(Sheet1!E3224,"AAAAAHLr7zo=")</f>
        <v>#VALUE!</v>
      </c>
      <c r="BH240" t="e">
        <f>AND(Sheet1!F3224,"AAAAAHLr7zs=")</f>
        <v>#VALUE!</v>
      </c>
      <c r="BI240" t="e">
        <f>AND(Sheet1!G3224,"AAAAAHLr7zw=")</f>
        <v>#VALUE!</v>
      </c>
      <c r="BJ240" t="e">
        <f>AND(Sheet1!H3224,"AAAAAHLr7z0=")</f>
        <v>#VALUE!</v>
      </c>
      <c r="BK240" t="e">
        <f>AND(Sheet1!I3224,"AAAAAHLr7z4=")</f>
        <v>#VALUE!</v>
      </c>
      <c r="BL240" t="e">
        <f>AND(Sheet1!J3224,"AAAAAHLr7z8=")</f>
        <v>#VALUE!</v>
      </c>
      <c r="BM240" t="e">
        <f>AND(Sheet1!K3224,"AAAAAHLr70A=")</f>
        <v>#VALUE!</v>
      </c>
      <c r="BN240" t="e">
        <f>AND(Sheet1!L3224,"AAAAAHLr70E=")</f>
        <v>#VALUE!</v>
      </c>
      <c r="BO240" t="e">
        <f>AND(Sheet1!M3224,"AAAAAHLr70I=")</f>
        <v>#VALUE!</v>
      </c>
      <c r="BP240" t="e">
        <f>AND(Sheet1!N3224,"AAAAAHLr70M=")</f>
        <v>#VALUE!</v>
      </c>
      <c r="BQ240" t="e">
        <f>AND(Sheet1!#REF!,"AAAAAHLr70Q=")</f>
        <v>#REF!</v>
      </c>
      <c r="BR240" t="e">
        <f>AND(Sheet1!#REF!,"AAAAAHLr70U=")</f>
        <v>#REF!</v>
      </c>
      <c r="BS240" t="e">
        <f>AND(Sheet1!#REF!,"AAAAAHLr70Y=")</f>
        <v>#REF!</v>
      </c>
      <c r="BT240" t="e">
        <f>AND(Sheet1!#REF!,"AAAAAHLr70c=")</f>
        <v>#REF!</v>
      </c>
      <c r="BU240">
        <f>IF(Sheet1!3225:3225,"AAAAAHLr70g=",0)</f>
        <v>0</v>
      </c>
      <c r="BV240" t="e">
        <f>AND(Sheet1!A3225,"AAAAAHLr70k=")</f>
        <v>#VALUE!</v>
      </c>
      <c r="BW240" t="e">
        <f>AND(Sheet1!B3225,"AAAAAHLr70o=")</f>
        <v>#VALUE!</v>
      </c>
      <c r="BX240" t="e">
        <f>AND(Sheet1!C3225,"AAAAAHLr70s=")</f>
        <v>#VALUE!</v>
      </c>
      <c r="BY240" t="e">
        <f>AND(Sheet1!D3225,"AAAAAHLr70w=")</f>
        <v>#VALUE!</v>
      </c>
      <c r="BZ240" t="e">
        <f>AND(Sheet1!E3225,"AAAAAHLr700=")</f>
        <v>#VALUE!</v>
      </c>
      <c r="CA240" t="e">
        <f>AND(Sheet1!F3225,"AAAAAHLr704=")</f>
        <v>#VALUE!</v>
      </c>
      <c r="CB240" t="e">
        <f>AND(Sheet1!G3225,"AAAAAHLr708=")</f>
        <v>#VALUE!</v>
      </c>
      <c r="CC240" t="e">
        <f>AND(Sheet1!H3225,"AAAAAHLr71A=")</f>
        <v>#VALUE!</v>
      </c>
      <c r="CD240" t="e">
        <f>AND(Sheet1!I3225,"AAAAAHLr71E=")</f>
        <v>#VALUE!</v>
      </c>
      <c r="CE240" t="e">
        <f>AND(Sheet1!J3225,"AAAAAHLr71I=")</f>
        <v>#VALUE!</v>
      </c>
      <c r="CF240" t="e">
        <f>AND(Sheet1!K3225,"AAAAAHLr71M=")</f>
        <v>#VALUE!</v>
      </c>
      <c r="CG240" t="e">
        <f>AND(Sheet1!L3225,"AAAAAHLr71Q=")</f>
        <v>#VALUE!</v>
      </c>
      <c r="CH240" t="e">
        <f>AND(Sheet1!M3225,"AAAAAHLr71U=")</f>
        <v>#VALUE!</v>
      </c>
      <c r="CI240" t="e">
        <f>AND(Sheet1!N3225,"AAAAAHLr71Y=")</f>
        <v>#VALUE!</v>
      </c>
      <c r="CJ240" t="e">
        <f>AND(Sheet1!#REF!,"AAAAAHLr71c=")</f>
        <v>#REF!</v>
      </c>
      <c r="CK240" t="e">
        <f>AND(Sheet1!#REF!,"AAAAAHLr71g=")</f>
        <v>#REF!</v>
      </c>
      <c r="CL240" t="e">
        <f>AND(Sheet1!#REF!,"AAAAAHLr71k=")</f>
        <v>#REF!</v>
      </c>
      <c r="CM240" t="e">
        <f>AND(Sheet1!#REF!,"AAAAAHLr71o=")</f>
        <v>#REF!</v>
      </c>
      <c r="CN240">
        <f>IF(Sheet1!3226:3226,"AAAAAHLr71s=",0)</f>
        <v>0</v>
      </c>
      <c r="CO240" t="e">
        <f>AND(Sheet1!A3226,"AAAAAHLr71w=")</f>
        <v>#VALUE!</v>
      </c>
      <c r="CP240" t="e">
        <f>AND(Sheet1!B3226,"AAAAAHLr710=")</f>
        <v>#VALUE!</v>
      </c>
      <c r="CQ240" t="e">
        <f>AND(Sheet1!C3226,"AAAAAHLr714=")</f>
        <v>#VALUE!</v>
      </c>
      <c r="CR240" t="e">
        <f>AND(Sheet1!D3226,"AAAAAHLr718=")</f>
        <v>#VALUE!</v>
      </c>
      <c r="CS240" t="e">
        <f>AND(Sheet1!E3226,"AAAAAHLr72A=")</f>
        <v>#VALUE!</v>
      </c>
      <c r="CT240" t="e">
        <f>AND(Sheet1!F3226,"AAAAAHLr72E=")</f>
        <v>#VALUE!</v>
      </c>
      <c r="CU240" t="e">
        <f>AND(Sheet1!G3226,"AAAAAHLr72I=")</f>
        <v>#VALUE!</v>
      </c>
      <c r="CV240" t="e">
        <f>AND(Sheet1!H3226,"AAAAAHLr72M=")</f>
        <v>#VALUE!</v>
      </c>
      <c r="CW240" t="e">
        <f>AND(Sheet1!I3226,"AAAAAHLr72Q=")</f>
        <v>#VALUE!</v>
      </c>
      <c r="CX240" t="e">
        <f>AND(Sheet1!J3226,"AAAAAHLr72U=")</f>
        <v>#VALUE!</v>
      </c>
      <c r="CY240" t="e">
        <f>AND(Sheet1!K3226,"AAAAAHLr72Y=")</f>
        <v>#VALUE!</v>
      </c>
      <c r="CZ240" t="e">
        <f>AND(Sheet1!L3226,"AAAAAHLr72c=")</f>
        <v>#VALUE!</v>
      </c>
      <c r="DA240" t="e">
        <f>AND(Sheet1!M3226,"AAAAAHLr72g=")</f>
        <v>#VALUE!</v>
      </c>
      <c r="DB240" t="e">
        <f>AND(Sheet1!N3226,"AAAAAHLr72k=")</f>
        <v>#VALUE!</v>
      </c>
      <c r="DC240" t="e">
        <f>AND(Sheet1!#REF!,"AAAAAHLr72o=")</f>
        <v>#REF!</v>
      </c>
      <c r="DD240" t="e">
        <f>AND(Sheet1!#REF!,"AAAAAHLr72s=")</f>
        <v>#REF!</v>
      </c>
      <c r="DE240" t="e">
        <f>AND(Sheet1!#REF!,"AAAAAHLr72w=")</f>
        <v>#REF!</v>
      </c>
      <c r="DF240" t="e">
        <f>AND(Sheet1!#REF!,"AAAAAHLr720=")</f>
        <v>#REF!</v>
      </c>
      <c r="DG240">
        <f>IF(Sheet1!3227:3227,"AAAAAHLr724=",0)</f>
        <v>0</v>
      </c>
      <c r="DH240" t="e">
        <f>AND(Sheet1!A3227,"AAAAAHLr728=")</f>
        <v>#VALUE!</v>
      </c>
      <c r="DI240" t="e">
        <f>AND(Sheet1!B3227,"AAAAAHLr73A=")</f>
        <v>#VALUE!</v>
      </c>
      <c r="DJ240" t="e">
        <f>AND(Sheet1!C3227,"AAAAAHLr73E=")</f>
        <v>#VALUE!</v>
      </c>
      <c r="DK240" t="e">
        <f>AND(Sheet1!D3227,"AAAAAHLr73I=")</f>
        <v>#VALUE!</v>
      </c>
      <c r="DL240" t="e">
        <f>AND(Sheet1!E3227,"AAAAAHLr73M=")</f>
        <v>#VALUE!</v>
      </c>
      <c r="DM240" t="e">
        <f>AND(Sheet1!F3227,"AAAAAHLr73Q=")</f>
        <v>#VALUE!</v>
      </c>
      <c r="DN240" t="e">
        <f>AND(Sheet1!G3227,"AAAAAHLr73U=")</f>
        <v>#VALUE!</v>
      </c>
      <c r="DO240" t="e">
        <f>AND(Sheet1!H3227,"AAAAAHLr73Y=")</f>
        <v>#VALUE!</v>
      </c>
      <c r="DP240" t="e">
        <f>AND(Sheet1!I3227,"AAAAAHLr73c=")</f>
        <v>#VALUE!</v>
      </c>
      <c r="DQ240" t="e">
        <f>AND(Sheet1!J3227,"AAAAAHLr73g=")</f>
        <v>#VALUE!</v>
      </c>
      <c r="DR240" t="e">
        <f>AND(Sheet1!K3227,"AAAAAHLr73k=")</f>
        <v>#VALUE!</v>
      </c>
      <c r="DS240" t="e">
        <f>AND(Sheet1!L3227,"AAAAAHLr73o=")</f>
        <v>#VALUE!</v>
      </c>
      <c r="DT240" t="e">
        <f>AND(Sheet1!M3227,"AAAAAHLr73s=")</f>
        <v>#VALUE!</v>
      </c>
      <c r="DU240" t="e">
        <f>AND(Sheet1!N3227,"AAAAAHLr73w=")</f>
        <v>#VALUE!</v>
      </c>
      <c r="DV240" t="e">
        <f>AND(Sheet1!#REF!,"AAAAAHLr730=")</f>
        <v>#REF!</v>
      </c>
      <c r="DW240" t="e">
        <f>AND(Sheet1!#REF!,"AAAAAHLr734=")</f>
        <v>#REF!</v>
      </c>
      <c r="DX240" t="e">
        <f>AND(Sheet1!#REF!,"AAAAAHLr738=")</f>
        <v>#REF!</v>
      </c>
      <c r="DY240" t="e">
        <f>AND(Sheet1!#REF!,"AAAAAHLr74A=")</f>
        <v>#REF!</v>
      </c>
      <c r="DZ240">
        <f>IF(Sheet1!3228:3228,"AAAAAHLr74E=",0)</f>
        <v>0</v>
      </c>
      <c r="EA240" t="e">
        <f>AND(Sheet1!A3228,"AAAAAHLr74I=")</f>
        <v>#VALUE!</v>
      </c>
      <c r="EB240" t="e">
        <f>AND(Sheet1!B3228,"AAAAAHLr74M=")</f>
        <v>#VALUE!</v>
      </c>
      <c r="EC240" t="e">
        <f>AND(Sheet1!C3228,"AAAAAHLr74Q=")</f>
        <v>#VALUE!</v>
      </c>
      <c r="ED240" t="e">
        <f>AND(Sheet1!D3228,"AAAAAHLr74U=")</f>
        <v>#VALUE!</v>
      </c>
      <c r="EE240" t="e">
        <f>AND(Sheet1!E3228,"AAAAAHLr74Y=")</f>
        <v>#VALUE!</v>
      </c>
      <c r="EF240" t="e">
        <f>AND(Sheet1!F3228,"AAAAAHLr74c=")</f>
        <v>#VALUE!</v>
      </c>
      <c r="EG240" t="e">
        <f>AND(Sheet1!G3228,"AAAAAHLr74g=")</f>
        <v>#VALUE!</v>
      </c>
      <c r="EH240" t="e">
        <f>AND(Sheet1!H3228,"AAAAAHLr74k=")</f>
        <v>#VALUE!</v>
      </c>
      <c r="EI240" t="e">
        <f>AND(Sheet1!I3228,"AAAAAHLr74o=")</f>
        <v>#VALUE!</v>
      </c>
      <c r="EJ240" t="e">
        <f>AND(Sheet1!J3228,"AAAAAHLr74s=")</f>
        <v>#VALUE!</v>
      </c>
      <c r="EK240" t="e">
        <f>AND(Sheet1!K3228,"AAAAAHLr74w=")</f>
        <v>#VALUE!</v>
      </c>
      <c r="EL240" t="e">
        <f>AND(Sheet1!L3228,"AAAAAHLr740=")</f>
        <v>#VALUE!</v>
      </c>
      <c r="EM240" t="e">
        <f>AND(Sheet1!M3228,"AAAAAHLr744=")</f>
        <v>#VALUE!</v>
      </c>
      <c r="EN240" t="e">
        <f>AND(Sheet1!N3228,"AAAAAHLr748=")</f>
        <v>#VALUE!</v>
      </c>
      <c r="EO240" t="e">
        <f>AND(Sheet1!#REF!,"AAAAAHLr75A=")</f>
        <v>#REF!</v>
      </c>
      <c r="EP240" t="e">
        <f>AND(Sheet1!#REF!,"AAAAAHLr75E=")</f>
        <v>#REF!</v>
      </c>
      <c r="EQ240" t="e">
        <f>AND(Sheet1!#REF!,"AAAAAHLr75I=")</f>
        <v>#REF!</v>
      </c>
      <c r="ER240" t="e">
        <f>AND(Sheet1!#REF!,"AAAAAHLr75M=")</f>
        <v>#REF!</v>
      </c>
      <c r="ES240">
        <f>IF(Sheet1!3229:3229,"AAAAAHLr75Q=",0)</f>
        <v>0</v>
      </c>
      <c r="ET240" t="e">
        <f>AND(Sheet1!A3229,"AAAAAHLr75U=")</f>
        <v>#VALUE!</v>
      </c>
      <c r="EU240" t="e">
        <f>AND(Sheet1!B3229,"AAAAAHLr75Y=")</f>
        <v>#VALUE!</v>
      </c>
      <c r="EV240" t="e">
        <f>AND(Sheet1!C3229,"AAAAAHLr75c=")</f>
        <v>#VALUE!</v>
      </c>
      <c r="EW240" t="e">
        <f>AND(Sheet1!D3229,"AAAAAHLr75g=")</f>
        <v>#VALUE!</v>
      </c>
      <c r="EX240" t="e">
        <f>AND(Sheet1!E3229,"AAAAAHLr75k=")</f>
        <v>#VALUE!</v>
      </c>
      <c r="EY240" t="e">
        <f>AND(Sheet1!F3229,"AAAAAHLr75o=")</f>
        <v>#VALUE!</v>
      </c>
      <c r="EZ240" t="e">
        <f>AND(Sheet1!G3229,"AAAAAHLr75s=")</f>
        <v>#VALUE!</v>
      </c>
      <c r="FA240" t="e">
        <f>AND(Sheet1!H3229,"AAAAAHLr75w=")</f>
        <v>#VALUE!</v>
      </c>
      <c r="FB240" t="e">
        <f>AND(Sheet1!I3229,"AAAAAHLr750=")</f>
        <v>#VALUE!</v>
      </c>
      <c r="FC240" t="e">
        <f>AND(Sheet1!J3229,"AAAAAHLr754=")</f>
        <v>#VALUE!</v>
      </c>
      <c r="FD240" t="e">
        <f>AND(Sheet1!K3229,"AAAAAHLr758=")</f>
        <v>#VALUE!</v>
      </c>
      <c r="FE240" t="e">
        <f>AND(Sheet1!L3229,"AAAAAHLr76A=")</f>
        <v>#VALUE!</v>
      </c>
      <c r="FF240" t="e">
        <f>AND(Sheet1!M3229,"AAAAAHLr76E=")</f>
        <v>#VALUE!</v>
      </c>
      <c r="FG240" t="e">
        <f>AND(Sheet1!N3229,"AAAAAHLr76I=")</f>
        <v>#VALUE!</v>
      </c>
      <c r="FH240" t="e">
        <f>AND(Sheet1!#REF!,"AAAAAHLr76M=")</f>
        <v>#REF!</v>
      </c>
      <c r="FI240" t="e">
        <f>AND(Sheet1!#REF!,"AAAAAHLr76Q=")</f>
        <v>#REF!</v>
      </c>
      <c r="FJ240" t="e">
        <f>AND(Sheet1!#REF!,"AAAAAHLr76U=")</f>
        <v>#REF!</v>
      </c>
      <c r="FK240" t="e">
        <f>AND(Sheet1!#REF!,"AAAAAHLr76Y=")</f>
        <v>#REF!</v>
      </c>
      <c r="FL240">
        <f>IF(Sheet1!3230:3230,"AAAAAHLr76c=",0)</f>
        <v>0</v>
      </c>
      <c r="FM240" t="e">
        <f>AND(Sheet1!A3230,"AAAAAHLr76g=")</f>
        <v>#VALUE!</v>
      </c>
      <c r="FN240" t="e">
        <f>AND(Sheet1!B3230,"AAAAAHLr76k=")</f>
        <v>#VALUE!</v>
      </c>
      <c r="FO240" t="e">
        <f>AND(Sheet1!C3230,"AAAAAHLr76o=")</f>
        <v>#VALUE!</v>
      </c>
      <c r="FP240" t="e">
        <f>AND(Sheet1!D3230,"AAAAAHLr76s=")</f>
        <v>#VALUE!</v>
      </c>
      <c r="FQ240" t="e">
        <f>AND(Sheet1!E3230,"AAAAAHLr76w=")</f>
        <v>#VALUE!</v>
      </c>
      <c r="FR240" t="e">
        <f>AND(Sheet1!F3230,"AAAAAHLr760=")</f>
        <v>#VALUE!</v>
      </c>
      <c r="FS240" t="e">
        <f>AND(Sheet1!G3230,"AAAAAHLr764=")</f>
        <v>#VALUE!</v>
      </c>
      <c r="FT240" t="e">
        <f>AND(Sheet1!H3230,"AAAAAHLr768=")</f>
        <v>#VALUE!</v>
      </c>
      <c r="FU240" t="e">
        <f>AND(Sheet1!I3230,"AAAAAHLr77A=")</f>
        <v>#VALUE!</v>
      </c>
      <c r="FV240" t="e">
        <f>AND(Sheet1!J3230,"AAAAAHLr77E=")</f>
        <v>#VALUE!</v>
      </c>
      <c r="FW240" t="e">
        <f>AND(Sheet1!K3230,"AAAAAHLr77I=")</f>
        <v>#VALUE!</v>
      </c>
      <c r="FX240" t="e">
        <f>AND(Sheet1!L3230,"AAAAAHLr77M=")</f>
        <v>#VALUE!</v>
      </c>
      <c r="FY240" t="e">
        <f>AND(Sheet1!M3230,"AAAAAHLr77Q=")</f>
        <v>#VALUE!</v>
      </c>
      <c r="FZ240" t="e">
        <f>AND(Sheet1!N3230,"AAAAAHLr77U=")</f>
        <v>#VALUE!</v>
      </c>
      <c r="GA240" t="e">
        <f>AND(Sheet1!#REF!,"AAAAAHLr77Y=")</f>
        <v>#REF!</v>
      </c>
      <c r="GB240" t="e">
        <f>AND(Sheet1!#REF!,"AAAAAHLr77c=")</f>
        <v>#REF!</v>
      </c>
      <c r="GC240" t="e">
        <f>AND(Sheet1!#REF!,"AAAAAHLr77g=")</f>
        <v>#REF!</v>
      </c>
      <c r="GD240" t="e">
        <f>AND(Sheet1!#REF!,"AAAAAHLr77k=")</f>
        <v>#REF!</v>
      </c>
      <c r="GE240">
        <f>IF(Sheet1!3231:3231,"AAAAAHLr77o=",0)</f>
        <v>0</v>
      </c>
      <c r="GF240" t="e">
        <f>AND(Sheet1!A3231,"AAAAAHLr77s=")</f>
        <v>#VALUE!</v>
      </c>
      <c r="GG240" t="e">
        <f>AND(Sheet1!B3231,"AAAAAHLr77w=")</f>
        <v>#VALUE!</v>
      </c>
      <c r="GH240" t="e">
        <f>AND(Sheet1!C3231,"AAAAAHLr770=")</f>
        <v>#VALUE!</v>
      </c>
      <c r="GI240" t="e">
        <f>AND(Sheet1!D3231,"AAAAAHLr774=")</f>
        <v>#VALUE!</v>
      </c>
      <c r="GJ240" t="e">
        <f>AND(Sheet1!E3231,"AAAAAHLr778=")</f>
        <v>#VALUE!</v>
      </c>
      <c r="GK240" t="e">
        <f>AND(Sheet1!F3231,"AAAAAHLr78A=")</f>
        <v>#VALUE!</v>
      </c>
      <c r="GL240" t="e">
        <f>AND(Sheet1!G3231,"AAAAAHLr78E=")</f>
        <v>#VALUE!</v>
      </c>
      <c r="GM240" t="e">
        <f>AND(Sheet1!H3231,"AAAAAHLr78I=")</f>
        <v>#VALUE!</v>
      </c>
      <c r="GN240" t="e">
        <f>AND(Sheet1!I3231,"AAAAAHLr78M=")</f>
        <v>#VALUE!</v>
      </c>
      <c r="GO240" t="e">
        <f>AND(Sheet1!J3231,"AAAAAHLr78Q=")</f>
        <v>#VALUE!</v>
      </c>
      <c r="GP240" t="e">
        <f>AND(Sheet1!K3231,"AAAAAHLr78U=")</f>
        <v>#VALUE!</v>
      </c>
      <c r="GQ240" t="e">
        <f>AND(Sheet1!L3231,"AAAAAHLr78Y=")</f>
        <v>#VALUE!</v>
      </c>
      <c r="GR240" t="e">
        <f>AND(Sheet1!M3231,"AAAAAHLr78c=")</f>
        <v>#VALUE!</v>
      </c>
      <c r="GS240" t="e">
        <f>AND(Sheet1!N3231,"AAAAAHLr78g=")</f>
        <v>#VALUE!</v>
      </c>
      <c r="GT240" t="e">
        <f>AND(Sheet1!#REF!,"AAAAAHLr78k=")</f>
        <v>#REF!</v>
      </c>
      <c r="GU240" t="e">
        <f>AND(Sheet1!#REF!,"AAAAAHLr78o=")</f>
        <v>#REF!</v>
      </c>
      <c r="GV240" t="e">
        <f>AND(Sheet1!#REF!,"AAAAAHLr78s=")</f>
        <v>#REF!</v>
      </c>
      <c r="GW240" t="e">
        <f>AND(Sheet1!#REF!,"AAAAAHLr78w=")</f>
        <v>#REF!</v>
      </c>
      <c r="GX240">
        <f>IF(Sheet1!3232:3232,"AAAAAHLr780=",0)</f>
        <v>0</v>
      </c>
      <c r="GY240" t="e">
        <f>AND(Sheet1!A3232,"AAAAAHLr784=")</f>
        <v>#VALUE!</v>
      </c>
      <c r="GZ240" t="e">
        <f>AND(Sheet1!B3232,"AAAAAHLr788=")</f>
        <v>#VALUE!</v>
      </c>
      <c r="HA240" t="e">
        <f>AND(Sheet1!C3232,"AAAAAHLr79A=")</f>
        <v>#VALUE!</v>
      </c>
      <c r="HB240" t="e">
        <f>AND(Sheet1!D3232,"AAAAAHLr79E=")</f>
        <v>#VALUE!</v>
      </c>
      <c r="HC240" t="e">
        <f>AND(Sheet1!E3232,"AAAAAHLr79I=")</f>
        <v>#VALUE!</v>
      </c>
      <c r="HD240" t="e">
        <f>AND(Sheet1!F3232,"AAAAAHLr79M=")</f>
        <v>#VALUE!</v>
      </c>
      <c r="HE240" t="e">
        <f>AND(Sheet1!G3232,"AAAAAHLr79Q=")</f>
        <v>#VALUE!</v>
      </c>
      <c r="HF240" t="e">
        <f>AND(Sheet1!H3232,"AAAAAHLr79U=")</f>
        <v>#VALUE!</v>
      </c>
      <c r="HG240" t="e">
        <f>AND(Sheet1!I3232,"AAAAAHLr79Y=")</f>
        <v>#VALUE!</v>
      </c>
      <c r="HH240" t="e">
        <f>AND(Sheet1!J3232,"AAAAAHLr79c=")</f>
        <v>#VALUE!</v>
      </c>
      <c r="HI240" t="e">
        <f>AND(Sheet1!K3232,"AAAAAHLr79g=")</f>
        <v>#VALUE!</v>
      </c>
      <c r="HJ240" t="e">
        <f>AND(Sheet1!L3232,"AAAAAHLr79k=")</f>
        <v>#VALUE!</v>
      </c>
      <c r="HK240" t="e">
        <f>AND(Sheet1!M3232,"AAAAAHLr79o=")</f>
        <v>#VALUE!</v>
      </c>
      <c r="HL240" t="e">
        <f>AND(Sheet1!N3232,"AAAAAHLr79s=")</f>
        <v>#VALUE!</v>
      </c>
      <c r="HM240" t="e">
        <f>AND(Sheet1!#REF!,"AAAAAHLr79w=")</f>
        <v>#REF!</v>
      </c>
      <c r="HN240" t="e">
        <f>AND(Sheet1!#REF!,"AAAAAHLr790=")</f>
        <v>#REF!</v>
      </c>
      <c r="HO240" t="e">
        <f>AND(Sheet1!#REF!,"AAAAAHLr794=")</f>
        <v>#REF!</v>
      </c>
      <c r="HP240" t="e">
        <f>AND(Sheet1!#REF!,"AAAAAHLr798=")</f>
        <v>#REF!</v>
      </c>
      <c r="HQ240">
        <f>IF(Sheet1!3233:3233,"AAAAAHLr7+A=",0)</f>
        <v>0</v>
      </c>
      <c r="HR240" t="e">
        <f>AND(Sheet1!A3233,"AAAAAHLr7+E=")</f>
        <v>#VALUE!</v>
      </c>
      <c r="HS240" t="e">
        <f>AND(Sheet1!B3233,"AAAAAHLr7+I=")</f>
        <v>#VALUE!</v>
      </c>
      <c r="HT240" t="e">
        <f>AND(Sheet1!C3233,"AAAAAHLr7+M=")</f>
        <v>#VALUE!</v>
      </c>
      <c r="HU240" t="e">
        <f>AND(Sheet1!D3233,"AAAAAHLr7+Q=")</f>
        <v>#VALUE!</v>
      </c>
      <c r="HV240" t="e">
        <f>AND(Sheet1!E3233,"AAAAAHLr7+U=")</f>
        <v>#VALUE!</v>
      </c>
      <c r="HW240" t="e">
        <f>AND(Sheet1!F3233,"AAAAAHLr7+Y=")</f>
        <v>#VALUE!</v>
      </c>
      <c r="HX240" t="e">
        <f>AND(Sheet1!G3233,"AAAAAHLr7+c=")</f>
        <v>#VALUE!</v>
      </c>
      <c r="HY240" t="e">
        <f>AND(Sheet1!H3233,"AAAAAHLr7+g=")</f>
        <v>#VALUE!</v>
      </c>
      <c r="HZ240" t="e">
        <f>AND(Sheet1!I3233,"AAAAAHLr7+k=")</f>
        <v>#VALUE!</v>
      </c>
      <c r="IA240" t="e">
        <f>AND(Sheet1!J3233,"AAAAAHLr7+o=")</f>
        <v>#VALUE!</v>
      </c>
      <c r="IB240" t="e">
        <f>AND(Sheet1!K3233,"AAAAAHLr7+s=")</f>
        <v>#VALUE!</v>
      </c>
      <c r="IC240" t="e">
        <f>AND(Sheet1!L3233,"AAAAAHLr7+w=")</f>
        <v>#VALUE!</v>
      </c>
      <c r="ID240" t="e">
        <f>AND(Sheet1!M3233,"AAAAAHLr7+0=")</f>
        <v>#VALUE!</v>
      </c>
      <c r="IE240" t="e">
        <f>AND(Sheet1!N3233,"AAAAAHLr7+4=")</f>
        <v>#VALUE!</v>
      </c>
      <c r="IF240" t="e">
        <f>AND(Sheet1!#REF!,"AAAAAHLr7+8=")</f>
        <v>#REF!</v>
      </c>
      <c r="IG240" t="e">
        <f>AND(Sheet1!#REF!,"AAAAAHLr7/A=")</f>
        <v>#REF!</v>
      </c>
      <c r="IH240" t="e">
        <f>AND(Sheet1!#REF!,"AAAAAHLr7/E=")</f>
        <v>#REF!</v>
      </c>
      <c r="II240" t="e">
        <f>AND(Sheet1!#REF!,"AAAAAHLr7/I=")</f>
        <v>#REF!</v>
      </c>
      <c r="IJ240">
        <f>IF(Sheet1!3234:3234,"AAAAAHLr7/M=",0)</f>
        <v>0</v>
      </c>
      <c r="IK240" t="e">
        <f>AND(Sheet1!A3234,"AAAAAHLr7/Q=")</f>
        <v>#VALUE!</v>
      </c>
      <c r="IL240" t="e">
        <f>AND(Sheet1!B3234,"AAAAAHLr7/U=")</f>
        <v>#VALUE!</v>
      </c>
      <c r="IM240" t="e">
        <f>AND(Sheet1!C3234,"AAAAAHLr7/Y=")</f>
        <v>#VALUE!</v>
      </c>
      <c r="IN240" t="e">
        <f>AND(Sheet1!D3234,"AAAAAHLr7/c=")</f>
        <v>#VALUE!</v>
      </c>
      <c r="IO240" t="e">
        <f>AND(Sheet1!E3234,"AAAAAHLr7/g=")</f>
        <v>#VALUE!</v>
      </c>
      <c r="IP240" t="e">
        <f>AND(Sheet1!F3234,"AAAAAHLr7/k=")</f>
        <v>#VALUE!</v>
      </c>
      <c r="IQ240" t="e">
        <f>AND(Sheet1!G3234,"AAAAAHLr7/o=")</f>
        <v>#VALUE!</v>
      </c>
      <c r="IR240" t="e">
        <f>AND(Sheet1!H3234,"AAAAAHLr7/s=")</f>
        <v>#VALUE!</v>
      </c>
      <c r="IS240" t="e">
        <f>AND(Sheet1!I3234,"AAAAAHLr7/w=")</f>
        <v>#VALUE!</v>
      </c>
      <c r="IT240" t="e">
        <f>AND(Sheet1!J3234,"AAAAAHLr7/0=")</f>
        <v>#VALUE!</v>
      </c>
      <c r="IU240" t="e">
        <f>AND(Sheet1!K3234,"AAAAAHLr7/4=")</f>
        <v>#VALUE!</v>
      </c>
      <c r="IV240" t="e">
        <f>AND(Sheet1!L3234,"AAAAAHLr7/8=")</f>
        <v>#VALUE!</v>
      </c>
    </row>
    <row r="241" spans="1:256" x14ac:dyDescent="0.2">
      <c r="A241" t="e">
        <f>AND(Sheet1!M3234,"AAAAAH+/zwA=")</f>
        <v>#VALUE!</v>
      </c>
      <c r="B241" t="e">
        <f>AND(Sheet1!N3234,"AAAAAH+/zwE=")</f>
        <v>#VALUE!</v>
      </c>
      <c r="C241" t="e">
        <f>AND(Sheet1!#REF!,"AAAAAH+/zwI=")</f>
        <v>#REF!</v>
      </c>
      <c r="D241" t="e">
        <f>AND(Sheet1!#REF!,"AAAAAH+/zwM=")</f>
        <v>#REF!</v>
      </c>
      <c r="E241" t="e">
        <f>AND(Sheet1!#REF!,"AAAAAH+/zwQ=")</f>
        <v>#REF!</v>
      </c>
      <c r="F241" t="e">
        <f>AND(Sheet1!#REF!,"AAAAAH+/zwU=")</f>
        <v>#REF!</v>
      </c>
      <c r="G241" t="str">
        <f>IF(Sheet1!3235:3235,"AAAAAH+/zwY=",0)</f>
        <v>AAAAAH+/zwY=</v>
      </c>
      <c r="H241" t="e">
        <f>AND(Sheet1!A3235,"AAAAAH+/zwc=")</f>
        <v>#VALUE!</v>
      </c>
      <c r="I241" t="e">
        <f>AND(Sheet1!B3235,"AAAAAH+/zwg=")</f>
        <v>#VALUE!</v>
      </c>
      <c r="J241" t="e">
        <f>AND(Sheet1!C3235,"AAAAAH+/zwk=")</f>
        <v>#VALUE!</v>
      </c>
      <c r="K241" t="e">
        <f>AND(Sheet1!D3235,"AAAAAH+/zwo=")</f>
        <v>#VALUE!</v>
      </c>
      <c r="L241" t="e">
        <f>AND(Sheet1!E3235,"AAAAAH+/zws=")</f>
        <v>#VALUE!</v>
      </c>
      <c r="M241" t="e">
        <f>AND(Sheet1!F3235,"AAAAAH+/zww=")</f>
        <v>#VALUE!</v>
      </c>
      <c r="N241" t="e">
        <f>AND(Sheet1!G3235,"AAAAAH+/zw0=")</f>
        <v>#VALUE!</v>
      </c>
      <c r="O241" t="e">
        <f>AND(Sheet1!H3235,"AAAAAH+/zw4=")</f>
        <v>#VALUE!</v>
      </c>
      <c r="P241" t="e">
        <f>AND(Sheet1!I3235,"AAAAAH+/zw8=")</f>
        <v>#VALUE!</v>
      </c>
      <c r="Q241" t="e">
        <f>AND(Sheet1!J3235,"AAAAAH+/zxA=")</f>
        <v>#VALUE!</v>
      </c>
      <c r="R241" t="e">
        <f>AND(Sheet1!K3235,"AAAAAH+/zxE=")</f>
        <v>#VALUE!</v>
      </c>
      <c r="S241" t="e">
        <f>AND(Sheet1!L3235,"AAAAAH+/zxI=")</f>
        <v>#VALUE!</v>
      </c>
      <c r="T241" t="e">
        <f>AND(Sheet1!M3235,"AAAAAH+/zxM=")</f>
        <v>#VALUE!</v>
      </c>
      <c r="U241" t="e">
        <f>AND(Sheet1!N3235,"AAAAAH+/zxQ=")</f>
        <v>#VALUE!</v>
      </c>
      <c r="V241" t="e">
        <f>AND(Sheet1!#REF!,"AAAAAH+/zxU=")</f>
        <v>#REF!</v>
      </c>
      <c r="W241" t="e">
        <f>AND(Sheet1!#REF!,"AAAAAH+/zxY=")</f>
        <v>#REF!</v>
      </c>
      <c r="X241" t="e">
        <f>AND(Sheet1!#REF!,"AAAAAH+/zxc=")</f>
        <v>#REF!</v>
      </c>
      <c r="Y241" t="e">
        <f>AND(Sheet1!#REF!,"AAAAAH+/zxg=")</f>
        <v>#REF!</v>
      </c>
      <c r="Z241">
        <f>IF(Sheet1!3236:3236,"AAAAAH+/zxk=",0)</f>
        <v>0</v>
      </c>
      <c r="AA241" t="e">
        <f>AND(Sheet1!A3236,"AAAAAH+/zxo=")</f>
        <v>#VALUE!</v>
      </c>
      <c r="AB241" t="e">
        <f>AND(Sheet1!B3236,"AAAAAH+/zxs=")</f>
        <v>#VALUE!</v>
      </c>
      <c r="AC241" t="e">
        <f>AND(Sheet1!C3236,"AAAAAH+/zxw=")</f>
        <v>#VALUE!</v>
      </c>
      <c r="AD241" t="e">
        <f>AND(Sheet1!D3236,"AAAAAH+/zx0=")</f>
        <v>#VALUE!</v>
      </c>
      <c r="AE241" t="e">
        <f>AND(Sheet1!E3236,"AAAAAH+/zx4=")</f>
        <v>#VALUE!</v>
      </c>
      <c r="AF241" t="e">
        <f>AND(Sheet1!F3236,"AAAAAH+/zx8=")</f>
        <v>#VALUE!</v>
      </c>
      <c r="AG241" t="e">
        <f>AND(Sheet1!G3236,"AAAAAH+/zyA=")</f>
        <v>#VALUE!</v>
      </c>
      <c r="AH241" t="e">
        <f>AND(Sheet1!H3236,"AAAAAH+/zyE=")</f>
        <v>#VALUE!</v>
      </c>
      <c r="AI241" t="e">
        <f>AND(Sheet1!I3236,"AAAAAH+/zyI=")</f>
        <v>#VALUE!</v>
      </c>
      <c r="AJ241" t="e">
        <f>AND(Sheet1!J3236,"AAAAAH+/zyM=")</f>
        <v>#VALUE!</v>
      </c>
      <c r="AK241" t="e">
        <f>AND(Sheet1!K3236,"AAAAAH+/zyQ=")</f>
        <v>#VALUE!</v>
      </c>
      <c r="AL241" t="e">
        <f>AND(Sheet1!L3236,"AAAAAH+/zyU=")</f>
        <v>#VALUE!</v>
      </c>
      <c r="AM241" t="e">
        <f>AND(Sheet1!M3236,"AAAAAH+/zyY=")</f>
        <v>#VALUE!</v>
      </c>
      <c r="AN241" t="e">
        <f>AND(Sheet1!N3236,"AAAAAH+/zyc=")</f>
        <v>#VALUE!</v>
      </c>
      <c r="AO241" t="e">
        <f>AND(Sheet1!#REF!,"AAAAAH+/zyg=")</f>
        <v>#REF!</v>
      </c>
      <c r="AP241" t="e">
        <f>AND(Sheet1!#REF!,"AAAAAH+/zyk=")</f>
        <v>#REF!</v>
      </c>
      <c r="AQ241" t="e">
        <f>AND(Sheet1!#REF!,"AAAAAH+/zyo=")</f>
        <v>#REF!</v>
      </c>
      <c r="AR241" t="e">
        <f>AND(Sheet1!#REF!,"AAAAAH+/zys=")</f>
        <v>#REF!</v>
      </c>
      <c r="AS241">
        <f>IF(Sheet1!3237:3237,"AAAAAH+/zyw=",0)</f>
        <v>0</v>
      </c>
      <c r="AT241" t="e">
        <f>AND(Sheet1!A3237,"AAAAAH+/zy0=")</f>
        <v>#VALUE!</v>
      </c>
      <c r="AU241" t="e">
        <f>AND(Sheet1!B3237,"AAAAAH+/zy4=")</f>
        <v>#VALUE!</v>
      </c>
      <c r="AV241" t="e">
        <f>AND(Sheet1!C3237,"AAAAAH+/zy8=")</f>
        <v>#VALUE!</v>
      </c>
      <c r="AW241" t="e">
        <f>AND(Sheet1!D3237,"AAAAAH+/zzA=")</f>
        <v>#VALUE!</v>
      </c>
      <c r="AX241" t="e">
        <f>AND(Sheet1!E3237,"AAAAAH+/zzE=")</f>
        <v>#VALUE!</v>
      </c>
      <c r="AY241" t="e">
        <f>AND(Sheet1!F3237,"AAAAAH+/zzI=")</f>
        <v>#VALUE!</v>
      </c>
      <c r="AZ241" t="e">
        <f>AND(Sheet1!G3237,"AAAAAH+/zzM=")</f>
        <v>#VALUE!</v>
      </c>
      <c r="BA241" t="e">
        <f>AND(Sheet1!H3237,"AAAAAH+/zzQ=")</f>
        <v>#VALUE!</v>
      </c>
      <c r="BB241" t="e">
        <f>AND(Sheet1!I3237,"AAAAAH+/zzU=")</f>
        <v>#VALUE!</v>
      </c>
      <c r="BC241" t="e">
        <f>AND(Sheet1!J3237,"AAAAAH+/zzY=")</f>
        <v>#VALUE!</v>
      </c>
      <c r="BD241" t="e">
        <f>AND(Sheet1!K3237,"AAAAAH+/zzc=")</f>
        <v>#VALUE!</v>
      </c>
      <c r="BE241" t="e">
        <f>AND(Sheet1!L3237,"AAAAAH+/zzg=")</f>
        <v>#VALUE!</v>
      </c>
      <c r="BF241" t="e">
        <f>AND(Sheet1!M3237,"AAAAAH+/zzk=")</f>
        <v>#VALUE!</v>
      </c>
      <c r="BG241" t="e">
        <f>AND(Sheet1!N3237,"AAAAAH+/zzo=")</f>
        <v>#VALUE!</v>
      </c>
      <c r="BH241" t="e">
        <f>AND(Sheet1!#REF!,"AAAAAH+/zzs=")</f>
        <v>#REF!</v>
      </c>
      <c r="BI241" t="e">
        <f>AND(Sheet1!#REF!,"AAAAAH+/zzw=")</f>
        <v>#REF!</v>
      </c>
      <c r="BJ241" t="e">
        <f>AND(Sheet1!#REF!,"AAAAAH+/zz0=")</f>
        <v>#REF!</v>
      </c>
      <c r="BK241" t="e">
        <f>AND(Sheet1!#REF!,"AAAAAH+/zz4=")</f>
        <v>#REF!</v>
      </c>
      <c r="BL241">
        <f>IF(Sheet1!3238:3238,"AAAAAH+/zz8=",0)</f>
        <v>0</v>
      </c>
      <c r="BM241" t="e">
        <f>AND(Sheet1!A3238,"AAAAAH+/z0A=")</f>
        <v>#VALUE!</v>
      </c>
      <c r="BN241" t="e">
        <f>AND(Sheet1!B3238,"AAAAAH+/z0E=")</f>
        <v>#VALUE!</v>
      </c>
      <c r="BO241" t="e">
        <f>AND(Sheet1!C3238,"AAAAAH+/z0I=")</f>
        <v>#VALUE!</v>
      </c>
      <c r="BP241" t="e">
        <f>AND(Sheet1!D3238,"AAAAAH+/z0M=")</f>
        <v>#VALUE!</v>
      </c>
      <c r="BQ241" t="e">
        <f>AND(Sheet1!E3238,"AAAAAH+/z0Q=")</f>
        <v>#VALUE!</v>
      </c>
      <c r="BR241" t="e">
        <f>AND(Sheet1!F3238,"AAAAAH+/z0U=")</f>
        <v>#VALUE!</v>
      </c>
      <c r="BS241" t="e">
        <f>AND(Sheet1!G3238,"AAAAAH+/z0Y=")</f>
        <v>#VALUE!</v>
      </c>
      <c r="BT241" t="e">
        <f>AND(Sheet1!H3238,"AAAAAH+/z0c=")</f>
        <v>#VALUE!</v>
      </c>
      <c r="BU241" t="e">
        <f>AND(Sheet1!I3238,"AAAAAH+/z0g=")</f>
        <v>#VALUE!</v>
      </c>
      <c r="BV241" t="e">
        <f>AND(Sheet1!J3238,"AAAAAH+/z0k=")</f>
        <v>#VALUE!</v>
      </c>
      <c r="BW241" t="e">
        <f>AND(Sheet1!K3238,"AAAAAH+/z0o=")</f>
        <v>#VALUE!</v>
      </c>
      <c r="BX241" t="e">
        <f>AND(Sheet1!L3238,"AAAAAH+/z0s=")</f>
        <v>#VALUE!</v>
      </c>
      <c r="BY241" t="e">
        <f>AND(Sheet1!M3238,"AAAAAH+/z0w=")</f>
        <v>#VALUE!</v>
      </c>
      <c r="BZ241" t="e">
        <f>AND(Sheet1!N3238,"AAAAAH+/z00=")</f>
        <v>#VALUE!</v>
      </c>
      <c r="CA241" t="e">
        <f>AND(Sheet1!#REF!,"AAAAAH+/z04=")</f>
        <v>#REF!</v>
      </c>
      <c r="CB241" t="e">
        <f>AND(Sheet1!#REF!,"AAAAAH+/z08=")</f>
        <v>#REF!</v>
      </c>
      <c r="CC241" t="e">
        <f>AND(Sheet1!#REF!,"AAAAAH+/z1A=")</f>
        <v>#REF!</v>
      </c>
      <c r="CD241" t="e">
        <f>AND(Sheet1!#REF!,"AAAAAH+/z1E=")</f>
        <v>#REF!</v>
      </c>
      <c r="CE241">
        <f>IF(Sheet1!3239:3239,"AAAAAH+/z1I=",0)</f>
        <v>0</v>
      </c>
      <c r="CF241" t="e">
        <f>AND(Sheet1!A3239,"AAAAAH+/z1M=")</f>
        <v>#VALUE!</v>
      </c>
      <c r="CG241" t="e">
        <f>AND(Sheet1!B3239,"AAAAAH+/z1Q=")</f>
        <v>#VALUE!</v>
      </c>
      <c r="CH241" t="e">
        <f>AND(Sheet1!C3239,"AAAAAH+/z1U=")</f>
        <v>#VALUE!</v>
      </c>
      <c r="CI241" t="e">
        <f>AND(Sheet1!D3239,"AAAAAH+/z1Y=")</f>
        <v>#VALUE!</v>
      </c>
      <c r="CJ241" t="e">
        <f>AND(Sheet1!E3239,"AAAAAH+/z1c=")</f>
        <v>#VALUE!</v>
      </c>
      <c r="CK241" t="e">
        <f>AND(Sheet1!F3239,"AAAAAH+/z1g=")</f>
        <v>#VALUE!</v>
      </c>
      <c r="CL241" t="e">
        <f>AND(Sheet1!G3239,"AAAAAH+/z1k=")</f>
        <v>#VALUE!</v>
      </c>
      <c r="CM241" t="e">
        <f>AND(Sheet1!H3239,"AAAAAH+/z1o=")</f>
        <v>#VALUE!</v>
      </c>
      <c r="CN241" t="e">
        <f>AND(Sheet1!I3239,"AAAAAH+/z1s=")</f>
        <v>#VALUE!</v>
      </c>
      <c r="CO241" t="e">
        <f>AND(Sheet1!J3239,"AAAAAH+/z1w=")</f>
        <v>#VALUE!</v>
      </c>
      <c r="CP241" t="e">
        <f>AND(Sheet1!K3239,"AAAAAH+/z10=")</f>
        <v>#VALUE!</v>
      </c>
      <c r="CQ241" t="e">
        <f>AND(Sheet1!L3239,"AAAAAH+/z14=")</f>
        <v>#VALUE!</v>
      </c>
      <c r="CR241" t="e">
        <f>AND(Sheet1!M3239,"AAAAAH+/z18=")</f>
        <v>#VALUE!</v>
      </c>
      <c r="CS241" t="e">
        <f>AND(Sheet1!N3239,"AAAAAH+/z2A=")</f>
        <v>#VALUE!</v>
      </c>
      <c r="CT241" t="e">
        <f>AND(Sheet1!#REF!,"AAAAAH+/z2E=")</f>
        <v>#REF!</v>
      </c>
      <c r="CU241" t="e">
        <f>AND(Sheet1!#REF!,"AAAAAH+/z2I=")</f>
        <v>#REF!</v>
      </c>
      <c r="CV241" t="e">
        <f>AND(Sheet1!#REF!,"AAAAAH+/z2M=")</f>
        <v>#REF!</v>
      </c>
      <c r="CW241" t="e">
        <f>AND(Sheet1!#REF!,"AAAAAH+/z2Q=")</f>
        <v>#REF!</v>
      </c>
      <c r="CX241">
        <f>IF(Sheet1!3240:3240,"AAAAAH+/z2U=",0)</f>
        <v>0</v>
      </c>
      <c r="CY241" t="e">
        <f>AND(Sheet1!A3240,"AAAAAH+/z2Y=")</f>
        <v>#VALUE!</v>
      </c>
      <c r="CZ241" t="e">
        <f>AND(Sheet1!B3240,"AAAAAH+/z2c=")</f>
        <v>#VALUE!</v>
      </c>
      <c r="DA241" t="e">
        <f>AND(Sheet1!C3240,"AAAAAH+/z2g=")</f>
        <v>#VALUE!</v>
      </c>
      <c r="DB241" t="e">
        <f>AND(Sheet1!D3240,"AAAAAH+/z2k=")</f>
        <v>#VALUE!</v>
      </c>
      <c r="DC241" t="e">
        <f>AND(Sheet1!E3240,"AAAAAH+/z2o=")</f>
        <v>#VALUE!</v>
      </c>
      <c r="DD241" t="e">
        <f>AND(Sheet1!F3240,"AAAAAH+/z2s=")</f>
        <v>#VALUE!</v>
      </c>
      <c r="DE241" t="e">
        <f>AND(Sheet1!G3240,"AAAAAH+/z2w=")</f>
        <v>#VALUE!</v>
      </c>
      <c r="DF241" t="e">
        <f>AND(Sheet1!H3240,"AAAAAH+/z20=")</f>
        <v>#VALUE!</v>
      </c>
      <c r="DG241" t="e">
        <f>AND(Sheet1!I3240,"AAAAAH+/z24=")</f>
        <v>#VALUE!</v>
      </c>
      <c r="DH241" t="e">
        <f>AND(Sheet1!J3240,"AAAAAH+/z28=")</f>
        <v>#VALUE!</v>
      </c>
      <c r="DI241" t="e">
        <f>AND(Sheet1!K3240,"AAAAAH+/z3A=")</f>
        <v>#VALUE!</v>
      </c>
      <c r="DJ241" t="e">
        <f>AND(Sheet1!L3240,"AAAAAH+/z3E=")</f>
        <v>#VALUE!</v>
      </c>
      <c r="DK241" t="e">
        <f>AND(Sheet1!M3240,"AAAAAH+/z3I=")</f>
        <v>#VALUE!</v>
      </c>
      <c r="DL241" t="e">
        <f>AND(Sheet1!N3240,"AAAAAH+/z3M=")</f>
        <v>#VALUE!</v>
      </c>
      <c r="DM241" t="e">
        <f>AND(Sheet1!#REF!,"AAAAAH+/z3Q=")</f>
        <v>#REF!</v>
      </c>
      <c r="DN241" t="e">
        <f>AND(Sheet1!#REF!,"AAAAAH+/z3U=")</f>
        <v>#REF!</v>
      </c>
      <c r="DO241" t="e">
        <f>AND(Sheet1!#REF!,"AAAAAH+/z3Y=")</f>
        <v>#REF!</v>
      </c>
      <c r="DP241" t="e">
        <f>AND(Sheet1!#REF!,"AAAAAH+/z3c=")</f>
        <v>#REF!</v>
      </c>
      <c r="DQ241">
        <f>IF(Sheet1!3241:3241,"AAAAAH+/z3g=",0)</f>
        <v>0</v>
      </c>
      <c r="DR241" t="e">
        <f>AND(Sheet1!A3241,"AAAAAH+/z3k=")</f>
        <v>#VALUE!</v>
      </c>
      <c r="DS241" t="e">
        <f>AND(Sheet1!B3241,"AAAAAH+/z3o=")</f>
        <v>#VALUE!</v>
      </c>
      <c r="DT241" t="e">
        <f>AND(Sheet1!C3241,"AAAAAH+/z3s=")</f>
        <v>#VALUE!</v>
      </c>
      <c r="DU241" t="e">
        <f>AND(Sheet1!D3241,"AAAAAH+/z3w=")</f>
        <v>#VALUE!</v>
      </c>
      <c r="DV241" t="e">
        <f>AND(Sheet1!E3241,"AAAAAH+/z30=")</f>
        <v>#VALUE!</v>
      </c>
      <c r="DW241" t="e">
        <f>AND(Sheet1!F3241,"AAAAAH+/z34=")</f>
        <v>#VALUE!</v>
      </c>
      <c r="DX241" t="e">
        <f>AND(Sheet1!G3241,"AAAAAH+/z38=")</f>
        <v>#VALUE!</v>
      </c>
      <c r="DY241" t="e">
        <f>AND(Sheet1!H3241,"AAAAAH+/z4A=")</f>
        <v>#VALUE!</v>
      </c>
      <c r="DZ241" t="e">
        <f>AND(Sheet1!I3241,"AAAAAH+/z4E=")</f>
        <v>#VALUE!</v>
      </c>
      <c r="EA241" t="e">
        <f>AND(Sheet1!J3241,"AAAAAH+/z4I=")</f>
        <v>#VALUE!</v>
      </c>
      <c r="EB241" t="e">
        <f>AND(Sheet1!K3241,"AAAAAH+/z4M=")</f>
        <v>#VALUE!</v>
      </c>
      <c r="EC241" t="e">
        <f>AND(Sheet1!L3241,"AAAAAH+/z4Q=")</f>
        <v>#VALUE!</v>
      </c>
      <c r="ED241" t="e">
        <f>AND(Sheet1!M3241,"AAAAAH+/z4U=")</f>
        <v>#VALUE!</v>
      </c>
      <c r="EE241" t="e">
        <f>AND(Sheet1!N3241,"AAAAAH+/z4Y=")</f>
        <v>#VALUE!</v>
      </c>
      <c r="EF241" t="e">
        <f>AND(Sheet1!#REF!,"AAAAAH+/z4c=")</f>
        <v>#REF!</v>
      </c>
      <c r="EG241" t="e">
        <f>AND(Sheet1!#REF!,"AAAAAH+/z4g=")</f>
        <v>#REF!</v>
      </c>
      <c r="EH241" t="e">
        <f>AND(Sheet1!#REF!,"AAAAAH+/z4k=")</f>
        <v>#REF!</v>
      </c>
      <c r="EI241" t="e">
        <f>AND(Sheet1!#REF!,"AAAAAH+/z4o=")</f>
        <v>#REF!</v>
      </c>
      <c r="EJ241">
        <f>IF(Sheet1!3242:3242,"AAAAAH+/z4s=",0)</f>
        <v>0</v>
      </c>
      <c r="EK241" t="e">
        <f>AND(Sheet1!A3242,"AAAAAH+/z4w=")</f>
        <v>#VALUE!</v>
      </c>
      <c r="EL241" t="e">
        <f>AND(Sheet1!B3242,"AAAAAH+/z40=")</f>
        <v>#VALUE!</v>
      </c>
      <c r="EM241" t="e">
        <f>AND(Sheet1!C3242,"AAAAAH+/z44=")</f>
        <v>#VALUE!</v>
      </c>
      <c r="EN241" t="e">
        <f>AND(Sheet1!D3242,"AAAAAH+/z48=")</f>
        <v>#VALUE!</v>
      </c>
      <c r="EO241" t="e">
        <f>AND(Sheet1!E3242,"AAAAAH+/z5A=")</f>
        <v>#VALUE!</v>
      </c>
      <c r="EP241" t="e">
        <f>AND(Sheet1!F3242,"AAAAAH+/z5E=")</f>
        <v>#VALUE!</v>
      </c>
      <c r="EQ241" t="e">
        <f>AND(Sheet1!G3242,"AAAAAH+/z5I=")</f>
        <v>#VALUE!</v>
      </c>
      <c r="ER241" t="e">
        <f>AND(Sheet1!H3242,"AAAAAH+/z5M=")</f>
        <v>#VALUE!</v>
      </c>
      <c r="ES241" t="e">
        <f>AND(Sheet1!I3242,"AAAAAH+/z5Q=")</f>
        <v>#VALUE!</v>
      </c>
      <c r="ET241" t="e">
        <f>AND(Sheet1!J3242,"AAAAAH+/z5U=")</f>
        <v>#VALUE!</v>
      </c>
      <c r="EU241" t="e">
        <f>AND(Sheet1!K3242,"AAAAAH+/z5Y=")</f>
        <v>#VALUE!</v>
      </c>
      <c r="EV241" t="e">
        <f>AND(Sheet1!L3242,"AAAAAH+/z5c=")</f>
        <v>#VALUE!</v>
      </c>
      <c r="EW241" t="e">
        <f>AND(Sheet1!M3242,"AAAAAH+/z5g=")</f>
        <v>#VALUE!</v>
      </c>
      <c r="EX241" t="e">
        <f>AND(Sheet1!N3242,"AAAAAH+/z5k=")</f>
        <v>#VALUE!</v>
      </c>
      <c r="EY241" t="e">
        <f>AND(Sheet1!#REF!,"AAAAAH+/z5o=")</f>
        <v>#REF!</v>
      </c>
      <c r="EZ241" t="e">
        <f>AND(Sheet1!#REF!,"AAAAAH+/z5s=")</f>
        <v>#REF!</v>
      </c>
      <c r="FA241" t="e">
        <f>AND(Sheet1!#REF!,"AAAAAH+/z5w=")</f>
        <v>#REF!</v>
      </c>
      <c r="FB241" t="e">
        <f>AND(Sheet1!#REF!,"AAAAAH+/z50=")</f>
        <v>#REF!</v>
      </c>
      <c r="FC241">
        <f>IF(Sheet1!3243:3243,"AAAAAH+/z54=",0)</f>
        <v>0</v>
      </c>
      <c r="FD241" t="e">
        <f>AND(Sheet1!A3243,"AAAAAH+/z58=")</f>
        <v>#VALUE!</v>
      </c>
      <c r="FE241" t="e">
        <f>AND(Sheet1!B3243,"AAAAAH+/z6A=")</f>
        <v>#VALUE!</v>
      </c>
      <c r="FF241" t="e">
        <f>AND(Sheet1!C3243,"AAAAAH+/z6E=")</f>
        <v>#VALUE!</v>
      </c>
      <c r="FG241" t="e">
        <f>AND(Sheet1!D3243,"AAAAAH+/z6I=")</f>
        <v>#VALUE!</v>
      </c>
      <c r="FH241" t="e">
        <f>AND(Sheet1!E3243,"AAAAAH+/z6M=")</f>
        <v>#VALUE!</v>
      </c>
      <c r="FI241" t="e">
        <f>AND(Sheet1!F3243,"AAAAAH+/z6Q=")</f>
        <v>#VALUE!</v>
      </c>
      <c r="FJ241" t="e">
        <f>AND(Sheet1!G3243,"AAAAAH+/z6U=")</f>
        <v>#VALUE!</v>
      </c>
      <c r="FK241" t="e">
        <f>AND(Sheet1!H3243,"AAAAAH+/z6Y=")</f>
        <v>#VALUE!</v>
      </c>
      <c r="FL241" t="e">
        <f>AND(Sheet1!I3243,"AAAAAH+/z6c=")</f>
        <v>#VALUE!</v>
      </c>
      <c r="FM241" t="e">
        <f>AND(Sheet1!J3243,"AAAAAH+/z6g=")</f>
        <v>#VALUE!</v>
      </c>
      <c r="FN241" t="e">
        <f>AND(Sheet1!K3243,"AAAAAH+/z6k=")</f>
        <v>#VALUE!</v>
      </c>
      <c r="FO241" t="e">
        <f>AND(Sheet1!L3243,"AAAAAH+/z6o=")</f>
        <v>#VALUE!</v>
      </c>
      <c r="FP241" t="e">
        <f>AND(Sheet1!M3243,"AAAAAH+/z6s=")</f>
        <v>#VALUE!</v>
      </c>
      <c r="FQ241" t="e">
        <f>AND(Sheet1!N3243,"AAAAAH+/z6w=")</f>
        <v>#VALUE!</v>
      </c>
      <c r="FR241" t="e">
        <f>AND(Sheet1!#REF!,"AAAAAH+/z60=")</f>
        <v>#REF!</v>
      </c>
      <c r="FS241" t="e">
        <f>AND(Sheet1!#REF!,"AAAAAH+/z64=")</f>
        <v>#REF!</v>
      </c>
      <c r="FT241" t="e">
        <f>AND(Sheet1!#REF!,"AAAAAH+/z68=")</f>
        <v>#REF!</v>
      </c>
      <c r="FU241" t="e">
        <f>AND(Sheet1!#REF!,"AAAAAH+/z7A=")</f>
        <v>#REF!</v>
      </c>
      <c r="FV241">
        <f>IF(Sheet1!3244:3244,"AAAAAH+/z7E=",0)</f>
        <v>0</v>
      </c>
      <c r="FW241" t="e">
        <f>AND(Sheet1!A3244,"AAAAAH+/z7I=")</f>
        <v>#VALUE!</v>
      </c>
      <c r="FX241" t="e">
        <f>AND(Sheet1!B3244,"AAAAAH+/z7M=")</f>
        <v>#VALUE!</v>
      </c>
      <c r="FY241" t="e">
        <f>AND(Sheet1!C3244,"AAAAAH+/z7Q=")</f>
        <v>#VALUE!</v>
      </c>
      <c r="FZ241" t="e">
        <f>AND(Sheet1!D3244,"AAAAAH+/z7U=")</f>
        <v>#VALUE!</v>
      </c>
      <c r="GA241" t="e">
        <f>AND(Sheet1!E3244,"AAAAAH+/z7Y=")</f>
        <v>#VALUE!</v>
      </c>
      <c r="GB241" t="e">
        <f>AND(Sheet1!F3244,"AAAAAH+/z7c=")</f>
        <v>#VALUE!</v>
      </c>
      <c r="GC241" t="e">
        <f>AND(Sheet1!G3244,"AAAAAH+/z7g=")</f>
        <v>#VALUE!</v>
      </c>
      <c r="GD241" t="e">
        <f>AND(Sheet1!H3244,"AAAAAH+/z7k=")</f>
        <v>#VALUE!</v>
      </c>
      <c r="GE241" t="e">
        <f>AND(Sheet1!I3244,"AAAAAH+/z7o=")</f>
        <v>#VALUE!</v>
      </c>
      <c r="GF241" t="e">
        <f>AND(Sheet1!J3244,"AAAAAH+/z7s=")</f>
        <v>#VALUE!</v>
      </c>
      <c r="GG241" t="e">
        <f>AND(Sheet1!K3244,"AAAAAH+/z7w=")</f>
        <v>#VALUE!</v>
      </c>
      <c r="GH241" t="e">
        <f>AND(Sheet1!L3244,"AAAAAH+/z70=")</f>
        <v>#VALUE!</v>
      </c>
      <c r="GI241" t="e">
        <f>AND(Sheet1!M3244,"AAAAAH+/z74=")</f>
        <v>#VALUE!</v>
      </c>
      <c r="GJ241" t="e">
        <f>AND(Sheet1!N3244,"AAAAAH+/z78=")</f>
        <v>#VALUE!</v>
      </c>
      <c r="GK241" t="e">
        <f>AND(Sheet1!#REF!,"AAAAAH+/z8A=")</f>
        <v>#REF!</v>
      </c>
      <c r="GL241" t="e">
        <f>AND(Sheet1!#REF!,"AAAAAH+/z8E=")</f>
        <v>#REF!</v>
      </c>
      <c r="GM241" t="e">
        <f>AND(Sheet1!#REF!,"AAAAAH+/z8I=")</f>
        <v>#REF!</v>
      </c>
      <c r="GN241" t="e">
        <f>AND(Sheet1!#REF!,"AAAAAH+/z8M=")</f>
        <v>#REF!</v>
      </c>
      <c r="GO241">
        <f>IF(Sheet1!3245:3245,"AAAAAH+/z8Q=",0)</f>
        <v>0</v>
      </c>
      <c r="GP241" t="e">
        <f>AND(Sheet1!A3245,"AAAAAH+/z8U=")</f>
        <v>#VALUE!</v>
      </c>
      <c r="GQ241" t="e">
        <f>AND(Sheet1!B3245,"AAAAAH+/z8Y=")</f>
        <v>#VALUE!</v>
      </c>
      <c r="GR241" t="e">
        <f>AND(Sheet1!C3245,"AAAAAH+/z8c=")</f>
        <v>#VALUE!</v>
      </c>
      <c r="GS241" t="e">
        <f>AND(Sheet1!D3245,"AAAAAH+/z8g=")</f>
        <v>#VALUE!</v>
      </c>
      <c r="GT241" t="e">
        <f>AND(Sheet1!E3245,"AAAAAH+/z8k=")</f>
        <v>#VALUE!</v>
      </c>
      <c r="GU241" t="e">
        <f>AND(Sheet1!F3245,"AAAAAH+/z8o=")</f>
        <v>#VALUE!</v>
      </c>
      <c r="GV241" t="e">
        <f>AND(Sheet1!G3245,"AAAAAH+/z8s=")</f>
        <v>#VALUE!</v>
      </c>
      <c r="GW241" t="e">
        <f>AND(Sheet1!H3245,"AAAAAH+/z8w=")</f>
        <v>#VALUE!</v>
      </c>
      <c r="GX241" t="e">
        <f>AND(Sheet1!I3245,"AAAAAH+/z80=")</f>
        <v>#VALUE!</v>
      </c>
      <c r="GY241" t="e">
        <f>AND(Sheet1!J3245,"AAAAAH+/z84=")</f>
        <v>#VALUE!</v>
      </c>
      <c r="GZ241" t="e">
        <f>AND(Sheet1!K3245,"AAAAAH+/z88=")</f>
        <v>#VALUE!</v>
      </c>
      <c r="HA241" t="e">
        <f>AND(Sheet1!L3245,"AAAAAH+/z9A=")</f>
        <v>#VALUE!</v>
      </c>
      <c r="HB241" t="e">
        <f>AND(Sheet1!M3245,"AAAAAH+/z9E=")</f>
        <v>#VALUE!</v>
      </c>
      <c r="HC241" t="e">
        <f>AND(Sheet1!N3245,"AAAAAH+/z9I=")</f>
        <v>#VALUE!</v>
      </c>
      <c r="HD241" t="e">
        <f>AND(Sheet1!#REF!,"AAAAAH+/z9M=")</f>
        <v>#REF!</v>
      </c>
      <c r="HE241" t="e">
        <f>AND(Sheet1!#REF!,"AAAAAH+/z9Q=")</f>
        <v>#REF!</v>
      </c>
      <c r="HF241" t="e">
        <f>AND(Sheet1!#REF!,"AAAAAH+/z9U=")</f>
        <v>#REF!</v>
      </c>
      <c r="HG241" t="e">
        <f>AND(Sheet1!#REF!,"AAAAAH+/z9Y=")</f>
        <v>#REF!</v>
      </c>
      <c r="HH241">
        <f>IF(Sheet1!3246:3246,"AAAAAH+/z9c=",0)</f>
        <v>0</v>
      </c>
      <c r="HI241" t="e">
        <f>AND(Sheet1!A3246,"AAAAAH+/z9g=")</f>
        <v>#VALUE!</v>
      </c>
      <c r="HJ241" t="e">
        <f>AND(Sheet1!B3246,"AAAAAH+/z9k=")</f>
        <v>#VALUE!</v>
      </c>
      <c r="HK241" t="e">
        <f>AND(Sheet1!C3246,"AAAAAH+/z9o=")</f>
        <v>#VALUE!</v>
      </c>
      <c r="HL241" t="e">
        <f>AND(Sheet1!D3246,"AAAAAH+/z9s=")</f>
        <v>#VALUE!</v>
      </c>
      <c r="HM241" t="e">
        <f>AND(Sheet1!E3246,"AAAAAH+/z9w=")</f>
        <v>#VALUE!</v>
      </c>
      <c r="HN241" t="e">
        <f>AND(Sheet1!F3246,"AAAAAH+/z90=")</f>
        <v>#VALUE!</v>
      </c>
      <c r="HO241" t="e">
        <f>AND(Sheet1!G3246,"AAAAAH+/z94=")</f>
        <v>#VALUE!</v>
      </c>
      <c r="HP241" t="e">
        <f>AND(Sheet1!H3246,"AAAAAH+/z98=")</f>
        <v>#VALUE!</v>
      </c>
      <c r="HQ241" t="e">
        <f>AND(Sheet1!I3246,"AAAAAH+/z+A=")</f>
        <v>#VALUE!</v>
      </c>
      <c r="HR241" t="e">
        <f>AND(Sheet1!J3246,"AAAAAH+/z+E=")</f>
        <v>#VALUE!</v>
      </c>
      <c r="HS241" t="e">
        <f>AND(Sheet1!K3246,"AAAAAH+/z+I=")</f>
        <v>#VALUE!</v>
      </c>
      <c r="HT241" t="e">
        <f>AND(Sheet1!L3246,"AAAAAH+/z+M=")</f>
        <v>#VALUE!</v>
      </c>
      <c r="HU241" t="e">
        <f>AND(Sheet1!M3246,"AAAAAH+/z+Q=")</f>
        <v>#VALUE!</v>
      </c>
      <c r="HV241" t="e">
        <f>AND(Sheet1!N3246,"AAAAAH+/z+U=")</f>
        <v>#VALUE!</v>
      </c>
      <c r="HW241" t="e">
        <f>AND(Sheet1!#REF!,"AAAAAH+/z+Y=")</f>
        <v>#REF!</v>
      </c>
      <c r="HX241" t="e">
        <f>AND(Sheet1!#REF!,"AAAAAH+/z+c=")</f>
        <v>#REF!</v>
      </c>
      <c r="HY241" t="e">
        <f>AND(Sheet1!#REF!,"AAAAAH+/z+g=")</f>
        <v>#REF!</v>
      </c>
      <c r="HZ241" t="e">
        <f>AND(Sheet1!#REF!,"AAAAAH+/z+k=")</f>
        <v>#REF!</v>
      </c>
      <c r="IA241">
        <f>IF(Sheet1!3247:3247,"AAAAAH+/z+o=",0)</f>
        <v>0</v>
      </c>
      <c r="IB241" t="e">
        <f>AND(Sheet1!A3247,"AAAAAH+/z+s=")</f>
        <v>#VALUE!</v>
      </c>
      <c r="IC241" t="e">
        <f>AND(Sheet1!B3247,"AAAAAH+/z+w=")</f>
        <v>#VALUE!</v>
      </c>
      <c r="ID241" t="e">
        <f>AND(Sheet1!C3247,"AAAAAH+/z+0=")</f>
        <v>#VALUE!</v>
      </c>
      <c r="IE241" t="e">
        <f>AND(Sheet1!D3247,"AAAAAH+/z+4=")</f>
        <v>#VALUE!</v>
      </c>
      <c r="IF241" t="e">
        <f>AND(Sheet1!E3247,"AAAAAH+/z+8=")</f>
        <v>#VALUE!</v>
      </c>
      <c r="IG241" t="e">
        <f>AND(Sheet1!F3247,"AAAAAH+/z/A=")</f>
        <v>#VALUE!</v>
      </c>
      <c r="IH241" t="e">
        <f>AND(Sheet1!G3247,"AAAAAH+/z/E=")</f>
        <v>#VALUE!</v>
      </c>
      <c r="II241" t="e">
        <f>AND(Sheet1!H3247,"AAAAAH+/z/I=")</f>
        <v>#VALUE!</v>
      </c>
      <c r="IJ241" t="e">
        <f>AND(Sheet1!I3247,"AAAAAH+/z/M=")</f>
        <v>#VALUE!</v>
      </c>
      <c r="IK241" t="e">
        <f>AND(Sheet1!J3247,"AAAAAH+/z/Q=")</f>
        <v>#VALUE!</v>
      </c>
      <c r="IL241" t="e">
        <f>AND(Sheet1!K3247,"AAAAAH+/z/U=")</f>
        <v>#VALUE!</v>
      </c>
      <c r="IM241" t="e">
        <f>AND(Sheet1!L3247,"AAAAAH+/z/Y=")</f>
        <v>#VALUE!</v>
      </c>
      <c r="IN241" t="e">
        <f>AND(Sheet1!M3247,"AAAAAH+/z/c=")</f>
        <v>#VALUE!</v>
      </c>
      <c r="IO241" t="e">
        <f>AND(Sheet1!N3247,"AAAAAH+/z/g=")</f>
        <v>#VALUE!</v>
      </c>
      <c r="IP241" t="e">
        <f>AND(Sheet1!#REF!,"AAAAAH+/z/k=")</f>
        <v>#REF!</v>
      </c>
      <c r="IQ241" t="e">
        <f>AND(Sheet1!#REF!,"AAAAAH+/z/o=")</f>
        <v>#REF!</v>
      </c>
      <c r="IR241" t="e">
        <f>AND(Sheet1!#REF!,"AAAAAH+/z/s=")</f>
        <v>#REF!</v>
      </c>
      <c r="IS241" t="e">
        <f>AND(Sheet1!#REF!,"AAAAAH+/z/w=")</f>
        <v>#REF!</v>
      </c>
      <c r="IT241">
        <f>IF(Sheet1!3248:3248,"AAAAAH+/z/0=",0)</f>
        <v>0</v>
      </c>
      <c r="IU241" t="e">
        <f>AND(Sheet1!A3248,"AAAAAH+/z/4=")</f>
        <v>#VALUE!</v>
      </c>
      <c r="IV241" t="e">
        <f>AND(Sheet1!B3248,"AAAAAH+/z/8=")</f>
        <v>#VALUE!</v>
      </c>
    </row>
    <row r="242" spans="1:256" x14ac:dyDescent="0.2">
      <c r="A242" t="e">
        <f>AND(Sheet1!C3248,"AAAAAB9/+wA=")</f>
        <v>#VALUE!</v>
      </c>
      <c r="B242" t="e">
        <f>AND(Sheet1!D3248,"AAAAAB9/+wE=")</f>
        <v>#VALUE!</v>
      </c>
      <c r="C242" t="e">
        <f>AND(Sheet1!E3248,"AAAAAB9/+wI=")</f>
        <v>#VALUE!</v>
      </c>
      <c r="D242" t="e">
        <f>AND(Sheet1!F3248,"AAAAAB9/+wM=")</f>
        <v>#VALUE!</v>
      </c>
      <c r="E242" t="e">
        <f>AND(Sheet1!G3248,"AAAAAB9/+wQ=")</f>
        <v>#VALUE!</v>
      </c>
      <c r="F242" t="e">
        <f>AND(Sheet1!H3248,"AAAAAB9/+wU=")</f>
        <v>#VALUE!</v>
      </c>
      <c r="G242" t="e">
        <f>AND(Sheet1!I3248,"AAAAAB9/+wY=")</f>
        <v>#VALUE!</v>
      </c>
      <c r="H242" t="e">
        <f>AND(Sheet1!J3248,"AAAAAB9/+wc=")</f>
        <v>#VALUE!</v>
      </c>
      <c r="I242" t="e">
        <f>AND(Sheet1!K3248,"AAAAAB9/+wg=")</f>
        <v>#VALUE!</v>
      </c>
      <c r="J242" t="e">
        <f>AND(Sheet1!L3248,"AAAAAB9/+wk=")</f>
        <v>#VALUE!</v>
      </c>
      <c r="K242" t="e">
        <f>AND(Sheet1!M3248,"AAAAAB9/+wo=")</f>
        <v>#VALUE!</v>
      </c>
      <c r="L242" t="e">
        <f>AND(Sheet1!N3248,"AAAAAB9/+ws=")</f>
        <v>#VALUE!</v>
      </c>
      <c r="M242" t="e">
        <f>AND(Sheet1!#REF!,"AAAAAB9/+ww=")</f>
        <v>#REF!</v>
      </c>
      <c r="N242" t="e">
        <f>AND(Sheet1!#REF!,"AAAAAB9/+w0=")</f>
        <v>#REF!</v>
      </c>
      <c r="O242" t="e">
        <f>AND(Sheet1!#REF!,"AAAAAB9/+w4=")</f>
        <v>#REF!</v>
      </c>
      <c r="P242" t="e">
        <f>AND(Sheet1!#REF!,"AAAAAB9/+w8=")</f>
        <v>#REF!</v>
      </c>
      <c r="Q242">
        <f>IF(Sheet1!3249:3249,"AAAAAB9/+xA=",0)</f>
        <v>0</v>
      </c>
      <c r="R242" t="e">
        <f>AND(Sheet1!A3249,"AAAAAB9/+xE=")</f>
        <v>#VALUE!</v>
      </c>
      <c r="S242" t="e">
        <f>AND(Sheet1!B3249,"AAAAAB9/+xI=")</f>
        <v>#VALUE!</v>
      </c>
      <c r="T242" t="e">
        <f>AND(Sheet1!C3249,"AAAAAB9/+xM=")</f>
        <v>#VALUE!</v>
      </c>
      <c r="U242" t="e">
        <f>AND(Sheet1!D3249,"AAAAAB9/+xQ=")</f>
        <v>#VALUE!</v>
      </c>
      <c r="V242" t="e">
        <f>AND(Sheet1!E3249,"AAAAAB9/+xU=")</f>
        <v>#VALUE!</v>
      </c>
      <c r="W242" t="e">
        <f>AND(Sheet1!F3249,"AAAAAB9/+xY=")</f>
        <v>#VALUE!</v>
      </c>
      <c r="X242" t="e">
        <f>AND(Sheet1!G3249,"AAAAAB9/+xc=")</f>
        <v>#VALUE!</v>
      </c>
      <c r="Y242" t="e">
        <f>AND(Sheet1!H3249,"AAAAAB9/+xg=")</f>
        <v>#VALUE!</v>
      </c>
      <c r="Z242" t="e">
        <f>AND(Sheet1!I3249,"AAAAAB9/+xk=")</f>
        <v>#VALUE!</v>
      </c>
      <c r="AA242" t="e">
        <f>AND(Sheet1!J3249,"AAAAAB9/+xo=")</f>
        <v>#VALUE!</v>
      </c>
      <c r="AB242" t="e">
        <f>AND(Sheet1!K3249,"AAAAAB9/+xs=")</f>
        <v>#VALUE!</v>
      </c>
      <c r="AC242" t="e">
        <f>AND(Sheet1!L3249,"AAAAAB9/+xw=")</f>
        <v>#VALUE!</v>
      </c>
      <c r="AD242" t="e">
        <f>AND(Sheet1!M3249,"AAAAAB9/+x0=")</f>
        <v>#VALUE!</v>
      </c>
      <c r="AE242" t="e">
        <f>AND(Sheet1!N3249,"AAAAAB9/+x4=")</f>
        <v>#VALUE!</v>
      </c>
      <c r="AF242" t="e">
        <f>AND(Sheet1!#REF!,"AAAAAB9/+x8=")</f>
        <v>#REF!</v>
      </c>
      <c r="AG242" t="e">
        <f>AND(Sheet1!#REF!,"AAAAAB9/+yA=")</f>
        <v>#REF!</v>
      </c>
      <c r="AH242" t="e">
        <f>AND(Sheet1!#REF!,"AAAAAB9/+yE=")</f>
        <v>#REF!</v>
      </c>
      <c r="AI242" t="e">
        <f>AND(Sheet1!#REF!,"AAAAAB9/+yI=")</f>
        <v>#REF!</v>
      </c>
      <c r="AJ242">
        <f>IF(Sheet1!3250:3250,"AAAAAB9/+yM=",0)</f>
        <v>0</v>
      </c>
      <c r="AK242" t="e">
        <f>AND(Sheet1!A3250,"AAAAAB9/+yQ=")</f>
        <v>#VALUE!</v>
      </c>
      <c r="AL242" t="e">
        <f>AND(Sheet1!B3250,"AAAAAB9/+yU=")</f>
        <v>#VALUE!</v>
      </c>
      <c r="AM242" t="e">
        <f>AND(Sheet1!C3250,"AAAAAB9/+yY=")</f>
        <v>#VALUE!</v>
      </c>
      <c r="AN242" t="e">
        <f>AND(Sheet1!D3250,"AAAAAB9/+yc=")</f>
        <v>#VALUE!</v>
      </c>
      <c r="AO242" t="e">
        <f>AND(Sheet1!E3250,"AAAAAB9/+yg=")</f>
        <v>#VALUE!</v>
      </c>
      <c r="AP242" t="e">
        <f>AND(Sheet1!F3250,"AAAAAB9/+yk=")</f>
        <v>#VALUE!</v>
      </c>
      <c r="AQ242" t="e">
        <f>AND(Sheet1!G3250,"AAAAAB9/+yo=")</f>
        <v>#VALUE!</v>
      </c>
      <c r="AR242" t="e">
        <f>AND(Sheet1!H3250,"AAAAAB9/+ys=")</f>
        <v>#VALUE!</v>
      </c>
      <c r="AS242" t="e">
        <f>AND(Sheet1!I3250,"AAAAAB9/+yw=")</f>
        <v>#VALUE!</v>
      </c>
      <c r="AT242" t="e">
        <f>AND(Sheet1!J3250,"AAAAAB9/+y0=")</f>
        <v>#VALUE!</v>
      </c>
      <c r="AU242" t="e">
        <f>AND(Sheet1!K3250,"AAAAAB9/+y4=")</f>
        <v>#VALUE!</v>
      </c>
      <c r="AV242" t="e">
        <f>AND(Sheet1!L3250,"AAAAAB9/+y8=")</f>
        <v>#VALUE!</v>
      </c>
      <c r="AW242" t="e">
        <f>AND(Sheet1!M3250,"AAAAAB9/+zA=")</f>
        <v>#VALUE!</v>
      </c>
      <c r="AX242" t="e">
        <f>AND(Sheet1!N3250,"AAAAAB9/+zE=")</f>
        <v>#VALUE!</v>
      </c>
      <c r="AY242" t="e">
        <f>AND(Sheet1!#REF!,"AAAAAB9/+zI=")</f>
        <v>#REF!</v>
      </c>
      <c r="AZ242" t="e">
        <f>AND(Sheet1!#REF!,"AAAAAB9/+zM=")</f>
        <v>#REF!</v>
      </c>
      <c r="BA242" t="e">
        <f>AND(Sheet1!#REF!,"AAAAAB9/+zQ=")</f>
        <v>#REF!</v>
      </c>
      <c r="BB242" t="e">
        <f>AND(Sheet1!#REF!,"AAAAAB9/+zU=")</f>
        <v>#REF!</v>
      </c>
      <c r="BC242">
        <f>IF(Sheet1!3251:3251,"AAAAAB9/+zY=",0)</f>
        <v>0</v>
      </c>
      <c r="BD242" t="e">
        <f>AND(Sheet1!A3251,"AAAAAB9/+zc=")</f>
        <v>#VALUE!</v>
      </c>
      <c r="BE242" t="e">
        <f>AND(Sheet1!B3251,"AAAAAB9/+zg=")</f>
        <v>#VALUE!</v>
      </c>
      <c r="BF242" t="e">
        <f>AND(Sheet1!C3251,"AAAAAB9/+zk=")</f>
        <v>#VALUE!</v>
      </c>
      <c r="BG242" t="e">
        <f>AND(Sheet1!D3251,"AAAAAB9/+zo=")</f>
        <v>#VALUE!</v>
      </c>
      <c r="BH242" t="e">
        <f>AND(Sheet1!E3251,"AAAAAB9/+zs=")</f>
        <v>#VALUE!</v>
      </c>
      <c r="BI242" t="e">
        <f>AND(Sheet1!F3251,"AAAAAB9/+zw=")</f>
        <v>#VALUE!</v>
      </c>
      <c r="BJ242" t="e">
        <f>AND(Sheet1!G3251,"AAAAAB9/+z0=")</f>
        <v>#VALUE!</v>
      </c>
      <c r="BK242" t="e">
        <f>AND(Sheet1!H3251,"AAAAAB9/+z4=")</f>
        <v>#VALUE!</v>
      </c>
      <c r="BL242" t="e">
        <f>AND(Sheet1!I3251,"AAAAAB9/+z8=")</f>
        <v>#VALUE!</v>
      </c>
      <c r="BM242" t="e">
        <f>AND(Sheet1!J3251,"AAAAAB9/+0A=")</f>
        <v>#VALUE!</v>
      </c>
      <c r="BN242" t="e">
        <f>AND(Sheet1!K3251,"AAAAAB9/+0E=")</f>
        <v>#VALUE!</v>
      </c>
      <c r="BO242" t="e">
        <f>AND(Sheet1!L3251,"AAAAAB9/+0I=")</f>
        <v>#VALUE!</v>
      </c>
      <c r="BP242" t="e">
        <f>AND(Sheet1!M3251,"AAAAAB9/+0M=")</f>
        <v>#VALUE!</v>
      </c>
      <c r="BQ242" t="e">
        <f>AND(Sheet1!N3251,"AAAAAB9/+0Q=")</f>
        <v>#VALUE!</v>
      </c>
      <c r="BR242" t="e">
        <f>AND(Sheet1!#REF!,"AAAAAB9/+0U=")</f>
        <v>#REF!</v>
      </c>
      <c r="BS242" t="e">
        <f>AND(Sheet1!#REF!,"AAAAAB9/+0Y=")</f>
        <v>#REF!</v>
      </c>
      <c r="BT242" t="e">
        <f>AND(Sheet1!#REF!,"AAAAAB9/+0c=")</f>
        <v>#REF!</v>
      </c>
      <c r="BU242" t="e">
        <f>AND(Sheet1!#REF!,"AAAAAB9/+0g=")</f>
        <v>#REF!</v>
      </c>
      <c r="BV242">
        <f>IF(Sheet1!3252:3252,"AAAAAB9/+0k=",0)</f>
        <v>0</v>
      </c>
      <c r="BW242" t="e">
        <f>AND(Sheet1!A3252,"AAAAAB9/+0o=")</f>
        <v>#VALUE!</v>
      </c>
      <c r="BX242" t="e">
        <f>AND(Sheet1!B3252,"AAAAAB9/+0s=")</f>
        <v>#VALUE!</v>
      </c>
      <c r="BY242" t="e">
        <f>AND(Sheet1!C3252,"AAAAAB9/+0w=")</f>
        <v>#VALUE!</v>
      </c>
      <c r="BZ242" t="e">
        <f>AND(Sheet1!D3252,"AAAAAB9/+00=")</f>
        <v>#VALUE!</v>
      </c>
      <c r="CA242" t="e">
        <f>AND(Sheet1!E3252,"AAAAAB9/+04=")</f>
        <v>#VALUE!</v>
      </c>
      <c r="CB242" t="e">
        <f>AND(Sheet1!F3252,"AAAAAB9/+08=")</f>
        <v>#VALUE!</v>
      </c>
      <c r="CC242" t="e">
        <f>AND(Sheet1!G3252,"AAAAAB9/+1A=")</f>
        <v>#VALUE!</v>
      </c>
      <c r="CD242" t="e">
        <f>AND(Sheet1!H3252,"AAAAAB9/+1E=")</f>
        <v>#VALUE!</v>
      </c>
      <c r="CE242" t="e">
        <f>AND(Sheet1!I3252,"AAAAAB9/+1I=")</f>
        <v>#VALUE!</v>
      </c>
      <c r="CF242" t="e">
        <f>AND(Sheet1!J3252,"AAAAAB9/+1M=")</f>
        <v>#VALUE!</v>
      </c>
      <c r="CG242" t="e">
        <f>AND(Sheet1!K3252,"AAAAAB9/+1Q=")</f>
        <v>#VALUE!</v>
      </c>
      <c r="CH242" t="e">
        <f>AND(Sheet1!L3252,"AAAAAB9/+1U=")</f>
        <v>#VALUE!</v>
      </c>
      <c r="CI242" t="e">
        <f>AND(Sheet1!M3252,"AAAAAB9/+1Y=")</f>
        <v>#VALUE!</v>
      </c>
      <c r="CJ242" t="e">
        <f>AND(Sheet1!N3252,"AAAAAB9/+1c=")</f>
        <v>#VALUE!</v>
      </c>
      <c r="CK242" t="e">
        <f>AND(Sheet1!#REF!,"AAAAAB9/+1g=")</f>
        <v>#REF!</v>
      </c>
      <c r="CL242" t="e">
        <f>AND(Sheet1!#REF!,"AAAAAB9/+1k=")</f>
        <v>#REF!</v>
      </c>
      <c r="CM242" t="e">
        <f>AND(Sheet1!#REF!,"AAAAAB9/+1o=")</f>
        <v>#REF!</v>
      </c>
      <c r="CN242" t="e">
        <f>AND(Sheet1!#REF!,"AAAAAB9/+1s=")</f>
        <v>#REF!</v>
      </c>
      <c r="CO242">
        <f>IF(Sheet1!3253:3253,"AAAAAB9/+1w=",0)</f>
        <v>0</v>
      </c>
      <c r="CP242" t="e">
        <f>AND(Sheet1!A3253,"AAAAAB9/+10=")</f>
        <v>#VALUE!</v>
      </c>
      <c r="CQ242" t="e">
        <f>AND(Sheet1!B3253,"AAAAAB9/+14=")</f>
        <v>#VALUE!</v>
      </c>
      <c r="CR242" t="e">
        <f>AND(Sheet1!C3253,"AAAAAB9/+18=")</f>
        <v>#VALUE!</v>
      </c>
      <c r="CS242" t="e">
        <f>AND(Sheet1!D3253,"AAAAAB9/+2A=")</f>
        <v>#VALUE!</v>
      </c>
      <c r="CT242" t="e">
        <f>AND(Sheet1!E3253,"AAAAAB9/+2E=")</f>
        <v>#VALUE!</v>
      </c>
      <c r="CU242" t="e">
        <f>AND(Sheet1!F3253,"AAAAAB9/+2I=")</f>
        <v>#VALUE!</v>
      </c>
      <c r="CV242" t="e">
        <f>AND(Sheet1!G3253,"AAAAAB9/+2M=")</f>
        <v>#VALUE!</v>
      </c>
      <c r="CW242" t="e">
        <f>AND(Sheet1!H3253,"AAAAAB9/+2Q=")</f>
        <v>#VALUE!</v>
      </c>
      <c r="CX242" t="e">
        <f>AND(Sheet1!I3253,"AAAAAB9/+2U=")</f>
        <v>#VALUE!</v>
      </c>
      <c r="CY242" t="e">
        <f>AND(Sheet1!J3253,"AAAAAB9/+2Y=")</f>
        <v>#VALUE!</v>
      </c>
      <c r="CZ242" t="e">
        <f>AND(Sheet1!K3253,"AAAAAB9/+2c=")</f>
        <v>#VALUE!</v>
      </c>
      <c r="DA242" t="e">
        <f>AND(Sheet1!L3253,"AAAAAB9/+2g=")</f>
        <v>#VALUE!</v>
      </c>
      <c r="DB242" t="e">
        <f>AND(Sheet1!M3253,"AAAAAB9/+2k=")</f>
        <v>#VALUE!</v>
      </c>
      <c r="DC242" t="e">
        <f>AND(Sheet1!N3253,"AAAAAB9/+2o=")</f>
        <v>#VALUE!</v>
      </c>
      <c r="DD242" t="e">
        <f>AND(Sheet1!#REF!,"AAAAAB9/+2s=")</f>
        <v>#REF!</v>
      </c>
      <c r="DE242" t="e">
        <f>AND(Sheet1!#REF!,"AAAAAB9/+2w=")</f>
        <v>#REF!</v>
      </c>
      <c r="DF242" t="e">
        <f>AND(Sheet1!#REF!,"AAAAAB9/+20=")</f>
        <v>#REF!</v>
      </c>
      <c r="DG242" t="e">
        <f>AND(Sheet1!#REF!,"AAAAAB9/+24=")</f>
        <v>#REF!</v>
      </c>
      <c r="DH242">
        <f>IF(Sheet1!3254:3254,"AAAAAB9/+28=",0)</f>
        <v>0</v>
      </c>
      <c r="DI242" t="e">
        <f>AND(Sheet1!A3254,"AAAAAB9/+3A=")</f>
        <v>#VALUE!</v>
      </c>
      <c r="DJ242" t="e">
        <f>AND(Sheet1!B3254,"AAAAAB9/+3E=")</f>
        <v>#VALUE!</v>
      </c>
      <c r="DK242" t="e">
        <f>AND(Sheet1!C3254,"AAAAAB9/+3I=")</f>
        <v>#VALUE!</v>
      </c>
      <c r="DL242" t="e">
        <f>AND(Sheet1!D3254,"AAAAAB9/+3M=")</f>
        <v>#VALUE!</v>
      </c>
      <c r="DM242" t="e">
        <f>AND(Sheet1!E3254,"AAAAAB9/+3Q=")</f>
        <v>#VALUE!</v>
      </c>
      <c r="DN242" t="e">
        <f>AND(Sheet1!F3254,"AAAAAB9/+3U=")</f>
        <v>#VALUE!</v>
      </c>
      <c r="DO242" t="e">
        <f>AND(Sheet1!G3254,"AAAAAB9/+3Y=")</f>
        <v>#VALUE!</v>
      </c>
      <c r="DP242" t="e">
        <f>AND(Sheet1!H3254,"AAAAAB9/+3c=")</f>
        <v>#VALUE!</v>
      </c>
      <c r="DQ242" t="e">
        <f>AND(Sheet1!I3254,"AAAAAB9/+3g=")</f>
        <v>#VALUE!</v>
      </c>
      <c r="DR242" t="e">
        <f>AND(Sheet1!J3254,"AAAAAB9/+3k=")</f>
        <v>#VALUE!</v>
      </c>
      <c r="DS242" t="e">
        <f>AND(Sheet1!K3254,"AAAAAB9/+3o=")</f>
        <v>#VALUE!</v>
      </c>
      <c r="DT242" t="e">
        <f>AND(Sheet1!L3254,"AAAAAB9/+3s=")</f>
        <v>#VALUE!</v>
      </c>
      <c r="DU242" t="e">
        <f>AND(Sheet1!M3254,"AAAAAB9/+3w=")</f>
        <v>#VALUE!</v>
      </c>
      <c r="DV242" t="e">
        <f>AND(Sheet1!N3254,"AAAAAB9/+30=")</f>
        <v>#VALUE!</v>
      </c>
      <c r="DW242" t="e">
        <f>AND(Sheet1!#REF!,"AAAAAB9/+34=")</f>
        <v>#REF!</v>
      </c>
      <c r="DX242" t="e">
        <f>AND(Sheet1!#REF!,"AAAAAB9/+38=")</f>
        <v>#REF!</v>
      </c>
      <c r="DY242" t="e">
        <f>AND(Sheet1!#REF!,"AAAAAB9/+4A=")</f>
        <v>#REF!</v>
      </c>
      <c r="DZ242" t="e">
        <f>AND(Sheet1!#REF!,"AAAAAB9/+4E=")</f>
        <v>#REF!</v>
      </c>
      <c r="EA242">
        <f>IF(Sheet1!3255:3255,"AAAAAB9/+4I=",0)</f>
        <v>0</v>
      </c>
      <c r="EB242" t="e">
        <f>AND(Sheet1!A3255,"AAAAAB9/+4M=")</f>
        <v>#VALUE!</v>
      </c>
      <c r="EC242" t="e">
        <f>AND(Sheet1!B3255,"AAAAAB9/+4Q=")</f>
        <v>#VALUE!</v>
      </c>
      <c r="ED242" t="e">
        <f>AND(Sheet1!C3255,"AAAAAB9/+4U=")</f>
        <v>#VALUE!</v>
      </c>
      <c r="EE242" t="e">
        <f>AND(Sheet1!D3255,"AAAAAB9/+4Y=")</f>
        <v>#VALUE!</v>
      </c>
      <c r="EF242" t="e">
        <f>AND(Sheet1!E3255,"AAAAAB9/+4c=")</f>
        <v>#VALUE!</v>
      </c>
      <c r="EG242" t="e">
        <f>AND(Sheet1!F3255,"AAAAAB9/+4g=")</f>
        <v>#VALUE!</v>
      </c>
      <c r="EH242" t="e">
        <f>AND(Sheet1!G3255,"AAAAAB9/+4k=")</f>
        <v>#VALUE!</v>
      </c>
      <c r="EI242" t="e">
        <f>AND(Sheet1!H3255,"AAAAAB9/+4o=")</f>
        <v>#VALUE!</v>
      </c>
      <c r="EJ242" t="e">
        <f>AND(Sheet1!I3255,"AAAAAB9/+4s=")</f>
        <v>#VALUE!</v>
      </c>
      <c r="EK242" t="e">
        <f>AND(Sheet1!J3255,"AAAAAB9/+4w=")</f>
        <v>#VALUE!</v>
      </c>
      <c r="EL242" t="e">
        <f>AND(Sheet1!K3255,"AAAAAB9/+40=")</f>
        <v>#VALUE!</v>
      </c>
      <c r="EM242" t="e">
        <f>AND(Sheet1!L3255,"AAAAAB9/+44=")</f>
        <v>#VALUE!</v>
      </c>
      <c r="EN242" t="e">
        <f>AND(Sheet1!M3255,"AAAAAB9/+48=")</f>
        <v>#VALUE!</v>
      </c>
      <c r="EO242" t="e">
        <f>AND(Sheet1!N3255,"AAAAAB9/+5A=")</f>
        <v>#VALUE!</v>
      </c>
      <c r="EP242" t="e">
        <f>AND(Sheet1!#REF!,"AAAAAB9/+5E=")</f>
        <v>#REF!</v>
      </c>
      <c r="EQ242" t="e">
        <f>AND(Sheet1!#REF!,"AAAAAB9/+5I=")</f>
        <v>#REF!</v>
      </c>
      <c r="ER242" t="e">
        <f>AND(Sheet1!#REF!,"AAAAAB9/+5M=")</f>
        <v>#REF!</v>
      </c>
      <c r="ES242" t="e">
        <f>AND(Sheet1!#REF!,"AAAAAB9/+5Q=")</f>
        <v>#REF!</v>
      </c>
      <c r="ET242">
        <f>IF(Sheet1!3256:3256,"AAAAAB9/+5U=",0)</f>
        <v>0</v>
      </c>
      <c r="EU242" t="e">
        <f>AND(Sheet1!A3256,"AAAAAB9/+5Y=")</f>
        <v>#VALUE!</v>
      </c>
      <c r="EV242" t="e">
        <f>AND(Sheet1!B3256,"AAAAAB9/+5c=")</f>
        <v>#VALUE!</v>
      </c>
      <c r="EW242" t="e">
        <f>AND(Sheet1!C3256,"AAAAAB9/+5g=")</f>
        <v>#VALUE!</v>
      </c>
      <c r="EX242" t="e">
        <f>AND(Sheet1!D3256,"AAAAAB9/+5k=")</f>
        <v>#VALUE!</v>
      </c>
      <c r="EY242" t="e">
        <f>AND(Sheet1!E3256,"AAAAAB9/+5o=")</f>
        <v>#VALUE!</v>
      </c>
      <c r="EZ242" t="e">
        <f>AND(Sheet1!F3256,"AAAAAB9/+5s=")</f>
        <v>#VALUE!</v>
      </c>
      <c r="FA242" t="e">
        <f>AND(Sheet1!G3256,"AAAAAB9/+5w=")</f>
        <v>#VALUE!</v>
      </c>
      <c r="FB242" t="e">
        <f>AND(Sheet1!H3256,"AAAAAB9/+50=")</f>
        <v>#VALUE!</v>
      </c>
      <c r="FC242" t="e">
        <f>AND(Sheet1!I3256,"AAAAAB9/+54=")</f>
        <v>#VALUE!</v>
      </c>
      <c r="FD242" t="e">
        <f>AND(Sheet1!J3256,"AAAAAB9/+58=")</f>
        <v>#VALUE!</v>
      </c>
      <c r="FE242" t="e">
        <f>AND(Sheet1!K3256,"AAAAAB9/+6A=")</f>
        <v>#VALUE!</v>
      </c>
      <c r="FF242" t="e">
        <f>AND(Sheet1!L3256,"AAAAAB9/+6E=")</f>
        <v>#VALUE!</v>
      </c>
      <c r="FG242" t="e">
        <f>AND(Sheet1!M3256,"AAAAAB9/+6I=")</f>
        <v>#VALUE!</v>
      </c>
      <c r="FH242" t="e">
        <f>AND(Sheet1!N3256,"AAAAAB9/+6M=")</f>
        <v>#VALUE!</v>
      </c>
      <c r="FI242" t="e">
        <f>AND(Sheet1!#REF!,"AAAAAB9/+6Q=")</f>
        <v>#REF!</v>
      </c>
      <c r="FJ242" t="e">
        <f>AND(Sheet1!#REF!,"AAAAAB9/+6U=")</f>
        <v>#REF!</v>
      </c>
      <c r="FK242" t="e">
        <f>AND(Sheet1!#REF!,"AAAAAB9/+6Y=")</f>
        <v>#REF!</v>
      </c>
      <c r="FL242" t="e">
        <f>AND(Sheet1!#REF!,"AAAAAB9/+6c=")</f>
        <v>#REF!</v>
      </c>
      <c r="FM242">
        <f>IF(Sheet1!3257:3257,"AAAAAB9/+6g=",0)</f>
        <v>0</v>
      </c>
      <c r="FN242" t="e">
        <f>AND(Sheet1!A3257,"AAAAAB9/+6k=")</f>
        <v>#VALUE!</v>
      </c>
      <c r="FO242" t="e">
        <f>AND(Sheet1!B3257,"AAAAAB9/+6o=")</f>
        <v>#VALUE!</v>
      </c>
      <c r="FP242" t="e">
        <f>AND(Sheet1!C3257,"AAAAAB9/+6s=")</f>
        <v>#VALUE!</v>
      </c>
      <c r="FQ242" t="e">
        <f>AND(Sheet1!D3257,"AAAAAB9/+6w=")</f>
        <v>#VALUE!</v>
      </c>
      <c r="FR242" t="e">
        <f>AND(Sheet1!E3257,"AAAAAB9/+60=")</f>
        <v>#VALUE!</v>
      </c>
      <c r="FS242" t="e">
        <f>AND(Sheet1!F3257,"AAAAAB9/+64=")</f>
        <v>#VALUE!</v>
      </c>
      <c r="FT242" t="e">
        <f>AND(Sheet1!G3257,"AAAAAB9/+68=")</f>
        <v>#VALUE!</v>
      </c>
      <c r="FU242" t="e">
        <f>AND(Sheet1!H3257,"AAAAAB9/+7A=")</f>
        <v>#VALUE!</v>
      </c>
      <c r="FV242" t="e">
        <f>AND(Sheet1!I3257,"AAAAAB9/+7E=")</f>
        <v>#VALUE!</v>
      </c>
      <c r="FW242" t="e">
        <f>AND(Sheet1!J3257,"AAAAAB9/+7I=")</f>
        <v>#VALUE!</v>
      </c>
      <c r="FX242" t="e">
        <f>AND(Sheet1!K3257,"AAAAAB9/+7M=")</f>
        <v>#VALUE!</v>
      </c>
      <c r="FY242" t="e">
        <f>AND(Sheet1!L3257,"AAAAAB9/+7Q=")</f>
        <v>#VALUE!</v>
      </c>
      <c r="FZ242" t="e">
        <f>AND(Sheet1!M3257,"AAAAAB9/+7U=")</f>
        <v>#VALUE!</v>
      </c>
      <c r="GA242" t="e">
        <f>AND(Sheet1!N3257,"AAAAAB9/+7Y=")</f>
        <v>#VALUE!</v>
      </c>
      <c r="GB242" t="e">
        <f>AND(Sheet1!#REF!,"AAAAAB9/+7c=")</f>
        <v>#REF!</v>
      </c>
      <c r="GC242" t="e">
        <f>AND(Sheet1!#REF!,"AAAAAB9/+7g=")</f>
        <v>#REF!</v>
      </c>
      <c r="GD242" t="e">
        <f>AND(Sheet1!#REF!,"AAAAAB9/+7k=")</f>
        <v>#REF!</v>
      </c>
      <c r="GE242" t="e">
        <f>AND(Sheet1!#REF!,"AAAAAB9/+7o=")</f>
        <v>#REF!</v>
      </c>
      <c r="GF242">
        <f>IF(Sheet1!3258:3258,"AAAAAB9/+7s=",0)</f>
        <v>0</v>
      </c>
      <c r="GG242" t="e">
        <f>AND(Sheet1!A3258,"AAAAAB9/+7w=")</f>
        <v>#VALUE!</v>
      </c>
      <c r="GH242" t="e">
        <f>AND(Sheet1!B3258,"AAAAAB9/+70=")</f>
        <v>#VALUE!</v>
      </c>
      <c r="GI242" t="e">
        <f>AND(Sheet1!C3258,"AAAAAB9/+74=")</f>
        <v>#VALUE!</v>
      </c>
      <c r="GJ242" t="e">
        <f>AND(Sheet1!D3258,"AAAAAB9/+78=")</f>
        <v>#VALUE!</v>
      </c>
      <c r="GK242" t="e">
        <f>AND(Sheet1!E3258,"AAAAAB9/+8A=")</f>
        <v>#VALUE!</v>
      </c>
      <c r="GL242" t="e">
        <f>AND(Sheet1!F3258,"AAAAAB9/+8E=")</f>
        <v>#VALUE!</v>
      </c>
      <c r="GM242" t="e">
        <f>AND(Sheet1!G3258,"AAAAAB9/+8I=")</f>
        <v>#VALUE!</v>
      </c>
      <c r="GN242" t="e">
        <f>AND(Sheet1!H3258,"AAAAAB9/+8M=")</f>
        <v>#VALUE!</v>
      </c>
      <c r="GO242" t="e">
        <f>AND(Sheet1!I3258,"AAAAAB9/+8Q=")</f>
        <v>#VALUE!</v>
      </c>
      <c r="GP242" t="e">
        <f>AND(Sheet1!J3258,"AAAAAB9/+8U=")</f>
        <v>#VALUE!</v>
      </c>
      <c r="GQ242" t="e">
        <f>AND(Sheet1!K3258,"AAAAAB9/+8Y=")</f>
        <v>#VALUE!</v>
      </c>
      <c r="GR242" t="e">
        <f>AND(Sheet1!L3258,"AAAAAB9/+8c=")</f>
        <v>#VALUE!</v>
      </c>
      <c r="GS242" t="e">
        <f>AND(Sheet1!M3258,"AAAAAB9/+8g=")</f>
        <v>#VALUE!</v>
      </c>
      <c r="GT242" t="e">
        <f>AND(Sheet1!N3258,"AAAAAB9/+8k=")</f>
        <v>#VALUE!</v>
      </c>
      <c r="GU242" t="e">
        <f>AND(Sheet1!#REF!,"AAAAAB9/+8o=")</f>
        <v>#REF!</v>
      </c>
      <c r="GV242" t="e">
        <f>AND(Sheet1!#REF!,"AAAAAB9/+8s=")</f>
        <v>#REF!</v>
      </c>
      <c r="GW242" t="e">
        <f>AND(Sheet1!#REF!,"AAAAAB9/+8w=")</f>
        <v>#REF!</v>
      </c>
      <c r="GX242" t="e">
        <f>AND(Sheet1!#REF!,"AAAAAB9/+80=")</f>
        <v>#REF!</v>
      </c>
      <c r="GY242">
        <f>IF(Sheet1!3259:3259,"AAAAAB9/+84=",0)</f>
        <v>0</v>
      </c>
      <c r="GZ242" t="e">
        <f>AND(Sheet1!A3259,"AAAAAB9/+88=")</f>
        <v>#VALUE!</v>
      </c>
      <c r="HA242" t="e">
        <f>AND(Sheet1!B3259,"AAAAAB9/+9A=")</f>
        <v>#VALUE!</v>
      </c>
      <c r="HB242" t="e">
        <f>AND(Sheet1!C3259,"AAAAAB9/+9E=")</f>
        <v>#VALUE!</v>
      </c>
      <c r="HC242" t="e">
        <f>AND(Sheet1!D3259,"AAAAAB9/+9I=")</f>
        <v>#VALUE!</v>
      </c>
      <c r="HD242" t="e">
        <f>AND(Sheet1!E3259,"AAAAAB9/+9M=")</f>
        <v>#VALUE!</v>
      </c>
      <c r="HE242" t="e">
        <f>AND(Sheet1!F3259,"AAAAAB9/+9Q=")</f>
        <v>#VALUE!</v>
      </c>
      <c r="HF242" t="e">
        <f>AND(Sheet1!G3259,"AAAAAB9/+9U=")</f>
        <v>#VALUE!</v>
      </c>
      <c r="HG242" t="e">
        <f>AND(Sheet1!H3259,"AAAAAB9/+9Y=")</f>
        <v>#VALUE!</v>
      </c>
      <c r="HH242" t="e">
        <f>AND(Sheet1!I3259,"AAAAAB9/+9c=")</f>
        <v>#VALUE!</v>
      </c>
      <c r="HI242" t="e">
        <f>AND(Sheet1!J3259,"AAAAAB9/+9g=")</f>
        <v>#VALUE!</v>
      </c>
      <c r="HJ242" t="e">
        <f>AND(Sheet1!K3259,"AAAAAB9/+9k=")</f>
        <v>#VALUE!</v>
      </c>
      <c r="HK242" t="e">
        <f>AND(Sheet1!L3259,"AAAAAB9/+9o=")</f>
        <v>#VALUE!</v>
      </c>
      <c r="HL242" t="e">
        <f>AND(Sheet1!M3259,"AAAAAB9/+9s=")</f>
        <v>#VALUE!</v>
      </c>
      <c r="HM242" t="e">
        <f>AND(Sheet1!N3259,"AAAAAB9/+9w=")</f>
        <v>#VALUE!</v>
      </c>
      <c r="HN242" t="e">
        <f>AND(Sheet1!#REF!,"AAAAAB9/+90=")</f>
        <v>#REF!</v>
      </c>
      <c r="HO242" t="e">
        <f>AND(Sheet1!#REF!,"AAAAAB9/+94=")</f>
        <v>#REF!</v>
      </c>
      <c r="HP242" t="e">
        <f>AND(Sheet1!#REF!,"AAAAAB9/+98=")</f>
        <v>#REF!</v>
      </c>
      <c r="HQ242" t="e">
        <f>AND(Sheet1!#REF!,"AAAAAB9/++A=")</f>
        <v>#REF!</v>
      </c>
      <c r="HR242">
        <f>IF(Sheet1!3260:3260,"AAAAAB9/++E=",0)</f>
        <v>0</v>
      </c>
      <c r="HS242" t="e">
        <f>AND(Sheet1!A3260,"AAAAAB9/++I=")</f>
        <v>#VALUE!</v>
      </c>
      <c r="HT242" t="e">
        <f>AND(Sheet1!B3260,"AAAAAB9/++M=")</f>
        <v>#VALUE!</v>
      </c>
      <c r="HU242" t="e">
        <f>AND(Sheet1!C3260,"AAAAAB9/++Q=")</f>
        <v>#VALUE!</v>
      </c>
      <c r="HV242" t="e">
        <f>AND(Sheet1!D3260,"AAAAAB9/++U=")</f>
        <v>#VALUE!</v>
      </c>
      <c r="HW242" t="e">
        <f>AND(Sheet1!E3260,"AAAAAB9/++Y=")</f>
        <v>#VALUE!</v>
      </c>
      <c r="HX242" t="e">
        <f>AND(Sheet1!F3260,"AAAAAB9/++c=")</f>
        <v>#VALUE!</v>
      </c>
      <c r="HY242" t="e">
        <f>AND(Sheet1!G3260,"AAAAAB9/++g=")</f>
        <v>#VALUE!</v>
      </c>
      <c r="HZ242" t="e">
        <f>AND(Sheet1!H3260,"AAAAAB9/++k=")</f>
        <v>#VALUE!</v>
      </c>
      <c r="IA242" t="e">
        <f>AND(Sheet1!I3260,"AAAAAB9/++o=")</f>
        <v>#VALUE!</v>
      </c>
      <c r="IB242" t="e">
        <f>AND(Sheet1!J3260,"AAAAAB9/++s=")</f>
        <v>#VALUE!</v>
      </c>
      <c r="IC242" t="e">
        <f>AND(Sheet1!K3260,"AAAAAB9/++w=")</f>
        <v>#VALUE!</v>
      </c>
      <c r="ID242" t="e">
        <f>AND(Sheet1!L3260,"AAAAAB9/++0=")</f>
        <v>#VALUE!</v>
      </c>
      <c r="IE242" t="e">
        <f>AND(Sheet1!M3260,"AAAAAB9/++4=")</f>
        <v>#VALUE!</v>
      </c>
      <c r="IF242" t="e">
        <f>AND(Sheet1!N3260,"AAAAAB9/++8=")</f>
        <v>#VALUE!</v>
      </c>
      <c r="IG242" t="e">
        <f>AND(Sheet1!#REF!,"AAAAAB9/+/A=")</f>
        <v>#REF!</v>
      </c>
      <c r="IH242" t="e">
        <f>AND(Sheet1!#REF!,"AAAAAB9/+/E=")</f>
        <v>#REF!</v>
      </c>
      <c r="II242" t="e">
        <f>AND(Sheet1!#REF!,"AAAAAB9/+/I=")</f>
        <v>#REF!</v>
      </c>
      <c r="IJ242" t="e">
        <f>AND(Sheet1!#REF!,"AAAAAB9/+/M=")</f>
        <v>#REF!</v>
      </c>
      <c r="IK242">
        <f>IF(Sheet1!3261:3261,"AAAAAB9/+/Q=",0)</f>
        <v>0</v>
      </c>
      <c r="IL242" t="e">
        <f>AND(Sheet1!A3261,"AAAAAB9/+/U=")</f>
        <v>#VALUE!</v>
      </c>
      <c r="IM242" t="e">
        <f>AND(Sheet1!B3261,"AAAAAB9/+/Y=")</f>
        <v>#VALUE!</v>
      </c>
      <c r="IN242" t="e">
        <f>AND(Sheet1!C3261,"AAAAAB9/+/c=")</f>
        <v>#VALUE!</v>
      </c>
      <c r="IO242" t="e">
        <f>AND(Sheet1!D3261,"AAAAAB9/+/g=")</f>
        <v>#VALUE!</v>
      </c>
      <c r="IP242" t="e">
        <f>AND(Sheet1!E3261,"AAAAAB9/+/k=")</f>
        <v>#VALUE!</v>
      </c>
      <c r="IQ242" t="e">
        <f>AND(Sheet1!F3261,"AAAAAB9/+/o=")</f>
        <v>#VALUE!</v>
      </c>
      <c r="IR242" t="e">
        <f>AND(Sheet1!G3261,"AAAAAB9/+/s=")</f>
        <v>#VALUE!</v>
      </c>
      <c r="IS242" t="e">
        <f>AND(Sheet1!H3261,"AAAAAB9/+/w=")</f>
        <v>#VALUE!</v>
      </c>
      <c r="IT242" t="e">
        <f>AND(Sheet1!I3261,"AAAAAB9/+/0=")</f>
        <v>#VALUE!</v>
      </c>
      <c r="IU242" t="e">
        <f>AND(Sheet1!J3261,"AAAAAB9/+/4=")</f>
        <v>#VALUE!</v>
      </c>
      <c r="IV242" t="e">
        <f>AND(Sheet1!K3261,"AAAAAB9/+/8=")</f>
        <v>#VALUE!</v>
      </c>
    </row>
    <row r="243" spans="1:256" x14ac:dyDescent="0.2">
      <c r="A243" t="e">
        <f>AND(Sheet1!L3261,"AAAAAH38+wA=")</f>
        <v>#VALUE!</v>
      </c>
      <c r="B243" t="e">
        <f>AND(Sheet1!M3261,"AAAAAH38+wE=")</f>
        <v>#VALUE!</v>
      </c>
      <c r="C243" t="e">
        <f>AND(Sheet1!N3261,"AAAAAH38+wI=")</f>
        <v>#VALUE!</v>
      </c>
      <c r="D243" t="e">
        <f>AND(Sheet1!#REF!,"AAAAAH38+wM=")</f>
        <v>#REF!</v>
      </c>
      <c r="E243" t="e">
        <f>AND(Sheet1!#REF!,"AAAAAH38+wQ=")</f>
        <v>#REF!</v>
      </c>
      <c r="F243" t="e">
        <f>AND(Sheet1!#REF!,"AAAAAH38+wU=")</f>
        <v>#REF!</v>
      </c>
      <c r="G243" t="e">
        <f>AND(Sheet1!#REF!,"AAAAAH38+wY=")</f>
        <v>#REF!</v>
      </c>
      <c r="H243" t="str">
        <f>IF(Sheet1!3262:3262,"AAAAAH38+wc=",0)</f>
        <v>AAAAAH38+wc=</v>
      </c>
      <c r="I243" t="e">
        <f>AND(Sheet1!A3262,"AAAAAH38+wg=")</f>
        <v>#VALUE!</v>
      </c>
      <c r="J243" t="e">
        <f>AND(Sheet1!B3262,"AAAAAH38+wk=")</f>
        <v>#VALUE!</v>
      </c>
      <c r="K243" t="e">
        <f>AND(Sheet1!C3262,"AAAAAH38+wo=")</f>
        <v>#VALUE!</v>
      </c>
      <c r="L243" t="e">
        <f>AND(Sheet1!D3262,"AAAAAH38+ws=")</f>
        <v>#VALUE!</v>
      </c>
      <c r="M243" t="e">
        <f>AND(Sheet1!E3262,"AAAAAH38+ww=")</f>
        <v>#VALUE!</v>
      </c>
      <c r="N243" t="e">
        <f>AND(Sheet1!F3262,"AAAAAH38+w0=")</f>
        <v>#VALUE!</v>
      </c>
      <c r="O243" t="e">
        <f>AND(Sheet1!G3262,"AAAAAH38+w4=")</f>
        <v>#VALUE!</v>
      </c>
      <c r="P243" t="e">
        <f>AND(Sheet1!H3262,"AAAAAH38+w8=")</f>
        <v>#VALUE!</v>
      </c>
      <c r="Q243" t="e">
        <f>AND(Sheet1!I3262,"AAAAAH38+xA=")</f>
        <v>#VALUE!</v>
      </c>
      <c r="R243" t="e">
        <f>AND(Sheet1!J3262,"AAAAAH38+xE=")</f>
        <v>#VALUE!</v>
      </c>
      <c r="S243" t="e">
        <f>AND(Sheet1!K3262,"AAAAAH38+xI=")</f>
        <v>#VALUE!</v>
      </c>
      <c r="T243" t="e">
        <f>AND(Sheet1!L3262,"AAAAAH38+xM=")</f>
        <v>#VALUE!</v>
      </c>
      <c r="U243" t="e">
        <f>AND(Sheet1!M3262,"AAAAAH38+xQ=")</f>
        <v>#VALUE!</v>
      </c>
      <c r="V243" t="e">
        <f>AND(Sheet1!N3262,"AAAAAH38+xU=")</f>
        <v>#VALUE!</v>
      </c>
      <c r="W243" t="e">
        <f>AND(Sheet1!#REF!,"AAAAAH38+xY=")</f>
        <v>#REF!</v>
      </c>
      <c r="X243" t="e">
        <f>AND(Sheet1!#REF!,"AAAAAH38+xc=")</f>
        <v>#REF!</v>
      </c>
      <c r="Y243" t="e">
        <f>AND(Sheet1!#REF!,"AAAAAH38+xg=")</f>
        <v>#REF!</v>
      </c>
      <c r="Z243" t="e">
        <f>AND(Sheet1!#REF!,"AAAAAH38+xk=")</f>
        <v>#REF!</v>
      </c>
      <c r="AA243">
        <f>IF(Sheet1!3263:3263,"AAAAAH38+xo=",0)</f>
        <v>0</v>
      </c>
      <c r="AB243" t="e">
        <f>AND(Sheet1!A3263,"AAAAAH38+xs=")</f>
        <v>#VALUE!</v>
      </c>
      <c r="AC243" t="e">
        <f>AND(Sheet1!B3263,"AAAAAH38+xw=")</f>
        <v>#VALUE!</v>
      </c>
      <c r="AD243" t="e">
        <f>AND(Sheet1!C3263,"AAAAAH38+x0=")</f>
        <v>#VALUE!</v>
      </c>
      <c r="AE243" t="e">
        <f>AND(Sheet1!D3263,"AAAAAH38+x4=")</f>
        <v>#VALUE!</v>
      </c>
      <c r="AF243" t="e">
        <f>AND(Sheet1!E3263,"AAAAAH38+x8=")</f>
        <v>#VALUE!</v>
      </c>
      <c r="AG243" t="e">
        <f>AND(Sheet1!F3263,"AAAAAH38+yA=")</f>
        <v>#VALUE!</v>
      </c>
      <c r="AH243" t="e">
        <f>AND(Sheet1!G3263,"AAAAAH38+yE=")</f>
        <v>#VALUE!</v>
      </c>
      <c r="AI243" t="e">
        <f>AND(Sheet1!H3263,"AAAAAH38+yI=")</f>
        <v>#VALUE!</v>
      </c>
      <c r="AJ243" t="e">
        <f>AND(Sheet1!I3263,"AAAAAH38+yM=")</f>
        <v>#VALUE!</v>
      </c>
      <c r="AK243" t="e">
        <f>AND(Sheet1!J3263,"AAAAAH38+yQ=")</f>
        <v>#VALUE!</v>
      </c>
      <c r="AL243" t="e">
        <f>AND(Sheet1!K3263,"AAAAAH38+yU=")</f>
        <v>#VALUE!</v>
      </c>
      <c r="AM243" t="e">
        <f>AND(Sheet1!L3263,"AAAAAH38+yY=")</f>
        <v>#VALUE!</v>
      </c>
      <c r="AN243" t="e">
        <f>AND(Sheet1!M3263,"AAAAAH38+yc=")</f>
        <v>#VALUE!</v>
      </c>
      <c r="AO243" t="e">
        <f>AND(Sheet1!N3263,"AAAAAH38+yg=")</f>
        <v>#VALUE!</v>
      </c>
      <c r="AP243" t="e">
        <f>AND(Sheet1!#REF!,"AAAAAH38+yk=")</f>
        <v>#REF!</v>
      </c>
      <c r="AQ243" t="e">
        <f>AND(Sheet1!#REF!,"AAAAAH38+yo=")</f>
        <v>#REF!</v>
      </c>
      <c r="AR243" t="e">
        <f>AND(Sheet1!#REF!,"AAAAAH38+ys=")</f>
        <v>#REF!</v>
      </c>
      <c r="AS243" t="e">
        <f>AND(Sheet1!#REF!,"AAAAAH38+yw=")</f>
        <v>#REF!</v>
      </c>
      <c r="AT243">
        <f>IF(Sheet1!3264:3264,"AAAAAH38+y0=",0)</f>
        <v>0</v>
      </c>
      <c r="AU243" t="e">
        <f>AND(Sheet1!A3264,"AAAAAH38+y4=")</f>
        <v>#VALUE!</v>
      </c>
      <c r="AV243" t="e">
        <f>AND(Sheet1!B3264,"AAAAAH38+y8=")</f>
        <v>#VALUE!</v>
      </c>
      <c r="AW243" t="e">
        <f>AND(Sheet1!C3264,"AAAAAH38+zA=")</f>
        <v>#VALUE!</v>
      </c>
      <c r="AX243" t="e">
        <f>AND(Sheet1!D3264,"AAAAAH38+zE=")</f>
        <v>#VALUE!</v>
      </c>
      <c r="AY243" t="e">
        <f>AND(Sheet1!E3264,"AAAAAH38+zI=")</f>
        <v>#VALUE!</v>
      </c>
      <c r="AZ243" t="e">
        <f>AND(Sheet1!F3264,"AAAAAH38+zM=")</f>
        <v>#VALUE!</v>
      </c>
      <c r="BA243" t="e">
        <f>AND(Sheet1!G3264,"AAAAAH38+zQ=")</f>
        <v>#VALUE!</v>
      </c>
      <c r="BB243" t="e">
        <f>AND(Sheet1!H3264,"AAAAAH38+zU=")</f>
        <v>#VALUE!</v>
      </c>
      <c r="BC243" t="e">
        <f>AND(Sheet1!I3264,"AAAAAH38+zY=")</f>
        <v>#VALUE!</v>
      </c>
      <c r="BD243" t="e">
        <f>AND(Sheet1!J3264,"AAAAAH38+zc=")</f>
        <v>#VALUE!</v>
      </c>
      <c r="BE243" t="e">
        <f>AND(Sheet1!K3264,"AAAAAH38+zg=")</f>
        <v>#VALUE!</v>
      </c>
      <c r="BF243" t="e">
        <f>AND(Sheet1!L3264,"AAAAAH38+zk=")</f>
        <v>#VALUE!</v>
      </c>
      <c r="BG243" t="e">
        <f>AND(Sheet1!M3264,"AAAAAH38+zo=")</f>
        <v>#VALUE!</v>
      </c>
      <c r="BH243" t="e">
        <f>AND(Sheet1!N3264,"AAAAAH38+zs=")</f>
        <v>#VALUE!</v>
      </c>
      <c r="BI243" t="e">
        <f>AND(Sheet1!#REF!,"AAAAAH38+zw=")</f>
        <v>#REF!</v>
      </c>
      <c r="BJ243" t="e">
        <f>AND(Sheet1!#REF!,"AAAAAH38+z0=")</f>
        <v>#REF!</v>
      </c>
      <c r="BK243" t="e">
        <f>AND(Sheet1!#REF!,"AAAAAH38+z4=")</f>
        <v>#REF!</v>
      </c>
      <c r="BL243" t="e">
        <f>AND(Sheet1!#REF!,"AAAAAH38+z8=")</f>
        <v>#REF!</v>
      </c>
      <c r="BM243">
        <f>IF(Sheet1!3265:3265,"AAAAAH38+0A=",0)</f>
        <v>0</v>
      </c>
      <c r="BN243" t="e">
        <f>AND(Sheet1!A3265,"AAAAAH38+0E=")</f>
        <v>#VALUE!</v>
      </c>
      <c r="BO243" t="e">
        <f>AND(Sheet1!B3265,"AAAAAH38+0I=")</f>
        <v>#VALUE!</v>
      </c>
      <c r="BP243" t="e">
        <f>AND(Sheet1!C3265,"AAAAAH38+0M=")</f>
        <v>#VALUE!</v>
      </c>
      <c r="BQ243" t="e">
        <f>AND(Sheet1!D3265,"AAAAAH38+0Q=")</f>
        <v>#VALUE!</v>
      </c>
      <c r="BR243" t="e">
        <f>AND(Sheet1!E3265,"AAAAAH38+0U=")</f>
        <v>#VALUE!</v>
      </c>
      <c r="BS243" t="e">
        <f>AND(Sheet1!F3265,"AAAAAH38+0Y=")</f>
        <v>#VALUE!</v>
      </c>
      <c r="BT243" t="e">
        <f>AND(Sheet1!G3265,"AAAAAH38+0c=")</f>
        <v>#VALUE!</v>
      </c>
      <c r="BU243" t="e">
        <f>AND(Sheet1!H3265,"AAAAAH38+0g=")</f>
        <v>#VALUE!</v>
      </c>
      <c r="BV243" t="e">
        <f>AND(Sheet1!I3265,"AAAAAH38+0k=")</f>
        <v>#VALUE!</v>
      </c>
      <c r="BW243" t="e">
        <f>AND(Sheet1!J3265,"AAAAAH38+0o=")</f>
        <v>#VALUE!</v>
      </c>
      <c r="BX243" t="e">
        <f>AND(Sheet1!K3265,"AAAAAH38+0s=")</f>
        <v>#VALUE!</v>
      </c>
      <c r="BY243" t="e">
        <f>AND(Sheet1!L3265,"AAAAAH38+0w=")</f>
        <v>#VALUE!</v>
      </c>
      <c r="BZ243" t="e">
        <f>AND(Sheet1!M3265,"AAAAAH38+00=")</f>
        <v>#VALUE!</v>
      </c>
      <c r="CA243" t="e">
        <f>AND(Sheet1!N3265,"AAAAAH38+04=")</f>
        <v>#VALUE!</v>
      </c>
      <c r="CB243" t="e">
        <f>AND(Sheet1!#REF!,"AAAAAH38+08=")</f>
        <v>#REF!</v>
      </c>
      <c r="CC243" t="e">
        <f>AND(Sheet1!#REF!,"AAAAAH38+1A=")</f>
        <v>#REF!</v>
      </c>
      <c r="CD243" t="e">
        <f>AND(Sheet1!#REF!,"AAAAAH38+1E=")</f>
        <v>#REF!</v>
      </c>
      <c r="CE243" t="e">
        <f>AND(Sheet1!#REF!,"AAAAAH38+1I=")</f>
        <v>#REF!</v>
      </c>
      <c r="CF243">
        <f>IF(Sheet1!3266:3266,"AAAAAH38+1M=",0)</f>
        <v>0</v>
      </c>
      <c r="CG243" t="e">
        <f>AND(Sheet1!A3266,"AAAAAH38+1Q=")</f>
        <v>#VALUE!</v>
      </c>
      <c r="CH243" t="e">
        <f>AND(Sheet1!B3266,"AAAAAH38+1U=")</f>
        <v>#VALUE!</v>
      </c>
      <c r="CI243" t="e">
        <f>AND(Sheet1!C3266,"AAAAAH38+1Y=")</f>
        <v>#VALUE!</v>
      </c>
      <c r="CJ243" t="e">
        <f>AND(Sheet1!D3266,"AAAAAH38+1c=")</f>
        <v>#VALUE!</v>
      </c>
      <c r="CK243" t="e">
        <f>AND(Sheet1!E3266,"AAAAAH38+1g=")</f>
        <v>#VALUE!</v>
      </c>
      <c r="CL243" t="e">
        <f>AND(Sheet1!F3266,"AAAAAH38+1k=")</f>
        <v>#VALUE!</v>
      </c>
      <c r="CM243" t="e">
        <f>AND(Sheet1!G3266,"AAAAAH38+1o=")</f>
        <v>#VALUE!</v>
      </c>
      <c r="CN243" t="e">
        <f>AND(Sheet1!H3266,"AAAAAH38+1s=")</f>
        <v>#VALUE!</v>
      </c>
      <c r="CO243" t="e">
        <f>AND(Sheet1!I3266,"AAAAAH38+1w=")</f>
        <v>#VALUE!</v>
      </c>
      <c r="CP243" t="e">
        <f>AND(Sheet1!J3266,"AAAAAH38+10=")</f>
        <v>#VALUE!</v>
      </c>
      <c r="CQ243" t="e">
        <f>AND(Sheet1!K3266,"AAAAAH38+14=")</f>
        <v>#VALUE!</v>
      </c>
      <c r="CR243" t="e">
        <f>AND(Sheet1!L3266,"AAAAAH38+18=")</f>
        <v>#VALUE!</v>
      </c>
      <c r="CS243" t="e">
        <f>AND(Sheet1!M3266,"AAAAAH38+2A=")</f>
        <v>#VALUE!</v>
      </c>
      <c r="CT243" t="e">
        <f>AND(Sheet1!N3266,"AAAAAH38+2E=")</f>
        <v>#VALUE!</v>
      </c>
      <c r="CU243" t="e">
        <f>AND(Sheet1!#REF!,"AAAAAH38+2I=")</f>
        <v>#REF!</v>
      </c>
      <c r="CV243" t="e">
        <f>AND(Sheet1!#REF!,"AAAAAH38+2M=")</f>
        <v>#REF!</v>
      </c>
      <c r="CW243" t="e">
        <f>AND(Sheet1!#REF!,"AAAAAH38+2Q=")</f>
        <v>#REF!</v>
      </c>
      <c r="CX243" t="e">
        <f>AND(Sheet1!#REF!,"AAAAAH38+2U=")</f>
        <v>#REF!</v>
      </c>
      <c r="CY243">
        <f>IF(Sheet1!3267:3267,"AAAAAH38+2Y=",0)</f>
        <v>0</v>
      </c>
      <c r="CZ243" t="e">
        <f>AND(Sheet1!A3267,"AAAAAH38+2c=")</f>
        <v>#VALUE!</v>
      </c>
      <c r="DA243" t="e">
        <f>AND(Sheet1!B3267,"AAAAAH38+2g=")</f>
        <v>#VALUE!</v>
      </c>
      <c r="DB243" t="e">
        <f>AND(Sheet1!C3267,"AAAAAH38+2k=")</f>
        <v>#VALUE!</v>
      </c>
      <c r="DC243" t="e">
        <f>AND(Sheet1!D3267,"AAAAAH38+2o=")</f>
        <v>#VALUE!</v>
      </c>
      <c r="DD243" t="e">
        <f>AND(Sheet1!E3267,"AAAAAH38+2s=")</f>
        <v>#VALUE!</v>
      </c>
      <c r="DE243" t="e">
        <f>AND(Sheet1!F3267,"AAAAAH38+2w=")</f>
        <v>#VALUE!</v>
      </c>
      <c r="DF243" t="e">
        <f>AND(Sheet1!G3267,"AAAAAH38+20=")</f>
        <v>#VALUE!</v>
      </c>
      <c r="DG243" t="e">
        <f>AND(Sheet1!H3267,"AAAAAH38+24=")</f>
        <v>#VALUE!</v>
      </c>
      <c r="DH243" t="e">
        <f>AND(Sheet1!I3267,"AAAAAH38+28=")</f>
        <v>#VALUE!</v>
      </c>
      <c r="DI243" t="e">
        <f>AND(Sheet1!J3267,"AAAAAH38+3A=")</f>
        <v>#VALUE!</v>
      </c>
      <c r="DJ243" t="e">
        <f>AND(Sheet1!K3267,"AAAAAH38+3E=")</f>
        <v>#VALUE!</v>
      </c>
      <c r="DK243" t="e">
        <f>AND(Sheet1!L3267,"AAAAAH38+3I=")</f>
        <v>#VALUE!</v>
      </c>
      <c r="DL243" t="e">
        <f>AND(Sheet1!M3267,"AAAAAH38+3M=")</f>
        <v>#VALUE!</v>
      </c>
      <c r="DM243" t="e">
        <f>AND(Sheet1!N3267,"AAAAAH38+3Q=")</f>
        <v>#VALUE!</v>
      </c>
      <c r="DN243" t="e">
        <f>AND(Sheet1!#REF!,"AAAAAH38+3U=")</f>
        <v>#REF!</v>
      </c>
      <c r="DO243" t="e">
        <f>AND(Sheet1!#REF!,"AAAAAH38+3Y=")</f>
        <v>#REF!</v>
      </c>
      <c r="DP243" t="e">
        <f>AND(Sheet1!#REF!,"AAAAAH38+3c=")</f>
        <v>#REF!</v>
      </c>
      <c r="DQ243" t="e">
        <f>AND(Sheet1!#REF!,"AAAAAH38+3g=")</f>
        <v>#REF!</v>
      </c>
      <c r="DR243">
        <f>IF(Sheet1!3268:3268,"AAAAAH38+3k=",0)</f>
        <v>0</v>
      </c>
      <c r="DS243" t="e">
        <f>AND(Sheet1!A3268,"AAAAAH38+3o=")</f>
        <v>#VALUE!</v>
      </c>
      <c r="DT243" t="e">
        <f>AND(Sheet1!B3268,"AAAAAH38+3s=")</f>
        <v>#VALUE!</v>
      </c>
      <c r="DU243" t="e">
        <f>AND(Sheet1!C3268,"AAAAAH38+3w=")</f>
        <v>#VALUE!</v>
      </c>
      <c r="DV243" t="e">
        <f>AND(Sheet1!D3268,"AAAAAH38+30=")</f>
        <v>#VALUE!</v>
      </c>
      <c r="DW243" t="e">
        <f>AND(Sheet1!E3268,"AAAAAH38+34=")</f>
        <v>#VALUE!</v>
      </c>
      <c r="DX243" t="e">
        <f>AND(Sheet1!F3268,"AAAAAH38+38=")</f>
        <v>#VALUE!</v>
      </c>
      <c r="DY243" t="e">
        <f>AND(Sheet1!G3268,"AAAAAH38+4A=")</f>
        <v>#VALUE!</v>
      </c>
      <c r="DZ243" t="e">
        <f>AND(Sheet1!H3268,"AAAAAH38+4E=")</f>
        <v>#VALUE!</v>
      </c>
      <c r="EA243" t="e">
        <f>AND(Sheet1!I3268,"AAAAAH38+4I=")</f>
        <v>#VALUE!</v>
      </c>
      <c r="EB243" t="e">
        <f>AND(Sheet1!J3268,"AAAAAH38+4M=")</f>
        <v>#VALUE!</v>
      </c>
      <c r="EC243" t="e">
        <f>AND(Sheet1!K3268,"AAAAAH38+4Q=")</f>
        <v>#VALUE!</v>
      </c>
      <c r="ED243" t="e">
        <f>AND(Sheet1!L3268,"AAAAAH38+4U=")</f>
        <v>#VALUE!</v>
      </c>
      <c r="EE243" t="e">
        <f>AND(Sheet1!M3268,"AAAAAH38+4Y=")</f>
        <v>#VALUE!</v>
      </c>
      <c r="EF243" t="e">
        <f>AND(Sheet1!N3268,"AAAAAH38+4c=")</f>
        <v>#VALUE!</v>
      </c>
      <c r="EG243" t="e">
        <f>AND(Sheet1!#REF!,"AAAAAH38+4g=")</f>
        <v>#REF!</v>
      </c>
      <c r="EH243" t="e">
        <f>AND(Sheet1!#REF!,"AAAAAH38+4k=")</f>
        <v>#REF!</v>
      </c>
      <c r="EI243" t="e">
        <f>AND(Sheet1!#REF!,"AAAAAH38+4o=")</f>
        <v>#REF!</v>
      </c>
      <c r="EJ243" t="e">
        <f>AND(Sheet1!#REF!,"AAAAAH38+4s=")</f>
        <v>#REF!</v>
      </c>
      <c r="EK243">
        <f>IF(Sheet1!3269:3269,"AAAAAH38+4w=",0)</f>
        <v>0</v>
      </c>
      <c r="EL243" t="e">
        <f>AND(Sheet1!A3269,"AAAAAH38+40=")</f>
        <v>#VALUE!</v>
      </c>
      <c r="EM243" t="e">
        <f>AND(Sheet1!B3269,"AAAAAH38+44=")</f>
        <v>#VALUE!</v>
      </c>
      <c r="EN243" t="e">
        <f>AND(Sheet1!C3269,"AAAAAH38+48=")</f>
        <v>#VALUE!</v>
      </c>
      <c r="EO243" t="e">
        <f>AND(Sheet1!D3269,"AAAAAH38+5A=")</f>
        <v>#VALUE!</v>
      </c>
      <c r="EP243" t="e">
        <f>AND(Sheet1!E3269,"AAAAAH38+5E=")</f>
        <v>#VALUE!</v>
      </c>
      <c r="EQ243" t="e">
        <f>AND(Sheet1!F3269,"AAAAAH38+5I=")</f>
        <v>#VALUE!</v>
      </c>
      <c r="ER243" t="e">
        <f>AND(Sheet1!G3269,"AAAAAH38+5M=")</f>
        <v>#VALUE!</v>
      </c>
      <c r="ES243" t="e">
        <f>AND(Sheet1!H3269,"AAAAAH38+5Q=")</f>
        <v>#VALUE!</v>
      </c>
      <c r="ET243" t="e">
        <f>AND(Sheet1!I3269,"AAAAAH38+5U=")</f>
        <v>#VALUE!</v>
      </c>
      <c r="EU243" t="e">
        <f>AND(Sheet1!J3269,"AAAAAH38+5Y=")</f>
        <v>#VALUE!</v>
      </c>
      <c r="EV243" t="e">
        <f>AND(Sheet1!K3269,"AAAAAH38+5c=")</f>
        <v>#VALUE!</v>
      </c>
      <c r="EW243" t="e">
        <f>AND(Sheet1!L3269,"AAAAAH38+5g=")</f>
        <v>#VALUE!</v>
      </c>
      <c r="EX243" t="e">
        <f>AND(Sheet1!M3269,"AAAAAH38+5k=")</f>
        <v>#VALUE!</v>
      </c>
      <c r="EY243" t="e">
        <f>AND(Sheet1!N3269,"AAAAAH38+5o=")</f>
        <v>#VALUE!</v>
      </c>
      <c r="EZ243" t="e">
        <f>AND(Sheet1!#REF!,"AAAAAH38+5s=")</f>
        <v>#REF!</v>
      </c>
      <c r="FA243" t="e">
        <f>AND(Sheet1!#REF!,"AAAAAH38+5w=")</f>
        <v>#REF!</v>
      </c>
      <c r="FB243" t="e">
        <f>AND(Sheet1!#REF!,"AAAAAH38+50=")</f>
        <v>#REF!</v>
      </c>
      <c r="FC243" t="e">
        <f>AND(Sheet1!#REF!,"AAAAAH38+54=")</f>
        <v>#REF!</v>
      </c>
      <c r="FD243">
        <f>IF(Sheet1!3270:3270,"AAAAAH38+58=",0)</f>
        <v>0</v>
      </c>
      <c r="FE243" t="e">
        <f>AND(Sheet1!A3270,"AAAAAH38+6A=")</f>
        <v>#VALUE!</v>
      </c>
      <c r="FF243" t="e">
        <f>AND(Sheet1!B3270,"AAAAAH38+6E=")</f>
        <v>#VALUE!</v>
      </c>
      <c r="FG243" t="e">
        <f>AND(Sheet1!C3270,"AAAAAH38+6I=")</f>
        <v>#VALUE!</v>
      </c>
      <c r="FH243" t="e">
        <f>AND(Sheet1!D3270,"AAAAAH38+6M=")</f>
        <v>#VALUE!</v>
      </c>
      <c r="FI243" t="e">
        <f>AND(Sheet1!E3270,"AAAAAH38+6Q=")</f>
        <v>#VALUE!</v>
      </c>
      <c r="FJ243" t="e">
        <f>AND(Sheet1!F3270,"AAAAAH38+6U=")</f>
        <v>#VALUE!</v>
      </c>
      <c r="FK243" t="e">
        <f>AND(Sheet1!G3270,"AAAAAH38+6Y=")</f>
        <v>#VALUE!</v>
      </c>
      <c r="FL243" t="e">
        <f>AND(Sheet1!H3270,"AAAAAH38+6c=")</f>
        <v>#VALUE!</v>
      </c>
      <c r="FM243" t="e">
        <f>AND(Sheet1!I3270,"AAAAAH38+6g=")</f>
        <v>#VALUE!</v>
      </c>
      <c r="FN243" t="e">
        <f>AND(Sheet1!J3270,"AAAAAH38+6k=")</f>
        <v>#VALUE!</v>
      </c>
      <c r="FO243" t="e">
        <f>AND(Sheet1!K3270,"AAAAAH38+6o=")</f>
        <v>#VALUE!</v>
      </c>
      <c r="FP243" t="e">
        <f>AND(Sheet1!L3270,"AAAAAH38+6s=")</f>
        <v>#VALUE!</v>
      </c>
      <c r="FQ243" t="e">
        <f>AND(Sheet1!M3270,"AAAAAH38+6w=")</f>
        <v>#VALUE!</v>
      </c>
      <c r="FR243" t="e">
        <f>AND(Sheet1!N3270,"AAAAAH38+60=")</f>
        <v>#VALUE!</v>
      </c>
      <c r="FS243" t="e">
        <f>AND(Sheet1!#REF!,"AAAAAH38+64=")</f>
        <v>#REF!</v>
      </c>
      <c r="FT243" t="e">
        <f>AND(Sheet1!#REF!,"AAAAAH38+68=")</f>
        <v>#REF!</v>
      </c>
      <c r="FU243" t="e">
        <f>AND(Sheet1!#REF!,"AAAAAH38+7A=")</f>
        <v>#REF!</v>
      </c>
      <c r="FV243" t="e">
        <f>AND(Sheet1!#REF!,"AAAAAH38+7E=")</f>
        <v>#REF!</v>
      </c>
      <c r="FW243">
        <f>IF(Sheet1!3271:3271,"AAAAAH38+7I=",0)</f>
        <v>0</v>
      </c>
      <c r="FX243" t="e">
        <f>AND(Sheet1!A3271,"AAAAAH38+7M=")</f>
        <v>#VALUE!</v>
      </c>
      <c r="FY243" t="e">
        <f>AND(Sheet1!B3271,"AAAAAH38+7Q=")</f>
        <v>#VALUE!</v>
      </c>
      <c r="FZ243" t="e">
        <f>AND(Sheet1!C3271,"AAAAAH38+7U=")</f>
        <v>#VALUE!</v>
      </c>
      <c r="GA243" t="e">
        <f>AND(Sheet1!D3271,"AAAAAH38+7Y=")</f>
        <v>#VALUE!</v>
      </c>
      <c r="GB243" t="e">
        <f>AND(Sheet1!E3271,"AAAAAH38+7c=")</f>
        <v>#VALUE!</v>
      </c>
      <c r="GC243" t="e">
        <f>AND(Sheet1!F3271,"AAAAAH38+7g=")</f>
        <v>#VALUE!</v>
      </c>
      <c r="GD243" t="e">
        <f>AND(Sheet1!G3271,"AAAAAH38+7k=")</f>
        <v>#VALUE!</v>
      </c>
      <c r="GE243" t="e">
        <f>AND(Sheet1!H3271,"AAAAAH38+7o=")</f>
        <v>#VALUE!</v>
      </c>
      <c r="GF243" t="e">
        <f>AND(Sheet1!I3271,"AAAAAH38+7s=")</f>
        <v>#VALUE!</v>
      </c>
      <c r="GG243" t="e">
        <f>AND(Sheet1!J3271,"AAAAAH38+7w=")</f>
        <v>#VALUE!</v>
      </c>
      <c r="GH243" t="e">
        <f>AND(Sheet1!K3271,"AAAAAH38+70=")</f>
        <v>#VALUE!</v>
      </c>
      <c r="GI243" t="e">
        <f>AND(Sheet1!L3271,"AAAAAH38+74=")</f>
        <v>#VALUE!</v>
      </c>
      <c r="GJ243" t="e">
        <f>AND(Sheet1!M3271,"AAAAAH38+78=")</f>
        <v>#VALUE!</v>
      </c>
      <c r="GK243" t="e">
        <f>AND(Sheet1!N3271,"AAAAAH38+8A=")</f>
        <v>#VALUE!</v>
      </c>
      <c r="GL243" t="e">
        <f>AND(Sheet1!#REF!,"AAAAAH38+8E=")</f>
        <v>#REF!</v>
      </c>
      <c r="GM243" t="e">
        <f>AND(Sheet1!#REF!,"AAAAAH38+8I=")</f>
        <v>#REF!</v>
      </c>
      <c r="GN243" t="e">
        <f>AND(Sheet1!#REF!,"AAAAAH38+8M=")</f>
        <v>#REF!</v>
      </c>
      <c r="GO243" t="e">
        <f>AND(Sheet1!#REF!,"AAAAAH38+8Q=")</f>
        <v>#REF!</v>
      </c>
      <c r="GP243">
        <f>IF(Sheet1!3272:3272,"AAAAAH38+8U=",0)</f>
        <v>0</v>
      </c>
      <c r="GQ243" t="e">
        <f>AND(Sheet1!A3272,"AAAAAH38+8Y=")</f>
        <v>#VALUE!</v>
      </c>
      <c r="GR243" t="e">
        <f>AND(Sheet1!B3272,"AAAAAH38+8c=")</f>
        <v>#VALUE!</v>
      </c>
      <c r="GS243" t="e">
        <f>AND(Sheet1!C3272,"AAAAAH38+8g=")</f>
        <v>#VALUE!</v>
      </c>
      <c r="GT243" t="e">
        <f>AND(Sheet1!D3272,"AAAAAH38+8k=")</f>
        <v>#VALUE!</v>
      </c>
      <c r="GU243" t="e">
        <f>AND(Sheet1!E3272,"AAAAAH38+8o=")</f>
        <v>#VALUE!</v>
      </c>
      <c r="GV243" t="e">
        <f>AND(Sheet1!F3272,"AAAAAH38+8s=")</f>
        <v>#VALUE!</v>
      </c>
      <c r="GW243" t="e">
        <f>AND(Sheet1!G3272,"AAAAAH38+8w=")</f>
        <v>#VALUE!</v>
      </c>
      <c r="GX243" t="e">
        <f>AND(Sheet1!H3272,"AAAAAH38+80=")</f>
        <v>#VALUE!</v>
      </c>
      <c r="GY243" t="e">
        <f>AND(Sheet1!I3272,"AAAAAH38+84=")</f>
        <v>#VALUE!</v>
      </c>
      <c r="GZ243" t="e">
        <f>AND(Sheet1!J3272,"AAAAAH38+88=")</f>
        <v>#VALUE!</v>
      </c>
      <c r="HA243" t="e">
        <f>AND(Sheet1!K3272,"AAAAAH38+9A=")</f>
        <v>#VALUE!</v>
      </c>
      <c r="HB243" t="e">
        <f>AND(Sheet1!L3272,"AAAAAH38+9E=")</f>
        <v>#VALUE!</v>
      </c>
      <c r="HC243" t="e">
        <f>AND(Sheet1!M3272,"AAAAAH38+9I=")</f>
        <v>#VALUE!</v>
      </c>
      <c r="HD243" t="e">
        <f>AND(Sheet1!N3272,"AAAAAH38+9M=")</f>
        <v>#VALUE!</v>
      </c>
      <c r="HE243" t="e">
        <f>AND(Sheet1!#REF!,"AAAAAH38+9Q=")</f>
        <v>#REF!</v>
      </c>
      <c r="HF243" t="e">
        <f>AND(Sheet1!#REF!,"AAAAAH38+9U=")</f>
        <v>#REF!</v>
      </c>
      <c r="HG243" t="e">
        <f>AND(Sheet1!#REF!,"AAAAAH38+9Y=")</f>
        <v>#REF!</v>
      </c>
      <c r="HH243" t="e">
        <f>AND(Sheet1!#REF!,"AAAAAH38+9c=")</f>
        <v>#REF!</v>
      </c>
      <c r="HI243">
        <f>IF(Sheet1!3273:3273,"AAAAAH38+9g=",0)</f>
        <v>0</v>
      </c>
      <c r="HJ243" t="e">
        <f>AND(Sheet1!A3273,"AAAAAH38+9k=")</f>
        <v>#VALUE!</v>
      </c>
      <c r="HK243" t="e">
        <f>AND(Sheet1!B3273,"AAAAAH38+9o=")</f>
        <v>#VALUE!</v>
      </c>
      <c r="HL243" t="e">
        <f>AND(Sheet1!C3273,"AAAAAH38+9s=")</f>
        <v>#VALUE!</v>
      </c>
      <c r="HM243" t="e">
        <f>AND(Sheet1!D3273,"AAAAAH38+9w=")</f>
        <v>#VALUE!</v>
      </c>
      <c r="HN243" t="e">
        <f>AND(Sheet1!E3273,"AAAAAH38+90=")</f>
        <v>#VALUE!</v>
      </c>
      <c r="HO243" t="e">
        <f>AND(Sheet1!F3273,"AAAAAH38+94=")</f>
        <v>#VALUE!</v>
      </c>
      <c r="HP243" t="e">
        <f>AND(Sheet1!G3273,"AAAAAH38+98=")</f>
        <v>#VALUE!</v>
      </c>
      <c r="HQ243" t="e">
        <f>AND(Sheet1!H3273,"AAAAAH38++A=")</f>
        <v>#VALUE!</v>
      </c>
      <c r="HR243" t="e">
        <f>AND(Sheet1!I3273,"AAAAAH38++E=")</f>
        <v>#VALUE!</v>
      </c>
      <c r="HS243" t="e">
        <f>AND(Sheet1!J3273,"AAAAAH38++I=")</f>
        <v>#VALUE!</v>
      </c>
      <c r="HT243" t="e">
        <f>AND(Sheet1!K3273,"AAAAAH38++M=")</f>
        <v>#VALUE!</v>
      </c>
      <c r="HU243" t="e">
        <f>AND(Sheet1!L3273,"AAAAAH38++Q=")</f>
        <v>#VALUE!</v>
      </c>
      <c r="HV243" t="e">
        <f>AND(Sheet1!M3273,"AAAAAH38++U=")</f>
        <v>#VALUE!</v>
      </c>
      <c r="HW243" t="e">
        <f>AND(Sheet1!N3273,"AAAAAH38++Y=")</f>
        <v>#VALUE!</v>
      </c>
      <c r="HX243" t="e">
        <f>AND(Sheet1!#REF!,"AAAAAH38++c=")</f>
        <v>#REF!</v>
      </c>
      <c r="HY243" t="e">
        <f>AND(Sheet1!#REF!,"AAAAAH38++g=")</f>
        <v>#REF!</v>
      </c>
      <c r="HZ243" t="e">
        <f>AND(Sheet1!#REF!,"AAAAAH38++k=")</f>
        <v>#REF!</v>
      </c>
      <c r="IA243" t="e">
        <f>AND(Sheet1!#REF!,"AAAAAH38++o=")</f>
        <v>#REF!</v>
      </c>
      <c r="IB243">
        <f>IF(Sheet1!3274:3274,"AAAAAH38++s=",0)</f>
        <v>0</v>
      </c>
      <c r="IC243" t="e">
        <f>AND(Sheet1!A3274,"AAAAAH38++w=")</f>
        <v>#VALUE!</v>
      </c>
      <c r="ID243" t="e">
        <f>AND(Sheet1!B3274,"AAAAAH38++0=")</f>
        <v>#VALUE!</v>
      </c>
      <c r="IE243" t="e">
        <f>AND(Sheet1!C3274,"AAAAAH38++4=")</f>
        <v>#VALUE!</v>
      </c>
      <c r="IF243" t="e">
        <f>AND(Sheet1!D3274,"AAAAAH38++8=")</f>
        <v>#VALUE!</v>
      </c>
      <c r="IG243" t="e">
        <f>AND(Sheet1!E3274,"AAAAAH38+/A=")</f>
        <v>#VALUE!</v>
      </c>
      <c r="IH243" t="e">
        <f>AND(Sheet1!F3274,"AAAAAH38+/E=")</f>
        <v>#VALUE!</v>
      </c>
      <c r="II243" t="e">
        <f>AND(Sheet1!G3274,"AAAAAH38+/I=")</f>
        <v>#VALUE!</v>
      </c>
      <c r="IJ243" t="e">
        <f>AND(Sheet1!H3274,"AAAAAH38+/M=")</f>
        <v>#VALUE!</v>
      </c>
      <c r="IK243" t="e">
        <f>AND(Sheet1!I3274,"AAAAAH38+/Q=")</f>
        <v>#VALUE!</v>
      </c>
      <c r="IL243" t="e">
        <f>AND(Sheet1!J3274,"AAAAAH38+/U=")</f>
        <v>#VALUE!</v>
      </c>
      <c r="IM243" t="e">
        <f>AND(Sheet1!K3274,"AAAAAH38+/Y=")</f>
        <v>#VALUE!</v>
      </c>
      <c r="IN243" t="e">
        <f>AND(Sheet1!L3274,"AAAAAH38+/c=")</f>
        <v>#VALUE!</v>
      </c>
      <c r="IO243" t="e">
        <f>AND(Sheet1!M3274,"AAAAAH38+/g=")</f>
        <v>#VALUE!</v>
      </c>
      <c r="IP243" t="e">
        <f>AND(Sheet1!N3274,"AAAAAH38+/k=")</f>
        <v>#VALUE!</v>
      </c>
      <c r="IQ243" t="e">
        <f>AND(Sheet1!#REF!,"AAAAAH38+/o=")</f>
        <v>#REF!</v>
      </c>
      <c r="IR243" t="e">
        <f>AND(Sheet1!#REF!,"AAAAAH38+/s=")</f>
        <v>#REF!</v>
      </c>
      <c r="IS243" t="e">
        <f>AND(Sheet1!#REF!,"AAAAAH38+/w=")</f>
        <v>#REF!</v>
      </c>
      <c r="IT243" t="e">
        <f>AND(Sheet1!#REF!,"AAAAAH38+/0=")</f>
        <v>#REF!</v>
      </c>
      <c r="IU243">
        <f>IF(Sheet1!3275:3275,"AAAAAH38+/4=",0)</f>
        <v>0</v>
      </c>
      <c r="IV243" t="e">
        <f>AND(Sheet1!A3275,"AAAAAH38+/8=")</f>
        <v>#VALUE!</v>
      </c>
    </row>
    <row r="244" spans="1:256" x14ac:dyDescent="0.2">
      <c r="A244" t="e">
        <f>AND(Sheet1!B3275,"AAAAAF/L7wA=")</f>
        <v>#VALUE!</v>
      </c>
      <c r="B244" t="e">
        <f>AND(Sheet1!C3275,"AAAAAF/L7wE=")</f>
        <v>#VALUE!</v>
      </c>
      <c r="C244" t="e">
        <f>AND(Sheet1!D3275,"AAAAAF/L7wI=")</f>
        <v>#VALUE!</v>
      </c>
      <c r="D244" t="e">
        <f>AND(Sheet1!E3275,"AAAAAF/L7wM=")</f>
        <v>#VALUE!</v>
      </c>
      <c r="E244" t="e">
        <f>AND(Sheet1!F3275,"AAAAAF/L7wQ=")</f>
        <v>#VALUE!</v>
      </c>
      <c r="F244" t="e">
        <f>AND(Sheet1!G3275,"AAAAAF/L7wU=")</f>
        <v>#VALUE!</v>
      </c>
      <c r="G244" t="e">
        <f>AND(Sheet1!H3275,"AAAAAF/L7wY=")</f>
        <v>#VALUE!</v>
      </c>
      <c r="H244" t="e">
        <f>AND(Sheet1!I3275,"AAAAAF/L7wc=")</f>
        <v>#VALUE!</v>
      </c>
      <c r="I244" t="e">
        <f>AND(Sheet1!J3275,"AAAAAF/L7wg=")</f>
        <v>#VALUE!</v>
      </c>
      <c r="J244" t="e">
        <f>AND(Sheet1!K3275,"AAAAAF/L7wk=")</f>
        <v>#VALUE!</v>
      </c>
      <c r="K244" t="e">
        <f>AND(Sheet1!L3275,"AAAAAF/L7wo=")</f>
        <v>#VALUE!</v>
      </c>
      <c r="L244" t="e">
        <f>AND(Sheet1!M3275,"AAAAAF/L7ws=")</f>
        <v>#VALUE!</v>
      </c>
      <c r="M244" t="e">
        <f>AND(Sheet1!N3275,"AAAAAF/L7ww=")</f>
        <v>#VALUE!</v>
      </c>
      <c r="N244" t="e">
        <f>AND(Sheet1!#REF!,"AAAAAF/L7w0=")</f>
        <v>#REF!</v>
      </c>
      <c r="O244" t="e">
        <f>AND(Sheet1!#REF!,"AAAAAF/L7w4=")</f>
        <v>#REF!</v>
      </c>
      <c r="P244" t="e">
        <f>AND(Sheet1!#REF!,"AAAAAF/L7w8=")</f>
        <v>#REF!</v>
      </c>
      <c r="Q244" t="e">
        <f>AND(Sheet1!#REF!,"AAAAAF/L7xA=")</f>
        <v>#REF!</v>
      </c>
      <c r="R244">
        <f>IF(Sheet1!3276:3276,"AAAAAF/L7xE=",0)</f>
        <v>0</v>
      </c>
      <c r="S244" t="e">
        <f>AND(Sheet1!A3276,"AAAAAF/L7xI=")</f>
        <v>#VALUE!</v>
      </c>
      <c r="T244" t="e">
        <f>AND(Sheet1!B3276,"AAAAAF/L7xM=")</f>
        <v>#VALUE!</v>
      </c>
      <c r="U244" t="e">
        <f>AND(Sheet1!C3276,"AAAAAF/L7xQ=")</f>
        <v>#VALUE!</v>
      </c>
      <c r="V244" t="e">
        <f>AND(Sheet1!D3276,"AAAAAF/L7xU=")</f>
        <v>#VALUE!</v>
      </c>
      <c r="W244" t="e">
        <f>AND(Sheet1!E3276,"AAAAAF/L7xY=")</f>
        <v>#VALUE!</v>
      </c>
      <c r="X244" t="e">
        <f>AND(Sheet1!F3276,"AAAAAF/L7xc=")</f>
        <v>#VALUE!</v>
      </c>
      <c r="Y244" t="e">
        <f>AND(Sheet1!G3276,"AAAAAF/L7xg=")</f>
        <v>#VALUE!</v>
      </c>
      <c r="Z244" t="e">
        <f>AND(Sheet1!H3276,"AAAAAF/L7xk=")</f>
        <v>#VALUE!</v>
      </c>
      <c r="AA244" t="e">
        <f>AND(Sheet1!I3276,"AAAAAF/L7xo=")</f>
        <v>#VALUE!</v>
      </c>
      <c r="AB244" t="e">
        <f>AND(Sheet1!J3276,"AAAAAF/L7xs=")</f>
        <v>#VALUE!</v>
      </c>
      <c r="AC244" t="e">
        <f>AND(Sheet1!K3276,"AAAAAF/L7xw=")</f>
        <v>#VALUE!</v>
      </c>
      <c r="AD244" t="e">
        <f>AND(Sheet1!L3276,"AAAAAF/L7x0=")</f>
        <v>#VALUE!</v>
      </c>
      <c r="AE244" t="e">
        <f>AND(Sheet1!M3276,"AAAAAF/L7x4=")</f>
        <v>#VALUE!</v>
      </c>
      <c r="AF244" t="e">
        <f>AND(Sheet1!N3276,"AAAAAF/L7x8=")</f>
        <v>#VALUE!</v>
      </c>
      <c r="AG244" t="e">
        <f>AND(Sheet1!#REF!,"AAAAAF/L7yA=")</f>
        <v>#REF!</v>
      </c>
      <c r="AH244" t="e">
        <f>AND(Sheet1!#REF!,"AAAAAF/L7yE=")</f>
        <v>#REF!</v>
      </c>
      <c r="AI244" t="e">
        <f>AND(Sheet1!#REF!,"AAAAAF/L7yI=")</f>
        <v>#REF!</v>
      </c>
      <c r="AJ244" t="e">
        <f>AND(Sheet1!#REF!,"AAAAAF/L7yM=")</f>
        <v>#REF!</v>
      </c>
      <c r="AK244">
        <f>IF(Sheet1!3277:3277,"AAAAAF/L7yQ=",0)</f>
        <v>0</v>
      </c>
      <c r="AL244" t="e">
        <f>AND(Sheet1!A3277,"AAAAAF/L7yU=")</f>
        <v>#VALUE!</v>
      </c>
      <c r="AM244" t="e">
        <f>AND(Sheet1!B3277,"AAAAAF/L7yY=")</f>
        <v>#VALUE!</v>
      </c>
      <c r="AN244" t="e">
        <f>AND(Sheet1!C3277,"AAAAAF/L7yc=")</f>
        <v>#VALUE!</v>
      </c>
      <c r="AO244" t="e">
        <f>AND(Sheet1!D3277,"AAAAAF/L7yg=")</f>
        <v>#VALUE!</v>
      </c>
      <c r="AP244" t="e">
        <f>AND(Sheet1!E3277,"AAAAAF/L7yk=")</f>
        <v>#VALUE!</v>
      </c>
      <c r="AQ244" t="e">
        <f>AND(Sheet1!F3277,"AAAAAF/L7yo=")</f>
        <v>#VALUE!</v>
      </c>
      <c r="AR244" t="e">
        <f>AND(Sheet1!G3277,"AAAAAF/L7ys=")</f>
        <v>#VALUE!</v>
      </c>
      <c r="AS244" t="e">
        <f>AND(Sheet1!H3277,"AAAAAF/L7yw=")</f>
        <v>#VALUE!</v>
      </c>
      <c r="AT244" t="e">
        <f>AND(Sheet1!I3277,"AAAAAF/L7y0=")</f>
        <v>#VALUE!</v>
      </c>
      <c r="AU244" t="e">
        <f>AND(Sheet1!J3277,"AAAAAF/L7y4=")</f>
        <v>#VALUE!</v>
      </c>
      <c r="AV244" t="e">
        <f>AND(Sheet1!K3277,"AAAAAF/L7y8=")</f>
        <v>#VALUE!</v>
      </c>
      <c r="AW244" t="e">
        <f>AND(Sheet1!L3277,"AAAAAF/L7zA=")</f>
        <v>#VALUE!</v>
      </c>
      <c r="AX244" t="e">
        <f>AND(Sheet1!M3277,"AAAAAF/L7zE=")</f>
        <v>#VALUE!</v>
      </c>
      <c r="AY244" t="e">
        <f>AND(Sheet1!N3277,"AAAAAF/L7zI=")</f>
        <v>#VALUE!</v>
      </c>
      <c r="AZ244" t="e">
        <f>AND(Sheet1!#REF!,"AAAAAF/L7zM=")</f>
        <v>#REF!</v>
      </c>
      <c r="BA244" t="e">
        <f>AND(Sheet1!#REF!,"AAAAAF/L7zQ=")</f>
        <v>#REF!</v>
      </c>
      <c r="BB244" t="e">
        <f>AND(Sheet1!#REF!,"AAAAAF/L7zU=")</f>
        <v>#REF!</v>
      </c>
      <c r="BC244" t="e">
        <f>AND(Sheet1!#REF!,"AAAAAF/L7zY=")</f>
        <v>#REF!</v>
      </c>
      <c r="BD244">
        <f>IF(Sheet1!3278:3278,"AAAAAF/L7zc=",0)</f>
        <v>0</v>
      </c>
      <c r="BE244" t="e">
        <f>AND(Sheet1!A3278,"AAAAAF/L7zg=")</f>
        <v>#VALUE!</v>
      </c>
      <c r="BF244" t="e">
        <f>AND(Sheet1!B3278,"AAAAAF/L7zk=")</f>
        <v>#VALUE!</v>
      </c>
      <c r="BG244" t="e">
        <f>AND(Sheet1!C3278,"AAAAAF/L7zo=")</f>
        <v>#VALUE!</v>
      </c>
      <c r="BH244" t="e">
        <f>AND(Sheet1!D3278,"AAAAAF/L7zs=")</f>
        <v>#VALUE!</v>
      </c>
      <c r="BI244" t="e">
        <f>AND(Sheet1!E3278,"AAAAAF/L7zw=")</f>
        <v>#VALUE!</v>
      </c>
      <c r="BJ244" t="e">
        <f>AND(Sheet1!F3278,"AAAAAF/L7z0=")</f>
        <v>#VALUE!</v>
      </c>
      <c r="BK244" t="e">
        <f>AND(Sheet1!G3278,"AAAAAF/L7z4=")</f>
        <v>#VALUE!</v>
      </c>
      <c r="BL244" t="e">
        <f>AND(Sheet1!H3278,"AAAAAF/L7z8=")</f>
        <v>#VALUE!</v>
      </c>
      <c r="BM244" t="e">
        <f>AND(Sheet1!I3278,"AAAAAF/L70A=")</f>
        <v>#VALUE!</v>
      </c>
      <c r="BN244" t="e">
        <f>AND(Sheet1!J3278,"AAAAAF/L70E=")</f>
        <v>#VALUE!</v>
      </c>
      <c r="BO244" t="e">
        <f>AND(Sheet1!K3278,"AAAAAF/L70I=")</f>
        <v>#VALUE!</v>
      </c>
      <c r="BP244" t="e">
        <f>AND(Sheet1!L3278,"AAAAAF/L70M=")</f>
        <v>#VALUE!</v>
      </c>
      <c r="BQ244" t="e">
        <f>AND(Sheet1!M3278,"AAAAAF/L70Q=")</f>
        <v>#VALUE!</v>
      </c>
      <c r="BR244" t="e">
        <f>AND(Sheet1!N3278,"AAAAAF/L70U=")</f>
        <v>#VALUE!</v>
      </c>
      <c r="BS244" t="e">
        <f>AND(Sheet1!#REF!,"AAAAAF/L70Y=")</f>
        <v>#REF!</v>
      </c>
      <c r="BT244" t="e">
        <f>AND(Sheet1!#REF!,"AAAAAF/L70c=")</f>
        <v>#REF!</v>
      </c>
      <c r="BU244" t="e">
        <f>AND(Sheet1!#REF!,"AAAAAF/L70g=")</f>
        <v>#REF!</v>
      </c>
      <c r="BV244" t="e">
        <f>AND(Sheet1!#REF!,"AAAAAF/L70k=")</f>
        <v>#REF!</v>
      </c>
      <c r="BW244">
        <f>IF(Sheet1!3279:3279,"AAAAAF/L70o=",0)</f>
        <v>0</v>
      </c>
      <c r="BX244" t="e">
        <f>AND(Sheet1!A3279,"AAAAAF/L70s=")</f>
        <v>#VALUE!</v>
      </c>
      <c r="BY244" t="e">
        <f>AND(Sheet1!B3279,"AAAAAF/L70w=")</f>
        <v>#VALUE!</v>
      </c>
      <c r="BZ244" t="e">
        <f>AND(Sheet1!C3279,"AAAAAF/L700=")</f>
        <v>#VALUE!</v>
      </c>
      <c r="CA244" t="e">
        <f>AND(Sheet1!D3279,"AAAAAF/L704=")</f>
        <v>#VALUE!</v>
      </c>
      <c r="CB244" t="e">
        <f>AND(Sheet1!E3279,"AAAAAF/L708=")</f>
        <v>#VALUE!</v>
      </c>
      <c r="CC244" t="e">
        <f>AND(Sheet1!F3279,"AAAAAF/L71A=")</f>
        <v>#VALUE!</v>
      </c>
      <c r="CD244" t="e">
        <f>AND(Sheet1!G3279,"AAAAAF/L71E=")</f>
        <v>#VALUE!</v>
      </c>
      <c r="CE244" t="e">
        <f>AND(Sheet1!H3279,"AAAAAF/L71I=")</f>
        <v>#VALUE!</v>
      </c>
      <c r="CF244" t="e">
        <f>AND(Sheet1!I3279,"AAAAAF/L71M=")</f>
        <v>#VALUE!</v>
      </c>
      <c r="CG244" t="e">
        <f>AND(Sheet1!J3279,"AAAAAF/L71Q=")</f>
        <v>#VALUE!</v>
      </c>
      <c r="CH244" t="e">
        <f>AND(Sheet1!K3279,"AAAAAF/L71U=")</f>
        <v>#VALUE!</v>
      </c>
      <c r="CI244" t="e">
        <f>AND(Sheet1!L3279,"AAAAAF/L71Y=")</f>
        <v>#VALUE!</v>
      </c>
      <c r="CJ244" t="e">
        <f>AND(Sheet1!M3279,"AAAAAF/L71c=")</f>
        <v>#VALUE!</v>
      </c>
      <c r="CK244" t="e">
        <f>AND(Sheet1!N3279,"AAAAAF/L71g=")</f>
        <v>#VALUE!</v>
      </c>
      <c r="CL244" t="e">
        <f>AND(Sheet1!#REF!,"AAAAAF/L71k=")</f>
        <v>#REF!</v>
      </c>
      <c r="CM244" t="e">
        <f>AND(Sheet1!#REF!,"AAAAAF/L71o=")</f>
        <v>#REF!</v>
      </c>
      <c r="CN244" t="e">
        <f>AND(Sheet1!#REF!,"AAAAAF/L71s=")</f>
        <v>#REF!</v>
      </c>
      <c r="CO244" t="e">
        <f>AND(Sheet1!#REF!,"AAAAAF/L71w=")</f>
        <v>#REF!</v>
      </c>
      <c r="CP244">
        <f>IF(Sheet1!3280:3280,"AAAAAF/L710=",0)</f>
        <v>0</v>
      </c>
      <c r="CQ244" t="e">
        <f>AND(Sheet1!A3280,"AAAAAF/L714=")</f>
        <v>#VALUE!</v>
      </c>
      <c r="CR244" t="e">
        <f>AND(Sheet1!B3280,"AAAAAF/L718=")</f>
        <v>#VALUE!</v>
      </c>
      <c r="CS244" t="e">
        <f>AND(Sheet1!C3280,"AAAAAF/L72A=")</f>
        <v>#VALUE!</v>
      </c>
      <c r="CT244" t="e">
        <f>AND(Sheet1!D3280,"AAAAAF/L72E=")</f>
        <v>#VALUE!</v>
      </c>
      <c r="CU244" t="e">
        <f>AND(Sheet1!E3280,"AAAAAF/L72I=")</f>
        <v>#VALUE!</v>
      </c>
      <c r="CV244" t="e">
        <f>AND(Sheet1!F3280,"AAAAAF/L72M=")</f>
        <v>#VALUE!</v>
      </c>
      <c r="CW244" t="e">
        <f>AND(Sheet1!G3280,"AAAAAF/L72Q=")</f>
        <v>#VALUE!</v>
      </c>
      <c r="CX244" t="e">
        <f>AND(Sheet1!H3280,"AAAAAF/L72U=")</f>
        <v>#VALUE!</v>
      </c>
      <c r="CY244" t="e">
        <f>AND(Sheet1!I3280,"AAAAAF/L72Y=")</f>
        <v>#VALUE!</v>
      </c>
      <c r="CZ244" t="e">
        <f>AND(Sheet1!J3280,"AAAAAF/L72c=")</f>
        <v>#VALUE!</v>
      </c>
      <c r="DA244" t="e">
        <f>AND(Sheet1!K3280,"AAAAAF/L72g=")</f>
        <v>#VALUE!</v>
      </c>
      <c r="DB244" t="e">
        <f>AND(Sheet1!L3280,"AAAAAF/L72k=")</f>
        <v>#VALUE!</v>
      </c>
      <c r="DC244" t="e">
        <f>AND(Sheet1!M3280,"AAAAAF/L72o=")</f>
        <v>#VALUE!</v>
      </c>
      <c r="DD244" t="e">
        <f>AND(Sheet1!N3280,"AAAAAF/L72s=")</f>
        <v>#VALUE!</v>
      </c>
      <c r="DE244" t="e">
        <f>AND(Sheet1!#REF!,"AAAAAF/L72w=")</f>
        <v>#REF!</v>
      </c>
      <c r="DF244" t="e">
        <f>AND(Sheet1!#REF!,"AAAAAF/L720=")</f>
        <v>#REF!</v>
      </c>
      <c r="DG244" t="e">
        <f>AND(Sheet1!#REF!,"AAAAAF/L724=")</f>
        <v>#REF!</v>
      </c>
      <c r="DH244" t="e">
        <f>AND(Sheet1!#REF!,"AAAAAF/L728=")</f>
        <v>#REF!</v>
      </c>
      <c r="DI244">
        <f>IF(Sheet1!3281:3281,"AAAAAF/L73A=",0)</f>
        <v>0</v>
      </c>
      <c r="DJ244" t="e">
        <f>AND(Sheet1!A3281,"AAAAAF/L73E=")</f>
        <v>#VALUE!</v>
      </c>
      <c r="DK244" t="e">
        <f>AND(Sheet1!B3281,"AAAAAF/L73I=")</f>
        <v>#VALUE!</v>
      </c>
      <c r="DL244" t="e">
        <f>AND(Sheet1!C3281,"AAAAAF/L73M=")</f>
        <v>#VALUE!</v>
      </c>
      <c r="DM244" t="e">
        <f>AND(Sheet1!D3281,"AAAAAF/L73Q=")</f>
        <v>#VALUE!</v>
      </c>
      <c r="DN244" t="e">
        <f>AND(Sheet1!E3281,"AAAAAF/L73U=")</f>
        <v>#VALUE!</v>
      </c>
      <c r="DO244" t="e">
        <f>AND(Sheet1!F3281,"AAAAAF/L73Y=")</f>
        <v>#VALUE!</v>
      </c>
      <c r="DP244" t="e">
        <f>AND(Sheet1!G3281,"AAAAAF/L73c=")</f>
        <v>#VALUE!</v>
      </c>
      <c r="DQ244" t="e">
        <f>AND(Sheet1!H3281,"AAAAAF/L73g=")</f>
        <v>#VALUE!</v>
      </c>
      <c r="DR244" t="e">
        <f>AND(Sheet1!I3281,"AAAAAF/L73k=")</f>
        <v>#VALUE!</v>
      </c>
      <c r="DS244" t="e">
        <f>AND(Sheet1!J3281,"AAAAAF/L73o=")</f>
        <v>#VALUE!</v>
      </c>
      <c r="DT244" t="e">
        <f>AND(Sheet1!K3281,"AAAAAF/L73s=")</f>
        <v>#VALUE!</v>
      </c>
      <c r="DU244" t="e">
        <f>AND(Sheet1!L3281,"AAAAAF/L73w=")</f>
        <v>#VALUE!</v>
      </c>
      <c r="DV244" t="e">
        <f>AND(Sheet1!M3281,"AAAAAF/L730=")</f>
        <v>#VALUE!</v>
      </c>
      <c r="DW244" t="e">
        <f>AND(Sheet1!N3281,"AAAAAF/L734=")</f>
        <v>#VALUE!</v>
      </c>
      <c r="DX244" t="e">
        <f>AND(Sheet1!#REF!,"AAAAAF/L738=")</f>
        <v>#REF!</v>
      </c>
      <c r="DY244" t="e">
        <f>AND(Sheet1!#REF!,"AAAAAF/L74A=")</f>
        <v>#REF!</v>
      </c>
      <c r="DZ244" t="e">
        <f>AND(Sheet1!#REF!,"AAAAAF/L74E=")</f>
        <v>#REF!</v>
      </c>
      <c r="EA244" t="e">
        <f>AND(Sheet1!#REF!,"AAAAAF/L74I=")</f>
        <v>#REF!</v>
      </c>
      <c r="EB244">
        <f>IF(Sheet1!3282:3282,"AAAAAF/L74M=",0)</f>
        <v>0</v>
      </c>
      <c r="EC244" t="e">
        <f>AND(Sheet1!A3282,"AAAAAF/L74Q=")</f>
        <v>#VALUE!</v>
      </c>
      <c r="ED244" t="e">
        <f>AND(Sheet1!B3282,"AAAAAF/L74U=")</f>
        <v>#VALUE!</v>
      </c>
      <c r="EE244" t="e">
        <f>AND(Sheet1!C3282,"AAAAAF/L74Y=")</f>
        <v>#VALUE!</v>
      </c>
      <c r="EF244" t="e">
        <f>AND(Sheet1!D3282,"AAAAAF/L74c=")</f>
        <v>#VALUE!</v>
      </c>
      <c r="EG244" t="e">
        <f>AND(Sheet1!E3282,"AAAAAF/L74g=")</f>
        <v>#VALUE!</v>
      </c>
      <c r="EH244" t="e">
        <f>AND(Sheet1!F3282,"AAAAAF/L74k=")</f>
        <v>#VALUE!</v>
      </c>
      <c r="EI244" t="e">
        <f>AND(Sheet1!G3282,"AAAAAF/L74o=")</f>
        <v>#VALUE!</v>
      </c>
      <c r="EJ244" t="e">
        <f>AND(Sheet1!H3282,"AAAAAF/L74s=")</f>
        <v>#VALUE!</v>
      </c>
      <c r="EK244" t="e">
        <f>AND(Sheet1!I3282,"AAAAAF/L74w=")</f>
        <v>#VALUE!</v>
      </c>
      <c r="EL244" t="e">
        <f>AND(Sheet1!J3282,"AAAAAF/L740=")</f>
        <v>#VALUE!</v>
      </c>
      <c r="EM244" t="e">
        <f>AND(Sheet1!K3282,"AAAAAF/L744=")</f>
        <v>#VALUE!</v>
      </c>
      <c r="EN244" t="e">
        <f>AND(Sheet1!L3282,"AAAAAF/L748=")</f>
        <v>#VALUE!</v>
      </c>
      <c r="EO244" t="e">
        <f>AND(Sheet1!M3282,"AAAAAF/L75A=")</f>
        <v>#VALUE!</v>
      </c>
      <c r="EP244" t="e">
        <f>AND(Sheet1!N3282,"AAAAAF/L75E=")</f>
        <v>#VALUE!</v>
      </c>
      <c r="EQ244" t="e">
        <f>AND(Sheet1!#REF!,"AAAAAF/L75I=")</f>
        <v>#REF!</v>
      </c>
      <c r="ER244" t="e">
        <f>AND(Sheet1!#REF!,"AAAAAF/L75M=")</f>
        <v>#REF!</v>
      </c>
      <c r="ES244" t="e">
        <f>AND(Sheet1!#REF!,"AAAAAF/L75Q=")</f>
        <v>#REF!</v>
      </c>
      <c r="ET244" t="e">
        <f>AND(Sheet1!#REF!,"AAAAAF/L75U=")</f>
        <v>#REF!</v>
      </c>
      <c r="EU244">
        <f>IF(Sheet1!3283:3283,"AAAAAF/L75Y=",0)</f>
        <v>0</v>
      </c>
      <c r="EV244" t="e">
        <f>AND(Sheet1!A3283,"AAAAAF/L75c=")</f>
        <v>#VALUE!</v>
      </c>
      <c r="EW244" t="e">
        <f>AND(Sheet1!B3283,"AAAAAF/L75g=")</f>
        <v>#VALUE!</v>
      </c>
      <c r="EX244" t="e">
        <f>AND(Sheet1!C3283,"AAAAAF/L75k=")</f>
        <v>#VALUE!</v>
      </c>
      <c r="EY244" t="e">
        <f>AND(Sheet1!D3283,"AAAAAF/L75o=")</f>
        <v>#VALUE!</v>
      </c>
      <c r="EZ244" t="e">
        <f>AND(Sheet1!E3283,"AAAAAF/L75s=")</f>
        <v>#VALUE!</v>
      </c>
      <c r="FA244" t="e">
        <f>AND(Sheet1!F3283,"AAAAAF/L75w=")</f>
        <v>#VALUE!</v>
      </c>
      <c r="FB244" t="e">
        <f>AND(Sheet1!G3283,"AAAAAF/L750=")</f>
        <v>#VALUE!</v>
      </c>
      <c r="FC244" t="e">
        <f>AND(Sheet1!H3283,"AAAAAF/L754=")</f>
        <v>#VALUE!</v>
      </c>
      <c r="FD244" t="e">
        <f>AND(Sheet1!I3283,"AAAAAF/L758=")</f>
        <v>#VALUE!</v>
      </c>
      <c r="FE244" t="e">
        <f>AND(Sheet1!J3283,"AAAAAF/L76A=")</f>
        <v>#VALUE!</v>
      </c>
      <c r="FF244" t="e">
        <f>AND(Sheet1!K3283,"AAAAAF/L76E=")</f>
        <v>#VALUE!</v>
      </c>
      <c r="FG244" t="e">
        <f>AND(Sheet1!L3283,"AAAAAF/L76I=")</f>
        <v>#VALUE!</v>
      </c>
      <c r="FH244" t="e">
        <f>AND(Sheet1!M3283,"AAAAAF/L76M=")</f>
        <v>#VALUE!</v>
      </c>
      <c r="FI244" t="e">
        <f>AND(Sheet1!N3283,"AAAAAF/L76Q=")</f>
        <v>#VALUE!</v>
      </c>
      <c r="FJ244" t="e">
        <f>AND(Sheet1!#REF!,"AAAAAF/L76U=")</f>
        <v>#REF!</v>
      </c>
      <c r="FK244" t="e">
        <f>AND(Sheet1!#REF!,"AAAAAF/L76Y=")</f>
        <v>#REF!</v>
      </c>
      <c r="FL244" t="e">
        <f>AND(Sheet1!#REF!,"AAAAAF/L76c=")</f>
        <v>#REF!</v>
      </c>
      <c r="FM244" t="e">
        <f>AND(Sheet1!#REF!,"AAAAAF/L76g=")</f>
        <v>#REF!</v>
      </c>
      <c r="FN244">
        <f>IF(Sheet1!3284:3284,"AAAAAF/L76k=",0)</f>
        <v>0</v>
      </c>
      <c r="FO244" t="e">
        <f>AND(Sheet1!A3284,"AAAAAF/L76o=")</f>
        <v>#VALUE!</v>
      </c>
      <c r="FP244" t="e">
        <f>AND(Sheet1!B3284,"AAAAAF/L76s=")</f>
        <v>#VALUE!</v>
      </c>
      <c r="FQ244" t="e">
        <f>AND(Sheet1!C3284,"AAAAAF/L76w=")</f>
        <v>#VALUE!</v>
      </c>
      <c r="FR244" t="e">
        <f>AND(Sheet1!D3284,"AAAAAF/L760=")</f>
        <v>#VALUE!</v>
      </c>
      <c r="FS244" t="e">
        <f>AND(Sheet1!E3284,"AAAAAF/L764=")</f>
        <v>#VALUE!</v>
      </c>
      <c r="FT244" t="e">
        <f>AND(Sheet1!F3284,"AAAAAF/L768=")</f>
        <v>#VALUE!</v>
      </c>
      <c r="FU244" t="e">
        <f>AND(Sheet1!G3284,"AAAAAF/L77A=")</f>
        <v>#VALUE!</v>
      </c>
      <c r="FV244" t="e">
        <f>AND(Sheet1!H3284,"AAAAAF/L77E=")</f>
        <v>#VALUE!</v>
      </c>
      <c r="FW244" t="e">
        <f>AND(Sheet1!I3284,"AAAAAF/L77I=")</f>
        <v>#VALUE!</v>
      </c>
      <c r="FX244" t="e">
        <f>AND(Sheet1!J3284,"AAAAAF/L77M=")</f>
        <v>#VALUE!</v>
      </c>
      <c r="FY244" t="e">
        <f>AND(Sheet1!K3284,"AAAAAF/L77Q=")</f>
        <v>#VALUE!</v>
      </c>
      <c r="FZ244" t="e">
        <f>AND(Sheet1!L3284,"AAAAAF/L77U=")</f>
        <v>#VALUE!</v>
      </c>
      <c r="GA244" t="e">
        <f>AND(Sheet1!M3284,"AAAAAF/L77Y=")</f>
        <v>#VALUE!</v>
      </c>
      <c r="GB244" t="e">
        <f>AND(Sheet1!N3284,"AAAAAF/L77c=")</f>
        <v>#VALUE!</v>
      </c>
      <c r="GC244" t="e">
        <f>AND(Sheet1!#REF!,"AAAAAF/L77g=")</f>
        <v>#REF!</v>
      </c>
      <c r="GD244" t="e">
        <f>AND(Sheet1!#REF!,"AAAAAF/L77k=")</f>
        <v>#REF!</v>
      </c>
      <c r="GE244" t="e">
        <f>AND(Sheet1!#REF!,"AAAAAF/L77o=")</f>
        <v>#REF!</v>
      </c>
      <c r="GF244" t="e">
        <f>AND(Sheet1!#REF!,"AAAAAF/L77s=")</f>
        <v>#REF!</v>
      </c>
      <c r="GG244">
        <f>IF(Sheet1!3285:3285,"AAAAAF/L77w=",0)</f>
        <v>0</v>
      </c>
      <c r="GH244" t="e">
        <f>AND(Sheet1!A3285,"AAAAAF/L770=")</f>
        <v>#VALUE!</v>
      </c>
      <c r="GI244" t="e">
        <f>AND(Sheet1!B3285,"AAAAAF/L774=")</f>
        <v>#VALUE!</v>
      </c>
      <c r="GJ244" t="e">
        <f>AND(Sheet1!C3285,"AAAAAF/L778=")</f>
        <v>#VALUE!</v>
      </c>
      <c r="GK244" t="e">
        <f>AND(Sheet1!D3285,"AAAAAF/L78A=")</f>
        <v>#VALUE!</v>
      </c>
      <c r="GL244" t="e">
        <f>AND(Sheet1!E3285,"AAAAAF/L78E=")</f>
        <v>#VALUE!</v>
      </c>
      <c r="GM244" t="e">
        <f>AND(Sheet1!F3285,"AAAAAF/L78I=")</f>
        <v>#VALUE!</v>
      </c>
      <c r="GN244" t="e">
        <f>AND(Sheet1!G3285,"AAAAAF/L78M=")</f>
        <v>#VALUE!</v>
      </c>
      <c r="GO244" t="e">
        <f>AND(Sheet1!H3285,"AAAAAF/L78Q=")</f>
        <v>#VALUE!</v>
      </c>
      <c r="GP244" t="e">
        <f>AND(Sheet1!I3285,"AAAAAF/L78U=")</f>
        <v>#VALUE!</v>
      </c>
      <c r="GQ244" t="e">
        <f>AND(Sheet1!J3285,"AAAAAF/L78Y=")</f>
        <v>#VALUE!</v>
      </c>
      <c r="GR244" t="e">
        <f>AND(Sheet1!K3285,"AAAAAF/L78c=")</f>
        <v>#VALUE!</v>
      </c>
      <c r="GS244" t="e">
        <f>AND(Sheet1!L3285,"AAAAAF/L78g=")</f>
        <v>#VALUE!</v>
      </c>
      <c r="GT244" t="e">
        <f>AND(Sheet1!M3285,"AAAAAF/L78k=")</f>
        <v>#VALUE!</v>
      </c>
      <c r="GU244" t="e">
        <f>AND(Sheet1!N3285,"AAAAAF/L78o=")</f>
        <v>#VALUE!</v>
      </c>
      <c r="GV244" t="e">
        <f>AND(Sheet1!#REF!,"AAAAAF/L78s=")</f>
        <v>#REF!</v>
      </c>
      <c r="GW244" t="e">
        <f>AND(Sheet1!#REF!,"AAAAAF/L78w=")</f>
        <v>#REF!</v>
      </c>
      <c r="GX244" t="e">
        <f>AND(Sheet1!#REF!,"AAAAAF/L780=")</f>
        <v>#REF!</v>
      </c>
      <c r="GY244" t="e">
        <f>AND(Sheet1!#REF!,"AAAAAF/L784=")</f>
        <v>#REF!</v>
      </c>
      <c r="GZ244">
        <f>IF(Sheet1!3286:3286,"AAAAAF/L788=",0)</f>
        <v>0</v>
      </c>
      <c r="HA244" t="e">
        <f>AND(Sheet1!A3286,"AAAAAF/L79A=")</f>
        <v>#VALUE!</v>
      </c>
      <c r="HB244" t="e">
        <f>AND(Sheet1!B3286,"AAAAAF/L79E=")</f>
        <v>#VALUE!</v>
      </c>
      <c r="HC244" t="e">
        <f>AND(Sheet1!C3286,"AAAAAF/L79I=")</f>
        <v>#VALUE!</v>
      </c>
      <c r="HD244" t="e">
        <f>AND(Sheet1!D3286,"AAAAAF/L79M=")</f>
        <v>#VALUE!</v>
      </c>
      <c r="HE244" t="e">
        <f>AND(Sheet1!E3286,"AAAAAF/L79Q=")</f>
        <v>#VALUE!</v>
      </c>
      <c r="HF244" t="e">
        <f>AND(Sheet1!F3286,"AAAAAF/L79U=")</f>
        <v>#VALUE!</v>
      </c>
      <c r="HG244" t="e">
        <f>AND(Sheet1!G3286,"AAAAAF/L79Y=")</f>
        <v>#VALUE!</v>
      </c>
      <c r="HH244" t="e">
        <f>AND(Sheet1!H3286,"AAAAAF/L79c=")</f>
        <v>#VALUE!</v>
      </c>
      <c r="HI244" t="e">
        <f>AND(Sheet1!I3286,"AAAAAF/L79g=")</f>
        <v>#VALUE!</v>
      </c>
      <c r="HJ244" t="e">
        <f>AND(Sheet1!J3286,"AAAAAF/L79k=")</f>
        <v>#VALUE!</v>
      </c>
      <c r="HK244" t="e">
        <f>AND(Sheet1!K3286,"AAAAAF/L79o=")</f>
        <v>#VALUE!</v>
      </c>
      <c r="HL244" t="e">
        <f>AND(Sheet1!L3286,"AAAAAF/L79s=")</f>
        <v>#VALUE!</v>
      </c>
      <c r="HM244" t="e">
        <f>AND(Sheet1!M3286,"AAAAAF/L79w=")</f>
        <v>#VALUE!</v>
      </c>
      <c r="HN244" t="e">
        <f>AND(Sheet1!N3286,"AAAAAF/L790=")</f>
        <v>#VALUE!</v>
      </c>
      <c r="HO244" t="e">
        <f>AND(Sheet1!#REF!,"AAAAAF/L794=")</f>
        <v>#REF!</v>
      </c>
      <c r="HP244" t="e">
        <f>AND(Sheet1!#REF!,"AAAAAF/L798=")</f>
        <v>#REF!</v>
      </c>
      <c r="HQ244" t="e">
        <f>AND(Sheet1!#REF!,"AAAAAF/L7+A=")</f>
        <v>#REF!</v>
      </c>
      <c r="HR244" t="e">
        <f>AND(Sheet1!#REF!,"AAAAAF/L7+E=")</f>
        <v>#REF!</v>
      </c>
      <c r="HS244">
        <f>IF(Sheet1!3287:3287,"AAAAAF/L7+I=",0)</f>
        <v>0</v>
      </c>
      <c r="HT244" t="e">
        <f>AND(Sheet1!A3287,"AAAAAF/L7+M=")</f>
        <v>#VALUE!</v>
      </c>
      <c r="HU244" t="e">
        <f>AND(Sheet1!B3287,"AAAAAF/L7+Q=")</f>
        <v>#VALUE!</v>
      </c>
      <c r="HV244" t="e">
        <f>AND(Sheet1!C3287,"AAAAAF/L7+U=")</f>
        <v>#VALUE!</v>
      </c>
      <c r="HW244" t="e">
        <f>AND(Sheet1!D3287,"AAAAAF/L7+Y=")</f>
        <v>#VALUE!</v>
      </c>
      <c r="HX244" t="e">
        <f>AND(Sheet1!E3287,"AAAAAF/L7+c=")</f>
        <v>#VALUE!</v>
      </c>
      <c r="HY244" t="e">
        <f>AND(Sheet1!F3287,"AAAAAF/L7+g=")</f>
        <v>#VALUE!</v>
      </c>
      <c r="HZ244" t="e">
        <f>AND(Sheet1!G3287,"AAAAAF/L7+k=")</f>
        <v>#VALUE!</v>
      </c>
      <c r="IA244" t="e">
        <f>AND(Sheet1!H3287,"AAAAAF/L7+o=")</f>
        <v>#VALUE!</v>
      </c>
      <c r="IB244" t="e">
        <f>AND(Sheet1!I3287,"AAAAAF/L7+s=")</f>
        <v>#VALUE!</v>
      </c>
      <c r="IC244" t="e">
        <f>AND(Sheet1!J3287,"AAAAAF/L7+w=")</f>
        <v>#VALUE!</v>
      </c>
      <c r="ID244" t="e">
        <f>AND(Sheet1!K3287,"AAAAAF/L7+0=")</f>
        <v>#VALUE!</v>
      </c>
      <c r="IE244" t="e">
        <f>AND(Sheet1!L3287,"AAAAAF/L7+4=")</f>
        <v>#VALUE!</v>
      </c>
      <c r="IF244" t="e">
        <f>AND(Sheet1!M3287,"AAAAAF/L7+8=")</f>
        <v>#VALUE!</v>
      </c>
      <c r="IG244" t="e">
        <f>AND(Sheet1!N3287,"AAAAAF/L7/A=")</f>
        <v>#VALUE!</v>
      </c>
      <c r="IH244" t="e">
        <f>AND(Sheet1!#REF!,"AAAAAF/L7/E=")</f>
        <v>#REF!</v>
      </c>
      <c r="II244" t="e">
        <f>AND(Sheet1!#REF!,"AAAAAF/L7/I=")</f>
        <v>#REF!</v>
      </c>
      <c r="IJ244" t="e">
        <f>AND(Sheet1!#REF!,"AAAAAF/L7/M=")</f>
        <v>#REF!</v>
      </c>
      <c r="IK244" t="e">
        <f>AND(Sheet1!#REF!,"AAAAAF/L7/Q=")</f>
        <v>#REF!</v>
      </c>
      <c r="IL244">
        <f>IF(Sheet1!3288:3288,"AAAAAF/L7/U=",0)</f>
        <v>0</v>
      </c>
      <c r="IM244" t="e">
        <f>AND(Sheet1!A3288,"AAAAAF/L7/Y=")</f>
        <v>#VALUE!</v>
      </c>
      <c r="IN244" t="e">
        <f>AND(Sheet1!B3288,"AAAAAF/L7/c=")</f>
        <v>#VALUE!</v>
      </c>
      <c r="IO244" t="e">
        <f>AND(Sheet1!C3288,"AAAAAF/L7/g=")</f>
        <v>#VALUE!</v>
      </c>
      <c r="IP244" t="e">
        <f>AND(Sheet1!D3288,"AAAAAF/L7/k=")</f>
        <v>#VALUE!</v>
      </c>
      <c r="IQ244" t="e">
        <f>AND(Sheet1!E3288,"AAAAAF/L7/o=")</f>
        <v>#VALUE!</v>
      </c>
      <c r="IR244" t="e">
        <f>AND(Sheet1!F3288,"AAAAAF/L7/s=")</f>
        <v>#VALUE!</v>
      </c>
      <c r="IS244" t="e">
        <f>AND(Sheet1!G3288,"AAAAAF/L7/w=")</f>
        <v>#VALUE!</v>
      </c>
      <c r="IT244" t="e">
        <f>AND(Sheet1!H3288,"AAAAAF/L7/0=")</f>
        <v>#VALUE!</v>
      </c>
      <c r="IU244" t="e">
        <f>AND(Sheet1!I3288,"AAAAAF/L7/4=")</f>
        <v>#VALUE!</v>
      </c>
      <c r="IV244" t="e">
        <f>AND(Sheet1!J3288,"AAAAAF/L7/8=")</f>
        <v>#VALUE!</v>
      </c>
    </row>
    <row r="245" spans="1:256" x14ac:dyDescent="0.2">
      <c r="A245" t="e">
        <f>AND(Sheet1!K3288,"AAAAAH+8/wA=")</f>
        <v>#VALUE!</v>
      </c>
      <c r="B245" t="e">
        <f>AND(Sheet1!L3288,"AAAAAH+8/wE=")</f>
        <v>#VALUE!</v>
      </c>
      <c r="C245" t="e">
        <f>AND(Sheet1!M3288,"AAAAAH+8/wI=")</f>
        <v>#VALUE!</v>
      </c>
      <c r="D245" t="e">
        <f>AND(Sheet1!N3288,"AAAAAH+8/wM=")</f>
        <v>#VALUE!</v>
      </c>
      <c r="E245" t="e">
        <f>AND(Sheet1!#REF!,"AAAAAH+8/wQ=")</f>
        <v>#REF!</v>
      </c>
      <c r="F245" t="e">
        <f>AND(Sheet1!#REF!,"AAAAAH+8/wU=")</f>
        <v>#REF!</v>
      </c>
      <c r="G245" t="e">
        <f>AND(Sheet1!#REF!,"AAAAAH+8/wY=")</f>
        <v>#REF!</v>
      </c>
      <c r="H245" t="e">
        <f>AND(Sheet1!#REF!,"AAAAAH+8/wc=")</f>
        <v>#REF!</v>
      </c>
      <c r="I245">
        <f>IF(Sheet1!3289:3289,"AAAAAH+8/wg=",0)</f>
        <v>0</v>
      </c>
      <c r="J245" t="e">
        <f>AND(Sheet1!A3289,"AAAAAH+8/wk=")</f>
        <v>#VALUE!</v>
      </c>
      <c r="K245" t="e">
        <f>AND(Sheet1!B3289,"AAAAAH+8/wo=")</f>
        <v>#VALUE!</v>
      </c>
      <c r="L245" t="e">
        <f>AND(Sheet1!C3289,"AAAAAH+8/ws=")</f>
        <v>#VALUE!</v>
      </c>
      <c r="M245" t="e">
        <f>AND(Sheet1!D3289,"AAAAAH+8/ww=")</f>
        <v>#VALUE!</v>
      </c>
      <c r="N245" t="e">
        <f>AND(Sheet1!E3289,"AAAAAH+8/w0=")</f>
        <v>#VALUE!</v>
      </c>
      <c r="O245" t="e">
        <f>AND(Sheet1!F3289,"AAAAAH+8/w4=")</f>
        <v>#VALUE!</v>
      </c>
      <c r="P245" t="e">
        <f>AND(Sheet1!G3289,"AAAAAH+8/w8=")</f>
        <v>#VALUE!</v>
      </c>
      <c r="Q245" t="e">
        <f>AND(Sheet1!H3289,"AAAAAH+8/xA=")</f>
        <v>#VALUE!</v>
      </c>
      <c r="R245" t="e">
        <f>AND(Sheet1!I3289,"AAAAAH+8/xE=")</f>
        <v>#VALUE!</v>
      </c>
      <c r="S245" t="e">
        <f>AND(Sheet1!J3289,"AAAAAH+8/xI=")</f>
        <v>#VALUE!</v>
      </c>
      <c r="T245" t="e">
        <f>AND(Sheet1!K3289,"AAAAAH+8/xM=")</f>
        <v>#VALUE!</v>
      </c>
      <c r="U245" t="e">
        <f>AND(Sheet1!L3289,"AAAAAH+8/xQ=")</f>
        <v>#VALUE!</v>
      </c>
      <c r="V245" t="e">
        <f>AND(Sheet1!M3289,"AAAAAH+8/xU=")</f>
        <v>#VALUE!</v>
      </c>
      <c r="W245" t="e">
        <f>AND(Sheet1!N3289,"AAAAAH+8/xY=")</f>
        <v>#VALUE!</v>
      </c>
      <c r="X245" t="e">
        <f>AND(Sheet1!#REF!,"AAAAAH+8/xc=")</f>
        <v>#REF!</v>
      </c>
      <c r="Y245" t="e">
        <f>AND(Sheet1!#REF!,"AAAAAH+8/xg=")</f>
        <v>#REF!</v>
      </c>
      <c r="Z245" t="e">
        <f>AND(Sheet1!#REF!,"AAAAAH+8/xk=")</f>
        <v>#REF!</v>
      </c>
      <c r="AA245" t="e">
        <f>AND(Sheet1!#REF!,"AAAAAH+8/xo=")</f>
        <v>#REF!</v>
      </c>
      <c r="AB245">
        <f>IF(Sheet1!3290:3290,"AAAAAH+8/xs=",0)</f>
        <v>0</v>
      </c>
      <c r="AC245" t="e">
        <f>AND(Sheet1!A3290,"AAAAAH+8/xw=")</f>
        <v>#VALUE!</v>
      </c>
      <c r="AD245" t="e">
        <f>AND(Sheet1!B3290,"AAAAAH+8/x0=")</f>
        <v>#VALUE!</v>
      </c>
      <c r="AE245" t="e">
        <f>AND(Sheet1!C3290,"AAAAAH+8/x4=")</f>
        <v>#VALUE!</v>
      </c>
      <c r="AF245" t="e">
        <f>AND(Sheet1!D3290,"AAAAAH+8/x8=")</f>
        <v>#VALUE!</v>
      </c>
      <c r="AG245" t="e">
        <f>AND(Sheet1!E3290,"AAAAAH+8/yA=")</f>
        <v>#VALUE!</v>
      </c>
      <c r="AH245" t="e">
        <f>AND(Sheet1!F3290,"AAAAAH+8/yE=")</f>
        <v>#VALUE!</v>
      </c>
      <c r="AI245" t="e">
        <f>AND(Sheet1!G3290,"AAAAAH+8/yI=")</f>
        <v>#VALUE!</v>
      </c>
      <c r="AJ245" t="e">
        <f>AND(Sheet1!H3290,"AAAAAH+8/yM=")</f>
        <v>#VALUE!</v>
      </c>
      <c r="AK245" t="e">
        <f>AND(Sheet1!I3290,"AAAAAH+8/yQ=")</f>
        <v>#VALUE!</v>
      </c>
      <c r="AL245" t="e">
        <f>AND(Sheet1!J3290,"AAAAAH+8/yU=")</f>
        <v>#VALUE!</v>
      </c>
      <c r="AM245" t="e">
        <f>AND(Sheet1!K3290,"AAAAAH+8/yY=")</f>
        <v>#VALUE!</v>
      </c>
      <c r="AN245" t="e">
        <f>AND(Sheet1!L3290,"AAAAAH+8/yc=")</f>
        <v>#VALUE!</v>
      </c>
      <c r="AO245" t="e">
        <f>AND(Sheet1!M3290,"AAAAAH+8/yg=")</f>
        <v>#VALUE!</v>
      </c>
      <c r="AP245" t="e">
        <f>AND(Sheet1!N3290,"AAAAAH+8/yk=")</f>
        <v>#VALUE!</v>
      </c>
      <c r="AQ245" t="e">
        <f>AND(Sheet1!#REF!,"AAAAAH+8/yo=")</f>
        <v>#REF!</v>
      </c>
      <c r="AR245" t="e">
        <f>AND(Sheet1!#REF!,"AAAAAH+8/ys=")</f>
        <v>#REF!</v>
      </c>
      <c r="AS245" t="e">
        <f>AND(Sheet1!#REF!,"AAAAAH+8/yw=")</f>
        <v>#REF!</v>
      </c>
      <c r="AT245" t="e">
        <f>AND(Sheet1!#REF!,"AAAAAH+8/y0=")</f>
        <v>#REF!</v>
      </c>
      <c r="AU245">
        <f>IF(Sheet1!3291:3291,"AAAAAH+8/y4=",0)</f>
        <v>0</v>
      </c>
      <c r="AV245" t="e">
        <f>AND(Sheet1!A3291,"AAAAAH+8/y8=")</f>
        <v>#VALUE!</v>
      </c>
      <c r="AW245" t="e">
        <f>AND(Sheet1!B3291,"AAAAAH+8/zA=")</f>
        <v>#VALUE!</v>
      </c>
      <c r="AX245" t="e">
        <f>AND(Sheet1!C3291,"AAAAAH+8/zE=")</f>
        <v>#VALUE!</v>
      </c>
      <c r="AY245" t="e">
        <f>AND(Sheet1!D3291,"AAAAAH+8/zI=")</f>
        <v>#VALUE!</v>
      </c>
      <c r="AZ245" t="e">
        <f>AND(Sheet1!E3291,"AAAAAH+8/zM=")</f>
        <v>#VALUE!</v>
      </c>
      <c r="BA245" t="e">
        <f>AND(Sheet1!F3291,"AAAAAH+8/zQ=")</f>
        <v>#VALUE!</v>
      </c>
      <c r="BB245" t="e">
        <f>AND(Sheet1!G3291,"AAAAAH+8/zU=")</f>
        <v>#VALUE!</v>
      </c>
      <c r="BC245" t="e">
        <f>AND(Sheet1!H3291,"AAAAAH+8/zY=")</f>
        <v>#VALUE!</v>
      </c>
      <c r="BD245" t="e">
        <f>AND(Sheet1!I3291,"AAAAAH+8/zc=")</f>
        <v>#VALUE!</v>
      </c>
      <c r="BE245" t="e">
        <f>AND(Sheet1!J3291,"AAAAAH+8/zg=")</f>
        <v>#VALUE!</v>
      </c>
      <c r="BF245" t="e">
        <f>AND(Sheet1!K3291,"AAAAAH+8/zk=")</f>
        <v>#VALUE!</v>
      </c>
      <c r="BG245" t="e">
        <f>AND(Sheet1!L3291,"AAAAAH+8/zo=")</f>
        <v>#VALUE!</v>
      </c>
      <c r="BH245" t="e">
        <f>AND(Sheet1!M3291,"AAAAAH+8/zs=")</f>
        <v>#VALUE!</v>
      </c>
      <c r="BI245" t="e">
        <f>AND(Sheet1!N3291,"AAAAAH+8/zw=")</f>
        <v>#VALUE!</v>
      </c>
      <c r="BJ245" t="e">
        <f>AND(Sheet1!#REF!,"AAAAAH+8/z0=")</f>
        <v>#REF!</v>
      </c>
      <c r="BK245" t="e">
        <f>AND(Sheet1!#REF!,"AAAAAH+8/z4=")</f>
        <v>#REF!</v>
      </c>
      <c r="BL245" t="e">
        <f>AND(Sheet1!#REF!,"AAAAAH+8/z8=")</f>
        <v>#REF!</v>
      </c>
      <c r="BM245" t="e">
        <f>AND(Sheet1!#REF!,"AAAAAH+8/0A=")</f>
        <v>#REF!</v>
      </c>
      <c r="BN245">
        <f>IF(Sheet1!3292:3292,"AAAAAH+8/0E=",0)</f>
        <v>0</v>
      </c>
      <c r="BO245" t="e">
        <f>AND(Sheet1!A3292,"AAAAAH+8/0I=")</f>
        <v>#VALUE!</v>
      </c>
      <c r="BP245" t="e">
        <f>AND(Sheet1!B3292,"AAAAAH+8/0M=")</f>
        <v>#VALUE!</v>
      </c>
      <c r="BQ245" t="e">
        <f>AND(Sheet1!C3292,"AAAAAH+8/0Q=")</f>
        <v>#VALUE!</v>
      </c>
      <c r="BR245" t="e">
        <f>AND(Sheet1!D3292,"AAAAAH+8/0U=")</f>
        <v>#VALUE!</v>
      </c>
      <c r="BS245" t="e">
        <f>AND(Sheet1!E3292,"AAAAAH+8/0Y=")</f>
        <v>#VALUE!</v>
      </c>
      <c r="BT245" t="e">
        <f>AND(Sheet1!F3292,"AAAAAH+8/0c=")</f>
        <v>#VALUE!</v>
      </c>
      <c r="BU245" t="e">
        <f>AND(Sheet1!G3292,"AAAAAH+8/0g=")</f>
        <v>#VALUE!</v>
      </c>
      <c r="BV245" t="e">
        <f>AND(Sheet1!H3292,"AAAAAH+8/0k=")</f>
        <v>#VALUE!</v>
      </c>
      <c r="BW245" t="e">
        <f>AND(Sheet1!I3292,"AAAAAH+8/0o=")</f>
        <v>#VALUE!</v>
      </c>
      <c r="BX245" t="e">
        <f>AND(Sheet1!J3292,"AAAAAH+8/0s=")</f>
        <v>#VALUE!</v>
      </c>
      <c r="BY245" t="e">
        <f>AND(Sheet1!K3292,"AAAAAH+8/0w=")</f>
        <v>#VALUE!</v>
      </c>
      <c r="BZ245" t="e">
        <f>AND(Sheet1!L3292,"AAAAAH+8/00=")</f>
        <v>#VALUE!</v>
      </c>
      <c r="CA245" t="e">
        <f>AND(Sheet1!M3292,"AAAAAH+8/04=")</f>
        <v>#VALUE!</v>
      </c>
      <c r="CB245" t="e">
        <f>AND(Sheet1!N3292,"AAAAAH+8/08=")</f>
        <v>#VALUE!</v>
      </c>
      <c r="CC245" t="e">
        <f>AND(Sheet1!#REF!,"AAAAAH+8/1A=")</f>
        <v>#REF!</v>
      </c>
      <c r="CD245" t="e">
        <f>AND(Sheet1!#REF!,"AAAAAH+8/1E=")</f>
        <v>#REF!</v>
      </c>
      <c r="CE245" t="e">
        <f>AND(Sheet1!#REF!,"AAAAAH+8/1I=")</f>
        <v>#REF!</v>
      </c>
      <c r="CF245" t="e">
        <f>AND(Sheet1!#REF!,"AAAAAH+8/1M=")</f>
        <v>#REF!</v>
      </c>
      <c r="CG245">
        <f>IF(Sheet1!3293:3293,"AAAAAH+8/1Q=",0)</f>
        <v>0</v>
      </c>
      <c r="CH245" t="e">
        <f>AND(Sheet1!A3293,"AAAAAH+8/1U=")</f>
        <v>#VALUE!</v>
      </c>
      <c r="CI245" t="e">
        <f>AND(Sheet1!B3293,"AAAAAH+8/1Y=")</f>
        <v>#VALUE!</v>
      </c>
      <c r="CJ245" t="e">
        <f>AND(Sheet1!C3293,"AAAAAH+8/1c=")</f>
        <v>#VALUE!</v>
      </c>
      <c r="CK245" t="e">
        <f>AND(Sheet1!D3293,"AAAAAH+8/1g=")</f>
        <v>#VALUE!</v>
      </c>
      <c r="CL245" t="e">
        <f>AND(Sheet1!E3293,"AAAAAH+8/1k=")</f>
        <v>#VALUE!</v>
      </c>
      <c r="CM245" t="e">
        <f>AND(Sheet1!F3293,"AAAAAH+8/1o=")</f>
        <v>#VALUE!</v>
      </c>
      <c r="CN245" t="e">
        <f>AND(Sheet1!G3293,"AAAAAH+8/1s=")</f>
        <v>#VALUE!</v>
      </c>
      <c r="CO245" t="e">
        <f>AND(Sheet1!H3293,"AAAAAH+8/1w=")</f>
        <v>#VALUE!</v>
      </c>
      <c r="CP245" t="e">
        <f>AND(Sheet1!I3293,"AAAAAH+8/10=")</f>
        <v>#VALUE!</v>
      </c>
      <c r="CQ245" t="e">
        <f>AND(Sheet1!J3293,"AAAAAH+8/14=")</f>
        <v>#VALUE!</v>
      </c>
      <c r="CR245" t="e">
        <f>AND(Sheet1!K3293,"AAAAAH+8/18=")</f>
        <v>#VALUE!</v>
      </c>
      <c r="CS245" t="e">
        <f>AND(Sheet1!L3293,"AAAAAH+8/2A=")</f>
        <v>#VALUE!</v>
      </c>
      <c r="CT245" t="e">
        <f>AND(Sheet1!M3293,"AAAAAH+8/2E=")</f>
        <v>#VALUE!</v>
      </c>
      <c r="CU245" t="e">
        <f>AND(Sheet1!N3293,"AAAAAH+8/2I=")</f>
        <v>#VALUE!</v>
      </c>
      <c r="CV245" t="e">
        <f>AND(Sheet1!#REF!,"AAAAAH+8/2M=")</f>
        <v>#REF!</v>
      </c>
      <c r="CW245" t="e">
        <f>AND(Sheet1!#REF!,"AAAAAH+8/2Q=")</f>
        <v>#REF!</v>
      </c>
      <c r="CX245" t="e">
        <f>AND(Sheet1!#REF!,"AAAAAH+8/2U=")</f>
        <v>#REF!</v>
      </c>
      <c r="CY245" t="e">
        <f>AND(Sheet1!#REF!,"AAAAAH+8/2Y=")</f>
        <v>#REF!</v>
      </c>
      <c r="CZ245">
        <f>IF(Sheet1!3294:3294,"AAAAAH+8/2c=",0)</f>
        <v>0</v>
      </c>
      <c r="DA245" t="e">
        <f>AND(Sheet1!A3294,"AAAAAH+8/2g=")</f>
        <v>#VALUE!</v>
      </c>
      <c r="DB245" t="e">
        <f>AND(Sheet1!B3294,"AAAAAH+8/2k=")</f>
        <v>#VALUE!</v>
      </c>
      <c r="DC245" t="e">
        <f>AND(Sheet1!C3294,"AAAAAH+8/2o=")</f>
        <v>#VALUE!</v>
      </c>
      <c r="DD245" t="e">
        <f>AND(Sheet1!D3294,"AAAAAH+8/2s=")</f>
        <v>#VALUE!</v>
      </c>
      <c r="DE245" t="e">
        <f>AND(Sheet1!E3294,"AAAAAH+8/2w=")</f>
        <v>#VALUE!</v>
      </c>
      <c r="DF245" t="e">
        <f>AND(Sheet1!F3294,"AAAAAH+8/20=")</f>
        <v>#VALUE!</v>
      </c>
      <c r="DG245" t="e">
        <f>AND(Sheet1!G3294,"AAAAAH+8/24=")</f>
        <v>#VALUE!</v>
      </c>
      <c r="DH245" t="e">
        <f>AND(Sheet1!H3294,"AAAAAH+8/28=")</f>
        <v>#VALUE!</v>
      </c>
      <c r="DI245" t="e">
        <f>AND(Sheet1!I3294,"AAAAAH+8/3A=")</f>
        <v>#VALUE!</v>
      </c>
      <c r="DJ245" t="e">
        <f>AND(Sheet1!J3294,"AAAAAH+8/3E=")</f>
        <v>#VALUE!</v>
      </c>
      <c r="DK245" t="e">
        <f>AND(Sheet1!K3294,"AAAAAH+8/3I=")</f>
        <v>#VALUE!</v>
      </c>
      <c r="DL245" t="e">
        <f>AND(Sheet1!L3294,"AAAAAH+8/3M=")</f>
        <v>#VALUE!</v>
      </c>
      <c r="DM245" t="e">
        <f>AND(Sheet1!M3294,"AAAAAH+8/3Q=")</f>
        <v>#VALUE!</v>
      </c>
      <c r="DN245" t="e">
        <f>AND(Sheet1!N3294,"AAAAAH+8/3U=")</f>
        <v>#VALUE!</v>
      </c>
      <c r="DO245" t="e">
        <f>AND(Sheet1!#REF!,"AAAAAH+8/3Y=")</f>
        <v>#REF!</v>
      </c>
      <c r="DP245" t="e">
        <f>AND(Sheet1!#REF!,"AAAAAH+8/3c=")</f>
        <v>#REF!</v>
      </c>
      <c r="DQ245" t="e">
        <f>AND(Sheet1!#REF!,"AAAAAH+8/3g=")</f>
        <v>#REF!</v>
      </c>
      <c r="DR245" t="e">
        <f>AND(Sheet1!#REF!,"AAAAAH+8/3k=")</f>
        <v>#REF!</v>
      </c>
      <c r="DS245">
        <f>IF(Sheet1!3295:3295,"AAAAAH+8/3o=",0)</f>
        <v>0</v>
      </c>
      <c r="DT245" t="e">
        <f>AND(Sheet1!A3295,"AAAAAH+8/3s=")</f>
        <v>#VALUE!</v>
      </c>
      <c r="DU245" t="e">
        <f>AND(Sheet1!B3295,"AAAAAH+8/3w=")</f>
        <v>#VALUE!</v>
      </c>
      <c r="DV245" t="e">
        <f>AND(Sheet1!C3295,"AAAAAH+8/30=")</f>
        <v>#VALUE!</v>
      </c>
      <c r="DW245" t="e">
        <f>AND(Sheet1!D3295,"AAAAAH+8/34=")</f>
        <v>#VALUE!</v>
      </c>
      <c r="DX245" t="e">
        <f>AND(Sheet1!E3295,"AAAAAH+8/38=")</f>
        <v>#VALUE!</v>
      </c>
      <c r="DY245" t="e">
        <f>AND(Sheet1!F3295,"AAAAAH+8/4A=")</f>
        <v>#VALUE!</v>
      </c>
      <c r="DZ245" t="e">
        <f>AND(Sheet1!G3295,"AAAAAH+8/4E=")</f>
        <v>#VALUE!</v>
      </c>
      <c r="EA245" t="e">
        <f>AND(Sheet1!H3295,"AAAAAH+8/4I=")</f>
        <v>#VALUE!</v>
      </c>
      <c r="EB245" t="e">
        <f>AND(Sheet1!I3295,"AAAAAH+8/4M=")</f>
        <v>#VALUE!</v>
      </c>
      <c r="EC245" t="e">
        <f>AND(Sheet1!J3295,"AAAAAH+8/4Q=")</f>
        <v>#VALUE!</v>
      </c>
      <c r="ED245" t="e">
        <f>AND(Sheet1!K3295,"AAAAAH+8/4U=")</f>
        <v>#VALUE!</v>
      </c>
      <c r="EE245" t="e">
        <f>AND(Sheet1!L3295,"AAAAAH+8/4Y=")</f>
        <v>#VALUE!</v>
      </c>
      <c r="EF245" t="e">
        <f>AND(Sheet1!M3295,"AAAAAH+8/4c=")</f>
        <v>#VALUE!</v>
      </c>
      <c r="EG245" t="e">
        <f>AND(Sheet1!N3295,"AAAAAH+8/4g=")</f>
        <v>#VALUE!</v>
      </c>
      <c r="EH245" t="e">
        <f>AND(Sheet1!#REF!,"AAAAAH+8/4k=")</f>
        <v>#REF!</v>
      </c>
      <c r="EI245" t="e">
        <f>AND(Sheet1!#REF!,"AAAAAH+8/4o=")</f>
        <v>#REF!</v>
      </c>
      <c r="EJ245" t="e">
        <f>AND(Sheet1!#REF!,"AAAAAH+8/4s=")</f>
        <v>#REF!</v>
      </c>
      <c r="EK245" t="e">
        <f>AND(Sheet1!#REF!,"AAAAAH+8/4w=")</f>
        <v>#REF!</v>
      </c>
      <c r="EL245">
        <f>IF(Sheet1!3296:3296,"AAAAAH+8/40=",0)</f>
        <v>0</v>
      </c>
      <c r="EM245" t="e">
        <f>AND(Sheet1!A3296,"AAAAAH+8/44=")</f>
        <v>#VALUE!</v>
      </c>
      <c r="EN245" t="e">
        <f>AND(Sheet1!B3296,"AAAAAH+8/48=")</f>
        <v>#VALUE!</v>
      </c>
      <c r="EO245" t="e">
        <f>AND(Sheet1!C3296,"AAAAAH+8/5A=")</f>
        <v>#VALUE!</v>
      </c>
      <c r="EP245" t="e">
        <f>AND(Sheet1!D3296,"AAAAAH+8/5E=")</f>
        <v>#VALUE!</v>
      </c>
      <c r="EQ245" t="e">
        <f>AND(Sheet1!E3296,"AAAAAH+8/5I=")</f>
        <v>#VALUE!</v>
      </c>
      <c r="ER245" t="e">
        <f>AND(Sheet1!F3296,"AAAAAH+8/5M=")</f>
        <v>#VALUE!</v>
      </c>
      <c r="ES245" t="e">
        <f>AND(Sheet1!G3296,"AAAAAH+8/5Q=")</f>
        <v>#VALUE!</v>
      </c>
      <c r="ET245" t="e">
        <f>AND(Sheet1!H3296,"AAAAAH+8/5U=")</f>
        <v>#VALUE!</v>
      </c>
      <c r="EU245" t="e">
        <f>AND(Sheet1!I3296,"AAAAAH+8/5Y=")</f>
        <v>#VALUE!</v>
      </c>
      <c r="EV245" t="e">
        <f>AND(Sheet1!J3296,"AAAAAH+8/5c=")</f>
        <v>#VALUE!</v>
      </c>
      <c r="EW245" t="e">
        <f>AND(Sheet1!K3296,"AAAAAH+8/5g=")</f>
        <v>#VALUE!</v>
      </c>
      <c r="EX245" t="e">
        <f>AND(Sheet1!L3296,"AAAAAH+8/5k=")</f>
        <v>#VALUE!</v>
      </c>
      <c r="EY245" t="e">
        <f>AND(Sheet1!M3296,"AAAAAH+8/5o=")</f>
        <v>#VALUE!</v>
      </c>
      <c r="EZ245" t="e">
        <f>AND(Sheet1!N3296,"AAAAAH+8/5s=")</f>
        <v>#VALUE!</v>
      </c>
      <c r="FA245" t="e">
        <f>AND(Sheet1!#REF!,"AAAAAH+8/5w=")</f>
        <v>#REF!</v>
      </c>
      <c r="FB245" t="e">
        <f>AND(Sheet1!#REF!,"AAAAAH+8/50=")</f>
        <v>#REF!</v>
      </c>
      <c r="FC245" t="e">
        <f>AND(Sheet1!#REF!,"AAAAAH+8/54=")</f>
        <v>#REF!</v>
      </c>
      <c r="FD245" t="e">
        <f>AND(Sheet1!#REF!,"AAAAAH+8/58=")</f>
        <v>#REF!</v>
      </c>
      <c r="FE245">
        <f>IF(Sheet1!3297:3297,"AAAAAH+8/6A=",0)</f>
        <v>0</v>
      </c>
      <c r="FF245" t="e">
        <f>AND(Sheet1!A3297,"AAAAAH+8/6E=")</f>
        <v>#VALUE!</v>
      </c>
      <c r="FG245" t="e">
        <f>AND(Sheet1!B3297,"AAAAAH+8/6I=")</f>
        <v>#VALUE!</v>
      </c>
      <c r="FH245" t="e">
        <f>AND(Sheet1!C3297,"AAAAAH+8/6M=")</f>
        <v>#VALUE!</v>
      </c>
      <c r="FI245" t="e">
        <f>AND(Sheet1!D3297,"AAAAAH+8/6Q=")</f>
        <v>#VALUE!</v>
      </c>
      <c r="FJ245" t="e">
        <f>AND(Sheet1!E3297,"AAAAAH+8/6U=")</f>
        <v>#VALUE!</v>
      </c>
      <c r="FK245" t="e">
        <f>AND(Sheet1!F3297,"AAAAAH+8/6Y=")</f>
        <v>#VALUE!</v>
      </c>
      <c r="FL245" t="e">
        <f>AND(Sheet1!G3297,"AAAAAH+8/6c=")</f>
        <v>#VALUE!</v>
      </c>
      <c r="FM245" t="e">
        <f>AND(Sheet1!H3297,"AAAAAH+8/6g=")</f>
        <v>#VALUE!</v>
      </c>
      <c r="FN245" t="e">
        <f>AND(Sheet1!I3297,"AAAAAH+8/6k=")</f>
        <v>#VALUE!</v>
      </c>
      <c r="FO245" t="e">
        <f>AND(Sheet1!J3297,"AAAAAH+8/6o=")</f>
        <v>#VALUE!</v>
      </c>
      <c r="FP245" t="e">
        <f>AND(Sheet1!K3297,"AAAAAH+8/6s=")</f>
        <v>#VALUE!</v>
      </c>
      <c r="FQ245" t="e">
        <f>AND(Sheet1!L3297,"AAAAAH+8/6w=")</f>
        <v>#VALUE!</v>
      </c>
      <c r="FR245" t="e">
        <f>AND(Sheet1!M3297,"AAAAAH+8/60=")</f>
        <v>#VALUE!</v>
      </c>
      <c r="FS245" t="e">
        <f>AND(Sheet1!N3297,"AAAAAH+8/64=")</f>
        <v>#VALUE!</v>
      </c>
      <c r="FT245" t="e">
        <f>AND(Sheet1!#REF!,"AAAAAH+8/68=")</f>
        <v>#REF!</v>
      </c>
      <c r="FU245" t="e">
        <f>AND(Sheet1!#REF!,"AAAAAH+8/7A=")</f>
        <v>#REF!</v>
      </c>
      <c r="FV245" t="e">
        <f>AND(Sheet1!#REF!,"AAAAAH+8/7E=")</f>
        <v>#REF!</v>
      </c>
      <c r="FW245" t="e">
        <f>AND(Sheet1!#REF!,"AAAAAH+8/7I=")</f>
        <v>#REF!</v>
      </c>
      <c r="FX245">
        <f>IF(Sheet1!3298:3298,"AAAAAH+8/7M=",0)</f>
        <v>0</v>
      </c>
      <c r="FY245" t="e">
        <f>AND(Sheet1!A3298,"AAAAAH+8/7Q=")</f>
        <v>#VALUE!</v>
      </c>
      <c r="FZ245" t="e">
        <f>AND(Sheet1!B3298,"AAAAAH+8/7U=")</f>
        <v>#VALUE!</v>
      </c>
      <c r="GA245" t="e">
        <f>AND(Sheet1!C3298,"AAAAAH+8/7Y=")</f>
        <v>#VALUE!</v>
      </c>
      <c r="GB245" t="e">
        <f>AND(Sheet1!D3298,"AAAAAH+8/7c=")</f>
        <v>#VALUE!</v>
      </c>
      <c r="GC245" t="e">
        <f>AND(Sheet1!E3298,"AAAAAH+8/7g=")</f>
        <v>#VALUE!</v>
      </c>
      <c r="GD245" t="e">
        <f>AND(Sheet1!F3298,"AAAAAH+8/7k=")</f>
        <v>#VALUE!</v>
      </c>
      <c r="GE245" t="e">
        <f>AND(Sheet1!G3298,"AAAAAH+8/7o=")</f>
        <v>#VALUE!</v>
      </c>
      <c r="GF245" t="e">
        <f>AND(Sheet1!H3298,"AAAAAH+8/7s=")</f>
        <v>#VALUE!</v>
      </c>
      <c r="GG245" t="e">
        <f>AND(Sheet1!I3298,"AAAAAH+8/7w=")</f>
        <v>#VALUE!</v>
      </c>
      <c r="GH245" t="e">
        <f>AND(Sheet1!J3298,"AAAAAH+8/70=")</f>
        <v>#VALUE!</v>
      </c>
      <c r="GI245" t="e">
        <f>AND(Sheet1!K3298,"AAAAAH+8/74=")</f>
        <v>#VALUE!</v>
      </c>
      <c r="GJ245" t="e">
        <f>AND(Sheet1!L3298,"AAAAAH+8/78=")</f>
        <v>#VALUE!</v>
      </c>
      <c r="GK245" t="e">
        <f>AND(Sheet1!M3298,"AAAAAH+8/8A=")</f>
        <v>#VALUE!</v>
      </c>
      <c r="GL245" t="e">
        <f>AND(Sheet1!N3298,"AAAAAH+8/8E=")</f>
        <v>#VALUE!</v>
      </c>
      <c r="GM245" t="e">
        <f>AND(Sheet1!#REF!,"AAAAAH+8/8I=")</f>
        <v>#REF!</v>
      </c>
      <c r="GN245" t="e">
        <f>AND(Sheet1!#REF!,"AAAAAH+8/8M=")</f>
        <v>#REF!</v>
      </c>
      <c r="GO245" t="e">
        <f>AND(Sheet1!#REF!,"AAAAAH+8/8Q=")</f>
        <v>#REF!</v>
      </c>
      <c r="GP245" t="e">
        <f>AND(Sheet1!#REF!,"AAAAAH+8/8U=")</f>
        <v>#REF!</v>
      </c>
      <c r="GQ245">
        <f>IF(Sheet1!3299:3299,"AAAAAH+8/8Y=",0)</f>
        <v>0</v>
      </c>
      <c r="GR245" t="e">
        <f>AND(Sheet1!A3299,"AAAAAH+8/8c=")</f>
        <v>#VALUE!</v>
      </c>
      <c r="GS245" t="e">
        <f>AND(Sheet1!B3299,"AAAAAH+8/8g=")</f>
        <v>#VALUE!</v>
      </c>
      <c r="GT245" t="e">
        <f>AND(Sheet1!C3299,"AAAAAH+8/8k=")</f>
        <v>#VALUE!</v>
      </c>
      <c r="GU245" t="e">
        <f>AND(Sheet1!D3299,"AAAAAH+8/8o=")</f>
        <v>#VALUE!</v>
      </c>
      <c r="GV245" t="e">
        <f>AND(Sheet1!E3299,"AAAAAH+8/8s=")</f>
        <v>#VALUE!</v>
      </c>
      <c r="GW245" t="e">
        <f>AND(Sheet1!F3299,"AAAAAH+8/8w=")</f>
        <v>#VALUE!</v>
      </c>
      <c r="GX245" t="e">
        <f>AND(Sheet1!G3299,"AAAAAH+8/80=")</f>
        <v>#VALUE!</v>
      </c>
      <c r="GY245" t="e">
        <f>AND(Sheet1!H3299,"AAAAAH+8/84=")</f>
        <v>#VALUE!</v>
      </c>
      <c r="GZ245" t="e">
        <f>AND(Sheet1!I3299,"AAAAAH+8/88=")</f>
        <v>#VALUE!</v>
      </c>
      <c r="HA245" t="e">
        <f>AND(Sheet1!J3299,"AAAAAH+8/9A=")</f>
        <v>#VALUE!</v>
      </c>
      <c r="HB245" t="e">
        <f>AND(Sheet1!K3299,"AAAAAH+8/9E=")</f>
        <v>#VALUE!</v>
      </c>
      <c r="HC245" t="e">
        <f>AND(Sheet1!L3299,"AAAAAH+8/9I=")</f>
        <v>#VALUE!</v>
      </c>
      <c r="HD245" t="e">
        <f>AND(Sheet1!M3299,"AAAAAH+8/9M=")</f>
        <v>#VALUE!</v>
      </c>
      <c r="HE245" t="e">
        <f>AND(Sheet1!N3299,"AAAAAH+8/9Q=")</f>
        <v>#VALUE!</v>
      </c>
      <c r="HF245" t="e">
        <f>AND(Sheet1!#REF!,"AAAAAH+8/9U=")</f>
        <v>#REF!</v>
      </c>
      <c r="HG245" t="e">
        <f>AND(Sheet1!#REF!,"AAAAAH+8/9Y=")</f>
        <v>#REF!</v>
      </c>
      <c r="HH245" t="e">
        <f>AND(Sheet1!#REF!,"AAAAAH+8/9c=")</f>
        <v>#REF!</v>
      </c>
      <c r="HI245" t="e">
        <f>AND(Sheet1!#REF!,"AAAAAH+8/9g=")</f>
        <v>#REF!</v>
      </c>
      <c r="HJ245">
        <f>IF(Sheet1!3300:3300,"AAAAAH+8/9k=",0)</f>
        <v>0</v>
      </c>
      <c r="HK245" t="e">
        <f>AND(Sheet1!A3300,"AAAAAH+8/9o=")</f>
        <v>#VALUE!</v>
      </c>
      <c r="HL245" t="e">
        <f>AND(Sheet1!B3300,"AAAAAH+8/9s=")</f>
        <v>#VALUE!</v>
      </c>
      <c r="HM245" t="e">
        <f>AND(Sheet1!C3300,"AAAAAH+8/9w=")</f>
        <v>#VALUE!</v>
      </c>
      <c r="HN245" t="e">
        <f>AND(Sheet1!D3300,"AAAAAH+8/90=")</f>
        <v>#VALUE!</v>
      </c>
      <c r="HO245" t="e">
        <f>AND(Sheet1!E3300,"AAAAAH+8/94=")</f>
        <v>#VALUE!</v>
      </c>
      <c r="HP245" t="e">
        <f>AND(Sheet1!F3300,"AAAAAH+8/98=")</f>
        <v>#VALUE!</v>
      </c>
      <c r="HQ245" t="e">
        <f>AND(Sheet1!G3300,"AAAAAH+8/+A=")</f>
        <v>#VALUE!</v>
      </c>
      <c r="HR245" t="e">
        <f>AND(Sheet1!H3300,"AAAAAH+8/+E=")</f>
        <v>#VALUE!</v>
      </c>
      <c r="HS245" t="e">
        <f>AND(Sheet1!I3300,"AAAAAH+8/+I=")</f>
        <v>#VALUE!</v>
      </c>
      <c r="HT245" t="e">
        <f>AND(Sheet1!J3300,"AAAAAH+8/+M=")</f>
        <v>#VALUE!</v>
      </c>
      <c r="HU245" t="e">
        <f>AND(Sheet1!K3300,"AAAAAH+8/+Q=")</f>
        <v>#VALUE!</v>
      </c>
      <c r="HV245" t="e">
        <f>AND(Sheet1!L3300,"AAAAAH+8/+U=")</f>
        <v>#VALUE!</v>
      </c>
      <c r="HW245" t="e">
        <f>AND(Sheet1!M3300,"AAAAAH+8/+Y=")</f>
        <v>#VALUE!</v>
      </c>
      <c r="HX245" t="e">
        <f>AND(Sheet1!N3300,"AAAAAH+8/+c=")</f>
        <v>#VALUE!</v>
      </c>
      <c r="HY245" t="e">
        <f>AND(Sheet1!#REF!,"AAAAAH+8/+g=")</f>
        <v>#REF!</v>
      </c>
      <c r="HZ245" t="e">
        <f>AND(Sheet1!#REF!,"AAAAAH+8/+k=")</f>
        <v>#REF!</v>
      </c>
      <c r="IA245" t="e">
        <f>AND(Sheet1!#REF!,"AAAAAH+8/+o=")</f>
        <v>#REF!</v>
      </c>
      <c r="IB245" t="e">
        <f>AND(Sheet1!#REF!,"AAAAAH+8/+s=")</f>
        <v>#REF!</v>
      </c>
      <c r="IC245">
        <f>IF(Sheet1!3301:3301,"AAAAAH+8/+w=",0)</f>
        <v>0</v>
      </c>
      <c r="ID245" t="e">
        <f>AND(Sheet1!A3301,"AAAAAH+8/+0=")</f>
        <v>#VALUE!</v>
      </c>
      <c r="IE245" t="e">
        <f>AND(Sheet1!B3301,"AAAAAH+8/+4=")</f>
        <v>#VALUE!</v>
      </c>
      <c r="IF245" t="e">
        <f>AND(Sheet1!C3301,"AAAAAH+8/+8=")</f>
        <v>#VALUE!</v>
      </c>
      <c r="IG245" t="e">
        <f>AND(Sheet1!D3301,"AAAAAH+8//A=")</f>
        <v>#VALUE!</v>
      </c>
      <c r="IH245" t="e">
        <f>AND(Sheet1!E3301,"AAAAAH+8//E=")</f>
        <v>#VALUE!</v>
      </c>
      <c r="II245" t="e">
        <f>AND(Sheet1!F3301,"AAAAAH+8//I=")</f>
        <v>#VALUE!</v>
      </c>
      <c r="IJ245" t="e">
        <f>AND(Sheet1!G3301,"AAAAAH+8//M=")</f>
        <v>#VALUE!</v>
      </c>
      <c r="IK245" t="e">
        <f>AND(Sheet1!H3301,"AAAAAH+8//Q=")</f>
        <v>#VALUE!</v>
      </c>
      <c r="IL245" t="e">
        <f>AND(Sheet1!I3301,"AAAAAH+8//U=")</f>
        <v>#VALUE!</v>
      </c>
      <c r="IM245" t="e">
        <f>AND(Sheet1!J3301,"AAAAAH+8//Y=")</f>
        <v>#VALUE!</v>
      </c>
      <c r="IN245" t="e">
        <f>AND(Sheet1!K3301,"AAAAAH+8//c=")</f>
        <v>#VALUE!</v>
      </c>
      <c r="IO245" t="e">
        <f>AND(Sheet1!L3301,"AAAAAH+8//g=")</f>
        <v>#VALUE!</v>
      </c>
      <c r="IP245" t="e">
        <f>AND(Sheet1!M3301,"AAAAAH+8//k=")</f>
        <v>#VALUE!</v>
      </c>
      <c r="IQ245" t="e">
        <f>AND(Sheet1!N3301,"AAAAAH+8//o=")</f>
        <v>#VALUE!</v>
      </c>
      <c r="IR245" t="e">
        <f>AND(Sheet1!#REF!,"AAAAAH+8//s=")</f>
        <v>#REF!</v>
      </c>
      <c r="IS245" t="e">
        <f>AND(Sheet1!#REF!,"AAAAAH+8//w=")</f>
        <v>#REF!</v>
      </c>
      <c r="IT245" t="e">
        <f>AND(Sheet1!#REF!,"AAAAAH+8//0=")</f>
        <v>#REF!</v>
      </c>
      <c r="IU245" t="e">
        <f>AND(Sheet1!#REF!,"AAAAAH+8//4=")</f>
        <v>#REF!</v>
      </c>
      <c r="IV245">
        <f>IF(Sheet1!3302:3302,"AAAAAH+8//8=",0)</f>
        <v>0</v>
      </c>
    </row>
    <row r="246" spans="1:256" x14ac:dyDescent="0.2">
      <c r="A246" t="e">
        <f>AND(Sheet1!A3302,"AAAAAHdt/wA=")</f>
        <v>#VALUE!</v>
      </c>
      <c r="B246" t="e">
        <f>AND(Sheet1!B3302,"AAAAAHdt/wE=")</f>
        <v>#VALUE!</v>
      </c>
      <c r="C246" t="e">
        <f>AND(Sheet1!C3302,"AAAAAHdt/wI=")</f>
        <v>#VALUE!</v>
      </c>
      <c r="D246" t="e">
        <f>AND(Sheet1!D3302,"AAAAAHdt/wM=")</f>
        <v>#VALUE!</v>
      </c>
      <c r="E246" t="e">
        <f>AND(Sheet1!E3302,"AAAAAHdt/wQ=")</f>
        <v>#VALUE!</v>
      </c>
      <c r="F246" t="e">
        <f>AND(Sheet1!F3302,"AAAAAHdt/wU=")</f>
        <v>#VALUE!</v>
      </c>
      <c r="G246" t="e">
        <f>AND(Sheet1!G3302,"AAAAAHdt/wY=")</f>
        <v>#VALUE!</v>
      </c>
      <c r="H246" t="e">
        <f>AND(Sheet1!H3302,"AAAAAHdt/wc=")</f>
        <v>#VALUE!</v>
      </c>
      <c r="I246" t="e">
        <f>AND(Sheet1!I3302,"AAAAAHdt/wg=")</f>
        <v>#VALUE!</v>
      </c>
      <c r="J246" t="e">
        <f>AND(Sheet1!J3302,"AAAAAHdt/wk=")</f>
        <v>#VALUE!</v>
      </c>
      <c r="K246" t="e">
        <f>AND(Sheet1!K3302,"AAAAAHdt/wo=")</f>
        <v>#VALUE!</v>
      </c>
      <c r="L246" t="e">
        <f>AND(Sheet1!L3302,"AAAAAHdt/ws=")</f>
        <v>#VALUE!</v>
      </c>
      <c r="M246" t="e">
        <f>AND(Sheet1!M3302,"AAAAAHdt/ww=")</f>
        <v>#VALUE!</v>
      </c>
      <c r="N246" t="e">
        <f>AND(Sheet1!N3302,"AAAAAHdt/w0=")</f>
        <v>#VALUE!</v>
      </c>
      <c r="O246" t="e">
        <f>AND(Sheet1!#REF!,"AAAAAHdt/w4=")</f>
        <v>#REF!</v>
      </c>
      <c r="P246" t="e">
        <f>AND(Sheet1!#REF!,"AAAAAHdt/w8=")</f>
        <v>#REF!</v>
      </c>
      <c r="Q246" t="e">
        <f>AND(Sheet1!#REF!,"AAAAAHdt/xA=")</f>
        <v>#REF!</v>
      </c>
      <c r="R246" t="e">
        <f>AND(Sheet1!#REF!,"AAAAAHdt/xE=")</f>
        <v>#REF!</v>
      </c>
      <c r="S246">
        <f>IF(Sheet1!3303:3303,"AAAAAHdt/xI=",0)</f>
        <v>0</v>
      </c>
      <c r="T246" t="e">
        <f>AND(Sheet1!A3303,"AAAAAHdt/xM=")</f>
        <v>#VALUE!</v>
      </c>
      <c r="U246" t="e">
        <f>AND(Sheet1!B3303,"AAAAAHdt/xQ=")</f>
        <v>#VALUE!</v>
      </c>
      <c r="V246" t="e">
        <f>AND(Sheet1!C3303,"AAAAAHdt/xU=")</f>
        <v>#VALUE!</v>
      </c>
      <c r="W246" t="e">
        <f>AND(Sheet1!D3303,"AAAAAHdt/xY=")</f>
        <v>#VALUE!</v>
      </c>
      <c r="X246" t="e">
        <f>AND(Sheet1!E3303,"AAAAAHdt/xc=")</f>
        <v>#VALUE!</v>
      </c>
      <c r="Y246" t="e">
        <f>AND(Sheet1!F3303,"AAAAAHdt/xg=")</f>
        <v>#VALUE!</v>
      </c>
      <c r="Z246" t="e">
        <f>AND(Sheet1!G3303,"AAAAAHdt/xk=")</f>
        <v>#VALUE!</v>
      </c>
      <c r="AA246" t="e">
        <f>AND(Sheet1!H3303,"AAAAAHdt/xo=")</f>
        <v>#VALUE!</v>
      </c>
      <c r="AB246" t="e">
        <f>AND(Sheet1!I3303,"AAAAAHdt/xs=")</f>
        <v>#VALUE!</v>
      </c>
      <c r="AC246" t="e">
        <f>AND(Sheet1!J3303,"AAAAAHdt/xw=")</f>
        <v>#VALUE!</v>
      </c>
      <c r="AD246" t="e">
        <f>AND(Sheet1!K3303,"AAAAAHdt/x0=")</f>
        <v>#VALUE!</v>
      </c>
      <c r="AE246" t="e">
        <f>AND(Sheet1!L3303,"AAAAAHdt/x4=")</f>
        <v>#VALUE!</v>
      </c>
      <c r="AF246" t="e">
        <f>AND(Sheet1!M3303,"AAAAAHdt/x8=")</f>
        <v>#VALUE!</v>
      </c>
      <c r="AG246" t="e">
        <f>AND(Sheet1!N3303,"AAAAAHdt/yA=")</f>
        <v>#VALUE!</v>
      </c>
      <c r="AH246" t="e">
        <f>AND(Sheet1!#REF!,"AAAAAHdt/yE=")</f>
        <v>#REF!</v>
      </c>
      <c r="AI246" t="e">
        <f>AND(Sheet1!#REF!,"AAAAAHdt/yI=")</f>
        <v>#REF!</v>
      </c>
      <c r="AJ246" t="e">
        <f>AND(Sheet1!#REF!,"AAAAAHdt/yM=")</f>
        <v>#REF!</v>
      </c>
      <c r="AK246" t="e">
        <f>AND(Sheet1!#REF!,"AAAAAHdt/yQ=")</f>
        <v>#REF!</v>
      </c>
      <c r="AL246">
        <f>IF(Sheet1!3304:3304,"AAAAAHdt/yU=",0)</f>
        <v>0</v>
      </c>
      <c r="AM246" t="e">
        <f>AND(Sheet1!A3304,"AAAAAHdt/yY=")</f>
        <v>#VALUE!</v>
      </c>
      <c r="AN246" t="e">
        <f>AND(Sheet1!B3304,"AAAAAHdt/yc=")</f>
        <v>#VALUE!</v>
      </c>
      <c r="AO246" t="e">
        <f>AND(Sheet1!C3304,"AAAAAHdt/yg=")</f>
        <v>#VALUE!</v>
      </c>
      <c r="AP246" t="e">
        <f>AND(Sheet1!D3304,"AAAAAHdt/yk=")</f>
        <v>#VALUE!</v>
      </c>
      <c r="AQ246" t="e">
        <f>AND(Sheet1!E3304,"AAAAAHdt/yo=")</f>
        <v>#VALUE!</v>
      </c>
      <c r="AR246" t="e">
        <f>AND(Sheet1!F3304,"AAAAAHdt/ys=")</f>
        <v>#VALUE!</v>
      </c>
      <c r="AS246" t="e">
        <f>AND(Sheet1!G3304,"AAAAAHdt/yw=")</f>
        <v>#VALUE!</v>
      </c>
      <c r="AT246" t="e">
        <f>AND(Sheet1!H3304,"AAAAAHdt/y0=")</f>
        <v>#VALUE!</v>
      </c>
      <c r="AU246" t="e">
        <f>AND(Sheet1!I3304,"AAAAAHdt/y4=")</f>
        <v>#VALUE!</v>
      </c>
      <c r="AV246" t="e">
        <f>AND(Sheet1!J3304,"AAAAAHdt/y8=")</f>
        <v>#VALUE!</v>
      </c>
      <c r="AW246" t="e">
        <f>AND(Sheet1!K3304,"AAAAAHdt/zA=")</f>
        <v>#VALUE!</v>
      </c>
      <c r="AX246" t="e">
        <f>AND(Sheet1!L3304,"AAAAAHdt/zE=")</f>
        <v>#VALUE!</v>
      </c>
      <c r="AY246" t="e">
        <f>AND(Sheet1!M3304,"AAAAAHdt/zI=")</f>
        <v>#VALUE!</v>
      </c>
      <c r="AZ246" t="e">
        <f>AND(Sheet1!N3304,"AAAAAHdt/zM=")</f>
        <v>#VALUE!</v>
      </c>
      <c r="BA246" t="e">
        <f>AND(Sheet1!#REF!,"AAAAAHdt/zQ=")</f>
        <v>#REF!</v>
      </c>
      <c r="BB246" t="e">
        <f>AND(Sheet1!#REF!,"AAAAAHdt/zU=")</f>
        <v>#REF!</v>
      </c>
      <c r="BC246" t="e">
        <f>AND(Sheet1!#REF!,"AAAAAHdt/zY=")</f>
        <v>#REF!</v>
      </c>
      <c r="BD246" t="e">
        <f>AND(Sheet1!#REF!,"AAAAAHdt/zc=")</f>
        <v>#REF!</v>
      </c>
      <c r="BE246">
        <f>IF(Sheet1!3305:3305,"AAAAAHdt/zg=",0)</f>
        <v>0</v>
      </c>
      <c r="BF246" t="e">
        <f>AND(Sheet1!A3305,"AAAAAHdt/zk=")</f>
        <v>#VALUE!</v>
      </c>
      <c r="BG246" t="e">
        <f>AND(Sheet1!B3305,"AAAAAHdt/zo=")</f>
        <v>#VALUE!</v>
      </c>
      <c r="BH246" t="e">
        <f>AND(Sheet1!C3305,"AAAAAHdt/zs=")</f>
        <v>#VALUE!</v>
      </c>
      <c r="BI246" t="e">
        <f>AND(Sheet1!D3305,"AAAAAHdt/zw=")</f>
        <v>#VALUE!</v>
      </c>
      <c r="BJ246" t="e">
        <f>AND(Sheet1!E3305,"AAAAAHdt/z0=")</f>
        <v>#VALUE!</v>
      </c>
      <c r="BK246" t="e">
        <f>AND(Sheet1!F3305,"AAAAAHdt/z4=")</f>
        <v>#VALUE!</v>
      </c>
      <c r="BL246" t="e">
        <f>AND(Sheet1!G3305,"AAAAAHdt/z8=")</f>
        <v>#VALUE!</v>
      </c>
      <c r="BM246" t="e">
        <f>AND(Sheet1!H3305,"AAAAAHdt/0A=")</f>
        <v>#VALUE!</v>
      </c>
      <c r="BN246" t="e">
        <f>AND(Sheet1!I3305,"AAAAAHdt/0E=")</f>
        <v>#VALUE!</v>
      </c>
      <c r="BO246" t="e">
        <f>AND(Sheet1!J3305,"AAAAAHdt/0I=")</f>
        <v>#VALUE!</v>
      </c>
      <c r="BP246" t="e">
        <f>AND(Sheet1!K3305,"AAAAAHdt/0M=")</f>
        <v>#VALUE!</v>
      </c>
      <c r="BQ246" t="e">
        <f>AND(Sheet1!L3305,"AAAAAHdt/0Q=")</f>
        <v>#VALUE!</v>
      </c>
      <c r="BR246" t="e">
        <f>AND(Sheet1!M3305,"AAAAAHdt/0U=")</f>
        <v>#VALUE!</v>
      </c>
      <c r="BS246" t="e">
        <f>AND(Sheet1!N3305,"AAAAAHdt/0Y=")</f>
        <v>#VALUE!</v>
      </c>
      <c r="BT246" t="e">
        <f>AND(Sheet1!#REF!,"AAAAAHdt/0c=")</f>
        <v>#REF!</v>
      </c>
      <c r="BU246" t="e">
        <f>AND(Sheet1!#REF!,"AAAAAHdt/0g=")</f>
        <v>#REF!</v>
      </c>
      <c r="BV246" t="e">
        <f>AND(Sheet1!#REF!,"AAAAAHdt/0k=")</f>
        <v>#REF!</v>
      </c>
      <c r="BW246" t="e">
        <f>AND(Sheet1!#REF!,"AAAAAHdt/0o=")</f>
        <v>#REF!</v>
      </c>
      <c r="BX246">
        <f>IF(Sheet1!3306:3306,"AAAAAHdt/0s=",0)</f>
        <v>0</v>
      </c>
      <c r="BY246" t="e">
        <f>AND(Sheet1!A3306,"AAAAAHdt/0w=")</f>
        <v>#VALUE!</v>
      </c>
      <c r="BZ246" t="e">
        <f>AND(Sheet1!B3306,"AAAAAHdt/00=")</f>
        <v>#VALUE!</v>
      </c>
      <c r="CA246" t="e">
        <f>AND(Sheet1!C3306,"AAAAAHdt/04=")</f>
        <v>#VALUE!</v>
      </c>
      <c r="CB246" t="e">
        <f>AND(Sheet1!D3306,"AAAAAHdt/08=")</f>
        <v>#VALUE!</v>
      </c>
      <c r="CC246" t="e">
        <f>AND(Sheet1!E3306,"AAAAAHdt/1A=")</f>
        <v>#VALUE!</v>
      </c>
      <c r="CD246" t="e">
        <f>AND(Sheet1!F3306,"AAAAAHdt/1E=")</f>
        <v>#VALUE!</v>
      </c>
      <c r="CE246" t="e">
        <f>AND(Sheet1!G3306,"AAAAAHdt/1I=")</f>
        <v>#VALUE!</v>
      </c>
      <c r="CF246" t="e">
        <f>AND(Sheet1!H3306,"AAAAAHdt/1M=")</f>
        <v>#VALUE!</v>
      </c>
      <c r="CG246" t="e">
        <f>AND(Sheet1!I3306,"AAAAAHdt/1Q=")</f>
        <v>#VALUE!</v>
      </c>
      <c r="CH246" t="e">
        <f>AND(Sheet1!J3306,"AAAAAHdt/1U=")</f>
        <v>#VALUE!</v>
      </c>
      <c r="CI246" t="e">
        <f>AND(Sheet1!K3306,"AAAAAHdt/1Y=")</f>
        <v>#VALUE!</v>
      </c>
      <c r="CJ246" t="e">
        <f>AND(Sheet1!L3306,"AAAAAHdt/1c=")</f>
        <v>#VALUE!</v>
      </c>
      <c r="CK246" t="e">
        <f>AND(Sheet1!M3306,"AAAAAHdt/1g=")</f>
        <v>#VALUE!</v>
      </c>
      <c r="CL246" t="e">
        <f>AND(Sheet1!N3306,"AAAAAHdt/1k=")</f>
        <v>#VALUE!</v>
      </c>
      <c r="CM246" t="e">
        <f>AND(Sheet1!#REF!,"AAAAAHdt/1o=")</f>
        <v>#REF!</v>
      </c>
      <c r="CN246" t="e">
        <f>AND(Sheet1!#REF!,"AAAAAHdt/1s=")</f>
        <v>#REF!</v>
      </c>
      <c r="CO246" t="e">
        <f>AND(Sheet1!#REF!,"AAAAAHdt/1w=")</f>
        <v>#REF!</v>
      </c>
      <c r="CP246" t="e">
        <f>AND(Sheet1!#REF!,"AAAAAHdt/10=")</f>
        <v>#REF!</v>
      </c>
      <c r="CQ246">
        <f>IF(Sheet1!3307:3307,"AAAAAHdt/14=",0)</f>
        <v>0</v>
      </c>
      <c r="CR246" t="e">
        <f>AND(Sheet1!A3307,"AAAAAHdt/18=")</f>
        <v>#VALUE!</v>
      </c>
      <c r="CS246" t="e">
        <f>AND(Sheet1!B3307,"AAAAAHdt/2A=")</f>
        <v>#VALUE!</v>
      </c>
      <c r="CT246" t="e">
        <f>AND(Sheet1!C3307,"AAAAAHdt/2E=")</f>
        <v>#VALUE!</v>
      </c>
      <c r="CU246" t="e">
        <f>AND(Sheet1!D3307,"AAAAAHdt/2I=")</f>
        <v>#VALUE!</v>
      </c>
      <c r="CV246" t="e">
        <f>AND(Sheet1!E3307,"AAAAAHdt/2M=")</f>
        <v>#VALUE!</v>
      </c>
      <c r="CW246" t="e">
        <f>AND(Sheet1!F3307,"AAAAAHdt/2Q=")</f>
        <v>#VALUE!</v>
      </c>
      <c r="CX246" t="e">
        <f>AND(Sheet1!G3307,"AAAAAHdt/2U=")</f>
        <v>#VALUE!</v>
      </c>
      <c r="CY246" t="e">
        <f>AND(Sheet1!H3307,"AAAAAHdt/2Y=")</f>
        <v>#VALUE!</v>
      </c>
      <c r="CZ246" t="e">
        <f>AND(Sheet1!I3307,"AAAAAHdt/2c=")</f>
        <v>#VALUE!</v>
      </c>
      <c r="DA246" t="e">
        <f>AND(Sheet1!J3307,"AAAAAHdt/2g=")</f>
        <v>#VALUE!</v>
      </c>
      <c r="DB246" t="e">
        <f>AND(Sheet1!K3307,"AAAAAHdt/2k=")</f>
        <v>#VALUE!</v>
      </c>
      <c r="DC246" t="e">
        <f>AND(Sheet1!L3307,"AAAAAHdt/2o=")</f>
        <v>#VALUE!</v>
      </c>
      <c r="DD246" t="e">
        <f>AND(Sheet1!M3307,"AAAAAHdt/2s=")</f>
        <v>#VALUE!</v>
      </c>
      <c r="DE246" t="e">
        <f>AND(Sheet1!N3307,"AAAAAHdt/2w=")</f>
        <v>#VALUE!</v>
      </c>
      <c r="DF246" t="e">
        <f>AND(Sheet1!#REF!,"AAAAAHdt/20=")</f>
        <v>#REF!</v>
      </c>
      <c r="DG246" t="e">
        <f>AND(Sheet1!#REF!,"AAAAAHdt/24=")</f>
        <v>#REF!</v>
      </c>
      <c r="DH246" t="e">
        <f>AND(Sheet1!#REF!,"AAAAAHdt/28=")</f>
        <v>#REF!</v>
      </c>
      <c r="DI246" t="e">
        <f>AND(Sheet1!#REF!,"AAAAAHdt/3A=")</f>
        <v>#REF!</v>
      </c>
      <c r="DJ246">
        <f>IF(Sheet1!3308:3308,"AAAAAHdt/3E=",0)</f>
        <v>0</v>
      </c>
      <c r="DK246" t="e">
        <f>AND(Sheet1!A3308,"AAAAAHdt/3I=")</f>
        <v>#VALUE!</v>
      </c>
      <c r="DL246" t="e">
        <f>AND(Sheet1!B3308,"AAAAAHdt/3M=")</f>
        <v>#VALUE!</v>
      </c>
      <c r="DM246" t="e">
        <f>AND(Sheet1!C3308,"AAAAAHdt/3Q=")</f>
        <v>#VALUE!</v>
      </c>
      <c r="DN246" t="e">
        <f>AND(Sheet1!D3308,"AAAAAHdt/3U=")</f>
        <v>#VALUE!</v>
      </c>
      <c r="DO246" t="e">
        <f>AND(Sheet1!E3308,"AAAAAHdt/3Y=")</f>
        <v>#VALUE!</v>
      </c>
      <c r="DP246" t="e">
        <f>AND(Sheet1!F3308,"AAAAAHdt/3c=")</f>
        <v>#VALUE!</v>
      </c>
      <c r="DQ246" t="e">
        <f>AND(Sheet1!G3308,"AAAAAHdt/3g=")</f>
        <v>#VALUE!</v>
      </c>
      <c r="DR246" t="e">
        <f>AND(Sheet1!H3308,"AAAAAHdt/3k=")</f>
        <v>#VALUE!</v>
      </c>
      <c r="DS246" t="e">
        <f>AND(Sheet1!I3308,"AAAAAHdt/3o=")</f>
        <v>#VALUE!</v>
      </c>
      <c r="DT246" t="e">
        <f>AND(Sheet1!J3308,"AAAAAHdt/3s=")</f>
        <v>#VALUE!</v>
      </c>
      <c r="DU246" t="e">
        <f>AND(Sheet1!K3308,"AAAAAHdt/3w=")</f>
        <v>#VALUE!</v>
      </c>
      <c r="DV246" t="e">
        <f>AND(Sheet1!L3308,"AAAAAHdt/30=")</f>
        <v>#VALUE!</v>
      </c>
      <c r="DW246" t="e">
        <f>AND(Sheet1!M3308,"AAAAAHdt/34=")</f>
        <v>#VALUE!</v>
      </c>
      <c r="DX246" t="e">
        <f>AND(Sheet1!N3308,"AAAAAHdt/38=")</f>
        <v>#VALUE!</v>
      </c>
      <c r="DY246" t="e">
        <f>AND(Sheet1!#REF!,"AAAAAHdt/4A=")</f>
        <v>#REF!</v>
      </c>
      <c r="DZ246" t="e">
        <f>AND(Sheet1!#REF!,"AAAAAHdt/4E=")</f>
        <v>#REF!</v>
      </c>
      <c r="EA246" t="e">
        <f>AND(Sheet1!#REF!,"AAAAAHdt/4I=")</f>
        <v>#REF!</v>
      </c>
      <c r="EB246" t="e">
        <f>AND(Sheet1!#REF!,"AAAAAHdt/4M=")</f>
        <v>#REF!</v>
      </c>
      <c r="EC246">
        <f>IF(Sheet1!3309:3309,"AAAAAHdt/4Q=",0)</f>
        <v>0</v>
      </c>
      <c r="ED246" t="e">
        <f>AND(Sheet1!A3309,"AAAAAHdt/4U=")</f>
        <v>#VALUE!</v>
      </c>
      <c r="EE246" t="e">
        <f>AND(Sheet1!B3309,"AAAAAHdt/4Y=")</f>
        <v>#VALUE!</v>
      </c>
      <c r="EF246" t="e">
        <f>AND(Sheet1!C3309,"AAAAAHdt/4c=")</f>
        <v>#VALUE!</v>
      </c>
      <c r="EG246" t="e">
        <f>AND(Sheet1!D3309,"AAAAAHdt/4g=")</f>
        <v>#VALUE!</v>
      </c>
      <c r="EH246" t="e">
        <f>AND(Sheet1!E3309,"AAAAAHdt/4k=")</f>
        <v>#VALUE!</v>
      </c>
      <c r="EI246" t="e">
        <f>AND(Sheet1!F3309,"AAAAAHdt/4o=")</f>
        <v>#VALUE!</v>
      </c>
      <c r="EJ246" t="e">
        <f>AND(Sheet1!G3309,"AAAAAHdt/4s=")</f>
        <v>#VALUE!</v>
      </c>
      <c r="EK246" t="e">
        <f>AND(Sheet1!H3309,"AAAAAHdt/4w=")</f>
        <v>#VALUE!</v>
      </c>
      <c r="EL246" t="e">
        <f>AND(Sheet1!I3309,"AAAAAHdt/40=")</f>
        <v>#VALUE!</v>
      </c>
      <c r="EM246" t="e">
        <f>AND(Sheet1!J3309,"AAAAAHdt/44=")</f>
        <v>#VALUE!</v>
      </c>
      <c r="EN246" t="e">
        <f>AND(Sheet1!K3309,"AAAAAHdt/48=")</f>
        <v>#VALUE!</v>
      </c>
      <c r="EO246" t="e">
        <f>AND(Sheet1!L3309,"AAAAAHdt/5A=")</f>
        <v>#VALUE!</v>
      </c>
      <c r="EP246" t="e">
        <f>AND(Sheet1!M3309,"AAAAAHdt/5E=")</f>
        <v>#VALUE!</v>
      </c>
      <c r="EQ246" t="e">
        <f>AND(Sheet1!N3309,"AAAAAHdt/5I=")</f>
        <v>#VALUE!</v>
      </c>
      <c r="ER246" t="e">
        <f>AND(Sheet1!#REF!,"AAAAAHdt/5M=")</f>
        <v>#REF!</v>
      </c>
      <c r="ES246" t="e">
        <f>AND(Sheet1!#REF!,"AAAAAHdt/5Q=")</f>
        <v>#REF!</v>
      </c>
      <c r="ET246" t="e">
        <f>AND(Sheet1!#REF!,"AAAAAHdt/5U=")</f>
        <v>#REF!</v>
      </c>
      <c r="EU246" t="e">
        <f>AND(Sheet1!#REF!,"AAAAAHdt/5Y=")</f>
        <v>#REF!</v>
      </c>
      <c r="EV246">
        <f>IF(Sheet1!3310:3310,"AAAAAHdt/5c=",0)</f>
        <v>0</v>
      </c>
      <c r="EW246" t="e">
        <f>AND(Sheet1!A3310,"AAAAAHdt/5g=")</f>
        <v>#VALUE!</v>
      </c>
      <c r="EX246" t="e">
        <f>AND(Sheet1!B3310,"AAAAAHdt/5k=")</f>
        <v>#VALUE!</v>
      </c>
      <c r="EY246" t="e">
        <f>AND(Sheet1!C3310,"AAAAAHdt/5o=")</f>
        <v>#VALUE!</v>
      </c>
      <c r="EZ246" t="e">
        <f>AND(Sheet1!D3310,"AAAAAHdt/5s=")</f>
        <v>#VALUE!</v>
      </c>
      <c r="FA246" t="e">
        <f>AND(Sheet1!E3310,"AAAAAHdt/5w=")</f>
        <v>#VALUE!</v>
      </c>
      <c r="FB246" t="e">
        <f>AND(Sheet1!F3310,"AAAAAHdt/50=")</f>
        <v>#VALUE!</v>
      </c>
      <c r="FC246" t="e">
        <f>AND(Sheet1!G3310,"AAAAAHdt/54=")</f>
        <v>#VALUE!</v>
      </c>
      <c r="FD246" t="e">
        <f>AND(Sheet1!H3310,"AAAAAHdt/58=")</f>
        <v>#VALUE!</v>
      </c>
      <c r="FE246" t="e">
        <f>AND(Sheet1!I3310,"AAAAAHdt/6A=")</f>
        <v>#VALUE!</v>
      </c>
      <c r="FF246" t="e">
        <f>AND(Sheet1!J3310,"AAAAAHdt/6E=")</f>
        <v>#VALUE!</v>
      </c>
      <c r="FG246" t="e">
        <f>AND(Sheet1!K3310,"AAAAAHdt/6I=")</f>
        <v>#VALUE!</v>
      </c>
      <c r="FH246" t="e">
        <f>AND(Sheet1!L3310,"AAAAAHdt/6M=")</f>
        <v>#VALUE!</v>
      </c>
      <c r="FI246" t="e">
        <f>AND(Sheet1!M3310,"AAAAAHdt/6Q=")</f>
        <v>#VALUE!</v>
      </c>
      <c r="FJ246" t="e">
        <f>AND(Sheet1!N3310,"AAAAAHdt/6U=")</f>
        <v>#VALUE!</v>
      </c>
      <c r="FK246" t="e">
        <f>AND(Sheet1!#REF!,"AAAAAHdt/6Y=")</f>
        <v>#REF!</v>
      </c>
      <c r="FL246" t="e">
        <f>AND(Sheet1!#REF!,"AAAAAHdt/6c=")</f>
        <v>#REF!</v>
      </c>
      <c r="FM246" t="e">
        <f>AND(Sheet1!#REF!,"AAAAAHdt/6g=")</f>
        <v>#REF!</v>
      </c>
      <c r="FN246" t="e">
        <f>AND(Sheet1!#REF!,"AAAAAHdt/6k=")</f>
        <v>#REF!</v>
      </c>
      <c r="FO246">
        <f>IF(Sheet1!3311:3311,"AAAAAHdt/6o=",0)</f>
        <v>0</v>
      </c>
      <c r="FP246" t="e">
        <f>AND(Sheet1!A3311,"AAAAAHdt/6s=")</f>
        <v>#VALUE!</v>
      </c>
      <c r="FQ246" t="e">
        <f>AND(Sheet1!B3311,"AAAAAHdt/6w=")</f>
        <v>#VALUE!</v>
      </c>
      <c r="FR246" t="e">
        <f>AND(Sheet1!C3311,"AAAAAHdt/60=")</f>
        <v>#VALUE!</v>
      </c>
      <c r="FS246" t="e">
        <f>AND(Sheet1!D3311,"AAAAAHdt/64=")</f>
        <v>#VALUE!</v>
      </c>
      <c r="FT246" t="e">
        <f>AND(Sheet1!E3311,"AAAAAHdt/68=")</f>
        <v>#VALUE!</v>
      </c>
      <c r="FU246" t="e">
        <f>AND(Sheet1!F3311,"AAAAAHdt/7A=")</f>
        <v>#VALUE!</v>
      </c>
      <c r="FV246" t="e">
        <f>AND(Sheet1!G3311,"AAAAAHdt/7E=")</f>
        <v>#VALUE!</v>
      </c>
      <c r="FW246" t="e">
        <f>AND(Sheet1!H3311,"AAAAAHdt/7I=")</f>
        <v>#VALUE!</v>
      </c>
      <c r="FX246" t="e">
        <f>AND(Sheet1!I3311,"AAAAAHdt/7M=")</f>
        <v>#VALUE!</v>
      </c>
      <c r="FY246" t="e">
        <f>AND(Sheet1!J3311,"AAAAAHdt/7Q=")</f>
        <v>#VALUE!</v>
      </c>
      <c r="FZ246" t="e">
        <f>AND(Sheet1!K3311,"AAAAAHdt/7U=")</f>
        <v>#VALUE!</v>
      </c>
      <c r="GA246" t="e">
        <f>AND(Sheet1!L3311,"AAAAAHdt/7Y=")</f>
        <v>#VALUE!</v>
      </c>
      <c r="GB246" t="e">
        <f>AND(Sheet1!M3311,"AAAAAHdt/7c=")</f>
        <v>#VALUE!</v>
      </c>
      <c r="GC246" t="e">
        <f>AND(Sheet1!N3311,"AAAAAHdt/7g=")</f>
        <v>#VALUE!</v>
      </c>
      <c r="GD246" t="e">
        <f>AND(Sheet1!#REF!,"AAAAAHdt/7k=")</f>
        <v>#REF!</v>
      </c>
      <c r="GE246" t="e">
        <f>AND(Sheet1!#REF!,"AAAAAHdt/7o=")</f>
        <v>#REF!</v>
      </c>
      <c r="GF246" t="e">
        <f>AND(Sheet1!#REF!,"AAAAAHdt/7s=")</f>
        <v>#REF!</v>
      </c>
      <c r="GG246" t="e">
        <f>AND(Sheet1!#REF!,"AAAAAHdt/7w=")</f>
        <v>#REF!</v>
      </c>
      <c r="GH246">
        <f>IF(Sheet1!3312:3312,"AAAAAHdt/70=",0)</f>
        <v>0</v>
      </c>
      <c r="GI246" t="e">
        <f>AND(Sheet1!A3312,"AAAAAHdt/74=")</f>
        <v>#VALUE!</v>
      </c>
      <c r="GJ246" t="e">
        <f>AND(Sheet1!B3312,"AAAAAHdt/78=")</f>
        <v>#VALUE!</v>
      </c>
      <c r="GK246" t="e">
        <f>AND(Sheet1!C3312,"AAAAAHdt/8A=")</f>
        <v>#VALUE!</v>
      </c>
      <c r="GL246" t="e">
        <f>AND(Sheet1!D3312,"AAAAAHdt/8E=")</f>
        <v>#VALUE!</v>
      </c>
      <c r="GM246" t="e">
        <f>AND(Sheet1!E3312,"AAAAAHdt/8I=")</f>
        <v>#VALUE!</v>
      </c>
      <c r="GN246" t="e">
        <f>AND(Sheet1!F3312,"AAAAAHdt/8M=")</f>
        <v>#VALUE!</v>
      </c>
      <c r="GO246" t="e">
        <f>AND(Sheet1!G3312,"AAAAAHdt/8Q=")</f>
        <v>#VALUE!</v>
      </c>
      <c r="GP246" t="e">
        <f>AND(Sheet1!H3312,"AAAAAHdt/8U=")</f>
        <v>#VALUE!</v>
      </c>
      <c r="GQ246" t="e">
        <f>AND(Sheet1!I3312,"AAAAAHdt/8Y=")</f>
        <v>#VALUE!</v>
      </c>
      <c r="GR246" t="e">
        <f>AND(Sheet1!J3312,"AAAAAHdt/8c=")</f>
        <v>#VALUE!</v>
      </c>
      <c r="GS246" t="e">
        <f>AND(Sheet1!K3312,"AAAAAHdt/8g=")</f>
        <v>#VALUE!</v>
      </c>
      <c r="GT246" t="e">
        <f>AND(Sheet1!L3312,"AAAAAHdt/8k=")</f>
        <v>#VALUE!</v>
      </c>
      <c r="GU246" t="e">
        <f>AND(Sheet1!M3312,"AAAAAHdt/8o=")</f>
        <v>#VALUE!</v>
      </c>
      <c r="GV246" t="e">
        <f>AND(Sheet1!N3312,"AAAAAHdt/8s=")</f>
        <v>#VALUE!</v>
      </c>
      <c r="GW246" t="e">
        <f>AND(Sheet1!#REF!,"AAAAAHdt/8w=")</f>
        <v>#REF!</v>
      </c>
      <c r="GX246" t="e">
        <f>AND(Sheet1!#REF!,"AAAAAHdt/80=")</f>
        <v>#REF!</v>
      </c>
      <c r="GY246" t="e">
        <f>AND(Sheet1!#REF!,"AAAAAHdt/84=")</f>
        <v>#REF!</v>
      </c>
      <c r="GZ246" t="e">
        <f>AND(Sheet1!#REF!,"AAAAAHdt/88=")</f>
        <v>#REF!</v>
      </c>
      <c r="HA246">
        <f>IF(Sheet1!3313:3313,"AAAAAHdt/9A=",0)</f>
        <v>0</v>
      </c>
      <c r="HB246" t="e">
        <f>AND(Sheet1!A3313,"AAAAAHdt/9E=")</f>
        <v>#VALUE!</v>
      </c>
      <c r="HC246" t="e">
        <f>AND(Sheet1!B3313,"AAAAAHdt/9I=")</f>
        <v>#VALUE!</v>
      </c>
      <c r="HD246" t="e">
        <f>AND(Sheet1!C3313,"AAAAAHdt/9M=")</f>
        <v>#VALUE!</v>
      </c>
      <c r="HE246" t="e">
        <f>AND(Sheet1!D3313,"AAAAAHdt/9Q=")</f>
        <v>#VALUE!</v>
      </c>
      <c r="HF246" t="e">
        <f>AND(Sheet1!E3313,"AAAAAHdt/9U=")</f>
        <v>#VALUE!</v>
      </c>
      <c r="HG246" t="e">
        <f>AND(Sheet1!F3313,"AAAAAHdt/9Y=")</f>
        <v>#VALUE!</v>
      </c>
      <c r="HH246" t="e">
        <f>AND(Sheet1!G3313,"AAAAAHdt/9c=")</f>
        <v>#VALUE!</v>
      </c>
      <c r="HI246" t="e">
        <f>AND(Sheet1!H3313,"AAAAAHdt/9g=")</f>
        <v>#VALUE!</v>
      </c>
      <c r="HJ246" t="e">
        <f>AND(Sheet1!I3313,"AAAAAHdt/9k=")</f>
        <v>#VALUE!</v>
      </c>
      <c r="HK246" t="e">
        <f>AND(Sheet1!J3313,"AAAAAHdt/9o=")</f>
        <v>#VALUE!</v>
      </c>
      <c r="HL246" t="e">
        <f>AND(Sheet1!K3313,"AAAAAHdt/9s=")</f>
        <v>#VALUE!</v>
      </c>
      <c r="HM246" t="e">
        <f>AND(Sheet1!L3313,"AAAAAHdt/9w=")</f>
        <v>#VALUE!</v>
      </c>
      <c r="HN246" t="e">
        <f>AND(Sheet1!M3313,"AAAAAHdt/90=")</f>
        <v>#VALUE!</v>
      </c>
      <c r="HO246" t="e">
        <f>AND(Sheet1!N3313,"AAAAAHdt/94=")</f>
        <v>#VALUE!</v>
      </c>
      <c r="HP246" t="e">
        <f>AND(Sheet1!#REF!,"AAAAAHdt/98=")</f>
        <v>#REF!</v>
      </c>
      <c r="HQ246" t="e">
        <f>AND(Sheet1!#REF!,"AAAAAHdt/+A=")</f>
        <v>#REF!</v>
      </c>
      <c r="HR246" t="e">
        <f>AND(Sheet1!#REF!,"AAAAAHdt/+E=")</f>
        <v>#REF!</v>
      </c>
      <c r="HS246" t="e">
        <f>AND(Sheet1!#REF!,"AAAAAHdt/+I=")</f>
        <v>#REF!</v>
      </c>
      <c r="HT246">
        <f>IF(Sheet1!3314:3314,"AAAAAHdt/+M=",0)</f>
        <v>0</v>
      </c>
      <c r="HU246" t="e">
        <f>AND(Sheet1!A3314,"AAAAAHdt/+Q=")</f>
        <v>#VALUE!</v>
      </c>
      <c r="HV246" t="e">
        <f>AND(Sheet1!B3314,"AAAAAHdt/+U=")</f>
        <v>#VALUE!</v>
      </c>
      <c r="HW246" t="e">
        <f>AND(Sheet1!C3314,"AAAAAHdt/+Y=")</f>
        <v>#VALUE!</v>
      </c>
      <c r="HX246" t="e">
        <f>AND(Sheet1!D3314,"AAAAAHdt/+c=")</f>
        <v>#VALUE!</v>
      </c>
      <c r="HY246" t="e">
        <f>AND(Sheet1!E3314,"AAAAAHdt/+g=")</f>
        <v>#VALUE!</v>
      </c>
      <c r="HZ246" t="e">
        <f>AND(Sheet1!F3314,"AAAAAHdt/+k=")</f>
        <v>#VALUE!</v>
      </c>
      <c r="IA246" t="e">
        <f>AND(Sheet1!G3314,"AAAAAHdt/+o=")</f>
        <v>#VALUE!</v>
      </c>
      <c r="IB246" t="e">
        <f>AND(Sheet1!H3314,"AAAAAHdt/+s=")</f>
        <v>#VALUE!</v>
      </c>
      <c r="IC246" t="e">
        <f>AND(Sheet1!I3314,"AAAAAHdt/+w=")</f>
        <v>#VALUE!</v>
      </c>
      <c r="ID246" t="e">
        <f>AND(Sheet1!J3314,"AAAAAHdt/+0=")</f>
        <v>#VALUE!</v>
      </c>
      <c r="IE246" t="e">
        <f>AND(Sheet1!K3314,"AAAAAHdt/+4=")</f>
        <v>#VALUE!</v>
      </c>
      <c r="IF246" t="e">
        <f>AND(Sheet1!L3314,"AAAAAHdt/+8=")</f>
        <v>#VALUE!</v>
      </c>
      <c r="IG246" t="e">
        <f>AND(Sheet1!M3314,"AAAAAHdt//A=")</f>
        <v>#VALUE!</v>
      </c>
      <c r="IH246" t="e">
        <f>AND(Sheet1!N3314,"AAAAAHdt//E=")</f>
        <v>#VALUE!</v>
      </c>
      <c r="II246" t="e">
        <f>AND(Sheet1!#REF!,"AAAAAHdt//I=")</f>
        <v>#REF!</v>
      </c>
      <c r="IJ246" t="e">
        <f>AND(Sheet1!#REF!,"AAAAAHdt//M=")</f>
        <v>#REF!</v>
      </c>
      <c r="IK246" t="e">
        <f>AND(Sheet1!#REF!,"AAAAAHdt//Q=")</f>
        <v>#REF!</v>
      </c>
      <c r="IL246" t="e">
        <f>AND(Sheet1!#REF!,"AAAAAHdt//U=")</f>
        <v>#REF!</v>
      </c>
      <c r="IM246">
        <f>IF(Sheet1!3315:3315,"AAAAAHdt//Y=",0)</f>
        <v>0</v>
      </c>
      <c r="IN246" t="e">
        <f>AND(Sheet1!A3315,"AAAAAHdt//c=")</f>
        <v>#VALUE!</v>
      </c>
      <c r="IO246" t="e">
        <f>AND(Sheet1!B3315,"AAAAAHdt//g=")</f>
        <v>#VALUE!</v>
      </c>
      <c r="IP246" t="e">
        <f>AND(Sheet1!C3315,"AAAAAHdt//k=")</f>
        <v>#VALUE!</v>
      </c>
      <c r="IQ246" t="e">
        <f>AND(Sheet1!D3315,"AAAAAHdt//o=")</f>
        <v>#VALUE!</v>
      </c>
      <c r="IR246" t="e">
        <f>AND(Sheet1!E3315,"AAAAAHdt//s=")</f>
        <v>#VALUE!</v>
      </c>
      <c r="IS246" t="e">
        <f>AND(Sheet1!F3315,"AAAAAHdt//w=")</f>
        <v>#VALUE!</v>
      </c>
      <c r="IT246" t="e">
        <f>AND(Sheet1!G3315,"AAAAAHdt//0=")</f>
        <v>#VALUE!</v>
      </c>
      <c r="IU246" t="e">
        <f>AND(Sheet1!H3315,"AAAAAHdt//4=")</f>
        <v>#VALUE!</v>
      </c>
      <c r="IV246" t="e">
        <f>AND(Sheet1!I3315,"AAAAAHdt//8=")</f>
        <v>#VALUE!</v>
      </c>
    </row>
    <row r="247" spans="1:256" x14ac:dyDescent="0.2">
      <c r="A247" t="e">
        <f>AND(Sheet1!J3315,"AAAAAHftPwA=")</f>
        <v>#VALUE!</v>
      </c>
      <c r="B247" t="e">
        <f>AND(Sheet1!K3315,"AAAAAHftPwE=")</f>
        <v>#VALUE!</v>
      </c>
      <c r="C247" t="e">
        <f>AND(Sheet1!L3315,"AAAAAHftPwI=")</f>
        <v>#VALUE!</v>
      </c>
      <c r="D247" t="e">
        <f>AND(Sheet1!M3315,"AAAAAHftPwM=")</f>
        <v>#VALUE!</v>
      </c>
      <c r="E247" t="e">
        <f>AND(Sheet1!N3315,"AAAAAHftPwQ=")</f>
        <v>#VALUE!</v>
      </c>
      <c r="F247" t="e">
        <f>AND(Sheet1!#REF!,"AAAAAHftPwU=")</f>
        <v>#REF!</v>
      </c>
      <c r="G247" t="e">
        <f>AND(Sheet1!#REF!,"AAAAAHftPwY=")</f>
        <v>#REF!</v>
      </c>
      <c r="H247" t="e">
        <f>AND(Sheet1!#REF!,"AAAAAHftPwc=")</f>
        <v>#REF!</v>
      </c>
      <c r="I247" t="e">
        <f>AND(Sheet1!#REF!,"AAAAAHftPwg=")</f>
        <v>#REF!</v>
      </c>
      <c r="J247" t="e">
        <f>IF(Sheet1!3316:3316,"AAAAAHftPwk=",0)</f>
        <v>#VALUE!</v>
      </c>
      <c r="K247" t="e">
        <f>AND(Sheet1!A3316,"AAAAAHftPwo=")</f>
        <v>#VALUE!</v>
      </c>
      <c r="L247" t="e">
        <f>AND(Sheet1!B3316,"AAAAAHftPws=")</f>
        <v>#VALUE!</v>
      </c>
      <c r="M247" t="e">
        <f>AND(Sheet1!C3316,"AAAAAHftPww=")</f>
        <v>#VALUE!</v>
      </c>
      <c r="N247" t="e">
        <f>AND(Sheet1!D3316,"AAAAAHftPw0=")</f>
        <v>#VALUE!</v>
      </c>
      <c r="O247" t="e">
        <f>AND(Sheet1!E3316,"AAAAAHftPw4=")</f>
        <v>#VALUE!</v>
      </c>
      <c r="P247" t="e">
        <f>AND(Sheet1!F3316,"AAAAAHftPw8=")</f>
        <v>#VALUE!</v>
      </c>
      <c r="Q247" t="e">
        <f>AND(Sheet1!G3316,"AAAAAHftPxA=")</f>
        <v>#VALUE!</v>
      </c>
      <c r="R247" t="e">
        <f>AND(Sheet1!H3316,"AAAAAHftPxE=")</f>
        <v>#VALUE!</v>
      </c>
      <c r="S247" t="e">
        <f>AND(Sheet1!I3316,"AAAAAHftPxI=")</f>
        <v>#VALUE!</v>
      </c>
      <c r="T247" t="e">
        <f>AND(Sheet1!J3316,"AAAAAHftPxM=")</f>
        <v>#VALUE!</v>
      </c>
      <c r="U247" t="e">
        <f>AND(Sheet1!K3316,"AAAAAHftPxQ=")</f>
        <v>#VALUE!</v>
      </c>
      <c r="V247" t="e">
        <f>AND(Sheet1!L3316,"AAAAAHftPxU=")</f>
        <v>#VALUE!</v>
      </c>
      <c r="W247" t="e">
        <f>AND(Sheet1!M3316,"AAAAAHftPxY=")</f>
        <v>#VALUE!</v>
      </c>
      <c r="X247" t="e">
        <f>AND(Sheet1!N3316,"AAAAAHftPxc=")</f>
        <v>#VALUE!</v>
      </c>
      <c r="Y247" t="e">
        <f>AND(Sheet1!#REF!,"AAAAAHftPxg=")</f>
        <v>#REF!</v>
      </c>
      <c r="Z247" t="e">
        <f>AND(Sheet1!#REF!,"AAAAAHftPxk=")</f>
        <v>#REF!</v>
      </c>
      <c r="AA247" t="e">
        <f>AND(Sheet1!#REF!,"AAAAAHftPxo=")</f>
        <v>#REF!</v>
      </c>
      <c r="AB247" t="e">
        <f>AND(Sheet1!#REF!,"AAAAAHftPxs=")</f>
        <v>#REF!</v>
      </c>
      <c r="AC247">
        <f>IF(Sheet1!3317:3317,"AAAAAHftPxw=",0)</f>
        <v>0</v>
      </c>
      <c r="AD247" t="e">
        <f>AND(Sheet1!A3317,"AAAAAHftPx0=")</f>
        <v>#VALUE!</v>
      </c>
      <c r="AE247" t="e">
        <f>AND(Sheet1!B3317,"AAAAAHftPx4=")</f>
        <v>#VALUE!</v>
      </c>
      <c r="AF247" t="e">
        <f>AND(Sheet1!C3317,"AAAAAHftPx8=")</f>
        <v>#VALUE!</v>
      </c>
      <c r="AG247" t="e">
        <f>AND(Sheet1!D3317,"AAAAAHftPyA=")</f>
        <v>#VALUE!</v>
      </c>
      <c r="AH247" t="e">
        <f>AND(Sheet1!E3317,"AAAAAHftPyE=")</f>
        <v>#VALUE!</v>
      </c>
      <c r="AI247" t="e">
        <f>AND(Sheet1!F3317,"AAAAAHftPyI=")</f>
        <v>#VALUE!</v>
      </c>
      <c r="AJ247" t="e">
        <f>AND(Sheet1!G3317,"AAAAAHftPyM=")</f>
        <v>#VALUE!</v>
      </c>
      <c r="AK247" t="e">
        <f>AND(Sheet1!H3317,"AAAAAHftPyQ=")</f>
        <v>#VALUE!</v>
      </c>
      <c r="AL247" t="e">
        <f>AND(Sheet1!I3317,"AAAAAHftPyU=")</f>
        <v>#VALUE!</v>
      </c>
      <c r="AM247" t="e">
        <f>AND(Sheet1!J3317,"AAAAAHftPyY=")</f>
        <v>#VALUE!</v>
      </c>
      <c r="AN247" t="e">
        <f>AND(Sheet1!K3317,"AAAAAHftPyc=")</f>
        <v>#VALUE!</v>
      </c>
      <c r="AO247" t="e">
        <f>AND(Sheet1!L3317,"AAAAAHftPyg=")</f>
        <v>#VALUE!</v>
      </c>
      <c r="AP247" t="e">
        <f>AND(Sheet1!M3317,"AAAAAHftPyk=")</f>
        <v>#VALUE!</v>
      </c>
      <c r="AQ247" t="e">
        <f>AND(Sheet1!N3317,"AAAAAHftPyo=")</f>
        <v>#VALUE!</v>
      </c>
      <c r="AR247" t="e">
        <f>AND(Sheet1!#REF!,"AAAAAHftPys=")</f>
        <v>#REF!</v>
      </c>
      <c r="AS247" t="e">
        <f>AND(Sheet1!#REF!,"AAAAAHftPyw=")</f>
        <v>#REF!</v>
      </c>
      <c r="AT247" t="e">
        <f>AND(Sheet1!#REF!,"AAAAAHftPy0=")</f>
        <v>#REF!</v>
      </c>
      <c r="AU247" t="e">
        <f>AND(Sheet1!#REF!,"AAAAAHftPy4=")</f>
        <v>#REF!</v>
      </c>
      <c r="AV247">
        <f>IF(Sheet1!3318:3318,"AAAAAHftPy8=",0)</f>
        <v>0</v>
      </c>
      <c r="AW247" t="e">
        <f>AND(Sheet1!A3318,"AAAAAHftPzA=")</f>
        <v>#VALUE!</v>
      </c>
      <c r="AX247" t="e">
        <f>AND(Sheet1!B3318,"AAAAAHftPzE=")</f>
        <v>#VALUE!</v>
      </c>
      <c r="AY247" t="e">
        <f>AND(Sheet1!C3318,"AAAAAHftPzI=")</f>
        <v>#VALUE!</v>
      </c>
      <c r="AZ247" t="e">
        <f>AND(Sheet1!D3318,"AAAAAHftPzM=")</f>
        <v>#VALUE!</v>
      </c>
      <c r="BA247" t="e">
        <f>AND(Sheet1!E3318,"AAAAAHftPzQ=")</f>
        <v>#VALUE!</v>
      </c>
      <c r="BB247" t="e">
        <f>AND(Sheet1!F3318,"AAAAAHftPzU=")</f>
        <v>#VALUE!</v>
      </c>
      <c r="BC247" t="e">
        <f>AND(Sheet1!G3318,"AAAAAHftPzY=")</f>
        <v>#VALUE!</v>
      </c>
      <c r="BD247" t="e">
        <f>AND(Sheet1!H3318,"AAAAAHftPzc=")</f>
        <v>#VALUE!</v>
      </c>
      <c r="BE247" t="e">
        <f>AND(Sheet1!I3318,"AAAAAHftPzg=")</f>
        <v>#VALUE!</v>
      </c>
      <c r="BF247" t="e">
        <f>AND(Sheet1!J3318,"AAAAAHftPzk=")</f>
        <v>#VALUE!</v>
      </c>
      <c r="BG247" t="e">
        <f>AND(Sheet1!K3318,"AAAAAHftPzo=")</f>
        <v>#VALUE!</v>
      </c>
      <c r="BH247" t="e">
        <f>AND(Sheet1!L3318,"AAAAAHftPzs=")</f>
        <v>#VALUE!</v>
      </c>
      <c r="BI247" t="e">
        <f>AND(Sheet1!M3318,"AAAAAHftPzw=")</f>
        <v>#VALUE!</v>
      </c>
      <c r="BJ247" t="e">
        <f>AND(Sheet1!N3318,"AAAAAHftPz0=")</f>
        <v>#VALUE!</v>
      </c>
      <c r="BK247" t="e">
        <f>AND(Sheet1!#REF!,"AAAAAHftPz4=")</f>
        <v>#REF!</v>
      </c>
      <c r="BL247" t="e">
        <f>AND(Sheet1!#REF!,"AAAAAHftPz8=")</f>
        <v>#REF!</v>
      </c>
      <c r="BM247" t="e">
        <f>AND(Sheet1!#REF!,"AAAAAHftP0A=")</f>
        <v>#REF!</v>
      </c>
      <c r="BN247" t="e">
        <f>AND(Sheet1!#REF!,"AAAAAHftP0E=")</f>
        <v>#REF!</v>
      </c>
      <c r="BO247">
        <f>IF(Sheet1!3319:3319,"AAAAAHftP0I=",0)</f>
        <v>0</v>
      </c>
      <c r="BP247" t="e">
        <f>AND(Sheet1!A3319,"AAAAAHftP0M=")</f>
        <v>#VALUE!</v>
      </c>
      <c r="BQ247" t="e">
        <f>AND(Sheet1!B3319,"AAAAAHftP0Q=")</f>
        <v>#VALUE!</v>
      </c>
      <c r="BR247" t="e">
        <f>AND(Sheet1!C3319,"AAAAAHftP0U=")</f>
        <v>#VALUE!</v>
      </c>
      <c r="BS247" t="e">
        <f>AND(Sheet1!D3319,"AAAAAHftP0Y=")</f>
        <v>#VALUE!</v>
      </c>
      <c r="BT247" t="e">
        <f>AND(Sheet1!E3319,"AAAAAHftP0c=")</f>
        <v>#VALUE!</v>
      </c>
      <c r="BU247" t="e">
        <f>AND(Sheet1!F3319,"AAAAAHftP0g=")</f>
        <v>#VALUE!</v>
      </c>
      <c r="BV247" t="e">
        <f>AND(Sheet1!G3319,"AAAAAHftP0k=")</f>
        <v>#VALUE!</v>
      </c>
      <c r="BW247" t="e">
        <f>AND(Sheet1!H3319,"AAAAAHftP0o=")</f>
        <v>#VALUE!</v>
      </c>
      <c r="BX247" t="e">
        <f>AND(Sheet1!I3319,"AAAAAHftP0s=")</f>
        <v>#VALUE!</v>
      </c>
      <c r="BY247" t="e">
        <f>AND(Sheet1!J3319,"AAAAAHftP0w=")</f>
        <v>#VALUE!</v>
      </c>
      <c r="BZ247" t="e">
        <f>AND(Sheet1!K3319,"AAAAAHftP00=")</f>
        <v>#VALUE!</v>
      </c>
      <c r="CA247" t="e">
        <f>AND(Sheet1!L3319,"AAAAAHftP04=")</f>
        <v>#VALUE!</v>
      </c>
      <c r="CB247" t="e">
        <f>AND(Sheet1!M3319,"AAAAAHftP08=")</f>
        <v>#VALUE!</v>
      </c>
      <c r="CC247" t="e">
        <f>AND(Sheet1!N3319,"AAAAAHftP1A=")</f>
        <v>#VALUE!</v>
      </c>
      <c r="CD247" t="e">
        <f>AND(Sheet1!#REF!,"AAAAAHftP1E=")</f>
        <v>#REF!</v>
      </c>
      <c r="CE247" t="e">
        <f>AND(Sheet1!#REF!,"AAAAAHftP1I=")</f>
        <v>#REF!</v>
      </c>
      <c r="CF247" t="e">
        <f>AND(Sheet1!#REF!,"AAAAAHftP1M=")</f>
        <v>#REF!</v>
      </c>
      <c r="CG247" t="e">
        <f>AND(Sheet1!#REF!,"AAAAAHftP1Q=")</f>
        <v>#REF!</v>
      </c>
      <c r="CH247">
        <f>IF(Sheet1!3320:3320,"AAAAAHftP1U=",0)</f>
        <v>0</v>
      </c>
      <c r="CI247" t="e">
        <f>AND(Sheet1!A3320,"AAAAAHftP1Y=")</f>
        <v>#VALUE!</v>
      </c>
      <c r="CJ247" t="e">
        <f>AND(Sheet1!B3320,"AAAAAHftP1c=")</f>
        <v>#VALUE!</v>
      </c>
      <c r="CK247" t="e">
        <f>AND(Sheet1!C3320,"AAAAAHftP1g=")</f>
        <v>#VALUE!</v>
      </c>
      <c r="CL247" t="e">
        <f>AND(Sheet1!D3320,"AAAAAHftP1k=")</f>
        <v>#VALUE!</v>
      </c>
      <c r="CM247" t="e">
        <f>AND(Sheet1!E3320,"AAAAAHftP1o=")</f>
        <v>#VALUE!</v>
      </c>
      <c r="CN247" t="e">
        <f>AND(Sheet1!F3320,"AAAAAHftP1s=")</f>
        <v>#VALUE!</v>
      </c>
      <c r="CO247" t="e">
        <f>AND(Sheet1!G3320,"AAAAAHftP1w=")</f>
        <v>#VALUE!</v>
      </c>
      <c r="CP247" t="e">
        <f>AND(Sheet1!H3320,"AAAAAHftP10=")</f>
        <v>#VALUE!</v>
      </c>
      <c r="CQ247" t="e">
        <f>AND(Sheet1!I3320,"AAAAAHftP14=")</f>
        <v>#VALUE!</v>
      </c>
      <c r="CR247" t="e">
        <f>AND(Sheet1!J3320,"AAAAAHftP18=")</f>
        <v>#VALUE!</v>
      </c>
      <c r="CS247" t="e">
        <f>AND(Sheet1!K3320,"AAAAAHftP2A=")</f>
        <v>#VALUE!</v>
      </c>
      <c r="CT247" t="e">
        <f>AND(Sheet1!L3320,"AAAAAHftP2E=")</f>
        <v>#VALUE!</v>
      </c>
      <c r="CU247" t="e">
        <f>AND(Sheet1!M3320,"AAAAAHftP2I=")</f>
        <v>#VALUE!</v>
      </c>
      <c r="CV247" t="e">
        <f>AND(Sheet1!N3320,"AAAAAHftP2M=")</f>
        <v>#VALUE!</v>
      </c>
      <c r="CW247" t="e">
        <f>AND(Sheet1!#REF!,"AAAAAHftP2Q=")</f>
        <v>#REF!</v>
      </c>
      <c r="CX247" t="e">
        <f>AND(Sheet1!#REF!,"AAAAAHftP2U=")</f>
        <v>#REF!</v>
      </c>
      <c r="CY247" t="e">
        <f>AND(Sheet1!#REF!,"AAAAAHftP2Y=")</f>
        <v>#REF!</v>
      </c>
      <c r="CZ247" t="e">
        <f>AND(Sheet1!#REF!,"AAAAAHftP2c=")</f>
        <v>#REF!</v>
      </c>
      <c r="DA247">
        <f>IF(Sheet1!3321:3321,"AAAAAHftP2g=",0)</f>
        <v>0</v>
      </c>
      <c r="DB247" t="e">
        <f>AND(Sheet1!A3321,"AAAAAHftP2k=")</f>
        <v>#VALUE!</v>
      </c>
      <c r="DC247" t="e">
        <f>AND(Sheet1!B3321,"AAAAAHftP2o=")</f>
        <v>#VALUE!</v>
      </c>
      <c r="DD247" t="e">
        <f>AND(Sheet1!C3321,"AAAAAHftP2s=")</f>
        <v>#VALUE!</v>
      </c>
      <c r="DE247" t="e">
        <f>AND(Sheet1!D3321,"AAAAAHftP2w=")</f>
        <v>#VALUE!</v>
      </c>
      <c r="DF247" t="e">
        <f>AND(Sheet1!E3321,"AAAAAHftP20=")</f>
        <v>#VALUE!</v>
      </c>
      <c r="DG247" t="e">
        <f>AND(Sheet1!F3321,"AAAAAHftP24=")</f>
        <v>#VALUE!</v>
      </c>
      <c r="DH247" t="e">
        <f>AND(Sheet1!G3321,"AAAAAHftP28=")</f>
        <v>#VALUE!</v>
      </c>
      <c r="DI247" t="e">
        <f>AND(Sheet1!H3321,"AAAAAHftP3A=")</f>
        <v>#VALUE!</v>
      </c>
      <c r="DJ247" t="e">
        <f>AND(Sheet1!I3321,"AAAAAHftP3E=")</f>
        <v>#VALUE!</v>
      </c>
      <c r="DK247" t="e">
        <f>AND(Sheet1!J3321,"AAAAAHftP3I=")</f>
        <v>#VALUE!</v>
      </c>
      <c r="DL247" t="e">
        <f>AND(Sheet1!K3321,"AAAAAHftP3M=")</f>
        <v>#VALUE!</v>
      </c>
      <c r="DM247" t="e">
        <f>AND(Sheet1!L3321,"AAAAAHftP3Q=")</f>
        <v>#VALUE!</v>
      </c>
      <c r="DN247" t="e">
        <f>AND(Sheet1!M3321,"AAAAAHftP3U=")</f>
        <v>#VALUE!</v>
      </c>
      <c r="DO247" t="e">
        <f>AND(Sheet1!N3321,"AAAAAHftP3Y=")</f>
        <v>#VALUE!</v>
      </c>
      <c r="DP247" t="e">
        <f>AND(Sheet1!#REF!,"AAAAAHftP3c=")</f>
        <v>#REF!</v>
      </c>
      <c r="DQ247" t="e">
        <f>AND(Sheet1!#REF!,"AAAAAHftP3g=")</f>
        <v>#REF!</v>
      </c>
      <c r="DR247" t="e">
        <f>AND(Sheet1!#REF!,"AAAAAHftP3k=")</f>
        <v>#REF!</v>
      </c>
      <c r="DS247" t="e">
        <f>AND(Sheet1!#REF!,"AAAAAHftP3o=")</f>
        <v>#REF!</v>
      </c>
      <c r="DT247">
        <f>IF(Sheet1!3322:3322,"AAAAAHftP3s=",0)</f>
        <v>0</v>
      </c>
      <c r="DU247" t="e">
        <f>AND(Sheet1!A3322,"AAAAAHftP3w=")</f>
        <v>#VALUE!</v>
      </c>
      <c r="DV247" t="e">
        <f>AND(Sheet1!B3322,"AAAAAHftP30=")</f>
        <v>#VALUE!</v>
      </c>
      <c r="DW247" t="e">
        <f>AND(Sheet1!C3322,"AAAAAHftP34=")</f>
        <v>#VALUE!</v>
      </c>
      <c r="DX247" t="e">
        <f>AND(Sheet1!D3322,"AAAAAHftP38=")</f>
        <v>#VALUE!</v>
      </c>
      <c r="DY247" t="e">
        <f>AND(Sheet1!E3322,"AAAAAHftP4A=")</f>
        <v>#VALUE!</v>
      </c>
      <c r="DZ247" t="e">
        <f>AND(Sheet1!F3322,"AAAAAHftP4E=")</f>
        <v>#VALUE!</v>
      </c>
      <c r="EA247" t="e">
        <f>AND(Sheet1!G3322,"AAAAAHftP4I=")</f>
        <v>#VALUE!</v>
      </c>
      <c r="EB247" t="e">
        <f>AND(Sheet1!H3322,"AAAAAHftP4M=")</f>
        <v>#VALUE!</v>
      </c>
      <c r="EC247" t="e">
        <f>AND(Sheet1!I3322,"AAAAAHftP4Q=")</f>
        <v>#VALUE!</v>
      </c>
      <c r="ED247" t="e">
        <f>AND(Sheet1!J3322,"AAAAAHftP4U=")</f>
        <v>#VALUE!</v>
      </c>
      <c r="EE247" t="e">
        <f>AND(Sheet1!K3322,"AAAAAHftP4Y=")</f>
        <v>#VALUE!</v>
      </c>
      <c r="EF247" t="e">
        <f>AND(Sheet1!L3322,"AAAAAHftP4c=")</f>
        <v>#VALUE!</v>
      </c>
      <c r="EG247" t="e">
        <f>AND(Sheet1!M3322,"AAAAAHftP4g=")</f>
        <v>#VALUE!</v>
      </c>
      <c r="EH247" t="e">
        <f>AND(Sheet1!N3322,"AAAAAHftP4k=")</f>
        <v>#VALUE!</v>
      </c>
      <c r="EI247" t="e">
        <f>AND(Sheet1!#REF!,"AAAAAHftP4o=")</f>
        <v>#REF!</v>
      </c>
      <c r="EJ247" t="e">
        <f>AND(Sheet1!#REF!,"AAAAAHftP4s=")</f>
        <v>#REF!</v>
      </c>
      <c r="EK247" t="e">
        <f>AND(Sheet1!#REF!,"AAAAAHftP4w=")</f>
        <v>#REF!</v>
      </c>
      <c r="EL247" t="e">
        <f>AND(Sheet1!#REF!,"AAAAAHftP40=")</f>
        <v>#REF!</v>
      </c>
      <c r="EM247">
        <f>IF(Sheet1!3323:3323,"AAAAAHftP44=",0)</f>
        <v>0</v>
      </c>
      <c r="EN247" t="e">
        <f>AND(Sheet1!A3323,"AAAAAHftP48=")</f>
        <v>#VALUE!</v>
      </c>
      <c r="EO247" t="e">
        <f>AND(Sheet1!B3323,"AAAAAHftP5A=")</f>
        <v>#VALUE!</v>
      </c>
      <c r="EP247" t="e">
        <f>AND(Sheet1!C3323,"AAAAAHftP5E=")</f>
        <v>#VALUE!</v>
      </c>
      <c r="EQ247" t="e">
        <f>AND(Sheet1!D3323,"AAAAAHftP5I=")</f>
        <v>#VALUE!</v>
      </c>
      <c r="ER247" t="e">
        <f>AND(Sheet1!E3323,"AAAAAHftP5M=")</f>
        <v>#VALUE!</v>
      </c>
      <c r="ES247" t="e">
        <f>AND(Sheet1!F3323,"AAAAAHftP5Q=")</f>
        <v>#VALUE!</v>
      </c>
      <c r="ET247" t="e">
        <f>AND(Sheet1!G3323,"AAAAAHftP5U=")</f>
        <v>#VALUE!</v>
      </c>
      <c r="EU247" t="e">
        <f>AND(Sheet1!H3323,"AAAAAHftP5Y=")</f>
        <v>#VALUE!</v>
      </c>
      <c r="EV247" t="e">
        <f>AND(Sheet1!I3323,"AAAAAHftP5c=")</f>
        <v>#VALUE!</v>
      </c>
      <c r="EW247" t="e">
        <f>AND(Sheet1!J3323,"AAAAAHftP5g=")</f>
        <v>#VALUE!</v>
      </c>
      <c r="EX247" t="e">
        <f>AND(Sheet1!K3323,"AAAAAHftP5k=")</f>
        <v>#VALUE!</v>
      </c>
      <c r="EY247" t="e">
        <f>AND(Sheet1!L3323,"AAAAAHftP5o=")</f>
        <v>#VALUE!</v>
      </c>
      <c r="EZ247" t="e">
        <f>AND(Sheet1!M3323,"AAAAAHftP5s=")</f>
        <v>#VALUE!</v>
      </c>
      <c r="FA247" t="e">
        <f>AND(Sheet1!N3323,"AAAAAHftP5w=")</f>
        <v>#VALUE!</v>
      </c>
      <c r="FB247" t="e">
        <f>AND(Sheet1!#REF!,"AAAAAHftP50=")</f>
        <v>#REF!</v>
      </c>
      <c r="FC247" t="e">
        <f>AND(Sheet1!#REF!,"AAAAAHftP54=")</f>
        <v>#REF!</v>
      </c>
      <c r="FD247" t="e">
        <f>AND(Sheet1!#REF!,"AAAAAHftP58=")</f>
        <v>#REF!</v>
      </c>
      <c r="FE247" t="e">
        <f>AND(Sheet1!#REF!,"AAAAAHftP6A=")</f>
        <v>#REF!</v>
      </c>
      <c r="FF247">
        <f>IF(Sheet1!3324:3324,"AAAAAHftP6E=",0)</f>
        <v>0</v>
      </c>
      <c r="FG247" t="e">
        <f>AND(Sheet1!A3324,"AAAAAHftP6I=")</f>
        <v>#VALUE!</v>
      </c>
      <c r="FH247" t="e">
        <f>AND(Sheet1!B3324,"AAAAAHftP6M=")</f>
        <v>#VALUE!</v>
      </c>
      <c r="FI247" t="e">
        <f>AND(Sheet1!C3324,"AAAAAHftP6Q=")</f>
        <v>#VALUE!</v>
      </c>
      <c r="FJ247" t="e">
        <f>AND(Sheet1!D3324,"AAAAAHftP6U=")</f>
        <v>#VALUE!</v>
      </c>
      <c r="FK247" t="e">
        <f>AND(Sheet1!E3324,"AAAAAHftP6Y=")</f>
        <v>#VALUE!</v>
      </c>
      <c r="FL247" t="e">
        <f>AND(Sheet1!F3324,"AAAAAHftP6c=")</f>
        <v>#VALUE!</v>
      </c>
      <c r="FM247" t="e">
        <f>AND(Sheet1!G3324,"AAAAAHftP6g=")</f>
        <v>#VALUE!</v>
      </c>
      <c r="FN247" t="e">
        <f>AND(Sheet1!H3324,"AAAAAHftP6k=")</f>
        <v>#VALUE!</v>
      </c>
      <c r="FO247" t="e">
        <f>AND(Sheet1!I3324,"AAAAAHftP6o=")</f>
        <v>#VALUE!</v>
      </c>
      <c r="FP247" t="e">
        <f>AND(Sheet1!J3324,"AAAAAHftP6s=")</f>
        <v>#VALUE!</v>
      </c>
      <c r="FQ247" t="e">
        <f>AND(Sheet1!K3324,"AAAAAHftP6w=")</f>
        <v>#VALUE!</v>
      </c>
      <c r="FR247" t="e">
        <f>AND(Sheet1!L3324,"AAAAAHftP60=")</f>
        <v>#VALUE!</v>
      </c>
      <c r="FS247" t="e">
        <f>AND(Sheet1!M3324,"AAAAAHftP64=")</f>
        <v>#VALUE!</v>
      </c>
      <c r="FT247" t="e">
        <f>AND(Sheet1!N3324,"AAAAAHftP68=")</f>
        <v>#VALUE!</v>
      </c>
      <c r="FU247" t="e">
        <f>AND(Sheet1!#REF!,"AAAAAHftP7A=")</f>
        <v>#REF!</v>
      </c>
      <c r="FV247" t="e">
        <f>AND(Sheet1!#REF!,"AAAAAHftP7E=")</f>
        <v>#REF!</v>
      </c>
      <c r="FW247" t="e">
        <f>AND(Sheet1!#REF!,"AAAAAHftP7I=")</f>
        <v>#REF!</v>
      </c>
      <c r="FX247" t="e">
        <f>AND(Sheet1!#REF!,"AAAAAHftP7M=")</f>
        <v>#REF!</v>
      </c>
      <c r="FY247">
        <f>IF(Sheet1!3325:3325,"AAAAAHftP7Q=",0)</f>
        <v>0</v>
      </c>
      <c r="FZ247" t="e">
        <f>AND(Sheet1!A3325,"AAAAAHftP7U=")</f>
        <v>#VALUE!</v>
      </c>
      <c r="GA247" t="e">
        <f>AND(Sheet1!B3325,"AAAAAHftP7Y=")</f>
        <v>#VALUE!</v>
      </c>
      <c r="GB247" t="e">
        <f>AND(Sheet1!C3325,"AAAAAHftP7c=")</f>
        <v>#VALUE!</v>
      </c>
      <c r="GC247" t="e">
        <f>AND(Sheet1!D3325,"AAAAAHftP7g=")</f>
        <v>#VALUE!</v>
      </c>
      <c r="GD247" t="e">
        <f>AND(Sheet1!E3325,"AAAAAHftP7k=")</f>
        <v>#VALUE!</v>
      </c>
      <c r="GE247" t="e">
        <f>AND(Sheet1!F3325,"AAAAAHftP7o=")</f>
        <v>#VALUE!</v>
      </c>
      <c r="GF247" t="e">
        <f>AND(Sheet1!G3325,"AAAAAHftP7s=")</f>
        <v>#VALUE!</v>
      </c>
      <c r="GG247" t="e">
        <f>AND(Sheet1!H3325,"AAAAAHftP7w=")</f>
        <v>#VALUE!</v>
      </c>
      <c r="GH247" t="e">
        <f>AND(Sheet1!I3325,"AAAAAHftP70=")</f>
        <v>#VALUE!</v>
      </c>
      <c r="GI247" t="e">
        <f>AND(Sheet1!J3325,"AAAAAHftP74=")</f>
        <v>#VALUE!</v>
      </c>
      <c r="GJ247" t="e">
        <f>AND(Sheet1!K3325,"AAAAAHftP78=")</f>
        <v>#VALUE!</v>
      </c>
      <c r="GK247" t="e">
        <f>AND(Sheet1!L3325,"AAAAAHftP8A=")</f>
        <v>#VALUE!</v>
      </c>
      <c r="GL247" t="e">
        <f>AND(Sheet1!M3325,"AAAAAHftP8E=")</f>
        <v>#VALUE!</v>
      </c>
      <c r="GM247" t="e">
        <f>AND(Sheet1!N3325,"AAAAAHftP8I=")</f>
        <v>#VALUE!</v>
      </c>
      <c r="GN247" t="e">
        <f>AND(Sheet1!#REF!,"AAAAAHftP8M=")</f>
        <v>#REF!</v>
      </c>
      <c r="GO247" t="e">
        <f>AND(Sheet1!#REF!,"AAAAAHftP8Q=")</f>
        <v>#REF!</v>
      </c>
      <c r="GP247" t="e">
        <f>AND(Sheet1!#REF!,"AAAAAHftP8U=")</f>
        <v>#REF!</v>
      </c>
      <c r="GQ247" t="e">
        <f>AND(Sheet1!#REF!,"AAAAAHftP8Y=")</f>
        <v>#REF!</v>
      </c>
      <c r="GR247">
        <f>IF(Sheet1!3326:3326,"AAAAAHftP8c=",0)</f>
        <v>0</v>
      </c>
      <c r="GS247" t="e">
        <f>AND(Sheet1!A3326,"AAAAAHftP8g=")</f>
        <v>#VALUE!</v>
      </c>
      <c r="GT247" t="e">
        <f>AND(Sheet1!B3326,"AAAAAHftP8k=")</f>
        <v>#VALUE!</v>
      </c>
      <c r="GU247" t="e">
        <f>AND(Sheet1!C3326,"AAAAAHftP8o=")</f>
        <v>#VALUE!</v>
      </c>
      <c r="GV247" t="e">
        <f>AND(Sheet1!D3326,"AAAAAHftP8s=")</f>
        <v>#VALUE!</v>
      </c>
      <c r="GW247" t="e">
        <f>AND(Sheet1!E3326,"AAAAAHftP8w=")</f>
        <v>#VALUE!</v>
      </c>
      <c r="GX247" t="e">
        <f>AND(Sheet1!F3326,"AAAAAHftP80=")</f>
        <v>#VALUE!</v>
      </c>
      <c r="GY247" t="e">
        <f>AND(Sheet1!G3326,"AAAAAHftP84=")</f>
        <v>#VALUE!</v>
      </c>
      <c r="GZ247" t="e">
        <f>AND(Sheet1!H3326,"AAAAAHftP88=")</f>
        <v>#VALUE!</v>
      </c>
      <c r="HA247" t="e">
        <f>AND(Sheet1!I3326,"AAAAAHftP9A=")</f>
        <v>#VALUE!</v>
      </c>
      <c r="HB247" t="e">
        <f>AND(Sheet1!J3326,"AAAAAHftP9E=")</f>
        <v>#VALUE!</v>
      </c>
      <c r="HC247" t="e">
        <f>AND(Sheet1!K3326,"AAAAAHftP9I=")</f>
        <v>#VALUE!</v>
      </c>
      <c r="HD247" t="e">
        <f>AND(Sheet1!L3326,"AAAAAHftP9M=")</f>
        <v>#VALUE!</v>
      </c>
      <c r="HE247" t="e">
        <f>AND(Sheet1!M3326,"AAAAAHftP9Q=")</f>
        <v>#VALUE!</v>
      </c>
      <c r="HF247" t="e">
        <f>AND(Sheet1!N3326,"AAAAAHftP9U=")</f>
        <v>#VALUE!</v>
      </c>
      <c r="HG247" t="e">
        <f>AND(Sheet1!#REF!,"AAAAAHftP9Y=")</f>
        <v>#REF!</v>
      </c>
      <c r="HH247" t="e">
        <f>AND(Sheet1!#REF!,"AAAAAHftP9c=")</f>
        <v>#REF!</v>
      </c>
      <c r="HI247" t="e">
        <f>AND(Sheet1!#REF!,"AAAAAHftP9g=")</f>
        <v>#REF!</v>
      </c>
      <c r="HJ247" t="e">
        <f>AND(Sheet1!#REF!,"AAAAAHftP9k=")</f>
        <v>#REF!</v>
      </c>
      <c r="HK247">
        <f>IF(Sheet1!3327:3327,"AAAAAHftP9o=",0)</f>
        <v>0</v>
      </c>
      <c r="HL247" t="e">
        <f>AND(Sheet1!A3327,"AAAAAHftP9s=")</f>
        <v>#VALUE!</v>
      </c>
      <c r="HM247" t="e">
        <f>AND(Sheet1!B3327,"AAAAAHftP9w=")</f>
        <v>#VALUE!</v>
      </c>
      <c r="HN247" t="e">
        <f>AND(Sheet1!C3327,"AAAAAHftP90=")</f>
        <v>#VALUE!</v>
      </c>
      <c r="HO247" t="e">
        <f>AND(Sheet1!D3327,"AAAAAHftP94=")</f>
        <v>#VALUE!</v>
      </c>
      <c r="HP247" t="e">
        <f>AND(Sheet1!E3327,"AAAAAHftP98=")</f>
        <v>#VALUE!</v>
      </c>
      <c r="HQ247" t="e">
        <f>AND(Sheet1!F3327,"AAAAAHftP+A=")</f>
        <v>#VALUE!</v>
      </c>
      <c r="HR247" t="e">
        <f>AND(Sheet1!G3327,"AAAAAHftP+E=")</f>
        <v>#VALUE!</v>
      </c>
      <c r="HS247" t="e">
        <f>AND(Sheet1!H3327,"AAAAAHftP+I=")</f>
        <v>#VALUE!</v>
      </c>
      <c r="HT247" t="e">
        <f>AND(Sheet1!I3327,"AAAAAHftP+M=")</f>
        <v>#VALUE!</v>
      </c>
      <c r="HU247" t="e">
        <f>AND(Sheet1!J3327,"AAAAAHftP+Q=")</f>
        <v>#VALUE!</v>
      </c>
      <c r="HV247" t="e">
        <f>AND(Sheet1!K3327,"AAAAAHftP+U=")</f>
        <v>#VALUE!</v>
      </c>
      <c r="HW247" t="e">
        <f>AND(Sheet1!L3327,"AAAAAHftP+Y=")</f>
        <v>#VALUE!</v>
      </c>
      <c r="HX247" t="e">
        <f>AND(Sheet1!M3327,"AAAAAHftP+c=")</f>
        <v>#VALUE!</v>
      </c>
      <c r="HY247" t="e">
        <f>AND(Sheet1!N3327,"AAAAAHftP+g=")</f>
        <v>#VALUE!</v>
      </c>
      <c r="HZ247" t="e">
        <f>AND(Sheet1!#REF!,"AAAAAHftP+k=")</f>
        <v>#REF!</v>
      </c>
      <c r="IA247" t="e">
        <f>AND(Sheet1!#REF!,"AAAAAHftP+o=")</f>
        <v>#REF!</v>
      </c>
      <c r="IB247" t="e">
        <f>AND(Sheet1!#REF!,"AAAAAHftP+s=")</f>
        <v>#REF!</v>
      </c>
      <c r="IC247" t="e">
        <f>AND(Sheet1!#REF!,"AAAAAHftP+w=")</f>
        <v>#REF!</v>
      </c>
      <c r="ID247">
        <f>IF(Sheet1!3328:3328,"AAAAAHftP+0=",0)</f>
        <v>0</v>
      </c>
      <c r="IE247" t="e">
        <f>AND(Sheet1!A3328,"AAAAAHftP+4=")</f>
        <v>#VALUE!</v>
      </c>
      <c r="IF247" t="e">
        <f>AND(Sheet1!B3328,"AAAAAHftP+8=")</f>
        <v>#VALUE!</v>
      </c>
      <c r="IG247" t="e">
        <f>AND(Sheet1!C3328,"AAAAAHftP/A=")</f>
        <v>#VALUE!</v>
      </c>
      <c r="IH247" t="e">
        <f>AND(Sheet1!D3328,"AAAAAHftP/E=")</f>
        <v>#VALUE!</v>
      </c>
      <c r="II247" t="e">
        <f>AND(Sheet1!E3328,"AAAAAHftP/I=")</f>
        <v>#VALUE!</v>
      </c>
      <c r="IJ247" t="e">
        <f>AND(Sheet1!F3328,"AAAAAHftP/M=")</f>
        <v>#VALUE!</v>
      </c>
      <c r="IK247" t="e">
        <f>AND(Sheet1!G3328,"AAAAAHftP/Q=")</f>
        <v>#VALUE!</v>
      </c>
      <c r="IL247" t="e">
        <f>AND(Sheet1!H3328,"AAAAAHftP/U=")</f>
        <v>#VALUE!</v>
      </c>
      <c r="IM247" t="e">
        <f>AND(Sheet1!I3328,"AAAAAHftP/Y=")</f>
        <v>#VALUE!</v>
      </c>
      <c r="IN247" t="e">
        <f>AND(Sheet1!J3328,"AAAAAHftP/c=")</f>
        <v>#VALUE!</v>
      </c>
      <c r="IO247" t="e">
        <f>AND(Sheet1!K3328,"AAAAAHftP/g=")</f>
        <v>#VALUE!</v>
      </c>
      <c r="IP247" t="e">
        <f>AND(Sheet1!L3328,"AAAAAHftP/k=")</f>
        <v>#VALUE!</v>
      </c>
      <c r="IQ247" t="e">
        <f>AND(Sheet1!M3328,"AAAAAHftP/o=")</f>
        <v>#VALUE!</v>
      </c>
      <c r="IR247" t="e">
        <f>AND(Sheet1!N3328,"AAAAAHftP/s=")</f>
        <v>#VALUE!</v>
      </c>
      <c r="IS247" t="e">
        <f>AND(Sheet1!#REF!,"AAAAAHftP/w=")</f>
        <v>#REF!</v>
      </c>
      <c r="IT247" t="e">
        <f>AND(Sheet1!#REF!,"AAAAAHftP/0=")</f>
        <v>#REF!</v>
      </c>
      <c r="IU247" t="e">
        <f>AND(Sheet1!#REF!,"AAAAAHftP/4=")</f>
        <v>#REF!</v>
      </c>
      <c r="IV247" t="e">
        <f>AND(Sheet1!#REF!,"AAAAAHftP/8=")</f>
        <v>#REF!</v>
      </c>
    </row>
    <row r="248" spans="1:256" x14ac:dyDescent="0.2">
      <c r="A248" t="e">
        <f>IF(Sheet1!3329:3329,"AAAAAHq9vgA=",0)</f>
        <v>#VALUE!</v>
      </c>
      <c r="B248" t="e">
        <f>AND(Sheet1!A3329,"AAAAAHq9vgE=")</f>
        <v>#VALUE!</v>
      </c>
      <c r="C248" t="e">
        <f>AND(Sheet1!B3329,"AAAAAHq9vgI=")</f>
        <v>#VALUE!</v>
      </c>
      <c r="D248" t="e">
        <f>AND(Sheet1!C3329,"AAAAAHq9vgM=")</f>
        <v>#VALUE!</v>
      </c>
      <c r="E248" t="e">
        <f>AND(Sheet1!D3329,"AAAAAHq9vgQ=")</f>
        <v>#VALUE!</v>
      </c>
      <c r="F248" t="e">
        <f>AND(Sheet1!E3329,"AAAAAHq9vgU=")</f>
        <v>#VALUE!</v>
      </c>
      <c r="G248" t="e">
        <f>AND(Sheet1!F3329,"AAAAAHq9vgY=")</f>
        <v>#VALUE!</v>
      </c>
      <c r="H248" t="e">
        <f>AND(Sheet1!G3329,"AAAAAHq9vgc=")</f>
        <v>#VALUE!</v>
      </c>
      <c r="I248" t="e">
        <f>AND(Sheet1!H3329,"AAAAAHq9vgg=")</f>
        <v>#VALUE!</v>
      </c>
      <c r="J248" t="e">
        <f>AND(Sheet1!I3329,"AAAAAHq9vgk=")</f>
        <v>#VALUE!</v>
      </c>
      <c r="K248" t="e">
        <f>AND(Sheet1!J3329,"AAAAAHq9vgo=")</f>
        <v>#VALUE!</v>
      </c>
      <c r="L248" t="e">
        <f>AND(Sheet1!K3329,"AAAAAHq9vgs=")</f>
        <v>#VALUE!</v>
      </c>
      <c r="M248" t="e">
        <f>AND(Sheet1!L3329,"AAAAAHq9vgw=")</f>
        <v>#VALUE!</v>
      </c>
      <c r="N248" t="e">
        <f>AND(Sheet1!M3329,"AAAAAHq9vg0=")</f>
        <v>#VALUE!</v>
      </c>
      <c r="O248" t="e">
        <f>AND(Sheet1!N3329,"AAAAAHq9vg4=")</f>
        <v>#VALUE!</v>
      </c>
      <c r="P248" t="e">
        <f>AND(Sheet1!#REF!,"AAAAAHq9vg8=")</f>
        <v>#REF!</v>
      </c>
      <c r="Q248" t="e">
        <f>AND(Sheet1!#REF!,"AAAAAHq9vhA=")</f>
        <v>#REF!</v>
      </c>
      <c r="R248" t="e">
        <f>AND(Sheet1!#REF!,"AAAAAHq9vhE=")</f>
        <v>#REF!</v>
      </c>
      <c r="S248" t="e">
        <f>AND(Sheet1!#REF!,"AAAAAHq9vhI=")</f>
        <v>#REF!</v>
      </c>
      <c r="T248">
        <f>IF(Sheet1!3330:3330,"AAAAAHq9vhM=",0)</f>
        <v>0</v>
      </c>
      <c r="U248" t="e">
        <f>AND(Sheet1!A3330,"AAAAAHq9vhQ=")</f>
        <v>#VALUE!</v>
      </c>
      <c r="V248" t="e">
        <f>AND(Sheet1!B3330,"AAAAAHq9vhU=")</f>
        <v>#VALUE!</v>
      </c>
      <c r="W248" t="e">
        <f>AND(Sheet1!C3330,"AAAAAHq9vhY=")</f>
        <v>#VALUE!</v>
      </c>
      <c r="X248" t="e">
        <f>AND(Sheet1!D3330,"AAAAAHq9vhc=")</f>
        <v>#VALUE!</v>
      </c>
      <c r="Y248" t="e">
        <f>AND(Sheet1!E3330,"AAAAAHq9vhg=")</f>
        <v>#VALUE!</v>
      </c>
      <c r="Z248" t="e">
        <f>AND(Sheet1!F3330,"AAAAAHq9vhk=")</f>
        <v>#VALUE!</v>
      </c>
      <c r="AA248" t="e">
        <f>AND(Sheet1!G3330,"AAAAAHq9vho=")</f>
        <v>#VALUE!</v>
      </c>
      <c r="AB248" t="e">
        <f>AND(Sheet1!H3330,"AAAAAHq9vhs=")</f>
        <v>#VALUE!</v>
      </c>
      <c r="AC248" t="e">
        <f>AND(Sheet1!I3330,"AAAAAHq9vhw=")</f>
        <v>#VALUE!</v>
      </c>
      <c r="AD248" t="e">
        <f>AND(Sheet1!J3330,"AAAAAHq9vh0=")</f>
        <v>#VALUE!</v>
      </c>
      <c r="AE248" t="e">
        <f>AND(Sheet1!K3330,"AAAAAHq9vh4=")</f>
        <v>#VALUE!</v>
      </c>
      <c r="AF248" t="e">
        <f>AND(Sheet1!L3330,"AAAAAHq9vh8=")</f>
        <v>#VALUE!</v>
      </c>
      <c r="AG248" t="e">
        <f>AND(Sheet1!M3330,"AAAAAHq9viA=")</f>
        <v>#VALUE!</v>
      </c>
      <c r="AH248" t="e">
        <f>AND(Sheet1!N3330,"AAAAAHq9viE=")</f>
        <v>#VALUE!</v>
      </c>
      <c r="AI248" t="e">
        <f>AND(Sheet1!#REF!,"AAAAAHq9viI=")</f>
        <v>#REF!</v>
      </c>
      <c r="AJ248" t="e">
        <f>AND(Sheet1!#REF!,"AAAAAHq9viM=")</f>
        <v>#REF!</v>
      </c>
      <c r="AK248" t="e">
        <f>AND(Sheet1!#REF!,"AAAAAHq9viQ=")</f>
        <v>#REF!</v>
      </c>
      <c r="AL248" t="e">
        <f>AND(Sheet1!#REF!,"AAAAAHq9viU=")</f>
        <v>#REF!</v>
      </c>
      <c r="AM248">
        <f>IF(Sheet1!3331:3331,"AAAAAHq9viY=",0)</f>
        <v>0</v>
      </c>
      <c r="AN248" t="e">
        <f>AND(Sheet1!A3331,"AAAAAHq9vic=")</f>
        <v>#VALUE!</v>
      </c>
      <c r="AO248" t="e">
        <f>AND(Sheet1!B3331,"AAAAAHq9vig=")</f>
        <v>#VALUE!</v>
      </c>
      <c r="AP248" t="e">
        <f>AND(Sheet1!C3331,"AAAAAHq9vik=")</f>
        <v>#VALUE!</v>
      </c>
      <c r="AQ248" t="e">
        <f>AND(Sheet1!D3331,"AAAAAHq9vio=")</f>
        <v>#VALUE!</v>
      </c>
      <c r="AR248" t="e">
        <f>AND(Sheet1!E3331,"AAAAAHq9vis=")</f>
        <v>#VALUE!</v>
      </c>
      <c r="AS248" t="e">
        <f>AND(Sheet1!F3331,"AAAAAHq9viw=")</f>
        <v>#VALUE!</v>
      </c>
      <c r="AT248" t="e">
        <f>AND(Sheet1!G3331,"AAAAAHq9vi0=")</f>
        <v>#VALUE!</v>
      </c>
      <c r="AU248" t="e">
        <f>AND(Sheet1!H3331,"AAAAAHq9vi4=")</f>
        <v>#VALUE!</v>
      </c>
      <c r="AV248" t="e">
        <f>AND(Sheet1!I3331,"AAAAAHq9vi8=")</f>
        <v>#VALUE!</v>
      </c>
      <c r="AW248" t="e">
        <f>AND(Sheet1!J3331,"AAAAAHq9vjA=")</f>
        <v>#VALUE!</v>
      </c>
      <c r="AX248" t="e">
        <f>AND(Sheet1!K3331,"AAAAAHq9vjE=")</f>
        <v>#VALUE!</v>
      </c>
      <c r="AY248" t="e">
        <f>AND(Sheet1!L3331,"AAAAAHq9vjI=")</f>
        <v>#VALUE!</v>
      </c>
      <c r="AZ248" t="e">
        <f>AND(Sheet1!M3331,"AAAAAHq9vjM=")</f>
        <v>#VALUE!</v>
      </c>
      <c r="BA248" t="e">
        <f>AND(Sheet1!N3331,"AAAAAHq9vjQ=")</f>
        <v>#VALUE!</v>
      </c>
      <c r="BB248" t="e">
        <f>AND(Sheet1!#REF!,"AAAAAHq9vjU=")</f>
        <v>#REF!</v>
      </c>
      <c r="BC248" t="e">
        <f>AND(Sheet1!#REF!,"AAAAAHq9vjY=")</f>
        <v>#REF!</v>
      </c>
      <c r="BD248" t="e">
        <f>AND(Sheet1!#REF!,"AAAAAHq9vjc=")</f>
        <v>#REF!</v>
      </c>
      <c r="BE248" t="e">
        <f>AND(Sheet1!#REF!,"AAAAAHq9vjg=")</f>
        <v>#REF!</v>
      </c>
      <c r="BF248">
        <f>IF(Sheet1!3332:3332,"AAAAAHq9vjk=",0)</f>
        <v>0</v>
      </c>
      <c r="BG248" t="e">
        <f>AND(Sheet1!A3332,"AAAAAHq9vjo=")</f>
        <v>#VALUE!</v>
      </c>
      <c r="BH248" t="e">
        <f>AND(Sheet1!B3332,"AAAAAHq9vjs=")</f>
        <v>#VALUE!</v>
      </c>
      <c r="BI248" t="e">
        <f>AND(Sheet1!C3332,"AAAAAHq9vjw=")</f>
        <v>#VALUE!</v>
      </c>
      <c r="BJ248" t="e">
        <f>AND(Sheet1!D3332,"AAAAAHq9vj0=")</f>
        <v>#VALUE!</v>
      </c>
      <c r="BK248" t="e">
        <f>AND(Sheet1!E3332,"AAAAAHq9vj4=")</f>
        <v>#VALUE!</v>
      </c>
      <c r="BL248" t="e">
        <f>AND(Sheet1!F3332,"AAAAAHq9vj8=")</f>
        <v>#VALUE!</v>
      </c>
      <c r="BM248" t="e">
        <f>AND(Sheet1!G3332,"AAAAAHq9vkA=")</f>
        <v>#VALUE!</v>
      </c>
      <c r="BN248" t="e">
        <f>AND(Sheet1!H3332,"AAAAAHq9vkE=")</f>
        <v>#VALUE!</v>
      </c>
      <c r="BO248" t="e">
        <f>AND(Sheet1!I3332,"AAAAAHq9vkI=")</f>
        <v>#VALUE!</v>
      </c>
      <c r="BP248" t="e">
        <f>AND(Sheet1!J3332,"AAAAAHq9vkM=")</f>
        <v>#VALUE!</v>
      </c>
      <c r="BQ248" t="e">
        <f>AND(Sheet1!K3332,"AAAAAHq9vkQ=")</f>
        <v>#VALUE!</v>
      </c>
      <c r="BR248" t="e">
        <f>AND(Sheet1!L3332,"AAAAAHq9vkU=")</f>
        <v>#VALUE!</v>
      </c>
      <c r="BS248" t="e">
        <f>AND(Sheet1!M3332,"AAAAAHq9vkY=")</f>
        <v>#VALUE!</v>
      </c>
      <c r="BT248" t="e">
        <f>AND(Sheet1!N3332,"AAAAAHq9vkc=")</f>
        <v>#VALUE!</v>
      </c>
      <c r="BU248" t="e">
        <f>AND(Sheet1!#REF!,"AAAAAHq9vkg=")</f>
        <v>#REF!</v>
      </c>
      <c r="BV248" t="e">
        <f>AND(Sheet1!#REF!,"AAAAAHq9vkk=")</f>
        <v>#REF!</v>
      </c>
      <c r="BW248" t="e">
        <f>AND(Sheet1!#REF!,"AAAAAHq9vko=")</f>
        <v>#REF!</v>
      </c>
      <c r="BX248" t="e">
        <f>AND(Sheet1!#REF!,"AAAAAHq9vks=")</f>
        <v>#REF!</v>
      </c>
      <c r="BY248">
        <f>IF(Sheet1!3333:3333,"AAAAAHq9vkw=",0)</f>
        <v>0</v>
      </c>
      <c r="BZ248" t="e">
        <f>AND(Sheet1!A3333,"AAAAAHq9vk0=")</f>
        <v>#VALUE!</v>
      </c>
      <c r="CA248" t="e">
        <f>AND(Sheet1!B3333,"AAAAAHq9vk4=")</f>
        <v>#VALUE!</v>
      </c>
      <c r="CB248" t="e">
        <f>AND(Sheet1!C3333,"AAAAAHq9vk8=")</f>
        <v>#VALUE!</v>
      </c>
      <c r="CC248" t="e">
        <f>AND(Sheet1!D3333,"AAAAAHq9vlA=")</f>
        <v>#VALUE!</v>
      </c>
      <c r="CD248" t="e">
        <f>AND(Sheet1!E3333,"AAAAAHq9vlE=")</f>
        <v>#VALUE!</v>
      </c>
      <c r="CE248" t="e">
        <f>AND(Sheet1!F3333,"AAAAAHq9vlI=")</f>
        <v>#VALUE!</v>
      </c>
      <c r="CF248" t="e">
        <f>AND(Sheet1!G3333,"AAAAAHq9vlM=")</f>
        <v>#VALUE!</v>
      </c>
      <c r="CG248" t="e">
        <f>AND(Sheet1!H3333,"AAAAAHq9vlQ=")</f>
        <v>#VALUE!</v>
      </c>
      <c r="CH248" t="e">
        <f>AND(Sheet1!I3333,"AAAAAHq9vlU=")</f>
        <v>#VALUE!</v>
      </c>
      <c r="CI248" t="e">
        <f>AND(Sheet1!J3333,"AAAAAHq9vlY=")</f>
        <v>#VALUE!</v>
      </c>
      <c r="CJ248" t="e">
        <f>AND(Sheet1!K3333,"AAAAAHq9vlc=")</f>
        <v>#VALUE!</v>
      </c>
      <c r="CK248" t="e">
        <f>AND(Sheet1!L3333,"AAAAAHq9vlg=")</f>
        <v>#VALUE!</v>
      </c>
      <c r="CL248" t="e">
        <f>AND(Sheet1!M3333,"AAAAAHq9vlk=")</f>
        <v>#VALUE!</v>
      </c>
      <c r="CM248" t="e">
        <f>AND(Sheet1!N3333,"AAAAAHq9vlo=")</f>
        <v>#VALUE!</v>
      </c>
      <c r="CN248" t="e">
        <f>AND(Sheet1!#REF!,"AAAAAHq9vls=")</f>
        <v>#REF!</v>
      </c>
      <c r="CO248" t="e">
        <f>AND(Sheet1!#REF!,"AAAAAHq9vlw=")</f>
        <v>#REF!</v>
      </c>
      <c r="CP248" t="e">
        <f>AND(Sheet1!#REF!,"AAAAAHq9vl0=")</f>
        <v>#REF!</v>
      </c>
      <c r="CQ248" t="e">
        <f>AND(Sheet1!#REF!,"AAAAAHq9vl4=")</f>
        <v>#REF!</v>
      </c>
      <c r="CR248">
        <f>IF(Sheet1!3334:3334,"AAAAAHq9vl8=",0)</f>
        <v>0</v>
      </c>
      <c r="CS248" t="e">
        <f>AND(Sheet1!A3334,"AAAAAHq9vmA=")</f>
        <v>#VALUE!</v>
      </c>
      <c r="CT248" t="e">
        <f>AND(Sheet1!B3334,"AAAAAHq9vmE=")</f>
        <v>#VALUE!</v>
      </c>
      <c r="CU248" t="e">
        <f>AND(Sheet1!C3334,"AAAAAHq9vmI=")</f>
        <v>#VALUE!</v>
      </c>
      <c r="CV248" t="e">
        <f>AND(Sheet1!D3334,"AAAAAHq9vmM=")</f>
        <v>#VALUE!</v>
      </c>
      <c r="CW248" t="e">
        <f>AND(Sheet1!E3334,"AAAAAHq9vmQ=")</f>
        <v>#VALUE!</v>
      </c>
      <c r="CX248" t="e">
        <f>AND(Sheet1!F3334,"AAAAAHq9vmU=")</f>
        <v>#VALUE!</v>
      </c>
      <c r="CY248" t="e">
        <f>AND(Sheet1!G3334,"AAAAAHq9vmY=")</f>
        <v>#VALUE!</v>
      </c>
      <c r="CZ248" t="e">
        <f>AND(Sheet1!H3334,"AAAAAHq9vmc=")</f>
        <v>#VALUE!</v>
      </c>
      <c r="DA248" t="e">
        <f>AND(Sheet1!I3334,"AAAAAHq9vmg=")</f>
        <v>#VALUE!</v>
      </c>
      <c r="DB248" t="e">
        <f>AND(Sheet1!J3334,"AAAAAHq9vmk=")</f>
        <v>#VALUE!</v>
      </c>
      <c r="DC248" t="e">
        <f>AND(Sheet1!K3334,"AAAAAHq9vmo=")</f>
        <v>#VALUE!</v>
      </c>
      <c r="DD248" t="e">
        <f>AND(Sheet1!L3334,"AAAAAHq9vms=")</f>
        <v>#VALUE!</v>
      </c>
      <c r="DE248" t="e">
        <f>AND(Sheet1!M3334,"AAAAAHq9vmw=")</f>
        <v>#VALUE!</v>
      </c>
      <c r="DF248" t="e">
        <f>AND(Sheet1!N3334,"AAAAAHq9vm0=")</f>
        <v>#VALUE!</v>
      </c>
      <c r="DG248" t="e">
        <f>AND(Sheet1!#REF!,"AAAAAHq9vm4=")</f>
        <v>#REF!</v>
      </c>
      <c r="DH248" t="e">
        <f>AND(Sheet1!#REF!,"AAAAAHq9vm8=")</f>
        <v>#REF!</v>
      </c>
      <c r="DI248" t="e">
        <f>AND(Sheet1!#REF!,"AAAAAHq9vnA=")</f>
        <v>#REF!</v>
      </c>
      <c r="DJ248" t="e">
        <f>AND(Sheet1!#REF!,"AAAAAHq9vnE=")</f>
        <v>#REF!</v>
      </c>
      <c r="DK248">
        <f>IF(Sheet1!3335:3335,"AAAAAHq9vnI=",0)</f>
        <v>0</v>
      </c>
      <c r="DL248" t="e">
        <f>AND(Sheet1!A3335,"AAAAAHq9vnM=")</f>
        <v>#VALUE!</v>
      </c>
      <c r="DM248" t="e">
        <f>AND(Sheet1!B3335,"AAAAAHq9vnQ=")</f>
        <v>#VALUE!</v>
      </c>
      <c r="DN248" t="e">
        <f>AND(Sheet1!C3335,"AAAAAHq9vnU=")</f>
        <v>#VALUE!</v>
      </c>
      <c r="DO248" t="e">
        <f>AND(Sheet1!D3335,"AAAAAHq9vnY=")</f>
        <v>#VALUE!</v>
      </c>
      <c r="DP248" t="e">
        <f>AND(Sheet1!E3335,"AAAAAHq9vnc=")</f>
        <v>#VALUE!</v>
      </c>
      <c r="DQ248" t="e">
        <f>AND(Sheet1!F3335,"AAAAAHq9vng=")</f>
        <v>#VALUE!</v>
      </c>
      <c r="DR248" t="e">
        <f>AND(Sheet1!G3335,"AAAAAHq9vnk=")</f>
        <v>#VALUE!</v>
      </c>
      <c r="DS248" t="e">
        <f>AND(Sheet1!H3335,"AAAAAHq9vno=")</f>
        <v>#VALUE!</v>
      </c>
      <c r="DT248" t="e">
        <f>AND(Sheet1!I3335,"AAAAAHq9vns=")</f>
        <v>#VALUE!</v>
      </c>
      <c r="DU248" t="e">
        <f>AND(Sheet1!J3335,"AAAAAHq9vnw=")</f>
        <v>#VALUE!</v>
      </c>
      <c r="DV248" t="e">
        <f>AND(Sheet1!K3335,"AAAAAHq9vn0=")</f>
        <v>#VALUE!</v>
      </c>
      <c r="DW248" t="e">
        <f>AND(Sheet1!L3335,"AAAAAHq9vn4=")</f>
        <v>#VALUE!</v>
      </c>
      <c r="DX248" t="e">
        <f>AND(Sheet1!M3335,"AAAAAHq9vn8=")</f>
        <v>#VALUE!</v>
      </c>
      <c r="DY248" t="e">
        <f>AND(Sheet1!N3335,"AAAAAHq9voA=")</f>
        <v>#VALUE!</v>
      </c>
      <c r="DZ248" t="e">
        <f>AND(Sheet1!#REF!,"AAAAAHq9voE=")</f>
        <v>#REF!</v>
      </c>
      <c r="EA248" t="e">
        <f>AND(Sheet1!#REF!,"AAAAAHq9voI=")</f>
        <v>#REF!</v>
      </c>
      <c r="EB248" t="e">
        <f>AND(Sheet1!#REF!,"AAAAAHq9voM=")</f>
        <v>#REF!</v>
      </c>
      <c r="EC248" t="e">
        <f>AND(Sheet1!#REF!,"AAAAAHq9voQ=")</f>
        <v>#REF!</v>
      </c>
      <c r="ED248">
        <f>IF(Sheet1!3336:3336,"AAAAAHq9voU=",0)</f>
        <v>0</v>
      </c>
      <c r="EE248" t="e">
        <f>AND(Sheet1!A3336,"AAAAAHq9voY=")</f>
        <v>#VALUE!</v>
      </c>
      <c r="EF248" t="e">
        <f>AND(Sheet1!B3336,"AAAAAHq9voc=")</f>
        <v>#VALUE!</v>
      </c>
      <c r="EG248" t="e">
        <f>AND(Sheet1!C3336,"AAAAAHq9vog=")</f>
        <v>#VALUE!</v>
      </c>
      <c r="EH248" t="e">
        <f>AND(Sheet1!D3336,"AAAAAHq9vok=")</f>
        <v>#VALUE!</v>
      </c>
      <c r="EI248" t="e">
        <f>AND(Sheet1!E3336,"AAAAAHq9voo=")</f>
        <v>#VALUE!</v>
      </c>
      <c r="EJ248" t="e">
        <f>AND(Sheet1!F3336,"AAAAAHq9vos=")</f>
        <v>#VALUE!</v>
      </c>
      <c r="EK248" t="e">
        <f>AND(Sheet1!G3336,"AAAAAHq9vow=")</f>
        <v>#VALUE!</v>
      </c>
      <c r="EL248" t="e">
        <f>AND(Sheet1!H3336,"AAAAAHq9vo0=")</f>
        <v>#VALUE!</v>
      </c>
      <c r="EM248" t="e">
        <f>AND(Sheet1!I3336,"AAAAAHq9vo4=")</f>
        <v>#VALUE!</v>
      </c>
      <c r="EN248" t="e">
        <f>AND(Sheet1!J3336,"AAAAAHq9vo8=")</f>
        <v>#VALUE!</v>
      </c>
      <c r="EO248" t="e">
        <f>AND(Sheet1!K3336,"AAAAAHq9vpA=")</f>
        <v>#VALUE!</v>
      </c>
      <c r="EP248" t="e">
        <f>AND(Sheet1!L3336,"AAAAAHq9vpE=")</f>
        <v>#VALUE!</v>
      </c>
      <c r="EQ248" t="e">
        <f>AND(Sheet1!M3336,"AAAAAHq9vpI=")</f>
        <v>#VALUE!</v>
      </c>
      <c r="ER248" t="e">
        <f>AND(Sheet1!N3336,"AAAAAHq9vpM=")</f>
        <v>#VALUE!</v>
      </c>
      <c r="ES248" t="e">
        <f>AND(Sheet1!#REF!,"AAAAAHq9vpQ=")</f>
        <v>#REF!</v>
      </c>
      <c r="ET248" t="e">
        <f>AND(Sheet1!#REF!,"AAAAAHq9vpU=")</f>
        <v>#REF!</v>
      </c>
      <c r="EU248" t="e">
        <f>AND(Sheet1!#REF!,"AAAAAHq9vpY=")</f>
        <v>#REF!</v>
      </c>
      <c r="EV248" t="e">
        <f>AND(Sheet1!#REF!,"AAAAAHq9vpc=")</f>
        <v>#REF!</v>
      </c>
      <c r="EW248">
        <f>IF(Sheet1!3337:3337,"AAAAAHq9vpg=",0)</f>
        <v>0</v>
      </c>
      <c r="EX248" t="e">
        <f>AND(Sheet1!A3337,"AAAAAHq9vpk=")</f>
        <v>#VALUE!</v>
      </c>
      <c r="EY248" t="e">
        <f>AND(Sheet1!B3337,"AAAAAHq9vpo=")</f>
        <v>#VALUE!</v>
      </c>
      <c r="EZ248" t="e">
        <f>AND(Sheet1!C3337,"AAAAAHq9vps=")</f>
        <v>#VALUE!</v>
      </c>
      <c r="FA248" t="e">
        <f>AND(Sheet1!D3337,"AAAAAHq9vpw=")</f>
        <v>#VALUE!</v>
      </c>
      <c r="FB248" t="e">
        <f>AND(Sheet1!E3337,"AAAAAHq9vp0=")</f>
        <v>#VALUE!</v>
      </c>
      <c r="FC248" t="e">
        <f>AND(Sheet1!F3337,"AAAAAHq9vp4=")</f>
        <v>#VALUE!</v>
      </c>
      <c r="FD248" t="e">
        <f>AND(Sheet1!G3337,"AAAAAHq9vp8=")</f>
        <v>#VALUE!</v>
      </c>
      <c r="FE248" t="e">
        <f>AND(Sheet1!H3337,"AAAAAHq9vqA=")</f>
        <v>#VALUE!</v>
      </c>
      <c r="FF248" t="e">
        <f>AND(Sheet1!I3337,"AAAAAHq9vqE=")</f>
        <v>#VALUE!</v>
      </c>
      <c r="FG248" t="e">
        <f>AND(Sheet1!J3337,"AAAAAHq9vqI=")</f>
        <v>#VALUE!</v>
      </c>
      <c r="FH248" t="e">
        <f>AND(Sheet1!K3337,"AAAAAHq9vqM=")</f>
        <v>#VALUE!</v>
      </c>
      <c r="FI248" t="e">
        <f>AND(Sheet1!L3337,"AAAAAHq9vqQ=")</f>
        <v>#VALUE!</v>
      </c>
      <c r="FJ248" t="e">
        <f>AND(Sheet1!M3337,"AAAAAHq9vqU=")</f>
        <v>#VALUE!</v>
      </c>
      <c r="FK248" t="e">
        <f>AND(Sheet1!N3337,"AAAAAHq9vqY=")</f>
        <v>#VALUE!</v>
      </c>
      <c r="FL248" t="e">
        <f>AND(Sheet1!#REF!,"AAAAAHq9vqc=")</f>
        <v>#REF!</v>
      </c>
      <c r="FM248" t="e">
        <f>AND(Sheet1!#REF!,"AAAAAHq9vqg=")</f>
        <v>#REF!</v>
      </c>
      <c r="FN248" t="e">
        <f>AND(Sheet1!#REF!,"AAAAAHq9vqk=")</f>
        <v>#REF!</v>
      </c>
      <c r="FO248" t="e">
        <f>AND(Sheet1!#REF!,"AAAAAHq9vqo=")</f>
        <v>#REF!</v>
      </c>
      <c r="FP248">
        <f>IF(Sheet1!3338:3338,"AAAAAHq9vqs=",0)</f>
        <v>0</v>
      </c>
      <c r="FQ248" t="e">
        <f>AND(Sheet1!A3338,"AAAAAHq9vqw=")</f>
        <v>#VALUE!</v>
      </c>
      <c r="FR248" t="e">
        <f>AND(Sheet1!B3338,"AAAAAHq9vq0=")</f>
        <v>#VALUE!</v>
      </c>
      <c r="FS248" t="e">
        <f>AND(Sheet1!C3338,"AAAAAHq9vq4=")</f>
        <v>#VALUE!</v>
      </c>
      <c r="FT248" t="e">
        <f>AND(Sheet1!D3338,"AAAAAHq9vq8=")</f>
        <v>#VALUE!</v>
      </c>
      <c r="FU248" t="e">
        <f>AND(Sheet1!E3338,"AAAAAHq9vrA=")</f>
        <v>#VALUE!</v>
      </c>
      <c r="FV248" t="e">
        <f>AND(Sheet1!F3338,"AAAAAHq9vrE=")</f>
        <v>#VALUE!</v>
      </c>
      <c r="FW248" t="e">
        <f>AND(Sheet1!G3338,"AAAAAHq9vrI=")</f>
        <v>#VALUE!</v>
      </c>
      <c r="FX248" t="e">
        <f>AND(Sheet1!H3338,"AAAAAHq9vrM=")</f>
        <v>#VALUE!</v>
      </c>
      <c r="FY248" t="e">
        <f>AND(Sheet1!I3338,"AAAAAHq9vrQ=")</f>
        <v>#VALUE!</v>
      </c>
      <c r="FZ248" t="e">
        <f>AND(Sheet1!J3338,"AAAAAHq9vrU=")</f>
        <v>#VALUE!</v>
      </c>
      <c r="GA248" t="e">
        <f>AND(Sheet1!K3338,"AAAAAHq9vrY=")</f>
        <v>#VALUE!</v>
      </c>
      <c r="GB248" t="e">
        <f>AND(Sheet1!L3338,"AAAAAHq9vrc=")</f>
        <v>#VALUE!</v>
      </c>
      <c r="GC248" t="e">
        <f>AND(Sheet1!M3338,"AAAAAHq9vrg=")</f>
        <v>#VALUE!</v>
      </c>
      <c r="GD248" t="e">
        <f>AND(Sheet1!N3338,"AAAAAHq9vrk=")</f>
        <v>#VALUE!</v>
      </c>
      <c r="GE248" t="e">
        <f>AND(Sheet1!#REF!,"AAAAAHq9vro=")</f>
        <v>#REF!</v>
      </c>
      <c r="GF248" t="e">
        <f>AND(Sheet1!#REF!,"AAAAAHq9vrs=")</f>
        <v>#REF!</v>
      </c>
      <c r="GG248" t="e">
        <f>AND(Sheet1!#REF!,"AAAAAHq9vrw=")</f>
        <v>#REF!</v>
      </c>
      <c r="GH248" t="e">
        <f>AND(Sheet1!#REF!,"AAAAAHq9vr0=")</f>
        <v>#REF!</v>
      </c>
      <c r="GI248">
        <f>IF(Sheet1!3339:3339,"AAAAAHq9vr4=",0)</f>
        <v>0</v>
      </c>
      <c r="GJ248" t="e">
        <f>AND(Sheet1!A3339,"AAAAAHq9vr8=")</f>
        <v>#VALUE!</v>
      </c>
      <c r="GK248" t="e">
        <f>AND(Sheet1!B3339,"AAAAAHq9vsA=")</f>
        <v>#VALUE!</v>
      </c>
      <c r="GL248" t="e">
        <f>AND(Sheet1!C3339,"AAAAAHq9vsE=")</f>
        <v>#VALUE!</v>
      </c>
      <c r="GM248" t="e">
        <f>AND(Sheet1!D3339,"AAAAAHq9vsI=")</f>
        <v>#VALUE!</v>
      </c>
      <c r="GN248" t="e">
        <f>AND(Sheet1!E3339,"AAAAAHq9vsM=")</f>
        <v>#VALUE!</v>
      </c>
      <c r="GO248" t="e">
        <f>AND(Sheet1!F3339,"AAAAAHq9vsQ=")</f>
        <v>#VALUE!</v>
      </c>
      <c r="GP248" t="e">
        <f>AND(Sheet1!G3339,"AAAAAHq9vsU=")</f>
        <v>#VALUE!</v>
      </c>
      <c r="GQ248" t="e">
        <f>AND(Sheet1!H3339,"AAAAAHq9vsY=")</f>
        <v>#VALUE!</v>
      </c>
      <c r="GR248" t="e">
        <f>AND(Sheet1!I3339,"AAAAAHq9vsc=")</f>
        <v>#VALUE!</v>
      </c>
      <c r="GS248" t="e">
        <f>AND(Sheet1!J3339,"AAAAAHq9vsg=")</f>
        <v>#VALUE!</v>
      </c>
      <c r="GT248" t="e">
        <f>AND(Sheet1!K3339,"AAAAAHq9vsk=")</f>
        <v>#VALUE!</v>
      </c>
      <c r="GU248" t="e">
        <f>AND(Sheet1!L3339,"AAAAAHq9vso=")</f>
        <v>#VALUE!</v>
      </c>
      <c r="GV248" t="e">
        <f>AND(Sheet1!M3339,"AAAAAHq9vss=")</f>
        <v>#VALUE!</v>
      </c>
      <c r="GW248" t="e">
        <f>AND(Sheet1!N3339,"AAAAAHq9vsw=")</f>
        <v>#VALUE!</v>
      </c>
      <c r="GX248" t="e">
        <f>AND(Sheet1!#REF!,"AAAAAHq9vs0=")</f>
        <v>#REF!</v>
      </c>
      <c r="GY248" t="e">
        <f>AND(Sheet1!#REF!,"AAAAAHq9vs4=")</f>
        <v>#REF!</v>
      </c>
      <c r="GZ248" t="e">
        <f>AND(Sheet1!#REF!,"AAAAAHq9vs8=")</f>
        <v>#REF!</v>
      </c>
      <c r="HA248" t="e">
        <f>AND(Sheet1!#REF!,"AAAAAHq9vtA=")</f>
        <v>#REF!</v>
      </c>
      <c r="HB248">
        <f>IF(Sheet1!3340:3340,"AAAAAHq9vtE=",0)</f>
        <v>0</v>
      </c>
      <c r="HC248" t="e">
        <f>AND(Sheet1!A3340,"AAAAAHq9vtI=")</f>
        <v>#VALUE!</v>
      </c>
      <c r="HD248" t="e">
        <f>AND(Sheet1!B3340,"AAAAAHq9vtM=")</f>
        <v>#VALUE!</v>
      </c>
      <c r="HE248" t="e">
        <f>AND(Sheet1!C3340,"AAAAAHq9vtQ=")</f>
        <v>#VALUE!</v>
      </c>
      <c r="HF248" t="e">
        <f>AND(Sheet1!D3340,"AAAAAHq9vtU=")</f>
        <v>#VALUE!</v>
      </c>
      <c r="HG248" t="e">
        <f>AND(Sheet1!E3340,"AAAAAHq9vtY=")</f>
        <v>#VALUE!</v>
      </c>
      <c r="HH248" t="e">
        <f>AND(Sheet1!F3340,"AAAAAHq9vtc=")</f>
        <v>#VALUE!</v>
      </c>
      <c r="HI248" t="e">
        <f>AND(Sheet1!G3340,"AAAAAHq9vtg=")</f>
        <v>#VALUE!</v>
      </c>
      <c r="HJ248" t="e">
        <f>AND(Sheet1!H3340,"AAAAAHq9vtk=")</f>
        <v>#VALUE!</v>
      </c>
      <c r="HK248" t="e">
        <f>AND(Sheet1!I3340,"AAAAAHq9vto=")</f>
        <v>#VALUE!</v>
      </c>
      <c r="HL248" t="e">
        <f>AND(Sheet1!J3340,"AAAAAHq9vts=")</f>
        <v>#VALUE!</v>
      </c>
      <c r="HM248" t="e">
        <f>AND(Sheet1!K3340,"AAAAAHq9vtw=")</f>
        <v>#VALUE!</v>
      </c>
      <c r="HN248" t="e">
        <f>AND(Sheet1!L3340,"AAAAAHq9vt0=")</f>
        <v>#VALUE!</v>
      </c>
      <c r="HO248" t="e">
        <f>AND(Sheet1!M3340,"AAAAAHq9vt4=")</f>
        <v>#VALUE!</v>
      </c>
      <c r="HP248" t="e">
        <f>AND(Sheet1!N3340,"AAAAAHq9vt8=")</f>
        <v>#VALUE!</v>
      </c>
      <c r="HQ248" t="e">
        <f>AND(Sheet1!#REF!,"AAAAAHq9vuA=")</f>
        <v>#REF!</v>
      </c>
      <c r="HR248" t="e">
        <f>AND(Sheet1!#REF!,"AAAAAHq9vuE=")</f>
        <v>#REF!</v>
      </c>
      <c r="HS248" t="e">
        <f>AND(Sheet1!#REF!,"AAAAAHq9vuI=")</f>
        <v>#REF!</v>
      </c>
      <c r="HT248" t="e">
        <f>AND(Sheet1!#REF!,"AAAAAHq9vuM=")</f>
        <v>#REF!</v>
      </c>
      <c r="HU248">
        <f>IF(Sheet1!3341:3341,"AAAAAHq9vuQ=",0)</f>
        <v>0</v>
      </c>
      <c r="HV248" t="e">
        <f>AND(Sheet1!A3341,"AAAAAHq9vuU=")</f>
        <v>#VALUE!</v>
      </c>
      <c r="HW248" t="e">
        <f>AND(Sheet1!B3341,"AAAAAHq9vuY=")</f>
        <v>#VALUE!</v>
      </c>
      <c r="HX248" t="e">
        <f>AND(Sheet1!C3341,"AAAAAHq9vuc=")</f>
        <v>#VALUE!</v>
      </c>
      <c r="HY248" t="e">
        <f>AND(Sheet1!D3341,"AAAAAHq9vug=")</f>
        <v>#VALUE!</v>
      </c>
      <c r="HZ248" t="e">
        <f>AND(Sheet1!E3341,"AAAAAHq9vuk=")</f>
        <v>#VALUE!</v>
      </c>
      <c r="IA248" t="e">
        <f>AND(Sheet1!F3341,"AAAAAHq9vuo=")</f>
        <v>#VALUE!</v>
      </c>
      <c r="IB248" t="e">
        <f>AND(Sheet1!G3341,"AAAAAHq9vus=")</f>
        <v>#VALUE!</v>
      </c>
      <c r="IC248" t="e">
        <f>AND(Sheet1!H3341,"AAAAAHq9vuw=")</f>
        <v>#VALUE!</v>
      </c>
      <c r="ID248" t="e">
        <f>AND(Sheet1!I3341,"AAAAAHq9vu0=")</f>
        <v>#VALUE!</v>
      </c>
      <c r="IE248" t="e">
        <f>AND(Sheet1!J3341,"AAAAAHq9vu4=")</f>
        <v>#VALUE!</v>
      </c>
      <c r="IF248" t="e">
        <f>AND(Sheet1!K3341,"AAAAAHq9vu8=")</f>
        <v>#VALUE!</v>
      </c>
      <c r="IG248" t="e">
        <f>AND(Sheet1!L3341,"AAAAAHq9vvA=")</f>
        <v>#VALUE!</v>
      </c>
      <c r="IH248" t="e">
        <f>AND(Sheet1!M3341,"AAAAAHq9vvE=")</f>
        <v>#VALUE!</v>
      </c>
      <c r="II248" t="e">
        <f>AND(Sheet1!N3341,"AAAAAHq9vvI=")</f>
        <v>#VALUE!</v>
      </c>
      <c r="IJ248" t="e">
        <f>AND(Sheet1!#REF!,"AAAAAHq9vvM=")</f>
        <v>#REF!</v>
      </c>
      <c r="IK248" t="e">
        <f>AND(Sheet1!#REF!,"AAAAAHq9vvQ=")</f>
        <v>#REF!</v>
      </c>
      <c r="IL248" t="e">
        <f>AND(Sheet1!#REF!,"AAAAAHq9vvU=")</f>
        <v>#REF!</v>
      </c>
      <c r="IM248" t="e">
        <f>AND(Sheet1!#REF!,"AAAAAHq9vvY=")</f>
        <v>#REF!</v>
      </c>
      <c r="IN248">
        <f>IF(Sheet1!3342:3342,"AAAAAHq9vvc=",0)</f>
        <v>0</v>
      </c>
      <c r="IO248" t="e">
        <f>AND(Sheet1!A3342,"AAAAAHq9vvg=")</f>
        <v>#VALUE!</v>
      </c>
      <c r="IP248" t="e">
        <f>AND(Sheet1!B3342,"AAAAAHq9vvk=")</f>
        <v>#VALUE!</v>
      </c>
      <c r="IQ248" t="e">
        <f>AND(Sheet1!C3342,"AAAAAHq9vvo=")</f>
        <v>#VALUE!</v>
      </c>
      <c r="IR248" t="e">
        <f>AND(Sheet1!D3342,"AAAAAHq9vvs=")</f>
        <v>#VALUE!</v>
      </c>
      <c r="IS248" t="e">
        <f>AND(Sheet1!E3342,"AAAAAHq9vvw=")</f>
        <v>#VALUE!</v>
      </c>
      <c r="IT248" t="e">
        <f>AND(Sheet1!F3342,"AAAAAHq9vv0=")</f>
        <v>#VALUE!</v>
      </c>
      <c r="IU248" t="e">
        <f>AND(Sheet1!G3342,"AAAAAHq9vv4=")</f>
        <v>#VALUE!</v>
      </c>
      <c r="IV248" t="e">
        <f>AND(Sheet1!H3342,"AAAAAHq9vv8=")</f>
        <v>#VALUE!</v>
      </c>
    </row>
    <row r="249" spans="1:256" x14ac:dyDescent="0.2">
      <c r="A249" t="e">
        <f>AND(Sheet1!I3342,"AAAAAG1//wA=")</f>
        <v>#VALUE!</v>
      </c>
      <c r="B249" t="e">
        <f>AND(Sheet1!J3342,"AAAAAG1//wE=")</f>
        <v>#VALUE!</v>
      </c>
      <c r="C249" t="e">
        <f>AND(Sheet1!K3342,"AAAAAG1//wI=")</f>
        <v>#VALUE!</v>
      </c>
      <c r="D249" t="e">
        <f>AND(Sheet1!L3342,"AAAAAG1//wM=")</f>
        <v>#VALUE!</v>
      </c>
      <c r="E249" t="e">
        <f>AND(Sheet1!M3342,"AAAAAG1//wQ=")</f>
        <v>#VALUE!</v>
      </c>
      <c r="F249" t="e">
        <f>AND(Sheet1!N3342,"AAAAAG1//wU=")</f>
        <v>#VALUE!</v>
      </c>
      <c r="G249" t="e">
        <f>AND(Sheet1!#REF!,"AAAAAG1//wY=")</f>
        <v>#REF!</v>
      </c>
      <c r="H249" t="e">
        <f>AND(Sheet1!#REF!,"AAAAAG1//wc=")</f>
        <v>#REF!</v>
      </c>
      <c r="I249" t="e">
        <f>AND(Sheet1!#REF!,"AAAAAG1//wg=")</f>
        <v>#REF!</v>
      </c>
      <c r="J249" t="e">
        <f>AND(Sheet1!#REF!,"AAAAAG1//wk=")</f>
        <v>#REF!</v>
      </c>
      <c r="K249">
        <f>IF(Sheet1!3343:3343,"AAAAAG1//wo=",0)</f>
        <v>0</v>
      </c>
      <c r="L249" t="e">
        <f>AND(Sheet1!A3343,"AAAAAG1//ws=")</f>
        <v>#VALUE!</v>
      </c>
      <c r="M249" t="e">
        <f>AND(Sheet1!B3343,"AAAAAG1//ww=")</f>
        <v>#VALUE!</v>
      </c>
      <c r="N249" t="e">
        <f>AND(Sheet1!C3343,"AAAAAG1//w0=")</f>
        <v>#VALUE!</v>
      </c>
      <c r="O249" t="e">
        <f>AND(Sheet1!D3343,"AAAAAG1//w4=")</f>
        <v>#VALUE!</v>
      </c>
      <c r="P249" t="e">
        <f>AND(Sheet1!E3343,"AAAAAG1//w8=")</f>
        <v>#VALUE!</v>
      </c>
      <c r="Q249" t="e">
        <f>AND(Sheet1!F3343,"AAAAAG1//xA=")</f>
        <v>#VALUE!</v>
      </c>
      <c r="R249" t="e">
        <f>AND(Sheet1!G3343,"AAAAAG1//xE=")</f>
        <v>#VALUE!</v>
      </c>
      <c r="S249" t="e">
        <f>AND(Sheet1!H3343,"AAAAAG1//xI=")</f>
        <v>#VALUE!</v>
      </c>
      <c r="T249" t="e">
        <f>AND(Sheet1!I3343,"AAAAAG1//xM=")</f>
        <v>#VALUE!</v>
      </c>
      <c r="U249" t="e">
        <f>AND(Sheet1!J3343,"AAAAAG1//xQ=")</f>
        <v>#VALUE!</v>
      </c>
      <c r="V249" t="e">
        <f>AND(Sheet1!K3343,"AAAAAG1//xU=")</f>
        <v>#VALUE!</v>
      </c>
      <c r="W249" t="e">
        <f>AND(Sheet1!L3343,"AAAAAG1//xY=")</f>
        <v>#VALUE!</v>
      </c>
      <c r="X249" t="e">
        <f>AND(Sheet1!M3343,"AAAAAG1//xc=")</f>
        <v>#VALUE!</v>
      </c>
      <c r="Y249" t="e">
        <f>AND(Sheet1!N3343,"AAAAAG1//xg=")</f>
        <v>#VALUE!</v>
      </c>
      <c r="Z249" t="e">
        <f>AND(Sheet1!#REF!,"AAAAAG1//xk=")</f>
        <v>#REF!</v>
      </c>
      <c r="AA249" t="e">
        <f>AND(Sheet1!#REF!,"AAAAAG1//xo=")</f>
        <v>#REF!</v>
      </c>
      <c r="AB249" t="e">
        <f>AND(Sheet1!#REF!,"AAAAAG1//xs=")</f>
        <v>#REF!</v>
      </c>
      <c r="AC249" t="e">
        <f>AND(Sheet1!#REF!,"AAAAAG1//xw=")</f>
        <v>#REF!</v>
      </c>
      <c r="AD249">
        <f>IF(Sheet1!3344:3344,"AAAAAG1//x0=",0)</f>
        <v>0</v>
      </c>
      <c r="AE249" t="e">
        <f>AND(Sheet1!A3344,"AAAAAG1//x4=")</f>
        <v>#VALUE!</v>
      </c>
      <c r="AF249" t="e">
        <f>AND(Sheet1!B3344,"AAAAAG1//x8=")</f>
        <v>#VALUE!</v>
      </c>
      <c r="AG249" t="e">
        <f>AND(Sheet1!C3344,"AAAAAG1//yA=")</f>
        <v>#VALUE!</v>
      </c>
      <c r="AH249" t="e">
        <f>AND(Sheet1!D3344,"AAAAAG1//yE=")</f>
        <v>#VALUE!</v>
      </c>
      <c r="AI249" t="e">
        <f>AND(Sheet1!E3344,"AAAAAG1//yI=")</f>
        <v>#VALUE!</v>
      </c>
      <c r="AJ249" t="e">
        <f>AND(Sheet1!F3344,"AAAAAG1//yM=")</f>
        <v>#VALUE!</v>
      </c>
      <c r="AK249" t="e">
        <f>AND(Sheet1!G3344,"AAAAAG1//yQ=")</f>
        <v>#VALUE!</v>
      </c>
      <c r="AL249" t="e">
        <f>AND(Sheet1!H3344,"AAAAAG1//yU=")</f>
        <v>#VALUE!</v>
      </c>
      <c r="AM249" t="e">
        <f>AND(Sheet1!I3344,"AAAAAG1//yY=")</f>
        <v>#VALUE!</v>
      </c>
      <c r="AN249" t="e">
        <f>AND(Sheet1!J3344,"AAAAAG1//yc=")</f>
        <v>#VALUE!</v>
      </c>
      <c r="AO249" t="e">
        <f>AND(Sheet1!K3344,"AAAAAG1//yg=")</f>
        <v>#VALUE!</v>
      </c>
      <c r="AP249" t="e">
        <f>AND(Sheet1!L3344,"AAAAAG1//yk=")</f>
        <v>#VALUE!</v>
      </c>
      <c r="AQ249" t="e">
        <f>AND(Sheet1!M3344,"AAAAAG1//yo=")</f>
        <v>#VALUE!</v>
      </c>
      <c r="AR249" t="e">
        <f>AND(Sheet1!N3344,"AAAAAG1//ys=")</f>
        <v>#VALUE!</v>
      </c>
      <c r="AS249" t="e">
        <f>AND(Sheet1!#REF!,"AAAAAG1//yw=")</f>
        <v>#REF!</v>
      </c>
      <c r="AT249" t="e">
        <f>AND(Sheet1!#REF!,"AAAAAG1//y0=")</f>
        <v>#REF!</v>
      </c>
      <c r="AU249" t="e">
        <f>AND(Sheet1!#REF!,"AAAAAG1//y4=")</f>
        <v>#REF!</v>
      </c>
      <c r="AV249" t="e">
        <f>AND(Sheet1!#REF!,"AAAAAG1//y8=")</f>
        <v>#REF!</v>
      </c>
      <c r="AW249">
        <f>IF(Sheet1!3345:3345,"AAAAAG1//zA=",0)</f>
        <v>0</v>
      </c>
      <c r="AX249" t="e">
        <f>AND(Sheet1!A3345,"AAAAAG1//zE=")</f>
        <v>#VALUE!</v>
      </c>
      <c r="AY249" t="e">
        <f>AND(Sheet1!B3345,"AAAAAG1//zI=")</f>
        <v>#VALUE!</v>
      </c>
      <c r="AZ249" t="e">
        <f>AND(Sheet1!C3345,"AAAAAG1//zM=")</f>
        <v>#VALUE!</v>
      </c>
      <c r="BA249" t="e">
        <f>AND(Sheet1!D3345,"AAAAAG1//zQ=")</f>
        <v>#VALUE!</v>
      </c>
      <c r="BB249" t="e">
        <f>AND(Sheet1!E3345,"AAAAAG1//zU=")</f>
        <v>#VALUE!</v>
      </c>
      <c r="BC249" t="e">
        <f>AND(Sheet1!F3345,"AAAAAG1//zY=")</f>
        <v>#VALUE!</v>
      </c>
      <c r="BD249" t="e">
        <f>AND(Sheet1!G3345,"AAAAAG1//zc=")</f>
        <v>#VALUE!</v>
      </c>
      <c r="BE249" t="e">
        <f>AND(Sheet1!H3345,"AAAAAG1//zg=")</f>
        <v>#VALUE!</v>
      </c>
      <c r="BF249" t="e">
        <f>AND(Sheet1!I3345,"AAAAAG1//zk=")</f>
        <v>#VALUE!</v>
      </c>
      <c r="BG249" t="e">
        <f>AND(Sheet1!J3345,"AAAAAG1//zo=")</f>
        <v>#VALUE!</v>
      </c>
      <c r="BH249" t="e">
        <f>AND(Sheet1!K3345,"AAAAAG1//zs=")</f>
        <v>#VALUE!</v>
      </c>
      <c r="BI249" t="e">
        <f>AND(Sheet1!L3345,"AAAAAG1//zw=")</f>
        <v>#VALUE!</v>
      </c>
      <c r="BJ249" t="e">
        <f>AND(Sheet1!M3345,"AAAAAG1//z0=")</f>
        <v>#VALUE!</v>
      </c>
      <c r="BK249" t="e">
        <f>AND(Sheet1!N3345,"AAAAAG1//z4=")</f>
        <v>#VALUE!</v>
      </c>
      <c r="BL249" t="e">
        <f>AND(Sheet1!#REF!,"AAAAAG1//z8=")</f>
        <v>#REF!</v>
      </c>
      <c r="BM249" t="e">
        <f>AND(Sheet1!#REF!,"AAAAAG1//0A=")</f>
        <v>#REF!</v>
      </c>
      <c r="BN249" t="e">
        <f>AND(Sheet1!#REF!,"AAAAAG1//0E=")</f>
        <v>#REF!</v>
      </c>
      <c r="BO249" t="e">
        <f>AND(Sheet1!#REF!,"AAAAAG1//0I=")</f>
        <v>#REF!</v>
      </c>
      <c r="BP249">
        <f>IF(Sheet1!3346:3346,"AAAAAG1//0M=",0)</f>
        <v>0</v>
      </c>
      <c r="BQ249" t="e">
        <f>AND(Sheet1!A3346,"AAAAAG1//0Q=")</f>
        <v>#VALUE!</v>
      </c>
      <c r="BR249" t="e">
        <f>AND(Sheet1!B3346,"AAAAAG1//0U=")</f>
        <v>#VALUE!</v>
      </c>
      <c r="BS249" t="e">
        <f>AND(Sheet1!C3346,"AAAAAG1//0Y=")</f>
        <v>#VALUE!</v>
      </c>
      <c r="BT249" t="e">
        <f>AND(Sheet1!D3346,"AAAAAG1//0c=")</f>
        <v>#VALUE!</v>
      </c>
      <c r="BU249" t="e">
        <f>AND(Sheet1!E3346,"AAAAAG1//0g=")</f>
        <v>#VALUE!</v>
      </c>
      <c r="BV249" t="e">
        <f>AND(Sheet1!F3346,"AAAAAG1//0k=")</f>
        <v>#VALUE!</v>
      </c>
      <c r="BW249" t="e">
        <f>AND(Sheet1!G3346,"AAAAAG1//0o=")</f>
        <v>#VALUE!</v>
      </c>
      <c r="BX249" t="e">
        <f>AND(Sheet1!H3346,"AAAAAG1//0s=")</f>
        <v>#VALUE!</v>
      </c>
      <c r="BY249" t="e">
        <f>AND(Sheet1!I3346,"AAAAAG1//0w=")</f>
        <v>#VALUE!</v>
      </c>
      <c r="BZ249" t="e">
        <f>AND(Sheet1!J3346,"AAAAAG1//00=")</f>
        <v>#VALUE!</v>
      </c>
      <c r="CA249" t="e">
        <f>AND(Sheet1!K3346,"AAAAAG1//04=")</f>
        <v>#VALUE!</v>
      </c>
      <c r="CB249" t="e">
        <f>AND(Sheet1!L3346,"AAAAAG1//08=")</f>
        <v>#VALUE!</v>
      </c>
      <c r="CC249" t="e">
        <f>AND(Sheet1!M3346,"AAAAAG1//1A=")</f>
        <v>#VALUE!</v>
      </c>
      <c r="CD249" t="e">
        <f>AND(Sheet1!N3346,"AAAAAG1//1E=")</f>
        <v>#VALUE!</v>
      </c>
      <c r="CE249" t="e">
        <f>AND(Sheet1!#REF!,"AAAAAG1//1I=")</f>
        <v>#REF!</v>
      </c>
      <c r="CF249" t="e">
        <f>AND(Sheet1!#REF!,"AAAAAG1//1M=")</f>
        <v>#REF!</v>
      </c>
      <c r="CG249" t="e">
        <f>AND(Sheet1!#REF!,"AAAAAG1//1Q=")</f>
        <v>#REF!</v>
      </c>
      <c r="CH249" t="e">
        <f>AND(Sheet1!#REF!,"AAAAAG1//1U=")</f>
        <v>#REF!</v>
      </c>
      <c r="CI249">
        <f>IF(Sheet1!3347:3347,"AAAAAG1//1Y=",0)</f>
        <v>0</v>
      </c>
      <c r="CJ249" t="e">
        <f>AND(Sheet1!A3347,"AAAAAG1//1c=")</f>
        <v>#VALUE!</v>
      </c>
      <c r="CK249" t="e">
        <f>AND(Sheet1!B3347,"AAAAAG1//1g=")</f>
        <v>#VALUE!</v>
      </c>
      <c r="CL249" t="e">
        <f>AND(Sheet1!C3347,"AAAAAG1//1k=")</f>
        <v>#VALUE!</v>
      </c>
      <c r="CM249" t="e">
        <f>AND(Sheet1!D3347,"AAAAAG1//1o=")</f>
        <v>#VALUE!</v>
      </c>
      <c r="CN249" t="e">
        <f>AND(Sheet1!E3347,"AAAAAG1//1s=")</f>
        <v>#VALUE!</v>
      </c>
      <c r="CO249" t="e">
        <f>AND(Sheet1!F3347,"AAAAAG1//1w=")</f>
        <v>#VALUE!</v>
      </c>
      <c r="CP249" t="e">
        <f>AND(Sheet1!G3347,"AAAAAG1//10=")</f>
        <v>#VALUE!</v>
      </c>
      <c r="CQ249" t="e">
        <f>AND(Sheet1!H3347,"AAAAAG1//14=")</f>
        <v>#VALUE!</v>
      </c>
      <c r="CR249" t="e">
        <f>AND(Sheet1!I3347,"AAAAAG1//18=")</f>
        <v>#VALUE!</v>
      </c>
      <c r="CS249" t="e">
        <f>AND(Sheet1!J3347,"AAAAAG1//2A=")</f>
        <v>#VALUE!</v>
      </c>
      <c r="CT249" t="e">
        <f>AND(Sheet1!K3347,"AAAAAG1//2E=")</f>
        <v>#VALUE!</v>
      </c>
      <c r="CU249" t="e">
        <f>AND(Sheet1!L3347,"AAAAAG1//2I=")</f>
        <v>#VALUE!</v>
      </c>
      <c r="CV249" t="e">
        <f>AND(Sheet1!M3347,"AAAAAG1//2M=")</f>
        <v>#VALUE!</v>
      </c>
      <c r="CW249" t="e">
        <f>AND(Sheet1!N3347,"AAAAAG1//2Q=")</f>
        <v>#VALUE!</v>
      </c>
      <c r="CX249" t="e">
        <f>AND(Sheet1!#REF!,"AAAAAG1//2U=")</f>
        <v>#REF!</v>
      </c>
      <c r="CY249" t="e">
        <f>AND(Sheet1!#REF!,"AAAAAG1//2Y=")</f>
        <v>#REF!</v>
      </c>
      <c r="CZ249" t="e">
        <f>AND(Sheet1!#REF!,"AAAAAG1//2c=")</f>
        <v>#REF!</v>
      </c>
      <c r="DA249" t="e">
        <f>AND(Sheet1!#REF!,"AAAAAG1//2g=")</f>
        <v>#REF!</v>
      </c>
      <c r="DB249">
        <f>IF(Sheet1!3348:3348,"AAAAAG1//2k=",0)</f>
        <v>0</v>
      </c>
      <c r="DC249" t="e">
        <f>AND(Sheet1!A3348,"AAAAAG1//2o=")</f>
        <v>#VALUE!</v>
      </c>
      <c r="DD249" t="e">
        <f>AND(Sheet1!B3348,"AAAAAG1//2s=")</f>
        <v>#VALUE!</v>
      </c>
      <c r="DE249" t="e">
        <f>AND(Sheet1!C3348,"AAAAAG1//2w=")</f>
        <v>#VALUE!</v>
      </c>
      <c r="DF249" t="e">
        <f>AND(Sheet1!D3348,"AAAAAG1//20=")</f>
        <v>#VALUE!</v>
      </c>
      <c r="DG249" t="e">
        <f>AND(Sheet1!E3348,"AAAAAG1//24=")</f>
        <v>#VALUE!</v>
      </c>
      <c r="DH249" t="e">
        <f>AND(Sheet1!F3348,"AAAAAG1//28=")</f>
        <v>#VALUE!</v>
      </c>
      <c r="DI249" t="e">
        <f>AND(Sheet1!G3348,"AAAAAG1//3A=")</f>
        <v>#VALUE!</v>
      </c>
      <c r="DJ249" t="e">
        <f>AND(Sheet1!H3348,"AAAAAG1//3E=")</f>
        <v>#VALUE!</v>
      </c>
      <c r="DK249" t="e">
        <f>AND(Sheet1!I3348,"AAAAAG1//3I=")</f>
        <v>#VALUE!</v>
      </c>
      <c r="DL249" t="e">
        <f>AND(Sheet1!J3348,"AAAAAG1//3M=")</f>
        <v>#VALUE!</v>
      </c>
      <c r="DM249" t="e">
        <f>AND(Sheet1!K3348,"AAAAAG1//3Q=")</f>
        <v>#VALUE!</v>
      </c>
      <c r="DN249" t="e">
        <f>AND(Sheet1!L3348,"AAAAAG1//3U=")</f>
        <v>#VALUE!</v>
      </c>
      <c r="DO249" t="e">
        <f>AND(Sheet1!M3348,"AAAAAG1//3Y=")</f>
        <v>#VALUE!</v>
      </c>
      <c r="DP249" t="e">
        <f>AND(Sheet1!N3348,"AAAAAG1//3c=")</f>
        <v>#VALUE!</v>
      </c>
      <c r="DQ249" t="e">
        <f>AND(Sheet1!#REF!,"AAAAAG1//3g=")</f>
        <v>#REF!</v>
      </c>
      <c r="DR249" t="e">
        <f>AND(Sheet1!#REF!,"AAAAAG1//3k=")</f>
        <v>#REF!</v>
      </c>
      <c r="DS249" t="e">
        <f>AND(Sheet1!#REF!,"AAAAAG1//3o=")</f>
        <v>#REF!</v>
      </c>
      <c r="DT249" t="e">
        <f>AND(Sheet1!#REF!,"AAAAAG1//3s=")</f>
        <v>#REF!</v>
      </c>
      <c r="DU249">
        <f>IF(Sheet1!3349:3349,"AAAAAG1//3w=",0)</f>
        <v>0</v>
      </c>
      <c r="DV249" t="e">
        <f>AND(Sheet1!A3349,"AAAAAG1//30=")</f>
        <v>#VALUE!</v>
      </c>
      <c r="DW249" t="e">
        <f>AND(Sheet1!B3349,"AAAAAG1//34=")</f>
        <v>#VALUE!</v>
      </c>
      <c r="DX249" t="e">
        <f>AND(Sheet1!C3349,"AAAAAG1//38=")</f>
        <v>#VALUE!</v>
      </c>
      <c r="DY249" t="e">
        <f>AND(Sheet1!D3349,"AAAAAG1//4A=")</f>
        <v>#VALUE!</v>
      </c>
      <c r="DZ249" t="e">
        <f>AND(Sheet1!E3349,"AAAAAG1//4E=")</f>
        <v>#VALUE!</v>
      </c>
      <c r="EA249" t="e">
        <f>AND(Sheet1!F3349,"AAAAAG1//4I=")</f>
        <v>#VALUE!</v>
      </c>
      <c r="EB249" t="e">
        <f>AND(Sheet1!G3349,"AAAAAG1//4M=")</f>
        <v>#VALUE!</v>
      </c>
      <c r="EC249" t="e">
        <f>AND(Sheet1!H3349,"AAAAAG1//4Q=")</f>
        <v>#VALUE!</v>
      </c>
      <c r="ED249" t="e">
        <f>AND(Sheet1!I3349,"AAAAAG1//4U=")</f>
        <v>#VALUE!</v>
      </c>
      <c r="EE249" t="e">
        <f>AND(Sheet1!J3349,"AAAAAG1//4Y=")</f>
        <v>#VALUE!</v>
      </c>
      <c r="EF249" t="e">
        <f>AND(Sheet1!K3349,"AAAAAG1//4c=")</f>
        <v>#VALUE!</v>
      </c>
      <c r="EG249" t="e">
        <f>AND(Sheet1!L3349,"AAAAAG1//4g=")</f>
        <v>#VALUE!</v>
      </c>
      <c r="EH249" t="e">
        <f>AND(Sheet1!M3349,"AAAAAG1//4k=")</f>
        <v>#VALUE!</v>
      </c>
      <c r="EI249" t="e">
        <f>AND(Sheet1!N3349,"AAAAAG1//4o=")</f>
        <v>#VALUE!</v>
      </c>
      <c r="EJ249" t="e">
        <f>AND(Sheet1!#REF!,"AAAAAG1//4s=")</f>
        <v>#REF!</v>
      </c>
      <c r="EK249" t="e">
        <f>AND(Sheet1!#REF!,"AAAAAG1//4w=")</f>
        <v>#REF!</v>
      </c>
      <c r="EL249" t="e">
        <f>AND(Sheet1!#REF!,"AAAAAG1//40=")</f>
        <v>#REF!</v>
      </c>
      <c r="EM249" t="e">
        <f>AND(Sheet1!#REF!,"AAAAAG1//44=")</f>
        <v>#REF!</v>
      </c>
      <c r="EN249">
        <f>IF(Sheet1!3350:3350,"AAAAAG1//48=",0)</f>
        <v>0</v>
      </c>
      <c r="EO249" t="e">
        <f>AND(Sheet1!A3350,"AAAAAG1//5A=")</f>
        <v>#VALUE!</v>
      </c>
      <c r="EP249" t="e">
        <f>AND(Sheet1!B3350,"AAAAAG1//5E=")</f>
        <v>#VALUE!</v>
      </c>
      <c r="EQ249" t="e">
        <f>AND(Sheet1!C3350,"AAAAAG1//5I=")</f>
        <v>#VALUE!</v>
      </c>
      <c r="ER249" t="e">
        <f>AND(Sheet1!D3350,"AAAAAG1//5M=")</f>
        <v>#VALUE!</v>
      </c>
      <c r="ES249" t="e">
        <f>AND(Sheet1!E3350,"AAAAAG1//5Q=")</f>
        <v>#VALUE!</v>
      </c>
      <c r="ET249" t="e">
        <f>AND(Sheet1!F3350,"AAAAAG1//5U=")</f>
        <v>#VALUE!</v>
      </c>
      <c r="EU249" t="e">
        <f>AND(Sheet1!G3350,"AAAAAG1//5Y=")</f>
        <v>#VALUE!</v>
      </c>
      <c r="EV249" t="e">
        <f>AND(Sheet1!H3350,"AAAAAG1//5c=")</f>
        <v>#VALUE!</v>
      </c>
      <c r="EW249" t="e">
        <f>AND(Sheet1!I3350,"AAAAAG1//5g=")</f>
        <v>#VALUE!</v>
      </c>
      <c r="EX249" t="e">
        <f>AND(Sheet1!J3350,"AAAAAG1//5k=")</f>
        <v>#VALUE!</v>
      </c>
      <c r="EY249" t="e">
        <f>AND(Sheet1!K3350,"AAAAAG1//5o=")</f>
        <v>#VALUE!</v>
      </c>
      <c r="EZ249" t="e">
        <f>AND(Sheet1!L3350,"AAAAAG1//5s=")</f>
        <v>#VALUE!</v>
      </c>
      <c r="FA249" t="e">
        <f>AND(Sheet1!M3350,"AAAAAG1//5w=")</f>
        <v>#VALUE!</v>
      </c>
      <c r="FB249" t="e">
        <f>AND(Sheet1!N3350,"AAAAAG1//50=")</f>
        <v>#VALUE!</v>
      </c>
      <c r="FC249" t="e">
        <f>AND(Sheet1!#REF!,"AAAAAG1//54=")</f>
        <v>#REF!</v>
      </c>
      <c r="FD249" t="e">
        <f>AND(Sheet1!#REF!,"AAAAAG1//58=")</f>
        <v>#REF!</v>
      </c>
      <c r="FE249" t="e">
        <f>AND(Sheet1!#REF!,"AAAAAG1//6A=")</f>
        <v>#REF!</v>
      </c>
      <c r="FF249" t="e">
        <f>AND(Sheet1!#REF!,"AAAAAG1//6E=")</f>
        <v>#REF!</v>
      </c>
      <c r="FG249">
        <f>IF(Sheet1!3351:3351,"AAAAAG1//6I=",0)</f>
        <v>0</v>
      </c>
      <c r="FH249" t="e">
        <f>AND(Sheet1!A3351,"AAAAAG1//6M=")</f>
        <v>#VALUE!</v>
      </c>
      <c r="FI249" t="e">
        <f>AND(Sheet1!B3351,"AAAAAG1//6Q=")</f>
        <v>#VALUE!</v>
      </c>
      <c r="FJ249" t="e">
        <f>AND(Sheet1!C3351,"AAAAAG1//6U=")</f>
        <v>#VALUE!</v>
      </c>
      <c r="FK249" t="e">
        <f>AND(Sheet1!D3351,"AAAAAG1//6Y=")</f>
        <v>#VALUE!</v>
      </c>
      <c r="FL249" t="e">
        <f>AND(Sheet1!E3351,"AAAAAG1//6c=")</f>
        <v>#VALUE!</v>
      </c>
      <c r="FM249" t="e">
        <f>AND(Sheet1!F3351,"AAAAAG1//6g=")</f>
        <v>#VALUE!</v>
      </c>
      <c r="FN249" t="e">
        <f>AND(Sheet1!G3351,"AAAAAG1//6k=")</f>
        <v>#VALUE!</v>
      </c>
      <c r="FO249" t="e">
        <f>AND(Sheet1!H3351,"AAAAAG1//6o=")</f>
        <v>#VALUE!</v>
      </c>
      <c r="FP249" t="e">
        <f>AND(Sheet1!I3351,"AAAAAG1//6s=")</f>
        <v>#VALUE!</v>
      </c>
      <c r="FQ249" t="e">
        <f>AND(Sheet1!J3351,"AAAAAG1//6w=")</f>
        <v>#VALUE!</v>
      </c>
      <c r="FR249" t="e">
        <f>AND(Sheet1!K3351,"AAAAAG1//60=")</f>
        <v>#VALUE!</v>
      </c>
      <c r="FS249" t="e">
        <f>AND(Sheet1!L3351,"AAAAAG1//64=")</f>
        <v>#VALUE!</v>
      </c>
      <c r="FT249" t="e">
        <f>AND(Sheet1!M3351,"AAAAAG1//68=")</f>
        <v>#VALUE!</v>
      </c>
      <c r="FU249" t="e">
        <f>AND(Sheet1!N3351,"AAAAAG1//7A=")</f>
        <v>#VALUE!</v>
      </c>
      <c r="FV249" t="e">
        <f>AND(Sheet1!#REF!,"AAAAAG1//7E=")</f>
        <v>#REF!</v>
      </c>
      <c r="FW249" t="e">
        <f>AND(Sheet1!#REF!,"AAAAAG1//7I=")</f>
        <v>#REF!</v>
      </c>
      <c r="FX249" t="e">
        <f>AND(Sheet1!#REF!,"AAAAAG1//7M=")</f>
        <v>#REF!</v>
      </c>
      <c r="FY249" t="e">
        <f>AND(Sheet1!#REF!,"AAAAAG1//7Q=")</f>
        <v>#REF!</v>
      </c>
      <c r="FZ249">
        <f>IF(Sheet1!3352:3352,"AAAAAG1//7U=",0)</f>
        <v>0</v>
      </c>
      <c r="GA249" t="e">
        <f>AND(Sheet1!A3352,"AAAAAG1//7Y=")</f>
        <v>#VALUE!</v>
      </c>
      <c r="GB249" t="e">
        <f>AND(Sheet1!B3352,"AAAAAG1//7c=")</f>
        <v>#VALUE!</v>
      </c>
      <c r="GC249" t="e">
        <f>AND(Sheet1!C3352,"AAAAAG1//7g=")</f>
        <v>#VALUE!</v>
      </c>
      <c r="GD249" t="e">
        <f>AND(Sheet1!D3352,"AAAAAG1//7k=")</f>
        <v>#VALUE!</v>
      </c>
      <c r="GE249" t="e">
        <f>AND(Sheet1!E3352,"AAAAAG1//7o=")</f>
        <v>#VALUE!</v>
      </c>
      <c r="GF249" t="e">
        <f>AND(Sheet1!F3352,"AAAAAG1//7s=")</f>
        <v>#VALUE!</v>
      </c>
      <c r="GG249" t="e">
        <f>AND(Sheet1!G3352,"AAAAAG1//7w=")</f>
        <v>#VALUE!</v>
      </c>
      <c r="GH249" t="e">
        <f>AND(Sheet1!H3352,"AAAAAG1//70=")</f>
        <v>#VALUE!</v>
      </c>
      <c r="GI249" t="e">
        <f>AND(Sheet1!I3352,"AAAAAG1//74=")</f>
        <v>#VALUE!</v>
      </c>
      <c r="GJ249" t="e">
        <f>AND(Sheet1!J3352,"AAAAAG1//78=")</f>
        <v>#VALUE!</v>
      </c>
      <c r="GK249" t="e">
        <f>AND(Sheet1!K3352,"AAAAAG1//8A=")</f>
        <v>#VALUE!</v>
      </c>
      <c r="GL249" t="e">
        <f>AND(Sheet1!L3352,"AAAAAG1//8E=")</f>
        <v>#VALUE!</v>
      </c>
      <c r="GM249" t="e">
        <f>AND(Sheet1!M3352,"AAAAAG1//8I=")</f>
        <v>#VALUE!</v>
      </c>
      <c r="GN249" t="e">
        <f>AND(Sheet1!N3352,"AAAAAG1//8M=")</f>
        <v>#VALUE!</v>
      </c>
      <c r="GO249" t="e">
        <f>AND(Sheet1!#REF!,"AAAAAG1//8Q=")</f>
        <v>#REF!</v>
      </c>
      <c r="GP249" t="e">
        <f>AND(Sheet1!#REF!,"AAAAAG1//8U=")</f>
        <v>#REF!</v>
      </c>
      <c r="GQ249" t="e">
        <f>AND(Sheet1!#REF!,"AAAAAG1//8Y=")</f>
        <v>#REF!</v>
      </c>
      <c r="GR249" t="e">
        <f>AND(Sheet1!#REF!,"AAAAAG1//8c=")</f>
        <v>#REF!</v>
      </c>
      <c r="GS249">
        <f>IF(Sheet1!3353:3353,"AAAAAG1//8g=",0)</f>
        <v>0</v>
      </c>
      <c r="GT249" t="e">
        <f>AND(Sheet1!A3353,"AAAAAG1//8k=")</f>
        <v>#VALUE!</v>
      </c>
      <c r="GU249" t="e">
        <f>AND(Sheet1!B3353,"AAAAAG1//8o=")</f>
        <v>#VALUE!</v>
      </c>
      <c r="GV249" t="e">
        <f>AND(Sheet1!C3353,"AAAAAG1//8s=")</f>
        <v>#VALUE!</v>
      </c>
      <c r="GW249" t="e">
        <f>AND(Sheet1!D3353,"AAAAAG1//8w=")</f>
        <v>#VALUE!</v>
      </c>
      <c r="GX249" t="e">
        <f>AND(Sheet1!E3353,"AAAAAG1//80=")</f>
        <v>#VALUE!</v>
      </c>
      <c r="GY249" t="e">
        <f>AND(Sheet1!F3353,"AAAAAG1//84=")</f>
        <v>#VALUE!</v>
      </c>
      <c r="GZ249" t="e">
        <f>AND(Sheet1!G3353,"AAAAAG1//88=")</f>
        <v>#VALUE!</v>
      </c>
      <c r="HA249" t="e">
        <f>AND(Sheet1!H3353,"AAAAAG1//9A=")</f>
        <v>#VALUE!</v>
      </c>
      <c r="HB249" t="e">
        <f>AND(Sheet1!I3353,"AAAAAG1//9E=")</f>
        <v>#VALUE!</v>
      </c>
      <c r="HC249" t="e">
        <f>AND(Sheet1!J3353,"AAAAAG1//9I=")</f>
        <v>#VALUE!</v>
      </c>
      <c r="HD249" t="e">
        <f>AND(Sheet1!K3353,"AAAAAG1//9M=")</f>
        <v>#VALUE!</v>
      </c>
      <c r="HE249" t="e">
        <f>AND(Sheet1!L3353,"AAAAAG1//9Q=")</f>
        <v>#VALUE!</v>
      </c>
      <c r="HF249" t="e">
        <f>AND(Sheet1!M3353,"AAAAAG1//9U=")</f>
        <v>#VALUE!</v>
      </c>
      <c r="HG249" t="e">
        <f>AND(Sheet1!N3353,"AAAAAG1//9Y=")</f>
        <v>#VALUE!</v>
      </c>
      <c r="HH249" t="e">
        <f>AND(Sheet1!#REF!,"AAAAAG1//9c=")</f>
        <v>#REF!</v>
      </c>
      <c r="HI249" t="e">
        <f>AND(Sheet1!#REF!,"AAAAAG1//9g=")</f>
        <v>#REF!</v>
      </c>
      <c r="HJ249" t="e">
        <f>AND(Sheet1!#REF!,"AAAAAG1//9k=")</f>
        <v>#REF!</v>
      </c>
      <c r="HK249" t="e">
        <f>AND(Sheet1!#REF!,"AAAAAG1//9o=")</f>
        <v>#REF!</v>
      </c>
      <c r="HL249">
        <f>IF(Sheet1!3354:3354,"AAAAAG1//9s=",0)</f>
        <v>0</v>
      </c>
      <c r="HM249" t="e">
        <f>AND(Sheet1!A3354,"AAAAAG1//9w=")</f>
        <v>#VALUE!</v>
      </c>
      <c r="HN249" t="e">
        <f>AND(Sheet1!B3354,"AAAAAG1//90=")</f>
        <v>#VALUE!</v>
      </c>
      <c r="HO249" t="e">
        <f>AND(Sheet1!C3354,"AAAAAG1//94=")</f>
        <v>#VALUE!</v>
      </c>
      <c r="HP249" t="e">
        <f>AND(Sheet1!D3354,"AAAAAG1//98=")</f>
        <v>#VALUE!</v>
      </c>
      <c r="HQ249" t="e">
        <f>AND(Sheet1!E3354,"AAAAAG1//+A=")</f>
        <v>#VALUE!</v>
      </c>
      <c r="HR249" t="e">
        <f>AND(Sheet1!F3354,"AAAAAG1//+E=")</f>
        <v>#VALUE!</v>
      </c>
      <c r="HS249" t="e">
        <f>AND(Sheet1!G3354,"AAAAAG1//+I=")</f>
        <v>#VALUE!</v>
      </c>
      <c r="HT249" t="e">
        <f>AND(Sheet1!H3354,"AAAAAG1//+M=")</f>
        <v>#VALUE!</v>
      </c>
      <c r="HU249" t="e">
        <f>AND(Sheet1!I3354,"AAAAAG1//+Q=")</f>
        <v>#VALUE!</v>
      </c>
      <c r="HV249" t="e">
        <f>AND(Sheet1!J3354,"AAAAAG1//+U=")</f>
        <v>#VALUE!</v>
      </c>
      <c r="HW249" t="e">
        <f>AND(Sheet1!K3354,"AAAAAG1//+Y=")</f>
        <v>#VALUE!</v>
      </c>
      <c r="HX249" t="e">
        <f>AND(Sheet1!L3354,"AAAAAG1//+c=")</f>
        <v>#VALUE!</v>
      </c>
      <c r="HY249" t="e">
        <f>AND(Sheet1!M3354,"AAAAAG1//+g=")</f>
        <v>#VALUE!</v>
      </c>
      <c r="HZ249" t="e">
        <f>AND(Sheet1!N3354,"AAAAAG1//+k=")</f>
        <v>#VALUE!</v>
      </c>
      <c r="IA249" t="e">
        <f>AND(Sheet1!#REF!,"AAAAAG1//+o=")</f>
        <v>#REF!</v>
      </c>
      <c r="IB249" t="e">
        <f>AND(Sheet1!#REF!,"AAAAAG1//+s=")</f>
        <v>#REF!</v>
      </c>
      <c r="IC249" t="e">
        <f>AND(Sheet1!#REF!,"AAAAAG1//+w=")</f>
        <v>#REF!</v>
      </c>
      <c r="ID249" t="e">
        <f>AND(Sheet1!#REF!,"AAAAAG1//+0=")</f>
        <v>#REF!</v>
      </c>
      <c r="IE249">
        <f>IF(Sheet1!3355:3355,"AAAAAG1//+4=",0)</f>
        <v>0</v>
      </c>
      <c r="IF249" t="e">
        <f>AND(Sheet1!A3355,"AAAAAG1//+8=")</f>
        <v>#VALUE!</v>
      </c>
      <c r="IG249" t="e">
        <f>AND(Sheet1!B3355,"AAAAAG1///A=")</f>
        <v>#VALUE!</v>
      </c>
      <c r="IH249" t="e">
        <f>AND(Sheet1!C3355,"AAAAAG1///E=")</f>
        <v>#VALUE!</v>
      </c>
      <c r="II249" t="e">
        <f>AND(Sheet1!D3355,"AAAAAG1///I=")</f>
        <v>#VALUE!</v>
      </c>
      <c r="IJ249" t="e">
        <f>AND(Sheet1!E3355,"AAAAAG1///M=")</f>
        <v>#VALUE!</v>
      </c>
      <c r="IK249" t="e">
        <f>AND(Sheet1!F3355,"AAAAAG1///Q=")</f>
        <v>#VALUE!</v>
      </c>
      <c r="IL249" t="e">
        <f>AND(Sheet1!G3355,"AAAAAG1///U=")</f>
        <v>#VALUE!</v>
      </c>
      <c r="IM249" t="e">
        <f>AND(Sheet1!H3355,"AAAAAG1///Y=")</f>
        <v>#VALUE!</v>
      </c>
      <c r="IN249" t="e">
        <f>AND(Sheet1!I3355,"AAAAAG1///c=")</f>
        <v>#VALUE!</v>
      </c>
      <c r="IO249" t="e">
        <f>AND(Sheet1!J3355,"AAAAAG1///g=")</f>
        <v>#VALUE!</v>
      </c>
      <c r="IP249" t="e">
        <f>AND(Sheet1!K3355,"AAAAAG1///k=")</f>
        <v>#VALUE!</v>
      </c>
      <c r="IQ249" t="e">
        <f>AND(Sheet1!L3355,"AAAAAG1///o=")</f>
        <v>#VALUE!</v>
      </c>
      <c r="IR249" t="e">
        <f>AND(Sheet1!M3355,"AAAAAG1///s=")</f>
        <v>#VALUE!</v>
      </c>
      <c r="IS249" t="e">
        <f>AND(Sheet1!N3355,"AAAAAG1///w=")</f>
        <v>#VALUE!</v>
      </c>
      <c r="IT249" t="e">
        <f>AND(Sheet1!#REF!,"AAAAAG1///0=")</f>
        <v>#REF!</v>
      </c>
      <c r="IU249" t="e">
        <f>AND(Sheet1!#REF!,"AAAAAG1///4=")</f>
        <v>#REF!</v>
      </c>
      <c r="IV249" t="e">
        <f>AND(Sheet1!#REF!,"AAAAAG1///8=")</f>
        <v>#REF!</v>
      </c>
    </row>
    <row r="250" spans="1:256" x14ac:dyDescent="0.2">
      <c r="A250" t="e">
        <f>AND(Sheet1!#REF!,"AAAAAA/1UwA=")</f>
        <v>#REF!</v>
      </c>
      <c r="B250" t="e">
        <f>IF(Sheet1!3356:3356,"AAAAAA/1UwE=",0)</f>
        <v>#VALUE!</v>
      </c>
      <c r="C250" t="e">
        <f>AND(Sheet1!A3356,"AAAAAA/1UwI=")</f>
        <v>#VALUE!</v>
      </c>
      <c r="D250" t="e">
        <f>AND(Sheet1!B3356,"AAAAAA/1UwM=")</f>
        <v>#VALUE!</v>
      </c>
      <c r="E250" t="e">
        <f>AND(Sheet1!C3356,"AAAAAA/1UwQ=")</f>
        <v>#VALUE!</v>
      </c>
      <c r="F250" t="e">
        <f>AND(Sheet1!D3356,"AAAAAA/1UwU=")</f>
        <v>#VALUE!</v>
      </c>
      <c r="G250" t="e">
        <f>AND(Sheet1!E3356,"AAAAAA/1UwY=")</f>
        <v>#VALUE!</v>
      </c>
      <c r="H250" t="e">
        <f>AND(Sheet1!F3356,"AAAAAA/1Uwc=")</f>
        <v>#VALUE!</v>
      </c>
      <c r="I250" t="e">
        <f>AND(Sheet1!G3356,"AAAAAA/1Uwg=")</f>
        <v>#VALUE!</v>
      </c>
      <c r="J250" t="e">
        <f>AND(Sheet1!H3356,"AAAAAA/1Uwk=")</f>
        <v>#VALUE!</v>
      </c>
      <c r="K250" t="e">
        <f>AND(Sheet1!I3356,"AAAAAA/1Uwo=")</f>
        <v>#VALUE!</v>
      </c>
      <c r="L250" t="e">
        <f>AND(Sheet1!J3356,"AAAAAA/1Uws=")</f>
        <v>#VALUE!</v>
      </c>
      <c r="M250" t="e">
        <f>AND(Sheet1!K3356,"AAAAAA/1Uww=")</f>
        <v>#VALUE!</v>
      </c>
      <c r="N250" t="e">
        <f>AND(Sheet1!L3356,"AAAAAA/1Uw0=")</f>
        <v>#VALUE!</v>
      </c>
      <c r="O250" t="e">
        <f>AND(Sheet1!M3356,"AAAAAA/1Uw4=")</f>
        <v>#VALUE!</v>
      </c>
      <c r="P250" t="e">
        <f>AND(Sheet1!N3356,"AAAAAA/1Uw8=")</f>
        <v>#VALUE!</v>
      </c>
      <c r="Q250" t="e">
        <f>AND(Sheet1!#REF!,"AAAAAA/1UxA=")</f>
        <v>#REF!</v>
      </c>
      <c r="R250" t="e">
        <f>AND(Sheet1!#REF!,"AAAAAA/1UxE=")</f>
        <v>#REF!</v>
      </c>
      <c r="S250" t="e">
        <f>AND(Sheet1!#REF!,"AAAAAA/1UxI=")</f>
        <v>#REF!</v>
      </c>
      <c r="T250" t="e">
        <f>AND(Sheet1!#REF!,"AAAAAA/1UxM=")</f>
        <v>#REF!</v>
      </c>
      <c r="U250">
        <f>IF(Sheet1!3357:3357,"AAAAAA/1UxQ=",0)</f>
        <v>0</v>
      </c>
      <c r="V250" t="e">
        <f>AND(Sheet1!A3357,"AAAAAA/1UxU=")</f>
        <v>#VALUE!</v>
      </c>
      <c r="W250" t="e">
        <f>AND(Sheet1!B3357,"AAAAAA/1UxY=")</f>
        <v>#VALUE!</v>
      </c>
      <c r="X250" t="e">
        <f>AND(Sheet1!C3357,"AAAAAA/1Uxc=")</f>
        <v>#VALUE!</v>
      </c>
      <c r="Y250" t="e">
        <f>AND(Sheet1!D3357,"AAAAAA/1Uxg=")</f>
        <v>#VALUE!</v>
      </c>
      <c r="Z250" t="e">
        <f>AND(Sheet1!E3357,"AAAAAA/1Uxk=")</f>
        <v>#VALUE!</v>
      </c>
      <c r="AA250" t="e">
        <f>AND(Sheet1!F3357,"AAAAAA/1Uxo=")</f>
        <v>#VALUE!</v>
      </c>
      <c r="AB250" t="e">
        <f>AND(Sheet1!G3357,"AAAAAA/1Uxs=")</f>
        <v>#VALUE!</v>
      </c>
      <c r="AC250" t="e">
        <f>AND(Sheet1!H3357,"AAAAAA/1Uxw=")</f>
        <v>#VALUE!</v>
      </c>
      <c r="AD250" t="e">
        <f>AND(Sheet1!I3357,"AAAAAA/1Ux0=")</f>
        <v>#VALUE!</v>
      </c>
      <c r="AE250" t="e">
        <f>AND(Sheet1!J3357,"AAAAAA/1Ux4=")</f>
        <v>#VALUE!</v>
      </c>
      <c r="AF250" t="e">
        <f>AND(Sheet1!K3357,"AAAAAA/1Ux8=")</f>
        <v>#VALUE!</v>
      </c>
      <c r="AG250" t="e">
        <f>AND(Sheet1!L3357,"AAAAAA/1UyA=")</f>
        <v>#VALUE!</v>
      </c>
      <c r="AH250" t="e">
        <f>AND(Sheet1!M3357,"AAAAAA/1UyE=")</f>
        <v>#VALUE!</v>
      </c>
      <c r="AI250" t="e">
        <f>AND(Sheet1!N3357,"AAAAAA/1UyI=")</f>
        <v>#VALUE!</v>
      </c>
      <c r="AJ250" t="e">
        <f>AND(Sheet1!#REF!,"AAAAAA/1UyM=")</f>
        <v>#REF!</v>
      </c>
      <c r="AK250" t="e">
        <f>AND(Sheet1!#REF!,"AAAAAA/1UyQ=")</f>
        <v>#REF!</v>
      </c>
      <c r="AL250" t="e">
        <f>AND(Sheet1!#REF!,"AAAAAA/1UyU=")</f>
        <v>#REF!</v>
      </c>
      <c r="AM250" t="e">
        <f>AND(Sheet1!#REF!,"AAAAAA/1UyY=")</f>
        <v>#REF!</v>
      </c>
      <c r="AN250">
        <f>IF(Sheet1!3358:3358,"AAAAAA/1Uyc=",0)</f>
        <v>0</v>
      </c>
      <c r="AO250" t="e">
        <f>AND(Sheet1!A3358,"AAAAAA/1Uyg=")</f>
        <v>#VALUE!</v>
      </c>
      <c r="AP250" t="e">
        <f>AND(Sheet1!B3358,"AAAAAA/1Uyk=")</f>
        <v>#VALUE!</v>
      </c>
      <c r="AQ250" t="e">
        <f>AND(Sheet1!C3358,"AAAAAA/1Uyo=")</f>
        <v>#VALUE!</v>
      </c>
      <c r="AR250" t="e">
        <f>AND(Sheet1!D3358,"AAAAAA/1Uys=")</f>
        <v>#VALUE!</v>
      </c>
      <c r="AS250" t="e">
        <f>AND(Sheet1!E3358,"AAAAAA/1Uyw=")</f>
        <v>#VALUE!</v>
      </c>
      <c r="AT250" t="e">
        <f>AND(Sheet1!F3358,"AAAAAA/1Uy0=")</f>
        <v>#VALUE!</v>
      </c>
      <c r="AU250" t="e">
        <f>AND(Sheet1!G3358,"AAAAAA/1Uy4=")</f>
        <v>#VALUE!</v>
      </c>
      <c r="AV250" t="e">
        <f>AND(Sheet1!H3358,"AAAAAA/1Uy8=")</f>
        <v>#VALUE!</v>
      </c>
      <c r="AW250" t="e">
        <f>AND(Sheet1!I3358,"AAAAAA/1UzA=")</f>
        <v>#VALUE!</v>
      </c>
      <c r="AX250" t="e">
        <f>AND(Sheet1!J3358,"AAAAAA/1UzE=")</f>
        <v>#VALUE!</v>
      </c>
      <c r="AY250" t="e">
        <f>AND(Sheet1!K3358,"AAAAAA/1UzI=")</f>
        <v>#VALUE!</v>
      </c>
      <c r="AZ250" t="e">
        <f>AND(Sheet1!L3358,"AAAAAA/1UzM=")</f>
        <v>#VALUE!</v>
      </c>
      <c r="BA250" t="e">
        <f>AND(Sheet1!M3358,"AAAAAA/1UzQ=")</f>
        <v>#VALUE!</v>
      </c>
      <c r="BB250" t="e">
        <f>AND(Sheet1!N3358,"AAAAAA/1UzU=")</f>
        <v>#VALUE!</v>
      </c>
      <c r="BC250" t="e">
        <f>AND(Sheet1!#REF!,"AAAAAA/1UzY=")</f>
        <v>#REF!</v>
      </c>
      <c r="BD250" t="e">
        <f>AND(Sheet1!#REF!,"AAAAAA/1Uzc=")</f>
        <v>#REF!</v>
      </c>
      <c r="BE250" t="e">
        <f>AND(Sheet1!#REF!,"AAAAAA/1Uzg=")</f>
        <v>#REF!</v>
      </c>
      <c r="BF250" t="e">
        <f>AND(Sheet1!#REF!,"AAAAAA/1Uzk=")</f>
        <v>#REF!</v>
      </c>
      <c r="BG250">
        <f>IF(Sheet1!3359:3359,"AAAAAA/1Uzo=",0)</f>
        <v>0</v>
      </c>
      <c r="BH250" t="e">
        <f>AND(Sheet1!A3359,"AAAAAA/1Uzs=")</f>
        <v>#VALUE!</v>
      </c>
      <c r="BI250" t="e">
        <f>AND(Sheet1!B3359,"AAAAAA/1Uzw=")</f>
        <v>#VALUE!</v>
      </c>
      <c r="BJ250" t="e">
        <f>AND(Sheet1!C3359,"AAAAAA/1Uz0=")</f>
        <v>#VALUE!</v>
      </c>
      <c r="BK250" t="e">
        <f>AND(Sheet1!D3359,"AAAAAA/1Uz4=")</f>
        <v>#VALUE!</v>
      </c>
      <c r="BL250" t="e">
        <f>AND(Sheet1!E3359,"AAAAAA/1Uz8=")</f>
        <v>#VALUE!</v>
      </c>
      <c r="BM250" t="e">
        <f>AND(Sheet1!F3359,"AAAAAA/1U0A=")</f>
        <v>#VALUE!</v>
      </c>
      <c r="BN250" t="e">
        <f>AND(Sheet1!G3359,"AAAAAA/1U0E=")</f>
        <v>#VALUE!</v>
      </c>
      <c r="BO250" t="e">
        <f>AND(Sheet1!H3359,"AAAAAA/1U0I=")</f>
        <v>#VALUE!</v>
      </c>
      <c r="BP250" t="e">
        <f>AND(Sheet1!I3359,"AAAAAA/1U0M=")</f>
        <v>#VALUE!</v>
      </c>
      <c r="BQ250" t="e">
        <f>AND(Sheet1!J3359,"AAAAAA/1U0Q=")</f>
        <v>#VALUE!</v>
      </c>
      <c r="BR250" t="e">
        <f>AND(Sheet1!K3359,"AAAAAA/1U0U=")</f>
        <v>#VALUE!</v>
      </c>
      <c r="BS250" t="e">
        <f>AND(Sheet1!L3359,"AAAAAA/1U0Y=")</f>
        <v>#VALUE!</v>
      </c>
      <c r="BT250" t="e">
        <f>AND(Sheet1!M3359,"AAAAAA/1U0c=")</f>
        <v>#VALUE!</v>
      </c>
      <c r="BU250" t="e">
        <f>AND(Sheet1!N3359,"AAAAAA/1U0g=")</f>
        <v>#VALUE!</v>
      </c>
      <c r="BV250" t="e">
        <f>AND(Sheet1!#REF!,"AAAAAA/1U0k=")</f>
        <v>#REF!</v>
      </c>
      <c r="BW250" t="e">
        <f>AND(Sheet1!#REF!,"AAAAAA/1U0o=")</f>
        <v>#REF!</v>
      </c>
      <c r="BX250" t="e">
        <f>AND(Sheet1!#REF!,"AAAAAA/1U0s=")</f>
        <v>#REF!</v>
      </c>
      <c r="BY250" t="e">
        <f>AND(Sheet1!#REF!,"AAAAAA/1U0w=")</f>
        <v>#REF!</v>
      </c>
      <c r="BZ250">
        <f>IF(Sheet1!3360:3360,"AAAAAA/1U00=",0)</f>
        <v>0</v>
      </c>
      <c r="CA250" t="e">
        <f>AND(Sheet1!A3360,"AAAAAA/1U04=")</f>
        <v>#VALUE!</v>
      </c>
      <c r="CB250" t="e">
        <f>AND(Sheet1!B3360,"AAAAAA/1U08=")</f>
        <v>#VALUE!</v>
      </c>
      <c r="CC250" t="e">
        <f>AND(Sheet1!C3360,"AAAAAA/1U1A=")</f>
        <v>#VALUE!</v>
      </c>
      <c r="CD250" t="e">
        <f>AND(Sheet1!D3360,"AAAAAA/1U1E=")</f>
        <v>#VALUE!</v>
      </c>
      <c r="CE250" t="e">
        <f>AND(Sheet1!E3360,"AAAAAA/1U1I=")</f>
        <v>#VALUE!</v>
      </c>
      <c r="CF250" t="e">
        <f>AND(Sheet1!F3360,"AAAAAA/1U1M=")</f>
        <v>#VALUE!</v>
      </c>
      <c r="CG250" t="e">
        <f>AND(Sheet1!G3360,"AAAAAA/1U1Q=")</f>
        <v>#VALUE!</v>
      </c>
      <c r="CH250" t="e">
        <f>AND(Sheet1!H3360,"AAAAAA/1U1U=")</f>
        <v>#VALUE!</v>
      </c>
      <c r="CI250" t="e">
        <f>AND(Sheet1!I3360,"AAAAAA/1U1Y=")</f>
        <v>#VALUE!</v>
      </c>
      <c r="CJ250" t="e">
        <f>AND(Sheet1!J3360,"AAAAAA/1U1c=")</f>
        <v>#VALUE!</v>
      </c>
      <c r="CK250" t="e">
        <f>AND(Sheet1!K3360,"AAAAAA/1U1g=")</f>
        <v>#VALUE!</v>
      </c>
      <c r="CL250" t="e">
        <f>AND(Sheet1!L3360,"AAAAAA/1U1k=")</f>
        <v>#VALUE!</v>
      </c>
      <c r="CM250" t="e">
        <f>AND(Sheet1!M3360,"AAAAAA/1U1o=")</f>
        <v>#VALUE!</v>
      </c>
      <c r="CN250" t="e">
        <f>AND(Sheet1!N3360,"AAAAAA/1U1s=")</f>
        <v>#VALUE!</v>
      </c>
      <c r="CO250" t="e">
        <f>AND(Sheet1!#REF!,"AAAAAA/1U1w=")</f>
        <v>#REF!</v>
      </c>
      <c r="CP250" t="e">
        <f>AND(Sheet1!#REF!,"AAAAAA/1U10=")</f>
        <v>#REF!</v>
      </c>
      <c r="CQ250" t="e">
        <f>AND(Sheet1!#REF!,"AAAAAA/1U14=")</f>
        <v>#REF!</v>
      </c>
      <c r="CR250" t="e">
        <f>AND(Sheet1!#REF!,"AAAAAA/1U18=")</f>
        <v>#REF!</v>
      </c>
      <c r="CS250">
        <f>IF(Sheet1!3361:3361,"AAAAAA/1U2A=",0)</f>
        <v>0</v>
      </c>
      <c r="CT250" t="e">
        <f>AND(Sheet1!A3361,"AAAAAA/1U2E=")</f>
        <v>#VALUE!</v>
      </c>
      <c r="CU250" t="e">
        <f>AND(Sheet1!B3361,"AAAAAA/1U2I=")</f>
        <v>#VALUE!</v>
      </c>
      <c r="CV250" t="e">
        <f>AND(Sheet1!C3361,"AAAAAA/1U2M=")</f>
        <v>#VALUE!</v>
      </c>
      <c r="CW250" t="e">
        <f>AND(Sheet1!D3361,"AAAAAA/1U2Q=")</f>
        <v>#VALUE!</v>
      </c>
      <c r="CX250" t="e">
        <f>AND(Sheet1!E3361,"AAAAAA/1U2U=")</f>
        <v>#VALUE!</v>
      </c>
      <c r="CY250" t="e">
        <f>AND(Sheet1!F3361,"AAAAAA/1U2Y=")</f>
        <v>#VALUE!</v>
      </c>
      <c r="CZ250" t="e">
        <f>AND(Sheet1!G3361,"AAAAAA/1U2c=")</f>
        <v>#VALUE!</v>
      </c>
      <c r="DA250" t="e">
        <f>AND(Sheet1!H3361,"AAAAAA/1U2g=")</f>
        <v>#VALUE!</v>
      </c>
      <c r="DB250" t="e">
        <f>AND(Sheet1!I3361,"AAAAAA/1U2k=")</f>
        <v>#VALUE!</v>
      </c>
      <c r="DC250" t="e">
        <f>AND(Sheet1!J3361,"AAAAAA/1U2o=")</f>
        <v>#VALUE!</v>
      </c>
      <c r="DD250" t="e">
        <f>AND(Sheet1!K3361,"AAAAAA/1U2s=")</f>
        <v>#VALUE!</v>
      </c>
      <c r="DE250" t="e">
        <f>AND(Sheet1!L3361,"AAAAAA/1U2w=")</f>
        <v>#VALUE!</v>
      </c>
      <c r="DF250" t="e">
        <f>AND(Sheet1!M3361,"AAAAAA/1U20=")</f>
        <v>#VALUE!</v>
      </c>
      <c r="DG250" t="e">
        <f>AND(Sheet1!N3361,"AAAAAA/1U24=")</f>
        <v>#VALUE!</v>
      </c>
      <c r="DH250" t="e">
        <f>AND(Sheet1!#REF!,"AAAAAA/1U28=")</f>
        <v>#REF!</v>
      </c>
      <c r="DI250" t="e">
        <f>AND(Sheet1!#REF!,"AAAAAA/1U3A=")</f>
        <v>#REF!</v>
      </c>
      <c r="DJ250" t="e">
        <f>AND(Sheet1!#REF!,"AAAAAA/1U3E=")</f>
        <v>#REF!</v>
      </c>
      <c r="DK250" t="e">
        <f>AND(Sheet1!#REF!,"AAAAAA/1U3I=")</f>
        <v>#REF!</v>
      </c>
      <c r="DL250">
        <f>IF(Sheet1!3362:3362,"AAAAAA/1U3M=",0)</f>
        <v>0</v>
      </c>
      <c r="DM250" t="e">
        <f>AND(Sheet1!A3362,"AAAAAA/1U3Q=")</f>
        <v>#VALUE!</v>
      </c>
      <c r="DN250" t="e">
        <f>AND(Sheet1!B3362,"AAAAAA/1U3U=")</f>
        <v>#VALUE!</v>
      </c>
      <c r="DO250" t="e">
        <f>AND(Sheet1!C3362,"AAAAAA/1U3Y=")</f>
        <v>#VALUE!</v>
      </c>
      <c r="DP250" t="e">
        <f>AND(Sheet1!D3362,"AAAAAA/1U3c=")</f>
        <v>#VALUE!</v>
      </c>
      <c r="DQ250" t="e">
        <f>AND(Sheet1!E3362,"AAAAAA/1U3g=")</f>
        <v>#VALUE!</v>
      </c>
      <c r="DR250" t="e">
        <f>AND(Sheet1!F3362,"AAAAAA/1U3k=")</f>
        <v>#VALUE!</v>
      </c>
      <c r="DS250" t="e">
        <f>AND(Sheet1!G3362,"AAAAAA/1U3o=")</f>
        <v>#VALUE!</v>
      </c>
      <c r="DT250" t="e">
        <f>AND(Sheet1!H3362,"AAAAAA/1U3s=")</f>
        <v>#VALUE!</v>
      </c>
      <c r="DU250" t="e">
        <f>AND(Sheet1!I3362,"AAAAAA/1U3w=")</f>
        <v>#VALUE!</v>
      </c>
      <c r="DV250" t="e">
        <f>AND(Sheet1!J3362,"AAAAAA/1U30=")</f>
        <v>#VALUE!</v>
      </c>
      <c r="DW250" t="e">
        <f>AND(Sheet1!K3362,"AAAAAA/1U34=")</f>
        <v>#VALUE!</v>
      </c>
      <c r="DX250" t="e">
        <f>AND(Sheet1!L3362,"AAAAAA/1U38=")</f>
        <v>#VALUE!</v>
      </c>
      <c r="DY250" t="e">
        <f>AND(Sheet1!M3362,"AAAAAA/1U4A=")</f>
        <v>#VALUE!</v>
      </c>
      <c r="DZ250" t="e">
        <f>AND(Sheet1!N3362,"AAAAAA/1U4E=")</f>
        <v>#VALUE!</v>
      </c>
      <c r="EA250" t="e">
        <f>AND(Sheet1!#REF!,"AAAAAA/1U4I=")</f>
        <v>#REF!</v>
      </c>
      <c r="EB250" t="e">
        <f>AND(Sheet1!#REF!,"AAAAAA/1U4M=")</f>
        <v>#REF!</v>
      </c>
      <c r="EC250" t="e">
        <f>AND(Sheet1!#REF!,"AAAAAA/1U4Q=")</f>
        <v>#REF!</v>
      </c>
      <c r="ED250" t="e">
        <f>AND(Sheet1!#REF!,"AAAAAA/1U4U=")</f>
        <v>#REF!</v>
      </c>
      <c r="EE250">
        <f>IF(Sheet1!3363:3363,"AAAAAA/1U4Y=",0)</f>
        <v>0</v>
      </c>
      <c r="EF250" t="e">
        <f>AND(Sheet1!A3363,"AAAAAA/1U4c=")</f>
        <v>#VALUE!</v>
      </c>
      <c r="EG250" t="e">
        <f>AND(Sheet1!B3363,"AAAAAA/1U4g=")</f>
        <v>#VALUE!</v>
      </c>
      <c r="EH250" t="e">
        <f>AND(Sheet1!C3363,"AAAAAA/1U4k=")</f>
        <v>#VALUE!</v>
      </c>
      <c r="EI250" t="e">
        <f>AND(Sheet1!D3363,"AAAAAA/1U4o=")</f>
        <v>#VALUE!</v>
      </c>
      <c r="EJ250" t="e">
        <f>AND(Sheet1!E3363,"AAAAAA/1U4s=")</f>
        <v>#VALUE!</v>
      </c>
      <c r="EK250" t="e">
        <f>AND(Sheet1!F3363,"AAAAAA/1U4w=")</f>
        <v>#VALUE!</v>
      </c>
      <c r="EL250" t="e">
        <f>AND(Sheet1!G3363,"AAAAAA/1U40=")</f>
        <v>#VALUE!</v>
      </c>
      <c r="EM250" t="e">
        <f>AND(Sheet1!H3363,"AAAAAA/1U44=")</f>
        <v>#VALUE!</v>
      </c>
      <c r="EN250" t="e">
        <f>AND(Sheet1!I3363,"AAAAAA/1U48=")</f>
        <v>#VALUE!</v>
      </c>
      <c r="EO250" t="e">
        <f>AND(Sheet1!J3363,"AAAAAA/1U5A=")</f>
        <v>#VALUE!</v>
      </c>
      <c r="EP250" t="e">
        <f>AND(Sheet1!K3363,"AAAAAA/1U5E=")</f>
        <v>#VALUE!</v>
      </c>
      <c r="EQ250" t="e">
        <f>AND(Sheet1!L3363,"AAAAAA/1U5I=")</f>
        <v>#VALUE!</v>
      </c>
      <c r="ER250" t="e">
        <f>AND(Sheet1!M3363,"AAAAAA/1U5M=")</f>
        <v>#VALUE!</v>
      </c>
      <c r="ES250" t="e">
        <f>AND(Sheet1!N3363,"AAAAAA/1U5Q=")</f>
        <v>#VALUE!</v>
      </c>
      <c r="ET250" t="e">
        <f>AND(Sheet1!#REF!,"AAAAAA/1U5U=")</f>
        <v>#REF!</v>
      </c>
      <c r="EU250" t="e">
        <f>AND(Sheet1!#REF!,"AAAAAA/1U5Y=")</f>
        <v>#REF!</v>
      </c>
      <c r="EV250" t="e">
        <f>AND(Sheet1!#REF!,"AAAAAA/1U5c=")</f>
        <v>#REF!</v>
      </c>
      <c r="EW250" t="e">
        <f>AND(Sheet1!#REF!,"AAAAAA/1U5g=")</f>
        <v>#REF!</v>
      </c>
      <c r="EX250">
        <f>IF(Sheet1!3364:3364,"AAAAAA/1U5k=",0)</f>
        <v>0</v>
      </c>
      <c r="EY250" t="e">
        <f>AND(Sheet1!A3364,"AAAAAA/1U5o=")</f>
        <v>#VALUE!</v>
      </c>
      <c r="EZ250" t="e">
        <f>AND(Sheet1!B3364,"AAAAAA/1U5s=")</f>
        <v>#VALUE!</v>
      </c>
      <c r="FA250" t="e">
        <f>AND(Sheet1!C3364,"AAAAAA/1U5w=")</f>
        <v>#VALUE!</v>
      </c>
      <c r="FB250" t="e">
        <f>AND(Sheet1!D3364,"AAAAAA/1U50=")</f>
        <v>#VALUE!</v>
      </c>
      <c r="FC250" t="e">
        <f>AND(Sheet1!E3364,"AAAAAA/1U54=")</f>
        <v>#VALUE!</v>
      </c>
      <c r="FD250" t="e">
        <f>AND(Sheet1!F3364,"AAAAAA/1U58=")</f>
        <v>#VALUE!</v>
      </c>
      <c r="FE250" t="e">
        <f>AND(Sheet1!G3364,"AAAAAA/1U6A=")</f>
        <v>#VALUE!</v>
      </c>
      <c r="FF250" t="e">
        <f>AND(Sheet1!H3364,"AAAAAA/1U6E=")</f>
        <v>#VALUE!</v>
      </c>
      <c r="FG250" t="e">
        <f>AND(Sheet1!I3364,"AAAAAA/1U6I=")</f>
        <v>#VALUE!</v>
      </c>
      <c r="FH250" t="e">
        <f>AND(Sheet1!J3364,"AAAAAA/1U6M=")</f>
        <v>#VALUE!</v>
      </c>
      <c r="FI250" t="e">
        <f>AND(Sheet1!K3364,"AAAAAA/1U6Q=")</f>
        <v>#VALUE!</v>
      </c>
      <c r="FJ250" t="e">
        <f>AND(Sheet1!L3364,"AAAAAA/1U6U=")</f>
        <v>#VALUE!</v>
      </c>
      <c r="FK250" t="e">
        <f>AND(Sheet1!M3364,"AAAAAA/1U6Y=")</f>
        <v>#VALUE!</v>
      </c>
      <c r="FL250" t="e">
        <f>AND(Sheet1!N3364,"AAAAAA/1U6c=")</f>
        <v>#VALUE!</v>
      </c>
      <c r="FM250" t="e">
        <f>AND(Sheet1!#REF!,"AAAAAA/1U6g=")</f>
        <v>#REF!</v>
      </c>
      <c r="FN250" t="e">
        <f>AND(Sheet1!#REF!,"AAAAAA/1U6k=")</f>
        <v>#REF!</v>
      </c>
      <c r="FO250" t="e">
        <f>AND(Sheet1!#REF!,"AAAAAA/1U6o=")</f>
        <v>#REF!</v>
      </c>
      <c r="FP250" t="e">
        <f>AND(Sheet1!#REF!,"AAAAAA/1U6s=")</f>
        <v>#REF!</v>
      </c>
      <c r="FQ250">
        <f>IF(Sheet1!3365:3365,"AAAAAA/1U6w=",0)</f>
        <v>0</v>
      </c>
      <c r="FR250" t="e">
        <f>AND(Sheet1!A3365,"AAAAAA/1U60=")</f>
        <v>#VALUE!</v>
      </c>
      <c r="FS250" t="e">
        <f>AND(Sheet1!B3365,"AAAAAA/1U64=")</f>
        <v>#VALUE!</v>
      </c>
      <c r="FT250" t="e">
        <f>AND(Sheet1!C3365,"AAAAAA/1U68=")</f>
        <v>#VALUE!</v>
      </c>
      <c r="FU250" t="e">
        <f>AND(Sheet1!D3365,"AAAAAA/1U7A=")</f>
        <v>#VALUE!</v>
      </c>
      <c r="FV250" t="e">
        <f>AND(Sheet1!E3365,"AAAAAA/1U7E=")</f>
        <v>#VALUE!</v>
      </c>
      <c r="FW250" t="e">
        <f>AND(Sheet1!F3365,"AAAAAA/1U7I=")</f>
        <v>#VALUE!</v>
      </c>
      <c r="FX250" t="e">
        <f>AND(Sheet1!G3365,"AAAAAA/1U7M=")</f>
        <v>#VALUE!</v>
      </c>
      <c r="FY250" t="e">
        <f>AND(Sheet1!H3365,"AAAAAA/1U7Q=")</f>
        <v>#VALUE!</v>
      </c>
      <c r="FZ250" t="e">
        <f>AND(Sheet1!I3365,"AAAAAA/1U7U=")</f>
        <v>#VALUE!</v>
      </c>
      <c r="GA250" t="e">
        <f>AND(Sheet1!J3365,"AAAAAA/1U7Y=")</f>
        <v>#VALUE!</v>
      </c>
      <c r="GB250" t="e">
        <f>AND(Sheet1!K3365,"AAAAAA/1U7c=")</f>
        <v>#VALUE!</v>
      </c>
      <c r="GC250" t="e">
        <f>AND(Sheet1!L3365,"AAAAAA/1U7g=")</f>
        <v>#VALUE!</v>
      </c>
      <c r="GD250" t="e">
        <f>AND(Sheet1!M3365,"AAAAAA/1U7k=")</f>
        <v>#VALUE!</v>
      </c>
      <c r="GE250" t="e">
        <f>AND(Sheet1!N3365,"AAAAAA/1U7o=")</f>
        <v>#VALUE!</v>
      </c>
      <c r="GF250" t="e">
        <f>AND(Sheet1!#REF!,"AAAAAA/1U7s=")</f>
        <v>#REF!</v>
      </c>
      <c r="GG250" t="e">
        <f>AND(Sheet1!#REF!,"AAAAAA/1U7w=")</f>
        <v>#REF!</v>
      </c>
      <c r="GH250" t="e">
        <f>AND(Sheet1!#REF!,"AAAAAA/1U70=")</f>
        <v>#REF!</v>
      </c>
      <c r="GI250" t="e">
        <f>AND(Sheet1!#REF!,"AAAAAA/1U74=")</f>
        <v>#REF!</v>
      </c>
      <c r="GJ250">
        <f>IF(Sheet1!3366:3366,"AAAAAA/1U78=",0)</f>
        <v>0</v>
      </c>
      <c r="GK250" t="e">
        <f>AND(Sheet1!A3366,"AAAAAA/1U8A=")</f>
        <v>#VALUE!</v>
      </c>
      <c r="GL250" t="e">
        <f>AND(Sheet1!B3366,"AAAAAA/1U8E=")</f>
        <v>#VALUE!</v>
      </c>
      <c r="GM250" t="e">
        <f>AND(Sheet1!C3366,"AAAAAA/1U8I=")</f>
        <v>#VALUE!</v>
      </c>
      <c r="GN250" t="e">
        <f>AND(Sheet1!D3366,"AAAAAA/1U8M=")</f>
        <v>#VALUE!</v>
      </c>
      <c r="GO250" t="e">
        <f>AND(Sheet1!E3366,"AAAAAA/1U8Q=")</f>
        <v>#VALUE!</v>
      </c>
      <c r="GP250" t="e">
        <f>AND(Sheet1!F3366,"AAAAAA/1U8U=")</f>
        <v>#VALUE!</v>
      </c>
      <c r="GQ250" t="e">
        <f>AND(Sheet1!G3366,"AAAAAA/1U8Y=")</f>
        <v>#VALUE!</v>
      </c>
      <c r="GR250" t="e">
        <f>AND(Sheet1!H3366,"AAAAAA/1U8c=")</f>
        <v>#VALUE!</v>
      </c>
      <c r="GS250" t="e">
        <f>AND(Sheet1!I3366,"AAAAAA/1U8g=")</f>
        <v>#VALUE!</v>
      </c>
      <c r="GT250" t="e">
        <f>AND(Sheet1!J3366,"AAAAAA/1U8k=")</f>
        <v>#VALUE!</v>
      </c>
      <c r="GU250" t="e">
        <f>AND(Sheet1!K3366,"AAAAAA/1U8o=")</f>
        <v>#VALUE!</v>
      </c>
      <c r="GV250" t="e">
        <f>AND(Sheet1!L3366,"AAAAAA/1U8s=")</f>
        <v>#VALUE!</v>
      </c>
      <c r="GW250" t="e">
        <f>AND(Sheet1!M3366,"AAAAAA/1U8w=")</f>
        <v>#VALUE!</v>
      </c>
      <c r="GX250" t="e">
        <f>AND(Sheet1!N3366,"AAAAAA/1U80=")</f>
        <v>#VALUE!</v>
      </c>
      <c r="GY250" t="e">
        <f>AND(Sheet1!#REF!,"AAAAAA/1U84=")</f>
        <v>#REF!</v>
      </c>
      <c r="GZ250" t="e">
        <f>AND(Sheet1!#REF!,"AAAAAA/1U88=")</f>
        <v>#REF!</v>
      </c>
      <c r="HA250" t="e">
        <f>AND(Sheet1!#REF!,"AAAAAA/1U9A=")</f>
        <v>#REF!</v>
      </c>
      <c r="HB250" t="e">
        <f>AND(Sheet1!#REF!,"AAAAAA/1U9E=")</f>
        <v>#REF!</v>
      </c>
      <c r="HC250">
        <f>IF(Sheet1!3367:3367,"AAAAAA/1U9I=",0)</f>
        <v>0</v>
      </c>
      <c r="HD250" t="e">
        <f>AND(Sheet1!A3367,"AAAAAA/1U9M=")</f>
        <v>#VALUE!</v>
      </c>
      <c r="HE250" t="e">
        <f>AND(Sheet1!B3367,"AAAAAA/1U9Q=")</f>
        <v>#VALUE!</v>
      </c>
      <c r="HF250" t="e">
        <f>AND(Sheet1!C3367,"AAAAAA/1U9U=")</f>
        <v>#VALUE!</v>
      </c>
      <c r="HG250" t="e">
        <f>AND(Sheet1!D3367,"AAAAAA/1U9Y=")</f>
        <v>#VALUE!</v>
      </c>
      <c r="HH250" t="e">
        <f>AND(Sheet1!E3367,"AAAAAA/1U9c=")</f>
        <v>#VALUE!</v>
      </c>
      <c r="HI250" t="e">
        <f>AND(Sheet1!F3367,"AAAAAA/1U9g=")</f>
        <v>#VALUE!</v>
      </c>
      <c r="HJ250" t="e">
        <f>AND(Sheet1!G3367,"AAAAAA/1U9k=")</f>
        <v>#VALUE!</v>
      </c>
      <c r="HK250" t="e">
        <f>AND(Sheet1!H3367,"AAAAAA/1U9o=")</f>
        <v>#VALUE!</v>
      </c>
      <c r="HL250" t="e">
        <f>AND(Sheet1!I3367,"AAAAAA/1U9s=")</f>
        <v>#VALUE!</v>
      </c>
      <c r="HM250" t="e">
        <f>AND(Sheet1!J3367,"AAAAAA/1U9w=")</f>
        <v>#VALUE!</v>
      </c>
      <c r="HN250" t="e">
        <f>AND(Sheet1!K3367,"AAAAAA/1U90=")</f>
        <v>#VALUE!</v>
      </c>
      <c r="HO250" t="e">
        <f>AND(Sheet1!L3367,"AAAAAA/1U94=")</f>
        <v>#VALUE!</v>
      </c>
      <c r="HP250" t="e">
        <f>AND(Sheet1!M3367,"AAAAAA/1U98=")</f>
        <v>#VALUE!</v>
      </c>
      <c r="HQ250" t="e">
        <f>AND(Sheet1!N3367,"AAAAAA/1U+A=")</f>
        <v>#VALUE!</v>
      </c>
      <c r="HR250" t="e">
        <f>AND(Sheet1!#REF!,"AAAAAA/1U+E=")</f>
        <v>#REF!</v>
      </c>
      <c r="HS250" t="e">
        <f>AND(Sheet1!#REF!,"AAAAAA/1U+I=")</f>
        <v>#REF!</v>
      </c>
      <c r="HT250" t="e">
        <f>AND(Sheet1!#REF!,"AAAAAA/1U+M=")</f>
        <v>#REF!</v>
      </c>
      <c r="HU250" t="e">
        <f>AND(Sheet1!#REF!,"AAAAAA/1U+Q=")</f>
        <v>#REF!</v>
      </c>
      <c r="HV250">
        <f>IF(Sheet1!3368:3368,"AAAAAA/1U+U=",0)</f>
        <v>0</v>
      </c>
      <c r="HW250" t="e">
        <f>AND(Sheet1!A3368,"AAAAAA/1U+Y=")</f>
        <v>#VALUE!</v>
      </c>
      <c r="HX250" t="e">
        <f>AND(Sheet1!B3368,"AAAAAA/1U+c=")</f>
        <v>#VALUE!</v>
      </c>
      <c r="HY250" t="e">
        <f>AND(Sheet1!C3368,"AAAAAA/1U+g=")</f>
        <v>#VALUE!</v>
      </c>
      <c r="HZ250" t="e">
        <f>AND(Sheet1!D3368,"AAAAAA/1U+k=")</f>
        <v>#VALUE!</v>
      </c>
      <c r="IA250" t="e">
        <f>AND(Sheet1!E3368,"AAAAAA/1U+o=")</f>
        <v>#VALUE!</v>
      </c>
      <c r="IB250" t="e">
        <f>AND(Sheet1!F3368,"AAAAAA/1U+s=")</f>
        <v>#VALUE!</v>
      </c>
      <c r="IC250" t="e">
        <f>AND(Sheet1!G3368,"AAAAAA/1U+w=")</f>
        <v>#VALUE!</v>
      </c>
      <c r="ID250" t="e">
        <f>AND(Sheet1!H3368,"AAAAAA/1U+0=")</f>
        <v>#VALUE!</v>
      </c>
      <c r="IE250" t="e">
        <f>AND(Sheet1!I3368,"AAAAAA/1U+4=")</f>
        <v>#VALUE!</v>
      </c>
      <c r="IF250" t="e">
        <f>AND(Sheet1!J3368,"AAAAAA/1U+8=")</f>
        <v>#VALUE!</v>
      </c>
      <c r="IG250" t="e">
        <f>AND(Sheet1!K3368,"AAAAAA/1U/A=")</f>
        <v>#VALUE!</v>
      </c>
      <c r="IH250" t="e">
        <f>AND(Sheet1!L3368,"AAAAAA/1U/E=")</f>
        <v>#VALUE!</v>
      </c>
      <c r="II250" t="e">
        <f>AND(Sheet1!M3368,"AAAAAA/1U/I=")</f>
        <v>#VALUE!</v>
      </c>
      <c r="IJ250" t="e">
        <f>AND(Sheet1!N3368,"AAAAAA/1U/M=")</f>
        <v>#VALUE!</v>
      </c>
      <c r="IK250" t="e">
        <f>AND(Sheet1!#REF!,"AAAAAA/1U/Q=")</f>
        <v>#REF!</v>
      </c>
      <c r="IL250" t="e">
        <f>AND(Sheet1!#REF!,"AAAAAA/1U/U=")</f>
        <v>#REF!</v>
      </c>
      <c r="IM250" t="e">
        <f>AND(Sheet1!#REF!,"AAAAAA/1U/Y=")</f>
        <v>#REF!</v>
      </c>
      <c r="IN250" t="e">
        <f>AND(Sheet1!#REF!,"AAAAAA/1U/c=")</f>
        <v>#REF!</v>
      </c>
      <c r="IO250">
        <f>IF(Sheet1!3369:3369,"AAAAAA/1U/g=",0)</f>
        <v>0</v>
      </c>
      <c r="IP250" t="e">
        <f>AND(Sheet1!A3369,"AAAAAA/1U/k=")</f>
        <v>#VALUE!</v>
      </c>
      <c r="IQ250" t="e">
        <f>AND(Sheet1!B3369,"AAAAAA/1U/o=")</f>
        <v>#VALUE!</v>
      </c>
      <c r="IR250" t="e">
        <f>AND(Sheet1!C3369,"AAAAAA/1U/s=")</f>
        <v>#VALUE!</v>
      </c>
      <c r="IS250" t="e">
        <f>AND(Sheet1!D3369,"AAAAAA/1U/w=")</f>
        <v>#VALUE!</v>
      </c>
      <c r="IT250" t="e">
        <f>AND(Sheet1!E3369,"AAAAAA/1U/0=")</f>
        <v>#VALUE!</v>
      </c>
      <c r="IU250" t="e">
        <f>AND(Sheet1!F3369,"AAAAAA/1U/4=")</f>
        <v>#VALUE!</v>
      </c>
      <c r="IV250" t="e">
        <f>AND(Sheet1!G3369,"AAAAAA/1U/8=")</f>
        <v>#VALUE!</v>
      </c>
    </row>
    <row r="251" spans="1:256" x14ac:dyDescent="0.2">
      <c r="A251" t="e">
        <f>AND(Sheet1!H3369,"AAAAAHU9fwA=")</f>
        <v>#VALUE!</v>
      </c>
      <c r="B251" t="e">
        <f>AND(Sheet1!I3369,"AAAAAHU9fwE=")</f>
        <v>#VALUE!</v>
      </c>
      <c r="C251" t="e">
        <f>AND(Sheet1!J3369,"AAAAAHU9fwI=")</f>
        <v>#VALUE!</v>
      </c>
      <c r="D251" t="e">
        <f>AND(Sheet1!K3369,"AAAAAHU9fwM=")</f>
        <v>#VALUE!</v>
      </c>
      <c r="E251" t="e">
        <f>AND(Sheet1!L3369,"AAAAAHU9fwQ=")</f>
        <v>#VALUE!</v>
      </c>
      <c r="F251" t="e">
        <f>AND(Sheet1!M3369,"AAAAAHU9fwU=")</f>
        <v>#VALUE!</v>
      </c>
      <c r="G251" t="e">
        <f>AND(Sheet1!N3369,"AAAAAHU9fwY=")</f>
        <v>#VALUE!</v>
      </c>
      <c r="H251" t="e">
        <f>AND(Sheet1!#REF!,"AAAAAHU9fwc=")</f>
        <v>#REF!</v>
      </c>
      <c r="I251" t="e">
        <f>AND(Sheet1!#REF!,"AAAAAHU9fwg=")</f>
        <v>#REF!</v>
      </c>
      <c r="J251" t="e">
        <f>AND(Sheet1!#REF!,"AAAAAHU9fwk=")</f>
        <v>#REF!</v>
      </c>
      <c r="K251" t="e">
        <f>AND(Sheet1!#REF!,"AAAAAHU9fwo=")</f>
        <v>#REF!</v>
      </c>
      <c r="L251">
        <f>IF(Sheet1!3370:3370,"AAAAAHU9fws=",0)</f>
        <v>0</v>
      </c>
      <c r="M251" t="e">
        <f>AND(Sheet1!A3370,"AAAAAHU9fww=")</f>
        <v>#VALUE!</v>
      </c>
      <c r="N251" t="e">
        <f>AND(Sheet1!B3370,"AAAAAHU9fw0=")</f>
        <v>#VALUE!</v>
      </c>
      <c r="O251" t="e">
        <f>AND(Sheet1!C3370,"AAAAAHU9fw4=")</f>
        <v>#VALUE!</v>
      </c>
      <c r="P251" t="e">
        <f>AND(Sheet1!D3370,"AAAAAHU9fw8=")</f>
        <v>#VALUE!</v>
      </c>
      <c r="Q251" t="e">
        <f>AND(Sheet1!E3370,"AAAAAHU9fxA=")</f>
        <v>#VALUE!</v>
      </c>
      <c r="R251" t="e">
        <f>AND(Sheet1!F3370,"AAAAAHU9fxE=")</f>
        <v>#VALUE!</v>
      </c>
      <c r="S251" t="e">
        <f>AND(Sheet1!G3370,"AAAAAHU9fxI=")</f>
        <v>#VALUE!</v>
      </c>
      <c r="T251" t="e">
        <f>AND(Sheet1!H3370,"AAAAAHU9fxM=")</f>
        <v>#VALUE!</v>
      </c>
      <c r="U251" t="e">
        <f>AND(Sheet1!I3370,"AAAAAHU9fxQ=")</f>
        <v>#VALUE!</v>
      </c>
      <c r="V251" t="e">
        <f>AND(Sheet1!J3370,"AAAAAHU9fxU=")</f>
        <v>#VALUE!</v>
      </c>
      <c r="W251" t="e">
        <f>AND(Sheet1!K3370,"AAAAAHU9fxY=")</f>
        <v>#VALUE!</v>
      </c>
      <c r="X251" t="e">
        <f>AND(Sheet1!L3370,"AAAAAHU9fxc=")</f>
        <v>#VALUE!</v>
      </c>
      <c r="Y251" t="e">
        <f>AND(Sheet1!M3370,"AAAAAHU9fxg=")</f>
        <v>#VALUE!</v>
      </c>
      <c r="Z251" t="e">
        <f>AND(Sheet1!N3370,"AAAAAHU9fxk=")</f>
        <v>#VALUE!</v>
      </c>
      <c r="AA251" t="e">
        <f>AND(Sheet1!#REF!,"AAAAAHU9fxo=")</f>
        <v>#REF!</v>
      </c>
      <c r="AB251" t="e">
        <f>AND(Sheet1!#REF!,"AAAAAHU9fxs=")</f>
        <v>#REF!</v>
      </c>
      <c r="AC251" t="e">
        <f>AND(Sheet1!#REF!,"AAAAAHU9fxw=")</f>
        <v>#REF!</v>
      </c>
      <c r="AD251" t="e">
        <f>AND(Sheet1!#REF!,"AAAAAHU9fx0=")</f>
        <v>#REF!</v>
      </c>
      <c r="AE251">
        <f>IF(Sheet1!3371:3371,"AAAAAHU9fx4=",0)</f>
        <v>0</v>
      </c>
      <c r="AF251" t="e">
        <f>AND(Sheet1!A3371,"AAAAAHU9fx8=")</f>
        <v>#VALUE!</v>
      </c>
      <c r="AG251" t="e">
        <f>AND(Sheet1!B3371,"AAAAAHU9fyA=")</f>
        <v>#VALUE!</v>
      </c>
      <c r="AH251" t="e">
        <f>AND(Sheet1!C3371,"AAAAAHU9fyE=")</f>
        <v>#VALUE!</v>
      </c>
      <c r="AI251" t="e">
        <f>AND(Sheet1!D3371,"AAAAAHU9fyI=")</f>
        <v>#VALUE!</v>
      </c>
      <c r="AJ251" t="e">
        <f>AND(Sheet1!E3371,"AAAAAHU9fyM=")</f>
        <v>#VALUE!</v>
      </c>
      <c r="AK251" t="e">
        <f>AND(Sheet1!F3371,"AAAAAHU9fyQ=")</f>
        <v>#VALUE!</v>
      </c>
      <c r="AL251" t="e">
        <f>AND(Sheet1!G3371,"AAAAAHU9fyU=")</f>
        <v>#VALUE!</v>
      </c>
      <c r="AM251" t="e">
        <f>AND(Sheet1!H3371,"AAAAAHU9fyY=")</f>
        <v>#VALUE!</v>
      </c>
      <c r="AN251" t="e">
        <f>AND(Sheet1!I3371,"AAAAAHU9fyc=")</f>
        <v>#VALUE!</v>
      </c>
      <c r="AO251" t="e">
        <f>AND(Sheet1!J3371,"AAAAAHU9fyg=")</f>
        <v>#VALUE!</v>
      </c>
      <c r="AP251" t="e">
        <f>AND(Sheet1!K3371,"AAAAAHU9fyk=")</f>
        <v>#VALUE!</v>
      </c>
      <c r="AQ251" t="e">
        <f>AND(Sheet1!L3371,"AAAAAHU9fyo=")</f>
        <v>#VALUE!</v>
      </c>
      <c r="AR251" t="e">
        <f>AND(Sheet1!M3371,"AAAAAHU9fys=")</f>
        <v>#VALUE!</v>
      </c>
      <c r="AS251" t="e">
        <f>AND(Sheet1!N3371,"AAAAAHU9fyw=")</f>
        <v>#VALUE!</v>
      </c>
      <c r="AT251" t="e">
        <f>AND(Sheet1!#REF!,"AAAAAHU9fy0=")</f>
        <v>#REF!</v>
      </c>
      <c r="AU251" t="e">
        <f>AND(Sheet1!#REF!,"AAAAAHU9fy4=")</f>
        <v>#REF!</v>
      </c>
      <c r="AV251" t="e">
        <f>AND(Sheet1!#REF!,"AAAAAHU9fy8=")</f>
        <v>#REF!</v>
      </c>
      <c r="AW251" t="e">
        <f>AND(Sheet1!#REF!,"AAAAAHU9fzA=")</f>
        <v>#REF!</v>
      </c>
      <c r="AX251">
        <f>IF(Sheet1!3372:3372,"AAAAAHU9fzE=",0)</f>
        <v>0</v>
      </c>
      <c r="AY251" t="e">
        <f>AND(Sheet1!A3372,"AAAAAHU9fzI=")</f>
        <v>#VALUE!</v>
      </c>
      <c r="AZ251" t="e">
        <f>AND(Sheet1!B3372,"AAAAAHU9fzM=")</f>
        <v>#VALUE!</v>
      </c>
      <c r="BA251" t="e">
        <f>AND(Sheet1!C3372,"AAAAAHU9fzQ=")</f>
        <v>#VALUE!</v>
      </c>
      <c r="BB251" t="e">
        <f>AND(Sheet1!D3372,"AAAAAHU9fzU=")</f>
        <v>#VALUE!</v>
      </c>
      <c r="BC251" t="e">
        <f>AND(Sheet1!E3372,"AAAAAHU9fzY=")</f>
        <v>#VALUE!</v>
      </c>
      <c r="BD251" t="e">
        <f>AND(Sheet1!F3372,"AAAAAHU9fzc=")</f>
        <v>#VALUE!</v>
      </c>
      <c r="BE251" t="e">
        <f>AND(Sheet1!G3372,"AAAAAHU9fzg=")</f>
        <v>#VALUE!</v>
      </c>
      <c r="BF251" t="e">
        <f>AND(Sheet1!H3372,"AAAAAHU9fzk=")</f>
        <v>#VALUE!</v>
      </c>
      <c r="BG251" t="e">
        <f>AND(Sheet1!I3372,"AAAAAHU9fzo=")</f>
        <v>#VALUE!</v>
      </c>
      <c r="BH251" t="e">
        <f>AND(Sheet1!J3372,"AAAAAHU9fzs=")</f>
        <v>#VALUE!</v>
      </c>
      <c r="BI251" t="e">
        <f>AND(Sheet1!K3372,"AAAAAHU9fzw=")</f>
        <v>#VALUE!</v>
      </c>
      <c r="BJ251" t="e">
        <f>AND(Sheet1!L3372,"AAAAAHU9fz0=")</f>
        <v>#VALUE!</v>
      </c>
      <c r="BK251" t="e">
        <f>AND(Sheet1!M3372,"AAAAAHU9fz4=")</f>
        <v>#VALUE!</v>
      </c>
      <c r="BL251" t="e">
        <f>AND(Sheet1!N3372,"AAAAAHU9fz8=")</f>
        <v>#VALUE!</v>
      </c>
      <c r="BM251" t="e">
        <f>AND(Sheet1!#REF!,"AAAAAHU9f0A=")</f>
        <v>#REF!</v>
      </c>
      <c r="BN251" t="e">
        <f>AND(Sheet1!#REF!,"AAAAAHU9f0E=")</f>
        <v>#REF!</v>
      </c>
      <c r="BO251" t="e">
        <f>AND(Sheet1!#REF!,"AAAAAHU9f0I=")</f>
        <v>#REF!</v>
      </c>
      <c r="BP251" t="e">
        <f>AND(Sheet1!#REF!,"AAAAAHU9f0M=")</f>
        <v>#REF!</v>
      </c>
      <c r="BQ251">
        <f>IF(Sheet1!3373:3373,"AAAAAHU9f0Q=",0)</f>
        <v>0</v>
      </c>
      <c r="BR251" t="e">
        <f>AND(Sheet1!A3373,"AAAAAHU9f0U=")</f>
        <v>#VALUE!</v>
      </c>
      <c r="BS251" t="e">
        <f>AND(Sheet1!B3373,"AAAAAHU9f0Y=")</f>
        <v>#VALUE!</v>
      </c>
      <c r="BT251" t="e">
        <f>AND(Sheet1!C3373,"AAAAAHU9f0c=")</f>
        <v>#VALUE!</v>
      </c>
      <c r="BU251" t="e">
        <f>AND(Sheet1!D3373,"AAAAAHU9f0g=")</f>
        <v>#VALUE!</v>
      </c>
      <c r="BV251" t="e">
        <f>AND(Sheet1!E3373,"AAAAAHU9f0k=")</f>
        <v>#VALUE!</v>
      </c>
      <c r="BW251" t="e">
        <f>AND(Sheet1!F3373,"AAAAAHU9f0o=")</f>
        <v>#VALUE!</v>
      </c>
      <c r="BX251" t="e">
        <f>AND(Sheet1!G3373,"AAAAAHU9f0s=")</f>
        <v>#VALUE!</v>
      </c>
      <c r="BY251" t="e">
        <f>AND(Sheet1!H3373,"AAAAAHU9f0w=")</f>
        <v>#VALUE!</v>
      </c>
      <c r="BZ251" t="e">
        <f>AND(Sheet1!I3373,"AAAAAHU9f00=")</f>
        <v>#VALUE!</v>
      </c>
      <c r="CA251" t="e">
        <f>AND(Sheet1!J3373,"AAAAAHU9f04=")</f>
        <v>#VALUE!</v>
      </c>
      <c r="CB251" t="e">
        <f>AND(Sheet1!K3373,"AAAAAHU9f08=")</f>
        <v>#VALUE!</v>
      </c>
      <c r="CC251" t="e">
        <f>AND(Sheet1!L3373,"AAAAAHU9f1A=")</f>
        <v>#VALUE!</v>
      </c>
      <c r="CD251" t="e">
        <f>AND(Sheet1!M3373,"AAAAAHU9f1E=")</f>
        <v>#VALUE!</v>
      </c>
      <c r="CE251" t="e">
        <f>AND(Sheet1!N3373,"AAAAAHU9f1I=")</f>
        <v>#VALUE!</v>
      </c>
      <c r="CF251" t="e">
        <f>AND(Sheet1!#REF!,"AAAAAHU9f1M=")</f>
        <v>#REF!</v>
      </c>
      <c r="CG251" t="e">
        <f>AND(Sheet1!#REF!,"AAAAAHU9f1Q=")</f>
        <v>#REF!</v>
      </c>
      <c r="CH251" t="e">
        <f>AND(Sheet1!#REF!,"AAAAAHU9f1U=")</f>
        <v>#REF!</v>
      </c>
      <c r="CI251" t="e">
        <f>AND(Sheet1!#REF!,"AAAAAHU9f1Y=")</f>
        <v>#REF!</v>
      </c>
      <c r="CJ251">
        <f>IF(Sheet1!3374:3374,"AAAAAHU9f1c=",0)</f>
        <v>0</v>
      </c>
      <c r="CK251" t="e">
        <f>AND(Sheet1!A3374,"AAAAAHU9f1g=")</f>
        <v>#VALUE!</v>
      </c>
      <c r="CL251" t="e">
        <f>AND(Sheet1!B3374,"AAAAAHU9f1k=")</f>
        <v>#VALUE!</v>
      </c>
      <c r="CM251" t="e">
        <f>AND(Sheet1!C3374,"AAAAAHU9f1o=")</f>
        <v>#VALUE!</v>
      </c>
      <c r="CN251" t="e">
        <f>AND(Sheet1!D3374,"AAAAAHU9f1s=")</f>
        <v>#VALUE!</v>
      </c>
      <c r="CO251" t="e">
        <f>AND(Sheet1!E3374,"AAAAAHU9f1w=")</f>
        <v>#VALUE!</v>
      </c>
      <c r="CP251" t="e">
        <f>AND(Sheet1!F3374,"AAAAAHU9f10=")</f>
        <v>#VALUE!</v>
      </c>
      <c r="CQ251" t="e">
        <f>AND(Sheet1!G3374,"AAAAAHU9f14=")</f>
        <v>#VALUE!</v>
      </c>
      <c r="CR251" t="e">
        <f>AND(Sheet1!H3374,"AAAAAHU9f18=")</f>
        <v>#VALUE!</v>
      </c>
      <c r="CS251" t="e">
        <f>AND(Sheet1!I3374,"AAAAAHU9f2A=")</f>
        <v>#VALUE!</v>
      </c>
      <c r="CT251" t="e">
        <f>AND(Sheet1!J3374,"AAAAAHU9f2E=")</f>
        <v>#VALUE!</v>
      </c>
      <c r="CU251" t="e">
        <f>AND(Sheet1!K3374,"AAAAAHU9f2I=")</f>
        <v>#VALUE!</v>
      </c>
      <c r="CV251" t="e">
        <f>AND(Sheet1!L3374,"AAAAAHU9f2M=")</f>
        <v>#VALUE!</v>
      </c>
      <c r="CW251" t="e">
        <f>AND(Sheet1!M3374,"AAAAAHU9f2Q=")</f>
        <v>#VALUE!</v>
      </c>
      <c r="CX251" t="e">
        <f>AND(Sheet1!N3374,"AAAAAHU9f2U=")</f>
        <v>#VALUE!</v>
      </c>
      <c r="CY251" t="e">
        <f>AND(Sheet1!#REF!,"AAAAAHU9f2Y=")</f>
        <v>#REF!</v>
      </c>
      <c r="CZ251" t="e">
        <f>AND(Sheet1!#REF!,"AAAAAHU9f2c=")</f>
        <v>#REF!</v>
      </c>
      <c r="DA251" t="e">
        <f>AND(Sheet1!#REF!,"AAAAAHU9f2g=")</f>
        <v>#REF!</v>
      </c>
      <c r="DB251" t="e">
        <f>AND(Sheet1!#REF!,"AAAAAHU9f2k=")</f>
        <v>#REF!</v>
      </c>
      <c r="DC251">
        <f>IF(Sheet1!3375:3375,"AAAAAHU9f2o=",0)</f>
        <v>0</v>
      </c>
      <c r="DD251" t="e">
        <f>AND(Sheet1!A3375,"AAAAAHU9f2s=")</f>
        <v>#VALUE!</v>
      </c>
      <c r="DE251" t="e">
        <f>AND(Sheet1!B3375,"AAAAAHU9f2w=")</f>
        <v>#VALUE!</v>
      </c>
      <c r="DF251" t="e">
        <f>AND(Sheet1!C3375,"AAAAAHU9f20=")</f>
        <v>#VALUE!</v>
      </c>
      <c r="DG251" t="e">
        <f>AND(Sheet1!D3375,"AAAAAHU9f24=")</f>
        <v>#VALUE!</v>
      </c>
      <c r="DH251" t="e">
        <f>AND(Sheet1!E3375,"AAAAAHU9f28=")</f>
        <v>#VALUE!</v>
      </c>
      <c r="DI251" t="e">
        <f>AND(Sheet1!F3375,"AAAAAHU9f3A=")</f>
        <v>#VALUE!</v>
      </c>
      <c r="DJ251" t="e">
        <f>AND(Sheet1!G3375,"AAAAAHU9f3E=")</f>
        <v>#VALUE!</v>
      </c>
      <c r="DK251" t="e">
        <f>AND(Sheet1!H3375,"AAAAAHU9f3I=")</f>
        <v>#VALUE!</v>
      </c>
      <c r="DL251" t="e">
        <f>AND(Sheet1!I3375,"AAAAAHU9f3M=")</f>
        <v>#VALUE!</v>
      </c>
      <c r="DM251" t="e">
        <f>AND(Sheet1!J3375,"AAAAAHU9f3Q=")</f>
        <v>#VALUE!</v>
      </c>
      <c r="DN251" t="e">
        <f>AND(Sheet1!K3375,"AAAAAHU9f3U=")</f>
        <v>#VALUE!</v>
      </c>
      <c r="DO251" t="e">
        <f>AND(Sheet1!L3375,"AAAAAHU9f3Y=")</f>
        <v>#VALUE!</v>
      </c>
      <c r="DP251" t="e">
        <f>AND(Sheet1!M3375,"AAAAAHU9f3c=")</f>
        <v>#VALUE!</v>
      </c>
      <c r="DQ251" t="e">
        <f>AND(Sheet1!N3375,"AAAAAHU9f3g=")</f>
        <v>#VALUE!</v>
      </c>
      <c r="DR251" t="e">
        <f>AND(Sheet1!#REF!,"AAAAAHU9f3k=")</f>
        <v>#REF!</v>
      </c>
      <c r="DS251" t="e">
        <f>AND(Sheet1!#REF!,"AAAAAHU9f3o=")</f>
        <v>#REF!</v>
      </c>
      <c r="DT251" t="e">
        <f>AND(Sheet1!#REF!,"AAAAAHU9f3s=")</f>
        <v>#REF!</v>
      </c>
      <c r="DU251" t="e">
        <f>AND(Sheet1!#REF!,"AAAAAHU9f3w=")</f>
        <v>#REF!</v>
      </c>
      <c r="DV251">
        <f>IF(Sheet1!3376:3376,"AAAAAHU9f30=",0)</f>
        <v>0</v>
      </c>
      <c r="DW251" t="e">
        <f>AND(Sheet1!A3376,"AAAAAHU9f34=")</f>
        <v>#VALUE!</v>
      </c>
      <c r="DX251" t="e">
        <f>AND(Sheet1!B3376,"AAAAAHU9f38=")</f>
        <v>#VALUE!</v>
      </c>
      <c r="DY251" t="e">
        <f>AND(Sheet1!C3376,"AAAAAHU9f4A=")</f>
        <v>#VALUE!</v>
      </c>
      <c r="DZ251" t="e">
        <f>AND(Sheet1!D3376,"AAAAAHU9f4E=")</f>
        <v>#VALUE!</v>
      </c>
      <c r="EA251" t="e">
        <f>AND(Sheet1!E3376,"AAAAAHU9f4I=")</f>
        <v>#VALUE!</v>
      </c>
      <c r="EB251" t="e">
        <f>AND(Sheet1!F3376,"AAAAAHU9f4M=")</f>
        <v>#VALUE!</v>
      </c>
      <c r="EC251" t="e">
        <f>AND(Sheet1!G3376,"AAAAAHU9f4Q=")</f>
        <v>#VALUE!</v>
      </c>
      <c r="ED251" t="e">
        <f>AND(Sheet1!H3376,"AAAAAHU9f4U=")</f>
        <v>#VALUE!</v>
      </c>
      <c r="EE251" t="e">
        <f>AND(Sheet1!I3376,"AAAAAHU9f4Y=")</f>
        <v>#VALUE!</v>
      </c>
      <c r="EF251" t="e">
        <f>AND(Sheet1!J3376,"AAAAAHU9f4c=")</f>
        <v>#VALUE!</v>
      </c>
      <c r="EG251" t="e">
        <f>AND(Sheet1!K3376,"AAAAAHU9f4g=")</f>
        <v>#VALUE!</v>
      </c>
      <c r="EH251" t="e">
        <f>AND(Sheet1!L3376,"AAAAAHU9f4k=")</f>
        <v>#VALUE!</v>
      </c>
      <c r="EI251" t="e">
        <f>AND(Sheet1!M3376,"AAAAAHU9f4o=")</f>
        <v>#VALUE!</v>
      </c>
      <c r="EJ251" t="e">
        <f>AND(Sheet1!N3376,"AAAAAHU9f4s=")</f>
        <v>#VALUE!</v>
      </c>
      <c r="EK251" t="e">
        <f>AND(Sheet1!#REF!,"AAAAAHU9f4w=")</f>
        <v>#REF!</v>
      </c>
      <c r="EL251" t="e">
        <f>AND(Sheet1!#REF!,"AAAAAHU9f40=")</f>
        <v>#REF!</v>
      </c>
      <c r="EM251" t="e">
        <f>AND(Sheet1!#REF!,"AAAAAHU9f44=")</f>
        <v>#REF!</v>
      </c>
      <c r="EN251" t="e">
        <f>AND(Sheet1!#REF!,"AAAAAHU9f48=")</f>
        <v>#REF!</v>
      </c>
      <c r="EO251">
        <f>IF(Sheet1!3377:3377,"AAAAAHU9f5A=",0)</f>
        <v>0</v>
      </c>
      <c r="EP251" t="e">
        <f>AND(Sheet1!A3377,"AAAAAHU9f5E=")</f>
        <v>#VALUE!</v>
      </c>
      <c r="EQ251" t="e">
        <f>AND(Sheet1!B3377,"AAAAAHU9f5I=")</f>
        <v>#VALUE!</v>
      </c>
      <c r="ER251" t="e">
        <f>AND(Sheet1!C3377,"AAAAAHU9f5M=")</f>
        <v>#VALUE!</v>
      </c>
      <c r="ES251" t="e">
        <f>AND(Sheet1!D3377,"AAAAAHU9f5Q=")</f>
        <v>#VALUE!</v>
      </c>
      <c r="ET251" t="e">
        <f>AND(Sheet1!E3377,"AAAAAHU9f5U=")</f>
        <v>#VALUE!</v>
      </c>
      <c r="EU251" t="e">
        <f>AND(Sheet1!F3377,"AAAAAHU9f5Y=")</f>
        <v>#VALUE!</v>
      </c>
      <c r="EV251" t="e">
        <f>AND(Sheet1!G3377,"AAAAAHU9f5c=")</f>
        <v>#VALUE!</v>
      </c>
      <c r="EW251" t="e">
        <f>AND(Sheet1!H3377,"AAAAAHU9f5g=")</f>
        <v>#VALUE!</v>
      </c>
      <c r="EX251" t="e">
        <f>AND(Sheet1!I3377,"AAAAAHU9f5k=")</f>
        <v>#VALUE!</v>
      </c>
      <c r="EY251" t="e">
        <f>AND(Sheet1!J3377,"AAAAAHU9f5o=")</f>
        <v>#VALUE!</v>
      </c>
      <c r="EZ251" t="e">
        <f>AND(Sheet1!K3377,"AAAAAHU9f5s=")</f>
        <v>#VALUE!</v>
      </c>
      <c r="FA251" t="e">
        <f>AND(Sheet1!L3377,"AAAAAHU9f5w=")</f>
        <v>#VALUE!</v>
      </c>
      <c r="FB251" t="e">
        <f>AND(Sheet1!M3377,"AAAAAHU9f50=")</f>
        <v>#VALUE!</v>
      </c>
      <c r="FC251" t="e">
        <f>AND(Sheet1!N3377,"AAAAAHU9f54=")</f>
        <v>#VALUE!</v>
      </c>
      <c r="FD251" t="e">
        <f>AND(Sheet1!#REF!,"AAAAAHU9f58=")</f>
        <v>#REF!</v>
      </c>
      <c r="FE251" t="e">
        <f>AND(Sheet1!#REF!,"AAAAAHU9f6A=")</f>
        <v>#REF!</v>
      </c>
      <c r="FF251" t="e">
        <f>AND(Sheet1!#REF!,"AAAAAHU9f6E=")</f>
        <v>#REF!</v>
      </c>
      <c r="FG251" t="e">
        <f>AND(Sheet1!#REF!,"AAAAAHU9f6I=")</f>
        <v>#REF!</v>
      </c>
      <c r="FH251">
        <f>IF(Sheet1!3378:3378,"AAAAAHU9f6M=",0)</f>
        <v>0</v>
      </c>
      <c r="FI251" t="e">
        <f>AND(Sheet1!A3378,"AAAAAHU9f6Q=")</f>
        <v>#VALUE!</v>
      </c>
      <c r="FJ251" t="e">
        <f>AND(Sheet1!B3378,"AAAAAHU9f6U=")</f>
        <v>#VALUE!</v>
      </c>
      <c r="FK251" t="e">
        <f>AND(Sheet1!C3378,"AAAAAHU9f6Y=")</f>
        <v>#VALUE!</v>
      </c>
      <c r="FL251" t="e">
        <f>AND(Sheet1!D3378,"AAAAAHU9f6c=")</f>
        <v>#VALUE!</v>
      </c>
      <c r="FM251" t="e">
        <f>AND(Sheet1!E3378,"AAAAAHU9f6g=")</f>
        <v>#VALUE!</v>
      </c>
      <c r="FN251" t="e">
        <f>AND(Sheet1!F3378,"AAAAAHU9f6k=")</f>
        <v>#VALUE!</v>
      </c>
      <c r="FO251" t="e">
        <f>AND(Sheet1!G3378,"AAAAAHU9f6o=")</f>
        <v>#VALUE!</v>
      </c>
      <c r="FP251" t="e">
        <f>AND(Sheet1!H3378,"AAAAAHU9f6s=")</f>
        <v>#VALUE!</v>
      </c>
      <c r="FQ251" t="e">
        <f>AND(Sheet1!I3378,"AAAAAHU9f6w=")</f>
        <v>#VALUE!</v>
      </c>
      <c r="FR251" t="e">
        <f>AND(Sheet1!J3378,"AAAAAHU9f60=")</f>
        <v>#VALUE!</v>
      </c>
      <c r="FS251" t="e">
        <f>AND(Sheet1!K3378,"AAAAAHU9f64=")</f>
        <v>#VALUE!</v>
      </c>
      <c r="FT251" t="e">
        <f>AND(Sheet1!L3378,"AAAAAHU9f68=")</f>
        <v>#VALUE!</v>
      </c>
      <c r="FU251" t="e">
        <f>AND(Sheet1!M3378,"AAAAAHU9f7A=")</f>
        <v>#VALUE!</v>
      </c>
      <c r="FV251" t="e">
        <f>AND(Sheet1!N3378,"AAAAAHU9f7E=")</f>
        <v>#VALUE!</v>
      </c>
      <c r="FW251" t="e">
        <f>AND(Sheet1!#REF!,"AAAAAHU9f7I=")</f>
        <v>#REF!</v>
      </c>
      <c r="FX251" t="e">
        <f>AND(Sheet1!#REF!,"AAAAAHU9f7M=")</f>
        <v>#REF!</v>
      </c>
      <c r="FY251" t="e">
        <f>AND(Sheet1!#REF!,"AAAAAHU9f7Q=")</f>
        <v>#REF!</v>
      </c>
      <c r="FZ251" t="e">
        <f>AND(Sheet1!#REF!,"AAAAAHU9f7U=")</f>
        <v>#REF!</v>
      </c>
      <c r="GA251">
        <f>IF(Sheet1!3379:3379,"AAAAAHU9f7Y=",0)</f>
        <v>0</v>
      </c>
      <c r="GB251" t="e">
        <f>AND(Sheet1!A3379,"AAAAAHU9f7c=")</f>
        <v>#VALUE!</v>
      </c>
      <c r="GC251" t="e">
        <f>AND(Sheet1!B3379,"AAAAAHU9f7g=")</f>
        <v>#VALUE!</v>
      </c>
      <c r="GD251" t="e">
        <f>AND(Sheet1!C3379,"AAAAAHU9f7k=")</f>
        <v>#VALUE!</v>
      </c>
      <c r="GE251" t="e">
        <f>AND(Sheet1!D3379,"AAAAAHU9f7o=")</f>
        <v>#VALUE!</v>
      </c>
      <c r="GF251" t="e">
        <f>AND(Sheet1!E3379,"AAAAAHU9f7s=")</f>
        <v>#VALUE!</v>
      </c>
      <c r="GG251" t="e">
        <f>AND(Sheet1!F3379,"AAAAAHU9f7w=")</f>
        <v>#VALUE!</v>
      </c>
      <c r="GH251" t="e">
        <f>AND(Sheet1!G3379,"AAAAAHU9f70=")</f>
        <v>#VALUE!</v>
      </c>
      <c r="GI251" t="e">
        <f>AND(Sheet1!H3379,"AAAAAHU9f74=")</f>
        <v>#VALUE!</v>
      </c>
      <c r="GJ251" t="e">
        <f>AND(Sheet1!I3379,"AAAAAHU9f78=")</f>
        <v>#VALUE!</v>
      </c>
      <c r="GK251" t="e">
        <f>AND(Sheet1!J3379,"AAAAAHU9f8A=")</f>
        <v>#VALUE!</v>
      </c>
      <c r="GL251" t="e">
        <f>AND(Sheet1!K3379,"AAAAAHU9f8E=")</f>
        <v>#VALUE!</v>
      </c>
      <c r="GM251" t="e">
        <f>AND(Sheet1!L3379,"AAAAAHU9f8I=")</f>
        <v>#VALUE!</v>
      </c>
      <c r="GN251" t="e">
        <f>AND(Sheet1!M3379,"AAAAAHU9f8M=")</f>
        <v>#VALUE!</v>
      </c>
      <c r="GO251" t="e">
        <f>AND(Sheet1!N3379,"AAAAAHU9f8Q=")</f>
        <v>#VALUE!</v>
      </c>
      <c r="GP251" t="e">
        <f>AND(Sheet1!#REF!,"AAAAAHU9f8U=")</f>
        <v>#REF!</v>
      </c>
      <c r="GQ251" t="e">
        <f>AND(Sheet1!#REF!,"AAAAAHU9f8Y=")</f>
        <v>#REF!</v>
      </c>
      <c r="GR251" t="e">
        <f>AND(Sheet1!#REF!,"AAAAAHU9f8c=")</f>
        <v>#REF!</v>
      </c>
      <c r="GS251" t="e">
        <f>AND(Sheet1!#REF!,"AAAAAHU9f8g=")</f>
        <v>#REF!</v>
      </c>
      <c r="GT251">
        <f>IF(Sheet1!3380:3380,"AAAAAHU9f8k=",0)</f>
        <v>0</v>
      </c>
      <c r="GU251" t="e">
        <f>AND(Sheet1!A3380,"AAAAAHU9f8o=")</f>
        <v>#VALUE!</v>
      </c>
      <c r="GV251" t="e">
        <f>AND(Sheet1!B3380,"AAAAAHU9f8s=")</f>
        <v>#VALUE!</v>
      </c>
      <c r="GW251" t="e">
        <f>AND(Sheet1!C3380,"AAAAAHU9f8w=")</f>
        <v>#VALUE!</v>
      </c>
      <c r="GX251" t="e">
        <f>AND(Sheet1!D3380,"AAAAAHU9f80=")</f>
        <v>#VALUE!</v>
      </c>
      <c r="GY251" t="e">
        <f>AND(Sheet1!E3380,"AAAAAHU9f84=")</f>
        <v>#VALUE!</v>
      </c>
      <c r="GZ251" t="e">
        <f>AND(Sheet1!F3380,"AAAAAHU9f88=")</f>
        <v>#VALUE!</v>
      </c>
      <c r="HA251" t="e">
        <f>AND(Sheet1!G3380,"AAAAAHU9f9A=")</f>
        <v>#VALUE!</v>
      </c>
      <c r="HB251" t="e">
        <f>AND(Sheet1!H3380,"AAAAAHU9f9E=")</f>
        <v>#VALUE!</v>
      </c>
      <c r="HC251" t="e">
        <f>AND(Sheet1!I3380,"AAAAAHU9f9I=")</f>
        <v>#VALUE!</v>
      </c>
      <c r="HD251" t="e">
        <f>AND(Sheet1!J3380,"AAAAAHU9f9M=")</f>
        <v>#VALUE!</v>
      </c>
      <c r="HE251" t="e">
        <f>AND(Sheet1!K3380,"AAAAAHU9f9Q=")</f>
        <v>#VALUE!</v>
      </c>
      <c r="HF251" t="e">
        <f>AND(Sheet1!L3380,"AAAAAHU9f9U=")</f>
        <v>#VALUE!</v>
      </c>
      <c r="HG251" t="e">
        <f>AND(Sheet1!M3380,"AAAAAHU9f9Y=")</f>
        <v>#VALUE!</v>
      </c>
      <c r="HH251" t="e">
        <f>AND(Sheet1!N3380,"AAAAAHU9f9c=")</f>
        <v>#VALUE!</v>
      </c>
      <c r="HI251" t="e">
        <f>AND(Sheet1!#REF!,"AAAAAHU9f9g=")</f>
        <v>#REF!</v>
      </c>
      <c r="HJ251" t="e">
        <f>AND(Sheet1!#REF!,"AAAAAHU9f9k=")</f>
        <v>#REF!</v>
      </c>
      <c r="HK251" t="e">
        <f>AND(Sheet1!#REF!,"AAAAAHU9f9o=")</f>
        <v>#REF!</v>
      </c>
      <c r="HL251" t="e">
        <f>AND(Sheet1!#REF!,"AAAAAHU9f9s=")</f>
        <v>#REF!</v>
      </c>
      <c r="HM251">
        <f>IF(Sheet1!3381:3381,"AAAAAHU9f9w=",0)</f>
        <v>0</v>
      </c>
      <c r="HN251" t="e">
        <f>AND(Sheet1!A3381,"AAAAAHU9f90=")</f>
        <v>#VALUE!</v>
      </c>
      <c r="HO251" t="e">
        <f>AND(Sheet1!B3381,"AAAAAHU9f94=")</f>
        <v>#VALUE!</v>
      </c>
      <c r="HP251" t="e">
        <f>AND(Sheet1!C3381,"AAAAAHU9f98=")</f>
        <v>#VALUE!</v>
      </c>
      <c r="HQ251" t="e">
        <f>AND(Sheet1!D3381,"AAAAAHU9f+A=")</f>
        <v>#VALUE!</v>
      </c>
      <c r="HR251" t="e">
        <f>AND(Sheet1!E3381,"AAAAAHU9f+E=")</f>
        <v>#VALUE!</v>
      </c>
      <c r="HS251" t="e">
        <f>AND(Sheet1!F3381,"AAAAAHU9f+I=")</f>
        <v>#VALUE!</v>
      </c>
      <c r="HT251" t="e">
        <f>AND(Sheet1!G3381,"AAAAAHU9f+M=")</f>
        <v>#VALUE!</v>
      </c>
      <c r="HU251" t="e">
        <f>AND(Sheet1!H3381,"AAAAAHU9f+Q=")</f>
        <v>#VALUE!</v>
      </c>
      <c r="HV251" t="e">
        <f>AND(Sheet1!I3381,"AAAAAHU9f+U=")</f>
        <v>#VALUE!</v>
      </c>
      <c r="HW251" t="e">
        <f>AND(Sheet1!J3381,"AAAAAHU9f+Y=")</f>
        <v>#VALUE!</v>
      </c>
      <c r="HX251" t="e">
        <f>AND(Sheet1!K3381,"AAAAAHU9f+c=")</f>
        <v>#VALUE!</v>
      </c>
      <c r="HY251" t="e">
        <f>AND(Sheet1!L3381,"AAAAAHU9f+g=")</f>
        <v>#VALUE!</v>
      </c>
      <c r="HZ251" t="e">
        <f>AND(Sheet1!M3381,"AAAAAHU9f+k=")</f>
        <v>#VALUE!</v>
      </c>
      <c r="IA251" t="e">
        <f>AND(Sheet1!N3381,"AAAAAHU9f+o=")</f>
        <v>#VALUE!</v>
      </c>
      <c r="IB251" t="e">
        <f>AND(Sheet1!#REF!,"AAAAAHU9f+s=")</f>
        <v>#REF!</v>
      </c>
      <c r="IC251" t="e">
        <f>AND(Sheet1!#REF!,"AAAAAHU9f+w=")</f>
        <v>#REF!</v>
      </c>
      <c r="ID251" t="e">
        <f>AND(Sheet1!#REF!,"AAAAAHU9f+0=")</f>
        <v>#REF!</v>
      </c>
      <c r="IE251" t="e">
        <f>AND(Sheet1!#REF!,"AAAAAHU9f+4=")</f>
        <v>#REF!</v>
      </c>
      <c r="IF251">
        <f>IF(Sheet1!3382:3382,"AAAAAHU9f+8=",0)</f>
        <v>0</v>
      </c>
      <c r="IG251" t="e">
        <f>AND(Sheet1!A3382,"AAAAAHU9f/A=")</f>
        <v>#VALUE!</v>
      </c>
      <c r="IH251" t="e">
        <f>AND(Sheet1!B3382,"AAAAAHU9f/E=")</f>
        <v>#VALUE!</v>
      </c>
      <c r="II251" t="e">
        <f>AND(Sheet1!C3382,"AAAAAHU9f/I=")</f>
        <v>#VALUE!</v>
      </c>
      <c r="IJ251" t="e">
        <f>AND(Sheet1!D3382,"AAAAAHU9f/M=")</f>
        <v>#VALUE!</v>
      </c>
      <c r="IK251" t="e">
        <f>AND(Sheet1!E3382,"AAAAAHU9f/Q=")</f>
        <v>#VALUE!</v>
      </c>
      <c r="IL251" t="e">
        <f>AND(Sheet1!F3382,"AAAAAHU9f/U=")</f>
        <v>#VALUE!</v>
      </c>
      <c r="IM251" t="e">
        <f>AND(Sheet1!G3382,"AAAAAHU9f/Y=")</f>
        <v>#VALUE!</v>
      </c>
      <c r="IN251" t="e">
        <f>AND(Sheet1!H3382,"AAAAAHU9f/c=")</f>
        <v>#VALUE!</v>
      </c>
      <c r="IO251" t="e">
        <f>AND(Sheet1!I3382,"AAAAAHU9f/g=")</f>
        <v>#VALUE!</v>
      </c>
      <c r="IP251" t="e">
        <f>AND(Sheet1!J3382,"AAAAAHU9f/k=")</f>
        <v>#VALUE!</v>
      </c>
      <c r="IQ251" t="e">
        <f>AND(Sheet1!K3382,"AAAAAHU9f/o=")</f>
        <v>#VALUE!</v>
      </c>
      <c r="IR251" t="e">
        <f>AND(Sheet1!L3382,"AAAAAHU9f/s=")</f>
        <v>#VALUE!</v>
      </c>
      <c r="IS251" t="e">
        <f>AND(Sheet1!M3382,"AAAAAHU9f/w=")</f>
        <v>#VALUE!</v>
      </c>
      <c r="IT251" t="e">
        <f>AND(Sheet1!N3382,"AAAAAHU9f/0=")</f>
        <v>#VALUE!</v>
      </c>
      <c r="IU251" t="e">
        <f>AND(Sheet1!#REF!,"AAAAAHU9f/4=")</f>
        <v>#REF!</v>
      </c>
      <c r="IV251" t="e">
        <f>AND(Sheet1!#REF!,"AAAAAHU9f/8=")</f>
        <v>#REF!</v>
      </c>
    </row>
    <row r="252" spans="1:256" x14ac:dyDescent="0.2">
      <c r="A252" t="e">
        <f>AND(Sheet1!#REF!,"AAAAAD6LtwA=")</f>
        <v>#REF!</v>
      </c>
      <c r="B252" t="e">
        <f>AND(Sheet1!#REF!,"AAAAAD6LtwE=")</f>
        <v>#REF!</v>
      </c>
      <c r="C252" t="e">
        <f>IF(Sheet1!3383:3383,"AAAAAD6LtwI=",0)</f>
        <v>#VALUE!</v>
      </c>
      <c r="D252" t="e">
        <f>AND(Sheet1!A3383,"AAAAAD6LtwM=")</f>
        <v>#VALUE!</v>
      </c>
      <c r="E252" t="e">
        <f>AND(Sheet1!B3383,"AAAAAD6LtwQ=")</f>
        <v>#VALUE!</v>
      </c>
      <c r="F252" t="e">
        <f>AND(Sheet1!C3383,"AAAAAD6LtwU=")</f>
        <v>#VALUE!</v>
      </c>
      <c r="G252" t="e">
        <f>AND(Sheet1!D3383,"AAAAAD6LtwY=")</f>
        <v>#VALUE!</v>
      </c>
      <c r="H252" t="e">
        <f>AND(Sheet1!E3383,"AAAAAD6Ltwc=")</f>
        <v>#VALUE!</v>
      </c>
      <c r="I252" t="e">
        <f>AND(Sheet1!F3383,"AAAAAD6Ltwg=")</f>
        <v>#VALUE!</v>
      </c>
      <c r="J252" t="e">
        <f>AND(Sheet1!G3383,"AAAAAD6Ltwk=")</f>
        <v>#VALUE!</v>
      </c>
      <c r="K252" t="e">
        <f>AND(Sheet1!H3383,"AAAAAD6Ltwo=")</f>
        <v>#VALUE!</v>
      </c>
      <c r="L252" t="e">
        <f>AND(Sheet1!I3383,"AAAAAD6Ltws=")</f>
        <v>#VALUE!</v>
      </c>
      <c r="M252" t="e">
        <f>AND(Sheet1!J3383,"AAAAAD6Ltww=")</f>
        <v>#VALUE!</v>
      </c>
      <c r="N252" t="e">
        <f>AND(Sheet1!K3383,"AAAAAD6Ltw0=")</f>
        <v>#VALUE!</v>
      </c>
      <c r="O252" t="e">
        <f>AND(Sheet1!L3383,"AAAAAD6Ltw4=")</f>
        <v>#VALUE!</v>
      </c>
      <c r="P252" t="e">
        <f>AND(Sheet1!M3383,"AAAAAD6Ltw8=")</f>
        <v>#VALUE!</v>
      </c>
      <c r="Q252" t="e">
        <f>AND(Sheet1!N3383,"AAAAAD6LtxA=")</f>
        <v>#VALUE!</v>
      </c>
      <c r="R252" t="e">
        <f>AND(Sheet1!#REF!,"AAAAAD6LtxE=")</f>
        <v>#REF!</v>
      </c>
      <c r="S252" t="e">
        <f>AND(Sheet1!#REF!,"AAAAAD6LtxI=")</f>
        <v>#REF!</v>
      </c>
      <c r="T252" t="e">
        <f>AND(Sheet1!#REF!,"AAAAAD6LtxM=")</f>
        <v>#REF!</v>
      </c>
      <c r="U252" t="e">
        <f>AND(Sheet1!#REF!,"AAAAAD6LtxQ=")</f>
        <v>#REF!</v>
      </c>
      <c r="V252">
        <f>IF(Sheet1!3384:3384,"AAAAAD6LtxU=",0)</f>
        <v>0</v>
      </c>
      <c r="W252" t="e">
        <f>AND(Sheet1!A3384,"AAAAAD6LtxY=")</f>
        <v>#VALUE!</v>
      </c>
      <c r="X252" t="e">
        <f>AND(Sheet1!B3384,"AAAAAD6Ltxc=")</f>
        <v>#VALUE!</v>
      </c>
      <c r="Y252" t="e">
        <f>AND(Sheet1!C3384,"AAAAAD6Ltxg=")</f>
        <v>#VALUE!</v>
      </c>
      <c r="Z252" t="e">
        <f>AND(Sheet1!D3384,"AAAAAD6Ltxk=")</f>
        <v>#VALUE!</v>
      </c>
      <c r="AA252" t="e">
        <f>AND(Sheet1!E3384,"AAAAAD6Ltxo=")</f>
        <v>#VALUE!</v>
      </c>
      <c r="AB252" t="e">
        <f>AND(Sheet1!F3384,"AAAAAD6Ltxs=")</f>
        <v>#VALUE!</v>
      </c>
      <c r="AC252" t="e">
        <f>AND(Sheet1!G3384,"AAAAAD6Ltxw=")</f>
        <v>#VALUE!</v>
      </c>
      <c r="AD252" t="e">
        <f>AND(Sheet1!H3384,"AAAAAD6Ltx0=")</f>
        <v>#VALUE!</v>
      </c>
      <c r="AE252" t="e">
        <f>AND(Sheet1!I3384,"AAAAAD6Ltx4=")</f>
        <v>#VALUE!</v>
      </c>
      <c r="AF252" t="e">
        <f>AND(Sheet1!J3384,"AAAAAD6Ltx8=")</f>
        <v>#VALUE!</v>
      </c>
      <c r="AG252" t="e">
        <f>AND(Sheet1!K3384,"AAAAAD6LtyA=")</f>
        <v>#VALUE!</v>
      </c>
      <c r="AH252" t="e">
        <f>AND(Sheet1!L3384,"AAAAAD6LtyE=")</f>
        <v>#VALUE!</v>
      </c>
      <c r="AI252" t="e">
        <f>AND(Sheet1!M3384,"AAAAAD6LtyI=")</f>
        <v>#VALUE!</v>
      </c>
      <c r="AJ252" t="e">
        <f>AND(Sheet1!N3384,"AAAAAD6LtyM=")</f>
        <v>#VALUE!</v>
      </c>
      <c r="AK252" t="e">
        <f>AND(Sheet1!#REF!,"AAAAAD6LtyQ=")</f>
        <v>#REF!</v>
      </c>
      <c r="AL252" t="e">
        <f>AND(Sheet1!#REF!,"AAAAAD6LtyU=")</f>
        <v>#REF!</v>
      </c>
      <c r="AM252" t="e">
        <f>AND(Sheet1!#REF!,"AAAAAD6LtyY=")</f>
        <v>#REF!</v>
      </c>
      <c r="AN252" t="e">
        <f>AND(Sheet1!#REF!,"AAAAAD6Ltyc=")</f>
        <v>#REF!</v>
      </c>
      <c r="AO252">
        <f>IF(Sheet1!3385:3385,"AAAAAD6Ltyg=",0)</f>
        <v>0</v>
      </c>
      <c r="AP252" t="e">
        <f>AND(Sheet1!A3385,"AAAAAD6Ltyk=")</f>
        <v>#VALUE!</v>
      </c>
      <c r="AQ252" t="e">
        <f>AND(Sheet1!B3385,"AAAAAD6Ltyo=")</f>
        <v>#VALUE!</v>
      </c>
      <c r="AR252" t="e">
        <f>AND(Sheet1!C3385,"AAAAAD6Ltys=")</f>
        <v>#VALUE!</v>
      </c>
      <c r="AS252" t="e">
        <f>AND(Sheet1!D3385,"AAAAAD6Ltyw=")</f>
        <v>#VALUE!</v>
      </c>
      <c r="AT252" t="e">
        <f>AND(Sheet1!E3385,"AAAAAD6Lty0=")</f>
        <v>#VALUE!</v>
      </c>
      <c r="AU252" t="e">
        <f>AND(Sheet1!F3385,"AAAAAD6Lty4=")</f>
        <v>#VALUE!</v>
      </c>
      <c r="AV252" t="e">
        <f>AND(Sheet1!G3385,"AAAAAD6Lty8=")</f>
        <v>#VALUE!</v>
      </c>
      <c r="AW252" t="e">
        <f>AND(Sheet1!H3385,"AAAAAD6LtzA=")</f>
        <v>#VALUE!</v>
      </c>
      <c r="AX252" t="e">
        <f>AND(Sheet1!I3385,"AAAAAD6LtzE=")</f>
        <v>#VALUE!</v>
      </c>
      <c r="AY252" t="e">
        <f>AND(Sheet1!J3385,"AAAAAD6LtzI=")</f>
        <v>#VALUE!</v>
      </c>
      <c r="AZ252" t="e">
        <f>AND(Sheet1!K3385,"AAAAAD6LtzM=")</f>
        <v>#VALUE!</v>
      </c>
      <c r="BA252" t="e">
        <f>AND(Sheet1!L3385,"AAAAAD6LtzQ=")</f>
        <v>#VALUE!</v>
      </c>
      <c r="BB252" t="e">
        <f>AND(Sheet1!M3385,"AAAAAD6LtzU=")</f>
        <v>#VALUE!</v>
      </c>
      <c r="BC252" t="e">
        <f>AND(Sheet1!N3385,"AAAAAD6LtzY=")</f>
        <v>#VALUE!</v>
      </c>
      <c r="BD252" t="e">
        <f>AND(Sheet1!#REF!,"AAAAAD6Ltzc=")</f>
        <v>#REF!</v>
      </c>
      <c r="BE252" t="e">
        <f>AND(Sheet1!#REF!,"AAAAAD6Ltzg=")</f>
        <v>#REF!</v>
      </c>
      <c r="BF252" t="e">
        <f>AND(Sheet1!#REF!,"AAAAAD6Ltzk=")</f>
        <v>#REF!</v>
      </c>
      <c r="BG252" t="e">
        <f>AND(Sheet1!#REF!,"AAAAAD6Ltzo=")</f>
        <v>#REF!</v>
      </c>
      <c r="BH252">
        <f>IF(Sheet1!3386:3386,"AAAAAD6Ltzs=",0)</f>
        <v>0</v>
      </c>
      <c r="BI252" t="e">
        <f>AND(Sheet1!A3386,"AAAAAD6Ltzw=")</f>
        <v>#VALUE!</v>
      </c>
      <c r="BJ252" t="e">
        <f>AND(Sheet1!B3386,"AAAAAD6Ltz0=")</f>
        <v>#VALUE!</v>
      </c>
      <c r="BK252" t="e">
        <f>AND(Sheet1!C3386,"AAAAAD6Ltz4=")</f>
        <v>#VALUE!</v>
      </c>
      <c r="BL252" t="e">
        <f>AND(Sheet1!D3386,"AAAAAD6Ltz8=")</f>
        <v>#VALUE!</v>
      </c>
      <c r="BM252" t="e">
        <f>AND(Sheet1!E3386,"AAAAAD6Lt0A=")</f>
        <v>#VALUE!</v>
      </c>
      <c r="BN252" t="e">
        <f>AND(Sheet1!F3386,"AAAAAD6Lt0E=")</f>
        <v>#VALUE!</v>
      </c>
      <c r="BO252" t="e">
        <f>AND(Sheet1!G3386,"AAAAAD6Lt0I=")</f>
        <v>#VALUE!</v>
      </c>
      <c r="BP252" t="e">
        <f>AND(Sheet1!H3386,"AAAAAD6Lt0M=")</f>
        <v>#VALUE!</v>
      </c>
      <c r="BQ252" t="e">
        <f>AND(Sheet1!I3386,"AAAAAD6Lt0Q=")</f>
        <v>#VALUE!</v>
      </c>
      <c r="BR252" t="e">
        <f>AND(Sheet1!J3386,"AAAAAD6Lt0U=")</f>
        <v>#VALUE!</v>
      </c>
      <c r="BS252" t="e">
        <f>AND(Sheet1!K3386,"AAAAAD6Lt0Y=")</f>
        <v>#VALUE!</v>
      </c>
      <c r="BT252" t="e">
        <f>AND(Sheet1!L3386,"AAAAAD6Lt0c=")</f>
        <v>#VALUE!</v>
      </c>
      <c r="BU252" t="e">
        <f>AND(Sheet1!M3386,"AAAAAD6Lt0g=")</f>
        <v>#VALUE!</v>
      </c>
      <c r="BV252" t="e">
        <f>AND(Sheet1!N3386,"AAAAAD6Lt0k=")</f>
        <v>#VALUE!</v>
      </c>
      <c r="BW252" t="e">
        <f>AND(Sheet1!#REF!,"AAAAAD6Lt0o=")</f>
        <v>#REF!</v>
      </c>
      <c r="BX252" t="e">
        <f>AND(Sheet1!#REF!,"AAAAAD6Lt0s=")</f>
        <v>#REF!</v>
      </c>
      <c r="BY252" t="e">
        <f>AND(Sheet1!#REF!,"AAAAAD6Lt0w=")</f>
        <v>#REF!</v>
      </c>
      <c r="BZ252" t="e">
        <f>AND(Sheet1!#REF!,"AAAAAD6Lt00=")</f>
        <v>#REF!</v>
      </c>
      <c r="CA252">
        <f>IF(Sheet1!3387:3387,"AAAAAD6Lt04=",0)</f>
        <v>0</v>
      </c>
      <c r="CB252" t="e">
        <f>AND(Sheet1!A3387,"AAAAAD6Lt08=")</f>
        <v>#VALUE!</v>
      </c>
      <c r="CC252" t="e">
        <f>AND(Sheet1!B3387,"AAAAAD6Lt1A=")</f>
        <v>#VALUE!</v>
      </c>
      <c r="CD252" t="e">
        <f>AND(Sheet1!C3387,"AAAAAD6Lt1E=")</f>
        <v>#VALUE!</v>
      </c>
      <c r="CE252" t="e">
        <f>AND(Sheet1!D3387,"AAAAAD6Lt1I=")</f>
        <v>#VALUE!</v>
      </c>
      <c r="CF252" t="e">
        <f>AND(Sheet1!E3387,"AAAAAD6Lt1M=")</f>
        <v>#VALUE!</v>
      </c>
      <c r="CG252" t="e">
        <f>AND(Sheet1!F3387,"AAAAAD6Lt1Q=")</f>
        <v>#VALUE!</v>
      </c>
      <c r="CH252" t="e">
        <f>AND(Sheet1!G3387,"AAAAAD6Lt1U=")</f>
        <v>#VALUE!</v>
      </c>
      <c r="CI252" t="e">
        <f>AND(Sheet1!H3387,"AAAAAD6Lt1Y=")</f>
        <v>#VALUE!</v>
      </c>
      <c r="CJ252" t="e">
        <f>AND(Sheet1!I3387,"AAAAAD6Lt1c=")</f>
        <v>#VALUE!</v>
      </c>
      <c r="CK252" t="e">
        <f>AND(Sheet1!J3387,"AAAAAD6Lt1g=")</f>
        <v>#VALUE!</v>
      </c>
      <c r="CL252" t="e">
        <f>AND(Sheet1!K3387,"AAAAAD6Lt1k=")</f>
        <v>#VALUE!</v>
      </c>
      <c r="CM252" t="e">
        <f>AND(Sheet1!L3387,"AAAAAD6Lt1o=")</f>
        <v>#VALUE!</v>
      </c>
      <c r="CN252" t="e">
        <f>AND(Sheet1!M3387,"AAAAAD6Lt1s=")</f>
        <v>#VALUE!</v>
      </c>
      <c r="CO252" t="e">
        <f>AND(Sheet1!N3387,"AAAAAD6Lt1w=")</f>
        <v>#VALUE!</v>
      </c>
      <c r="CP252" t="e">
        <f>AND(Sheet1!#REF!,"AAAAAD6Lt10=")</f>
        <v>#REF!</v>
      </c>
      <c r="CQ252" t="e">
        <f>AND(Sheet1!#REF!,"AAAAAD6Lt14=")</f>
        <v>#REF!</v>
      </c>
      <c r="CR252" t="e">
        <f>AND(Sheet1!#REF!,"AAAAAD6Lt18=")</f>
        <v>#REF!</v>
      </c>
      <c r="CS252" t="e">
        <f>AND(Sheet1!#REF!,"AAAAAD6Lt2A=")</f>
        <v>#REF!</v>
      </c>
      <c r="CT252">
        <f>IF(Sheet1!3388:3388,"AAAAAD6Lt2E=",0)</f>
        <v>0</v>
      </c>
      <c r="CU252" t="e">
        <f>AND(Sheet1!A3388,"AAAAAD6Lt2I=")</f>
        <v>#VALUE!</v>
      </c>
      <c r="CV252" t="e">
        <f>AND(Sheet1!B3388,"AAAAAD6Lt2M=")</f>
        <v>#VALUE!</v>
      </c>
      <c r="CW252" t="e">
        <f>AND(Sheet1!C3388,"AAAAAD6Lt2Q=")</f>
        <v>#VALUE!</v>
      </c>
      <c r="CX252" t="e">
        <f>AND(Sheet1!D3388,"AAAAAD6Lt2U=")</f>
        <v>#VALUE!</v>
      </c>
      <c r="CY252" t="e">
        <f>AND(Sheet1!E3388,"AAAAAD6Lt2Y=")</f>
        <v>#VALUE!</v>
      </c>
      <c r="CZ252" t="e">
        <f>AND(Sheet1!F3388,"AAAAAD6Lt2c=")</f>
        <v>#VALUE!</v>
      </c>
      <c r="DA252" t="e">
        <f>AND(Sheet1!G3388,"AAAAAD6Lt2g=")</f>
        <v>#VALUE!</v>
      </c>
      <c r="DB252" t="e">
        <f>AND(Sheet1!H3388,"AAAAAD6Lt2k=")</f>
        <v>#VALUE!</v>
      </c>
      <c r="DC252" t="e">
        <f>AND(Sheet1!I3388,"AAAAAD6Lt2o=")</f>
        <v>#VALUE!</v>
      </c>
      <c r="DD252" t="e">
        <f>AND(Sheet1!J3388,"AAAAAD6Lt2s=")</f>
        <v>#VALUE!</v>
      </c>
      <c r="DE252" t="e">
        <f>AND(Sheet1!K3388,"AAAAAD6Lt2w=")</f>
        <v>#VALUE!</v>
      </c>
      <c r="DF252" t="e">
        <f>AND(Sheet1!L3388,"AAAAAD6Lt20=")</f>
        <v>#VALUE!</v>
      </c>
      <c r="DG252" t="e">
        <f>AND(Sheet1!M3388,"AAAAAD6Lt24=")</f>
        <v>#VALUE!</v>
      </c>
      <c r="DH252" t="e">
        <f>AND(Sheet1!N3388,"AAAAAD6Lt28=")</f>
        <v>#VALUE!</v>
      </c>
      <c r="DI252" t="e">
        <f>AND(Sheet1!#REF!,"AAAAAD6Lt3A=")</f>
        <v>#REF!</v>
      </c>
      <c r="DJ252" t="e">
        <f>AND(Sheet1!#REF!,"AAAAAD6Lt3E=")</f>
        <v>#REF!</v>
      </c>
      <c r="DK252" t="e">
        <f>AND(Sheet1!#REF!,"AAAAAD6Lt3I=")</f>
        <v>#REF!</v>
      </c>
      <c r="DL252" t="e">
        <f>AND(Sheet1!#REF!,"AAAAAD6Lt3M=")</f>
        <v>#REF!</v>
      </c>
      <c r="DM252">
        <f>IF(Sheet1!3389:3389,"AAAAAD6Lt3Q=",0)</f>
        <v>0</v>
      </c>
      <c r="DN252" t="e">
        <f>AND(Sheet1!A3389,"AAAAAD6Lt3U=")</f>
        <v>#VALUE!</v>
      </c>
      <c r="DO252" t="e">
        <f>AND(Sheet1!B3389,"AAAAAD6Lt3Y=")</f>
        <v>#VALUE!</v>
      </c>
      <c r="DP252" t="e">
        <f>AND(Sheet1!C3389,"AAAAAD6Lt3c=")</f>
        <v>#VALUE!</v>
      </c>
      <c r="DQ252" t="e">
        <f>AND(Sheet1!D3389,"AAAAAD6Lt3g=")</f>
        <v>#VALUE!</v>
      </c>
      <c r="DR252" t="e">
        <f>AND(Sheet1!E3389,"AAAAAD6Lt3k=")</f>
        <v>#VALUE!</v>
      </c>
      <c r="DS252" t="e">
        <f>AND(Sheet1!F3389,"AAAAAD6Lt3o=")</f>
        <v>#VALUE!</v>
      </c>
      <c r="DT252" t="e">
        <f>AND(Sheet1!G3389,"AAAAAD6Lt3s=")</f>
        <v>#VALUE!</v>
      </c>
      <c r="DU252" t="e">
        <f>AND(Sheet1!H3389,"AAAAAD6Lt3w=")</f>
        <v>#VALUE!</v>
      </c>
      <c r="DV252" t="e">
        <f>AND(Sheet1!I3389,"AAAAAD6Lt30=")</f>
        <v>#VALUE!</v>
      </c>
      <c r="DW252" t="e">
        <f>AND(Sheet1!J3389,"AAAAAD6Lt34=")</f>
        <v>#VALUE!</v>
      </c>
      <c r="DX252" t="e">
        <f>AND(Sheet1!K3389,"AAAAAD6Lt38=")</f>
        <v>#VALUE!</v>
      </c>
      <c r="DY252" t="e">
        <f>AND(Sheet1!L3389,"AAAAAD6Lt4A=")</f>
        <v>#VALUE!</v>
      </c>
      <c r="DZ252" t="e">
        <f>AND(Sheet1!M3389,"AAAAAD6Lt4E=")</f>
        <v>#VALUE!</v>
      </c>
      <c r="EA252" t="e">
        <f>AND(Sheet1!N3389,"AAAAAD6Lt4I=")</f>
        <v>#VALUE!</v>
      </c>
      <c r="EB252" t="e">
        <f>AND(Sheet1!#REF!,"AAAAAD6Lt4M=")</f>
        <v>#REF!</v>
      </c>
      <c r="EC252" t="e">
        <f>AND(Sheet1!#REF!,"AAAAAD6Lt4Q=")</f>
        <v>#REF!</v>
      </c>
      <c r="ED252" t="e">
        <f>AND(Sheet1!#REF!,"AAAAAD6Lt4U=")</f>
        <v>#REF!</v>
      </c>
      <c r="EE252" t="e">
        <f>AND(Sheet1!#REF!,"AAAAAD6Lt4Y=")</f>
        <v>#REF!</v>
      </c>
      <c r="EF252">
        <f>IF(Sheet1!3390:3390,"AAAAAD6Lt4c=",0)</f>
        <v>0</v>
      </c>
      <c r="EG252" t="e">
        <f>AND(Sheet1!A3390,"AAAAAD6Lt4g=")</f>
        <v>#VALUE!</v>
      </c>
      <c r="EH252" t="e">
        <f>AND(Sheet1!B3390,"AAAAAD6Lt4k=")</f>
        <v>#VALUE!</v>
      </c>
      <c r="EI252" t="e">
        <f>AND(Sheet1!C3390,"AAAAAD6Lt4o=")</f>
        <v>#VALUE!</v>
      </c>
      <c r="EJ252" t="e">
        <f>AND(Sheet1!D3390,"AAAAAD6Lt4s=")</f>
        <v>#VALUE!</v>
      </c>
      <c r="EK252" t="e">
        <f>AND(Sheet1!E3390,"AAAAAD6Lt4w=")</f>
        <v>#VALUE!</v>
      </c>
      <c r="EL252" t="e">
        <f>AND(Sheet1!F3390,"AAAAAD6Lt40=")</f>
        <v>#VALUE!</v>
      </c>
      <c r="EM252" t="e">
        <f>AND(Sheet1!G3390,"AAAAAD6Lt44=")</f>
        <v>#VALUE!</v>
      </c>
      <c r="EN252" t="e">
        <f>AND(Sheet1!H3390,"AAAAAD6Lt48=")</f>
        <v>#VALUE!</v>
      </c>
      <c r="EO252" t="e">
        <f>AND(Sheet1!I3390,"AAAAAD6Lt5A=")</f>
        <v>#VALUE!</v>
      </c>
      <c r="EP252" t="e">
        <f>AND(Sheet1!J3390,"AAAAAD6Lt5E=")</f>
        <v>#VALUE!</v>
      </c>
      <c r="EQ252" t="e">
        <f>AND(Sheet1!K3390,"AAAAAD6Lt5I=")</f>
        <v>#VALUE!</v>
      </c>
      <c r="ER252" t="e">
        <f>AND(Sheet1!L3390,"AAAAAD6Lt5M=")</f>
        <v>#VALUE!</v>
      </c>
      <c r="ES252" t="e">
        <f>AND(Sheet1!M3390,"AAAAAD6Lt5Q=")</f>
        <v>#VALUE!</v>
      </c>
      <c r="ET252" t="e">
        <f>AND(Sheet1!N3390,"AAAAAD6Lt5U=")</f>
        <v>#VALUE!</v>
      </c>
      <c r="EU252" t="e">
        <f>AND(Sheet1!#REF!,"AAAAAD6Lt5Y=")</f>
        <v>#REF!</v>
      </c>
      <c r="EV252" t="e">
        <f>AND(Sheet1!#REF!,"AAAAAD6Lt5c=")</f>
        <v>#REF!</v>
      </c>
      <c r="EW252" t="e">
        <f>AND(Sheet1!#REF!,"AAAAAD6Lt5g=")</f>
        <v>#REF!</v>
      </c>
      <c r="EX252" t="e">
        <f>AND(Sheet1!#REF!,"AAAAAD6Lt5k=")</f>
        <v>#REF!</v>
      </c>
      <c r="EY252">
        <f>IF(Sheet1!3391:3391,"AAAAAD6Lt5o=",0)</f>
        <v>0</v>
      </c>
      <c r="EZ252" t="e">
        <f>AND(Sheet1!A3391,"AAAAAD6Lt5s=")</f>
        <v>#VALUE!</v>
      </c>
      <c r="FA252" t="e">
        <f>AND(Sheet1!B3391,"AAAAAD6Lt5w=")</f>
        <v>#VALUE!</v>
      </c>
      <c r="FB252" t="e">
        <f>AND(Sheet1!C3391,"AAAAAD6Lt50=")</f>
        <v>#VALUE!</v>
      </c>
      <c r="FC252" t="e">
        <f>AND(Sheet1!D3391,"AAAAAD6Lt54=")</f>
        <v>#VALUE!</v>
      </c>
      <c r="FD252" t="e">
        <f>AND(Sheet1!E3391,"AAAAAD6Lt58=")</f>
        <v>#VALUE!</v>
      </c>
      <c r="FE252" t="e">
        <f>AND(Sheet1!F3391,"AAAAAD6Lt6A=")</f>
        <v>#VALUE!</v>
      </c>
      <c r="FF252" t="e">
        <f>AND(Sheet1!G3391,"AAAAAD6Lt6E=")</f>
        <v>#VALUE!</v>
      </c>
      <c r="FG252" t="e">
        <f>AND(Sheet1!H3391,"AAAAAD6Lt6I=")</f>
        <v>#VALUE!</v>
      </c>
      <c r="FH252" t="e">
        <f>AND(Sheet1!I3391,"AAAAAD6Lt6M=")</f>
        <v>#VALUE!</v>
      </c>
      <c r="FI252" t="e">
        <f>AND(Sheet1!J3391,"AAAAAD6Lt6Q=")</f>
        <v>#VALUE!</v>
      </c>
      <c r="FJ252" t="e">
        <f>AND(Sheet1!K3391,"AAAAAD6Lt6U=")</f>
        <v>#VALUE!</v>
      </c>
      <c r="FK252" t="e">
        <f>AND(Sheet1!L3391,"AAAAAD6Lt6Y=")</f>
        <v>#VALUE!</v>
      </c>
      <c r="FL252" t="e">
        <f>AND(Sheet1!M3391,"AAAAAD6Lt6c=")</f>
        <v>#VALUE!</v>
      </c>
      <c r="FM252" t="e">
        <f>AND(Sheet1!N3391,"AAAAAD6Lt6g=")</f>
        <v>#VALUE!</v>
      </c>
      <c r="FN252" t="e">
        <f>AND(Sheet1!#REF!,"AAAAAD6Lt6k=")</f>
        <v>#REF!</v>
      </c>
      <c r="FO252" t="e">
        <f>AND(Sheet1!#REF!,"AAAAAD6Lt6o=")</f>
        <v>#REF!</v>
      </c>
      <c r="FP252" t="e">
        <f>AND(Sheet1!#REF!,"AAAAAD6Lt6s=")</f>
        <v>#REF!</v>
      </c>
      <c r="FQ252" t="e">
        <f>AND(Sheet1!#REF!,"AAAAAD6Lt6w=")</f>
        <v>#REF!</v>
      </c>
      <c r="FR252">
        <f>IF(Sheet1!3392:3392,"AAAAAD6Lt60=",0)</f>
        <v>0</v>
      </c>
      <c r="FS252" t="e">
        <f>AND(Sheet1!A3392,"AAAAAD6Lt64=")</f>
        <v>#VALUE!</v>
      </c>
      <c r="FT252" t="e">
        <f>AND(Sheet1!B3392,"AAAAAD6Lt68=")</f>
        <v>#VALUE!</v>
      </c>
      <c r="FU252" t="e">
        <f>AND(Sheet1!C3392,"AAAAAD6Lt7A=")</f>
        <v>#VALUE!</v>
      </c>
      <c r="FV252" t="e">
        <f>AND(Sheet1!D3392,"AAAAAD6Lt7E=")</f>
        <v>#VALUE!</v>
      </c>
      <c r="FW252" t="e">
        <f>AND(Sheet1!E3392,"AAAAAD6Lt7I=")</f>
        <v>#VALUE!</v>
      </c>
      <c r="FX252" t="e">
        <f>AND(Sheet1!F3392,"AAAAAD6Lt7M=")</f>
        <v>#VALUE!</v>
      </c>
      <c r="FY252" t="e">
        <f>AND(Sheet1!G3392,"AAAAAD6Lt7Q=")</f>
        <v>#VALUE!</v>
      </c>
      <c r="FZ252" t="e">
        <f>AND(Sheet1!H3392,"AAAAAD6Lt7U=")</f>
        <v>#VALUE!</v>
      </c>
      <c r="GA252" t="e">
        <f>AND(Sheet1!I3392,"AAAAAD6Lt7Y=")</f>
        <v>#VALUE!</v>
      </c>
      <c r="GB252" t="e">
        <f>AND(Sheet1!J3392,"AAAAAD6Lt7c=")</f>
        <v>#VALUE!</v>
      </c>
      <c r="GC252" t="e">
        <f>AND(Sheet1!K3392,"AAAAAD6Lt7g=")</f>
        <v>#VALUE!</v>
      </c>
      <c r="GD252" t="e">
        <f>AND(Sheet1!L3392,"AAAAAD6Lt7k=")</f>
        <v>#VALUE!</v>
      </c>
      <c r="GE252" t="e">
        <f>AND(Sheet1!M3392,"AAAAAD6Lt7o=")</f>
        <v>#VALUE!</v>
      </c>
      <c r="GF252" t="e">
        <f>AND(Sheet1!N3392,"AAAAAD6Lt7s=")</f>
        <v>#VALUE!</v>
      </c>
      <c r="GG252" t="e">
        <f>AND(Sheet1!#REF!,"AAAAAD6Lt7w=")</f>
        <v>#REF!</v>
      </c>
      <c r="GH252" t="e">
        <f>AND(Sheet1!#REF!,"AAAAAD6Lt70=")</f>
        <v>#REF!</v>
      </c>
      <c r="GI252" t="e">
        <f>AND(Sheet1!#REF!,"AAAAAD6Lt74=")</f>
        <v>#REF!</v>
      </c>
      <c r="GJ252" t="e">
        <f>AND(Sheet1!#REF!,"AAAAAD6Lt78=")</f>
        <v>#REF!</v>
      </c>
      <c r="GK252">
        <f>IF(Sheet1!3393:3393,"AAAAAD6Lt8A=",0)</f>
        <v>0</v>
      </c>
      <c r="GL252" t="e">
        <f>AND(Sheet1!A3393,"AAAAAD6Lt8E=")</f>
        <v>#VALUE!</v>
      </c>
      <c r="GM252" t="e">
        <f>AND(Sheet1!B3393,"AAAAAD6Lt8I=")</f>
        <v>#VALUE!</v>
      </c>
      <c r="GN252" t="e">
        <f>AND(Sheet1!C3393,"AAAAAD6Lt8M=")</f>
        <v>#VALUE!</v>
      </c>
      <c r="GO252" t="e">
        <f>AND(Sheet1!D3393,"AAAAAD6Lt8Q=")</f>
        <v>#VALUE!</v>
      </c>
      <c r="GP252" t="e">
        <f>AND(Sheet1!E3393,"AAAAAD6Lt8U=")</f>
        <v>#VALUE!</v>
      </c>
      <c r="GQ252" t="e">
        <f>AND(Sheet1!F3393,"AAAAAD6Lt8Y=")</f>
        <v>#VALUE!</v>
      </c>
      <c r="GR252" t="e">
        <f>AND(Sheet1!G3393,"AAAAAD6Lt8c=")</f>
        <v>#VALUE!</v>
      </c>
      <c r="GS252" t="e">
        <f>AND(Sheet1!H3393,"AAAAAD6Lt8g=")</f>
        <v>#VALUE!</v>
      </c>
      <c r="GT252" t="e">
        <f>AND(Sheet1!I3393,"AAAAAD6Lt8k=")</f>
        <v>#VALUE!</v>
      </c>
      <c r="GU252" t="e">
        <f>AND(Sheet1!J3393,"AAAAAD6Lt8o=")</f>
        <v>#VALUE!</v>
      </c>
      <c r="GV252" t="e">
        <f>AND(Sheet1!K3393,"AAAAAD6Lt8s=")</f>
        <v>#VALUE!</v>
      </c>
      <c r="GW252" t="e">
        <f>AND(Sheet1!L3393,"AAAAAD6Lt8w=")</f>
        <v>#VALUE!</v>
      </c>
      <c r="GX252" t="e">
        <f>AND(Sheet1!M3393,"AAAAAD6Lt80=")</f>
        <v>#VALUE!</v>
      </c>
      <c r="GY252" t="e">
        <f>AND(Sheet1!N3393,"AAAAAD6Lt84=")</f>
        <v>#VALUE!</v>
      </c>
      <c r="GZ252" t="e">
        <f>AND(Sheet1!#REF!,"AAAAAD6Lt88=")</f>
        <v>#REF!</v>
      </c>
      <c r="HA252" t="e">
        <f>AND(Sheet1!#REF!,"AAAAAD6Lt9A=")</f>
        <v>#REF!</v>
      </c>
      <c r="HB252" t="e">
        <f>AND(Sheet1!#REF!,"AAAAAD6Lt9E=")</f>
        <v>#REF!</v>
      </c>
      <c r="HC252" t="e">
        <f>AND(Sheet1!#REF!,"AAAAAD6Lt9I=")</f>
        <v>#REF!</v>
      </c>
      <c r="HD252">
        <f>IF(Sheet1!3394:3394,"AAAAAD6Lt9M=",0)</f>
        <v>0</v>
      </c>
      <c r="HE252" t="e">
        <f>AND(Sheet1!A3394,"AAAAAD6Lt9Q=")</f>
        <v>#VALUE!</v>
      </c>
      <c r="HF252" t="e">
        <f>AND(Sheet1!B3394,"AAAAAD6Lt9U=")</f>
        <v>#VALUE!</v>
      </c>
      <c r="HG252" t="e">
        <f>AND(Sheet1!C3394,"AAAAAD6Lt9Y=")</f>
        <v>#VALUE!</v>
      </c>
      <c r="HH252" t="e">
        <f>AND(Sheet1!D3394,"AAAAAD6Lt9c=")</f>
        <v>#VALUE!</v>
      </c>
      <c r="HI252" t="e">
        <f>AND(Sheet1!E3394,"AAAAAD6Lt9g=")</f>
        <v>#VALUE!</v>
      </c>
      <c r="HJ252" t="e">
        <f>AND(Sheet1!F3394,"AAAAAD6Lt9k=")</f>
        <v>#VALUE!</v>
      </c>
      <c r="HK252" t="e">
        <f>AND(Sheet1!G3394,"AAAAAD6Lt9o=")</f>
        <v>#VALUE!</v>
      </c>
      <c r="HL252" t="e">
        <f>AND(Sheet1!H3394,"AAAAAD6Lt9s=")</f>
        <v>#VALUE!</v>
      </c>
      <c r="HM252" t="e">
        <f>AND(Sheet1!I3394,"AAAAAD6Lt9w=")</f>
        <v>#VALUE!</v>
      </c>
      <c r="HN252" t="e">
        <f>AND(Sheet1!J3394,"AAAAAD6Lt90=")</f>
        <v>#VALUE!</v>
      </c>
      <c r="HO252" t="e">
        <f>AND(Sheet1!K3394,"AAAAAD6Lt94=")</f>
        <v>#VALUE!</v>
      </c>
      <c r="HP252" t="e">
        <f>AND(Sheet1!L3394,"AAAAAD6Lt98=")</f>
        <v>#VALUE!</v>
      </c>
      <c r="HQ252" t="e">
        <f>AND(Sheet1!M3394,"AAAAAD6Lt+A=")</f>
        <v>#VALUE!</v>
      </c>
      <c r="HR252" t="e">
        <f>AND(Sheet1!N3394,"AAAAAD6Lt+E=")</f>
        <v>#VALUE!</v>
      </c>
      <c r="HS252" t="e">
        <f>AND(Sheet1!#REF!,"AAAAAD6Lt+I=")</f>
        <v>#REF!</v>
      </c>
      <c r="HT252" t="e">
        <f>AND(Sheet1!#REF!,"AAAAAD6Lt+M=")</f>
        <v>#REF!</v>
      </c>
      <c r="HU252" t="e">
        <f>AND(Sheet1!#REF!,"AAAAAD6Lt+Q=")</f>
        <v>#REF!</v>
      </c>
      <c r="HV252" t="e">
        <f>AND(Sheet1!#REF!,"AAAAAD6Lt+U=")</f>
        <v>#REF!</v>
      </c>
      <c r="HW252">
        <f>IF(Sheet1!3395:3395,"AAAAAD6Lt+Y=",0)</f>
        <v>0</v>
      </c>
      <c r="HX252" t="e">
        <f>AND(Sheet1!A3395,"AAAAAD6Lt+c=")</f>
        <v>#VALUE!</v>
      </c>
      <c r="HY252" t="e">
        <f>AND(Sheet1!B3395,"AAAAAD6Lt+g=")</f>
        <v>#VALUE!</v>
      </c>
      <c r="HZ252" t="e">
        <f>AND(Sheet1!C3395,"AAAAAD6Lt+k=")</f>
        <v>#VALUE!</v>
      </c>
      <c r="IA252" t="e">
        <f>AND(Sheet1!D3395,"AAAAAD6Lt+o=")</f>
        <v>#VALUE!</v>
      </c>
      <c r="IB252" t="e">
        <f>AND(Sheet1!E3395,"AAAAAD6Lt+s=")</f>
        <v>#VALUE!</v>
      </c>
      <c r="IC252" t="e">
        <f>AND(Sheet1!F3395,"AAAAAD6Lt+w=")</f>
        <v>#VALUE!</v>
      </c>
      <c r="ID252" t="e">
        <f>AND(Sheet1!G3395,"AAAAAD6Lt+0=")</f>
        <v>#VALUE!</v>
      </c>
      <c r="IE252" t="e">
        <f>AND(Sheet1!H3395,"AAAAAD6Lt+4=")</f>
        <v>#VALUE!</v>
      </c>
      <c r="IF252" t="e">
        <f>AND(Sheet1!I3395,"AAAAAD6Lt+8=")</f>
        <v>#VALUE!</v>
      </c>
      <c r="IG252" t="e">
        <f>AND(Sheet1!J3395,"AAAAAD6Lt/A=")</f>
        <v>#VALUE!</v>
      </c>
      <c r="IH252" t="e">
        <f>AND(Sheet1!K3395,"AAAAAD6Lt/E=")</f>
        <v>#VALUE!</v>
      </c>
      <c r="II252" t="e">
        <f>AND(Sheet1!L3395,"AAAAAD6Lt/I=")</f>
        <v>#VALUE!</v>
      </c>
      <c r="IJ252" t="e">
        <f>AND(Sheet1!M3395,"AAAAAD6Lt/M=")</f>
        <v>#VALUE!</v>
      </c>
      <c r="IK252" t="e">
        <f>AND(Sheet1!N3395,"AAAAAD6Lt/Q=")</f>
        <v>#VALUE!</v>
      </c>
      <c r="IL252" t="e">
        <f>AND(Sheet1!#REF!,"AAAAAD6Lt/U=")</f>
        <v>#REF!</v>
      </c>
      <c r="IM252" t="e">
        <f>AND(Sheet1!#REF!,"AAAAAD6Lt/Y=")</f>
        <v>#REF!</v>
      </c>
      <c r="IN252" t="e">
        <f>AND(Sheet1!#REF!,"AAAAAD6Lt/c=")</f>
        <v>#REF!</v>
      </c>
      <c r="IO252" t="e">
        <f>AND(Sheet1!#REF!,"AAAAAD6Lt/g=")</f>
        <v>#REF!</v>
      </c>
      <c r="IP252">
        <f>IF(Sheet1!3396:3396,"AAAAAD6Lt/k=",0)</f>
        <v>0</v>
      </c>
      <c r="IQ252" t="e">
        <f>AND(Sheet1!A3396,"AAAAAD6Lt/o=")</f>
        <v>#VALUE!</v>
      </c>
      <c r="IR252" t="e">
        <f>AND(Sheet1!B3396,"AAAAAD6Lt/s=")</f>
        <v>#VALUE!</v>
      </c>
      <c r="IS252" t="e">
        <f>AND(Sheet1!C3396,"AAAAAD6Lt/w=")</f>
        <v>#VALUE!</v>
      </c>
      <c r="IT252" t="e">
        <f>AND(Sheet1!D3396,"AAAAAD6Lt/0=")</f>
        <v>#VALUE!</v>
      </c>
      <c r="IU252" t="e">
        <f>AND(Sheet1!E3396,"AAAAAD6Lt/4=")</f>
        <v>#VALUE!</v>
      </c>
      <c r="IV252" t="e">
        <f>AND(Sheet1!F3396,"AAAAAD6Lt/8=")</f>
        <v>#VALUE!</v>
      </c>
    </row>
    <row r="253" spans="1:256" x14ac:dyDescent="0.2">
      <c r="A253" t="e">
        <f>AND(Sheet1!G3396,"AAAAACSnjwA=")</f>
        <v>#VALUE!</v>
      </c>
      <c r="B253" t="e">
        <f>AND(Sheet1!H3396,"AAAAACSnjwE=")</f>
        <v>#VALUE!</v>
      </c>
      <c r="C253" t="e">
        <f>AND(Sheet1!I3396,"AAAAACSnjwI=")</f>
        <v>#VALUE!</v>
      </c>
      <c r="D253" t="e">
        <f>AND(Sheet1!J3396,"AAAAACSnjwM=")</f>
        <v>#VALUE!</v>
      </c>
      <c r="E253" t="e">
        <f>AND(Sheet1!K3396,"AAAAACSnjwQ=")</f>
        <v>#VALUE!</v>
      </c>
      <c r="F253" t="e">
        <f>AND(Sheet1!L3396,"AAAAACSnjwU=")</f>
        <v>#VALUE!</v>
      </c>
      <c r="G253" t="e">
        <f>AND(Sheet1!M3396,"AAAAACSnjwY=")</f>
        <v>#VALUE!</v>
      </c>
      <c r="H253" t="e">
        <f>AND(Sheet1!N3396,"AAAAACSnjwc=")</f>
        <v>#VALUE!</v>
      </c>
      <c r="I253" t="e">
        <f>AND(Sheet1!#REF!,"AAAAACSnjwg=")</f>
        <v>#REF!</v>
      </c>
      <c r="J253" t="e">
        <f>AND(Sheet1!#REF!,"AAAAACSnjwk=")</f>
        <v>#REF!</v>
      </c>
      <c r="K253" t="e">
        <f>AND(Sheet1!#REF!,"AAAAACSnjwo=")</f>
        <v>#REF!</v>
      </c>
      <c r="L253" t="e">
        <f>AND(Sheet1!#REF!,"AAAAACSnjws=")</f>
        <v>#REF!</v>
      </c>
      <c r="M253" t="str">
        <f>IF(Sheet1!3397:3397,"AAAAACSnjww=",0)</f>
        <v>AAAAACSnjww=</v>
      </c>
      <c r="N253" t="e">
        <f>AND(Sheet1!A3397,"AAAAACSnjw0=")</f>
        <v>#VALUE!</v>
      </c>
      <c r="O253" t="e">
        <f>AND(Sheet1!B3397,"AAAAACSnjw4=")</f>
        <v>#VALUE!</v>
      </c>
      <c r="P253" t="e">
        <f>AND(Sheet1!C3397,"AAAAACSnjw8=")</f>
        <v>#VALUE!</v>
      </c>
      <c r="Q253" t="e">
        <f>AND(Sheet1!D3397,"AAAAACSnjxA=")</f>
        <v>#VALUE!</v>
      </c>
      <c r="R253" t="e">
        <f>AND(Sheet1!E3397,"AAAAACSnjxE=")</f>
        <v>#VALUE!</v>
      </c>
      <c r="S253" t="e">
        <f>AND(Sheet1!F3397,"AAAAACSnjxI=")</f>
        <v>#VALUE!</v>
      </c>
      <c r="T253" t="e">
        <f>AND(Sheet1!G3397,"AAAAACSnjxM=")</f>
        <v>#VALUE!</v>
      </c>
      <c r="U253" t="e">
        <f>AND(Sheet1!H3397,"AAAAACSnjxQ=")</f>
        <v>#VALUE!</v>
      </c>
      <c r="V253" t="e">
        <f>AND(Sheet1!I3397,"AAAAACSnjxU=")</f>
        <v>#VALUE!</v>
      </c>
      <c r="W253" t="e">
        <f>AND(Sheet1!J3397,"AAAAACSnjxY=")</f>
        <v>#VALUE!</v>
      </c>
      <c r="X253" t="e">
        <f>AND(Sheet1!K3397,"AAAAACSnjxc=")</f>
        <v>#VALUE!</v>
      </c>
      <c r="Y253" t="e">
        <f>AND(Sheet1!L3397,"AAAAACSnjxg=")</f>
        <v>#VALUE!</v>
      </c>
      <c r="Z253" t="e">
        <f>AND(Sheet1!M3397,"AAAAACSnjxk=")</f>
        <v>#VALUE!</v>
      </c>
      <c r="AA253" t="e">
        <f>AND(Sheet1!N3397,"AAAAACSnjxo=")</f>
        <v>#VALUE!</v>
      </c>
      <c r="AB253" t="e">
        <f>AND(Sheet1!#REF!,"AAAAACSnjxs=")</f>
        <v>#REF!</v>
      </c>
      <c r="AC253" t="e">
        <f>AND(Sheet1!#REF!,"AAAAACSnjxw=")</f>
        <v>#REF!</v>
      </c>
      <c r="AD253" t="e">
        <f>AND(Sheet1!#REF!,"AAAAACSnjx0=")</f>
        <v>#REF!</v>
      </c>
      <c r="AE253" t="e">
        <f>AND(Sheet1!#REF!,"AAAAACSnjx4=")</f>
        <v>#REF!</v>
      </c>
      <c r="AF253">
        <f>IF(Sheet1!3398:3398,"AAAAACSnjx8=",0)</f>
        <v>0</v>
      </c>
      <c r="AG253" t="e">
        <f>AND(Sheet1!A3398,"AAAAACSnjyA=")</f>
        <v>#VALUE!</v>
      </c>
      <c r="AH253" t="e">
        <f>AND(Sheet1!B3398,"AAAAACSnjyE=")</f>
        <v>#VALUE!</v>
      </c>
      <c r="AI253" t="e">
        <f>AND(Sheet1!C3398,"AAAAACSnjyI=")</f>
        <v>#VALUE!</v>
      </c>
      <c r="AJ253" t="e">
        <f>AND(Sheet1!D3398,"AAAAACSnjyM=")</f>
        <v>#VALUE!</v>
      </c>
      <c r="AK253" t="e">
        <f>AND(Sheet1!E3398,"AAAAACSnjyQ=")</f>
        <v>#VALUE!</v>
      </c>
      <c r="AL253" t="e">
        <f>AND(Sheet1!F3398,"AAAAACSnjyU=")</f>
        <v>#VALUE!</v>
      </c>
      <c r="AM253" t="e">
        <f>AND(Sheet1!G3398,"AAAAACSnjyY=")</f>
        <v>#VALUE!</v>
      </c>
      <c r="AN253" t="e">
        <f>AND(Sheet1!H3398,"AAAAACSnjyc=")</f>
        <v>#VALUE!</v>
      </c>
      <c r="AO253" t="e">
        <f>AND(Sheet1!I3398,"AAAAACSnjyg=")</f>
        <v>#VALUE!</v>
      </c>
      <c r="AP253" t="e">
        <f>AND(Sheet1!J3398,"AAAAACSnjyk=")</f>
        <v>#VALUE!</v>
      </c>
      <c r="AQ253" t="e">
        <f>AND(Sheet1!K3398,"AAAAACSnjyo=")</f>
        <v>#VALUE!</v>
      </c>
      <c r="AR253" t="e">
        <f>AND(Sheet1!L3398,"AAAAACSnjys=")</f>
        <v>#VALUE!</v>
      </c>
      <c r="AS253" t="e">
        <f>AND(Sheet1!M3398,"AAAAACSnjyw=")</f>
        <v>#VALUE!</v>
      </c>
      <c r="AT253" t="e">
        <f>AND(Sheet1!N3398,"AAAAACSnjy0=")</f>
        <v>#VALUE!</v>
      </c>
      <c r="AU253" t="e">
        <f>AND(Sheet1!#REF!,"AAAAACSnjy4=")</f>
        <v>#REF!</v>
      </c>
      <c r="AV253" t="e">
        <f>AND(Sheet1!#REF!,"AAAAACSnjy8=")</f>
        <v>#REF!</v>
      </c>
      <c r="AW253" t="e">
        <f>AND(Sheet1!#REF!,"AAAAACSnjzA=")</f>
        <v>#REF!</v>
      </c>
      <c r="AX253" t="e">
        <f>AND(Sheet1!#REF!,"AAAAACSnjzE=")</f>
        <v>#REF!</v>
      </c>
      <c r="AY253">
        <f>IF(Sheet1!3399:3399,"AAAAACSnjzI=",0)</f>
        <v>0</v>
      </c>
      <c r="AZ253" t="e">
        <f>AND(Sheet1!A3399,"AAAAACSnjzM=")</f>
        <v>#VALUE!</v>
      </c>
      <c r="BA253" t="e">
        <f>AND(Sheet1!B3399,"AAAAACSnjzQ=")</f>
        <v>#VALUE!</v>
      </c>
      <c r="BB253" t="e">
        <f>AND(Sheet1!C3399,"AAAAACSnjzU=")</f>
        <v>#VALUE!</v>
      </c>
      <c r="BC253" t="e">
        <f>AND(Sheet1!D3399,"AAAAACSnjzY=")</f>
        <v>#VALUE!</v>
      </c>
      <c r="BD253" t="e">
        <f>AND(Sheet1!E3399,"AAAAACSnjzc=")</f>
        <v>#VALUE!</v>
      </c>
      <c r="BE253" t="e">
        <f>AND(Sheet1!F3399,"AAAAACSnjzg=")</f>
        <v>#VALUE!</v>
      </c>
      <c r="BF253" t="e">
        <f>AND(Sheet1!G3399,"AAAAACSnjzk=")</f>
        <v>#VALUE!</v>
      </c>
      <c r="BG253" t="e">
        <f>AND(Sheet1!H3399,"AAAAACSnjzo=")</f>
        <v>#VALUE!</v>
      </c>
      <c r="BH253" t="e">
        <f>AND(Sheet1!I3399,"AAAAACSnjzs=")</f>
        <v>#VALUE!</v>
      </c>
      <c r="BI253" t="e">
        <f>AND(Sheet1!J3399,"AAAAACSnjzw=")</f>
        <v>#VALUE!</v>
      </c>
      <c r="BJ253" t="e">
        <f>AND(Sheet1!K3399,"AAAAACSnjz0=")</f>
        <v>#VALUE!</v>
      </c>
      <c r="BK253" t="e">
        <f>AND(Sheet1!L3399,"AAAAACSnjz4=")</f>
        <v>#VALUE!</v>
      </c>
      <c r="BL253" t="e">
        <f>AND(Sheet1!M3399,"AAAAACSnjz8=")</f>
        <v>#VALUE!</v>
      </c>
      <c r="BM253" t="e">
        <f>AND(Sheet1!N3399,"AAAAACSnj0A=")</f>
        <v>#VALUE!</v>
      </c>
      <c r="BN253" t="e">
        <f>AND(Sheet1!#REF!,"AAAAACSnj0E=")</f>
        <v>#REF!</v>
      </c>
      <c r="BO253" t="e">
        <f>AND(Sheet1!#REF!,"AAAAACSnj0I=")</f>
        <v>#REF!</v>
      </c>
      <c r="BP253" t="e">
        <f>AND(Sheet1!#REF!,"AAAAACSnj0M=")</f>
        <v>#REF!</v>
      </c>
      <c r="BQ253" t="e">
        <f>AND(Sheet1!#REF!,"AAAAACSnj0Q=")</f>
        <v>#REF!</v>
      </c>
      <c r="BR253">
        <f>IF(Sheet1!3400:3400,"AAAAACSnj0U=",0)</f>
        <v>0</v>
      </c>
      <c r="BS253" t="e">
        <f>AND(Sheet1!A3400,"AAAAACSnj0Y=")</f>
        <v>#VALUE!</v>
      </c>
      <c r="BT253" t="e">
        <f>AND(Sheet1!B3400,"AAAAACSnj0c=")</f>
        <v>#VALUE!</v>
      </c>
      <c r="BU253" t="e">
        <f>AND(Sheet1!C3400,"AAAAACSnj0g=")</f>
        <v>#VALUE!</v>
      </c>
      <c r="BV253" t="e">
        <f>AND(Sheet1!D3400,"AAAAACSnj0k=")</f>
        <v>#VALUE!</v>
      </c>
      <c r="BW253" t="e">
        <f>AND(Sheet1!E3400,"AAAAACSnj0o=")</f>
        <v>#VALUE!</v>
      </c>
      <c r="BX253" t="e">
        <f>AND(Sheet1!F3400,"AAAAACSnj0s=")</f>
        <v>#VALUE!</v>
      </c>
      <c r="BY253" t="e">
        <f>AND(Sheet1!G3400,"AAAAACSnj0w=")</f>
        <v>#VALUE!</v>
      </c>
      <c r="BZ253" t="e">
        <f>AND(Sheet1!H3400,"AAAAACSnj00=")</f>
        <v>#VALUE!</v>
      </c>
      <c r="CA253" t="e">
        <f>AND(Sheet1!I3400,"AAAAACSnj04=")</f>
        <v>#VALUE!</v>
      </c>
      <c r="CB253" t="e">
        <f>AND(Sheet1!J3400,"AAAAACSnj08=")</f>
        <v>#VALUE!</v>
      </c>
      <c r="CC253" t="e">
        <f>AND(Sheet1!K3400,"AAAAACSnj1A=")</f>
        <v>#VALUE!</v>
      </c>
      <c r="CD253" t="e">
        <f>AND(Sheet1!L3400,"AAAAACSnj1E=")</f>
        <v>#VALUE!</v>
      </c>
      <c r="CE253" t="e">
        <f>AND(Sheet1!M3400,"AAAAACSnj1I=")</f>
        <v>#VALUE!</v>
      </c>
      <c r="CF253" t="e">
        <f>AND(Sheet1!N3400,"AAAAACSnj1M=")</f>
        <v>#VALUE!</v>
      </c>
      <c r="CG253" t="e">
        <f>AND(Sheet1!#REF!,"AAAAACSnj1Q=")</f>
        <v>#REF!</v>
      </c>
      <c r="CH253" t="e">
        <f>AND(Sheet1!#REF!,"AAAAACSnj1U=")</f>
        <v>#REF!</v>
      </c>
      <c r="CI253" t="e">
        <f>AND(Sheet1!#REF!,"AAAAACSnj1Y=")</f>
        <v>#REF!</v>
      </c>
      <c r="CJ253" t="e">
        <f>AND(Sheet1!#REF!,"AAAAACSnj1c=")</f>
        <v>#REF!</v>
      </c>
      <c r="CK253">
        <f>IF(Sheet1!3401:3401,"AAAAACSnj1g=",0)</f>
        <v>0</v>
      </c>
      <c r="CL253" t="e">
        <f>AND(Sheet1!A3401,"AAAAACSnj1k=")</f>
        <v>#VALUE!</v>
      </c>
      <c r="CM253" t="e">
        <f>AND(Sheet1!B3401,"AAAAACSnj1o=")</f>
        <v>#VALUE!</v>
      </c>
      <c r="CN253" t="e">
        <f>AND(Sheet1!C3401,"AAAAACSnj1s=")</f>
        <v>#VALUE!</v>
      </c>
      <c r="CO253" t="e">
        <f>AND(Sheet1!D3401,"AAAAACSnj1w=")</f>
        <v>#VALUE!</v>
      </c>
      <c r="CP253" t="e">
        <f>AND(Sheet1!E3401,"AAAAACSnj10=")</f>
        <v>#VALUE!</v>
      </c>
      <c r="CQ253" t="e">
        <f>AND(Sheet1!F3401,"AAAAACSnj14=")</f>
        <v>#VALUE!</v>
      </c>
      <c r="CR253" t="e">
        <f>AND(Sheet1!G3401,"AAAAACSnj18=")</f>
        <v>#VALUE!</v>
      </c>
      <c r="CS253" t="e">
        <f>AND(Sheet1!H3401,"AAAAACSnj2A=")</f>
        <v>#VALUE!</v>
      </c>
      <c r="CT253" t="e">
        <f>AND(Sheet1!I3401,"AAAAACSnj2E=")</f>
        <v>#VALUE!</v>
      </c>
      <c r="CU253" t="e">
        <f>AND(Sheet1!J3401,"AAAAACSnj2I=")</f>
        <v>#VALUE!</v>
      </c>
      <c r="CV253" t="e">
        <f>AND(Sheet1!K3401,"AAAAACSnj2M=")</f>
        <v>#VALUE!</v>
      </c>
      <c r="CW253" t="e">
        <f>AND(Sheet1!L3401,"AAAAACSnj2Q=")</f>
        <v>#VALUE!</v>
      </c>
      <c r="CX253" t="e">
        <f>AND(Sheet1!M3401,"AAAAACSnj2U=")</f>
        <v>#VALUE!</v>
      </c>
      <c r="CY253" t="e">
        <f>AND(Sheet1!N3401,"AAAAACSnj2Y=")</f>
        <v>#VALUE!</v>
      </c>
      <c r="CZ253" t="e">
        <f>AND(Sheet1!#REF!,"AAAAACSnj2c=")</f>
        <v>#REF!</v>
      </c>
      <c r="DA253" t="e">
        <f>AND(Sheet1!#REF!,"AAAAACSnj2g=")</f>
        <v>#REF!</v>
      </c>
      <c r="DB253" t="e">
        <f>AND(Sheet1!#REF!,"AAAAACSnj2k=")</f>
        <v>#REF!</v>
      </c>
      <c r="DC253" t="e">
        <f>AND(Sheet1!#REF!,"AAAAACSnj2o=")</f>
        <v>#REF!</v>
      </c>
      <c r="DD253">
        <f>IF(Sheet1!3402:3402,"AAAAACSnj2s=",0)</f>
        <v>0</v>
      </c>
      <c r="DE253" t="e">
        <f>AND(Sheet1!A3402,"AAAAACSnj2w=")</f>
        <v>#VALUE!</v>
      </c>
      <c r="DF253" t="e">
        <f>AND(Sheet1!B3402,"AAAAACSnj20=")</f>
        <v>#VALUE!</v>
      </c>
      <c r="DG253" t="e">
        <f>AND(Sheet1!C3402,"AAAAACSnj24=")</f>
        <v>#VALUE!</v>
      </c>
      <c r="DH253" t="e">
        <f>AND(Sheet1!D3402,"AAAAACSnj28=")</f>
        <v>#VALUE!</v>
      </c>
      <c r="DI253" t="e">
        <f>AND(Sheet1!E3402,"AAAAACSnj3A=")</f>
        <v>#VALUE!</v>
      </c>
      <c r="DJ253" t="e">
        <f>AND(Sheet1!F3402,"AAAAACSnj3E=")</f>
        <v>#VALUE!</v>
      </c>
      <c r="DK253" t="e">
        <f>AND(Sheet1!G3402,"AAAAACSnj3I=")</f>
        <v>#VALUE!</v>
      </c>
      <c r="DL253" t="e">
        <f>AND(Sheet1!H3402,"AAAAACSnj3M=")</f>
        <v>#VALUE!</v>
      </c>
      <c r="DM253" t="e">
        <f>AND(Sheet1!I3402,"AAAAACSnj3Q=")</f>
        <v>#VALUE!</v>
      </c>
      <c r="DN253" t="e">
        <f>AND(Sheet1!J3402,"AAAAACSnj3U=")</f>
        <v>#VALUE!</v>
      </c>
      <c r="DO253" t="e">
        <f>AND(Sheet1!K3402,"AAAAACSnj3Y=")</f>
        <v>#VALUE!</v>
      </c>
      <c r="DP253" t="e">
        <f>AND(Sheet1!L3402,"AAAAACSnj3c=")</f>
        <v>#VALUE!</v>
      </c>
      <c r="DQ253" t="e">
        <f>AND(Sheet1!M3402,"AAAAACSnj3g=")</f>
        <v>#VALUE!</v>
      </c>
      <c r="DR253" t="e">
        <f>AND(Sheet1!N3402,"AAAAACSnj3k=")</f>
        <v>#VALUE!</v>
      </c>
      <c r="DS253" t="e">
        <f>AND(Sheet1!#REF!,"AAAAACSnj3o=")</f>
        <v>#REF!</v>
      </c>
      <c r="DT253" t="e">
        <f>AND(Sheet1!#REF!,"AAAAACSnj3s=")</f>
        <v>#REF!</v>
      </c>
      <c r="DU253" t="e">
        <f>AND(Sheet1!#REF!,"AAAAACSnj3w=")</f>
        <v>#REF!</v>
      </c>
      <c r="DV253" t="e">
        <f>AND(Sheet1!#REF!,"AAAAACSnj30=")</f>
        <v>#REF!</v>
      </c>
      <c r="DW253">
        <f>IF(Sheet1!3403:3403,"AAAAACSnj34=",0)</f>
        <v>0</v>
      </c>
      <c r="DX253" t="e">
        <f>AND(Sheet1!A3403,"AAAAACSnj38=")</f>
        <v>#VALUE!</v>
      </c>
      <c r="DY253" t="e">
        <f>AND(Sheet1!B3403,"AAAAACSnj4A=")</f>
        <v>#VALUE!</v>
      </c>
      <c r="DZ253" t="e">
        <f>AND(Sheet1!C3403,"AAAAACSnj4E=")</f>
        <v>#VALUE!</v>
      </c>
      <c r="EA253" t="e">
        <f>AND(Sheet1!D3403,"AAAAACSnj4I=")</f>
        <v>#VALUE!</v>
      </c>
      <c r="EB253" t="e">
        <f>AND(Sheet1!E3403,"AAAAACSnj4M=")</f>
        <v>#VALUE!</v>
      </c>
      <c r="EC253" t="e">
        <f>AND(Sheet1!F3403,"AAAAACSnj4Q=")</f>
        <v>#VALUE!</v>
      </c>
      <c r="ED253" t="e">
        <f>AND(Sheet1!G3403,"AAAAACSnj4U=")</f>
        <v>#VALUE!</v>
      </c>
      <c r="EE253" t="e">
        <f>AND(Sheet1!H3403,"AAAAACSnj4Y=")</f>
        <v>#VALUE!</v>
      </c>
      <c r="EF253" t="e">
        <f>AND(Sheet1!I3403,"AAAAACSnj4c=")</f>
        <v>#VALUE!</v>
      </c>
      <c r="EG253" t="e">
        <f>AND(Sheet1!J3403,"AAAAACSnj4g=")</f>
        <v>#VALUE!</v>
      </c>
      <c r="EH253" t="e">
        <f>AND(Sheet1!K3403,"AAAAACSnj4k=")</f>
        <v>#VALUE!</v>
      </c>
      <c r="EI253" t="e">
        <f>AND(Sheet1!L3403,"AAAAACSnj4o=")</f>
        <v>#VALUE!</v>
      </c>
      <c r="EJ253" t="e">
        <f>AND(Sheet1!M3403,"AAAAACSnj4s=")</f>
        <v>#VALUE!</v>
      </c>
      <c r="EK253" t="e">
        <f>AND(Sheet1!N3403,"AAAAACSnj4w=")</f>
        <v>#VALUE!</v>
      </c>
      <c r="EL253" t="e">
        <f>AND(Sheet1!#REF!,"AAAAACSnj40=")</f>
        <v>#REF!</v>
      </c>
      <c r="EM253" t="e">
        <f>AND(Sheet1!#REF!,"AAAAACSnj44=")</f>
        <v>#REF!</v>
      </c>
      <c r="EN253" t="e">
        <f>AND(Sheet1!#REF!,"AAAAACSnj48=")</f>
        <v>#REF!</v>
      </c>
      <c r="EO253" t="e">
        <f>AND(Sheet1!#REF!,"AAAAACSnj5A=")</f>
        <v>#REF!</v>
      </c>
      <c r="EP253">
        <f>IF(Sheet1!3404:3404,"AAAAACSnj5E=",0)</f>
        <v>0</v>
      </c>
      <c r="EQ253" t="e">
        <f>AND(Sheet1!A3404,"AAAAACSnj5I=")</f>
        <v>#VALUE!</v>
      </c>
      <c r="ER253" t="e">
        <f>AND(Sheet1!B3404,"AAAAACSnj5M=")</f>
        <v>#VALUE!</v>
      </c>
      <c r="ES253" t="e">
        <f>AND(Sheet1!C3404,"AAAAACSnj5Q=")</f>
        <v>#VALUE!</v>
      </c>
      <c r="ET253" t="e">
        <f>AND(Sheet1!D3404,"AAAAACSnj5U=")</f>
        <v>#VALUE!</v>
      </c>
      <c r="EU253" t="e">
        <f>AND(Sheet1!E3404,"AAAAACSnj5Y=")</f>
        <v>#VALUE!</v>
      </c>
      <c r="EV253" t="e">
        <f>AND(Sheet1!F3404,"AAAAACSnj5c=")</f>
        <v>#VALUE!</v>
      </c>
      <c r="EW253" t="e">
        <f>AND(Sheet1!G3404,"AAAAACSnj5g=")</f>
        <v>#VALUE!</v>
      </c>
      <c r="EX253" t="e">
        <f>AND(Sheet1!H3404,"AAAAACSnj5k=")</f>
        <v>#VALUE!</v>
      </c>
      <c r="EY253" t="e">
        <f>AND(Sheet1!I3404,"AAAAACSnj5o=")</f>
        <v>#VALUE!</v>
      </c>
      <c r="EZ253" t="e">
        <f>AND(Sheet1!J3404,"AAAAACSnj5s=")</f>
        <v>#VALUE!</v>
      </c>
      <c r="FA253" t="e">
        <f>AND(Sheet1!K3404,"AAAAACSnj5w=")</f>
        <v>#VALUE!</v>
      </c>
      <c r="FB253" t="e">
        <f>AND(Sheet1!L3404,"AAAAACSnj50=")</f>
        <v>#VALUE!</v>
      </c>
      <c r="FC253" t="e">
        <f>AND(Sheet1!M3404,"AAAAACSnj54=")</f>
        <v>#VALUE!</v>
      </c>
      <c r="FD253" t="e">
        <f>AND(Sheet1!N3404,"AAAAACSnj58=")</f>
        <v>#VALUE!</v>
      </c>
      <c r="FE253" t="e">
        <f>AND(Sheet1!#REF!,"AAAAACSnj6A=")</f>
        <v>#REF!</v>
      </c>
      <c r="FF253" t="e">
        <f>AND(Sheet1!#REF!,"AAAAACSnj6E=")</f>
        <v>#REF!</v>
      </c>
      <c r="FG253" t="e">
        <f>AND(Sheet1!#REF!,"AAAAACSnj6I=")</f>
        <v>#REF!</v>
      </c>
      <c r="FH253" t="e">
        <f>AND(Sheet1!#REF!,"AAAAACSnj6M=")</f>
        <v>#REF!</v>
      </c>
      <c r="FI253">
        <f>IF(Sheet1!3405:3405,"AAAAACSnj6Q=",0)</f>
        <v>0</v>
      </c>
      <c r="FJ253" t="e">
        <f>AND(Sheet1!A3405,"AAAAACSnj6U=")</f>
        <v>#VALUE!</v>
      </c>
      <c r="FK253" t="e">
        <f>AND(Sheet1!B3405,"AAAAACSnj6Y=")</f>
        <v>#VALUE!</v>
      </c>
      <c r="FL253" t="e">
        <f>AND(Sheet1!C3405,"AAAAACSnj6c=")</f>
        <v>#VALUE!</v>
      </c>
      <c r="FM253" t="e">
        <f>AND(Sheet1!D3405,"AAAAACSnj6g=")</f>
        <v>#VALUE!</v>
      </c>
      <c r="FN253" t="e">
        <f>AND(Sheet1!E3405,"AAAAACSnj6k=")</f>
        <v>#VALUE!</v>
      </c>
      <c r="FO253" t="e">
        <f>AND(Sheet1!F3405,"AAAAACSnj6o=")</f>
        <v>#VALUE!</v>
      </c>
      <c r="FP253" t="e">
        <f>AND(Sheet1!G3405,"AAAAACSnj6s=")</f>
        <v>#VALUE!</v>
      </c>
      <c r="FQ253" t="e">
        <f>AND(Sheet1!H3405,"AAAAACSnj6w=")</f>
        <v>#VALUE!</v>
      </c>
      <c r="FR253" t="e">
        <f>AND(Sheet1!I3405,"AAAAACSnj60=")</f>
        <v>#VALUE!</v>
      </c>
      <c r="FS253" t="e">
        <f>AND(Sheet1!J3405,"AAAAACSnj64=")</f>
        <v>#VALUE!</v>
      </c>
      <c r="FT253" t="e">
        <f>AND(Sheet1!K3405,"AAAAACSnj68=")</f>
        <v>#VALUE!</v>
      </c>
      <c r="FU253" t="e">
        <f>AND(Sheet1!L3405,"AAAAACSnj7A=")</f>
        <v>#VALUE!</v>
      </c>
      <c r="FV253" t="e">
        <f>AND(Sheet1!M3405,"AAAAACSnj7E=")</f>
        <v>#VALUE!</v>
      </c>
      <c r="FW253" t="e">
        <f>AND(Sheet1!N3405,"AAAAACSnj7I=")</f>
        <v>#VALUE!</v>
      </c>
      <c r="FX253" t="e">
        <f>AND(Sheet1!#REF!,"AAAAACSnj7M=")</f>
        <v>#REF!</v>
      </c>
      <c r="FY253" t="e">
        <f>AND(Sheet1!#REF!,"AAAAACSnj7Q=")</f>
        <v>#REF!</v>
      </c>
      <c r="FZ253" t="e">
        <f>AND(Sheet1!#REF!,"AAAAACSnj7U=")</f>
        <v>#REF!</v>
      </c>
      <c r="GA253" t="e">
        <f>AND(Sheet1!#REF!,"AAAAACSnj7Y=")</f>
        <v>#REF!</v>
      </c>
      <c r="GB253">
        <f>IF(Sheet1!3406:3406,"AAAAACSnj7c=",0)</f>
        <v>0</v>
      </c>
      <c r="GC253" t="e">
        <f>AND(Sheet1!A3406,"AAAAACSnj7g=")</f>
        <v>#VALUE!</v>
      </c>
      <c r="GD253" t="e">
        <f>AND(Sheet1!B3406,"AAAAACSnj7k=")</f>
        <v>#VALUE!</v>
      </c>
      <c r="GE253" t="e">
        <f>AND(Sheet1!C3406,"AAAAACSnj7o=")</f>
        <v>#VALUE!</v>
      </c>
      <c r="GF253" t="e">
        <f>AND(Sheet1!D3406,"AAAAACSnj7s=")</f>
        <v>#VALUE!</v>
      </c>
      <c r="GG253" t="e">
        <f>AND(Sheet1!E3406,"AAAAACSnj7w=")</f>
        <v>#VALUE!</v>
      </c>
      <c r="GH253" t="e">
        <f>AND(Sheet1!F3406,"AAAAACSnj70=")</f>
        <v>#VALUE!</v>
      </c>
      <c r="GI253" t="e">
        <f>AND(Sheet1!G3406,"AAAAACSnj74=")</f>
        <v>#VALUE!</v>
      </c>
      <c r="GJ253" t="e">
        <f>AND(Sheet1!H3406,"AAAAACSnj78=")</f>
        <v>#VALUE!</v>
      </c>
      <c r="GK253" t="e">
        <f>AND(Sheet1!I3406,"AAAAACSnj8A=")</f>
        <v>#VALUE!</v>
      </c>
      <c r="GL253" t="e">
        <f>AND(Sheet1!J3406,"AAAAACSnj8E=")</f>
        <v>#VALUE!</v>
      </c>
      <c r="GM253" t="e">
        <f>AND(Sheet1!K3406,"AAAAACSnj8I=")</f>
        <v>#VALUE!</v>
      </c>
      <c r="GN253" t="e">
        <f>AND(Sheet1!L3406,"AAAAACSnj8M=")</f>
        <v>#VALUE!</v>
      </c>
      <c r="GO253" t="e">
        <f>AND(Sheet1!M3406,"AAAAACSnj8Q=")</f>
        <v>#VALUE!</v>
      </c>
      <c r="GP253" t="e">
        <f>AND(Sheet1!N3406,"AAAAACSnj8U=")</f>
        <v>#VALUE!</v>
      </c>
      <c r="GQ253" t="e">
        <f>AND(Sheet1!#REF!,"AAAAACSnj8Y=")</f>
        <v>#REF!</v>
      </c>
      <c r="GR253" t="e">
        <f>AND(Sheet1!#REF!,"AAAAACSnj8c=")</f>
        <v>#REF!</v>
      </c>
      <c r="GS253" t="e">
        <f>AND(Sheet1!#REF!,"AAAAACSnj8g=")</f>
        <v>#REF!</v>
      </c>
      <c r="GT253" t="e">
        <f>AND(Sheet1!#REF!,"AAAAACSnj8k=")</f>
        <v>#REF!</v>
      </c>
      <c r="GU253">
        <f>IF(Sheet1!3407:3407,"AAAAACSnj8o=",0)</f>
        <v>0</v>
      </c>
      <c r="GV253" t="e">
        <f>AND(Sheet1!A3407,"AAAAACSnj8s=")</f>
        <v>#VALUE!</v>
      </c>
      <c r="GW253" t="e">
        <f>AND(Sheet1!B3407,"AAAAACSnj8w=")</f>
        <v>#VALUE!</v>
      </c>
      <c r="GX253" t="e">
        <f>AND(Sheet1!C3407,"AAAAACSnj80=")</f>
        <v>#VALUE!</v>
      </c>
      <c r="GY253" t="e">
        <f>AND(Sheet1!D3407,"AAAAACSnj84=")</f>
        <v>#VALUE!</v>
      </c>
      <c r="GZ253" t="e">
        <f>AND(Sheet1!E3407,"AAAAACSnj88=")</f>
        <v>#VALUE!</v>
      </c>
      <c r="HA253" t="e">
        <f>AND(Sheet1!F3407,"AAAAACSnj9A=")</f>
        <v>#VALUE!</v>
      </c>
      <c r="HB253" t="e">
        <f>AND(Sheet1!G3407,"AAAAACSnj9E=")</f>
        <v>#VALUE!</v>
      </c>
      <c r="HC253" t="e">
        <f>AND(Sheet1!H3407,"AAAAACSnj9I=")</f>
        <v>#VALUE!</v>
      </c>
      <c r="HD253" t="e">
        <f>AND(Sheet1!I3407,"AAAAACSnj9M=")</f>
        <v>#VALUE!</v>
      </c>
      <c r="HE253" t="e">
        <f>AND(Sheet1!J3407,"AAAAACSnj9Q=")</f>
        <v>#VALUE!</v>
      </c>
      <c r="HF253" t="e">
        <f>AND(Sheet1!K3407,"AAAAACSnj9U=")</f>
        <v>#VALUE!</v>
      </c>
      <c r="HG253" t="e">
        <f>AND(Sheet1!L3407,"AAAAACSnj9Y=")</f>
        <v>#VALUE!</v>
      </c>
      <c r="HH253" t="e">
        <f>AND(Sheet1!M3407,"AAAAACSnj9c=")</f>
        <v>#VALUE!</v>
      </c>
      <c r="HI253" t="e">
        <f>AND(Sheet1!N3407,"AAAAACSnj9g=")</f>
        <v>#VALUE!</v>
      </c>
      <c r="HJ253" t="e">
        <f>AND(Sheet1!#REF!,"AAAAACSnj9k=")</f>
        <v>#REF!</v>
      </c>
      <c r="HK253" t="e">
        <f>AND(Sheet1!#REF!,"AAAAACSnj9o=")</f>
        <v>#REF!</v>
      </c>
      <c r="HL253" t="e">
        <f>AND(Sheet1!#REF!,"AAAAACSnj9s=")</f>
        <v>#REF!</v>
      </c>
      <c r="HM253" t="e">
        <f>AND(Sheet1!#REF!,"AAAAACSnj9w=")</f>
        <v>#REF!</v>
      </c>
      <c r="HN253">
        <f>IF(Sheet1!3408:3408,"AAAAACSnj90=",0)</f>
        <v>0</v>
      </c>
      <c r="HO253" t="e">
        <f>AND(Sheet1!A3408,"AAAAACSnj94=")</f>
        <v>#VALUE!</v>
      </c>
      <c r="HP253" t="e">
        <f>AND(Sheet1!B3408,"AAAAACSnj98=")</f>
        <v>#VALUE!</v>
      </c>
      <c r="HQ253" t="e">
        <f>AND(Sheet1!C3408,"AAAAACSnj+A=")</f>
        <v>#VALUE!</v>
      </c>
      <c r="HR253" t="e">
        <f>AND(Sheet1!D3408,"AAAAACSnj+E=")</f>
        <v>#VALUE!</v>
      </c>
      <c r="HS253" t="e">
        <f>AND(Sheet1!E3408,"AAAAACSnj+I=")</f>
        <v>#VALUE!</v>
      </c>
      <c r="HT253" t="e">
        <f>AND(Sheet1!F3408,"AAAAACSnj+M=")</f>
        <v>#VALUE!</v>
      </c>
      <c r="HU253" t="e">
        <f>AND(Sheet1!G3408,"AAAAACSnj+Q=")</f>
        <v>#VALUE!</v>
      </c>
      <c r="HV253" t="e">
        <f>AND(Sheet1!H3408,"AAAAACSnj+U=")</f>
        <v>#VALUE!</v>
      </c>
      <c r="HW253" t="e">
        <f>AND(Sheet1!I3408,"AAAAACSnj+Y=")</f>
        <v>#VALUE!</v>
      </c>
      <c r="HX253" t="e">
        <f>AND(Sheet1!J3408,"AAAAACSnj+c=")</f>
        <v>#VALUE!</v>
      </c>
      <c r="HY253" t="e">
        <f>AND(Sheet1!K3408,"AAAAACSnj+g=")</f>
        <v>#VALUE!</v>
      </c>
      <c r="HZ253" t="e">
        <f>AND(Sheet1!L3408,"AAAAACSnj+k=")</f>
        <v>#VALUE!</v>
      </c>
      <c r="IA253" t="e">
        <f>AND(Sheet1!M3408,"AAAAACSnj+o=")</f>
        <v>#VALUE!</v>
      </c>
      <c r="IB253" t="e">
        <f>AND(Sheet1!N3408,"AAAAACSnj+s=")</f>
        <v>#VALUE!</v>
      </c>
      <c r="IC253" t="e">
        <f>AND(Sheet1!#REF!,"AAAAACSnj+w=")</f>
        <v>#REF!</v>
      </c>
      <c r="ID253" t="e">
        <f>AND(Sheet1!#REF!,"AAAAACSnj+0=")</f>
        <v>#REF!</v>
      </c>
      <c r="IE253" t="e">
        <f>AND(Sheet1!#REF!,"AAAAACSnj+4=")</f>
        <v>#REF!</v>
      </c>
      <c r="IF253" t="e">
        <f>AND(Sheet1!#REF!,"AAAAACSnj+8=")</f>
        <v>#REF!</v>
      </c>
      <c r="IG253">
        <f>IF(Sheet1!3409:3409,"AAAAACSnj/A=",0)</f>
        <v>0</v>
      </c>
      <c r="IH253" t="e">
        <f>AND(Sheet1!A3409,"AAAAACSnj/E=")</f>
        <v>#VALUE!</v>
      </c>
      <c r="II253" t="e">
        <f>AND(Sheet1!B3409,"AAAAACSnj/I=")</f>
        <v>#VALUE!</v>
      </c>
      <c r="IJ253" t="e">
        <f>AND(Sheet1!C3409,"AAAAACSnj/M=")</f>
        <v>#VALUE!</v>
      </c>
      <c r="IK253" t="e">
        <f>AND(Sheet1!D3409,"AAAAACSnj/Q=")</f>
        <v>#VALUE!</v>
      </c>
      <c r="IL253" t="e">
        <f>AND(Sheet1!E3409,"AAAAACSnj/U=")</f>
        <v>#VALUE!</v>
      </c>
      <c r="IM253" t="e">
        <f>AND(Sheet1!F3409,"AAAAACSnj/Y=")</f>
        <v>#VALUE!</v>
      </c>
      <c r="IN253" t="e">
        <f>AND(Sheet1!G3409,"AAAAACSnj/c=")</f>
        <v>#VALUE!</v>
      </c>
      <c r="IO253" t="e">
        <f>AND(Sheet1!H3409,"AAAAACSnj/g=")</f>
        <v>#VALUE!</v>
      </c>
      <c r="IP253" t="e">
        <f>AND(Sheet1!I3409,"AAAAACSnj/k=")</f>
        <v>#VALUE!</v>
      </c>
      <c r="IQ253" t="e">
        <f>AND(Sheet1!J3409,"AAAAACSnj/o=")</f>
        <v>#VALUE!</v>
      </c>
      <c r="IR253" t="e">
        <f>AND(Sheet1!K3409,"AAAAACSnj/s=")</f>
        <v>#VALUE!</v>
      </c>
      <c r="IS253" t="e">
        <f>AND(Sheet1!L3409,"AAAAACSnj/w=")</f>
        <v>#VALUE!</v>
      </c>
      <c r="IT253" t="e">
        <f>AND(Sheet1!M3409,"AAAAACSnj/0=")</f>
        <v>#VALUE!</v>
      </c>
      <c r="IU253" t="e">
        <f>AND(Sheet1!N3409,"AAAAACSnj/4=")</f>
        <v>#VALUE!</v>
      </c>
      <c r="IV253" t="e">
        <f>AND(Sheet1!#REF!,"AAAAACSnj/8=")</f>
        <v>#REF!</v>
      </c>
    </row>
    <row r="254" spans="1:256" x14ac:dyDescent="0.2">
      <c r="A254" t="e">
        <f>AND(Sheet1!#REF!,"AAAAAG6/zQA=")</f>
        <v>#REF!</v>
      </c>
      <c r="B254" t="e">
        <f>AND(Sheet1!#REF!,"AAAAAG6/zQE=")</f>
        <v>#REF!</v>
      </c>
      <c r="C254" t="e">
        <f>AND(Sheet1!#REF!,"AAAAAG6/zQI=")</f>
        <v>#REF!</v>
      </c>
      <c r="D254" t="e">
        <f>IF(Sheet1!3410:3410,"AAAAAG6/zQM=",0)</f>
        <v>#VALUE!</v>
      </c>
      <c r="E254" t="e">
        <f>AND(Sheet1!A3410,"AAAAAG6/zQQ=")</f>
        <v>#VALUE!</v>
      </c>
      <c r="F254" t="e">
        <f>AND(Sheet1!B3410,"AAAAAG6/zQU=")</f>
        <v>#VALUE!</v>
      </c>
      <c r="G254" t="e">
        <f>AND(Sheet1!C3410,"AAAAAG6/zQY=")</f>
        <v>#VALUE!</v>
      </c>
      <c r="H254" t="e">
        <f>AND(Sheet1!D3410,"AAAAAG6/zQc=")</f>
        <v>#VALUE!</v>
      </c>
      <c r="I254" t="e">
        <f>AND(Sheet1!E3410,"AAAAAG6/zQg=")</f>
        <v>#VALUE!</v>
      </c>
      <c r="J254" t="e">
        <f>AND(Sheet1!F3410,"AAAAAG6/zQk=")</f>
        <v>#VALUE!</v>
      </c>
      <c r="K254" t="e">
        <f>AND(Sheet1!G3410,"AAAAAG6/zQo=")</f>
        <v>#VALUE!</v>
      </c>
      <c r="L254" t="e">
        <f>AND(Sheet1!H3410,"AAAAAG6/zQs=")</f>
        <v>#VALUE!</v>
      </c>
      <c r="M254" t="e">
        <f>AND(Sheet1!I3410,"AAAAAG6/zQw=")</f>
        <v>#VALUE!</v>
      </c>
      <c r="N254" t="e">
        <f>AND(Sheet1!J3410,"AAAAAG6/zQ0=")</f>
        <v>#VALUE!</v>
      </c>
      <c r="O254" t="e">
        <f>AND(Sheet1!K3410,"AAAAAG6/zQ4=")</f>
        <v>#VALUE!</v>
      </c>
      <c r="P254" t="e">
        <f>AND(Sheet1!L3410,"AAAAAG6/zQ8=")</f>
        <v>#VALUE!</v>
      </c>
      <c r="Q254" t="e">
        <f>AND(Sheet1!M3410,"AAAAAG6/zRA=")</f>
        <v>#VALUE!</v>
      </c>
      <c r="R254" t="e">
        <f>AND(Sheet1!N3410,"AAAAAG6/zRE=")</f>
        <v>#VALUE!</v>
      </c>
      <c r="S254" t="e">
        <f>AND(Sheet1!#REF!,"AAAAAG6/zRI=")</f>
        <v>#REF!</v>
      </c>
      <c r="T254" t="e">
        <f>AND(Sheet1!#REF!,"AAAAAG6/zRM=")</f>
        <v>#REF!</v>
      </c>
      <c r="U254" t="e">
        <f>AND(Sheet1!#REF!,"AAAAAG6/zRQ=")</f>
        <v>#REF!</v>
      </c>
      <c r="V254" t="e">
        <f>AND(Sheet1!#REF!,"AAAAAG6/zRU=")</f>
        <v>#REF!</v>
      </c>
      <c r="W254">
        <f>IF(Sheet1!3411:3411,"AAAAAG6/zRY=",0)</f>
        <v>0</v>
      </c>
      <c r="X254" t="e">
        <f>AND(Sheet1!A3411,"AAAAAG6/zRc=")</f>
        <v>#VALUE!</v>
      </c>
      <c r="Y254" t="e">
        <f>AND(Sheet1!B3411,"AAAAAG6/zRg=")</f>
        <v>#VALUE!</v>
      </c>
      <c r="Z254" t="e">
        <f>AND(Sheet1!C3411,"AAAAAG6/zRk=")</f>
        <v>#VALUE!</v>
      </c>
      <c r="AA254" t="e">
        <f>AND(Sheet1!D3411,"AAAAAG6/zRo=")</f>
        <v>#VALUE!</v>
      </c>
      <c r="AB254" t="e">
        <f>AND(Sheet1!E3411,"AAAAAG6/zRs=")</f>
        <v>#VALUE!</v>
      </c>
      <c r="AC254" t="e">
        <f>AND(Sheet1!F3411,"AAAAAG6/zRw=")</f>
        <v>#VALUE!</v>
      </c>
      <c r="AD254" t="e">
        <f>AND(Sheet1!G3411,"AAAAAG6/zR0=")</f>
        <v>#VALUE!</v>
      </c>
      <c r="AE254" t="e">
        <f>AND(Sheet1!H3411,"AAAAAG6/zR4=")</f>
        <v>#VALUE!</v>
      </c>
      <c r="AF254" t="e">
        <f>AND(Sheet1!I3411,"AAAAAG6/zR8=")</f>
        <v>#VALUE!</v>
      </c>
      <c r="AG254" t="e">
        <f>AND(Sheet1!J3411,"AAAAAG6/zSA=")</f>
        <v>#VALUE!</v>
      </c>
      <c r="AH254" t="e">
        <f>AND(Sheet1!K3411,"AAAAAG6/zSE=")</f>
        <v>#VALUE!</v>
      </c>
      <c r="AI254" t="e">
        <f>AND(Sheet1!L3411,"AAAAAG6/zSI=")</f>
        <v>#VALUE!</v>
      </c>
      <c r="AJ254" t="e">
        <f>AND(Sheet1!M3411,"AAAAAG6/zSM=")</f>
        <v>#VALUE!</v>
      </c>
      <c r="AK254" t="e">
        <f>AND(Sheet1!N3411,"AAAAAG6/zSQ=")</f>
        <v>#VALUE!</v>
      </c>
      <c r="AL254" t="e">
        <f>AND(Sheet1!#REF!,"AAAAAG6/zSU=")</f>
        <v>#REF!</v>
      </c>
      <c r="AM254" t="e">
        <f>AND(Sheet1!#REF!,"AAAAAG6/zSY=")</f>
        <v>#REF!</v>
      </c>
      <c r="AN254" t="e">
        <f>AND(Sheet1!#REF!,"AAAAAG6/zSc=")</f>
        <v>#REF!</v>
      </c>
      <c r="AO254" t="e">
        <f>AND(Sheet1!#REF!,"AAAAAG6/zSg=")</f>
        <v>#REF!</v>
      </c>
      <c r="AP254">
        <f>IF(Sheet1!3412:3412,"AAAAAG6/zSk=",0)</f>
        <v>0</v>
      </c>
      <c r="AQ254" t="e">
        <f>AND(Sheet1!A3412,"AAAAAG6/zSo=")</f>
        <v>#VALUE!</v>
      </c>
      <c r="AR254" t="e">
        <f>AND(Sheet1!B3412,"AAAAAG6/zSs=")</f>
        <v>#VALUE!</v>
      </c>
      <c r="AS254" t="e">
        <f>AND(Sheet1!C3412,"AAAAAG6/zSw=")</f>
        <v>#VALUE!</v>
      </c>
      <c r="AT254" t="e">
        <f>AND(Sheet1!D3412,"AAAAAG6/zS0=")</f>
        <v>#VALUE!</v>
      </c>
      <c r="AU254" t="e">
        <f>AND(Sheet1!E3412,"AAAAAG6/zS4=")</f>
        <v>#VALUE!</v>
      </c>
      <c r="AV254" t="e">
        <f>AND(Sheet1!F3412,"AAAAAG6/zS8=")</f>
        <v>#VALUE!</v>
      </c>
      <c r="AW254" t="e">
        <f>AND(Sheet1!G3412,"AAAAAG6/zTA=")</f>
        <v>#VALUE!</v>
      </c>
      <c r="AX254" t="e">
        <f>AND(Sheet1!H3412,"AAAAAG6/zTE=")</f>
        <v>#VALUE!</v>
      </c>
      <c r="AY254" t="e">
        <f>AND(Sheet1!I3412,"AAAAAG6/zTI=")</f>
        <v>#VALUE!</v>
      </c>
      <c r="AZ254" t="e">
        <f>AND(Sheet1!J3412,"AAAAAG6/zTM=")</f>
        <v>#VALUE!</v>
      </c>
      <c r="BA254" t="e">
        <f>AND(Sheet1!K3412,"AAAAAG6/zTQ=")</f>
        <v>#VALUE!</v>
      </c>
      <c r="BB254" t="e">
        <f>AND(Sheet1!L3412,"AAAAAG6/zTU=")</f>
        <v>#VALUE!</v>
      </c>
      <c r="BC254" t="e">
        <f>AND(Sheet1!M3412,"AAAAAG6/zTY=")</f>
        <v>#VALUE!</v>
      </c>
      <c r="BD254" t="e">
        <f>AND(Sheet1!N3412,"AAAAAG6/zTc=")</f>
        <v>#VALUE!</v>
      </c>
      <c r="BE254" t="e">
        <f>AND(Sheet1!#REF!,"AAAAAG6/zTg=")</f>
        <v>#REF!</v>
      </c>
      <c r="BF254" t="e">
        <f>AND(Sheet1!#REF!,"AAAAAG6/zTk=")</f>
        <v>#REF!</v>
      </c>
      <c r="BG254" t="e">
        <f>AND(Sheet1!#REF!,"AAAAAG6/zTo=")</f>
        <v>#REF!</v>
      </c>
      <c r="BH254" t="e">
        <f>AND(Sheet1!#REF!,"AAAAAG6/zTs=")</f>
        <v>#REF!</v>
      </c>
      <c r="BI254">
        <f>IF(Sheet1!3413:3413,"AAAAAG6/zTw=",0)</f>
        <v>0</v>
      </c>
      <c r="BJ254" t="e">
        <f>AND(Sheet1!A3413,"AAAAAG6/zT0=")</f>
        <v>#VALUE!</v>
      </c>
      <c r="BK254" t="e">
        <f>AND(Sheet1!B3413,"AAAAAG6/zT4=")</f>
        <v>#VALUE!</v>
      </c>
      <c r="BL254" t="e">
        <f>AND(Sheet1!C3413,"AAAAAG6/zT8=")</f>
        <v>#VALUE!</v>
      </c>
      <c r="BM254" t="e">
        <f>AND(Sheet1!D3413,"AAAAAG6/zUA=")</f>
        <v>#VALUE!</v>
      </c>
      <c r="BN254" t="e">
        <f>AND(Sheet1!E3413,"AAAAAG6/zUE=")</f>
        <v>#VALUE!</v>
      </c>
      <c r="BO254" t="e">
        <f>AND(Sheet1!F3413,"AAAAAG6/zUI=")</f>
        <v>#VALUE!</v>
      </c>
      <c r="BP254" t="e">
        <f>AND(Sheet1!G3413,"AAAAAG6/zUM=")</f>
        <v>#VALUE!</v>
      </c>
      <c r="BQ254" t="e">
        <f>AND(Sheet1!H3413,"AAAAAG6/zUQ=")</f>
        <v>#VALUE!</v>
      </c>
      <c r="BR254" t="e">
        <f>AND(Sheet1!I3413,"AAAAAG6/zUU=")</f>
        <v>#VALUE!</v>
      </c>
      <c r="BS254" t="e">
        <f>AND(Sheet1!J3413,"AAAAAG6/zUY=")</f>
        <v>#VALUE!</v>
      </c>
      <c r="BT254" t="e">
        <f>AND(Sheet1!K3413,"AAAAAG6/zUc=")</f>
        <v>#VALUE!</v>
      </c>
      <c r="BU254" t="e">
        <f>AND(Sheet1!L3413,"AAAAAG6/zUg=")</f>
        <v>#VALUE!</v>
      </c>
      <c r="BV254" t="e">
        <f>AND(Sheet1!M3413,"AAAAAG6/zUk=")</f>
        <v>#VALUE!</v>
      </c>
      <c r="BW254" t="e">
        <f>AND(Sheet1!N3413,"AAAAAG6/zUo=")</f>
        <v>#VALUE!</v>
      </c>
      <c r="BX254" t="e">
        <f>AND(Sheet1!#REF!,"AAAAAG6/zUs=")</f>
        <v>#REF!</v>
      </c>
      <c r="BY254" t="e">
        <f>AND(Sheet1!#REF!,"AAAAAG6/zUw=")</f>
        <v>#REF!</v>
      </c>
      <c r="BZ254" t="e">
        <f>AND(Sheet1!#REF!,"AAAAAG6/zU0=")</f>
        <v>#REF!</v>
      </c>
      <c r="CA254" t="e">
        <f>AND(Sheet1!#REF!,"AAAAAG6/zU4=")</f>
        <v>#REF!</v>
      </c>
      <c r="CB254">
        <f>IF(Sheet1!3414:3414,"AAAAAG6/zU8=",0)</f>
        <v>0</v>
      </c>
      <c r="CC254" t="e">
        <f>AND(Sheet1!A3414,"AAAAAG6/zVA=")</f>
        <v>#VALUE!</v>
      </c>
      <c r="CD254" t="e">
        <f>AND(Sheet1!B3414,"AAAAAG6/zVE=")</f>
        <v>#VALUE!</v>
      </c>
      <c r="CE254" t="e">
        <f>AND(Sheet1!C3414,"AAAAAG6/zVI=")</f>
        <v>#VALUE!</v>
      </c>
      <c r="CF254" t="e">
        <f>AND(Sheet1!D3414,"AAAAAG6/zVM=")</f>
        <v>#VALUE!</v>
      </c>
      <c r="CG254" t="e">
        <f>AND(Sheet1!E3414,"AAAAAG6/zVQ=")</f>
        <v>#VALUE!</v>
      </c>
      <c r="CH254" t="e">
        <f>AND(Sheet1!F3414,"AAAAAG6/zVU=")</f>
        <v>#VALUE!</v>
      </c>
      <c r="CI254" t="e">
        <f>AND(Sheet1!G3414,"AAAAAG6/zVY=")</f>
        <v>#VALUE!</v>
      </c>
      <c r="CJ254" t="e">
        <f>AND(Sheet1!H3414,"AAAAAG6/zVc=")</f>
        <v>#VALUE!</v>
      </c>
      <c r="CK254" t="e">
        <f>AND(Sheet1!I3414,"AAAAAG6/zVg=")</f>
        <v>#VALUE!</v>
      </c>
      <c r="CL254" t="e">
        <f>AND(Sheet1!J3414,"AAAAAG6/zVk=")</f>
        <v>#VALUE!</v>
      </c>
      <c r="CM254" t="e">
        <f>AND(Sheet1!K3414,"AAAAAG6/zVo=")</f>
        <v>#VALUE!</v>
      </c>
      <c r="CN254" t="e">
        <f>AND(Sheet1!L3414,"AAAAAG6/zVs=")</f>
        <v>#VALUE!</v>
      </c>
      <c r="CO254" t="e">
        <f>AND(Sheet1!M3414,"AAAAAG6/zVw=")</f>
        <v>#VALUE!</v>
      </c>
      <c r="CP254" t="e">
        <f>AND(Sheet1!N3414,"AAAAAG6/zV0=")</f>
        <v>#VALUE!</v>
      </c>
      <c r="CQ254" t="e">
        <f>AND(Sheet1!#REF!,"AAAAAG6/zV4=")</f>
        <v>#REF!</v>
      </c>
      <c r="CR254" t="e">
        <f>AND(Sheet1!#REF!,"AAAAAG6/zV8=")</f>
        <v>#REF!</v>
      </c>
      <c r="CS254" t="e">
        <f>AND(Sheet1!#REF!,"AAAAAG6/zWA=")</f>
        <v>#REF!</v>
      </c>
      <c r="CT254" t="e">
        <f>AND(Sheet1!#REF!,"AAAAAG6/zWE=")</f>
        <v>#REF!</v>
      </c>
      <c r="CU254">
        <f>IF(Sheet1!3415:3415,"AAAAAG6/zWI=",0)</f>
        <v>0</v>
      </c>
      <c r="CV254" t="e">
        <f>AND(Sheet1!A3415,"AAAAAG6/zWM=")</f>
        <v>#VALUE!</v>
      </c>
      <c r="CW254" t="e">
        <f>AND(Sheet1!B3415,"AAAAAG6/zWQ=")</f>
        <v>#VALUE!</v>
      </c>
      <c r="CX254" t="e">
        <f>AND(Sheet1!C3415,"AAAAAG6/zWU=")</f>
        <v>#VALUE!</v>
      </c>
      <c r="CY254" t="e">
        <f>AND(Sheet1!D3415,"AAAAAG6/zWY=")</f>
        <v>#VALUE!</v>
      </c>
      <c r="CZ254" t="e">
        <f>AND(Sheet1!E3415,"AAAAAG6/zWc=")</f>
        <v>#VALUE!</v>
      </c>
      <c r="DA254" t="e">
        <f>AND(Sheet1!F3415,"AAAAAG6/zWg=")</f>
        <v>#VALUE!</v>
      </c>
      <c r="DB254" t="e">
        <f>AND(Sheet1!G3415,"AAAAAG6/zWk=")</f>
        <v>#VALUE!</v>
      </c>
      <c r="DC254" t="e">
        <f>AND(Sheet1!H3415,"AAAAAG6/zWo=")</f>
        <v>#VALUE!</v>
      </c>
      <c r="DD254" t="e">
        <f>AND(Sheet1!I3415,"AAAAAG6/zWs=")</f>
        <v>#VALUE!</v>
      </c>
      <c r="DE254" t="e">
        <f>AND(Sheet1!J3415,"AAAAAG6/zWw=")</f>
        <v>#VALUE!</v>
      </c>
      <c r="DF254" t="e">
        <f>AND(Sheet1!K3415,"AAAAAG6/zW0=")</f>
        <v>#VALUE!</v>
      </c>
      <c r="DG254" t="e">
        <f>AND(Sheet1!L3415,"AAAAAG6/zW4=")</f>
        <v>#VALUE!</v>
      </c>
      <c r="DH254" t="e">
        <f>AND(Sheet1!M3415,"AAAAAG6/zW8=")</f>
        <v>#VALUE!</v>
      </c>
      <c r="DI254" t="e">
        <f>AND(Sheet1!N3415,"AAAAAG6/zXA=")</f>
        <v>#VALUE!</v>
      </c>
      <c r="DJ254" t="e">
        <f>AND(Sheet1!#REF!,"AAAAAG6/zXE=")</f>
        <v>#REF!</v>
      </c>
      <c r="DK254" t="e">
        <f>AND(Sheet1!#REF!,"AAAAAG6/zXI=")</f>
        <v>#REF!</v>
      </c>
      <c r="DL254" t="e">
        <f>AND(Sheet1!#REF!,"AAAAAG6/zXM=")</f>
        <v>#REF!</v>
      </c>
      <c r="DM254" t="e">
        <f>AND(Sheet1!#REF!,"AAAAAG6/zXQ=")</f>
        <v>#REF!</v>
      </c>
      <c r="DN254">
        <f>IF(Sheet1!3416:3416,"AAAAAG6/zXU=",0)</f>
        <v>0</v>
      </c>
      <c r="DO254" t="e">
        <f>AND(Sheet1!A3416,"AAAAAG6/zXY=")</f>
        <v>#VALUE!</v>
      </c>
      <c r="DP254" t="e">
        <f>AND(Sheet1!B3416,"AAAAAG6/zXc=")</f>
        <v>#VALUE!</v>
      </c>
      <c r="DQ254" t="e">
        <f>AND(Sheet1!C3416,"AAAAAG6/zXg=")</f>
        <v>#VALUE!</v>
      </c>
      <c r="DR254" t="e">
        <f>AND(Sheet1!D3416,"AAAAAG6/zXk=")</f>
        <v>#VALUE!</v>
      </c>
      <c r="DS254" t="e">
        <f>AND(Sheet1!E3416,"AAAAAG6/zXo=")</f>
        <v>#VALUE!</v>
      </c>
      <c r="DT254" t="e">
        <f>AND(Sheet1!F3416,"AAAAAG6/zXs=")</f>
        <v>#VALUE!</v>
      </c>
      <c r="DU254" t="e">
        <f>AND(Sheet1!G3416,"AAAAAG6/zXw=")</f>
        <v>#VALUE!</v>
      </c>
      <c r="DV254" t="e">
        <f>AND(Sheet1!H3416,"AAAAAG6/zX0=")</f>
        <v>#VALUE!</v>
      </c>
      <c r="DW254" t="e">
        <f>AND(Sheet1!I3416,"AAAAAG6/zX4=")</f>
        <v>#VALUE!</v>
      </c>
      <c r="DX254" t="e">
        <f>AND(Sheet1!J3416,"AAAAAG6/zX8=")</f>
        <v>#VALUE!</v>
      </c>
      <c r="DY254" t="e">
        <f>AND(Sheet1!K3416,"AAAAAG6/zYA=")</f>
        <v>#VALUE!</v>
      </c>
      <c r="DZ254" t="e">
        <f>AND(Sheet1!L3416,"AAAAAG6/zYE=")</f>
        <v>#VALUE!</v>
      </c>
      <c r="EA254" t="e">
        <f>AND(Sheet1!M3416,"AAAAAG6/zYI=")</f>
        <v>#VALUE!</v>
      </c>
      <c r="EB254" t="e">
        <f>AND(Sheet1!N3416,"AAAAAG6/zYM=")</f>
        <v>#VALUE!</v>
      </c>
      <c r="EC254" t="e">
        <f>AND(Sheet1!#REF!,"AAAAAG6/zYQ=")</f>
        <v>#REF!</v>
      </c>
      <c r="ED254" t="e">
        <f>AND(Sheet1!#REF!,"AAAAAG6/zYU=")</f>
        <v>#REF!</v>
      </c>
      <c r="EE254" t="e">
        <f>AND(Sheet1!#REF!,"AAAAAG6/zYY=")</f>
        <v>#REF!</v>
      </c>
      <c r="EF254" t="e">
        <f>AND(Sheet1!#REF!,"AAAAAG6/zYc=")</f>
        <v>#REF!</v>
      </c>
      <c r="EG254">
        <f>IF(Sheet1!3417:3417,"AAAAAG6/zYg=",0)</f>
        <v>0</v>
      </c>
      <c r="EH254" t="e">
        <f>AND(Sheet1!A3417,"AAAAAG6/zYk=")</f>
        <v>#VALUE!</v>
      </c>
      <c r="EI254" t="e">
        <f>AND(Sheet1!B3417,"AAAAAG6/zYo=")</f>
        <v>#VALUE!</v>
      </c>
      <c r="EJ254" t="e">
        <f>AND(Sheet1!C3417,"AAAAAG6/zYs=")</f>
        <v>#VALUE!</v>
      </c>
      <c r="EK254" t="e">
        <f>AND(Sheet1!D3417,"AAAAAG6/zYw=")</f>
        <v>#VALUE!</v>
      </c>
      <c r="EL254" t="e">
        <f>AND(Sheet1!E3417,"AAAAAG6/zY0=")</f>
        <v>#VALUE!</v>
      </c>
      <c r="EM254" t="e">
        <f>AND(Sheet1!F3417,"AAAAAG6/zY4=")</f>
        <v>#VALUE!</v>
      </c>
      <c r="EN254" t="e">
        <f>AND(Sheet1!G3417,"AAAAAG6/zY8=")</f>
        <v>#VALUE!</v>
      </c>
      <c r="EO254" t="e">
        <f>AND(Sheet1!H3417,"AAAAAG6/zZA=")</f>
        <v>#VALUE!</v>
      </c>
      <c r="EP254" t="e">
        <f>AND(Sheet1!I3417,"AAAAAG6/zZE=")</f>
        <v>#VALUE!</v>
      </c>
      <c r="EQ254" t="e">
        <f>AND(Sheet1!J3417,"AAAAAG6/zZI=")</f>
        <v>#VALUE!</v>
      </c>
      <c r="ER254" t="e">
        <f>AND(Sheet1!K3417,"AAAAAG6/zZM=")</f>
        <v>#VALUE!</v>
      </c>
      <c r="ES254" t="e">
        <f>AND(Sheet1!L3417,"AAAAAG6/zZQ=")</f>
        <v>#VALUE!</v>
      </c>
      <c r="ET254" t="e">
        <f>AND(Sheet1!M3417,"AAAAAG6/zZU=")</f>
        <v>#VALUE!</v>
      </c>
      <c r="EU254" t="e">
        <f>AND(Sheet1!N3417,"AAAAAG6/zZY=")</f>
        <v>#VALUE!</v>
      </c>
      <c r="EV254" t="e">
        <f>AND(Sheet1!#REF!,"AAAAAG6/zZc=")</f>
        <v>#REF!</v>
      </c>
      <c r="EW254" t="e">
        <f>AND(Sheet1!#REF!,"AAAAAG6/zZg=")</f>
        <v>#REF!</v>
      </c>
      <c r="EX254" t="e">
        <f>AND(Sheet1!#REF!,"AAAAAG6/zZk=")</f>
        <v>#REF!</v>
      </c>
      <c r="EY254" t="e">
        <f>AND(Sheet1!#REF!,"AAAAAG6/zZo=")</f>
        <v>#REF!</v>
      </c>
      <c r="EZ254">
        <f>IF(Sheet1!3418:3418,"AAAAAG6/zZs=",0)</f>
        <v>0</v>
      </c>
      <c r="FA254" t="e">
        <f>AND(Sheet1!A3418,"AAAAAG6/zZw=")</f>
        <v>#VALUE!</v>
      </c>
      <c r="FB254" t="e">
        <f>AND(Sheet1!B3418,"AAAAAG6/zZ0=")</f>
        <v>#VALUE!</v>
      </c>
      <c r="FC254" t="e">
        <f>AND(Sheet1!C3418,"AAAAAG6/zZ4=")</f>
        <v>#VALUE!</v>
      </c>
      <c r="FD254" t="e">
        <f>AND(Sheet1!D3418,"AAAAAG6/zZ8=")</f>
        <v>#VALUE!</v>
      </c>
      <c r="FE254" t="e">
        <f>AND(Sheet1!E3418,"AAAAAG6/zaA=")</f>
        <v>#VALUE!</v>
      </c>
      <c r="FF254" t="e">
        <f>AND(Sheet1!F3418,"AAAAAG6/zaE=")</f>
        <v>#VALUE!</v>
      </c>
      <c r="FG254" t="e">
        <f>AND(Sheet1!G3418,"AAAAAG6/zaI=")</f>
        <v>#VALUE!</v>
      </c>
      <c r="FH254" t="e">
        <f>AND(Sheet1!H3418,"AAAAAG6/zaM=")</f>
        <v>#VALUE!</v>
      </c>
      <c r="FI254" t="e">
        <f>AND(Sheet1!I3418,"AAAAAG6/zaQ=")</f>
        <v>#VALUE!</v>
      </c>
      <c r="FJ254" t="e">
        <f>AND(Sheet1!J3418,"AAAAAG6/zaU=")</f>
        <v>#VALUE!</v>
      </c>
      <c r="FK254" t="e">
        <f>AND(Sheet1!K3418,"AAAAAG6/zaY=")</f>
        <v>#VALUE!</v>
      </c>
      <c r="FL254" t="e">
        <f>AND(Sheet1!L3418,"AAAAAG6/zac=")</f>
        <v>#VALUE!</v>
      </c>
      <c r="FM254" t="e">
        <f>AND(Sheet1!M3418,"AAAAAG6/zag=")</f>
        <v>#VALUE!</v>
      </c>
      <c r="FN254" t="e">
        <f>AND(Sheet1!N3418,"AAAAAG6/zak=")</f>
        <v>#VALUE!</v>
      </c>
      <c r="FO254" t="e">
        <f>AND(Sheet1!#REF!,"AAAAAG6/zao=")</f>
        <v>#REF!</v>
      </c>
      <c r="FP254" t="e">
        <f>AND(Sheet1!#REF!,"AAAAAG6/zas=")</f>
        <v>#REF!</v>
      </c>
      <c r="FQ254" t="e">
        <f>AND(Sheet1!#REF!,"AAAAAG6/zaw=")</f>
        <v>#REF!</v>
      </c>
      <c r="FR254" t="e">
        <f>AND(Sheet1!#REF!,"AAAAAG6/za0=")</f>
        <v>#REF!</v>
      </c>
      <c r="FS254">
        <f>IF(Sheet1!3419:3419,"AAAAAG6/za4=",0)</f>
        <v>0</v>
      </c>
      <c r="FT254" t="e">
        <f>AND(Sheet1!A3419,"AAAAAG6/za8=")</f>
        <v>#VALUE!</v>
      </c>
      <c r="FU254" t="e">
        <f>AND(Sheet1!B3419,"AAAAAG6/zbA=")</f>
        <v>#VALUE!</v>
      </c>
      <c r="FV254" t="e">
        <f>AND(Sheet1!C3419,"AAAAAG6/zbE=")</f>
        <v>#VALUE!</v>
      </c>
      <c r="FW254" t="e">
        <f>AND(Sheet1!D3419,"AAAAAG6/zbI=")</f>
        <v>#VALUE!</v>
      </c>
      <c r="FX254" t="e">
        <f>AND(Sheet1!E3419,"AAAAAG6/zbM=")</f>
        <v>#VALUE!</v>
      </c>
      <c r="FY254" t="e">
        <f>AND(Sheet1!F3419,"AAAAAG6/zbQ=")</f>
        <v>#VALUE!</v>
      </c>
      <c r="FZ254" t="e">
        <f>AND(Sheet1!G3419,"AAAAAG6/zbU=")</f>
        <v>#VALUE!</v>
      </c>
      <c r="GA254" t="e">
        <f>AND(Sheet1!H3419,"AAAAAG6/zbY=")</f>
        <v>#VALUE!</v>
      </c>
      <c r="GB254" t="e">
        <f>AND(Sheet1!I3419,"AAAAAG6/zbc=")</f>
        <v>#VALUE!</v>
      </c>
      <c r="GC254" t="e">
        <f>AND(Sheet1!J3419,"AAAAAG6/zbg=")</f>
        <v>#VALUE!</v>
      </c>
      <c r="GD254" t="e">
        <f>AND(Sheet1!K3419,"AAAAAG6/zbk=")</f>
        <v>#VALUE!</v>
      </c>
      <c r="GE254" t="e">
        <f>AND(Sheet1!L3419,"AAAAAG6/zbo=")</f>
        <v>#VALUE!</v>
      </c>
      <c r="GF254" t="e">
        <f>AND(Sheet1!M3419,"AAAAAG6/zbs=")</f>
        <v>#VALUE!</v>
      </c>
      <c r="GG254" t="e">
        <f>AND(Sheet1!N3419,"AAAAAG6/zbw=")</f>
        <v>#VALUE!</v>
      </c>
      <c r="GH254" t="e">
        <f>AND(Sheet1!#REF!,"AAAAAG6/zb0=")</f>
        <v>#REF!</v>
      </c>
      <c r="GI254" t="e">
        <f>AND(Sheet1!#REF!,"AAAAAG6/zb4=")</f>
        <v>#REF!</v>
      </c>
      <c r="GJ254" t="e">
        <f>AND(Sheet1!#REF!,"AAAAAG6/zb8=")</f>
        <v>#REF!</v>
      </c>
      <c r="GK254" t="e">
        <f>AND(Sheet1!#REF!,"AAAAAG6/zcA=")</f>
        <v>#REF!</v>
      </c>
      <c r="GL254">
        <f>IF(Sheet1!3420:3420,"AAAAAG6/zcE=",0)</f>
        <v>0</v>
      </c>
      <c r="GM254" t="e">
        <f>AND(Sheet1!A3420,"AAAAAG6/zcI=")</f>
        <v>#VALUE!</v>
      </c>
      <c r="GN254" t="e">
        <f>AND(Sheet1!B3420,"AAAAAG6/zcM=")</f>
        <v>#VALUE!</v>
      </c>
      <c r="GO254" t="e">
        <f>AND(Sheet1!C3420,"AAAAAG6/zcQ=")</f>
        <v>#VALUE!</v>
      </c>
      <c r="GP254" t="e">
        <f>AND(Sheet1!D3420,"AAAAAG6/zcU=")</f>
        <v>#VALUE!</v>
      </c>
      <c r="GQ254" t="e">
        <f>AND(Sheet1!E3420,"AAAAAG6/zcY=")</f>
        <v>#VALUE!</v>
      </c>
      <c r="GR254" t="e">
        <f>AND(Sheet1!F3420,"AAAAAG6/zcc=")</f>
        <v>#VALUE!</v>
      </c>
      <c r="GS254" t="e">
        <f>AND(Sheet1!G3420,"AAAAAG6/zcg=")</f>
        <v>#VALUE!</v>
      </c>
      <c r="GT254" t="e">
        <f>AND(Sheet1!H3420,"AAAAAG6/zck=")</f>
        <v>#VALUE!</v>
      </c>
      <c r="GU254" t="e">
        <f>AND(Sheet1!I3420,"AAAAAG6/zco=")</f>
        <v>#VALUE!</v>
      </c>
      <c r="GV254" t="e">
        <f>AND(Sheet1!J3420,"AAAAAG6/zcs=")</f>
        <v>#VALUE!</v>
      </c>
      <c r="GW254" t="e">
        <f>AND(Sheet1!K3420,"AAAAAG6/zcw=")</f>
        <v>#VALUE!</v>
      </c>
      <c r="GX254" t="e">
        <f>AND(Sheet1!L3420,"AAAAAG6/zc0=")</f>
        <v>#VALUE!</v>
      </c>
      <c r="GY254" t="e">
        <f>AND(Sheet1!M3420,"AAAAAG6/zc4=")</f>
        <v>#VALUE!</v>
      </c>
      <c r="GZ254" t="e">
        <f>AND(Sheet1!N3420,"AAAAAG6/zc8=")</f>
        <v>#VALUE!</v>
      </c>
      <c r="HA254" t="e">
        <f>AND(Sheet1!#REF!,"AAAAAG6/zdA=")</f>
        <v>#REF!</v>
      </c>
      <c r="HB254" t="e">
        <f>AND(Sheet1!#REF!,"AAAAAG6/zdE=")</f>
        <v>#REF!</v>
      </c>
      <c r="HC254" t="e">
        <f>AND(Sheet1!#REF!,"AAAAAG6/zdI=")</f>
        <v>#REF!</v>
      </c>
      <c r="HD254" t="e">
        <f>AND(Sheet1!#REF!,"AAAAAG6/zdM=")</f>
        <v>#REF!</v>
      </c>
      <c r="HE254">
        <f>IF(Sheet1!3421:3421,"AAAAAG6/zdQ=",0)</f>
        <v>0</v>
      </c>
      <c r="HF254" t="e">
        <f>AND(Sheet1!A3421,"AAAAAG6/zdU=")</f>
        <v>#VALUE!</v>
      </c>
      <c r="HG254" t="e">
        <f>AND(Sheet1!B3421,"AAAAAG6/zdY=")</f>
        <v>#VALUE!</v>
      </c>
      <c r="HH254" t="e">
        <f>AND(Sheet1!C3421,"AAAAAG6/zdc=")</f>
        <v>#VALUE!</v>
      </c>
      <c r="HI254" t="e">
        <f>AND(Sheet1!D3421,"AAAAAG6/zdg=")</f>
        <v>#VALUE!</v>
      </c>
      <c r="HJ254" t="e">
        <f>AND(Sheet1!E3421,"AAAAAG6/zdk=")</f>
        <v>#VALUE!</v>
      </c>
      <c r="HK254" t="e">
        <f>AND(Sheet1!F3421,"AAAAAG6/zdo=")</f>
        <v>#VALUE!</v>
      </c>
      <c r="HL254" t="e">
        <f>AND(Sheet1!G3421,"AAAAAG6/zds=")</f>
        <v>#VALUE!</v>
      </c>
      <c r="HM254" t="e">
        <f>AND(Sheet1!H3421,"AAAAAG6/zdw=")</f>
        <v>#VALUE!</v>
      </c>
      <c r="HN254" t="e">
        <f>AND(Sheet1!I3421,"AAAAAG6/zd0=")</f>
        <v>#VALUE!</v>
      </c>
      <c r="HO254" t="e">
        <f>AND(Sheet1!J3421,"AAAAAG6/zd4=")</f>
        <v>#VALUE!</v>
      </c>
      <c r="HP254" t="e">
        <f>AND(Sheet1!K3421,"AAAAAG6/zd8=")</f>
        <v>#VALUE!</v>
      </c>
      <c r="HQ254" t="e">
        <f>AND(Sheet1!L3421,"AAAAAG6/zeA=")</f>
        <v>#VALUE!</v>
      </c>
      <c r="HR254" t="e">
        <f>AND(Sheet1!M3421,"AAAAAG6/zeE=")</f>
        <v>#VALUE!</v>
      </c>
      <c r="HS254" t="e">
        <f>AND(Sheet1!N3421,"AAAAAG6/zeI=")</f>
        <v>#VALUE!</v>
      </c>
      <c r="HT254" t="e">
        <f>AND(Sheet1!#REF!,"AAAAAG6/zeM=")</f>
        <v>#REF!</v>
      </c>
      <c r="HU254" t="e">
        <f>AND(Sheet1!#REF!,"AAAAAG6/zeQ=")</f>
        <v>#REF!</v>
      </c>
      <c r="HV254" t="e">
        <f>AND(Sheet1!#REF!,"AAAAAG6/zeU=")</f>
        <v>#REF!</v>
      </c>
      <c r="HW254" t="e">
        <f>AND(Sheet1!#REF!,"AAAAAG6/zeY=")</f>
        <v>#REF!</v>
      </c>
      <c r="HX254">
        <f>IF(Sheet1!3422:3422,"AAAAAG6/zec=",0)</f>
        <v>0</v>
      </c>
      <c r="HY254" t="e">
        <f>AND(Sheet1!A3422,"AAAAAG6/zeg=")</f>
        <v>#VALUE!</v>
      </c>
      <c r="HZ254" t="e">
        <f>AND(Sheet1!B3422,"AAAAAG6/zek=")</f>
        <v>#VALUE!</v>
      </c>
      <c r="IA254" t="e">
        <f>AND(Sheet1!C3422,"AAAAAG6/zeo=")</f>
        <v>#VALUE!</v>
      </c>
      <c r="IB254" t="e">
        <f>AND(Sheet1!D3422,"AAAAAG6/zes=")</f>
        <v>#VALUE!</v>
      </c>
      <c r="IC254" t="e">
        <f>AND(Sheet1!E3422,"AAAAAG6/zew=")</f>
        <v>#VALUE!</v>
      </c>
      <c r="ID254" t="e">
        <f>AND(Sheet1!F3422,"AAAAAG6/ze0=")</f>
        <v>#VALUE!</v>
      </c>
      <c r="IE254" t="e">
        <f>AND(Sheet1!G3422,"AAAAAG6/ze4=")</f>
        <v>#VALUE!</v>
      </c>
      <c r="IF254" t="e">
        <f>AND(Sheet1!H3422,"AAAAAG6/ze8=")</f>
        <v>#VALUE!</v>
      </c>
      <c r="IG254" t="e">
        <f>AND(Sheet1!I3422,"AAAAAG6/zfA=")</f>
        <v>#VALUE!</v>
      </c>
      <c r="IH254" t="e">
        <f>AND(Sheet1!J3422,"AAAAAG6/zfE=")</f>
        <v>#VALUE!</v>
      </c>
      <c r="II254" t="e">
        <f>AND(Sheet1!K3422,"AAAAAG6/zfI=")</f>
        <v>#VALUE!</v>
      </c>
      <c r="IJ254" t="e">
        <f>AND(Sheet1!L3422,"AAAAAG6/zfM=")</f>
        <v>#VALUE!</v>
      </c>
      <c r="IK254" t="e">
        <f>AND(Sheet1!M3422,"AAAAAG6/zfQ=")</f>
        <v>#VALUE!</v>
      </c>
      <c r="IL254" t="e">
        <f>AND(Sheet1!N3422,"AAAAAG6/zfU=")</f>
        <v>#VALUE!</v>
      </c>
      <c r="IM254" t="e">
        <f>AND(Sheet1!#REF!,"AAAAAG6/zfY=")</f>
        <v>#REF!</v>
      </c>
      <c r="IN254" t="e">
        <f>AND(Sheet1!#REF!,"AAAAAG6/zfc=")</f>
        <v>#REF!</v>
      </c>
      <c r="IO254" t="e">
        <f>AND(Sheet1!#REF!,"AAAAAG6/zfg=")</f>
        <v>#REF!</v>
      </c>
      <c r="IP254" t="e">
        <f>AND(Sheet1!#REF!,"AAAAAG6/zfk=")</f>
        <v>#REF!</v>
      </c>
      <c r="IQ254">
        <f>IF(Sheet1!3423:3423,"AAAAAG6/zfo=",0)</f>
        <v>0</v>
      </c>
      <c r="IR254" t="e">
        <f>AND(Sheet1!A3423,"AAAAAG6/zfs=")</f>
        <v>#VALUE!</v>
      </c>
      <c r="IS254" t="e">
        <f>AND(Sheet1!B3423,"AAAAAG6/zfw=")</f>
        <v>#VALUE!</v>
      </c>
      <c r="IT254" t="e">
        <f>AND(Sheet1!C3423,"AAAAAG6/zf0=")</f>
        <v>#VALUE!</v>
      </c>
      <c r="IU254" t="e">
        <f>AND(Sheet1!D3423,"AAAAAG6/zf4=")</f>
        <v>#VALUE!</v>
      </c>
      <c r="IV254" t="e">
        <f>AND(Sheet1!E3423,"AAAAAG6/zf8=")</f>
        <v>#VALUE!</v>
      </c>
    </row>
    <row r="255" spans="1:256" x14ac:dyDescent="0.2">
      <c r="A255" t="e">
        <f>AND(Sheet1!F3423,"AAAAAHeO/AA=")</f>
        <v>#VALUE!</v>
      </c>
      <c r="B255" t="e">
        <f>AND(Sheet1!G3423,"AAAAAHeO/AE=")</f>
        <v>#VALUE!</v>
      </c>
      <c r="C255" t="e">
        <f>AND(Sheet1!H3423,"AAAAAHeO/AI=")</f>
        <v>#VALUE!</v>
      </c>
      <c r="D255" t="e">
        <f>AND(Sheet1!I3423,"AAAAAHeO/AM=")</f>
        <v>#VALUE!</v>
      </c>
      <c r="E255" t="e">
        <f>AND(Sheet1!J3423,"AAAAAHeO/AQ=")</f>
        <v>#VALUE!</v>
      </c>
      <c r="F255" t="e">
        <f>AND(Sheet1!K3423,"AAAAAHeO/AU=")</f>
        <v>#VALUE!</v>
      </c>
      <c r="G255" t="e">
        <f>AND(Sheet1!L3423,"AAAAAHeO/AY=")</f>
        <v>#VALUE!</v>
      </c>
      <c r="H255" t="e">
        <f>AND(Sheet1!M3423,"AAAAAHeO/Ac=")</f>
        <v>#VALUE!</v>
      </c>
      <c r="I255" t="e">
        <f>AND(Sheet1!N3423,"AAAAAHeO/Ag=")</f>
        <v>#VALUE!</v>
      </c>
      <c r="J255" t="e">
        <f>AND(Sheet1!#REF!,"AAAAAHeO/Ak=")</f>
        <v>#REF!</v>
      </c>
      <c r="K255" t="e">
        <f>AND(Sheet1!#REF!,"AAAAAHeO/Ao=")</f>
        <v>#REF!</v>
      </c>
      <c r="L255" t="e">
        <f>AND(Sheet1!#REF!,"AAAAAHeO/As=")</f>
        <v>#REF!</v>
      </c>
      <c r="M255" t="e">
        <f>AND(Sheet1!#REF!,"AAAAAHeO/Aw=")</f>
        <v>#REF!</v>
      </c>
      <c r="N255" t="e">
        <f>IF(Sheet1!3424:3424,"AAAAAHeO/A0=",0)</f>
        <v>#VALUE!</v>
      </c>
      <c r="O255" t="e">
        <f>AND(Sheet1!A3424,"AAAAAHeO/A4=")</f>
        <v>#VALUE!</v>
      </c>
      <c r="P255" t="e">
        <f>AND(Sheet1!B3424,"AAAAAHeO/A8=")</f>
        <v>#VALUE!</v>
      </c>
      <c r="Q255" t="e">
        <f>AND(Sheet1!C3424,"AAAAAHeO/BA=")</f>
        <v>#VALUE!</v>
      </c>
      <c r="R255" t="e">
        <f>AND(Sheet1!D3424,"AAAAAHeO/BE=")</f>
        <v>#VALUE!</v>
      </c>
      <c r="S255" t="e">
        <f>AND(Sheet1!E3424,"AAAAAHeO/BI=")</f>
        <v>#VALUE!</v>
      </c>
      <c r="T255" t="e">
        <f>AND(Sheet1!F3424,"AAAAAHeO/BM=")</f>
        <v>#VALUE!</v>
      </c>
      <c r="U255" t="e">
        <f>AND(Sheet1!G3424,"AAAAAHeO/BQ=")</f>
        <v>#VALUE!</v>
      </c>
      <c r="V255" t="e">
        <f>AND(Sheet1!H3424,"AAAAAHeO/BU=")</f>
        <v>#VALUE!</v>
      </c>
      <c r="W255" t="e">
        <f>AND(Sheet1!I3424,"AAAAAHeO/BY=")</f>
        <v>#VALUE!</v>
      </c>
      <c r="X255" t="e">
        <f>AND(Sheet1!J3424,"AAAAAHeO/Bc=")</f>
        <v>#VALUE!</v>
      </c>
      <c r="Y255" t="e">
        <f>AND(Sheet1!K3424,"AAAAAHeO/Bg=")</f>
        <v>#VALUE!</v>
      </c>
      <c r="Z255" t="e">
        <f>AND(Sheet1!L3424,"AAAAAHeO/Bk=")</f>
        <v>#VALUE!</v>
      </c>
      <c r="AA255" t="e">
        <f>AND(Sheet1!M3424,"AAAAAHeO/Bo=")</f>
        <v>#VALUE!</v>
      </c>
      <c r="AB255" t="e">
        <f>AND(Sheet1!N3424,"AAAAAHeO/Bs=")</f>
        <v>#VALUE!</v>
      </c>
      <c r="AC255" t="e">
        <f>AND(Sheet1!#REF!,"AAAAAHeO/Bw=")</f>
        <v>#REF!</v>
      </c>
      <c r="AD255" t="e">
        <f>AND(Sheet1!#REF!,"AAAAAHeO/B0=")</f>
        <v>#REF!</v>
      </c>
      <c r="AE255" t="e">
        <f>AND(Sheet1!#REF!,"AAAAAHeO/B4=")</f>
        <v>#REF!</v>
      </c>
      <c r="AF255" t="e">
        <f>AND(Sheet1!#REF!,"AAAAAHeO/B8=")</f>
        <v>#REF!</v>
      </c>
      <c r="AG255">
        <f>IF(Sheet1!3425:3425,"AAAAAHeO/CA=",0)</f>
        <v>0</v>
      </c>
      <c r="AH255" t="e">
        <f>AND(Sheet1!A3425,"AAAAAHeO/CE=")</f>
        <v>#VALUE!</v>
      </c>
      <c r="AI255" t="e">
        <f>AND(Sheet1!B3425,"AAAAAHeO/CI=")</f>
        <v>#VALUE!</v>
      </c>
      <c r="AJ255" t="e">
        <f>AND(Sheet1!C3425,"AAAAAHeO/CM=")</f>
        <v>#VALUE!</v>
      </c>
      <c r="AK255" t="e">
        <f>AND(Sheet1!D3425,"AAAAAHeO/CQ=")</f>
        <v>#VALUE!</v>
      </c>
      <c r="AL255" t="e">
        <f>AND(Sheet1!E3425,"AAAAAHeO/CU=")</f>
        <v>#VALUE!</v>
      </c>
      <c r="AM255" t="e">
        <f>AND(Sheet1!F3425,"AAAAAHeO/CY=")</f>
        <v>#VALUE!</v>
      </c>
      <c r="AN255" t="e">
        <f>AND(Sheet1!G3425,"AAAAAHeO/Cc=")</f>
        <v>#VALUE!</v>
      </c>
      <c r="AO255" t="e">
        <f>AND(Sheet1!H3425,"AAAAAHeO/Cg=")</f>
        <v>#VALUE!</v>
      </c>
      <c r="AP255" t="e">
        <f>AND(Sheet1!I3425,"AAAAAHeO/Ck=")</f>
        <v>#VALUE!</v>
      </c>
      <c r="AQ255" t="e">
        <f>AND(Sheet1!J3425,"AAAAAHeO/Co=")</f>
        <v>#VALUE!</v>
      </c>
      <c r="AR255" t="e">
        <f>AND(Sheet1!K3425,"AAAAAHeO/Cs=")</f>
        <v>#VALUE!</v>
      </c>
      <c r="AS255" t="e">
        <f>AND(Sheet1!L3425,"AAAAAHeO/Cw=")</f>
        <v>#VALUE!</v>
      </c>
      <c r="AT255" t="e">
        <f>AND(Sheet1!M3425,"AAAAAHeO/C0=")</f>
        <v>#VALUE!</v>
      </c>
      <c r="AU255" t="e">
        <f>AND(Sheet1!N3425,"AAAAAHeO/C4=")</f>
        <v>#VALUE!</v>
      </c>
      <c r="AV255" t="e">
        <f>AND(Sheet1!#REF!,"AAAAAHeO/C8=")</f>
        <v>#REF!</v>
      </c>
      <c r="AW255" t="e">
        <f>AND(Sheet1!#REF!,"AAAAAHeO/DA=")</f>
        <v>#REF!</v>
      </c>
      <c r="AX255" t="e">
        <f>AND(Sheet1!#REF!,"AAAAAHeO/DE=")</f>
        <v>#REF!</v>
      </c>
      <c r="AY255" t="e">
        <f>AND(Sheet1!#REF!,"AAAAAHeO/DI=")</f>
        <v>#REF!</v>
      </c>
      <c r="AZ255">
        <f>IF(Sheet1!3426:3426,"AAAAAHeO/DM=",0)</f>
        <v>0</v>
      </c>
      <c r="BA255" t="e">
        <f>AND(Sheet1!A3426,"AAAAAHeO/DQ=")</f>
        <v>#VALUE!</v>
      </c>
      <c r="BB255" t="e">
        <f>AND(Sheet1!B3426,"AAAAAHeO/DU=")</f>
        <v>#VALUE!</v>
      </c>
      <c r="BC255" t="e">
        <f>AND(Sheet1!C3426,"AAAAAHeO/DY=")</f>
        <v>#VALUE!</v>
      </c>
      <c r="BD255" t="e">
        <f>AND(Sheet1!D3426,"AAAAAHeO/Dc=")</f>
        <v>#VALUE!</v>
      </c>
      <c r="BE255" t="e">
        <f>AND(Sheet1!E3426,"AAAAAHeO/Dg=")</f>
        <v>#VALUE!</v>
      </c>
      <c r="BF255" t="e">
        <f>AND(Sheet1!F3426,"AAAAAHeO/Dk=")</f>
        <v>#VALUE!</v>
      </c>
      <c r="BG255" t="e">
        <f>AND(Sheet1!G3426,"AAAAAHeO/Do=")</f>
        <v>#VALUE!</v>
      </c>
      <c r="BH255" t="e">
        <f>AND(Sheet1!H3426,"AAAAAHeO/Ds=")</f>
        <v>#VALUE!</v>
      </c>
      <c r="BI255" t="e">
        <f>AND(Sheet1!I3426,"AAAAAHeO/Dw=")</f>
        <v>#VALUE!</v>
      </c>
      <c r="BJ255" t="e">
        <f>AND(Sheet1!J3426,"AAAAAHeO/D0=")</f>
        <v>#VALUE!</v>
      </c>
      <c r="BK255" t="e">
        <f>AND(Sheet1!K3426,"AAAAAHeO/D4=")</f>
        <v>#VALUE!</v>
      </c>
      <c r="BL255" t="e">
        <f>AND(Sheet1!L3426,"AAAAAHeO/D8=")</f>
        <v>#VALUE!</v>
      </c>
      <c r="BM255" t="e">
        <f>AND(Sheet1!M3426,"AAAAAHeO/EA=")</f>
        <v>#VALUE!</v>
      </c>
      <c r="BN255" t="e">
        <f>AND(Sheet1!N3426,"AAAAAHeO/EE=")</f>
        <v>#VALUE!</v>
      </c>
      <c r="BO255" t="e">
        <f>AND(Sheet1!#REF!,"AAAAAHeO/EI=")</f>
        <v>#REF!</v>
      </c>
      <c r="BP255" t="e">
        <f>AND(Sheet1!#REF!,"AAAAAHeO/EM=")</f>
        <v>#REF!</v>
      </c>
      <c r="BQ255" t="e">
        <f>AND(Sheet1!#REF!,"AAAAAHeO/EQ=")</f>
        <v>#REF!</v>
      </c>
      <c r="BR255" t="e">
        <f>AND(Sheet1!#REF!,"AAAAAHeO/EU=")</f>
        <v>#REF!</v>
      </c>
      <c r="BS255">
        <f>IF(Sheet1!3427:3427,"AAAAAHeO/EY=",0)</f>
        <v>0</v>
      </c>
      <c r="BT255" t="e">
        <f>AND(Sheet1!A3427,"AAAAAHeO/Ec=")</f>
        <v>#VALUE!</v>
      </c>
      <c r="BU255" t="e">
        <f>AND(Sheet1!B3427,"AAAAAHeO/Eg=")</f>
        <v>#VALUE!</v>
      </c>
      <c r="BV255" t="e">
        <f>AND(Sheet1!C3427,"AAAAAHeO/Ek=")</f>
        <v>#VALUE!</v>
      </c>
      <c r="BW255" t="e">
        <f>AND(Sheet1!D3427,"AAAAAHeO/Eo=")</f>
        <v>#VALUE!</v>
      </c>
      <c r="BX255" t="e">
        <f>AND(Sheet1!E3427,"AAAAAHeO/Es=")</f>
        <v>#VALUE!</v>
      </c>
      <c r="BY255" t="e">
        <f>AND(Sheet1!F3427,"AAAAAHeO/Ew=")</f>
        <v>#VALUE!</v>
      </c>
      <c r="BZ255" t="e">
        <f>AND(Sheet1!G3427,"AAAAAHeO/E0=")</f>
        <v>#VALUE!</v>
      </c>
      <c r="CA255" t="e">
        <f>AND(Sheet1!H3427,"AAAAAHeO/E4=")</f>
        <v>#VALUE!</v>
      </c>
      <c r="CB255" t="e">
        <f>AND(Sheet1!I3427,"AAAAAHeO/E8=")</f>
        <v>#VALUE!</v>
      </c>
      <c r="CC255" t="e">
        <f>AND(Sheet1!J3427,"AAAAAHeO/FA=")</f>
        <v>#VALUE!</v>
      </c>
      <c r="CD255" t="e">
        <f>AND(Sheet1!K3427,"AAAAAHeO/FE=")</f>
        <v>#VALUE!</v>
      </c>
      <c r="CE255" t="e">
        <f>AND(Sheet1!L3427,"AAAAAHeO/FI=")</f>
        <v>#VALUE!</v>
      </c>
      <c r="CF255" t="e">
        <f>AND(Sheet1!M3427,"AAAAAHeO/FM=")</f>
        <v>#VALUE!</v>
      </c>
      <c r="CG255" t="e">
        <f>AND(Sheet1!N3427,"AAAAAHeO/FQ=")</f>
        <v>#VALUE!</v>
      </c>
      <c r="CH255" t="e">
        <f>AND(Sheet1!#REF!,"AAAAAHeO/FU=")</f>
        <v>#REF!</v>
      </c>
      <c r="CI255" t="e">
        <f>AND(Sheet1!#REF!,"AAAAAHeO/FY=")</f>
        <v>#REF!</v>
      </c>
      <c r="CJ255" t="e">
        <f>AND(Sheet1!#REF!,"AAAAAHeO/Fc=")</f>
        <v>#REF!</v>
      </c>
      <c r="CK255" t="e">
        <f>AND(Sheet1!#REF!,"AAAAAHeO/Fg=")</f>
        <v>#REF!</v>
      </c>
      <c r="CL255" t="e">
        <f>IF(Sheet1!#REF!,"AAAAAHeO/Fk=",0)</f>
        <v>#REF!</v>
      </c>
      <c r="CM255" t="e">
        <f>IF(Sheet1!#REF!,"AAAAAHeO/Fo=",0)</f>
        <v>#REF!</v>
      </c>
      <c r="CN255" t="e">
        <f>IF(Sheet1!#REF!,"AAAAAHeO/Fs=",0)</f>
        <v>#REF!</v>
      </c>
      <c r="CO255" t="e">
        <f>IF(Sheet1!#REF!,"AAAAAHeO/Fw=",0)</f>
        <v>#REF!</v>
      </c>
      <c r="CP255" t="e">
        <f>IF(Sheet1!#REF!,"AAAAAHeO/F0=",0)</f>
        <v>#REF!</v>
      </c>
      <c r="CQ255" t="e">
        <f>IF(Sheet1!#REF!,"AAAAAHeO/F4=",0)</f>
        <v>#REF!</v>
      </c>
      <c r="CR255" t="e">
        <f>IF(Sheet1!#REF!,"AAAAAHeO/F8=",0)</f>
        <v>#REF!</v>
      </c>
      <c r="CS255" t="e">
        <f>IF(Sheet1!#REF!,"AAAAAHeO/GA=",0)</f>
        <v>#REF!</v>
      </c>
      <c r="CT255" t="e">
        <f>IF(Sheet1!#REF!,"AAAAAHeO/GE=",0)</f>
        <v>#REF!</v>
      </c>
      <c r="CU255" t="e">
        <f>IF(Sheet1!#REF!,"AAAAAHeO/GI=",0)</f>
        <v>#REF!</v>
      </c>
      <c r="CV255" t="e">
        <f>IF(Sheet1!#REF!,"AAAAAHeO/GM=",0)</f>
        <v>#REF!</v>
      </c>
      <c r="CW255" t="e">
        <f>IF(Sheet1!#REF!,"AAAAAHeO/GQ=",0)</f>
        <v>#REF!</v>
      </c>
      <c r="CX255" t="e">
        <f>IF(Sheet1!#REF!,"AAAAAHeO/GU=",0)</f>
        <v>#REF!</v>
      </c>
      <c r="CY255" t="e">
        <f>IF(Sheet1!#REF!,"AAAAAHeO/GY=",0)</f>
        <v>#REF!</v>
      </c>
      <c r="CZ255" t="e">
        <f>IF(Sheet1!#REF!,"AAAAAHeO/Gc=",0)</f>
        <v>#REF!</v>
      </c>
      <c r="DA255" t="e">
        <f>IF(Sheet1!#REF!,"AAAAAHeO/Gg=",0)</f>
        <v>#REF!</v>
      </c>
      <c r="DB255" t="e">
        <f>IF(Sheet1!#REF!,"AAAAAHeO/Gk=",0)</f>
        <v>#REF!</v>
      </c>
      <c r="DC255" t="e">
        <f>IF(Sheet1!#REF!,"AAAAAHeO/Go=",0)</f>
        <v>#REF!</v>
      </c>
      <c r="DD255" t="e">
        <f>IF(Sheet1!#REF!,"AAAAAHeO/Gs=",0)</f>
        <v>#REF!</v>
      </c>
      <c r="DE255" t="e">
        <f>IF(Sheet1!#REF!,"AAAAAHeO/Gw=",0)</f>
        <v>#REF!</v>
      </c>
      <c r="DF255" t="e">
        <f>IF(Sheet1!#REF!,"AAAAAHeO/G0=",0)</f>
        <v>#REF!</v>
      </c>
      <c r="DG255" t="e">
        <f>IF(Sheet1!#REF!,"AAAAAHeO/G4=",0)</f>
        <v>#REF!</v>
      </c>
      <c r="DH255" t="e">
        <f>IF(Sheet1!#REF!,"AAAAAHeO/G8=",0)</f>
        <v>#REF!</v>
      </c>
      <c r="DI255" t="e">
        <f>IF(Sheet1!#REF!,"AAAAAHeO/HA=",0)</f>
        <v>#REF!</v>
      </c>
      <c r="DJ255" t="e">
        <f>IF(Sheet1!#REF!,"AAAAAHeO/HE=",0)</f>
        <v>#REF!</v>
      </c>
      <c r="DK255" t="e">
        <f>IF(Sheet1!#REF!,"AAAAAHeO/HI=",0)</f>
        <v>#REF!</v>
      </c>
      <c r="DL255" t="e">
        <f>IF(Sheet1!#REF!,"AAAAAHeO/HM=",0)</f>
        <v>#REF!</v>
      </c>
      <c r="DM255" t="e">
        <f>IF(Sheet1!#REF!,"AAAAAHeO/HQ=",0)</f>
        <v>#REF!</v>
      </c>
      <c r="DN255" t="e">
        <f>IF(Sheet1!#REF!,"AAAAAHeO/HU=",0)</f>
        <v>#REF!</v>
      </c>
      <c r="DO255" t="e">
        <f>IF(Sheet1!#REF!,"AAAAAHeO/HY=",0)</f>
        <v>#REF!</v>
      </c>
      <c r="DP255" t="e">
        <f>IF(Sheet1!#REF!,"AAAAAHeO/Hc=",0)</f>
        <v>#REF!</v>
      </c>
      <c r="DQ255" t="e">
        <f>IF(Sheet1!#REF!,"AAAAAHeO/Hg=",0)</f>
        <v>#REF!</v>
      </c>
      <c r="DR255" t="e">
        <f>IF(Sheet1!#REF!,"AAAAAHeO/Hk=",0)</f>
        <v>#REF!</v>
      </c>
      <c r="DS255" t="e">
        <f>IF(Sheet1!#REF!,"AAAAAHeO/Ho=",0)</f>
        <v>#REF!</v>
      </c>
      <c r="DT255" t="e">
        <f>IF(Sheet1!#REF!,"AAAAAHeO/Hs=",0)</f>
        <v>#REF!</v>
      </c>
      <c r="DU255" t="e">
        <f>IF(Sheet1!#REF!,"AAAAAHeO/Hw=",0)</f>
        <v>#REF!</v>
      </c>
      <c r="DV255" t="e">
        <f>IF(Sheet1!#REF!,"AAAAAHeO/H0=",0)</f>
        <v>#REF!</v>
      </c>
      <c r="DW255" t="e">
        <f>IF(Sheet1!#REF!,"AAAAAHeO/H4=",0)</f>
        <v>#REF!</v>
      </c>
      <c r="DX255" t="e">
        <f>IF(Sheet1!#REF!,"AAAAAHeO/H8=",0)</f>
        <v>#REF!</v>
      </c>
      <c r="DY255" t="e">
        <f>IF(Sheet1!#REF!,"AAAAAHeO/IA=",0)</f>
        <v>#REF!</v>
      </c>
      <c r="DZ255" t="e">
        <f>IF(Sheet1!#REF!,"AAAAAHeO/IE=",0)</f>
        <v>#REF!</v>
      </c>
      <c r="EA255" t="e">
        <f>IF(Sheet1!#REF!,"AAAAAHeO/II=",0)</f>
        <v>#REF!</v>
      </c>
      <c r="EB255" t="e">
        <f>IF(Sheet1!#REF!,"AAAAAHeO/IM=",0)</f>
        <v>#REF!</v>
      </c>
      <c r="EC255" t="e">
        <f>IF(Sheet1!#REF!,"AAAAAHeO/IQ=",0)</f>
        <v>#REF!</v>
      </c>
      <c r="ED255" t="e">
        <f>IF(Sheet1!#REF!,"AAAAAHeO/IU=",0)</f>
        <v>#REF!</v>
      </c>
      <c r="EE255" t="e">
        <f>IF(Sheet1!#REF!,"AAAAAHeO/IY=",0)</f>
        <v>#REF!</v>
      </c>
      <c r="EF255" t="e">
        <f>IF(Sheet1!#REF!,"AAAAAHeO/Ic=",0)</f>
        <v>#REF!</v>
      </c>
      <c r="EG255" t="e">
        <f>IF(Sheet1!#REF!,"AAAAAHeO/Ig=",0)</f>
        <v>#REF!</v>
      </c>
      <c r="EH255" t="e">
        <f>IF(Sheet1!#REF!,"AAAAAHeO/Ik=",0)</f>
        <v>#REF!</v>
      </c>
      <c r="EI255" t="e">
        <f>IF(Sheet1!#REF!,"AAAAAHeO/Io=",0)</f>
        <v>#REF!</v>
      </c>
      <c r="EJ255" t="e">
        <f>IF(Sheet1!#REF!,"AAAAAHeO/Is=",0)</f>
        <v>#REF!</v>
      </c>
      <c r="EK255" t="e">
        <f>IF(Sheet1!#REF!,"AAAAAHeO/Iw=",0)</f>
        <v>#REF!</v>
      </c>
      <c r="EL255" t="e">
        <f>IF(Sheet1!#REF!,"AAAAAHeO/I0=",0)</f>
        <v>#REF!</v>
      </c>
      <c r="EM255" t="e">
        <f>IF(Sheet1!#REF!,"AAAAAHeO/I4=",0)</f>
        <v>#REF!</v>
      </c>
      <c r="EN255" t="e">
        <f>IF(Sheet1!#REF!,"AAAAAHeO/I8=",0)</f>
        <v>#REF!</v>
      </c>
      <c r="EO255" t="e">
        <f>IF(Sheet1!#REF!,"AAAAAHeO/JA=",0)</f>
        <v>#REF!</v>
      </c>
      <c r="EP255" t="e">
        <f>IF(Sheet1!#REF!,"AAAAAHeO/JE=",0)</f>
        <v>#REF!</v>
      </c>
      <c r="EQ255" t="e">
        <f>IF(Sheet1!#REF!,"AAAAAHeO/JI=",0)</f>
        <v>#REF!</v>
      </c>
      <c r="ER255" t="e">
        <f>IF(Sheet1!#REF!,"AAAAAHeO/JM=",0)</f>
        <v>#REF!</v>
      </c>
      <c r="ES255" t="e">
        <f>IF(Sheet1!#REF!,"AAAAAHeO/JQ=",0)</f>
        <v>#REF!</v>
      </c>
      <c r="ET255" t="e">
        <f>IF(Sheet1!#REF!,"AAAAAHeO/JU=",0)</f>
        <v>#REF!</v>
      </c>
      <c r="EU255" t="e">
        <f>IF(Sheet1!#REF!,"AAAAAHeO/JY=",0)</f>
        <v>#REF!</v>
      </c>
      <c r="EV255" t="e">
        <f>IF(Sheet1!#REF!,"AAAAAHeO/Jc=",0)</f>
        <v>#REF!</v>
      </c>
      <c r="EW255" t="e">
        <f>IF(Sheet1!#REF!,"AAAAAHeO/Jg=",0)</f>
        <v>#REF!</v>
      </c>
      <c r="EX255" t="e">
        <f>IF(Sheet1!#REF!,"AAAAAHeO/Jk=",0)</f>
        <v>#REF!</v>
      </c>
      <c r="EY255" t="e">
        <f>IF(Sheet1!#REF!,"AAAAAHeO/Jo=",0)</f>
        <v>#REF!</v>
      </c>
      <c r="EZ255" t="e">
        <f>IF(Sheet1!#REF!,"AAAAAHeO/Js=",0)</f>
        <v>#REF!</v>
      </c>
      <c r="FA255" t="e">
        <f>IF(Sheet1!#REF!,"AAAAAHeO/Jw=",0)</f>
        <v>#REF!</v>
      </c>
      <c r="FB255" t="e">
        <f>IF(Sheet1!#REF!,"AAAAAHeO/J0=",0)</f>
        <v>#REF!</v>
      </c>
      <c r="FC255" t="e">
        <f>IF(Sheet1!#REF!,"AAAAAHeO/J4=",0)</f>
        <v>#REF!</v>
      </c>
      <c r="FD255" t="e">
        <f>IF(Sheet1!#REF!,"AAAAAHeO/J8=",0)</f>
        <v>#REF!</v>
      </c>
      <c r="FE255" t="e">
        <f>IF(Sheet1!#REF!,"AAAAAHeO/KA=",0)</f>
        <v>#REF!</v>
      </c>
      <c r="FF255" t="e">
        <f>IF(Sheet1!#REF!,"AAAAAHeO/KE=",0)</f>
        <v>#REF!</v>
      </c>
      <c r="FG255" t="e">
        <f>IF(Sheet1!#REF!,"AAAAAHeO/KI=",0)</f>
        <v>#REF!</v>
      </c>
      <c r="FH255" t="e">
        <f>IF(Sheet1!#REF!,"AAAAAHeO/KM=",0)</f>
        <v>#REF!</v>
      </c>
      <c r="FI255" t="e">
        <f>IF(Sheet1!#REF!,"AAAAAHeO/KQ=",0)</f>
        <v>#REF!</v>
      </c>
      <c r="FJ255" t="e">
        <f>IF(Sheet1!#REF!,"AAAAAHeO/KU=",0)</f>
        <v>#REF!</v>
      </c>
      <c r="FK255" t="e">
        <f>IF(Sheet1!#REF!,"AAAAAHeO/KY=",0)</f>
        <v>#REF!</v>
      </c>
      <c r="FL255" t="e">
        <f>IF(Sheet1!#REF!,"AAAAAHeO/Kc=",0)</f>
        <v>#REF!</v>
      </c>
      <c r="FM255" t="e">
        <f>IF(Sheet1!#REF!,"AAAAAHeO/Kg=",0)</f>
        <v>#REF!</v>
      </c>
      <c r="FN255" t="e">
        <f>IF(Sheet1!#REF!,"AAAAAHeO/Kk=",0)</f>
        <v>#REF!</v>
      </c>
      <c r="FO255" t="e">
        <f>IF(Sheet1!#REF!,"AAAAAHeO/Ko=",0)</f>
        <v>#REF!</v>
      </c>
      <c r="FP255" t="e">
        <f>IF(Sheet1!#REF!,"AAAAAHeO/Ks=",0)</f>
        <v>#REF!</v>
      </c>
      <c r="FQ255" t="e">
        <f>IF(Sheet1!#REF!,"AAAAAHeO/Kw=",0)</f>
        <v>#REF!</v>
      </c>
      <c r="FR255" t="e">
        <f>IF(Sheet1!#REF!,"AAAAAHeO/K0=",0)</f>
        <v>#REF!</v>
      </c>
      <c r="FS255" t="e">
        <f>IF(Sheet1!#REF!,"AAAAAHeO/K4=",0)</f>
        <v>#REF!</v>
      </c>
      <c r="FT255" t="e">
        <f>IF(Sheet1!#REF!,"AAAAAHeO/K8=",0)</f>
        <v>#REF!</v>
      </c>
      <c r="FU255" t="e">
        <f>IF(Sheet1!#REF!,"AAAAAHeO/LA=",0)</f>
        <v>#REF!</v>
      </c>
      <c r="FV255" t="e">
        <f>IF(Sheet1!#REF!,"AAAAAHeO/LE=",0)</f>
        <v>#REF!</v>
      </c>
      <c r="FW255" t="e">
        <f>IF(Sheet1!#REF!,"AAAAAHeO/LI=",0)</f>
        <v>#REF!</v>
      </c>
      <c r="FX255" t="e">
        <f>IF(Sheet1!#REF!,"AAAAAHeO/LM=",0)</f>
        <v>#REF!</v>
      </c>
      <c r="FY255" t="e">
        <f>IF(Sheet1!#REF!,"AAAAAHeO/LQ=",0)</f>
        <v>#REF!</v>
      </c>
      <c r="FZ255" t="e">
        <f>IF(Sheet1!#REF!,"AAAAAHeO/LU=",0)</f>
        <v>#REF!</v>
      </c>
      <c r="GA255" t="e">
        <f>IF(Sheet1!#REF!,"AAAAAHeO/LY=",0)</f>
        <v>#REF!</v>
      </c>
      <c r="GB255" t="e">
        <f>IF(Sheet1!#REF!,"AAAAAHeO/Lc=",0)</f>
        <v>#REF!</v>
      </c>
      <c r="GC255" t="e">
        <f>IF(Sheet1!#REF!,"AAAAAHeO/Lg=",0)</f>
        <v>#REF!</v>
      </c>
      <c r="GD255" t="e">
        <f>IF(Sheet1!#REF!,"AAAAAHeO/Lk=",0)</f>
        <v>#REF!</v>
      </c>
      <c r="GE255" t="e">
        <f>IF(Sheet1!#REF!,"AAAAAHeO/Lo=",0)</f>
        <v>#REF!</v>
      </c>
      <c r="GF255" t="e">
        <f>IF(Sheet1!#REF!,"AAAAAHeO/Ls=",0)</f>
        <v>#REF!</v>
      </c>
      <c r="GG255" t="e">
        <f>IF(Sheet1!#REF!,"AAAAAHeO/Lw=",0)</f>
        <v>#REF!</v>
      </c>
      <c r="GH255" t="e">
        <f>IF(Sheet1!#REF!,"AAAAAHeO/L0=",0)</f>
        <v>#REF!</v>
      </c>
      <c r="GI255" t="e">
        <f>IF(Sheet1!#REF!,"AAAAAHeO/L4=",0)</f>
        <v>#REF!</v>
      </c>
      <c r="GJ255" t="e">
        <f>IF(Sheet1!#REF!,"AAAAAHeO/L8=",0)</f>
        <v>#REF!</v>
      </c>
      <c r="GK255" t="e">
        <f>IF(Sheet1!#REF!,"AAAAAHeO/MA=",0)</f>
        <v>#REF!</v>
      </c>
      <c r="GL255" t="e">
        <f>IF(Sheet1!#REF!,"AAAAAHeO/ME=",0)</f>
        <v>#REF!</v>
      </c>
      <c r="GM255" t="e">
        <f>IF(Sheet1!#REF!,"AAAAAHeO/MI=",0)</f>
        <v>#REF!</v>
      </c>
      <c r="GN255" t="e">
        <f>IF(Sheet1!#REF!,"AAAAAHeO/MM=",0)</f>
        <v>#REF!</v>
      </c>
      <c r="GO255" t="e">
        <f>IF(Sheet1!#REF!,"AAAAAHeO/MQ=",0)</f>
        <v>#REF!</v>
      </c>
      <c r="GP255" t="e">
        <f>IF(Sheet1!#REF!,"AAAAAHeO/MU=",0)</f>
        <v>#REF!</v>
      </c>
      <c r="GQ255" t="e">
        <f>IF(Sheet1!#REF!,"AAAAAHeO/MY=",0)</f>
        <v>#REF!</v>
      </c>
      <c r="GR255" t="e">
        <f>IF(Sheet1!#REF!,"AAAAAHeO/Mc=",0)</f>
        <v>#REF!</v>
      </c>
      <c r="GS255" t="e">
        <f>IF(Sheet1!#REF!,"AAAAAHeO/Mg=",0)</f>
        <v>#REF!</v>
      </c>
      <c r="GT255" t="e">
        <f>IF(Sheet1!#REF!,"AAAAAHeO/Mk=",0)</f>
        <v>#REF!</v>
      </c>
      <c r="GU255" t="e">
        <f>IF(Sheet1!#REF!,"AAAAAHeO/Mo=",0)</f>
        <v>#REF!</v>
      </c>
      <c r="GV255" t="e">
        <f>IF(Sheet1!#REF!,"AAAAAHeO/Ms=",0)</f>
        <v>#REF!</v>
      </c>
      <c r="GW255" t="e">
        <f>IF(Sheet1!#REF!,"AAAAAHeO/Mw=",0)</f>
        <v>#REF!</v>
      </c>
      <c r="GX255" t="e">
        <f>IF(Sheet1!#REF!,"AAAAAHeO/M0=",0)</f>
        <v>#REF!</v>
      </c>
      <c r="GY255" t="e">
        <f>IF(Sheet1!#REF!,"AAAAAHeO/M4=",0)</f>
        <v>#REF!</v>
      </c>
      <c r="GZ255" t="e">
        <f>IF(Sheet1!#REF!,"AAAAAHeO/M8=",0)</f>
        <v>#REF!</v>
      </c>
      <c r="HA255" t="e">
        <f>IF(Sheet1!#REF!,"AAAAAHeO/NA=",0)</f>
        <v>#REF!</v>
      </c>
      <c r="HB255" t="e">
        <f>IF(Sheet1!#REF!,"AAAAAHeO/NE=",0)</f>
        <v>#REF!</v>
      </c>
      <c r="HC255" t="e">
        <f>IF(Sheet1!#REF!,"AAAAAHeO/NI=",0)</f>
        <v>#REF!</v>
      </c>
      <c r="HD255" t="e">
        <f>IF(Sheet1!#REF!,"AAAAAHeO/NM=",0)</f>
        <v>#REF!</v>
      </c>
      <c r="HE255" t="e">
        <f>IF(Sheet1!#REF!,"AAAAAHeO/NQ=",0)</f>
        <v>#REF!</v>
      </c>
      <c r="HF255" t="e">
        <f>IF(Sheet1!#REF!,"AAAAAHeO/NU=",0)</f>
        <v>#REF!</v>
      </c>
      <c r="HG255" t="e">
        <f>IF(Sheet1!#REF!,"AAAAAHeO/NY=",0)</f>
        <v>#REF!</v>
      </c>
      <c r="HH255" t="e">
        <f>IF(Sheet1!#REF!,"AAAAAHeO/Nc=",0)</f>
        <v>#REF!</v>
      </c>
      <c r="HI255" t="e">
        <f>IF(Sheet1!#REF!,"AAAAAHeO/Ng=",0)</f>
        <v>#REF!</v>
      </c>
      <c r="HJ255" t="e">
        <f>IF(Sheet1!#REF!,"AAAAAHeO/Nk=",0)</f>
        <v>#REF!</v>
      </c>
      <c r="HK255" t="e">
        <f>IF(Sheet1!#REF!,"AAAAAHeO/No=",0)</f>
        <v>#REF!</v>
      </c>
      <c r="HL255" t="e">
        <f>IF(Sheet1!#REF!,"AAAAAHeO/Ns=",0)</f>
        <v>#REF!</v>
      </c>
      <c r="HM255" t="e">
        <f>IF(Sheet1!#REF!,"AAAAAHeO/Nw=",0)</f>
        <v>#REF!</v>
      </c>
      <c r="HN255" t="e">
        <f>IF(Sheet1!#REF!,"AAAAAHeO/N0=",0)</f>
        <v>#REF!</v>
      </c>
      <c r="HO255" t="e">
        <f>IF(Sheet1!#REF!,"AAAAAHeO/N4=",0)</f>
        <v>#REF!</v>
      </c>
      <c r="HP255" t="e">
        <f>IF(Sheet1!#REF!,"AAAAAHeO/N8=",0)</f>
        <v>#REF!</v>
      </c>
      <c r="HQ255" t="e">
        <f>IF(Sheet1!#REF!,"AAAAAHeO/OA=",0)</f>
        <v>#REF!</v>
      </c>
      <c r="HR255" t="e">
        <f>IF(Sheet1!#REF!,"AAAAAHeO/OE=",0)</f>
        <v>#REF!</v>
      </c>
      <c r="HS255" t="e">
        <f>IF(Sheet1!#REF!,"AAAAAHeO/OI=",0)</f>
        <v>#REF!</v>
      </c>
      <c r="HT255" t="e">
        <f>IF(Sheet1!#REF!,"AAAAAHeO/OM=",0)</f>
        <v>#REF!</v>
      </c>
      <c r="HU255" t="e">
        <f>IF(Sheet1!#REF!,"AAAAAHeO/OQ=",0)</f>
        <v>#REF!</v>
      </c>
      <c r="HV255" t="e">
        <f>IF(Sheet1!#REF!,"AAAAAHeO/OU=",0)</f>
        <v>#REF!</v>
      </c>
      <c r="HW255" t="e">
        <f>IF(Sheet1!#REF!,"AAAAAHeO/OY=",0)</f>
        <v>#REF!</v>
      </c>
      <c r="HX255" t="e">
        <f>IF(Sheet1!#REF!,"AAAAAHeO/Oc=",0)</f>
        <v>#REF!</v>
      </c>
      <c r="HY255" t="e">
        <f>IF(Sheet1!#REF!,"AAAAAHeO/Og=",0)</f>
        <v>#REF!</v>
      </c>
      <c r="HZ255" t="e">
        <f>IF(Sheet1!#REF!,"AAAAAHeO/Ok=",0)</f>
        <v>#REF!</v>
      </c>
      <c r="IA255" t="e">
        <f>IF(Sheet1!#REF!,"AAAAAHeO/Oo=",0)</f>
        <v>#REF!</v>
      </c>
      <c r="IB255" t="e">
        <f>IF(Sheet1!#REF!,"AAAAAHeO/Os=",0)</f>
        <v>#REF!</v>
      </c>
      <c r="IC255" t="e">
        <f>IF(Sheet1!#REF!,"AAAAAHeO/Ow=",0)</f>
        <v>#REF!</v>
      </c>
      <c r="ID255" t="e">
        <f>IF(Sheet1!#REF!,"AAAAAHeO/O0=",0)</f>
        <v>#REF!</v>
      </c>
      <c r="IE255" t="e">
        <f>IF(Sheet1!#REF!,"AAAAAHeO/O4=",0)</f>
        <v>#REF!</v>
      </c>
      <c r="IF255" t="e">
        <f>IF(Sheet1!#REF!,"AAAAAHeO/O8=",0)</f>
        <v>#REF!</v>
      </c>
      <c r="IG255" t="e">
        <f>IF(Sheet1!#REF!,"AAAAAHeO/PA=",0)</f>
        <v>#REF!</v>
      </c>
      <c r="IH255" t="e">
        <f>IF(Sheet1!#REF!,"AAAAAHeO/PE=",0)</f>
        <v>#REF!</v>
      </c>
      <c r="II255" t="e">
        <f>IF(Sheet1!#REF!,"AAAAAHeO/PI=",0)</f>
        <v>#REF!</v>
      </c>
      <c r="IJ255" t="e">
        <f>IF(Sheet1!#REF!,"AAAAAHeO/PM=",0)</f>
        <v>#REF!</v>
      </c>
      <c r="IK255" t="e">
        <f>IF(Sheet1!#REF!,"AAAAAHeO/PQ=",0)</f>
        <v>#REF!</v>
      </c>
      <c r="IL255" t="e">
        <f>IF(Sheet1!#REF!,"AAAAAHeO/PU=",0)</f>
        <v>#REF!</v>
      </c>
      <c r="IM255" t="e">
        <f>IF(Sheet1!#REF!,"AAAAAHeO/PY=",0)</f>
        <v>#REF!</v>
      </c>
      <c r="IN255" t="e">
        <f>IF(Sheet1!#REF!,"AAAAAHeO/Pc=",0)</f>
        <v>#REF!</v>
      </c>
      <c r="IO255" t="e">
        <f>IF(Sheet1!#REF!,"AAAAAHeO/Pg=",0)</f>
        <v>#REF!</v>
      </c>
      <c r="IP255" t="e">
        <f>IF(Sheet1!#REF!,"AAAAAHeO/Pk=",0)</f>
        <v>#REF!</v>
      </c>
      <c r="IQ255" t="e">
        <f>IF(Sheet1!#REF!,"AAAAAHeO/Po=",0)</f>
        <v>#REF!</v>
      </c>
      <c r="IR255" t="e">
        <f>IF(Sheet1!#REF!,"AAAAAHeO/Ps=",0)</f>
        <v>#REF!</v>
      </c>
      <c r="IS255" t="e">
        <f>IF(Sheet1!#REF!,"AAAAAHeO/Pw=",0)</f>
        <v>#REF!</v>
      </c>
      <c r="IT255" t="e">
        <f>IF(Sheet1!#REF!,"AAAAAHeO/P0=",0)</f>
        <v>#REF!</v>
      </c>
      <c r="IU255" t="e">
        <f>IF(Sheet1!#REF!,"AAAAAHeO/P4=",0)</f>
        <v>#REF!</v>
      </c>
      <c r="IV255" t="e">
        <f>IF(Sheet1!#REF!,"AAAAAHeO/P8=",0)</f>
        <v>#REF!</v>
      </c>
    </row>
    <row r="256" spans="1:256" x14ac:dyDescent="0.2">
      <c r="A256" t="e">
        <f>IF(Sheet1!#REF!,"AAAAAH9/9QA=",0)</f>
        <v>#REF!</v>
      </c>
      <c r="B256" t="e">
        <f>IF(Sheet1!#REF!,"AAAAAH9/9QE=",0)</f>
        <v>#REF!</v>
      </c>
      <c r="C256" t="e">
        <f>IF(Sheet1!#REF!,"AAAAAH9/9QI=",0)</f>
        <v>#REF!</v>
      </c>
      <c r="D256" t="e">
        <f>IF(Sheet1!#REF!,"AAAAAH9/9QM=",0)</f>
        <v>#REF!</v>
      </c>
      <c r="E256" t="e">
        <f>IF(Sheet1!#REF!,"AAAAAH9/9QQ=",0)</f>
        <v>#REF!</v>
      </c>
      <c r="F256" t="e">
        <f>IF(Sheet1!#REF!,"AAAAAH9/9QU=",0)</f>
        <v>#REF!</v>
      </c>
      <c r="G256" t="e">
        <f>IF(Sheet1!#REF!,"AAAAAH9/9QY=",0)</f>
        <v>#REF!</v>
      </c>
      <c r="H256" t="e">
        <f>IF(Sheet1!#REF!,"AAAAAH9/9Qc=",0)</f>
        <v>#REF!</v>
      </c>
      <c r="I256" t="e">
        <f>IF(Sheet1!#REF!,"AAAAAH9/9Qg=",0)</f>
        <v>#REF!</v>
      </c>
      <c r="J256" t="e">
        <f>IF(Sheet1!#REF!,"AAAAAH9/9Qk=",0)</f>
        <v>#REF!</v>
      </c>
      <c r="K256" t="e">
        <f>IF(Sheet1!#REF!,"AAAAAH9/9Qo=",0)</f>
        <v>#REF!</v>
      </c>
      <c r="L256" t="e">
        <f>IF(Sheet1!#REF!,"AAAAAH9/9Qs=",0)</f>
        <v>#REF!</v>
      </c>
      <c r="M256" t="e">
        <f>IF(Sheet1!#REF!,"AAAAAH9/9Qw=",0)</f>
        <v>#REF!</v>
      </c>
      <c r="N256" t="e">
        <f>IF(Sheet1!#REF!,"AAAAAH9/9Q0=",0)</f>
        <v>#REF!</v>
      </c>
      <c r="O256" t="e">
        <f>IF(Sheet1!#REF!,"AAAAAH9/9Q4=",0)</f>
        <v>#REF!</v>
      </c>
      <c r="P256" t="e">
        <f>IF(Sheet1!#REF!,"AAAAAH9/9Q8=",0)</f>
        <v>#REF!</v>
      </c>
      <c r="Q256" t="e">
        <f>IF(Sheet1!#REF!,"AAAAAH9/9RA=",0)</f>
        <v>#REF!</v>
      </c>
      <c r="R256" t="e">
        <f>IF(Sheet1!#REF!,"AAAAAH9/9RE=",0)</f>
        <v>#REF!</v>
      </c>
      <c r="S256" t="e">
        <f>IF(Sheet1!#REF!,"AAAAAH9/9RI=",0)</f>
        <v>#REF!</v>
      </c>
      <c r="T256" t="e">
        <f>IF(Sheet1!#REF!,"AAAAAH9/9RM=",0)</f>
        <v>#REF!</v>
      </c>
      <c r="U256" t="e">
        <f>IF(Sheet1!#REF!,"AAAAAH9/9RQ=",0)</f>
        <v>#REF!</v>
      </c>
      <c r="V256" t="e">
        <f>IF(Sheet1!#REF!,"AAAAAH9/9RU=",0)</f>
        <v>#REF!</v>
      </c>
      <c r="W256" t="e">
        <f>IF(Sheet1!#REF!,"AAAAAH9/9RY=",0)</f>
        <v>#REF!</v>
      </c>
      <c r="X256" t="e">
        <f>IF(Sheet1!#REF!,"AAAAAH9/9Rc=",0)</f>
        <v>#REF!</v>
      </c>
      <c r="Y256" t="e">
        <f>IF(Sheet1!#REF!,"AAAAAH9/9Rg=",0)</f>
        <v>#REF!</v>
      </c>
      <c r="Z256" t="e">
        <f>IF(Sheet1!#REF!,"AAAAAH9/9Rk=",0)</f>
        <v>#REF!</v>
      </c>
      <c r="AA256" t="e">
        <f>IF(Sheet1!#REF!,"AAAAAH9/9Ro=",0)</f>
        <v>#REF!</v>
      </c>
      <c r="AB256" t="e">
        <f>IF(Sheet1!#REF!,"AAAAAH9/9Rs=",0)</f>
        <v>#REF!</v>
      </c>
      <c r="AC256" t="e">
        <f>IF(Sheet1!#REF!,"AAAAAH9/9Rw=",0)</f>
        <v>#REF!</v>
      </c>
      <c r="AD256" t="e">
        <f>IF(Sheet1!#REF!,"AAAAAH9/9R0=",0)</f>
        <v>#REF!</v>
      </c>
      <c r="AE256" t="e">
        <f>IF(Sheet1!#REF!,"AAAAAH9/9R4=",0)</f>
        <v>#REF!</v>
      </c>
      <c r="AF256" t="e">
        <f>IF(Sheet1!#REF!,"AAAAAH9/9R8=",0)</f>
        <v>#REF!</v>
      </c>
      <c r="AG256" t="e">
        <f>IF(Sheet1!#REF!,"AAAAAH9/9SA=",0)</f>
        <v>#REF!</v>
      </c>
      <c r="AH256" t="e">
        <f>IF(Sheet1!#REF!,"AAAAAH9/9SE=",0)</f>
        <v>#REF!</v>
      </c>
      <c r="AI256" t="e">
        <f>IF(Sheet1!#REF!,"AAAAAH9/9SI=",0)</f>
        <v>#REF!</v>
      </c>
      <c r="AJ256" t="e">
        <f>IF(Sheet1!#REF!,"AAAAAH9/9SM=",0)</f>
        <v>#REF!</v>
      </c>
      <c r="AK256" t="e">
        <f>IF(Sheet1!#REF!,"AAAAAH9/9SQ=",0)</f>
        <v>#REF!</v>
      </c>
      <c r="AL256" t="e">
        <f>IF(Sheet1!#REF!,"AAAAAH9/9SU=",0)</f>
        <v>#REF!</v>
      </c>
      <c r="AM256" t="e">
        <f>IF(Sheet1!#REF!,"AAAAAH9/9SY=",0)</f>
        <v>#REF!</v>
      </c>
      <c r="AN256" t="e">
        <f>IF(Sheet1!#REF!,"AAAAAH9/9Sc=",0)</f>
        <v>#REF!</v>
      </c>
      <c r="AO256" t="e">
        <f>IF(Sheet1!#REF!,"AAAAAH9/9Sg=",0)</f>
        <v>#REF!</v>
      </c>
      <c r="AP256" t="e">
        <f>IF(Sheet1!#REF!,"AAAAAH9/9Sk=",0)</f>
        <v>#REF!</v>
      </c>
      <c r="AQ256" t="e">
        <f>IF(Sheet1!#REF!,"AAAAAH9/9So=",0)</f>
        <v>#REF!</v>
      </c>
      <c r="AR256" t="e">
        <f>IF(Sheet1!#REF!,"AAAAAH9/9Ss=",0)</f>
        <v>#REF!</v>
      </c>
      <c r="AS256" t="e">
        <f>IF(Sheet1!#REF!,"AAAAAH9/9Sw=",0)</f>
        <v>#REF!</v>
      </c>
      <c r="AT256" t="e">
        <f>IF(Sheet1!#REF!,"AAAAAH9/9S0=",0)</f>
        <v>#REF!</v>
      </c>
      <c r="AU256" t="e">
        <f>IF(Sheet1!#REF!,"AAAAAH9/9S4=",0)</f>
        <v>#REF!</v>
      </c>
      <c r="AV256" t="e">
        <f>IF(Sheet1!#REF!,"AAAAAH9/9S8=",0)</f>
        <v>#REF!</v>
      </c>
      <c r="AW256" t="e">
        <f>IF(Sheet1!#REF!,"AAAAAH9/9TA=",0)</f>
        <v>#REF!</v>
      </c>
      <c r="AX256" t="e">
        <f>IF(Sheet1!#REF!,"AAAAAH9/9TE=",0)</f>
        <v>#REF!</v>
      </c>
      <c r="AY256" t="e">
        <f>IF(Sheet1!#REF!,"AAAAAH9/9TI=",0)</f>
        <v>#REF!</v>
      </c>
      <c r="AZ256" t="e">
        <f>IF(Sheet1!#REF!,"AAAAAH9/9TM=",0)</f>
        <v>#REF!</v>
      </c>
      <c r="BA256" t="e">
        <f>IF(Sheet1!#REF!,"AAAAAH9/9TQ=",0)</f>
        <v>#REF!</v>
      </c>
      <c r="BB256" t="e">
        <f>IF(Sheet1!#REF!,"AAAAAH9/9TU=",0)</f>
        <v>#REF!</v>
      </c>
      <c r="BC256" t="e">
        <f>IF(Sheet1!#REF!,"AAAAAH9/9TY=",0)</f>
        <v>#REF!</v>
      </c>
      <c r="BD256" t="e">
        <f>IF(Sheet1!#REF!,"AAAAAH9/9Tc=",0)</f>
        <v>#REF!</v>
      </c>
      <c r="BE256" t="e">
        <f>IF(Sheet1!#REF!,"AAAAAH9/9Tg=",0)</f>
        <v>#REF!</v>
      </c>
      <c r="BF256" t="e">
        <f>IF(Sheet1!#REF!,"AAAAAH9/9Tk=",0)</f>
        <v>#REF!</v>
      </c>
      <c r="BG256" t="e">
        <f>IF(Sheet1!#REF!,"AAAAAH9/9To=",0)</f>
        <v>#REF!</v>
      </c>
      <c r="BH256" t="e">
        <f>IF(Sheet1!#REF!,"AAAAAH9/9Ts=",0)</f>
        <v>#REF!</v>
      </c>
      <c r="BI256" t="e">
        <f>IF(Sheet1!#REF!,"AAAAAH9/9Tw=",0)</f>
        <v>#REF!</v>
      </c>
      <c r="BJ256" t="e">
        <f>IF(Sheet1!#REF!,"AAAAAH9/9T0=",0)</f>
        <v>#REF!</v>
      </c>
      <c r="BK256" t="e">
        <f>IF(Sheet1!#REF!,"AAAAAH9/9T4=",0)</f>
        <v>#REF!</v>
      </c>
      <c r="BL256" t="e">
        <f>IF(Sheet1!#REF!,"AAAAAH9/9T8=",0)</f>
        <v>#REF!</v>
      </c>
      <c r="BM256" t="e">
        <f>IF(Sheet1!#REF!,"AAAAAH9/9UA=",0)</f>
        <v>#REF!</v>
      </c>
      <c r="BN256" t="e">
        <f>IF(Sheet1!#REF!,"AAAAAH9/9UE=",0)</f>
        <v>#REF!</v>
      </c>
      <c r="BO256" t="e">
        <f>IF(Sheet1!#REF!,"AAAAAH9/9UI=",0)</f>
        <v>#REF!</v>
      </c>
      <c r="BP256" t="e">
        <f>IF(Sheet1!#REF!,"AAAAAH9/9UM=",0)</f>
        <v>#REF!</v>
      </c>
      <c r="BQ256" t="e">
        <f>IF(Sheet1!#REF!,"AAAAAH9/9UQ=",0)</f>
        <v>#REF!</v>
      </c>
      <c r="BR256" t="e">
        <f>IF(Sheet1!#REF!,"AAAAAH9/9UU=",0)</f>
        <v>#REF!</v>
      </c>
      <c r="BS256" t="e">
        <f>IF(Sheet1!#REF!,"AAAAAH9/9UY=",0)</f>
        <v>#REF!</v>
      </c>
      <c r="BT256" t="e">
        <f>IF(Sheet1!#REF!,"AAAAAH9/9Uc=",0)</f>
        <v>#REF!</v>
      </c>
      <c r="BU256" t="e">
        <f>IF(Sheet1!#REF!,"AAAAAH9/9Ug=",0)</f>
        <v>#REF!</v>
      </c>
      <c r="BV256" t="e">
        <f>IF(Sheet1!#REF!,"AAAAAH9/9Uk=",0)</f>
        <v>#REF!</v>
      </c>
      <c r="BW256" t="e">
        <f>IF(Sheet1!#REF!,"AAAAAH9/9Uo=",0)</f>
        <v>#REF!</v>
      </c>
      <c r="BX256" t="e">
        <f>IF(Sheet1!#REF!,"AAAAAH9/9Us=",0)</f>
        <v>#REF!</v>
      </c>
      <c r="BY256" t="e">
        <f>IF(Sheet1!#REF!,"AAAAAH9/9Uw=",0)</f>
        <v>#REF!</v>
      </c>
      <c r="BZ256" t="e">
        <f>IF(Sheet1!#REF!,"AAAAAH9/9U0=",0)</f>
        <v>#REF!</v>
      </c>
      <c r="CA256" t="e">
        <f>IF(Sheet1!#REF!,"AAAAAH9/9U4=",0)</f>
        <v>#REF!</v>
      </c>
      <c r="CB256" t="e">
        <f>IF(Sheet1!#REF!,"AAAAAH9/9U8=",0)</f>
        <v>#REF!</v>
      </c>
      <c r="CC256" t="e">
        <f>IF(Sheet1!#REF!,"AAAAAH9/9VA=",0)</f>
        <v>#REF!</v>
      </c>
      <c r="CD256" t="e">
        <f>IF(Sheet1!#REF!,"AAAAAH9/9VE=",0)</f>
        <v>#REF!</v>
      </c>
      <c r="CE256" t="e">
        <f>IF(Sheet1!#REF!,"AAAAAH9/9VI=",0)</f>
        <v>#REF!</v>
      </c>
      <c r="CF256" t="e">
        <f>IF(Sheet1!#REF!,"AAAAAH9/9VM=",0)</f>
        <v>#REF!</v>
      </c>
      <c r="CG256" t="e">
        <f>IF(Sheet1!#REF!,"AAAAAH9/9VQ=",0)</f>
        <v>#REF!</v>
      </c>
      <c r="CH256" t="e">
        <f>IF(Sheet1!#REF!,"AAAAAH9/9VU=",0)</f>
        <v>#REF!</v>
      </c>
      <c r="CI256" t="e">
        <f>IF(Sheet1!#REF!,"AAAAAH9/9VY=",0)</f>
        <v>#REF!</v>
      </c>
      <c r="CJ256" t="e">
        <f>IF(Sheet1!#REF!,"AAAAAH9/9Vc=",0)</f>
        <v>#REF!</v>
      </c>
      <c r="CK256" t="e">
        <f>IF(Sheet1!#REF!,"AAAAAH9/9Vg=",0)</f>
        <v>#REF!</v>
      </c>
      <c r="CL256" t="e">
        <f>IF(Sheet1!#REF!,"AAAAAH9/9Vk=",0)</f>
        <v>#REF!</v>
      </c>
      <c r="CM256" t="e">
        <f>IF(Sheet1!#REF!,"AAAAAH9/9Vo=",0)</f>
        <v>#REF!</v>
      </c>
      <c r="CN256" t="e">
        <f>IF(Sheet1!#REF!,"AAAAAH9/9Vs=",0)</f>
        <v>#REF!</v>
      </c>
      <c r="CO256" t="e">
        <f>IF(Sheet1!#REF!,"AAAAAH9/9Vw=",0)</f>
        <v>#REF!</v>
      </c>
      <c r="CP256" t="e">
        <f>IF(Sheet1!#REF!,"AAAAAH9/9V0=",0)</f>
        <v>#REF!</v>
      </c>
      <c r="CQ256" t="e">
        <f>IF(Sheet1!#REF!,"AAAAAH9/9V4=",0)</f>
        <v>#REF!</v>
      </c>
      <c r="CR256" t="e">
        <f>IF(Sheet1!#REF!,"AAAAAH9/9V8=",0)</f>
        <v>#REF!</v>
      </c>
      <c r="CS256" t="e">
        <f>IF(Sheet1!#REF!,"AAAAAH9/9WA=",0)</f>
        <v>#REF!</v>
      </c>
      <c r="CT256" t="e">
        <f>IF(Sheet1!#REF!,"AAAAAH9/9WE=",0)</f>
        <v>#REF!</v>
      </c>
      <c r="CU256" t="e">
        <f>IF(Sheet1!#REF!,"AAAAAH9/9WI=",0)</f>
        <v>#REF!</v>
      </c>
      <c r="CV256" t="e">
        <f>IF(Sheet1!#REF!,"AAAAAH9/9WM=",0)</f>
        <v>#REF!</v>
      </c>
      <c r="CW256" t="e">
        <f>IF(Sheet1!#REF!,"AAAAAH9/9WQ=",0)</f>
        <v>#REF!</v>
      </c>
      <c r="CX256" t="e">
        <f>IF(Sheet1!#REF!,"AAAAAH9/9WU=",0)</f>
        <v>#REF!</v>
      </c>
      <c r="CY256" t="e">
        <f>IF(Sheet1!#REF!,"AAAAAH9/9WY=",0)</f>
        <v>#REF!</v>
      </c>
      <c r="CZ256" t="e">
        <f>IF(Sheet1!#REF!,"AAAAAH9/9Wc=",0)</f>
        <v>#REF!</v>
      </c>
      <c r="DA256" t="e">
        <f>IF(Sheet1!#REF!,"AAAAAH9/9Wg=",0)</f>
        <v>#REF!</v>
      </c>
      <c r="DB256" t="e">
        <f>IF(Sheet1!#REF!,"AAAAAH9/9Wk=",0)</f>
        <v>#REF!</v>
      </c>
      <c r="DC256" t="e">
        <f>IF(Sheet1!#REF!,"AAAAAH9/9Wo=",0)</f>
        <v>#REF!</v>
      </c>
      <c r="DD256" t="e">
        <f>IF(Sheet1!#REF!,"AAAAAH9/9Ws=",0)</f>
        <v>#REF!</v>
      </c>
      <c r="DE256" t="e">
        <f>IF(Sheet1!#REF!,"AAAAAH9/9Ww=",0)</f>
        <v>#REF!</v>
      </c>
      <c r="DF256" t="e">
        <f>IF(Sheet1!#REF!,"AAAAAH9/9W0=",0)</f>
        <v>#REF!</v>
      </c>
      <c r="DG256" t="e">
        <f>IF(Sheet1!#REF!,"AAAAAH9/9W4=",0)</f>
        <v>#REF!</v>
      </c>
      <c r="DH256" t="e">
        <f>IF(Sheet1!#REF!,"AAAAAH9/9W8=",0)</f>
        <v>#REF!</v>
      </c>
      <c r="DI256" t="e">
        <f>IF(Sheet1!#REF!,"AAAAAH9/9XA=",0)</f>
        <v>#REF!</v>
      </c>
      <c r="DJ256" t="e">
        <f>IF(Sheet1!#REF!,"AAAAAH9/9XE=",0)</f>
        <v>#REF!</v>
      </c>
      <c r="DK256" t="e">
        <f>IF(Sheet1!#REF!,"AAAAAH9/9XI=",0)</f>
        <v>#REF!</v>
      </c>
      <c r="DL256" t="e">
        <f>IF(Sheet1!#REF!,"AAAAAH9/9XM=",0)</f>
        <v>#REF!</v>
      </c>
      <c r="DM256" t="e">
        <f>IF(Sheet1!#REF!,"AAAAAH9/9XQ=",0)</f>
        <v>#REF!</v>
      </c>
      <c r="DN256" t="e">
        <f>IF(Sheet1!#REF!,"AAAAAH9/9XU=",0)</f>
        <v>#REF!</v>
      </c>
      <c r="DO256" t="e">
        <f>IF(Sheet1!#REF!,"AAAAAH9/9XY=",0)</f>
        <v>#REF!</v>
      </c>
      <c r="DP256" t="e">
        <f>IF(Sheet1!#REF!,"AAAAAH9/9Xc=",0)</f>
        <v>#REF!</v>
      </c>
      <c r="DQ256" t="e">
        <f>IF(Sheet1!#REF!,"AAAAAH9/9Xg=",0)</f>
        <v>#REF!</v>
      </c>
      <c r="DR256" t="e">
        <f>IF(Sheet1!#REF!,"AAAAAH9/9Xk=",0)</f>
        <v>#REF!</v>
      </c>
      <c r="DS256" t="e">
        <f>IF(Sheet1!#REF!,"AAAAAH9/9Xo=",0)</f>
        <v>#REF!</v>
      </c>
      <c r="DT256" t="e">
        <f>IF(Sheet1!#REF!,"AAAAAH9/9Xs=",0)</f>
        <v>#REF!</v>
      </c>
      <c r="DU256" t="e">
        <f>IF(Sheet1!#REF!,"AAAAAH9/9Xw=",0)</f>
        <v>#REF!</v>
      </c>
      <c r="DV256" t="e">
        <f>IF(Sheet1!#REF!,"AAAAAH9/9X0=",0)</f>
        <v>#REF!</v>
      </c>
      <c r="DW256" t="e">
        <f>IF(Sheet1!#REF!,"AAAAAH9/9X4=",0)</f>
        <v>#REF!</v>
      </c>
      <c r="DX256" t="e">
        <f>IF(Sheet1!#REF!,"AAAAAH9/9X8=",0)</f>
        <v>#REF!</v>
      </c>
      <c r="DY256" t="e">
        <f>IF(Sheet1!#REF!,"AAAAAH9/9YA=",0)</f>
        <v>#REF!</v>
      </c>
      <c r="DZ256" t="e">
        <f>IF(Sheet1!#REF!,"AAAAAH9/9YE=",0)</f>
        <v>#REF!</v>
      </c>
      <c r="EA256" t="e">
        <f>IF(Sheet1!#REF!,"AAAAAH9/9YI=",0)</f>
        <v>#REF!</v>
      </c>
      <c r="EB256" t="e">
        <f>IF(Sheet1!#REF!,"AAAAAH9/9YM=",0)</f>
        <v>#REF!</v>
      </c>
      <c r="EC256" t="e">
        <f>IF(Sheet1!#REF!,"AAAAAH9/9YQ=",0)</f>
        <v>#REF!</v>
      </c>
      <c r="ED256" t="e">
        <f>IF(Sheet1!#REF!,"AAAAAH9/9YU=",0)</f>
        <v>#REF!</v>
      </c>
      <c r="EE256" t="e">
        <f>IF(Sheet1!#REF!,"AAAAAH9/9YY=",0)</f>
        <v>#REF!</v>
      </c>
      <c r="EF256" t="e">
        <f>IF(Sheet1!#REF!,"AAAAAH9/9Yc=",0)</f>
        <v>#REF!</v>
      </c>
      <c r="EG256" t="e">
        <f>IF(Sheet1!#REF!,"AAAAAH9/9Yg=",0)</f>
        <v>#REF!</v>
      </c>
      <c r="EH256" t="e">
        <f>IF(Sheet1!#REF!,"AAAAAH9/9Yk=",0)</f>
        <v>#REF!</v>
      </c>
      <c r="EI256" t="e">
        <f>IF(Sheet1!#REF!,"AAAAAH9/9Yo=",0)</f>
        <v>#REF!</v>
      </c>
      <c r="EJ256" t="e">
        <f>IF(Sheet1!#REF!,"AAAAAH9/9Ys=",0)</f>
        <v>#REF!</v>
      </c>
      <c r="EK256" t="e">
        <f>IF(Sheet1!#REF!,"AAAAAH9/9Yw=",0)</f>
        <v>#REF!</v>
      </c>
      <c r="EL256" t="e">
        <f>IF(Sheet1!#REF!,"AAAAAH9/9Y0=",0)</f>
        <v>#REF!</v>
      </c>
      <c r="EM256" t="e">
        <f>IF(Sheet1!#REF!,"AAAAAH9/9Y4=",0)</f>
        <v>#REF!</v>
      </c>
      <c r="EN256" t="e">
        <f>IF(Sheet1!#REF!,"AAAAAH9/9Y8=",0)</f>
        <v>#REF!</v>
      </c>
      <c r="EO256" t="e">
        <f>IF(Sheet1!#REF!,"AAAAAH9/9ZA=",0)</f>
        <v>#REF!</v>
      </c>
      <c r="EP256" t="e">
        <f>IF(Sheet1!#REF!,"AAAAAH9/9ZE=",0)</f>
        <v>#REF!</v>
      </c>
      <c r="EQ256" t="e">
        <f>IF(Sheet1!#REF!,"AAAAAH9/9ZI=",0)</f>
        <v>#REF!</v>
      </c>
      <c r="ER256" t="e">
        <f>IF(Sheet1!#REF!,"AAAAAH9/9ZM=",0)</f>
        <v>#REF!</v>
      </c>
      <c r="ES256" t="e">
        <f>IF(Sheet1!#REF!,"AAAAAH9/9ZQ=",0)</f>
        <v>#REF!</v>
      </c>
      <c r="ET256" t="e">
        <f>IF(Sheet1!#REF!,"AAAAAH9/9ZU=",0)</f>
        <v>#REF!</v>
      </c>
      <c r="EU256" t="e">
        <f>IF(Sheet1!#REF!,"AAAAAH9/9ZY=",0)</f>
        <v>#REF!</v>
      </c>
      <c r="EV256" t="e">
        <f>IF(Sheet1!#REF!,"AAAAAH9/9Zc=",0)</f>
        <v>#REF!</v>
      </c>
      <c r="EW256" t="e">
        <f>IF(Sheet1!#REF!,"AAAAAH9/9Zg=",0)</f>
        <v>#REF!</v>
      </c>
      <c r="EX256" t="e">
        <f>IF(Sheet1!#REF!,"AAAAAH9/9Zk=",0)</f>
        <v>#REF!</v>
      </c>
      <c r="EY256" t="e">
        <f>IF(Sheet1!#REF!,"AAAAAH9/9Zo=",0)</f>
        <v>#REF!</v>
      </c>
      <c r="EZ256" t="e">
        <f>IF(Sheet1!#REF!,"AAAAAH9/9Zs=",0)</f>
        <v>#REF!</v>
      </c>
      <c r="FA256" t="e">
        <f>IF(Sheet1!#REF!,"AAAAAH9/9Zw=",0)</f>
        <v>#REF!</v>
      </c>
      <c r="FB256" t="e">
        <f>IF(Sheet1!#REF!,"AAAAAH9/9Z0=",0)</f>
        <v>#REF!</v>
      </c>
      <c r="FC256" t="e">
        <f>IF(Sheet1!#REF!,"AAAAAH9/9Z4=",0)</f>
        <v>#REF!</v>
      </c>
      <c r="FD256" t="e">
        <f>IF(Sheet1!#REF!,"AAAAAH9/9Z8=",0)</f>
        <v>#REF!</v>
      </c>
      <c r="FE256" t="e">
        <f>IF(Sheet1!#REF!,"AAAAAH9/9aA=",0)</f>
        <v>#REF!</v>
      </c>
      <c r="FF256" t="e">
        <f>IF(Sheet1!#REF!,"AAAAAH9/9aE=",0)</f>
        <v>#REF!</v>
      </c>
      <c r="FG256" t="e">
        <f>IF(Sheet1!#REF!,"AAAAAH9/9aI=",0)</f>
        <v>#REF!</v>
      </c>
      <c r="FH256" t="e">
        <f>IF(Sheet1!#REF!,"AAAAAH9/9aM=",0)</f>
        <v>#REF!</v>
      </c>
      <c r="FI256" t="e">
        <f>IF(Sheet1!#REF!,"AAAAAH9/9aQ=",0)</f>
        <v>#REF!</v>
      </c>
      <c r="FJ256" t="e">
        <f>IF(Sheet1!#REF!,"AAAAAH9/9aU=",0)</f>
        <v>#REF!</v>
      </c>
      <c r="FK256" t="e">
        <f>IF(Sheet1!#REF!,"AAAAAH9/9aY=",0)</f>
        <v>#REF!</v>
      </c>
      <c r="FL256" t="e">
        <f>IF(Sheet1!#REF!,"AAAAAH9/9ac=",0)</f>
        <v>#REF!</v>
      </c>
      <c r="FM256" t="e">
        <f>IF(Sheet1!#REF!,"AAAAAH9/9ag=",0)</f>
        <v>#REF!</v>
      </c>
      <c r="FN256" t="e">
        <f>IF(Sheet1!#REF!,"AAAAAH9/9ak=",0)</f>
        <v>#REF!</v>
      </c>
      <c r="FO256" t="e">
        <f>IF(Sheet1!#REF!,"AAAAAH9/9ao=",0)</f>
        <v>#REF!</v>
      </c>
      <c r="FP256" t="e">
        <f>IF(Sheet1!#REF!,"AAAAAH9/9as=",0)</f>
        <v>#REF!</v>
      </c>
      <c r="FQ256" t="e">
        <f>IF(Sheet1!#REF!,"AAAAAH9/9aw=",0)</f>
        <v>#REF!</v>
      </c>
      <c r="FR256" t="e">
        <f>IF(Sheet1!#REF!,"AAAAAH9/9a0=",0)</f>
        <v>#REF!</v>
      </c>
      <c r="FS256" t="e">
        <f>IF(Sheet1!#REF!,"AAAAAH9/9a4=",0)</f>
        <v>#REF!</v>
      </c>
      <c r="FT256" t="e">
        <f>IF(Sheet1!#REF!,"AAAAAH9/9a8=",0)</f>
        <v>#REF!</v>
      </c>
      <c r="FU256" t="e">
        <f>IF(Sheet1!#REF!,"AAAAAH9/9bA=",0)</f>
        <v>#REF!</v>
      </c>
      <c r="FV256" t="e">
        <f>IF(Sheet1!#REF!,"AAAAAH9/9bE=",0)</f>
        <v>#REF!</v>
      </c>
      <c r="FW256" t="e">
        <f>IF(Sheet1!#REF!,"AAAAAH9/9bI=",0)</f>
        <v>#REF!</v>
      </c>
      <c r="FX256" t="e">
        <f>IF(Sheet1!#REF!,"AAAAAH9/9bM=",0)</f>
        <v>#REF!</v>
      </c>
      <c r="FY256" t="e">
        <f>IF(Sheet1!#REF!,"AAAAAH9/9bQ=",0)</f>
        <v>#REF!</v>
      </c>
      <c r="FZ256" t="e">
        <f>IF(Sheet1!#REF!,"AAAAAH9/9bU=",0)</f>
        <v>#REF!</v>
      </c>
      <c r="GA256" t="e">
        <f>IF(Sheet1!#REF!,"AAAAAH9/9bY=",0)</f>
        <v>#REF!</v>
      </c>
      <c r="GB256" t="e">
        <f>IF(Sheet1!#REF!,"AAAAAH9/9bc=",0)</f>
        <v>#REF!</v>
      </c>
      <c r="GC256" t="e">
        <f>IF(Sheet1!#REF!,"AAAAAH9/9bg=",0)</f>
        <v>#REF!</v>
      </c>
      <c r="GD256" t="e">
        <f>IF(Sheet1!#REF!,"AAAAAH9/9bk=",0)</f>
        <v>#REF!</v>
      </c>
      <c r="GE256" t="e">
        <f>IF(Sheet1!#REF!,"AAAAAH9/9bo=",0)</f>
        <v>#REF!</v>
      </c>
      <c r="GF256" t="e">
        <f>IF(Sheet1!#REF!,"AAAAAH9/9bs=",0)</f>
        <v>#REF!</v>
      </c>
      <c r="GG256" t="e">
        <f>IF(Sheet1!#REF!,"AAAAAH9/9bw=",0)</f>
        <v>#REF!</v>
      </c>
      <c r="GH256" t="e">
        <f>IF(Sheet1!#REF!,"AAAAAH9/9b0=",0)</f>
        <v>#REF!</v>
      </c>
      <c r="GI256" t="e">
        <f>IF(Sheet1!#REF!,"AAAAAH9/9b4=",0)</f>
        <v>#REF!</v>
      </c>
      <c r="GJ256" t="e">
        <f>IF(Sheet1!#REF!,"AAAAAH9/9b8=",0)</f>
        <v>#REF!</v>
      </c>
      <c r="GK256" t="e">
        <f>IF(Sheet1!#REF!,"AAAAAH9/9cA=",0)</f>
        <v>#REF!</v>
      </c>
      <c r="GL256" t="e">
        <f>IF(Sheet1!#REF!,"AAAAAH9/9cE=",0)</f>
        <v>#REF!</v>
      </c>
      <c r="GM256" t="e">
        <f>IF(Sheet1!#REF!,"AAAAAH9/9cI=",0)</f>
        <v>#REF!</v>
      </c>
      <c r="GN256" t="e">
        <f>IF(Sheet1!#REF!,"AAAAAH9/9cM=",0)</f>
        <v>#REF!</v>
      </c>
      <c r="GO256" t="e">
        <f>IF(Sheet1!#REF!,"AAAAAH9/9cQ=",0)</f>
        <v>#REF!</v>
      </c>
      <c r="GP256" t="e">
        <f>IF(Sheet1!#REF!,"AAAAAH9/9cU=",0)</f>
        <v>#REF!</v>
      </c>
      <c r="GQ256" t="e">
        <f>IF(Sheet1!#REF!,"AAAAAH9/9cY=",0)</f>
        <v>#REF!</v>
      </c>
      <c r="GR256" t="e">
        <f>IF(Sheet1!#REF!,"AAAAAH9/9cc=",0)</f>
        <v>#REF!</v>
      </c>
      <c r="GS256" t="e">
        <f>IF(Sheet1!#REF!,"AAAAAH9/9cg=",0)</f>
        <v>#REF!</v>
      </c>
      <c r="GT256" t="e">
        <f>IF(Sheet1!#REF!,"AAAAAH9/9ck=",0)</f>
        <v>#REF!</v>
      </c>
      <c r="GU256" t="e">
        <f>IF(Sheet1!#REF!,"AAAAAH9/9co=",0)</f>
        <v>#REF!</v>
      </c>
      <c r="GV256" t="e">
        <f>IF(Sheet1!#REF!,"AAAAAH9/9cs=",0)</f>
        <v>#REF!</v>
      </c>
      <c r="GW256" t="e">
        <f>IF(Sheet1!#REF!,"AAAAAH9/9cw=",0)</f>
        <v>#REF!</v>
      </c>
      <c r="GX256" t="e">
        <f>IF(Sheet1!#REF!,"AAAAAH9/9c0=",0)</f>
        <v>#REF!</v>
      </c>
      <c r="GY256" t="e">
        <f>IF(Sheet1!#REF!,"AAAAAH9/9c4=",0)</f>
        <v>#REF!</v>
      </c>
      <c r="GZ256" t="e">
        <f>IF(Sheet1!#REF!,"AAAAAH9/9c8=",0)</f>
        <v>#REF!</v>
      </c>
      <c r="HA256" t="e">
        <f>IF(Sheet1!#REF!,"AAAAAH9/9dA=",0)</f>
        <v>#REF!</v>
      </c>
      <c r="HB256" t="e">
        <f>IF(Sheet1!#REF!,"AAAAAH9/9dE=",0)</f>
        <v>#REF!</v>
      </c>
      <c r="HC256" t="e">
        <f>IF(Sheet1!#REF!,"AAAAAH9/9dI=",0)</f>
        <v>#REF!</v>
      </c>
      <c r="HD256" t="e">
        <f>IF(Sheet1!#REF!,"AAAAAH9/9dM=",0)</f>
        <v>#REF!</v>
      </c>
      <c r="HE256" t="e">
        <f>IF(Sheet1!#REF!,"AAAAAH9/9dQ=",0)</f>
        <v>#REF!</v>
      </c>
      <c r="HF256" t="e">
        <f>IF(Sheet1!#REF!,"AAAAAH9/9dU=",0)</f>
        <v>#REF!</v>
      </c>
      <c r="HG256" t="e">
        <f>IF(Sheet1!#REF!,"AAAAAH9/9dY=",0)</f>
        <v>#REF!</v>
      </c>
      <c r="HH256" t="e">
        <f>IF(Sheet1!#REF!,"AAAAAH9/9dc=",0)</f>
        <v>#REF!</v>
      </c>
      <c r="HI256" t="e">
        <f>IF(Sheet1!#REF!,"AAAAAH9/9dg=",0)</f>
        <v>#REF!</v>
      </c>
      <c r="HJ256" t="e">
        <f>IF(Sheet1!#REF!,"AAAAAH9/9dk=",0)</f>
        <v>#REF!</v>
      </c>
      <c r="HK256" t="e">
        <f>IF(Sheet1!#REF!,"AAAAAH9/9do=",0)</f>
        <v>#REF!</v>
      </c>
      <c r="HL256" t="e">
        <f>IF(Sheet1!#REF!,"AAAAAH9/9ds=",0)</f>
        <v>#REF!</v>
      </c>
      <c r="HM256" t="e">
        <f>IF(Sheet1!#REF!,"AAAAAH9/9dw=",0)</f>
        <v>#REF!</v>
      </c>
      <c r="HN256" t="e">
        <f>IF(Sheet1!#REF!,"AAAAAH9/9d0=",0)</f>
        <v>#REF!</v>
      </c>
      <c r="HO256" t="e">
        <f>IF(Sheet1!#REF!,"AAAAAH9/9d4=",0)</f>
        <v>#REF!</v>
      </c>
      <c r="HP256" t="e">
        <f>IF(Sheet1!#REF!,"AAAAAH9/9d8=",0)</f>
        <v>#REF!</v>
      </c>
      <c r="HQ256" t="e">
        <f>IF(Sheet1!#REF!,"AAAAAH9/9eA=",0)</f>
        <v>#REF!</v>
      </c>
      <c r="HR256" t="e">
        <f>IF(Sheet1!#REF!,"AAAAAH9/9eE=",0)</f>
        <v>#REF!</v>
      </c>
      <c r="HS256" t="e">
        <f>IF(Sheet1!#REF!,"AAAAAH9/9eI=",0)</f>
        <v>#REF!</v>
      </c>
      <c r="HT256" t="e">
        <f>IF(Sheet1!#REF!,"AAAAAH9/9eM=",0)</f>
        <v>#REF!</v>
      </c>
      <c r="HU256" t="e">
        <f>IF(Sheet1!#REF!,"AAAAAH9/9eQ=",0)</f>
        <v>#REF!</v>
      </c>
      <c r="HV256" t="e">
        <f>IF(Sheet1!#REF!,"AAAAAH9/9eU=",0)</f>
        <v>#REF!</v>
      </c>
      <c r="HW256" t="e">
        <f>IF(Sheet1!#REF!,"AAAAAH9/9eY=",0)</f>
        <v>#REF!</v>
      </c>
      <c r="HX256" t="e">
        <f>IF(Sheet1!#REF!,"AAAAAH9/9ec=",0)</f>
        <v>#REF!</v>
      </c>
      <c r="HY256" t="e">
        <f>IF(Sheet1!#REF!,"AAAAAH9/9eg=",0)</f>
        <v>#REF!</v>
      </c>
      <c r="HZ256" t="e">
        <f>IF(Sheet1!#REF!,"AAAAAH9/9ek=",0)</f>
        <v>#REF!</v>
      </c>
      <c r="IA256" t="e">
        <f>IF(Sheet1!#REF!,"AAAAAH9/9eo=",0)</f>
        <v>#REF!</v>
      </c>
      <c r="IB256" t="e">
        <f>IF(Sheet1!#REF!,"AAAAAH9/9es=",0)</f>
        <v>#REF!</v>
      </c>
      <c r="IC256" t="e">
        <f>IF(Sheet1!#REF!,"AAAAAH9/9ew=",0)</f>
        <v>#REF!</v>
      </c>
      <c r="ID256" t="e">
        <f>IF(Sheet1!#REF!,"AAAAAH9/9e0=",0)</f>
        <v>#REF!</v>
      </c>
      <c r="IE256" t="e">
        <f>IF(Sheet1!#REF!,"AAAAAH9/9e4=",0)</f>
        <v>#REF!</v>
      </c>
      <c r="IF256" t="e">
        <f>IF(Sheet1!#REF!,"AAAAAH9/9e8=",0)</f>
        <v>#REF!</v>
      </c>
      <c r="IG256" t="e">
        <f>IF(Sheet1!#REF!,"AAAAAH9/9fA=",0)</f>
        <v>#REF!</v>
      </c>
      <c r="IH256" t="e">
        <f>IF(Sheet1!#REF!,"AAAAAH9/9fE=",0)</f>
        <v>#REF!</v>
      </c>
      <c r="II256" t="e">
        <f>IF(Sheet1!#REF!,"AAAAAH9/9fI=",0)</f>
        <v>#REF!</v>
      </c>
      <c r="IJ256" t="e">
        <f>IF(Sheet1!#REF!,"AAAAAH9/9fM=",0)</f>
        <v>#REF!</v>
      </c>
      <c r="IK256" t="e">
        <f>IF(Sheet1!#REF!,"AAAAAH9/9fQ=",0)</f>
        <v>#REF!</v>
      </c>
      <c r="IL256" t="e">
        <f>IF(Sheet1!#REF!,"AAAAAH9/9fU=",0)</f>
        <v>#REF!</v>
      </c>
      <c r="IM256" t="e">
        <f>IF(Sheet1!#REF!,"AAAAAH9/9fY=",0)</f>
        <v>#REF!</v>
      </c>
      <c r="IN256" t="e">
        <f>IF(Sheet1!#REF!,"AAAAAH9/9fc=",0)</f>
        <v>#REF!</v>
      </c>
      <c r="IO256" t="e">
        <f>IF(Sheet1!#REF!,"AAAAAH9/9fg=",0)</f>
        <v>#REF!</v>
      </c>
      <c r="IP256" t="e">
        <f>IF(Sheet1!#REF!,"AAAAAH9/9fk=",0)</f>
        <v>#REF!</v>
      </c>
      <c r="IQ256" t="e">
        <f>IF(Sheet1!#REF!,"AAAAAH9/9fo=",0)</f>
        <v>#REF!</v>
      </c>
      <c r="IR256" t="e">
        <f>IF(Sheet1!#REF!,"AAAAAH9/9fs=",0)</f>
        <v>#REF!</v>
      </c>
      <c r="IS256" t="e">
        <f>IF(Sheet1!#REF!,"AAAAAH9/9fw=",0)</f>
        <v>#REF!</v>
      </c>
      <c r="IT256" t="e">
        <f>IF(Sheet1!#REF!,"AAAAAH9/9f0=",0)</f>
        <v>#REF!</v>
      </c>
      <c r="IU256" t="e">
        <f>IF(Sheet1!#REF!,"AAAAAH9/9f4=",0)</f>
        <v>#REF!</v>
      </c>
      <c r="IV256" t="e">
        <f>IF(Sheet1!#REF!,"AAAAAH9/9f8=",0)</f>
        <v>#REF!</v>
      </c>
    </row>
    <row r="257" spans="1:256" x14ac:dyDescent="0.2">
      <c r="A257" t="e">
        <f>IF(Sheet1!#REF!,"AAAAAF6rbQA=",0)</f>
        <v>#REF!</v>
      </c>
      <c r="B257" t="e">
        <f>IF(Sheet1!#REF!,"AAAAAF6rbQE=",0)</f>
        <v>#REF!</v>
      </c>
      <c r="C257" t="e">
        <f>IF(Sheet1!#REF!,"AAAAAF6rbQI=",0)</f>
        <v>#REF!</v>
      </c>
      <c r="D257" t="e">
        <f>IF(Sheet1!#REF!,"AAAAAF6rbQM=",0)</f>
        <v>#REF!</v>
      </c>
      <c r="E257" t="e">
        <f>IF(Sheet1!#REF!,"AAAAAF6rbQQ=",0)</f>
        <v>#REF!</v>
      </c>
      <c r="F257" t="e">
        <f>IF(Sheet1!#REF!,"AAAAAF6rbQU=",0)</f>
        <v>#REF!</v>
      </c>
      <c r="G257" t="e">
        <f>IF(Sheet1!#REF!,"AAAAAF6rbQY=",0)</f>
        <v>#REF!</v>
      </c>
      <c r="H257" t="e">
        <f>IF(Sheet1!#REF!,"AAAAAF6rbQc=",0)</f>
        <v>#REF!</v>
      </c>
      <c r="I257" t="e">
        <f>IF(Sheet1!#REF!,"AAAAAF6rbQg=",0)</f>
        <v>#REF!</v>
      </c>
      <c r="J257" t="e">
        <f>IF(Sheet1!#REF!,"AAAAAF6rbQk=",0)</f>
        <v>#REF!</v>
      </c>
      <c r="K257" t="e">
        <f>IF(Sheet1!#REF!,"AAAAAF6rbQo=",0)</f>
        <v>#REF!</v>
      </c>
      <c r="L257" t="e">
        <f>IF(Sheet1!#REF!,"AAAAAF6rbQs=",0)</f>
        <v>#REF!</v>
      </c>
      <c r="M257" t="e">
        <f>IF(Sheet1!#REF!,"AAAAAF6rbQw=",0)</f>
        <v>#REF!</v>
      </c>
      <c r="N257" t="e">
        <f>IF(Sheet1!#REF!,"AAAAAF6rbQ0=",0)</f>
        <v>#REF!</v>
      </c>
      <c r="O257" t="e">
        <f>IF(Sheet1!#REF!,"AAAAAF6rbQ4=",0)</f>
        <v>#REF!</v>
      </c>
      <c r="P257" t="e">
        <f>IF(Sheet1!#REF!,"AAAAAF6rbQ8=",0)</f>
        <v>#REF!</v>
      </c>
      <c r="Q257" t="e">
        <f>IF(Sheet1!#REF!,"AAAAAF6rbRA=",0)</f>
        <v>#REF!</v>
      </c>
      <c r="R257" t="e">
        <f>IF(Sheet1!#REF!,"AAAAAF6rbRE=",0)</f>
        <v>#REF!</v>
      </c>
      <c r="S257" t="e">
        <f>IF(Sheet1!#REF!,"AAAAAF6rbRI=",0)</f>
        <v>#REF!</v>
      </c>
      <c r="T257" t="e">
        <f>IF(Sheet1!#REF!,"AAAAAF6rbRM=",0)</f>
        <v>#REF!</v>
      </c>
      <c r="U257" t="e">
        <f>IF(Sheet1!#REF!,"AAAAAF6rbRQ=",0)</f>
        <v>#REF!</v>
      </c>
      <c r="V257" t="e">
        <f>IF(Sheet1!#REF!,"AAAAAF6rbRU=",0)</f>
        <v>#REF!</v>
      </c>
      <c r="W257" t="e">
        <f>IF(Sheet1!#REF!,"AAAAAF6rbRY=",0)</f>
        <v>#REF!</v>
      </c>
      <c r="X257" t="e">
        <f>IF(Sheet1!#REF!,"AAAAAF6rbRc=",0)</f>
        <v>#REF!</v>
      </c>
      <c r="Y257" t="e">
        <f>IF(Sheet1!#REF!,"AAAAAF6rbRg=",0)</f>
        <v>#REF!</v>
      </c>
      <c r="Z257" t="e">
        <f>IF(Sheet1!#REF!,"AAAAAF6rbRk=",0)</f>
        <v>#REF!</v>
      </c>
      <c r="AA257" t="e">
        <f>IF(Sheet1!#REF!,"AAAAAF6rbRo=",0)</f>
        <v>#REF!</v>
      </c>
      <c r="AB257" t="e">
        <f>IF(Sheet1!#REF!,"AAAAAF6rbRs=",0)</f>
        <v>#REF!</v>
      </c>
      <c r="AC257" t="e">
        <f>IF(Sheet1!#REF!,"AAAAAF6rbRw=",0)</f>
        <v>#REF!</v>
      </c>
      <c r="AD257" t="e">
        <f>IF(Sheet1!#REF!,"AAAAAF6rbR0=",0)</f>
        <v>#REF!</v>
      </c>
      <c r="AE257" t="e">
        <f>IF(Sheet1!#REF!,"AAAAAF6rbR4=",0)</f>
        <v>#REF!</v>
      </c>
      <c r="AF257" t="e">
        <f>IF(Sheet1!#REF!,"AAAAAF6rbR8=",0)</f>
        <v>#REF!</v>
      </c>
      <c r="AG257" t="e">
        <f>IF(Sheet1!#REF!,"AAAAAF6rbSA=",0)</f>
        <v>#REF!</v>
      </c>
      <c r="AH257" t="e">
        <f>IF(Sheet1!#REF!,"AAAAAF6rbSE=",0)</f>
        <v>#REF!</v>
      </c>
      <c r="AI257" t="e">
        <f>IF(Sheet1!#REF!,"AAAAAF6rbSI=",0)</f>
        <v>#REF!</v>
      </c>
      <c r="AJ257" t="e">
        <f>IF(Sheet1!#REF!,"AAAAAF6rbSM=",0)</f>
        <v>#REF!</v>
      </c>
      <c r="AK257" t="e">
        <f>IF(Sheet1!#REF!,"AAAAAF6rbSQ=",0)</f>
        <v>#REF!</v>
      </c>
      <c r="AL257" t="e">
        <f>IF(Sheet1!#REF!,"AAAAAF6rbSU=",0)</f>
        <v>#REF!</v>
      </c>
      <c r="AM257" t="e">
        <f>IF(Sheet1!#REF!,"AAAAAF6rbSY=",0)</f>
        <v>#REF!</v>
      </c>
      <c r="AN257" t="e">
        <f>IF(Sheet1!#REF!,"AAAAAF6rbSc=",0)</f>
        <v>#REF!</v>
      </c>
      <c r="AO257" t="e">
        <f>IF(Sheet1!#REF!,"AAAAAF6rbSg=",0)</f>
        <v>#REF!</v>
      </c>
      <c r="AP257" t="e">
        <f>IF(Sheet1!#REF!,"AAAAAF6rbSk=",0)</f>
        <v>#REF!</v>
      </c>
      <c r="AQ257" t="e">
        <f>IF(Sheet1!#REF!,"AAAAAF6rbSo=",0)</f>
        <v>#REF!</v>
      </c>
      <c r="AR257" t="e">
        <f>IF(Sheet1!#REF!,"AAAAAF6rbSs=",0)</f>
        <v>#REF!</v>
      </c>
      <c r="AS257" t="e">
        <f>IF(Sheet1!#REF!,"AAAAAF6rbSw=",0)</f>
        <v>#REF!</v>
      </c>
      <c r="AT257" t="e">
        <f>IF(Sheet1!#REF!,"AAAAAF6rbS0=",0)</f>
        <v>#REF!</v>
      </c>
      <c r="AU257" t="e">
        <f>IF(Sheet1!#REF!,"AAAAAF6rbS4=",0)</f>
        <v>#REF!</v>
      </c>
      <c r="AV257" t="e">
        <f>IF(Sheet1!#REF!,"AAAAAF6rbS8=",0)</f>
        <v>#REF!</v>
      </c>
      <c r="AW257" t="e">
        <f>IF(Sheet1!#REF!,"AAAAAF6rbTA=",0)</f>
        <v>#REF!</v>
      </c>
      <c r="AX257" t="e">
        <f>IF(Sheet1!#REF!,"AAAAAF6rbTE=",0)</f>
        <v>#REF!</v>
      </c>
      <c r="AY257" t="e">
        <f>IF(Sheet1!#REF!,"AAAAAF6rbTI=",0)</f>
        <v>#REF!</v>
      </c>
      <c r="AZ257" t="e">
        <f>IF(Sheet1!#REF!,"AAAAAF6rbTM=",0)</f>
        <v>#REF!</v>
      </c>
      <c r="BA257" t="e">
        <f>IF(Sheet1!#REF!,"AAAAAF6rbTQ=",0)</f>
        <v>#REF!</v>
      </c>
      <c r="BB257" t="e">
        <f>IF(Sheet1!#REF!,"AAAAAF6rbTU=",0)</f>
        <v>#REF!</v>
      </c>
      <c r="BC257" t="e">
        <f>IF(Sheet1!#REF!,"AAAAAF6rbTY=",0)</f>
        <v>#REF!</v>
      </c>
      <c r="BD257" t="e">
        <f>IF(Sheet1!#REF!,"AAAAAF6rbTc=",0)</f>
        <v>#REF!</v>
      </c>
      <c r="BE257" t="e">
        <f>IF(Sheet1!#REF!,"AAAAAF6rbTg=",0)</f>
        <v>#REF!</v>
      </c>
      <c r="BF257" t="e">
        <f>IF(Sheet1!#REF!,"AAAAAF6rbTk=",0)</f>
        <v>#REF!</v>
      </c>
      <c r="BG257" t="e">
        <f>IF(Sheet1!#REF!,"AAAAAF6rbTo=",0)</f>
        <v>#REF!</v>
      </c>
      <c r="BH257" t="e">
        <f>IF(Sheet1!#REF!,"AAAAAF6rbTs=",0)</f>
        <v>#REF!</v>
      </c>
      <c r="BI257" t="e">
        <f>IF(Sheet1!#REF!,"AAAAAF6rbTw=",0)</f>
        <v>#REF!</v>
      </c>
      <c r="BJ257" t="e">
        <f>IF(Sheet1!#REF!,"AAAAAF6rbT0=",0)</f>
        <v>#REF!</v>
      </c>
      <c r="BK257" t="e">
        <f>IF(Sheet1!#REF!,"AAAAAF6rbT4=",0)</f>
        <v>#REF!</v>
      </c>
      <c r="BL257" t="e">
        <f>IF(Sheet1!#REF!,"AAAAAF6rbT8=",0)</f>
        <v>#REF!</v>
      </c>
      <c r="BM257" t="e">
        <f>IF(Sheet1!#REF!,"AAAAAF6rbUA=",0)</f>
        <v>#REF!</v>
      </c>
      <c r="BN257" t="e">
        <f>IF(Sheet1!#REF!,"AAAAAF6rbUE=",0)</f>
        <v>#REF!</v>
      </c>
      <c r="BO257" t="e">
        <f>IF(Sheet1!#REF!,"AAAAAF6rbUI=",0)</f>
        <v>#REF!</v>
      </c>
      <c r="BP257" t="e">
        <f>IF(Sheet1!#REF!,"AAAAAF6rbUM=",0)</f>
        <v>#REF!</v>
      </c>
      <c r="BQ257" t="e">
        <f>IF(Sheet1!#REF!,"AAAAAF6rbUQ=",0)</f>
        <v>#REF!</v>
      </c>
      <c r="BR257" t="e">
        <f>IF(Sheet1!#REF!,"AAAAAF6rbUU=",0)</f>
        <v>#REF!</v>
      </c>
      <c r="BS257" t="e">
        <f>IF(Sheet1!#REF!,"AAAAAF6rbUY=",0)</f>
        <v>#REF!</v>
      </c>
      <c r="BT257" t="e">
        <f>IF(Sheet1!#REF!,"AAAAAF6rbUc=",0)</f>
        <v>#REF!</v>
      </c>
      <c r="BU257" t="e">
        <f>IF(Sheet1!#REF!,"AAAAAF6rbUg=",0)</f>
        <v>#REF!</v>
      </c>
      <c r="BV257" t="e">
        <f>IF(Sheet1!#REF!,"AAAAAF6rbUk=",0)</f>
        <v>#REF!</v>
      </c>
      <c r="BW257" t="e">
        <f>IF(Sheet1!#REF!,"AAAAAF6rbUo=",0)</f>
        <v>#REF!</v>
      </c>
      <c r="BX257" t="e">
        <f>IF(Sheet1!#REF!,"AAAAAF6rbUs=",0)</f>
        <v>#REF!</v>
      </c>
      <c r="BY257" t="e">
        <f>IF(Sheet1!#REF!,"AAAAAF6rbUw=",0)</f>
        <v>#REF!</v>
      </c>
      <c r="BZ257" t="e">
        <f>IF(Sheet1!#REF!,"AAAAAF6rbU0=",0)</f>
        <v>#REF!</v>
      </c>
      <c r="CA257" t="e">
        <f>IF(Sheet1!#REF!,"AAAAAF6rbU4=",0)</f>
        <v>#REF!</v>
      </c>
      <c r="CB257" t="e">
        <f>IF(Sheet1!#REF!,"AAAAAF6rbU8=",0)</f>
        <v>#REF!</v>
      </c>
      <c r="CC257" t="e">
        <f>IF(Sheet1!#REF!,"AAAAAF6rbVA=",0)</f>
        <v>#REF!</v>
      </c>
      <c r="CD257" t="e">
        <f>IF(Sheet1!#REF!,"AAAAAF6rbVE=",0)</f>
        <v>#REF!</v>
      </c>
      <c r="CE257" t="e">
        <f>IF(Sheet1!#REF!,"AAAAAF6rbVI=",0)</f>
        <v>#REF!</v>
      </c>
      <c r="CF257" t="e">
        <f>IF(Sheet1!#REF!,"AAAAAF6rbVM=",0)</f>
        <v>#REF!</v>
      </c>
      <c r="CG257" t="e">
        <f>IF(Sheet1!#REF!,"AAAAAF6rbVQ=",0)</f>
        <v>#REF!</v>
      </c>
      <c r="CH257" t="e">
        <f>IF(Sheet1!#REF!,"AAAAAF6rbVU=",0)</f>
        <v>#REF!</v>
      </c>
      <c r="CI257" t="e">
        <f>IF(Sheet1!#REF!,"AAAAAF6rbVY=",0)</f>
        <v>#REF!</v>
      </c>
      <c r="CJ257" t="e">
        <f>IF(Sheet1!#REF!,"AAAAAF6rbVc=",0)</f>
        <v>#REF!</v>
      </c>
      <c r="CK257" t="e">
        <f>IF(Sheet1!#REF!,"AAAAAF6rbVg=",0)</f>
        <v>#REF!</v>
      </c>
      <c r="CL257" t="e">
        <f>IF(Sheet1!#REF!,"AAAAAF6rbVk=",0)</f>
        <v>#REF!</v>
      </c>
      <c r="CM257" t="e">
        <f>IF(Sheet1!#REF!,"AAAAAF6rbVo=",0)</f>
        <v>#REF!</v>
      </c>
      <c r="CN257" t="e">
        <f>IF(Sheet1!#REF!,"AAAAAF6rbVs=",0)</f>
        <v>#REF!</v>
      </c>
      <c r="CO257" t="e">
        <f>IF(Sheet1!#REF!,"AAAAAF6rbVw=",0)</f>
        <v>#REF!</v>
      </c>
      <c r="CP257" t="e">
        <f>IF(Sheet1!#REF!,"AAAAAF6rbV0=",0)</f>
        <v>#REF!</v>
      </c>
      <c r="CQ257" t="e">
        <f>IF(Sheet1!#REF!,"AAAAAF6rbV4=",0)</f>
        <v>#REF!</v>
      </c>
      <c r="CR257" t="e">
        <f>IF(Sheet1!#REF!,"AAAAAF6rbV8=",0)</f>
        <v>#REF!</v>
      </c>
      <c r="CS257" t="e">
        <f>IF(Sheet1!#REF!,"AAAAAF6rbWA=",0)</f>
        <v>#REF!</v>
      </c>
      <c r="CT257" t="e">
        <f>IF(Sheet1!#REF!,"AAAAAF6rbWE=",0)</f>
        <v>#REF!</v>
      </c>
      <c r="CU257" t="e">
        <f>IF(Sheet1!#REF!,"AAAAAF6rbWI=",0)</f>
        <v>#REF!</v>
      </c>
      <c r="CV257" t="e">
        <f>IF(Sheet1!#REF!,"AAAAAF6rbWM=",0)</f>
        <v>#REF!</v>
      </c>
      <c r="CW257" t="e">
        <f>IF(Sheet1!#REF!,"AAAAAF6rbWQ=",0)</f>
        <v>#REF!</v>
      </c>
      <c r="CX257" t="e">
        <f>IF(Sheet1!#REF!,"AAAAAF6rbWU=",0)</f>
        <v>#REF!</v>
      </c>
      <c r="CY257" t="e">
        <f>IF(Sheet1!#REF!,"AAAAAF6rbWY=",0)</f>
        <v>#REF!</v>
      </c>
      <c r="CZ257" t="e">
        <f>IF(Sheet1!#REF!,"AAAAAF6rbWc=",0)</f>
        <v>#REF!</v>
      </c>
      <c r="DA257" t="e">
        <f>IF(Sheet1!#REF!,"AAAAAF6rbWg=",0)</f>
        <v>#REF!</v>
      </c>
      <c r="DB257" t="e">
        <f>IF(Sheet1!#REF!,"AAAAAF6rbWk=",0)</f>
        <v>#REF!</v>
      </c>
      <c r="DC257" t="e">
        <f>IF(Sheet1!#REF!,"AAAAAF6rbWo=",0)</f>
        <v>#REF!</v>
      </c>
      <c r="DD257" t="e">
        <f>IF(Sheet1!#REF!,"AAAAAF6rbWs=",0)</f>
        <v>#REF!</v>
      </c>
      <c r="DE257" t="e">
        <f>IF(Sheet1!#REF!,"AAAAAF6rbWw=",0)</f>
        <v>#REF!</v>
      </c>
      <c r="DF257" t="e">
        <f>IF(Sheet1!#REF!,"AAAAAF6rbW0=",0)</f>
        <v>#REF!</v>
      </c>
      <c r="DG257" t="e">
        <f>IF(Sheet1!#REF!,"AAAAAF6rbW4=",0)</f>
        <v>#REF!</v>
      </c>
      <c r="DH257" t="e">
        <f>IF(Sheet1!#REF!,"AAAAAF6rbW8=",0)</f>
        <v>#REF!</v>
      </c>
      <c r="DI257" t="e">
        <f>IF(Sheet1!#REF!,"AAAAAF6rbXA=",0)</f>
        <v>#REF!</v>
      </c>
      <c r="DJ257" t="e">
        <f>IF(Sheet1!#REF!,"AAAAAF6rbXE=",0)</f>
        <v>#REF!</v>
      </c>
      <c r="DK257" t="e">
        <f>IF(Sheet1!#REF!,"AAAAAF6rbXI=",0)</f>
        <v>#REF!</v>
      </c>
      <c r="DL257" t="e">
        <f>IF(Sheet1!#REF!,"AAAAAF6rbXM=",0)</f>
        <v>#REF!</v>
      </c>
      <c r="DM257" t="e">
        <f>IF(Sheet1!#REF!,"AAAAAF6rbXQ=",0)</f>
        <v>#REF!</v>
      </c>
      <c r="DN257" t="e">
        <f>IF(Sheet1!#REF!,"AAAAAF6rbXU=",0)</f>
        <v>#REF!</v>
      </c>
      <c r="DO257" t="e">
        <f>IF(Sheet1!#REF!,"AAAAAF6rbXY=",0)</f>
        <v>#REF!</v>
      </c>
      <c r="DP257" t="e">
        <f>IF(Sheet1!#REF!,"AAAAAF6rbXc=",0)</f>
        <v>#REF!</v>
      </c>
      <c r="DQ257" t="e">
        <f>IF(Sheet1!#REF!,"AAAAAF6rbXg=",0)</f>
        <v>#REF!</v>
      </c>
      <c r="DR257" t="e">
        <f>IF(Sheet1!#REF!,"AAAAAF6rbXk=",0)</f>
        <v>#REF!</v>
      </c>
      <c r="DS257" t="e">
        <f>IF(Sheet1!#REF!,"AAAAAF6rbXo=",0)</f>
        <v>#REF!</v>
      </c>
      <c r="DT257" t="e">
        <f>IF(Sheet1!#REF!,"AAAAAF6rbXs=",0)</f>
        <v>#REF!</v>
      </c>
      <c r="DU257" t="e">
        <f>IF(Sheet1!#REF!,"AAAAAF6rbXw=",0)</f>
        <v>#REF!</v>
      </c>
      <c r="DV257" t="e">
        <f>IF(Sheet1!#REF!,"AAAAAF6rbX0=",0)</f>
        <v>#REF!</v>
      </c>
      <c r="DW257" t="e">
        <f>IF(Sheet1!#REF!,"AAAAAF6rbX4=",0)</f>
        <v>#REF!</v>
      </c>
      <c r="DX257" t="e">
        <f>IF(Sheet1!#REF!,"AAAAAF6rbX8=",0)</f>
        <v>#REF!</v>
      </c>
      <c r="DY257" t="e">
        <f>IF(Sheet1!#REF!,"AAAAAF6rbYA=",0)</f>
        <v>#REF!</v>
      </c>
      <c r="DZ257" t="e">
        <f>IF(Sheet1!#REF!,"AAAAAF6rbYE=",0)</f>
        <v>#REF!</v>
      </c>
      <c r="EA257" t="e">
        <f>IF(Sheet1!#REF!,"AAAAAF6rbYI=",0)</f>
        <v>#REF!</v>
      </c>
      <c r="EB257" t="e">
        <f>IF(Sheet1!#REF!,"AAAAAF6rbYM=",0)</f>
        <v>#REF!</v>
      </c>
      <c r="EC257" t="e">
        <f>IF(Sheet1!#REF!,"AAAAAF6rbYQ=",0)</f>
        <v>#REF!</v>
      </c>
      <c r="ED257" t="e">
        <f>IF(Sheet1!#REF!,"AAAAAF6rbYU=",0)</f>
        <v>#REF!</v>
      </c>
      <c r="EE257" t="e">
        <f>IF(Sheet1!#REF!,"AAAAAF6rbYY=",0)</f>
        <v>#REF!</v>
      </c>
      <c r="EF257" t="e">
        <f>IF(Sheet1!#REF!,"AAAAAF6rbYc=",0)</f>
        <v>#REF!</v>
      </c>
      <c r="EG257" t="e">
        <f>IF(Sheet1!#REF!,"AAAAAF6rbYg=",0)</f>
        <v>#REF!</v>
      </c>
      <c r="EH257" t="e">
        <f>IF(Sheet1!#REF!,"AAAAAF6rbYk=",0)</f>
        <v>#REF!</v>
      </c>
      <c r="EI257" t="e">
        <f>IF(Sheet1!#REF!,"AAAAAF6rbYo=",0)</f>
        <v>#REF!</v>
      </c>
      <c r="EJ257" t="e">
        <f>IF(Sheet1!#REF!,"AAAAAF6rbYs=",0)</f>
        <v>#REF!</v>
      </c>
      <c r="EK257" t="e">
        <f>IF(Sheet1!#REF!,"AAAAAF6rbYw=",0)</f>
        <v>#REF!</v>
      </c>
      <c r="EL257" t="e">
        <f>IF(Sheet1!#REF!,"AAAAAF6rbY0=",0)</f>
        <v>#REF!</v>
      </c>
      <c r="EM257" t="e">
        <f>IF(Sheet1!#REF!,"AAAAAF6rbY4=",0)</f>
        <v>#REF!</v>
      </c>
      <c r="EN257" t="e">
        <f>IF(Sheet1!#REF!,"AAAAAF6rbY8=",0)</f>
        <v>#REF!</v>
      </c>
      <c r="EO257" t="e">
        <f>IF(Sheet1!#REF!,"AAAAAF6rbZA=",0)</f>
        <v>#REF!</v>
      </c>
      <c r="EP257" t="e">
        <f>IF(Sheet1!#REF!,"AAAAAF6rbZE=",0)</f>
        <v>#REF!</v>
      </c>
      <c r="EQ257" t="e">
        <f>IF(Sheet1!#REF!,"AAAAAF6rbZI=",0)</f>
        <v>#REF!</v>
      </c>
      <c r="ER257" t="e">
        <f>IF(Sheet1!#REF!,"AAAAAF6rbZM=",0)</f>
        <v>#REF!</v>
      </c>
      <c r="ES257" t="e">
        <f>IF(Sheet1!#REF!,"AAAAAF6rbZQ=",0)</f>
        <v>#REF!</v>
      </c>
      <c r="ET257" t="e">
        <f>IF(Sheet1!#REF!,"AAAAAF6rbZU=",0)</f>
        <v>#REF!</v>
      </c>
      <c r="EU257" t="e">
        <f>IF(Sheet1!#REF!,"AAAAAF6rbZY=",0)</f>
        <v>#REF!</v>
      </c>
      <c r="EV257" t="e">
        <f>IF(Sheet1!#REF!,"AAAAAF6rbZc=",0)</f>
        <v>#REF!</v>
      </c>
      <c r="EW257" t="e">
        <f>IF(Sheet1!#REF!,"AAAAAF6rbZg=",0)</f>
        <v>#REF!</v>
      </c>
      <c r="EX257" t="e">
        <f>IF(Sheet1!#REF!,"AAAAAF6rbZk=",0)</f>
        <v>#REF!</v>
      </c>
      <c r="EY257" t="e">
        <f>IF(Sheet1!#REF!,"AAAAAF6rbZo=",0)</f>
        <v>#REF!</v>
      </c>
      <c r="EZ257" t="e">
        <f>IF(Sheet1!#REF!,"AAAAAF6rbZs=",0)</f>
        <v>#REF!</v>
      </c>
      <c r="FA257" t="e">
        <f>IF(Sheet1!#REF!,"AAAAAF6rbZw=",0)</f>
        <v>#REF!</v>
      </c>
      <c r="FB257" t="e">
        <f>IF(Sheet1!#REF!,"AAAAAF6rbZ0=",0)</f>
        <v>#REF!</v>
      </c>
      <c r="FC257" t="e">
        <f>IF(Sheet1!#REF!,"AAAAAF6rbZ4=",0)</f>
        <v>#REF!</v>
      </c>
      <c r="FD257" t="e">
        <f>IF(Sheet1!#REF!,"AAAAAF6rbZ8=",0)</f>
        <v>#REF!</v>
      </c>
      <c r="FE257" t="e">
        <f>IF(Sheet1!#REF!,"AAAAAF6rbaA=",0)</f>
        <v>#REF!</v>
      </c>
      <c r="FF257" t="e">
        <f>IF(Sheet1!#REF!,"AAAAAF6rbaE=",0)</f>
        <v>#REF!</v>
      </c>
      <c r="FG257" t="e">
        <f>IF(Sheet1!#REF!,"AAAAAF6rbaI=",0)</f>
        <v>#REF!</v>
      </c>
      <c r="FH257" t="e">
        <f>IF(Sheet1!#REF!,"AAAAAF6rbaM=",0)</f>
        <v>#REF!</v>
      </c>
      <c r="FI257" t="e">
        <f>IF(Sheet1!#REF!,"AAAAAF6rbaQ=",0)</f>
        <v>#REF!</v>
      </c>
      <c r="FJ257" t="e">
        <f>IF(Sheet1!#REF!,"AAAAAF6rbaU=",0)</f>
        <v>#REF!</v>
      </c>
      <c r="FK257" t="e">
        <f>IF(Sheet1!#REF!,"AAAAAF6rbaY=",0)</f>
        <v>#REF!</v>
      </c>
      <c r="FL257" t="e">
        <f>IF(Sheet1!#REF!,"AAAAAF6rbac=",0)</f>
        <v>#REF!</v>
      </c>
      <c r="FM257" t="e">
        <f>IF(Sheet1!#REF!,"AAAAAF6rbag=",0)</f>
        <v>#REF!</v>
      </c>
      <c r="FN257" t="e">
        <f>IF(Sheet1!#REF!,"AAAAAF6rbak=",0)</f>
        <v>#REF!</v>
      </c>
      <c r="FO257" t="e">
        <f>IF(Sheet1!#REF!,"AAAAAF6rbao=",0)</f>
        <v>#REF!</v>
      </c>
      <c r="FP257" t="e">
        <f>IF(Sheet1!#REF!,"AAAAAF6rbas=",0)</f>
        <v>#REF!</v>
      </c>
      <c r="FQ257" t="e">
        <f>IF(Sheet1!#REF!,"AAAAAF6rbaw=",0)</f>
        <v>#REF!</v>
      </c>
      <c r="FR257" t="e">
        <f>IF(Sheet1!#REF!,"AAAAAF6rba0=",0)</f>
        <v>#REF!</v>
      </c>
      <c r="FS257" t="e">
        <f>IF(Sheet1!#REF!,"AAAAAF6rba4=",0)</f>
        <v>#REF!</v>
      </c>
      <c r="FT257" t="e">
        <f>IF(Sheet1!#REF!,"AAAAAF6rba8=",0)</f>
        <v>#REF!</v>
      </c>
      <c r="FU257" t="e">
        <f>IF(Sheet1!#REF!,"AAAAAF6rbbA=",0)</f>
        <v>#REF!</v>
      </c>
      <c r="FV257" t="e">
        <f>IF(Sheet1!#REF!,"AAAAAF6rbbE=",0)</f>
        <v>#REF!</v>
      </c>
      <c r="FW257" t="e">
        <f>IF(Sheet1!#REF!,"AAAAAF6rbbI=",0)</f>
        <v>#REF!</v>
      </c>
      <c r="FX257" t="e">
        <f>IF(Sheet1!#REF!,"AAAAAF6rbbM=",0)</f>
        <v>#REF!</v>
      </c>
      <c r="FY257" t="e">
        <f>IF(Sheet1!#REF!,"AAAAAF6rbbQ=",0)</f>
        <v>#REF!</v>
      </c>
      <c r="FZ257" t="e">
        <f>IF(Sheet1!#REF!,"AAAAAF6rbbU=",0)</f>
        <v>#REF!</v>
      </c>
      <c r="GA257" t="e">
        <f>IF(Sheet1!#REF!,"AAAAAF6rbbY=",0)</f>
        <v>#REF!</v>
      </c>
      <c r="GB257" t="e">
        <f>IF(Sheet1!#REF!,"AAAAAF6rbbc=",0)</f>
        <v>#REF!</v>
      </c>
      <c r="GC257" t="e">
        <f>IF(Sheet1!#REF!,"AAAAAF6rbbg=",0)</f>
        <v>#REF!</v>
      </c>
      <c r="GD257" t="e">
        <f>IF(Sheet1!#REF!,"AAAAAF6rbbk=",0)</f>
        <v>#REF!</v>
      </c>
      <c r="GE257" t="e">
        <f>IF(Sheet1!#REF!,"AAAAAF6rbbo=",0)</f>
        <v>#REF!</v>
      </c>
      <c r="GF257" t="e">
        <f>IF(Sheet1!#REF!,"AAAAAF6rbbs=",0)</f>
        <v>#REF!</v>
      </c>
      <c r="GG257" t="e">
        <f>IF(Sheet1!#REF!,"AAAAAF6rbbw=",0)</f>
        <v>#REF!</v>
      </c>
      <c r="GH257" t="e">
        <f>IF(Sheet1!#REF!,"AAAAAF6rbb0=",0)</f>
        <v>#REF!</v>
      </c>
      <c r="GI257" t="e">
        <f>IF(Sheet1!#REF!,"AAAAAF6rbb4=",0)</f>
        <v>#REF!</v>
      </c>
      <c r="GJ257" t="e">
        <f>IF(Sheet1!#REF!,"AAAAAF6rbb8=",0)</f>
        <v>#REF!</v>
      </c>
      <c r="GK257" t="e">
        <f>IF(Sheet1!#REF!,"AAAAAF6rbcA=",0)</f>
        <v>#REF!</v>
      </c>
      <c r="GL257" t="e">
        <f>IF(Sheet1!#REF!,"AAAAAF6rbcE=",0)</f>
        <v>#REF!</v>
      </c>
      <c r="GM257" t="e">
        <f>IF(Sheet1!#REF!,"AAAAAF6rbcI=",0)</f>
        <v>#REF!</v>
      </c>
      <c r="GN257" t="e">
        <f>IF(Sheet1!#REF!,"AAAAAF6rbcM=",0)</f>
        <v>#REF!</v>
      </c>
      <c r="GO257" t="e">
        <f>IF(Sheet1!#REF!,"AAAAAF6rbcQ=",0)</f>
        <v>#REF!</v>
      </c>
      <c r="GP257" t="e">
        <f>IF(Sheet1!#REF!,"AAAAAF6rbcU=",0)</f>
        <v>#REF!</v>
      </c>
      <c r="GQ257" t="e">
        <f>IF(Sheet1!#REF!,"AAAAAF6rbcY=",0)</f>
        <v>#REF!</v>
      </c>
      <c r="GR257" t="e">
        <f>IF(Sheet1!#REF!,"AAAAAF6rbcc=",0)</f>
        <v>#REF!</v>
      </c>
      <c r="GS257" t="e">
        <f>IF(Sheet1!#REF!,"AAAAAF6rbcg=",0)</f>
        <v>#REF!</v>
      </c>
      <c r="GT257" t="e">
        <f>IF(Sheet1!#REF!,"AAAAAF6rbck=",0)</f>
        <v>#REF!</v>
      </c>
      <c r="GU257" t="e">
        <f>IF(Sheet1!#REF!,"AAAAAF6rbco=",0)</f>
        <v>#REF!</v>
      </c>
      <c r="GV257" t="e">
        <f>IF(Sheet1!#REF!,"AAAAAF6rbcs=",0)</f>
        <v>#REF!</v>
      </c>
      <c r="GW257" t="e">
        <f>IF(Sheet1!#REF!,"AAAAAF6rbcw=",0)</f>
        <v>#REF!</v>
      </c>
      <c r="GX257" t="e">
        <f>IF(Sheet1!#REF!,"AAAAAF6rbc0=",0)</f>
        <v>#REF!</v>
      </c>
      <c r="GY257" t="e">
        <f>IF(Sheet1!#REF!,"AAAAAF6rbc4=",0)</f>
        <v>#REF!</v>
      </c>
      <c r="GZ257" t="e">
        <f>IF(Sheet1!#REF!,"AAAAAF6rbc8=",0)</f>
        <v>#REF!</v>
      </c>
      <c r="HA257" t="e">
        <f>IF(Sheet1!#REF!,"AAAAAF6rbdA=",0)</f>
        <v>#REF!</v>
      </c>
      <c r="HB257" t="e">
        <f>IF(Sheet1!#REF!,"AAAAAF6rbdE=",0)</f>
        <v>#REF!</v>
      </c>
      <c r="HC257" t="e">
        <f>IF(Sheet1!#REF!,"AAAAAF6rbdI=",0)</f>
        <v>#REF!</v>
      </c>
      <c r="HD257" t="e">
        <f>IF(Sheet1!#REF!,"AAAAAF6rbdM=",0)</f>
        <v>#REF!</v>
      </c>
      <c r="HE257" t="e">
        <f>IF(Sheet1!#REF!,"AAAAAF6rbdQ=",0)</f>
        <v>#REF!</v>
      </c>
      <c r="HF257" t="e">
        <f>IF(Sheet1!#REF!,"AAAAAF6rbdU=",0)</f>
        <v>#REF!</v>
      </c>
      <c r="HG257" t="e">
        <f>IF(Sheet1!#REF!,"AAAAAF6rbdY=",0)</f>
        <v>#REF!</v>
      </c>
      <c r="HH257" t="e">
        <f>IF(Sheet1!#REF!,"AAAAAF6rbdc=",0)</f>
        <v>#REF!</v>
      </c>
      <c r="HI257" t="e">
        <f>IF(Sheet1!#REF!,"AAAAAF6rbdg=",0)</f>
        <v>#REF!</v>
      </c>
      <c r="HJ257" t="e">
        <f>IF(Sheet1!#REF!,"AAAAAF6rbdk=",0)</f>
        <v>#REF!</v>
      </c>
      <c r="HK257" t="e">
        <f>IF(Sheet1!#REF!,"AAAAAF6rbdo=",0)</f>
        <v>#REF!</v>
      </c>
      <c r="HL257" t="e">
        <f>IF(Sheet1!#REF!,"AAAAAF6rbds=",0)</f>
        <v>#REF!</v>
      </c>
      <c r="HM257" t="e">
        <f>IF(Sheet1!#REF!,"AAAAAF6rbdw=",0)</f>
        <v>#REF!</v>
      </c>
      <c r="HN257" t="e">
        <f>IF(Sheet1!#REF!,"AAAAAF6rbd0=",0)</f>
        <v>#REF!</v>
      </c>
      <c r="HO257" t="e">
        <f>IF(Sheet1!#REF!,"AAAAAF6rbd4=",0)</f>
        <v>#REF!</v>
      </c>
      <c r="HP257" t="e">
        <f>IF(Sheet1!#REF!,"AAAAAF6rbd8=",0)</f>
        <v>#REF!</v>
      </c>
      <c r="HQ257" t="e">
        <f>IF(Sheet1!#REF!,"AAAAAF6rbeA=",0)</f>
        <v>#REF!</v>
      </c>
      <c r="HR257" t="e">
        <f>IF(Sheet1!#REF!,"AAAAAF6rbeE=",0)</f>
        <v>#REF!</v>
      </c>
      <c r="HS257" t="e">
        <f>IF(Sheet1!#REF!,"AAAAAF6rbeI=",0)</f>
        <v>#REF!</v>
      </c>
      <c r="HT257" t="e">
        <f>IF(Sheet1!#REF!,"AAAAAF6rbeM=",0)</f>
        <v>#REF!</v>
      </c>
      <c r="HU257" t="e">
        <f>IF(Sheet1!#REF!,"AAAAAF6rbeQ=",0)</f>
        <v>#REF!</v>
      </c>
      <c r="HV257" t="e">
        <f>IF(Sheet1!#REF!,"AAAAAF6rbeU=",0)</f>
        <v>#REF!</v>
      </c>
      <c r="HW257" t="e">
        <f>IF(Sheet1!#REF!,"AAAAAF6rbeY=",0)</f>
        <v>#REF!</v>
      </c>
      <c r="HX257" t="e">
        <f>IF(Sheet1!#REF!,"AAAAAF6rbec=",0)</f>
        <v>#REF!</v>
      </c>
      <c r="HY257" t="e">
        <f>IF(Sheet1!#REF!,"AAAAAF6rbeg=",0)</f>
        <v>#REF!</v>
      </c>
      <c r="HZ257" t="e">
        <f>IF(Sheet1!#REF!,"AAAAAF6rbek=",0)</f>
        <v>#REF!</v>
      </c>
      <c r="IA257" t="e">
        <f>IF(Sheet1!#REF!,"AAAAAF6rbeo=",0)</f>
        <v>#REF!</v>
      </c>
      <c r="IB257" t="e">
        <f>IF(Sheet1!#REF!,"AAAAAF6rbes=",0)</f>
        <v>#REF!</v>
      </c>
      <c r="IC257" t="e">
        <f>IF(Sheet1!#REF!,"AAAAAF6rbew=",0)</f>
        <v>#REF!</v>
      </c>
      <c r="ID257" t="e">
        <f>IF(Sheet1!#REF!,"AAAAAF6rbe0=",0)</f>
        <v>#REF!</v>
      </c>
      <c r="IE257" t="e">
        <f>IF(Sheet1!#REF!,"AAAAAF6rbe4=",0)</f>
        <v>#REF!</v>
      </c>
      <c r="IF257" t="e">
        <f>IF(Sheet1!#REF!,"AAAAAF6rbe8=",0)</f>
        <v>#REF!</v>
      </c>
      <c r="IG257" t="e">
        <f>IF(Sheet1!#REF!,"AAAAAF6rbfA=",0)</f>
        <v>#REF!</v>
      </c>
      <c r="IH257" t="e">
        <f>IF(Sheet1!#REF!,"AAAAAF6rbfE=",0)</f>
        <v>#REF!</v>
      </c>
      <c r="II257" t="e">
        <f>IF(Sheet1!#REF!,"AAAAAF6rbfI=",0)</f>
        <v>#REF!</v>
      </c>
      <c r="IJ257" t="e">
        <f>IF(Sheet1!#REF!,"AAAAAF6rbfM=",0)</f>
        <v>#REF!</v>
      </c>
      <c r="IK257" t="e">
        <f>IF(Sheet1!#REF!,"AAAAAF6rbfQ=",0)</f>
        <v>#REF!</v>
      </c>
      <c r="IL257" t="e">
        <f>IF(Sheet1!#REF!,"AAAAAF6rbfU=",0)</f>
        <v>#REF!</v>
      </c>
      <c r="IM257" t="e">
        <f>IF(Sheet1!#REF!,"AAAAAF6rbfY=",0)</f>
        <v>#REF!</v>
      </c>
      <c r="IN257" t="e">
        <f>IF(Sheet1!#REF!,"AAAAAF6rbfc=",0)</f>
        <v>#REF!</v>
      </c>
      <c r="IO257" t="e">
        <f>IF(Sheet1!#REF!,"AAAAAF6rbfg=",0)</f>
        <v>#REF!</v>
      </c>
      <c r="IP257" t="e">
        <f>IF(Sheet1!#REF!,"AAAAAF6rbfk=",0)</f>
        <v>#REF!</v>
      </c>
      <c r="IQ257" t="e">
        <f>IF(Sheet1!#REF!,"AAAAAF6rbfo=",0)</f>
        <v>#REF!</v>
      </c>
      <c r="IR257" t="e">
        <f>IF(Sheet1!#REF!,"AAAAAF6rbfs=",0)</f>
        <v>#REF!</v>
      </c>
      <c r="IS257" t="e">
        <f>IF(Sheet1!#REF!,"AAAAAF6rbfw=",0)</f>
        <v>#REF!</v>
      </c>
      <c r="IT257" t="e">
        <f>IF(Sheet1!#REF!,"AAAAAF6rbf0=",0)</f>
        <v>#REF!</v>
      </c>
      <c r="IU257" t="e">
        <f>IF(Sheet1!#REF!,"AAAAAF6rbf4=",0)</f>
        <v>#REF!</v>
      </c>
      <c r="IV257" t="e">
        <f>IF(Sheet1!#REF!,"AAAAAF6rbf8=",0)</f>
        <v>#REF!</v>
      </c>
    </row>
    <row r="258" spans="1:256" x14ac:dyDescent="0.2">
      <c r="A258" t="e">
        <f>IF(Sheet1!#REF!,"AAAAABef/gA=",0)</f>
        <v>#REF!</v>
      </c>
      <c r="B258" t="e">
        <f>IF(Sheet1!#REF!,"AAAAABef/gE=",0)</f>
        <v>#REF!</v>
      </c>
      <c r="C258" t="e">
        <f>IF(Sheet1!#REF!,"AAAAABef/gI=",0)</f>
        <v>#REF!</v>
      </c>
      <c r="D258" t="e">
        <f>IF(Sheet1!#REF!,"AAAAABef/gM=",0)</f>
        <v>#REF!</v>
      </c>
      <c r="E258" t="e">
        <f>IF(Sheet1!#REF!,"AAAAABef/gQ=",0)</f>
        <v>#REF!</v>
      </c>
      <c r="F258" t="e">
        <f>IF(Sheet1!#REF!,"AAAAABef/gU=",0)</f>
        <v>#REF!</v>
      </c>
      <c r="G258" t="e">
        <f>IF(Sheet1!#REF!,"AAAAABef/gY=",0)</f>
        <v>#REF!</v>
      </c>
      <c r="H258" t="e">
        <f>IF(Sheet1!#REF!,"AAAAABef/gc=",0)</f>
        <v>#REF!</v>
      </c>
      <c r="I258" t="e">
        <f>IF(Sheet1!#REF!,"AAAAABef/gg=",0)</f>
        <v>#REF!</v>
      </c>
      <c r="J258" t="e">
        <f>IF(Sheet1!#REF!,"AAAAABef/gk=",0)</f>
        <v>#REF!</v>
      </c>
      <c r="K258" t="e">
        <f>IF(Sheet1!#REF!,"AAAAABef/go=",0)</f>
        <v>#REF!</v>
      </c>
      <c r="L258" t="e">
        <f>IF(Sheet1!#REF!,"AAAAABef/gs=",0)</f>
        <v>#REF!</v>
      </c>
      <c r="M258" t="e">
        <f>IF(Sheet1!#REF!,"AAAAABef/gw=",0)</f>
        <v>#REF!</v>
      </c>
      <c r="N258" t="e">
        <f>IF(Sheet1!#REF!,"AAAAABef/g0=",0)</f>
        <v>#REF!</v>
      </c>
      <c r="O258" t="e">
        <f>IF(Sheet1!#REF!,"AAAAABef/g4=",0)</f>
        <v>#REF!</v>
      </c>
      <c r="P258" t="e">
        <f>IF(Sheet1!#REF!,"AAAAABef/g8=",0)</f>
        <v>#REF!</v>
      </c>
      <c r="Q258" t="e">
        <f>IF(Sheet1!#REF!,"AAAAABef/hA=",0)</f>
        <v>#REF!</v>
      </c>
      <c r="R258" t="e">
        <f>IF(Sheet1!#REF!,"AAAAABef/hE=",0)</f>
        <v>#REF!</v>
      </c>
      <c r="S258" t="e">
        <f>IF(Sheet1!#REF!,"AAAAABef/hI=",0)</f>
        <v>#REF!</v>
      </c>
      <c r="T258" t="e">
        <f>IF(Sheet1!#REF!,"AAAAABef/hM=",0)</f>
        <v>#REF!</v>
      </c>
      <c r="U258" t="e">
        <f>IF(Sheet1!#REF!,"AAAAABef/hQ=",0)</f>
        <v>#REF!</v>
      </c>
      <c r="V258" t="e">
        <f>IF(Sheet1!#REF!,"AAAAABef/hU=",0)</f>
        <v>#REF!</v>
      </c>
      <c r="W258" t="e">
        <f>IF(Sheet1!#REF!,"AAAAABef/hY=",0)</f>
        <v>#REF!</v>
      </c>
      <c r="X258" t="e">
        <f>IF(Sheet1!#REF!,"AAAAABef/hc=",0)</f>
        <v>#REF!</v>
      </c>
      <c r="Y258" t="e">
        <f>IF(Sheet1!#REF!,"AAAAABef/hg=",0)</f>
        <v>#REF!</v>
      </c>
      <c r="Z258" t="e">
        <f>IF(Sheet1!#REF!,"AAAAABef/hk=",0)</f>
        <v>#REF!</v>
      </c>
      <c r="AA258" t="e">
        <f>IF(Sheet1!#REF!,"AAAAABef/ho=",0)</f>
        <v>#REF!</v>
      </c>
      <c r="AB258" t="e">
        <f>IF(Sheet1!#REF!,"AAAAABef/hs=",0)</f>
        <v>#REF!</v>
      </c>
      <c r="AC258" t="e">
        <f>IF(Sheet1!#REF!,"AAAAABef/hw=",0)</f>
        <v>#REF!</v>
      </c>
      <c r="AD258" t="e">
        <f>IF(Sheet1!#REF!,"AAAAABef/h0=",0)</f>
        <v>#REF!</v>
      </c>
      <c r="AE258" t="e">
        <f>IF(Sheet1!#REF!,"AAAAABef/h4=",0)</f>
        <v>#REF!</v>
      </c>
      <c r="AF258" t="e">
        <f>IF(Sheet1!#REF!,"AAAAABef/h8=",0)</f>
        <v>#REF!</v>
      </c>
      <c r="AG258" t="e">
        <f>IF(Sheet1!#REF!,"AAAAABef/iA=",0)</f>
        <v>#REF!</v>
      </c>
      <c r="AH258" t="e">
        <f>IF(Sheet1!#REF!,"AAAAABef/iE=",0)</f>
        <v>#REF!</v>
      </c>
      <c r="AI258" t="e">
        <f>IF(Sheet1!#REF!,"AAAAABef/iI=",0)</f>
        <v>#REF!</v>
      </c>
      <c r="AJ258" t="e">
        <f>IF(Sheet1!#REF!,"AAAAABef/iM=",0)</f>
        <v>#REF!</v>
      </c>
      <c r="AK258" t="e">
        <f>IF(Sheet1!#REF!,"AAAAABef/iQ=",0)</f>
        <v>#REF!</v>
      </c>
      <c r="AL258" t="e">
        <f>IF(Sheet1!#REF!,"AAAAABef/iU=",0)</f>
        <v>#REF!</v>
      </c>
      <c r="AM258" t="e">
        <f>IF(Sheet1!#REF!,"AAAAABef/iY=",0)</f>
        <v>#REF!</v>
      </c>
      <c r="AN258" t="e">
        <f>IF(Sheet1!#REF!,"AAAAABef/ic=",0)</f>
        <v>#REF!</v>
      </c>
      <c r="AO258" t="e">
        <f>IF(Sheet1!#REF!,"AAAAABef/ig=",0)</f>
        <v>#REF!</v>
      </c>
      <c r="AP258" t="e">
        <f>IF(Sheet1!#REF!,"AAAAABef/ik=",0)</f>
        <v>#REF!</v>
      </c>
      <c r="AQ258" t="e">
        <f>IF(Sheet1!#REF!,"AAAAABef/io=",0)</f>
        <v>#REF!</v>
      </c>
      <c r="AR258" t="e">
        <f>IF(Sheet1!#REF!,"AAAAABef/is=",0)</f>
        <v>#REF!</v>
      </c>
      <c r="AS258" t="e">
        <f>IF(Sheet1!#REF!,"AAAAABef/iw=",0)</f>
        <v>#REF!</v>
      </c>
      <c r="AT258" t="e">
        <f>IF(Sheet1!#REF!,"AAAAABef/i0=",0)</f>
        <v>#REF!</v>
      </c>
      <c r="AU258" t="e">
        <f>IF(Sheet1!#REF!,"AAAAABef/i4=",0)</f>
        <v>#REF!</v>
      </c>
      <c r="AV258" t="e">
        <f>IF(Sheet1!#REF!,"AAAAABef/i8=",0)</f>
        <v>#REF!</v>
      </c>
      <c r="AW258" t="e">
        <f>IF(Sheet1!#REF!,"AAAAABef/jA=",0)</f>
        <v>#REF!</v>
      </c>
      <c r="AX258" t="e">
        <f>IF(Sheet1!#REF!,"AAAAABef/jE=",0)</f>
        <v>#REF!</v>
      </c>
      <c r="AY258" t="e">
        <f>IF(Sheet1!#REF!,"AAAAABef/jI=",0)</f>
        <v>#REF!</v>
      </c>
      <c r="AZ258" t="e">
        <f>IF(Sheet1!#REF!,"AAAAABef/jM=",0)</f>
        <v>#REF!</v>
      </c>
      <c r="BA258" t="e">
        <f>IF(Sheet1!#REF!,"AAAAABef/jQ=",0)</f>
        <v>#REF!</v>
      </c>
      <c r="BB258" t="e">
        <f>IF(Sheet1!#REF!,"AAAAABef/jU=",0)</f>
        <v>#REF!</v>
      </c>
      <c r="BC258" t="e">
        <f>IF(Sheet1!#REF!,"AAAAABef/jY=",0)</f>
        <v>#REF!</v>
      </c>
      <c r="BD258" t="e">
        <f>IF(Sheet1!#REF!,"AAAAABef/jc=",0)</f>
        <v>#REF!</v>
      </c>
      <c r="BE258" t="e">
        <f>IF(Sheet1!#REF!,"AAAAABef/jg=",0)</f>
        <v>#REF!</v>
      </c>
      <c r="BF258" t="e">
        <f>IF(Sheet1!#REF!,"AAAAABef/jk=",0)</f>
        <v>#REF!</v>
      </c>
      <c r="BG258" t="e">
        <f>IF(Sheet1!#REF!,"AAAAABef/jo=",0)</f>
        <v>#REF!</v>
      </c>
      <c r="BH258" t="e">
        <f>IF(Sheet1!#REF!,"AAAAABef/js=",0)</f>
        <v>#REF!</v>
      </c>
      <c r="BI258" t="e">
        <f>IF(Sheet1!#REF!,"AAAAABef/jw=",0)</f>
        <v>#REF!</v>
      </c>
      <c r="BJ258" t="e">
        <f>IF(Sheet1!#REF!,"AAAAABef/j0=",0)</f>
        <v>#REF!</v>
      </c>
      <c r="BK258" t="e">
        <f>IF(Sheet1!#REF!,"AAAAABef/j4=",0)</f>
        <v>#REF!</v>
      </c>
      <c r="BL258" t="e">
        <f>IF(Sheet1!#REF!,"AAAAABef/j8=",0)</f>
        <v>#REF!</v>
      </c>
      <c r="BM258" t="e">
        <f>IF(Sheet1!#REF!,"AAAAABef/kA=",0)</f>
        <v>#REF!</v>
      </c>
      <c r="BN258" t="e">
        <f>IF(Sheet1!#REF!,"AAAAABef/kE=",0)</f>
        <v>#REF!</v>
      </c>
      <c r="BO258" t="e">
        <f>IF(Sheet1!#REF!,"AAAAABef/kI=",0)</f>
        <v>#REF!</v>
      </c>
      <c r="BP258" t="e">
        <f>IF(Sheet1!#REF!,"AAAAABef/kM=",0)</f>
        <v>#REF!</v>
      </c>
      <c r="BQ258" t="e">
        <f>IF(Sheet1!#REF!,"AAAAABef/kQ=",0)</f>
        <v>#REF!</v>
      </c>
      <c r="BR258" t="e">
        <f>IF(Sheet1!#REF!,"AAAAABef/kU=",0)</f>
        <v>#REF!</v>
      </c>
      <c r="BS258" t="e">
        <f>IF(Sheet1!#REF!,"AAAAABef/kY=",0)</f>
        <v>#REF!</v>
      </c>
      <c r="BT258" t="e">
        <f>IF(Sheet1!#REF!,"AAAAABef/kc=",0)</f>
        <v>#REF!</v>
      </c>
      <c r="BU258" t="e">
        <f>IF(Sheet1!#REF!,"AAAAABef/kg=",0)</f>
        <v>#REF!</v>
      </c>
      <c r="BV258" t="e">
        <f>IF(Sheet1!#REF!,"AAAAABef/kk=",0)</f>
        <v>#REF!</v>
      </c>
      <c r="BW258" t="e">
        <f>IF(Sheet1!#REF!,"AAAAABef/ko=",0)</f>
        <v>#REF!</v>
      </c>
      <c r="BX258" t="e">
        <f>IF(Sheet1!#REF!,"AAAAABef/ks=",0)</f>
        <v>#REF!</v>
      </c>
      <c r="BY258" t="e">
        <f>IF(Sheet1!#REF!,"AAAAABef/kw=",0)</f>
        <v>#REF!</v>
      </c>
      <c r="BZ258" t="e">
        <f>IF(Sheet1!#REF!,"AAAAABef/k0=",0)</f>
        <v>#REF!</v>
      </c>
      <c r="CA258" t="e">
        <f>IF(Sheet1!#REF!,"AAAAABef/k4=",0)</f>
        <v>#REF!</v>
      </c>
      <c r="CB258" t="e">
        <f>IF(Sheet1!#REF!,"AAAAABef/k8=",0)</f>
        <v>#REF!</v>
      </c>
      <c r="CC258" t="e">
        <f>IF(Sheet1!#REF!,"AAAAABef/lA=",0)</f>
        <v>#REF!</v>
      </c>
      <c r="CD258" t="e">
        <f>IF(Sheet1!#REF!,"AAAAABef/lE=",0)</f>
        <v>#REF!</v>
      </c>
      <c r="CE258" t="e">
        <f>IF(Sheet1!#REF!,"AAAAABef/lI=",0)</f>
        <v>#REF!</v>
      </c>
      <c r="CF258" t="e">
        <f>IF(Sheet1!#REF!,"AAAAABef/lM=",0)</f>
        <v>#REF!</v>
      </c>
      <c r="CG258" t="e">
        <f>IF(Sheet1!#REF!,"AAAAABef/lQ=",0)</f>
        <v>#REF!</v>
      </c>
      <c r="CH258" t="e">
        <f>IF(Sheet1!#REF!,"AAAAABef/lU=",0)</f>
        <v>#REF!</v>
      </c>
      <c r="CI258" t="e">
        <f>IF(Sheet1!#REF!,"AAAAABef/lY=",0)</f>
        <v>#REF!</v>
      </c>
      <c r="CJ258" t="e">
        <f>IF(Sheet1!#REF!,"AAAAABef/lc=",0)</f>
        <v>#REF!</v>
      </c>
      <c r="CK258" t="e">
        <f>IF(Sheet1!#REF!,"AAAAABef/lg=",0)</f>
        <v>#REF!</v>
      </c>
      <c r="CL258" t="e">
        <f>IF(Sheet1!#REF!,"AAAAABef/lk=",0)</f>
        <v>#REF!</v>
      </c>
      <c r="CM258" t="e">
        <f>IF(Sheet1!#REF!,"AAAAABef/lo=",0)</f>
        <v>#REF!</v>
      </c>
      <c r="CN258" t="e">
        <f>IF(Sheet1!#REF!,"AAAAABef/ls=",0)</f>
        <v>#REF!</v>
      </c>
      <c r="CO258" t="e">
        <f>IF(Sheet1!#REF!,"AAAAABef/lw=",0)</f>
        <v>#REF!</v>
      </c>
      <c r="CP258" t="e">
        <f>IF(Sheet1!#REF!,"AAAAABef/l0=",0)</f>
        <v>#REF!</v>
      </c>
      <c r="CQ258" t="e">
        <f>IF(Sheet1!#REF!,"AAAAABef/l4=",0)</f>
        <v>#REF!</v>
      </c>
      <c r="CR258" t="e">
        <f>IF(Sheet1!#REF!,"AAAAABef/l8=",0)</f>
        <v>#REF!</v>
      </c>
      <c r="CS258" t="e">
        <f>IF(Sheet1!#REF!,"AAAAABef/mA=",0)</f>
        <v>#REF!</v>
      </c>
      <c r="CT258" t="e">
        <f>IF(Sheet1!#REF!,"AAAAABef/mE=",0)</f>
        <v>#REF!</v>
      </c>
      <c r="CU258" t="e">
        <f>IF(Sheet1!#REF!,"AAAAABef/mI=",0)</f>
        <v>#REF!</v>
      </c>
      <c r="CV258" t="e">
        <f>IF(Sheet1!#REF!,"AAAAABef/mM=",0)</f>
        <v>#REF!</v>
      </c>
      <c r="CW258" t="e">
        <f>IF(Sheet1!#REF!,"AAAAABef/mQ=",0)</f>
        <v>#REF!</v>
      </c>
      <c r="CX258" t="e">
        <f>IF(Sheet1!#REF!,"AAAAABef/mU=",0)</f>
        <v>#REF!</v>
      </c>
      <c r="CY258" t="e">
        <f>IF(Sheet1!#REF!,"AAAAABef/mY=",0)</f>
        <v>#REF!</v>
      </c>
      <c r="CZ258" t="e">
        <f>IF(Sheet1!#REF!,"AAAAABef/mc=",0)</f>
        <v>#REF!</v>
      </c>
      <c r="DA258" t="e">
        <f>IF(Sheet1!#REF!,"AAAAABef/mg=",0)</f>
        <v>#REF!</v>
      </c>
      <c r="DB258" t="e">
        <f>IF(Sheet1!#REF!,"AAAAABef/mk=",0)</f>
        <v>#REF!</v>
      </c>
      <c r="DC258" t="e">
        <f>IF(Sheet1!#REF!,"AAAAABef/mo=",0)</f>
        <v>#REF!</v>
      </c>
      <c r="DD258" t="e">
        <f>IF(Sheet1!#REF!,"AAAAABef/ms=",0)</f>
        <v>#REF!</v>
      </c>
      <c r="DE258" t="e">
        <f>IF(Sheet1!#REF!,"AAAAABef/mw=",0)</f>
        <v>#REF!</v>
      </c>
      <c r="DF258" t="e">
        <f>IF(Sheet1!#REF!,"AAAAABef/m0=",0)</f>
        <v>#REF!</v>
      </c>
      <c r="DG258" t="e">
        <f>IF(Sheet1!#REF!,"AAAAABef/m4=",0)</f>
        <v>#REF!</v>
      </c>
      <c r="DH258" t="e">
        <f>IF(Sheet1!#REF!,"AAAAABef/m8=",0)</f>
        <v>#REF!</v>
      </c>
      <c r="DI258" t="e">
        <f>IF(Sheet1!#REF!,"AAAAABef/nA=",0)</f>
        <v>#REF!</v>
      </c>
      <c r="DJ258" t="e">
        <f>IF(Sheet1!#REF!,"AAAAABef/nE=",0)</f>
        <v>#REF!</v>
      </c>
      <c r="DK258" t="e">
        <f>IF(Sheet1!#REF!,"AAAAABef/nI=",0)</f>
        <v>#REF!</v>
      </c>
      <c r="DL258" t="e">
        <f>IF(Sheet1!#REF!,"AAAAABef/nM=",0)</f>
        <v>#REF!</v>
      </c>
      <c r="DM258" t="e">
        <f>IF(Sheet1!#REF!,"AAAAABef/nQ=",0)</f>
        <v>#REF!</v>
      </c>
      <c r="DN258" t="e">
        <f>IF(Sheet1!#REF!,"AAAAABef/nU=",0)</f>
        <v>#REF!</v>
      </c>
      <c r="DO258" t="e">
        <f>IF(Sheet1!#REF!,"AAAAABef/nY=",0)</f>
        <v>#REF!</v>
      </c>
      <c r="DP258" t="e">
        <f>IF(Sheet1!#REF!,"AAAAABef/nc=",0)</f>
        <v>#REF!</v>
      </c>
      <c r="DQ258" t="e">
        <f>IF(Sheet1!#REF!,"AAAAABef/ng=",0)</f>
        <v>#REF!</v>
      </c>
      <c r="DR258" t="e">
        <f>IF(Sheet1!#REF!,"AAAAABef/nk=",0)</f>
        <v>#REF!</v>
      </c>
      <c r="DS258" t="e">
        <f>IF(Sheet1!#REF!,"AAAAABef/no=",0)</f>
        <v>#REF!</v>
      </c>
      <c r="DT258" t="e">
        <f>IF(Sheet1!#REF!,"AAAAABef/ns=",0)</f>
        <v>#REF!</v>
      </c>
      <c r="DU258" t="e">
        <f>IF(Sheet1!#REF!,"AAAAABef/nw=",0)</f>
        <v>#REF!</v>
      </c>
      <c r="DV258" t="e">
        <f>IF(Sheet1!#REF!,"AAAAABef/n0=",0)</f>
        <v>#REF!</v>
      </c>
      <c r="DW258" t="e">
        <f>IF(Sheet1!#REF!,"AAAAABef/n4=",0)</f>
        <v>#REF!</v>
      </c>
      <c r="DX258" t="e">
        <f>IF(Sheet1!#REF!,"AAAAABef/n8=",0)</f>
        <v>#REF!</v>
      </c>
      <c r="DY258" t="e">
        <f>IF(Sheet1!#REF!,"AAAAABef/oA=",0)</f>
        <v>#REF!</v>
      </c>
      <c r="DZ258" t="e">
        <f>IF(Sheet1!#REF!,"AAAAABef/oE=",0)</f>
        <v>#REF!</v>
      </c>
      <c r="EA258" t="e">
        <f>IF(Sheet1!#REF!,"AAAAABef/oI=",0)</f>
        <v>#REF!</v>
      </c>
      <c r="EB258" t="e">
        <f>IF(Sheet1!#REF!,"AAAAABef/oM=",0)</f>
        <v>#REF!</v>
      </c>
      <c r="EC258" t="e">
        <f>IF(Sheet1!#REF!,"AAAAABef/oQ=",0)</f>
        <v>#REF!</v>
      </c>
      <c r="ED258" t="e">
        <f>IF(Sheet1!#REF!,"AAAAABef/oU=",0)</f>
        <v>#REF!</v>
      </c>
      <c r="EE258" t="e">
        <f>IF(Sheet1!#REF!,"AAAAABef/oY=",0)</f>
        <v>#REF!</v>
      </c>
      <c r="EF258" t="e">
        <f>IF(Sheet1!#REF!,"AAAAABef/oc=",0)</f>
        <v>#REF!</v>
      </c>
      <c r="EG258" t="e">
        <f>IF(Sheet1!#REF!,"AAAAABef/og=",0)</f>
        <v>#REF!</v>
      </c>
      <c r="EH258" t="e">
        <f>IF(Sheet1!#REF!,"AAAAABef/ok=",0)</f>
        <v>#REF!</v>
      </c>
      <c r="EI258" t="e">
        <f>IF(Sheet1!#REF!,"AAAAABef/oo=",0)</f>
        <v>#REF!</v>
      </c>
      <c r="EJ258" t="e">
        <f>IF(Sheet1!#REF!,"AAAAABef/os=",0)</f>
        <v>#REF!</v>
      </c>
      <c r="EK258" t="e">
        <f>IF(Sheet1!#REF!,"AAAAABef/ow=",0)</f>
        <v>#REF!</v>
      </c>
      <c r="EL258" t="e">
        <f>IF(Sheet1!#REF!,"AAAAABef/o0=",0)</f>
        <v>#REF!</v>
      </c>
      <c r="EM258" t="e">
        <f>IF(Sheet1!#REF!,"AAAAABef/o4=",0)</f>
        <v>#REF!</v>
      </c>
      <c r="EN258" t="e">
        <f>IF(Sheet1!#REF!,"AAAAABef/o8=",0)</f>
        <v>#REF!</v>
      </c>
      <c r="EO258" t="e">
        <f>IF(Sheet1!#REF!,"AAAAABef/pA=",0)</f>
        <v>#REF!</v>
      </c>
      <c r="EP258" t="e">
        <f>IF(Sheet1!#REF!,"AAAAABef/pE=",0)</f>
        <v>#REF!</v>
      </c>
      <c r="EQ258" t="e">
        <f>IF(Sheet1!#REF!,"AAAAABef/pI=",0)</f>
        <v>#REF!</v>
      </c>
      <c r="ER258" t="e">
        <f>IF(Sheet1!#REF!,"AAAAABef/pM=",0)</f>
        <v>#REF!</v>
      </c>
      <c r="ES258" t="e">
        <f>IF(Sheet1!#REF!,"AAAAABef/pQ=",0)</f>
        <v>#REF!</v>
      </c>
      <c r="ET258" t="e">
        <f>IF(Sheet1!#REF!,"AAAAABef/pU=",0)</f>
        <v>#REF!</v>
      </c>
      <c r="EU258" t="e">
        <f>IF(Sheet1!#REF!,"AAAAABef/pY=",0)</f>
        <v>#REF!</v>
      </c>
      <c r="EV258" t="e">
        <f>IF(Sheet1!#REF!,"AAAAABef/pc=",0)</f>
        <v>#REF!</v>
      </c>
      <c r="EW258" t="e">
        <f>IF(Sheet1!#REF!,"AAAAABef/pg=",0)</f>
        <v>#REF!</v>
      </c>
      <c r="EX258" t="e">
        <f>IF(Sheet1!#REF!,"AAAAABef/pk=",0)</f>
        <v>#REF!</v>
      </c>
      <c r="EY258" t="e">
        <f>IF(Sheet1!#REF!,"AAAAABef/po=",0)</f>
        <v>#REF!</v>
      </c>
      <c r="EZ258" t="e">
        <f>IF(Sheet1!#REF!,"AAAAABef/ps=",0)</f>
        <v>#REF!</v>
      </c>
      <c r="FA258" t="e">
        <f>IF(Sheet1!#REF!,"AAAAABef/pw=",0)</f>
        <v>#REF!</v>
      </c>
      <c r="FB258" t="e">
        <f>IF(Sheet1!#REF!,"AAAAABef/p0=",0)</f>
        <v>#REF!</v>
      </c>
      <c r="FC258" t="e">
        <f>IF(Sheet1!#REF!,"AAAAABef/p4=",0)</f>
        <v>#REF!</v>
      </c>
      <c r="FD258" t="e">
        <f>IF(Sheet1!#REF!,"AAAAABef/p8=",0)</f>
        <v>#REF!</v>
      </c>
      <c r="FE258" t="e">
        <f>IF(Sheet1!#REF!,"AAAAABef/qA=",0)</f>
        <v>#REF!</v>
      </c>
      <c r="FF258" t="e">
        <f>IF(Sheet1!#REF!,"AAAAABef/qE=",0)</f>
        <v>#REF!</v>
      </c>
      <c r="FG258" t="e">
        <f>IF(Sheet1!#REF!,"AAAAABef/qI=",0)</f>
        <v>#REF!</v>
      </c>
      <c r="FH258" t="e">
        <f>IF(Sheet1!#REF!,"AAAAABef/qM=",0)</f>
        <v>#REF!</v>
      </c>
      <c r="FI258" t="e">
        <f>IF(Sheet1!#REF!,"AAAAABef/qQ=",0)</f>
        <v>#REF!</v>
      </c>
      <c r="FJ258" t="e">
        <f>IF(Sheet1!#REF!,"AAAAABef/qU=",0)</f>
        <v>#REF!</v>
      </c>
      <c r="FK258" t="e">
        <f>IF(Sheet1!#REF!,"AAAAABef/qY=",0)</f>
        <v>#REF!</v>
      </c>
      <c r="FL258" t="e">
        <f>IF(Sheet1!#REF!,"AAAAABef/qc=",0)</f>
        <v>#REF!</v>
      </c>
      <c r="FM258" t="e">
        <f>IF(Sheet1!#REF!,"AAAAABef/qg=",0)</f>
        <v>#REF!</v>
      </c>
      <c r="FN258" t="e">
        <f>IF(Sheet1!#REF!,"AAAAABef/qk=",0)</f>
        <v>#REF!</v>
      </c>
      <c r="FO258" t="e">
        <f>IF(Sheet1!#REF!,"AAAAABef/qo=",0)</f>
        <v>#REF!</v>
      </c>
      <c r="FP258" t="e">
        <f>IF(Sheet1!#REF!,"AAAAABef/qs=",0)</f>
        <v>#REF!</v>
      </c>
      <c r="FQ258" t="e">
        <f>IF(Sheet1!#REF!,"AAAAABef/qw=",0)</f>
        <v>#REF!</v>
      </c>
      <c r="FR258" t="e">
        <f>IF(Sheet1!#REF!,"AAAAABef/q0=",0)</f>
        <v>#REF!</v>
      </c>
      <c r="FS258" t="e">
        <f>IF(Sheet1!#REF!,"AAAAABef/q4=",0)</f>
        <v>#REF!</v>
      </c>
      <c r="FT258" t="e">
        <f>IF(Sheet1!#REF!,"AAAAABef/q8=",0)</f>
        <v>#REF!</v>
      </c>
      <c r="FU258" t="e">
        <f>IF(Sheet1!#REF!,"AAAAABef/rA=",0)</f>
        <v>#REF!</v>
      </c>
      <c r="FV258" t="e">
        <f>IF(Sheet1!#REF!,"AAAAABef/rE=",0)</f>
        <v>#REF!</v>
      </c>
      <c r="FW258" t="e">
        <f>IF(Sheet1!#REF!,"AAAAABef/rI=",0)</f>
        <v>#REF!</v>
      </c>
      <c r="FX258" t="e">
        <f>IF(Sheet1!#REF!,"AAAAABef/rM=",0)</f>
        <v>#REF!</v>
      </c>
      <c r="FY258" t="e">
        <f>IF(Sheet1!#REF!,"AAAAABef/rQ=",0)</f>
        <v>#REF!</v>
      </c>
      <c r="FZ258" t="e">
        <f>IF(Sheet1!#REF!,"AAAAABef/rU=",0)</f>
        <v>#REF!</v>
      </c>
      <c r="GA258" t="e">
        <f>IF(Sheet1!#REF!,"AAAAABef/rY=",0)</f>
        <v>#REF!</v>
      </c>
      <c r="GB258" t="e">
        <f>IF(Sheet1!#REF!,"AAAAABef/rc=",0)</f>
        <v>#REF!</v>
      </c>
      <c r="GC258" t="e">
        <f>IF(Sheet1!#REF!,"AAAAABef/rg=",0)</f>
        <v>#REF!</v>
      </c>
      <c r="GD258" t="e">
        <f>IF(Sheet1!#REF!,"AAAAABef/rk=",0)</f>
        <v>#REF!</v>
      </c>
      <c r="GE258" t="e">
        <f>IF(Sheet1!#REF!,"AAAAABef/ro=",0)</f>
        <v>#REF!</v>
      </c>
      <c r="GF258" t="e">
        <f>IF(Sheet1!#REF!,"AAAAABef/rs=",0)</f>
        <v>#REF!</v>
      </c>
      <c r="GG258" t="e">
        <f>IF(Sheet1!#REF!,"AAAAABef/rw=",0)</f>
        <v>#REF!</v>
      </c>
      <c r="GH258" t="e">
        <f>IF(Sheet1!#REF!,"AAAAABef/r0=",0)</f>
        <v>#REF!</v>
      </c>
      <c r="GI258" t="e">
        <f>IF(Sheet1!#REF!,"AAAAABef/r4=",0)</f>
        <v>#REF!</v>
      </c>
      <c r="GJ258" t="e">
        <f>IF(Sheet1!#REF!,"AAAAABef/r8=",0)</f>
        <v>#REF!</v>
      </c>
      <c r="GK258" t="e">
        <f>IF(Sheet1!#REF!,"AAAAABef/sA=",0)</f>
        <v>#REF!</v>
      </c>
      <c r="GL258" t="e">
        <f>IF(Sheet1!#REF!,"AAAAABef/sE=",0)</f>
        <v>#REF!</v>
      </c>
      <c r="GM258" t="e">
        <f>IF(Sheet1!#REF!,"AAAAABef/sI=",0)</f>
        <v>#REF!</v>
      </c>
      <c r="GN258" t="e">
        <f>IF(Sheet1!#REF!,"AAAAABef/sM=",0)</f>
        <v>#REF!</v>
      </c>
      <c r="GO258" t="e">
        <f>IF(Sheet1!#REF!,"AAAAABef/sQ=",0)</f>
        <v>#REF!</v>
      </c>
      <c r="GP258" t="e">
        <f>IF(Sheet1!#REF!,"AAAAABef/sU=",0)</f>
        <v>#REF!</v>
      </c>
      <c r="GQ258" t="e">
        <f>IF(Sheet1!#REF!,"AAAAABef/sY=",0)</f>
        <v>#REF!</v>
      </c>
      <c r="GR258" t="e">
        <f>IF(Sheet1!#REF!,"AAAAABef/sc=",0)</f>
        <v>#REF!</v>
      </c>
      <c r="GS258" t="e">
        <f>IF(Sheet1!#REF!,"AAAAABef/sg=",0)</f>
        <v>#REF!</v>
      </c>
      <c r="GT258" t="e">
        <f>IF(Sheet1!#REF!,"AAAAABef/sk=",0)</f>
        <v>#REF!</v>
      </c>
      <c r="GU258" t="e">
        <f>IF(Sheet1!#REF!,"AAAAABef/so=",0)</f>
        <v>#REF!</v>
      </c>
      <c r="GV258" t="e">
        <f>IF(Sheet1!#REF!,"AAAAABef/ss=",0)</f>
        <v>#REF!</v>
      </c>
      <c r="GW258" t="e">
        <f>IF(Sheet1!#REF!,"AAAAABef/sw=",0)</f>
        <v>#REF!</v>
      </c>
      <c r="GX258" t="e">
        <f>IF(Sheet1!#REF!,"AAAAABef/s0=",0)</f>
        <v>#REF!</v>
      </c>
      <c r="GY258" t="e">
        <f>IF(Sheet1!#REF!,"AAAAABef/s4=",0)</f>
        <v>#REF!</v>
      </c>
      <c r="GZ258" t="e">
        <f>IF(Sheet1!#REF!,"AAAAABef/s8=",0)</f>
        <v>#REF!</v>
      </c>
      <c r="HA258" t="e">
        <f>IF(Sheet1!#REF!,"AAAAABef/tA=",0)</f>
        <v>#REF!</v>
      </c>
      <c r="HB258" t="e">
        <f>IF(Sheet1!#REF!,"AAAAABef/tE=",0)</f>
        <v>#REF!</v>
      </c>
      <c r="HC258" t="e">
        <f>IF(Sheet1!#REF!,"AAAAABef/tI=",0)</f>
        <v>#REF!</v>
      </c>
      <c r="HD258" t="e">
        <f>IF(Sheet1!#REF!,"AAAAABef/tM=",0)</f>
        <v>#REF!</v>
      </c>
      <c r="HE258" t="e">
        <f>IF(Sheet1!#REF!,"AAAAABef/tQ=",0)</f>
        <v>#REF!</v>
      </c>
      <c r="HF258" t="e">
        <f>IF(Sheet1!#REF!,"AAAAABef/tU=",0)</f>
        <v>#REF!</v>
      </c>
      <c r="HG258" t="e">
        <f>IF(Sheet1!#REF!,"AAAAABef/tY=",0)</f>
        <v>#REF!</v>
      </c>
      <c r="HH258" t="e">
        <f>IF(Sheet1!#REF!,"AAAAABef/tc=",0)</f>
        <v>#REF!</v>
      </c>
      <c r="HI258" t="e">
        <f>IF(Sheet1!#REF!,"AAAAABef/tg=",0)</f>
        <v>#REF!</v>
      </c>
      <c r="HJ258" t="e">
        <f>IF(Sheet1!#REF!,"AAAAABef/tk=",0)</f>
        <v>#REF!</v>
      </c>
      <c r="HK258" t="e">
        <f>IF(Sheet1!#REF!,"AAAAABef/to=",0)</f>
        <v>#REF!</v>
      </c>
      <c r="HL258" t="e">
        <f>IF(Sheet1!#REF!,"AAAAABef/ts=",0)</f>
        <v>#REF!</v>
      </c>
      <c r="HM258" t="e">
        <f>IF(Sheet1!#REF!,"AAAAABef/tw=",0)</f>
        <v>#REF!</v>
      </c>
      <c r="HN258" t="e">
        <f>IF(Sheet1!#REF!,"AAAAABef/t0=",0)</f>
        <v>#REF!</v>
      </c>
      <c r="HO258" t="e">
        <f>IF(Sheet1!#REF!,"AAAAABef/t4=",0)</f>
        <v>#REF!</v>
      </c>
      <c r="HP258" t="e">
        <f>IF(Sheet1!#REF!,"AAAAABef/t8=",0)</f>
        <v>#REF!</v>
      </c>
      <c r="HQ258" t="e">
        <f>IF(Sheet1!#REF!,"AAAAABef/uA=",0)</f>
        <v>#REF!</v>
      </c>
      <c r="HR258" t="e">
        <f>IF(Sheet1!#REF!,"AAAAABef/uE=",0)</f>
        <v>#REF!</v>
      </c>
      <c r="HS258" t="e">
        <f>IF(Sheet1!#REF!,"AAAAABef/uI=",0)</f>
        <v>#REF!</v>
      </c>
      <c r="HT258" t="e">
        <f>IF(Sheet1!#REF!,"AAAAABef/uM=",0)</f>
        <v>#REF!</v>
      </c>
      <c r="HU258" t="e">
        <f>IF(Sheet1!#REF!,"AAAAABef/uQ=",0)</f>
        <v>#REF!</v>
      </c>
      <c r="HV258" t="e">
        <f>IF(Sheet1!#REF!,"AAAAABef/uU=",0)</f>
        <v>#REF!</v>
      </c>
      <c r="HW258" t="e">
        <f>IF(Sheet1!#REF!,"AAAAABef/uY=",0)</f>
        <v>#REF!</v>
      </c>
      <c r="HX258" t="e">
        <f>IF(Sheet1!#REF!,"AAAAABef/uc=",0)</f>
        <v>#REF!</v>
      </c>
      <c r="HY258" t="e">
        <f>IF(Sheet1!#REF!,"AAAAABef/ug=",0)</f>
        <v>#REF!</v>
      </c>
      <c r="HZ258" t="e">
        <f>IF(Sheet1!#REF!,"AAAAABef/uk=",0)</f>
        <v>#REF!</v>
      </c>
      <c r="IA258" t="e">
        <f>IF(Sheet1!#REF!,"AAAAABef/uo=",0)</f>
        <v>#REF!</v>
      </c>
      <c r="IB258" t="e">
        <f>IF(Sheet1!#REF!,"AAAAABef/us=",0)</f>
        <v>#REF!</v>
      </c>
      <c r="IC258" t="e">
        <f>IF(Sheet1!#REF!,"AAAAABef/uw=",0)</f>
        <v>#REF!</v>
      </c>
      <c r="ID258" t="e">
        <f>IF(Sheet1!#REF!,"AAAAABef/u0=",0)</f>
        <v>#REF!</v>
      </c>
      <c r="IE258" t="e">
        <f>IF(Sheet1!#REF!,"AAAAABef/u4=",0)</f>
        <v>#REF!</v>
      </c>
      <c r="IF258" t="e">
        <f>IF(Sheet1!#REF!,"AAAAABef/u8=",0)</f>
        <v>#REF!</v>
      </c>
      <c r="IG258" t="e">
        <f>IF(Sheet1!#REF!,"AAAAABef/vA=",0)</f>
        <v>#REF!</v>
      </c>
      <c r="IH258" t="e">
        <f>IF(Sheet1!#REF!,"AAAAABef/vE=",0)</f>
        <v>#REF!</v>
      </c>
      <c r="II258" t="e">
        <f>IF(Sheet1!#REF!,"AAAAABef/vI=",0)</f>
        <v>#REF!</v>
      </c>
      <c r="IJ258" t="e">
        <f>IF(Sheet1!#REF!,"AAAAABef/vM=",0)</f>
        <v>#REF!</v>
      </c>
      <c r="IK258" t="e">
        <f>IF(Sheet1!#REF!,"AAAAABef/vQ=",0)</f>
        <v>#REF!</v>
      </c>
      <c r="IL258" t="e">
        <f>IF(Sheet1!#REF!,"AAAAABef/vU=",0)</f>
        <v>#REF!</v>
      </c>
      <c r="IM258" t="e">
        <f>IF(Sheet1!#REF!,"AAAAABef/vY=",0)</f>
        <v>#REF!</v>
      </c>
      <c r="IN258" t="e">
        <f>IF(Sheet1!#REF!,"AAAAABef/vc=",0)</f>
        <v>#REF!</v>
      </c>
      <c r="IO258" t="e">
        <f>IF(Sheet1!#REF!,"AAAAABef/vg=",0)</f>
        <v>#REF!</v>
      </c>
      <c r="IP258" t="e">
        <f>IF(Sheet1!#REF!,"AAAAABef/vk=",0)</f>
        <v>#REF!</v>
      </c>
      <c r="IQ258" t="e">
        <f>IF(Sheet1!#REF!,"AAAAABef/vo=",0)</f>
        <v>#REF!</v>
      </c>
      <c r="IR258" t="e">
        <f>IF(Sheet1!#REF!,"AAAAABef/vs=",0)</f>
        <v>#REF!</v>
      </c>
      <c r="IS258" t="e">
        <f>IF(Sheet1!#REF!,"AAAAABef/vw=",0)</f>
        <v>#REF!</v>
      </c>
      <c r="IT258" t="e">
        <f>IF(Sheet1!#REF!,"AAAAABef/v0=",0)</f>
        <v>#REF!</v>
      </c>
      <c r="IU258" t="e">
        <f>IF(Sheet1!#REF!,"AAAAABef/v4=",0)</f>
        <v>#REF!</v>
      </c>
      <c r="IV258" t="e">
        <f>IF(Sheet1!#REF!,"AAAAABef/v8=",0)</f>
        <v>#REF!</v>
      </c>
    </row>
    <row r="259" spans="1:256" x14ac:dyDescent="0.2">
      <c r="A259" t="e">
        <f>IF(Sheet1!#REF!,"AAAAAH9+fwA=",0)</f>
        <v>#REF!</v>
      </c>
      <c r="B259" t="e">
        <f>IF(Sheet1!#REF!,"AAAAAH9+fwE=",0)</f>
        <v>#REF!</v>
      </c>
      <c r="C259" t="e">
        <f>IF(Sheet1!#REF!,"AAAAAH9+fwI=",0)</f>
        <v>#REF!</v>
      </c>
      <c r="D259" t="e">
        <f>IF(Sheet1!#REF!,"AAAAAH9+fwM=",0)</f>
        <v>#REF!</v>
      </c>
      <c r="E259" t="e">
        <f>IF(Sheet1!#REF!,"AAAAAH9+fwQ=",0)</f>
        <v>#REF!</v>
      </c>
      <c r="F259" t="e">
        <f>IF(Sheet1!#REF!,"AAAAAH9+fwU=",0)</f>
        <v>#REF!</v>
      </c>
      <c r="G259" t="e">
        <f>IF(Sheet1!#REF!,"AAAAAH9+fwY=",0)</f>
        <v>#REF!</v>
      </c>
      <c r="H259" t="e">
        <f>IF(Sheet1!#REF!,"AAAAAH9+fwc=",0)</f>
        <v>#REF!</v>
      </c>
      <c r="I259" t="e">
        <f>IF(Sheet1!#REF!,"AAAAAH9+fwg=",0)</f>
        <v>#REF!</v>
      </c>
      <c r="J259" t="e">
        <f>IF(Sheet1!#REF!,"AAAAAH9+fwk=",0)</f>
        <v>#REF!</v>
      </c>
      <c r="K259" t="e">
        <f>IF(Sheet1!#REF!,"AAAAAH9+fwo=",0)</f>
        <v>#REF!</v>
      </c>
      <c r="L259" t="e">
        <f>IF(Sheet1!#REF!,"AAAAAH9+fws=",0)</f>
        <v>#REF!</v>
      </c>
      <c r="M259" t="e">
        <f>IF(Sheet1!#REF!,"AAAAAH9+fww=",0)</f>
        <v>#REF!</v>
      </c>
      <c r="N259" t="e">
        <f>IF(Sheet1!#REF!,"AAAAAH9+fw0=",0)</f>
        <v>#REF!</v>
      </c>
      <c r="O259" t="e">
        <f>IF(Sheet1!#REF!,"AAAAAH9+fw4=",0)</f>
        <v>#REF!</v>
      </c>
      <c r="P259" t="e">
        <f>IF(Sheet1!#REF!,"AAAAAH9+fw8=",0)</f>
        <v>#REF!</v>
      </c>
      <c r="Q259" t="e">
        <f>IF(Sheet1!#REF!,"AAAAAH9+fxA=",0)</f>
        <v>#REF!</v>
      </c>
      <c r="R259" t="e">
        <f>IF(Sheet1!#REF!,"AAAAAH9+fxE=",0)</f>
        <v>#REF!</v>
      </c>
      <c r="S259" t="e">
        <f>IF(Sheet1!#REF!,"AAAAAH9+fxI=",0)</f>
        <v>#REF!</v>
      </c>
      <c r="T259" t="e">
        <f>IF(Sheet1!#REF!,"AAAAAH9+fxM=",0)</f>
        <v>#REF!</v>
      </c>
      <c r="U259" t="e">
        <f>IF(Sheet1!#REF!,"AAAAAH9+fxQ=",0)</f>
        <v>#REF!</v>
      </c>
      <c r="V259" t="e">
        <f>IF(Sheet1!#REF!,"AAAAAH9+fxU=",0)</f>
        <v>#REF!</v>
      </c>
      <c r="W259" t="e">
        <f>IF(Sheet1!#REF!,"AAAAAH9+fxY=",0)</f>
        <v>#REF!</v>
      </c>
      <c r="X259" t="e">
        <f>IF(Sheet1!#REF!,"AAAAAH9+fxc=",0)</f>
        <v>#REF!</v>
      </c>
      <c r="Y259" t="e">
        <f>IF(Sheet1!#REF!,"AAAAAH9+fxg=",0)</f>
        <v>#REF!</v>
      </c>
      <c r="Z259" t="e">
        <f>IF(Sheet1!#REF!,"AAAAAH9+fxk=",0)</f>
        <v>#REF!</v>
      </c>
      <c r="AA259" t="e">
        <f>IF(Sheet1!#REF!,"AAAAAH9+fxo=",0)</f>
        <v>#REF!</v>
      </c>
      <c r="AB259" t="e">
        <f>IF(Sheet1!#REF!,"AAAAAH9+fxs=",0)</f>
        <v>#REF!</v>
      </c>
      <c r="AC259" t="e">
        <f>IF(Sheet1!#REF!,"AAAAAH9+fxw=",0)</f>
        <v>#REF!</v>
      </c>
      <c r="AD259" t="e">
        <f>IF(Sheet1!#REF!,"AAAAAH9+fx0=",0)</f>
        <v>#REF!</v>
      </c>
      <c r="AE259" t="e">
        <f>IF(Sheet1!#REF!,"AAAAAH9+fx4=",0)</f>
        <v>#REF!</v>
      </c>
      <c r="AF259" t="e">
        <f>IF(Sheet1!#REF!,"AAAAAH9+fx8=",0)</f>
        <v>#REF!</v>
      </c>
      <c r="AG259" t="e">
        <f>IF(Sheet1!#REF!,"AAAAAH9+fyA=",0)</f>
        <v>#REF!</v>
      </c>
      <c r="AH259" t="e">
        <f>IF(Sheet1!#REF!,"AAAAAH9+fyE=",0)</f>
        <v>#REF!</v>
      </c>
      <c r="AI259" t="e">
        <f>IF(Sheet1!#REF!,"AAAAAH9+fyI=",0)</f>
        <v>#REF!</v>
      </c>
      <c r="AJ259" t="e">
        <f>IF(Sheet1!#REF!,"AAAAAH9+fyM=",0)</f>
        <v>#REF!</v>
      </c>
      <c r="AK259" t="e">
        <f>IF(Sheet1!#REF!,"AAAAAH9+fyQ=",0)</f>
        <v>#REF!</v>
      </c>
      <c r="AL259" t="e">
        <f>IF(Sheet1!#REF!,"AAAAAH9+fyU=",0)</f>
        <v>#REF!</v>
      </c>
      <c r="AM259" t="e">
        <f>IF(Sheet1!#REF!,"AAAAAH9+fyY=",0)</f>
        <v>#REF!</v>
      </c>
      <c r="AN259" t="e">
        <f>IF(Sheet1!#REF!,"AAAAAH9+fyc=",0)</f>
        <v>#REF!</v>
      </c>
      <c r="AO259" t="e">
        <f>IF(Sheet1!#REF!,"AAAAAH9+fyg=",0)</f>
        <v>#REF!</v>
      </c>
      <c r="AP259" t="e">
        <f>IF(Sheet1!#REF!,"AAAAAH9+fyk=",0)</f>
        <v>#REF!</v>
      </c>
      <c r="AQ259" t="e">
        <f>IF(Sheet1!#REF!,"AAAAAH9+fyo=",0)</f>
        <v>#REF!</v>
      </c>
      <c r="AR259" t="e">
        <f>IF(Sheet1!#REF!,"AAAAAH9+fys=",0)</f>
        <v>#REF!</v>
      </c>
      <c r="AS259" t="e">
        <f>IF(Sheet1!#REF!,"AAAAAH9+fyw=",0)</f>
        <v>#REF!</v>
      </c>
      <c r="AT259" t="e">
        <f>IF(Sheet1!#REF!,"AAAAAH9+fy0=",0)</f>
        <v>#REF!</v>
      </c>
      <c r="AU259" t="e">
        <f>IF(Sheet1!#REF!,"AAAAAH9+fy4=",0)</f>
        <v>#REF!</v>
      </c>
      <c r="AV259" t="e">
        <f>IF(Sheet1!#REF!,"AAAAAH9+fy8=",0)</f>
        <v>#REF!</v>
      </c>
      <c r="AW259" t="e">
        <f>IF(Sheet1!#REF!,"AAAAAH9+fzA=",0)</f>
        <v>#REF!</v>
      </c>
      <c r="AX259" t="e">
        <f>IF(Sheet1!#REF!,"AAAAAH9+fzE=",0)</f>
        <v>#REF!</v>
      </c>
      <c r="AY259" t="e">
        <f>IF(Sheet1!#REF!,"AAAAAH9+fzI=",0)</f>
        <v>#REF!</v>
      </c>
      <c r="AZ259" t="e">
        <f>IF(Sheet1!#REF!,"AAAAAH9+fzM=",0)</f>
        <v>#REF!</v>
      </c>
      <c r="BA259" t="e">
        <f>IF(Sheet1!#REF!,"AAAAAH9+fzQ=",0)</f>
        <v>#REF!</v>
      </c>
      <c r="BB259" t="e">
        <f>IF(Sheet1!#REF!,"AAAAAH9+fzU=",0)</f>
        <v>#REF!</v>
      </c>
      <c r="BC259" t="e">
        <f>IF(Sheet1!#REF!,"AAAAAH9+fzY=",0)</f>
        <v>#REF!</v>
      </c>
      <c r="BD259" t="e">
        <f>IF(Sheet1!#REF!,"AAAAAH9+fzc=",0)</f>
        <v>#REF!</v>
      </c>
      <c r="BE259" t="e">
        <f>IF(Sheet1!#REF!,"AAAAAH9+fzg=",0)</f>
        <v>#REF!</v>
      </c>
      <c r="BF259" t="e">
        <f>IF(Sheet1!#REF!,"AAAAAH9+fzk=",0)</f>
        <v>#REF!</v>
      </c>
      <c r="BG259" t="e">
        <f>IF(Sheet1!#REF!,"AAAAAH9+fzo=",0)</f>
        <v>#REF!</v>
      </c>
      <c r="BH259" t="e">
        <f>IF(Sheet1!#REF!,"AAAAAH9+fzs=",0)</f>
        <v>#REF!</v>
      </c>
      <c r="BI259" t="e">
        <f>IF(Sheet1!#REF!,"AAAAAH9+fzw=",0)</f>
        <v>#REF!</v>
      </c>
      <c r="BJ259" t="e">
        <f>IF(Sheet1!#REF!,"AAAAAH9+fz0=",0)</f>
        <v>#REF!</v>
      </c>
      <c r="BK259" t="e">
        <f>IF(Sheet1!#REF!,"AAAAAH9+fz4=",0)</f>
        <v>#REF!</v>
      </c>
      <c r="BL259" t="e">
        <f>IF(Sheet1!#REF!,"AAAAAH9+fz8=",0)</f>
        <v>#REF!</v>
      </c>
      <c r="BM259" t="e">
        <f>IF(Sheet1!#REF!,"AAAAAH9+f0A=",0)</f>
        <v>#REF!</v>
      </c>
      <c r="BN259" t="e">
        <f>IF(Sheet1!#REF!,"AAAAAH9+f0E=",0)</f>
        <v>#REF!</v>
      </c>
      <c r="BO259" t="e">
        <f>IF(Sheet1!#REF!,"AAAAAH9+f0I=",0)</f>
        <v>#REF!</v>
      </c>
      <c r="BP259" t="e">
        <f>IF(Sheet1!#REF!,"AAAAAH9+f0M=",0)</f>
        <v>#REF!</v>
      </c>
      <c r="BQ259" t="e">
        <f>IF(Sheet1!#REF!,"AAAAAH9+f0Q=",0)</f>
        <v>#REF!</v>
      </c>
      <c r="BR259" t="e">
        <f>IF(Sheet1!#REF!,"AAAAAH9+f0U=",0)</f>
        <v>#REF!</v>
      </c>
      <c r="BS259" t="e">
        <f>IF(Sheet1!#REF!,"AAAAAH9+f0Y=",0)</f>
        <v>#REF!</v>
      </c>
      <c r="BT259" t="e">
        <f>IF(Sheet1!#REF!,"AAAAAH9+f0c=",0)</f>
        <v>#REF!</v>
      </c>
      <c r="BU259" t="e">
        <f>IF(Sheet1!#REF!,"AAAAAH9+f0g=",0)</f>
        <v>#REF!</v>
      </c>
      <c r="BV259" t="e">
        <f>IF(Sheet1!#REF!,"AAAAAH9+f0k=",0)</f>
        <v>#REF!</v>
      </c>
      <c r="BW259" t="e">
        <f>IF(Sheet1!#REF!,"AAAAAH9+f0o=",0)</f>
        <v>#REF!</v>
      </c>
      <c r="BX259" t="e">
        <f>IF(Sheet1!#REF!,"AAAAAH9+f0s=",0)</f>
        <v>#REF!</v>
      </c>
      <c r="BY259" t="e">
        <f>IF(Sheet1!#REF!,"AAAAAH9+f0w=",0)</f>
        <v>#REF!</v>
      </c>
      <c r="BZ259" t="e">
        <f>IF(Sheet1!#REF!,"AAAAAH9+f00=",0)</f>
        <v>#REF!</v>
      </c>
      <c r="CA259" t="e">
        <f>IF(Sheet1!#REF!,"AAAAAH9+f04=",0)</f>
        <v>#REF!</v>
      </c>
      <c r="CB259" t="e">
        <f>IF(Sheet1!#REF!,"AAAAAH9+f08=",0)</f>
        <v>#REF!</v>
      </c>
      <c r="CC259" t="e">
        <f>IF(Sheet1!#REF!,"AAAAAH9+f1A=",0)</f>
        <v>#REF!</v>
      </c>
      <c r="CD259" t="e">
        <f>IF(Sheet1!#REF!,"AAAAAH9+f1E=",0)</f>
        <v>#REF!</v>
      </c>
      <c r="CE259" t="e">
        <f>IF(Sheet1!#REF!,"AAAAAH9+f1I=",0)</f>
        <v>#REF!</v>
      </c>
      <c r="CF259" t="e">
        <f>IF(Sheet1!#REF!,"AAAAAH9+f1M=",0)</f>
        <v>#REF!</v>
      </c>
      <c r="CG259" t="e">
        <f>IF(Sheet1!#REF!,"AAAAAH9+f1Q=",0)</f>
        <v>#REF!</v>
      </c>
      <c r="CH259" t="e">
        <f>IF(Sheet1!#REF!,"AAAAAH9+f1U=",0)</f>
        <v>#REF!</v>
      </c>
      <c r="CI259" t="e">
        <f>IF(Sheet1!#REF!,"AAAAAH9+f1Y=",0)</f>
        <v>#REF!</v>
      </c>
      <c r="CJ259" t="e">
        <f>IF(Sheet1!#REF!,"AAAAAH9+f1c=",0)</f>
        <v>#REF!</v>
      </c>
      <c r="CK259" t="e">
        <f>IF(Sheet1!#REF!,"AAAAAH9+f1g=",0)</f>
        <v>#REF!</v>
      </c>
      <c r="CL259" t="e">
        <f>IF(Sheet1!#REF!,"AAAAAH9+f1k=",0)</f>
        <v>#REF!</v>
      </c>
      <c r="CM259" t="e">
        <f>IF(Sheet1!#REF!,"AAAAAH9+f1o=",0)</f>
        <v>#REF!</v>
      </c>
      <c r="CN259" t="e">
        <f>IF(Sheet1!#REF!,"AAAAAH9+f1s=",0)</f>
        <v>#REF!</v>
      </c>
      <c r="CO259" t="e">
        <f>IF(Sheet1!#REF!,"AAAAAH9+f1w=",0)</f>
        <v>#REF!</v>
      </c>
      <c r="CP259" t="e">
        <f>IF(Sheet1!#REF!,"AAAAAH9+f10=",0)</f>
        <v>#REF!</v>
      </c>
      <c r="CQ259" t="e">
        <f>IF(Sheet1!#REF!,"AAAAAH9+f14=",0)</f>
        <v>#REF!</v>
      </c>
      <c r="CR259" t="e">
        <f>IF(Sheet1!#REF!,"AAAAAH9+f18=",0)</f>
        <v>#REF!</v>
      </c>
      <c r="CS259" t="e">
        <f>IF(Sheet1!#REF!,"AAAAAH9+f2A=",0)</f>
        <v>#REF!</v>
      </c>
      <c r="CT259" t="e">
        <f>IF(Sheet1!#REF!,"AAAAAH9+f2E=",0)</f>
        <v>#REF!</v>
      </c>
      <c r="CU259" t="e">
        <f>IF(Sheet1!#REF!,"AAAAAH9+f2I=",0)</f>
        <v>#REF!</v>
      </c>
      <c r="CV259" t="e">
        <f>IF(Sheet1!#REF!,"AAAAAH9+f2M=",0)</f>
        <v>#REF!</v>
      </c>
      <c r="CW259" t="e">
        <f>IF(Sheet1!#REF!,"AAAAAH9+f2Q=",0)</f>
        <v>#REF!</v>
      </c>
      <c r="CX259" t="e">
        <f>IF(Sheet1!#REF!,"AAAAAH9+f2U=",0)</f>
        <v>#REF!</v>
      </c>
      <c r="CY259" t="e">
        <f>IF(Sheet1!#REF!,"AAAAAH9+f2Y=",0)</f>
        <v>#REF!</v>
      </c>
      <c r="CZ259" t="e">
        <f>IF(Sheet1!#REF!,"AAAAAH9+f2c=",0)</f>
        <v>#REF!</v>
      </c>
      <c r="DA259" t="e">
        <f>IF(Sheet1!#REF!,"AAAAAH9+f2g=",0)</f>
        <v>#REF!</v>
      </c>
      <c r="DB259" t="e">
        <f>IF(Sheet1!#REF!,"AAAAAH9+f2k=",0)</f>
        <v>#REF!</v>
      </c>
      <c r="DC259" t="e">
        <f>IF(Sheet1!#REF!,"AAAAAH9+f2o=",0)</f>
        <v>#REF!</v>
      </c>
      <c r="DD259" t="e">
        <f>IF(Sheet1!#REF!,"AAAAAH9+f2s=",0)</f>
        <v>#REF!</v>
      </c>
      <c r="DE259" t="e">
        <f>IF(Sheet1!#REF!,"AAAAAH9+f2w=",0)</f>
        <v>#REF!</v>
      </c>
      <c r="DF259" t="e">
        <f>IF(Sheet1!#REF!,"AAAAAH9+f20=",0)</f>
        <v>#REF!</v>
      </c>
      <c r="DG259" t="e">
        <f>IF(Sheet1!#REF!,"AAAAAH9+f24=",0)</f>
        <v>#REF!</v>
      </c>
      <c r="DH259" t="e">
        <f>IF(Sheet1!#REF!,"AAAAAH9+f28=",0)</f>
        <v>#REF!</v>
      </c>
      <c r="DI259" t="e">
        <f>IF(Sheet1!#REF!,"AAAAAH9+f3A=",0)</f>
        <v>#REF!</v>
      </c>
      <c r="DJ259" t="e">
        <f>IF(Sheet1!#REF!,"AAAAAH9+f3E=",0)</f>
        <v>#REF!</v>
      </c>
      <c r="DK259" t="e">
        <f>IF(Sheet1!#REF!,"AAAAAH9+f3I=",0)</f>
        <v>#REF!</v>
      </c>
      <c r="DL259" t="e">
        <f>IF(Sheet1!#REF!,"AAAAAH9+f3M=",0)</f>
        <v>#REF!</v>
      </c>
      <c r="DM259" t="e">
        <f>IF(Sheet1!#REF!,"AAAAAH9+f3Q=",0)</f>
        <v>#REF!</v>
      </c>
      <c r="DN259" t="e">
        <f>IF(Sheet1!#REF!,"AAAAAH9+f3U=",0)</f>
        <v>#REF!</v>
      </c>
      <c r="DO259" t="e">
        <f>IF(Sheet1!#REF!,"AAAAAH9+f3Y=",0)</f>
        <v>#REF!</v>
      </c>
      <c r="DP259" t="e">
        <f>IF(Sheet1!#REF!,"AAAAAH9+f3c=",0)</f>
        <v>#REF!</v>
      </c>
      <c r="DQ259" t="e">
        <f>IF(Sheet1!#REF!,"AAAAAH9+f3g=",0)</f>
        <v>#REF!</v>
      </c>
      <c r="DR259" t="e">
        <f>IF(Sheet1!#REF!,"AAAAAH9+f3k=",0)</f>
        <v>#REF!</v>
      </c>
      <c r="DS259" t="e">
        <f>IF(Sheet1!#REF!,"AAAAAH9+f3o=",0)</f>
        <v>#REF!</v>
      </c>
      <c r="DT259" t="e">
        <f>IF(Sheet1!#REF!,"AAAAAH9+f3s=",0)</f>
        <v>#REF!</v>
      </c>
      <c r="DU259" t="e">
        <f>IF(Sheet1!#REF!,"AAAAAH9+f3w=",0)</f>
        <v>#REF!</v>
      </c>
      <c r="DV259" t="e">
        <f>IF(Sheet1!#REF!,"AAAAAH9+f30=",0)</f>
        <v>#REF!</v>
      </c>
      <c r="DW259" t="e">
        <f>IF(Sheet1!#REF!,"AAAAAH9+f34=",0)</f>
        <v>#REF!</v>
      </c>
      <c r="DX259" t="e">
        <f>IF(Sheet1!#REF!,"AAAAAH9+f38=",0)</f>
        <v>#REF!</v>
      </c>
      <c r="DY259" t="e">
        <f>IF(Sheet1!#REF!,"AAAAAH9+f4A=",0)</f>
        <v>#REF!</v>
      </c>
      <c r="DZ259" t="e">
        <f>IF(Sheet1!#REF!,"AAAAAH9+f4E=",0)</f>
        <v>#REF!</v>
      </c>
      <c r="EA259" t="e">
        <f>IF(Sheet1!#REF!,"AAAAAH9+f4I=",0)</f>
        <v>#REF!</v>
      </c>
      <c r="EB259" t="e">
        <f>IF(Sheet1!#REF!,"AAAAAH9+f4M=",0)</f>
        <v>#REF!</v>
      </c>
      <c r="EC259" t="e">
        <f>IF(Sheet1!#REF!,"AAAAAH9+f4Q=",0)</f>
        <v>#REF!</v>
      </c>
      <c r="ED259" t="e">
        <f>IF(Sheet1!#REF!,"AAAAAH9+f4U=",0)</f>
        <v>#REF!</v>
      </c>
      <c r="EE259" t="e">
        <f>IF(Sheet1!#REF!,"AAAAAH9+f4Y=",0)</f>
        <v>#REF!</v>
      </c>
      <c r="EF259" t="e">
        <f>IF(Sheet1!#REF!,"AAAAAH9+f4c=",0)</f>
        <v>#REF!</v>
      </c>
      <c r="EG259" t="e">
        <f>IF(Sheet1!#REF!,"AAAAAH9+f4g=",0)</f>
        <v>#REF!</v>
      </c>
      <c r="EH259" t="e">
        <f>IF(Sheet1!#REF!,"AAAAAH9+f4k=",0)</f>
        <v>#REF!</v>
      </c>
      <c r="EI259" t="e">
        <f>IF(Sheet1!#REF!,"AAAAAH9+f4o=",0)</f>
        <v>#REF!</v>
      </c>
      <c r="EJ259" t="e">
        <f>IF(Sheet1!#REF!,"AAAAAH9+f4s=",0)</f>
        <v>#REF!</v>
      </c>
      <c r="EK259" t="e">
        <f>IF(Sheet1!#REF!,"AAAAAH9+f4w=",0)</f>
        <v>#REF!</v>
      </c>
      <c r="EL259" t="e">
        <f>IF(Sheet1!#REF!,"AAAAAH9+f40=",0)</f>
        <v>#REF!</v>
      </c>
      <c r="EM259" t="e">
        <f>IF(Sheet1!#REF!,"AAAAAH9+f44=",0)</f>
        <v>#REF!</v>
      </c>
      <c r="EN259" t="e">
        <f>IF(Sheet1!#REF!,"AAAAAH9+f48=",0)</f>
        <v>#REF!</v>
      </c>
      <c r="EO259" t="e">
        <f>IF(Sheet1!#REF!,"AAAAAH9+f5A=",0)</f>
        <v>#REF!</v>
      </c>
      <c r="EP259" t="e">
        <f>IF(Sheet1!#REF!,"AAAAAH9+f5E=",0)</f>
        <v>#REF!</v>
      </c>
      <c r="EQ259" t="e">
        <f>IF(Sheet1!#REF!,"AAAAAH9+f5I=",0)</f>
        <v>#REF!</v>
      </c>
      <c r="ER259" t="e">
        <f>IF(Sheet1!#REF!,"AAAAAH9+f5M=",0)</f>
        <v>#REF!</v>
      </c>
      <c r="ES259" t="e">
        <f>IF(Sheet1!#REF!,"AAAAAH9+f5Q=",0)</f>
        <v>#REF!</v>
      </c>
      <c r="ET259" t="e">
        <f>IF(Sheet1!#REF!,"AAAAAH9+f5U=",0)</f>
        <v>#REF!</v>
      </c>
      <c r="EU259" t="e">
        <f>IF(Sheet1!#REF!,"AAAAAH9+f5Y=",0)</f>
        <v>#REF!</v>
      </c>
      <c r="EV259" t="e">
        <f>IF(Sheet1!#REF!,"AAAAAH9+f5c=",0)</f>
        <v>#REF!</v>
      </c>
      <c r="EW259" t="e">
        <f>IF(Sheet1!#REF!,"AAAAAH9+f5g=",0)</f>
        <v>#REF!</v>
      </c>
      <c r="EX259" t="e">
        <f>IF(Sheet1!#REF!,"AAAAAH9+f5k=",0)</f>
        <v>#REF!</v>
      </c>
      <c r="EY259" t="e">
        <f>IF(Sheet1!#REF!,"AAAAAH9+f5o=",0)</f>
        <v>#REF!</v>
      </c>
      <c r="EZ259" t="e">
        <f>IF(Sheet1!#REF!,"AAAAAH9+f5s=",0)</f>
        <v>#REF!</v>
      </c>
      <c r="FA259" t="e">
        <f>IF(Sheet1!#REF!,"AAAAAH9+f5w=",0)</f>
        <v>#REF!</v>
      </c>
      <c r="FB259" t="e">
        <f>IF(Sheet1!#REF!,"AAAAAH9+f50=",0)</f>
        <v>#REF!</v>
      </c>
      <c r="FC259" t="e">
        <f>IF(Sheet1!#REF!,"AAAAAH9+f54=",0)</f>
        <v>#REF!</v>
      </c>
      <c r="FD259" t="e">
        <f>IF(Sheet1!#REF!,"AAAAAH9+f58=",0)</f>
        <v>#REF!</v>
      </c>
      <c r="FE259" t="e">
        <f>IF(Sheet1!#REF!,"AAAAAH9+f6A=",0)</f>
        <v>#REF!</v>
      </c>
      <c r="FF259" t="e">
        <f>IF(Sheet1!#REF!,"AAAAAH9+f6E=",0)</f>
        <v>#REF!</v>
      </c>
      <c r="FG259" t="e">
        <f>IF(Sheet1!#REF!,"AAAAAH9+f6I=",0)</f>
        <v>#REF!</v>
      </c>
      <c r="FH259" t="e">
        <f>IF(Sheet1!#REF!,"AAAAAH9+f6M=",0)</f>
        <v>#REF!</v>
      </c>
      <c r="FI259" t="e">
        <f>IF(Sheet1!#REF!,"AAAAAH9+f6Q=",0)</f>
        <v>#REF!</v>
      </c>
      <c r="FJ259" t="e">
        <f>IF(Sheet1!#REF!,"AAAAAH9+f6U=",0)</f>
        <v>#REF!</v>
      </c>
      <c r="FK259" t="e">
        <f>IF(Sheet1!#REF!,"AAAAAH9+f6Y=",0)</f>
        <v>#REF!</v>
      </c>
      <c r="FL259" t="e">
        <f>IF(Sheet1!#REF!,"AAAAAH9+f6c=",0)</f>
        <v>#REF!</v>
      </c>
      <c r="FM259" t="e">
        <f>IF(Sheet1!#REF!,"AAAAAH9+f6g=",0)</f>
        <v>#REF!</v>
      </c>
      <c r="FN259" t="e">
        <f>IF(Sheet1!#REF!,"AAAAAH9+f6k=",0)</f>
        <v>#REF!</v>
      </c>
      <c r="FO259" t="e">
        <f>IF(Sheet1!#REF!,"AAAAAH9+f6o=",0)</f>
        <v>#REF!</v>
      </c>
      <c r="FP259" t="e">
        <f>IF(Sheet1!#REF!,"AAAAAH9+f6s=",0)</f>
        <v>#REF!</v>
      </c>
      <c r="FQ259" t="e">
        <f>IF(Sheet1!#REF!,"AAAAAH9+f6w=",0)</f>
        <v>#REF!</v>
      </c>
      <c r="FR259" t="e">
        <f>IF(Sheet1!#REF!,"AAAAAH9+f60=",0)</f>
        <v>#REF!</v>
      </c>
      <c r="FS259" t="e">
        <f>IF(Sheet1!#REF!,"AAAAAH9+f64=",0)</f>
        <v>#REF!</v>
      </c>
      <c r="FT259" t="e">
        <f>IF(Sheet1!#REF!,"AAAAAH9+f68=",0)</f>
        <v>#REF!</v>
      </c>
      <c r="FU259" t="e">
        <f>IF(Sheet1!#REF!,"AAAAAH9+f7A=",0)</f>
        <v>#REF!</v>
      </c>
      <c r="FV259" t="e">
        <f>IF(Sheet1!#REF!,"AAAAAH9+f7E=",0)</f>
        <v>#REF!</v>
      </c>
      <c r="FW259" t="e">
        <f>IF(Sheet1!#REF!,"AAAAAH9+f7I=",0)</f>
        <v>#REF!</v>
      </c>
      <c r="FX259" t="e">
        <f>IF(Sheet1!#REF!,"AAAAAH9+f7M=",0)</f>
        <v>#REF!</v>
      </c>
      <c r="FY259" t="e">
        <f>IF(Sheet1!#REF!,"AAAAAH9+f7Q=",0)</f>
        <v>#REF!</v>
      </c>
      <c r="FZ259" t="e">
        <f>IF(Sheet1!#REF!,"AAAAAH9+f7U=",0)</f>
        <v>#REF!</v>
      </c>
      <c r="GA259" t="e">
        <f>IF(Sheet1!#REF!,"AAAAAH9+f7Y=",0)</f>
        <v>#REF!</v>
      </c>
      <c r="GB259" t="e">
        <f>IF(Sheet1!#REF!,"AAAAAH9+f7c=",0)</f>
        <v>#REF!</v>
      </c>
      <c r="GC259" t="e">
        <f>IF(Sheet1!#REF!,"AAAAAH9+f7g=",0)</f>
        <v>#REF!</v>
      </c>
      <c r="GD259" t="e">
        <f>IF(Sheet1!#REF!,"AAAAAH9+f7k=",0)</f>
        <v>#REF!</v>
      </c>
      <c r="GE259" t="e">
        <f>IF(Sheet1!#REF!,"AAAAAH9+f7o=",0)</f>
        <v>#REF!</v>
      </c>
      <c r="GF259" t="e">
        <f>IF(Sheet1!#REF!,"AAAAAH9+f7s=",0)</f>
        <v>#REF!</v>
      </c>
      <c r="GG259" t="e">
        <f>IF(Sheet1!#REF!,"AAAAAH9+f7w=",0)</f>
        <v>#REF!</v>
      </c>
      <c r="GH259" t="e">
        <f>IF(Sheet1!#REF!,"AAAAAH9+f70=",0)</f>
        <v>#REF!</v>
      </c>
      <c r="GI259" t="e">
        <f>IF(Sheet1!#REF!,"AAAAAH9+f74=",0)</f>
        <v>#REF!</v>
      </c>
      <c r="GJ259" t="e">
        <f>IF(Sheet1!#REF!,"AAAAAH9+f78=",0)</f>
        <v>#REF!</v>
      </c>
      <c r="GK259" t="e">
        <f>IF(Sheet1!#REF!,"AAAAAH9+f8A=",0)</f>
        <v>#REF!</v>
      </c>
      <c r="GL259" t="e">
        <f>IF(Sheet1!#REF!,"AAAAAH9+f8E=",0)</f>
        <v>#REF!</v>
      </c>
      <c r="GM259" t="e">
        <f>IF(Sheet1!#REF!,"AAAAAH9+f8I=",0)</f>
        <v>#REF!</v>
      </c>
      <c r="GN259" t="e">
        <f>IF(Sheet1!#REF!,"AAAAAH9+f8M=",0)</f>
        <v>#REF!</v>
      </c>
      <c r="GO259" t="e">
        <f>IF(Sheet1!#REF!,"AAAAAH9+f8Q=",0)</f>
        <v>#REF!</v>
      </c>
      <c r="GP259" t="e">
        <f>IF(Sheet1!#REF!,"AAAAAH9+f8U=",0)</f>
        <v>#REF!</v>
      </c>
      <c r="GQ259" t="e">
        <f>IF(Sheet1!#REF!,"AAAAAH9+f8Y=",0)</f>
        <v>#REF!</v>
      </c>
      <c r="GR259" t="e">
        <f>IF(Sheet1!#REF!,"AAAAAH9+f8c=",0)</f>
        <v>#REF!</v>
      </c>
      <c r="GS259" t="e">
        <f>IF(Sheet1!#REF!,"AAAAAH9+f8g=",0)</f>
        <v>#REF!</v>
      </c>
      <c r="GT259" t="e">
        <f>IF(Sheet1!#REF!,"AAAAAH9+f8k=",0)</f>
        <v>#REF!</v>
      </c>
      <c r="GU259" t="e">
        <f>IF(Sheet1!#REF!,"AAAAAH9+f8o=",0)</f>
        <v>#REF!</v>
      </c>
      <c r="GV259" t="e">
        <f>IF(Sheet1!#REF!,"AAAAAH9+f8s=",0)</f>
        <v>#REF!</v>
      </c>
      <c r="GW259" t="e">
        <f>IF(Sheet1!#REF!,"AAAAAH9+f8w=",0)</f>
        <v>#REF!</v>
      </c>
      <c r="GX259" t="e">
        <f>IF(Sheet1!#REF!,"AAAAAH9+f80=",0)</f>
        <v>#REF!</v>
      </c>
      <c r="GY259" t="e">
        <f>IF(Sheet1!#REF!,"AAAAAH9+f84=",0)</f>
        <v>#REF!</v>
      </c>
      <c r="GZ259" t="e">
        <f>IF(Sheet1!#REF!,"AAAAAH9+f88=",0)</f>
        <v>#REF!</v>
      </c>
      <c r="HA259" t="e">
        <f>IF(Sheet1!#REF!,"AAAAAH9+f9A=",0)</f>
        <v>#REF!</v>
      </c>
      <c r="HB259" t="e">
        <f>IF(Sheet1!#REF!,"AAAAAH9+f9E=",0)</f>
        <v>#REF!</v>
      </c>
      <c r="HC259" t="e">
        <f>IF(Sheet1!#REF!,"AAAAAH9+f9I=",0)</f>
        <v>#REF!</v>
      </c>
      <c r="HD259" t="e">
        <f>IF(Sheet1!#REF!,"AAAAAH9+f9M=",0)</f>
        <v>#REF!</v>
      </c>
      <c r="HE259" t="e">
        <f>IF(Sheet1!#REF!,"AAAAAH9+f9Q=",0)</f>
        <v>#REF!</v>
      </c>
      <c r="HF259" t="e">
        <f>IF(Sheet1!#REF!,"AAAAAH9+f9U=",0)</f>
        <v>#REF!</v>
      </c>
      <c r="HG259" t="e">
        <f>IF(Sheet1!#REF!,"AAAAAH9+f9Y=",0)</f>
        <v>#REF!</v>
      </c>
      <c r="HH259" t="e">
        <f>IF(Sheet1!#REF!,"AAAAAH9+f9c=",0)</f>
        <v>#REF!</v>
      </c>
      <c r="HI259" t="e">
        <f>IF(Sheet1!#REF!,"AAAAAH9+f9g=",0)</f>
        <v>#REF!</v>
      </c>
      <c r="HJ259" t="e">
        <f>IF(Sheet1!#REF!,"AAAAAH9+f9k=",0)</f>
        <v>#REF!</v>
      </c>
      <c r="HK259" t="e">
        <f>IF(Sheet1!#REF!,"AAAAAH9+f9o=",0)</f>
        <v>#REF!</v>
      </c>
      <c r="HL259" t="e">
        <f>IF(Sheet1!#REF!,"AAAAAH9+f9s=",0)</f>
        <v>#REF!</v>
      </c>
      <c r="HM259" t="e">
        <f>IF(Sheet1!#REF!,"AAAAAH9+f9w=",0)</f>
        <v>#REF!</v>
      </c>
      <c r="HN259" t="e">
        <f>IF(Sheet1!#REF!,"AAAAAH9+f90=",0)</f>
        <v>#REF!</v>
      </c>
      <c r="HO259" t="e">
        <f>IF(Sheet1!#REF!,"AAAAAH9+f94=",0)</f>
        <v>#REF!</v>
      </c>
      <c r="HP259" t="e">
        <f>IF(Sheet1!#REF!,"AAAAAH9+f98=",0)</f>
        <v>#REF!</v>
      </c>
      <c r="HQ259" t="e">
        <f>IF(Sheet1!#REF!,"AAAAAH9+f+A=",0)</f>
        <v>#REF!</v>
      </c>
      <c r="HR259" t="e">
        <f>IF(Sheet1!#REF!,"AAAAAH9+f+E=",0)</f>
        <v>#REF!</v>
      </c>
      <c r="HS259" t="e">
        <f>IF(Sheet1!#REF!,"AAAAAH9+f+I=",0)</f>
        <v>#REF!</v>
      </c>
      <c r="HT259" t="e">
        <f>IF(Sheet1!#REF!,"AAAAAH9+f+M=",0)</f>
        <v>#REF!</v>
      </c>
      <c r="HU259" t="e">
        <f>IF(Sheet1!#REF!,"AAAAAH9+f+Q=",0)</f>
        <v>#REF!</v>
      </c>
      <c r="HV259" t="e">
        <f>IF(Sheet1!#REF!,"AAAAAH9+f+U=",0)</f>
        <v>#REF!</v>
      </c>
      <c r="HW259" t="e">
        <f>IF(Sheet1!#REF!,"AAAAAH9+f+Y=",0)</f>
        <v>#REF!</v>
      </c>
      <c r="HX259" t="e">
        <f>IF(Sheet1!#REF!,"AAAAAH9+f+c=",0)</f>
        <v>#REF!</v>
      </c>
      <c r="HY259" t="e">
        <f>IF(Sheet1!#REF!,"AAAAAH9+f+g=",0)</f>
        <v>#REF!</v>
      </c>
      <c r="HZ259" t="e">
        <f>IF(Sheet1!#REF!,"AAAAAH9+f+k=",0)</f>
        <v>#REF!</v>
      </c>
      <c r="IA259" t="e">
        <f>IF(Sheet1!#REF!,"AAAAAH9+f+o=",0)</f>
        <v>#REF!</v>
      </c>
      <c r="IB259" t="e">
        <f>IF(Sheet1!#REF!,"AAAAAH9+f+s=",0)</f>
        <v>#REF!</v>
      </c>
      <c r="IC259" t="e">
        <f>IF(Sheet1!#REF!,"AAAAAH9+f+w=",0)</f>
        <v>#REF!</v>
      </c>
      <c r="ID259" t="e">
        <f>IF(Sheet1!#REF!,"AAAAAH9+f+0=",0)</f>
        <v>#REF!</v>
      </c>
      <c r="IE259" t="e">
        <f>IF(Sheet1!#REF!,"AAAAAH9+f+4=",0)</f>
        <v>#REF!</v>
      </c>
      <c r="IF259" t="e">
        <f>IF(Sheet1!#REF!,"AAAAAH9+f+8=",0)</f>
        <v>#REF!</v>
      </c>
      <c r="IG259" t="e">
        <f>IF(Sheet1!#REF!,"AAAAAH9+f/A=",0)</f>
        <v>#REF!</v>
      </c>
      <c r="IH259" t="e">
        <f>IF(Sheet1!#REF!,"AAAAAH9+f/E=",0)</f>
        <v>#REF!</v>
      </c>
      <c r="II259" t="e">
        <f>IF(Sheet1!#REF!,"AAAAAH9+f/I=",0)</f>
        <v>#REF!</v>
      </c>
      <c r="IJ259" t="e">
        <f>IF(Sheet1!#REF!,"AAAAAH9+f/M=",0)</f>
        <v>#REF!</v>
      </c>
      <c r="IK259" t="e">
        <f>IF(Sheet1!#REF!,"AAAAAH9+f/Q=",0)</f>
        <v>#REF!</v>
      </c>
      <c r="IL259" t="e">
        <f>IF(Sheet1!#REF!,"AAAAAH9+f/U=",0)</f>
        <v>#REF!</v>
      </c>
      <c r="IM259" t="e">
        <f>IF(Sheet1!#REF!,"AAAAAH9+f/Y=",0)</f>
        <v>#REF!</v>
      </c>
      <c r="IN259" t="e">
        <f>IF(Sheet1!#REF!,"AAAAAH9+f/c=",0)</f>
        <v>#REF!</v>
      </c>
      <c r="IO259" t="e">
        <f>IF(Sheet1!#REF!,"AAAAAH9+f/g=",0)</f>
        <v>#REF!</v>
      </c>
      <c r="IP259" t="e">
        <f>IF(Sheet1!#REF!,"AAAAAH9+f/k=",0)</f>
        <v>#REF!</v>
      </c>
      <c r="IQ259" t="e">
        <f>IF(Sheet1!#REF!,"AAAAAH9+f/o=",0)</f>
        <v>#REF!</v>
      </c>
      <c r="IR259" t="e">
        <f>IF(Sheet1!#REF!,"AAAAAH9+f/s=",0)</f>
        <v>#REF!</v>
      </c>
      <c r="IS259" t="e">
        <f>IF(Sheet1!#REF!,"AAAAAH9+f/w=",0)</f>
        <v>#REF!</v>
      </c>
      <c r="IT259" t="e">
        <f>IF(Sheet1!#REF!,"AAAAAH9+f/0=",0)</f>
        <v>#REF!</v>
      </c>
      <c r="IU259" t="e">
        <f>IF(Sheet1!#REF!,"AAAAAH9+f/4=",0)</f>
        <v>#REF!</v>
      </c>
      <c r="IV259" t="e">
        <f>IF(Sheet1!#REF!,"AAAAAH9+f/8=",0)</f>
        <v>#REF!</v>
      </c>
    </row>
    <row r="260" spans="1:256" x14ac:dyDescent="0.2">
      <c r="A260" t="e">
        <f>IF(Sheet1!#REF!,"AAAAAHF/xgA=",0)</f>
        <v>#REF!</v>
      </c>
      <c r="B260" t="e">
        <f>IF(Sheet1!#REF!,"AAAAAHF/xgE=",0)</f>
        <v>#REF!</v>
      </c>
      <c r="C260" t="e">
        <f>IF(Sheet1!#REF!,"AAAAAHF/xgI=",0)</f>
        <v>#REF!</v>
      </c>
      <c r="D260" t="e">
        <f>IF(Sheet1!#REF!,"AAAAAHF/xgM=",0)</f>
        <v>#REF!</v>
      </c>
      <c r="E260" t="e">
        <f>IF(Sheet1!#REF!,"AAAAAHF/xgQ=",0)</f>
        <v>#REF!</v>
      </c>
      <c r="F260" t="e">
        <f>IF(Sheet1!#REF!,"AAAAAHF/xgU=",0)</f>
        <v>#REF!</v>
      </c>
      <c r="G260" t="e">
        <f>IF(Sheet1!#REF!,"AAAAAHF/xgY=",0)</f>
        <v>#REF!</v>
      </c>
      <c r="H260" t="e">
        <f>IF(Sheet1!#REF!,"AAAAAHF/xgc=",0)</f>
        <v>#REF!</v>
      </c>
      <c r="I260" t="e">
        <f>IF(Sheet1!#REF!,"AAAAAHF/xgg=",0)</f>
        <v>#REF!</v>
      </c>
      <c r="J260" t="e">
        <f>IF(Sheet1!#REF!,"AAAAAHF/xgk=",0)</f>
        <v>#REF!</v>
      </c>
      <c r="K260" t="e">
        <f>IF(Sheet1!#REF!,"AAAAAHF/xgo=",0)</f>
        <v>#REF!</v>
      </c>
      <c r="L260" t="e">
        <f>IF(Sheet1!#REF!,"AAAAAHF/xgs=",0)</f>
        <v>#REF!</v>
      </c>
      <c r="M260" t="e">
        <f>IF(Sheet1!#REF!,"AAAAAHF/xgw=",0)</f>
        <v>#REF!</v>
      </c>
      <c r="N260" t="e">
        <f>IF(Sheet1!#REF!,"AAAAAHF/xg0=",0)</f>
        <v>#REF!</v>
      </c>
      <c r="O260" t="e">
        <f>IF(Sheet1!#REF!,"AAAAAHF/xg4=",0)</f>
        <v>#REF!</v>
      </c>
      <c r="P260" t="e">
        <f>IF(Sheet1!#REF!,"AAAAAHF/xg8=",0)</f>
        <v>#REF!</v>
      </c>
      <c r="Q260" t="e">
        <f>IF(Sheet1!#REF!,"AAAAAHF/xhA=",0)</f>
        <v>#REF!</v>
      </c>
      <c r="R260" t="e">
        <f>IF(Sheet1!#REF!,"AAAAAHF/xhE=",0)</f>
        <v>#REF!</v>
      </c>
      <c r="S260" t="e">
        <f>IF(Sheet1!#REF!,"AAAAAHF/xhI=",0)</f>
        <v>#REF!</v>
      </c>
      <c r="T260" t="e">
        <f>IF(Sheet1!#REF!,"AAAAAHF/xhM=",0)</f>
        <v>#REF!</v>
      </c>
      <c r="U260" t="e">
        <f>IF(Sheet1!#REF!,"AAAAAHF/xhQ=",0)</f>
        <v>#REF!</v>
      </c>
      <c r="V260" t="e">
        <f>IF(Sheet1!#REF!,"AAAAAHF/xhU=",0)</f>
        <v>#REF!</v>
      </c>
      <c r="W260" t="e">
        <f>IF(Sheet1!#REF!,"AAAAAHF/xhY=",0)</f>
        <v>#REF!</v>
      </c>
      <c r="X260" t="e">
        <f>IF(Sheet1!#REF!,"AAAAAHF/xhc=",0)</f>
        <v>#REF!</v>
      </c>
      <c r="Y260" t="e">
        <f>IF(Sheet1!#REF!,"AAAAAHF/xhg=",0)</f>
        <v>#REF!</v>
      </c>
      <c r="Z260" t="e">
        <f>IF(Sheet1!#REF!,"AAAAAHF/xhk=",0)</f>
        <v>#REF!</v>
      </c>
      <c r="AA260" t="e">
        <f>IF(Sheet1!#REF!,"AAAAAHF/xho=",0)</f>
        <v>#REF!</v>
      </c>
      <c r="AB260" t="e">
        <f>IF(Sheet1!#REF!,"AAAAAHF/xhs=",0)</f>
        <v>#REF!</v>
      </c>
      <c r="AC260" t="e">
        <f>IF(Sheet1!#REF!,"AAAAAHF/xhw=",0)</f>
        <v>#REF!</v>
      </c>
      <c r="AD260" t="e">
        <f>IF(Sheet1!#REF!,"AAAAAHF/xh0=",0)</f>
        <v>#REF!</v>
      </c>
      <c r="AE260" t="e">
        <f>IF(Sheet1!#REF!,"AAAAAHF/xh4=",0)</f>
        <v>#REF!</v>
      </c>
      <c r="AF260" t="e">
        <f>IF(Sheet1!#REF!,"AAAAAHF/xh8=",0)</f>
        <v>#REF!</v>
      </c>
      <c r="AG260" t="e">
        <f>IF(Sheet1!#REF!,"AAAAAHF/xiA=",0)</f>
        <v>#REF!</v>
      </c>
      <c r="AH260" t="e">
        <f>IF(Sheet1!#REF!,"AAAAAHF/xiE=",0)</f>
        <v>#REF!</v>
      </c>
      <c r="AI260" t="e">
        <f>IF(Sheet1!#REF!,"AAAAAHF/xiI=",0)</f>
        <v>#REF!</v>
      </c>
      <c r="AJ260" t="e">
        <f>IF(Sheet1!#REF!,"AAAAAHF/xiM=",0)</f>
        <v>#REF!</v>
      </c>
      <c r="AK260" t="e">
        <f>IF(Sheet1!#REF!,"AAAAAHF/xiQ=",0)</f>
        <v>#REF!</v>
      </c>
      <c r="AL260" t="e">
        <f>IF(Sheet1!#REF!,"AAAAAHF/xiU=",0)</f>
        <v>#REF!</v>
      </c>
      <c r="AM260" t="e">
        <f>IF(Sheet1!#REF!,"AAAAAHF/xiY=",0)</f>
        <v>#REF!</v>
      </c>
      <c r="AN260" t="e">
        <f>IF(Sheet1!#REF!,"AAAAAHF/xic=",0)</f>
        <v>#REF!</v>
      </c>
      <c r="AO260" t="e">
        <f>IF(Sheet1!#REF!,"AAAAAHF/xig=",0)</f>
        <v>#REF!</v>
      </c>
      <c r="AP260" t="e">
        <f>IF(Sheet1!#REF!,"AAAAAHF/xik=",0)</f>
        <v>#REF!</v>
      </c>
      <c r="AQ260" t="e">
        <f>IF(Sheet1!#REF!,"AAAAAHF/xio=",0)</f>
        <v>#REF!</v>
      </c>
      <c r="AR260" t="e">
        <f>IF(Sheet1!#REF!,"AAAAAHF/xis=",0)</f>
        <v>#REF!</v>
      </c>
      <c r="AS260" t="e">
        <f>IF(Sheet1!#REF!,"AAAAAHF/xiw=",0)</f>
        <v>#REF!</v>
      </c>
      <c r="AT260" t="e">
        <f>IF(Sheet1!#REF!,"AAAAAHF/xi0=",0)</f>
        <v>#REF!</v>
      </c>
      <c r="AU260" t="e">
        <f>IF(Sheet1!#REF!,"AAAAAHF/xi4=",0)</f>
        <v>#REF!</v>
      </c>
      <c r="AV260" t="e">
        <f>IF(Sheet1!#REF!,"AAAAAHF/xi8=",0)</f>
        <v>#REF!</v>
      </c>
      <c r="AW260" t="e">
        <f>IF(Sheet1!#REF!,"AAAAAHF/xjA=",0)</f>
        <v>#REF!</v>
      </c>
      <c r="AX260" t="e">
        <f>IF(Sheet1!#REF!,"AAAAAHF/xjE=",0)</f>
        <v>#REF!</v>
      </c>
      <c r="AY260" t="e">
        <f>IF(Sheet1!#REF!,"AAAAAHF/xjI=",0)</f>
        <v>#REF!</v>
      </c>
      <c r="AZ260" t="e">
        <f>IF(Sheet1!#REF!,"AAAAAHF/xjM=",0)</f>
        <v>#REF!</v>
      </c>
      <c r="BA260" t="e">
        <f>IF(Sheet1!#REF!,"AAAAAHF/xjQ=",0)</f>
        <v>#REF!</v>
      </c>
      <c r="BB260" t="e">
        <f>IF(Sheet1!#REF!,"AAAAAHF/xjU=",0)</f>
        <v>#REF!</v>
      </c>
      <c r="BC260" t="e">
        <f>IF(Sheet1!#REF!,"AAAAAHF/xjY=",0)</f>
        <v>#REF!</v>
      </c>
      <c r="BD260" t="e">
        <f>IF(Sheet1!#REF!,"AAAAAHF/xjc=",0)</f>
        <v>#REF!</v>
      </c>
      <c r="BE260" t="e">
        <f>IF(Sheet1!#REF!,"AAAAAHF/xjg=",0)</f>
        <v>#REF!</v>
      </c>
      <c r="BF260" t="e">
        <f>IF(Sheet1!#REF!,"AAAAAHF/xjk=",0)</f>
        <v>#REF!</v>
      </c>
      <c r="BG260" t="e">
        <f>IF(Sheet1!#REF!,"AAAAAHF/xjo=",0)</f>
        <v>#REF!</v>
      </c>
      <c r="BH260" t="e">
        <f>IF(Sheet1!#REF!,"AAAAAHF/xjs=",0)</f>
        <v>#REF!</v>
      </c>
      <c r="BI260" t="e">
        <f>IF(Sheet1!#REF!,"AAAAAHF/xjw=",0)</f>
        <v>#REF!</v>
      </c>
      <c r="BJ260" t="e">
        <f>IF(Sheet1!#REF!,"AAAAAHF/xj0=",0)</f>
        <v>#REF!</v>
      </c>
      <c r="BK260" t="e">
        <f>IF(Sheet1!#REF!,"AAAAAHF/xj4=",0)</f>
        <v>#REF!</v>
      </c>
      <c r="BL260" t="e">
        <f>IF(Sheet1!#REF!,"AAAAAHF/xj8=",0)</f>
        <v>#REF!</v>
      </c>
      <c r="BM260" t="e">
        <f>IF(Sheet1!#REF!,"AAAAAHF/xkA=",0)</f>
        <v>#REF!</v>
      </c>
      <c r="BN260" t="e">
        <f>IF(Sheet1!#REF!,"AAAAAHF/xkE=",0)</f>
        <v>#REF!</v>
      </c>
      <c r="BO260" t="e">
        <f>IF(Sheet1!#REF!,"AAAAAHF/xkI=",0)</f>
        <v>#REF!</v>
      </c>
      <c r="BP260" t="e">
        <f>IF(Sheet1!#REF!,"AAAAAHF/xkM=",0)</f>
        <v>#REF!</v>
      </c>
      <c r="BQ260" t="e">
        <f>IF(Sheet1!#REF!,"AAAAAHF/xkQ=",0)</f>
        <v>#REF!</v>
      </c>
      <c r="BR260" t="e">
        <f>IF(Sheet1!#REF!,"AAAAAHF/xkU=",0)</f>
        <v>#REF!</v>
      </c>
      <c r="BS260" t="e">
        <f>IF(Sheet1!#REF!,"AAAAAHF/xkY=",0)</f>
        <v>#REF!</v>
      </c>
      <c r="BT260" t="e">
        <f>IF(Sheet1!#REF!,"AAAAAHF/xkc=",0)</f>
        <v>#REF!</v>
      </c>
      <c r="BU260" t="e">
        <f>IF(Sheet1!#REF!,"AAAAAHF/xkg=",0)</f>
        <v>#REF!</v>
      </c>
      <c r="BV260" t="e">
        <f>IF(Sheet1!#REF!,"AAAAAHF/xkk=",0)</f>
        <v>#REF!</v>
      </c>
      <c r="BW260" t="e">
        <f>IF(Sheet1!#REF!,"AAAAAHF/xko=",0)</f>
        <v>#REF!</v>
      </c>
      <c r="BX260" t="e">
        <f>IF(Sheet1!#REF!,"AAAAAHF/xks=",0)</f>
        <v>#REF!</v>
      </c>
      <c r="BY260" t="e">
        <f>IF(Sheet1!#REF!,"AAAAAHF/xkw=",0)</f>
        <v>#REF!</v>
      </c>
      <c r="BZ260" t="e">
        <f>IF(Sheet1!#REF!,"AAAAAHF/xk0=",0)</f>
        <v>#REF!</v>
      </c>
      <c r="CA260" t="e">
        <f>IF(Sheet1!#REF!,"AAAAAHF/xk4=",0)</f>
        <v>#REF!</v>
      </c>
      <c r="CB260" t="e">
        <f>IF(Sheet1!#REF!,"AAAAAHF/xk8=",0)</f>
        <v>#REF!</v>
      </c>
      <c r="CC260" t="e">
        <f>IF(Sheet1!#REF!,"AAAAAHF/xlA=",0)</f>
        <v>#REF!</v>
      </c>
      <c r="CD260" t="e">
        <f>IF(Sheet1!#REF!,"AAAAAHF/xlE=",0)</f>
        <v>#REF!</v>
      </c>
      <c r="CE260" t="e">
        <f>IF(Sheet1!#REF!,"AAAAAHF/xlI=",0)</f>
        <v>#REF!</v>
      </c>
      <c r="CF260" t="e">
        <f>IF(Sheet1!#REF!,"AAAAAHF/xlM=",0)</f>
        <v>#REF!</v>
      </c>
      <c r="CG260" t="e">
        <f>IF(Sheet1!#REF!,"AAAAAHF/xlQ=",0)</f>
        <v>#REF!</v>
      </c>
      <c r="CH260" t="e">
        <f>IF(Sheet1!#REF!,"AAAAAHF/xlU=",0)</f>
        <v>#REF!</v>
      </c>
      <c r="CI260" t="e">
        <f>IF(Sheet1!#REF!,"AAAAAHF/xlY=",0)</f>
        <v>#REF!</v>
      </c>
      <c r="CJ260" t="e">
        <f>IF(Sheet1!#REF!,"AAAAAHF/xlc=",0)</f>
        <v>#REF!</v>
      </c>
      <c r="CK260" t="e">
        <f>IF(Sheet1!#REF!,"AAAAAHF/xlg=",0)</f>
        <v>#REF!</v>
      </c>
      <c r="CL260" t="e">
        <f>IF(Sheet1!#REF!,"AAAAAHF/xlk=",0)</f>
        <v>#REF!</v>
      </c>
      <c r="CM260" t="e">
        <f>IF(Sheet1!#REF!,"AAAAAHF/xlo=",0)</f>
        <v>#REF!</v>
      </c>
      <c r="CN260" t="e">
        <f>IF(Sheet1!#REF!,"AAAAAHF/xls=",0)</f>
        <v>#REF!</v>
      </c>
      <c r="CO260" t="e">
        <f>IF(Sheet1!#REF!,"AAAAAHF/xlw=",0)</f>
        <v>#REF!</v>
      </c>
      <c r="CP260" t="e">
        <f>IF(Sheet1!#REF!,"AAAAAHF/xl0=",0)</f>
        <v>#REF!</v>
      </c>
      <c r="CQ260" t="e">
        <f>IF(Sheet1!#REF!,"AAAAAHF/xl4=",0)</f>
        <v>#REF!</v>
      </c>
      <c r="CR260" t="e">
        <f>IF(Sheet1!#REF!,"AAAAAHF/xl8=",0)</f>
        <v>#REF!</v>
      </c>
      <c r="CS260" t="e">
        <f>IF(Sheet1!#REF!,"AAAAAHF/xmA=",0)</f>
        <v>#REF!</v>
      </c>
      <c r="CT260" t="e">
        <f>IF(Sheet1!#REF!,"AAAAAHF/xmE=",0)</f>
        <v>#REF!</v>
      </c>
      <c r="CU260" t="e">
        <f>IF(Sheet1!#REF!,"AAAAAHF/xmI=",0)</f>
        <v>#REF!</v>
      </c>
      <c r="CV260" t="e">
        <f>IF(Sheet1!#REF!,"AAAAAHF/xmM=",0)</f>
        <v>#REF!</v>
      </c>
      <c r="CW260" t="e">
        <f>IF(Sheet1!#REF!,"AAAAAHF/xmQ=",0)</f>
        <v>#REF!</v>
      </c>
      <c r="CX260" t="e">
        <f>IF(Sheet1!#REF!,"AAAAAHF/xmU=",0)</f>
        <v>#REF!</v>
      </c>
      <c r="CY260" t="e">
        <f>IF(Sheet1!#REF!,"AAAAAHF/xmY=",0)</f>
        <v>#REF!</v>
      </c>
      <c r="CZ260" t="e">
        <f>IF(Sheet1!#REF!,"AAAAAHF/xmc=",0)</f>
        <v>#REF!</v>
      </c>
      <c r="DA260" t="e">
        <f>IF(Sheet1!#REF!,"AAAAAHF/xmg=",0)</f>
        <v>#REF!</v>
      </c>
      <c r="DB260" t="e">
        <f>IF(Sheet1!#REF!,"AAAAAHF/xmk=",0)</f>
        <v>#REF!</v>
      </c>
      <c r="DC260" t="e">
        <f>IF(Sheet1!#REF!,"AAAAAHF/xmo=",0)</f>
        <v>#REF!</v>
      </c>
      <c r="DD260" t="e">
        <f>IF(Sheet1!#REF!,"AAAAAHF/xms=",0)</f>
        <v>#REF!</v>
      </c>
      <c r="DE260" t="e">
        <f>IF(Sheet1!#REF!,"AAAAAHF/xmw=",0)</f>
        <v>#REF!</v>
      </c>
      <c r="DF260" t="e">
        <f>IF(Sheet1!#REF!,"AAAAAHF/xm0=",0)</f>
        <v>#REF!</v>
      </c>
      <c r="DG260" t="e">
        <f>IF(Sheet1!#REF!,"AAAAAHF/xm4=",0)</f>
        <v>#REF!</v>
      </c>
      <c r="DH260" t="e">
        <f>IF(Sheet1!#REF!,"AAAAAHF/xm8=",0)</f>
        <v>#REF!</v>
      </c>
      <c r="DI260" t="e">
        <f>IF(Sheet1!#REF!,"AAAAAHF/xnA=",0)</f>
        <v>#REF!</v>
      </c>
      <c r="DJ260" t="e">
        <f>IF(Sheet1!#REF!,"AAAAAHF/xnE=",0)</f>
        <v>#REF!</v>
      </c>
      <c r="DK260" t="e">
        <f>IF(Sheet1!#REF!,"AAAAAHF/xnI=",0)</f>
        <v>#REF!</v>
      </c>
      <c r="DL260" t="e">
        <f>IF(Sheet1!#REF!,"AAAAAHF/xnM=",0)</f>
        <v>#REF!</v>
      </c>
      <c r="DM260" t="e">
        <f>IF(Sheet1!#REF!,"AAAAAHF/xnQ=",0)</f>
        <v>#REF!</v>
      </c>
      <c r="DN260" t="e">
        <f>IF(Sheet1!#REF!,"AAAAAHF/xnU=",0)</f>
        <v>#REF!</v>
      </c>
      <c r="DO260" t="e">
        <f>IF(Sheet1!#REF!,"AAAAAHF/xnY=",0)</f>
        <v>#REF!</v>
      </c>
      <c r="DP260" t="e">
        <f>IF(Sheet1!#REF!,"AAAAAHF/xnc=",0)</f>
        <v>#REF!</v>
      </c>
      <c r="DQ260" t="e">
        <f>IF(Sheet1!#REF!,"AAAAAHF/xng=",0)</f>
        <v>#REF!</v>
      </c>
      <c r="DR260" t="e">
        <f>IF(Sheet1!#REF!,"AAAAAHF/xnk=",0)</f>
        <v>#REF!</v>
      </c>
      <c r="DS260" t="e">
        <f>IF(Sheet1!#REF!,"AAAAAHF/xno=",0)</f>
        <v>#REF!</v>
      </c>
      <c r="DT260" t="e">
        <f>IF(Sheet1!#REF!,"AAAAAHF/xns=",0)</f>
        <v>#REF!</v>
      </c>
      <c r="DU260" t="e">
        <f>IF(Sheet1!#REF!,"AAAAAHF/xnw=",0)</f>
        <v>#REF!</v>
      </c>
      <c r="DV260" t="e">
        <f>IF(Sheet1!#REF!,"AAAAAHF/xn0=",0)</f>
        <v>#REF!</v>
      </c>
      <c r="DW260" t="e">
        <f>IF(Sheet1!#REF!,"AAAAAHF/xn4=",0)</f>
        <v>#REF!</v>
      </c>
      <c r="DX260" t="e">
        <f>IF(Sheet1!#REF!,"AAAAAHF/xn8=",0)</f>
        <v>#REF!</v>
      </c>
      <c r="DY260" t="e">
        <f>IF(Sheet1!#REF!,"AAAAAHF/xoA=",0)</f>
        <v>#REF!</v>
      </c>
      <c r="DZ260" t="e">
        <f>IF(Sheet1!#REF!,"AAAAAHF/xoE=",0)</f>
        <v>#REF!</v>
      </c>
      <c r="EA260" t="e">
        <f>IF(Sheet1!#REF!,"AAAAAHF/xoI=",0)</f>
        <v>#REF!</v>
      </c>
      <c r="EB260" t="e">
        <f>IF(Sheet1!#REF!,"AAAAAHF/xoM=",0)</f>
        <v>#REF!</v>
      </c>
      <c r="EC260" t="e">
        <f>IF(Sheet1!#REF!,"AAAAAHF/xoQ=",0)</f>
        <v>#REF!</v>
      </c>
      <c r="ED260" t="e">
        <f>IF(Sheet1!#REF!,"AAAAAHF/xoU=",0)</f>
        <v>#REF!</v>
      </c>
      <c r="EE260" t="e">
        <f>IF(Sheet1!#REF!,"AAAAAHF/xoY=",0)</f>
        <v>#REF!</v>
      </c>
      <c r="EF260" t="e">
        <f>IF(Sheet1!#REF!,"AAAAAHF/xoc=",0)</f>
        <v>#REF!</v>
      </c>
      <c r="EG260" t="e">
        <f>IF(Sheet1!#REF!,"AAAAAHF/xog=",0)</f>
        <v>#REF!</v>
      </c>
      <c r="EH260" t="e">
        <f>IF(Sheet1!#REF!,"AAAAAHF/xok=",0)</f>
        <v>#REF!</v>
      </c>
      <c r="EI260" t="e">
        <f>IF(Sheet1!#REF!,"AAAAAHF/xoo=",0)</f>
        <v>#REF!</v>
      </c>
      <c r="EJ260" t="e">
        <f>IF(Sheet1!#REF!,"AAAAAHF/xos=",0)</f>
        <v>#REF!</v>
      </c>
      <c r="EK260" t="e">
        <f>IF(Sheet1!#REF!,"AAAAAHF/xow=",0)</f>
        <v>#REF!</v>
      </c>
      <c r="EL260" t="e">
        <f>IF(Sheet1!#REF!,"AAAAAHF/xo0=",0)</f>
        <v>#REF!</v>
      </c>
      <c r="EM260" t="e">
        <f>IF(Sheet1!#REF!,"AAAAAHF/xo4=",0)</f>
        <v>#REF!</v>
      </c>
      <c r="EN260" t="e">
        <f>IF(Sheet1!#REF!,"AAAAAHF/xo8=",0)</f>
        <v>#REF!</v>
      </c>
      <c r="EO260" t="e">
        <f>IF(Sheet1!#REF!,"AAAAAHF/xpA=",0)</f>
        <v>#REF!</v>
      </c>
      <c r="EP260" t="e">
        <f>IF(Sheet1!#REF!,"AAAAAHF/xpE=",0)</f>
        <v>#REF!</v>
      </c>
      <c r="EQ260" t="e">
        <f>IF(Sheet1!#REF!,"AAAAAHF/xpI=",0)</f>
        <v>#REF!</v>
      </c>
      <c r="ER260" t="e">
        <f>IF(Sheet1!#REF!,"AAAAAHF/xpM=",0)</f>
        <v>#REF!</v>
      </c>
      <c r="ES260" t="e">
        <f>IF(Sheet1!#REF!,"AAAAAHF/xpQ=",0)</f>
        <v>#REF!</v>
      </c>
      <c r="ET260" t="e">
        <f>IF(Sheet1!#REF!,"AAAAAHF/xpU=",0)</f>
        <v>#REF!</v>
      </c>
      <c r="EU260" t="e">
        <f>IF(Sheet1!#REF!,"AAAAAHF/xpY=",0)</f>
        <v>#REF!</v>
      </c>
      <c r="EV260" t="e">
        <f>IF(Sheet1!#REF!,"AAAAAHF/xpc=",0)</f>
        <v>#REF!</v>
      </c>
      <c r="EW260" t="e">
        <f>IF(Sheet1!#REF!,"AAAAAHF/xpg=",0)</f>
        <v>#REF!</v>
      </c>
      <c r="EX260" t="e">
        <f>IF(Sheet1!#REF!,"AAAAAHF/xpk=",0)</f>
        <v>#REF!</v>
      </c>
      <c r="EY260" t="e">
        <f>IF(Sheet1!#REF!,"AAAAAHF/xpo=",0)</f>
        <v>#REF!</v>
      </c>
      <c r="EZ260" t="e">
        <f>IF(Sheet1!#REF!,"AAAAAHF/xps=",0)</f>
        <v>#REF!</v>
      </c>
      <c r="FA260" t="e">
        <f>IF(Sheet1!#REF!,"AAAAAHF/xpw=",0)</f>
        <v>#REF!</v>
      </c>
      <c r="FB260" t="e">
        <f>IF(Sheet1!#REF!,"AAAAAHF/xp0=",0)</f>
        <v>#REF!</v>
      </c>
      <c r="FC260" t="e">
        <f>IF(Sheet1!#REF!,"AAAAAHF/xp4=",0)</f>
        <v>#REF!</v>
      </c>
      <c r="FD260" t="e">
        <f>IF(Sheet1!#REF!,"AAAAAHF/xp8=",0)</f>
        <v>#REF!</v>
      </c>
      <c r="FE260" t="e">
        <f>IF(Sheet1!#REF!,"AAAAAHF/xqA=",0)</f>
        <v>#REF!</v>
      </c>
      <c r="FF260" t="e">
        <f>IF(Sheet1!#REF!,"AAAAAHF/xqE=",0)</f>
        <v>#REF!</v>
      </c>
      <c r="FG260" t="e">
        <f>IF(Sheet1!#REF!,"AAAAAHF/xqI=",0)</f>
        <v>#REF!</v>
      </c>
      <c r="FH260" t="e">
        <f>IF(Sheet1!#REF!,"AAAAAHF/xqM=",0)</f>
        <v>#REF!</v>
      </c>
      <c r="FI260" t="e">
        <f>IF(Sheet1!#REF!,"AAAAAHF/xqQ=",0)</f>
        <v>#REF!</v>
      </c>
      <c r="FJ260" t="e">
        <f>IF(Sheet1!#REF!,"AAAAAHF/xqU=",0)</f>
        <v>#REF!</v>
      </c>
      <c r="FK260" t="e">
        <f>IF(Sheet1!#REF!,"AAAAAHF/xqY=",0)</f>
        <v>#REF!</v>
      </c>
      <c r="FL260" t="e">
        <f>IF(Sheet1!#REF!,"AAAAAHF/xqc=",0)</f>
        <v>#REF!</v>
      </c>
      <c r="FM260" t="e">
        <f>IF(Sheet1!#REF!,"AAAAAHF/xqg=",0)</f>
        <v>#REF!</v>
      </c>
      <c r="FN260" t="e">
        <f>IF(Sheet1!#REF!,"AAAAAHF/xqk=",0)</f>
        <v>#REF!</v>
      </c>
      <c r="FO260" t="e">
        <f>IF(Sheet1!#REF!,"AAAAAHF/xqo=",0)</f>
        <v>#REF!</v>
      </c>
      <c r="FP260" t="e">
        <f>IF(Sheet1!#REF!,"AAAAAHF/xqs=",0)</f>
        <v>#REF!</v>
      </c>
      <c r="FQ260" t="e">
        <f>IF(Sheet1!#REF!,"AAAAAHF/xqw=",0)</f>
        <v>#REF!</v>
      </c>
      <c r="FR260" t="e">
        <f>IF(Sheet1!#REF!,"AAAAAHF/xq0=",0)</f>
        <v>#REF!</v>
      </c>
      <c r="FS260" t="e">
        <f>IF(Sheet1!#REF!,"AAAAAHF/xq4=",0)</f>
        <v>#REF!</v>
      </c>
      <c r="FT260" t="e">
        <f>IF(Sheet1!#REF!,"AAAAAHF/xq8=",0)</f>
        <v>#REF!</v>
      </c>
      <c r="FU260" t="e">
        <f>IF(Sheet1!#REF!,"AAAAAHF/xrA=",0)</f>
        <v>#REF!</v>
      </c>
      <c r="FV260" t="e">
        <f>IF(Sheet1!#REF!,"AAAAAHF/xrE=",0)</f>
        <v>#REF!</v>
      </c>
      <c r="FW260" t="e">
        <f>IF(Sheet1!#REF!,"AAAAAHF/xrI=",0)</f>
        <v>#REF!</v>
      </c>
      <c r="FX260" t="e">
        <f>IF(Sheet1!#REF!,"AAAAAHF/xrM=",0)</f>
        <v>#REF!</v>
      </c>
      <c r="FY260" t="e">
        <f>IF(Sheet1!#REF!,"AAAAAHF/xrQ=",0)</f>
        <v>#REF!</v>
      </c>
      <c r="FZ260" t="e">
        <f>IF(Sheet1!#REF!,"AAAAAHF/xrU=",0)</f>
        <v>#REF!</v>
      </c>
      <c r="GA260" t="e">
        <f>IF(Sheet1!#REF!,"AAAAAHF/xrY=",0)</f>
        <v>#REF!</v>
      </c>
      <c r="GB260" t="e">
        <f>IF(Sheet1!#REF!,"AAAAAHF/xrc=",0)</f>
        <v>#REF!</v>
      </c>
      <c r="GC260" t="e">
        <f>IF(Sheet1!#REF!,"AAAAAHF/xrg=",0)</f>
        <v>#REF!</v>
      </c>
      <c r="GD260" t="e">
        <f>IF(Sheet1!#REF!,"AAAAAHF/xrk=",0)</f>
        <v>#REF!</v>
      </c>
      <c r="GE260" t="e">
        <f>IF(Sheet1!#REF!,"AAAAAHF/xro=",0)</f>
        <v>#REF!</v>
      </c>
      <c r="GF260" t="e">
        <f>IF(Sheet1!#REF!,"AAAAAHF/xrs=",0)</f>
        <v>#REF!</v>
      </c>
      <c r="GG260" t="e">
        <f>IF(Sheet1!#REF!,"AAAAAHF/xrw=",0)</f>
        <v>#REF!</v>
      </c>
      <c r="GH260" t="e">
        <f>IF(Sheet1!#REF!,"AAAAAHF/xr0=",0)</f>
        <v>#REF!</v>
      </c>
      <c r="GI260" t="e">
        <f>IF(Sheet1!#REF!,"AAAAAHF/xr4=",0)</f>
        <v>#REF!</v>
      </c>
      <c r="GJ260" t="e">
        <f>IF(Sheet1!#REF!,"AAAAAHF/xr8=",0)</f>
        <v>#REF!</v>
      </c>
      <c r="GK260" t="e">
        <f>IF(Sheet1!#REF!,"AAAAAHF/xsA=",0)</f>
        <v>#REF!</v>
      </c>
      <c r="GL260" t="e">
        <f>IF(Sheet1!#REF!,"AAAAAHF/xsE=",0)</f>
        <v>#REF!</v>
      </c>
      <c r="GM260" t="e">
        <f>IF(Sheet1!#REF!,"AAAAAHF/xsI=",0)</f>
        <v>#REF!</v>
      </c>
      <c r="GN260" t="e">
        <f>IF(Sheet1!#REF!,"AAAAAHF/xsM=",0)</f>
        <v>#REF!</v>
      </c>
      <c r="GO260" t="e">
        <f>IF(Sheet1!#REF!,"AAAAAHF/xsQ=",0)</f>
        <v>#REF!</v>
      </c>
      <c r="GP260" t="e">
        <f>IF(Sheet1!#REF!,"AAAAAHF/xsU=",0)</f>
        <v>#REF!</v>
      </c>
      <c r="GQ260" t="e">
        <f>IF(Sheet1!#REF!,"AAAAAHF/xsY=",0)</f>
        <v>#REF!</v>
      </c>
      <c r="GR260" t="e">
        <f>IF(Sheet1!#REF!,"AAAAAHF/xsc=",0)</f>
        <v>#REF!</v>
      </c>
      <c r="GS260" t="e">
        <f>IF(Sheet1!#REF!,"AAAAAHF/xsg=",0)</f>
        <v>#REF!</v>
      </c>
      <c r="GT260" t="e">
        <f>IF(Sheet1!#REF!,"AAAAAHF/xsk=",0)</f>
        <v>#REF!</v>
      </c>
      <c r="GU260" t="e">
        <f>IF(Sheet1!#REF!,"AAAAAHF/xso=",0)</f>
        <v>#REF!</v>
      </c>
      <c r="GV260" t="e">
        <f>IF(Sheet1!#REF!,"AAAAAHF/xss=",0)</f>
        <v>#REF!</v>
      </c>
      <c r="GW260" t="e">
        <f>IF(Sheet1!#REF!,"AAAAAHF/xsw=",0)</f>
        <v>#REF!</v>
      </c>
      <c r="GX260" t="e">
        <f>IF(Sheet1!#REF!,"AAAAAHF/xs0=",0)</f>
        <v>#REF!</v>
      </c>
      <c r="GY260" t="e">
        <f>IF(Sheet1!#REF!,"AAAAAHF/xs4=",0)</f>
        <v>#REF!</v>
      </c>
      <c r="GZ260" t="e">
        <f>IF(Sheet1!#REF!,"AAAAAHF/xs8=",0)</f>
        <v>#REF!</v>
      </c>
      <c r="HA260" t="e">
        <f>IF(Sheet1!#REF!,"AAAAAHF/xtA=",0)</f>
        <v>#REF!</v>
      </c>
      <c r="HB260" t="e">
        <f>IF(Sheet1!#REF!,"AAAAAHF/xtE=",0)</f>
        <v>#REF!</v>
      </c>
      <c r="HC260" t="e">
        <f>IF(Sheet1!#REF!,"AAAAAHF/xtI=",0)</f>
        <v>#REF!</v>
      </c>
      <c r="HD260" t="e">
        <f>IF(Sheet1!#REF!,"AAAAAHF/xtM=",0)</f>
        <v>#REF!</v>
      </c>
      <c r="HE260" t="e">
        <f>IF(Sheet1!#REF!,"AAAAAHF/xtQ=",0)</f>
        <v>#REF!</v>
      </c>
      <c r="HF260" t="e">
        <f>IF(Sheet1!#REF!,"AAAAAHF/xtU=",0)</f>
        <v>#REF!</v>
      </c>
      <c r="HG260" t="e">
        <f>IF(Sheet1!#REF!,"AAAAAHF/xtY=",0)</f>
        <v>#REF!</v>
      </c>
      <c r="HH260" t="e">
        <f>IF(Sheet1!#REF!,"AAAAAHF/xtc=",0)</f>
        <v>#REF!</v>
      </c>
      <c r="HI260" t="e">
        <f>IF(Sheet1!#REF!,"AAAAAHF/xtg=",0)</f>
        <v>#REF!</v>
      </c>
      <c r="HJ260" t="e">
        <f>IF(Sheet1!#REF!,"AAAAAHF/xtk=",0)</f>
        <v>#REF!</v>
      </c>
      <c r="HK260" t="e">
        <f>IF(Sheet1!#REF!,"AAAAAHF/xto=",0)</f>
        <v>#REF!</v>
      </c>
      <c r="HL260" t="e">
        <f>IF(Sheet1!#REF!,"AAAAAHF/xts=",0)</f>
        <v>#REF!</v>
      </c>
      <c r="HM260" t="e">
        <f>IF(Sheet1!#REF!,"AAAAAHF/xtw=",0)</f>
        <v>#REF!</v>
      </c>
      <c r="HN260" t="e">
        <f>IF(Sheet1!#REF!,"AAAAAHF/xt0=",0)</f>
        <v>#REF!</v>
      </c>
      <c r="HO260" t="e">
        <f>IF(Sheet1!#REF!,"AAAAAHF/xt4=",0)</f>
        <v>#REF!</v>
      </c>
      <c r="HP260" t="e">
        <f>IF(Sheet1!#REF!,"AAAAAHF/xt8=",0)</f>
        <v>#REF!</v>
      </c>
      <c r="HQ260" t="e">
        <f>IF(Sheet1!#REF!,"AAAAAHF/xuA=",0)</f>
        <v>#REF!</v>
      </c>
      <c r="HR260" t="e">
        <f>IF(Sheet1!#REF!,"AAAAAHF/xuE=",0)</f>
        <v>#REF!</v>
      </c>
      <c r="HS260" t="e">
        <f>IF(Sheet1!#REF!,"AAAAAHF/xuI=",0)</f>
        <v>#REF!</v>
      </c>
      <c r="HT260" t="e">
        <f>IF(Sheet1!#REF!,"AAAAAHF/xuM=",0)</f>
        <v>#REF!</v>
      </c>
      <c r="HU260" t="e">
        <f>IF(Sheet1!#REF!,"AAAAAHF/xuQ=",0)</f>
        <v>#REF!</v>
      </c>
      <c r="HV260" t="e">
        <f>IF(Sheet1!#REF!,"AAAAAHF/xuU=",0)</f>
        <v>#REF!</v>
      </c>
      <c r="HW260" t="e">
        <f>IF(Sheet1!#REF!,"AAAAAHF/xuY=",0)</f>
        <v>#REF!</v>
      </c>
      <c r="HX260" t="e">
        <f>IF(Sheet1!#REF!,"AAAAAHF/xuc=",0)</f>
        <v>#REF!</v>
      </c>
      <c r="HY260" t="e">
        <f>IF(Sheet1!#REF!,"AAAAAHF/xug=",0)</f>
        <v>#REF!</v>
      </c>
      <c r="HZ260" t="e">
        <f>IF(Sheet1!#REF!,"AAAAAHF/xuk=",0)</f>
        <v>#REF!</v>
      </c>
      <c r="IA260" t="e">
        <f>IF(Sheet1!#REF!,"AAAAAHF/xuo=",0)</f>
        <v>#REF!</v>
      </c>
      <c r="IB260" t="e">
        <f>IF(Sheet1!#REF!,"AAAAAHF/xus=",0)</f>
        <v>#REF!</v>
      </c>
      <c r="IC260" t="e">
        <f>IF(Sheet1!#REF!,"AAAAAHF/xuw=",0)</f>
        <v>#REF!</v>
      </c>
      <c r="ID260" t="e">
        <f>IF(Sheet1!#REF!,"AAAAAHF/xu0=",0)</f>
        <v>#REF!</v>
      </c>
      <c r="IE260" t="e">
        <f>IF(Sheet1!#REF!,"AAAAAHF/xu4=",0)</f>
        <v>#REF!</v>
      </c>
      <c r="IF260" t="e">
        <f>IF(Sheet1!#REF!,"AAAAAHF/xu8=",0)</f>
        <v>#REF!</v>
      </c>
      <c r="IG260" t="e">
        <f>IF(Sheet1!#REF!,"AAAAAHF/xvA=",0)</f>
        <v>#REF!</v>
      </c>
      <c r="IH260" t="e">
        <f>IF(Sheet1!#REF!,"AAAAAHF/xvE=",0)</f>
        <v>#REF!</v>
      </c>
      <c r="II260" t="e">
        <f>IF(Sheet1!#REF!,"AAAAAHF/xvI=",0)</f>
        <v>#REF!</v>
      </c>
      <c r="IJ260" t="e">
        <f>IF(Sheet1!#REF!,"AAAAAHF/xvM=",0)</f>
        <v>#REF!</v>
      </c>
      <c r="IK260" t="e">
        <f>IF(Sheet1!#REF!,"AAAAAHF/xvQ=",0)</f>
        <v>#REF!</v>
      </c>
      <c r="IL260" t="e">
        <f>IF(Sheet1!#REF!,"AAAAAHF/xvU=",0)</f>
        <v>#REF!</v>
      </c>
      <c r="IM260" t="e">
        <f>IF(Sheet1!#REF!,"AAAAAHF/xvY=",0)</f>
        <v>#REF!</v>
      </c>
      <c r="IN260" t="e">
        <f>IF(Sheet1!#REF!,"AAAAAHF/xvc=",0)</f>
        <v>#REF!</v>
      </c>
      <c r="IO260" t="e">
        <f>IF(Sheet1!#REF!,"AAAAAHF/xvg=",0)</f>
        <v>#REF!</v>
      </c>
      <c r="IP260" t="e">
        <f>IF(Sheet1!#REF!,"AAAAAHF/xvk=",0)</f>
        <v>#REF!</v>
      </c>
      <c r="IQ260" t="e">
        <f>IF(Sheet1!#REF!,"AAAAAHF/xvo=",0)</f>
        <v>#REF!</v>
      </c>
      <c r="IR260" t="e">
        <f>IF(Sheet1!#REF!,"AAAAAHF/xvs=",0)</f>
        <v>#REF!</v>
      </c>
      <c r="IS260" t="e">
        <f>IF(Sheet1!#REF!,"AAAAAHF/xvw=",0)</f>
        <v>#REF!</v>
      </c>
      <c r="IT260" t="e">
        <f>IF(Sheet1!#REF!,"AAAAAHF/xv0=",0)</f>
        <v>#REF!</v>
      </c>
      <c r="IU260" t="e">
        <f>IF(Sheet1!#REF!,"AAAAAHF/xv4=",0)</f>
        <v>#REF!</v>
      </c>
      <c r="IV260" t="e">
        <f>IF(Sheet1!#REF!,"AAAAAHF/xv8=",0)</f>
        <v>#REF!</v>
      </c>
    </row>
    <row r="261" spans="1:256" x14ac:dyDescent="0.2">
      <c r="A261" t="e">
        <f>IF(Sheet1!#REF!,"AAAAAGyWrwA=",0)</f>
        <v>#REF!</v>
      </c>
      <c r="B261" t="e">
        <f>IF(Sheet1!#REF!,"AAAAAGyWrwE=",0)</f>
        <v>#REF!</v>
      </c>
      <c r="C261" t="e">
        <f>IF(Sheet1!#REF!,"AAAAAGyWrwI=",0)</f>
        <v>#REF!</v>
      </c>
      <c r="D261" t="e">
        <f>IF(Sheet1!#REF!,"AAAAAGyWrwM=",0)</f>
        <v>#REF!</v>
      </c>
      <c r="E261" t="e">
        <f>IF(Sheet1!#REF!,"AAAAAGyWrwQ=",0)</f>
        <v>#REF!</v>
      </c>
      <c r="F261" t="e">
        <f>IF(Sheet1!#REF!,"AAAAAGyWrwU=",0)</f>
        <v>#REF!</v>
      </c>
      <c r="G261" t="e">
        <f>IF(Sheet1!#REF!,"AAAAAGyWrwY=",0)</f>
        <v>#REF!</v>
      </c>
      <c r="H261" t="e">
        <f>IF(Sheet1!#REF!,"AAAAAGyWrwc=",0)</f>
        <v>#REF!</v>
      </c>
      <c r="I261" t="e">
        <f>IF(Sheet1!#REF!,"AAAAAGyWrwg=",0)</f>
        <v>#REF!</v>
      </c>
      <c r="J261" t="e">
        <f>IF(Sheet1!#REF!,"AAAAAGyWrwk=",0)</f>
        <v>#REF!</v>
      </c>
      <c r="K261" t="e">
        <f>IF(Sheet1!#REF!,"AAAAAGyWrwo=",0)</f>
        <v>#REF!</v>
      </c>
      <c r="L261" t="e">
        <f>IF(Sheet1!#REF!,"AAAAAGyWrws=",0)</f>
        <v>#REF!</v>
      </c>
      <c r="M261" t="e">
        <f>IF(Sheet1!#REF!,"AAAAAGyWrww=",0)</f>
        <v>#REF!</v>
      </c>
      <c r="N261" t="e">
        <f>IF(Sheet1!#REF!,"AAAAAGyWrw0=",0)</f>
        <v>#REF!</v>
      </c>
      <c r="O261" t="e">
        <f>IF(Sheet1!#REF!,"AAAAAGyWrw4=",0)</f>
        <v>#REF!</v>
      </c>
      <c r="P261" t="e">
        <f>IF(Sheet1!#REF!,"AAAAAGyWrw8=",0)</f>
        <v>#REF!</v>
      </c>
      <c r="Q261" t="e">
        <f>IF(Sheet1!#REF!,"AAAAAGyWrxA=",0)</f>
        <v>#REF!</v>
      </c>
      <c r="R261" t="e">
        <f>IF(Sheet1!#REF!,"AAAAAGyWrxE=",0)</f>
        <v>#REF!</v>
      </c>
      <c r="S261" t="e">
        <f>IF(Sheet1!#REF!,"AAAAAGyWrxI=",0)</f>
        <v>#REF!</v>
      </c>
      <c r="T261" t="e">
        <f>IF(Sheet1!#REF!,"AAAAAGyWrxM=",0)</f>
        <v>#REF!</v>
      </c>
      <c r="U261" t="e">
        <f>IF(Sheet1!#REF!,"AAAAAGyWrxQ=",0)</f>
        <v>#REF!</v>
      </c>
      <c r="V261" t="e">
        <f>IF(Sheet1!#REF!,"AAAAAGyWrxU=",0)</f>
        <v>#REF!</v>
      </c>
      <c r="W261" t="e">
        <f>IF(Sheet1!#REF!,"AAAAAGyWrxY=",0)</f>
        <v>#REF!</v>
      </c>
      <c r="X261" t="e">
        <f>IF(Sheet1!#REF!,"AAAAAGyWrxc=",0)</f>
        <v>#REF!</v>
      </c>
      <c r="Y261" t="e">
        <f>IF(Sheet1!#REF!,"AAAAAGyWrxg=",0)</f>
        <v>#REF!</v>
      </c>
      <c r="Z261" t="e">
        <f>IF(Sheet1!#REF!,"AAAAAGyWrxk=",0)</f>
        <v>#REF!</v>
      </c>
      <c r="AA261" t="e">
        <f>IF(Sheet1!#REF!,"AAAAAGyWrxo=",0)</f>
        <v>#REF!</v>
      </c>
      <c r="AB261" t="e">
        <f>IF(Sheet1!#REF!,"AAAAAGyWrxs=",0)</f>
        <v>#REF!</v>
      </c>
      <c r="AC261" t="e">
        <f>IF(Sheet1!#REF!,"AAAAAGyWrxw=",0)</f>
        <v>#REF!</v>
      </c>
      <c r="AD261" t="e">
        <f>IF(Sheet1!#REF!,"AAAAAGyWrx0=",0)</f>
        <v>#REF!</v>
      </c>
      <c r="AE261" t="e">
        <f>IF(Sheet1!#REF!,"AAAAAGyWrx4=",0)</f>
        <v>#REF!</v>
      </c>
      <c r="AF261" t="e">
        <f>IF(Sheet1!#REF!,"AAAAAGyWrx8=",0)</f>
        <v>#REF!</v>
      </c>
      <c r="AG261" t="e">
        <f>IF(Sheet1!#REF!,"AAAAAGyWryA=",0)</f>
        <v>#REF!</v>
      </c>
      <c r="AH261" t="e">
        <f>IF(Sheet1!#REF!,"AAAAAGyWryE=",0)</f>
        <v>#REF!</v>
      </c>
      <c r="AI261" t="e">
        <f>IF(Sheet1!#REF!,"AAAAAGyWryI=",0)</f>
        <v>#REF!</v>
      </c>
      <c r="AJ261" t="e">
        <f>IF(Sheet1!#REF!,"AAAAAGyWryM=",0)</f>
        <v>#REF!</v>
      </c>
      <c r="AK261" t="e">
        <f>IF(Sheet1!#REF!,"AAAAAGyWryQ=",0)</f>
        <v>#REF!</v>
      </c>
      <c r="AL261" t="e">
        <f>IF(Sheet1!#REF!,"AAAAAGyWryU=",0)</f>
        <v>#REF!</v>
      </c>
      <c r="AM261" t="e">
        <f>IF(Sheet1!#REF!,"AAAAAGyWryY=",0)</f>
        <v>#REF!</v>
      </c>
      <c r="AN261" t="e">
        <f>IF(Sheet1!#REF!,"AAAAAGyWryc=",0)</f>
        <v>#REF!</v>
      </c>
      <c r="AO261" t="e">
        <f>IF(Sheet1!#REF!,"AAAAAGyWryg=",0)</f>
        <v>#REF!</v>
      </c>
      <c r="AP261" t="e">
        <f>IF(Sheet1!#REF!,"AAAAAGyWryk=",0)</f>
        <v>#REF!</v>
      </c>
      <c r="AQ261" t="e">
        <f>IF(Sheet1!#REF!,"AAAAAGyWryo=",0)</f>
        <v>#REF!</v>
      </c>
      <c r="AR261" t="e">
        <f>IF(Sheet1!#REF!,"AAAAAGyWrys=",0)</f>
        <v>#REF!</v>
      </c>
      <c r="AS261" t="e">
        <f>IF(Sheet1!#REF!,"AAAAAGyWryw=",0)</f>
        <v>#REF!</v>
      </c>
      <c r="AT261" t="e">
        <f>IF(Sheet1!#REF!,"AAAAAGyWry0=",0)</f>
        <v>#REF!</v>
      </c>
      <c r="AU261" t="e">
        <f>IF(Sheet1!#REF!,"AAAAAGyWry4=",0)</f>
        <v>#REF!</v>
      </c>
      <c r="AV261" t="e">
        <f>IF(Sheet1!#REF!,"AAAAAGyWry8=",0)</f>
        <v>#REF!</v>
      </c>
      <c r="AW261" t="e">
        <f>IF(Sheet1!#REF!,"AAAAAGyWrzA=",0)</f>
        <v>#REF!</v>
      </c>
      <c r="AX261" t="e">
        <f>IF(Sheet1!#REF!,"AAAAAGyWrzE=",0)</f>
        <v>#REF!</v>
      </c>
      <c r="AY261" t="e">
        <f>IF(Sheet1!#REF!,"AAAAAGyWrzI=",0)</f>
        <v>#REF!</v>
      </c>
      <c r="AZ261" t="e">
        <f>IF(Sheet1!#REF!,"AAAAAGyWrzM=",0)</f>
        <v>#REF!</v>
      </c>
      <c r="BA261" t="e">
        <f>IF(Sheet1!#REF!,"AAAAAGyWrzQ=",0)</f>
        <v>#REF!</v>
      </c>
      <c r="BB261" t="e">
        <f>IF(Sheet1!#REF!,"AAAAAGyWrzU=",0)</f>
        <v>#REF!</v>
      </c>
      <c r="BC261" t="e">
        <f>IF(Sheet1!#REF!,"AAAAAGyWrzY=",0)</f>
        <v>#REF!</v>
      </c>
      <c r="BD261" t="e">
        <f>IF(Sheet1!#REF!,"AAAAAGyWrzc=",0)</f>
        <v>#REF!</v>
      </c>
      <c r="BE261" t="e">
        <f>IF(Sheet1!#REF!,"AAAAAGyWrzg=",0)</f>
        <v>#REF!</v>
      </c>
      <c r="BF261" t="e">
        <f>IF(Sheet1!#REF!,"AAAAAGyWrzk=",0)</f>
        <v>#REF!</v>
      </c>
      <c r="BG261" t="e">
        <f>IF(Sheet1!#REF!,"AAAAAGyWrzo=",0)</f>
        <v>#REF!</v>
      </c>
      <c r="BH261" t="e">
        <f>IF(Sheet1!#REF!,"AAAAAGyWrzs=",0)</f>
        <v>#REF!</v>
      </c>
      <c r="BI261" t="e">
        <f>IF(Sheet1!#REF!,"AAAAAGyWrzw=",0)</f>
        <v>#REF!</v>
      </c>
      <c r="BJ261" t="e">
        <f>IF(Sheet1!#REF!,"AAAAAGyWrz0=",0)</f>
        <v>#REF!</v>
      </c>
      <c r="BK261" t="e">
        <f>IF(Sheet1!#REF!,"AAAAAGyWrz4=",0)</f>
        <v>#REF!</v>
      </c>
      <c r="BL261" t="e">
        <f>IF(Sheet1!#REF!,"AAAAAGyWrz8=",0)</f>
        <v>#REF!</v>
      </c>
      <c r="BM261" t="e">
        <f>IF(Sheet1!#REF!,"AAAAAGyWr0A=",0)</f>
        <v>#REF!</v>
      </c>
      <c r="BN261" t="e">
        <f>IF(Sheet1!#REF!,"AAAAAGyWr0E=",0)</f>
        <v>#REF!</v>
      </c>
      <c r="BO261" t="e">
        <f>IF(Sheet1!#REF!,"AAAAAGyWr0I=",0)</f>
        <v>#REF!</v>
      </c>
      <c r="BP261" t="e">
        <f>IF(Sheet1!#REF!,"AAAAAGyWr0M=",0)</f>
        <v>#REF!</v>
      </c>
      <c r="BQ261" t="e">
        <f>IF(Sheet1!#REF!,"AAAAAGyWr0Q=",0)</f>
        <v>#REF!</v>
      </c>
      <c r="BR261" t="e">
        <f>IF(Sheet1!#REF!,"AAAAAGyWr0U=",0)</f>
        <v>#REF!</v>
      </c>
      <c r="BS261" t="e">
        <f>IF(Sheet1!#REF!,"AAAAAGyWr0Y=",0)</f>
        <v>#REF!</v>
      </c>
      <c r="BT261" t="e">
        <f>IF(Sheet1!#REF!,"AAAAAGyWr0c=",0)</f>
        <v>#REF!</v>
      </c>
      <c r="BU261" t="e">
        <f>IF(Sheet1!#REF!,"AAAAAGyWr0g=",0)</f>
        <v>#REF!</v>
      </c>
      <c r="BV261" t="e">
        <f>IF(Sheet1!#REF!,"AAAAAGyWr0k=",0)</f>
        <v>#REF!</v>
      </c>
      <c r="BW261" t="e">
        <f>IF(Sheet1!#REF!,"AAAAAGyWr0o=",0)</f>
        <v>#REF!</v>
      </c>
      <c r="BX261" t="e">
        <f>IF(Sheet1!#REF!,"AAAAAGyWr0s=",0)</f>
        <v>#REF!</v>
      </c>
      <c r="BY261" t="e">
        <f>IF(Sheet1!#REF!,"AAAAAGyWr0w=",0)</f>
        <v>#REF!</v>
      </c>
      <c r="BZ261" t="e">
        <f>IF(Sheet1!#REF!,"AAAAAGyWr00=",0)</f>
        <v>#REF!</v>
      </c>
      <c r="CA261" t="e">
        <f>IF(Sheet1!#REF!,"AAAAAGyWr04=",0)</f>
        <v>#REF!</v>
      </c>
      <c r="CB261" t="e">
        <f>IF(Sheet1!#REF!,"AAAAAGyWr08=",0)</f>
        <v>#REF!</v>
      </c>
      <c r="CC261" t="e">
        <f>IF(Sheet1!#REF!,"AAAAAGyWr1A=",0)</f>
        <v>#REF!</v>
      </c>
      <c r="CD261" t="e">
        <f>IF(Sheet1!#REF!,"AAAAAGyWr1E=",0)</f>
        <v>#REF!</v>
      </c>
      <c r="CE261" t="e">
        <f>IF(Sheet1!#REF!,"AAAAAGyWr1I=",0)</f>
        <v>#REF!</v>
      </c>
      <c r="CF261" t="e">
        <f>IF(Sheet1!#REF!,"AAAAAGyWr1M=",0)</f>
        <v>#REF!</v>
      </c>
      <c r="CG261" t="e">
        <f>IF(Sheet1!#REF!,"AAAAAGyWr1Q=",0)</f>
        <v>#REF!</v>
      </c>
      <c r="CH261" t="e">
        <f>IF(Sheet1!#REF!,"AAAAAGyWr1U=",0)</f>
        <v>#REF!</v>
      </c>
      <c r="CI261" t="e">
        <f>IF(Sheet1!#REF!,"AAAAAGyWr1Y=",0)</f>
        <v>#REF!</v>
      </c>
      <c r="CJ261" t="e">
        <f>IF(Sheet1!#REF!,"AAAAAGyWr1c=",0)</f>
        <v>#REF!</v>
      </c>
      <c r="CK261" t="e">
        <f>IF(Sheet1!#REF!,"AAAAAGyWr1g=",0)</f>
        <v>#REF!</v>
      </c>
      <c r="CL261" t="e">
        <f>IF(Sheet1!#REF!,"AAAAAGyWr1k=",0)</f>
        <v>#REF!</v>
      </c>
      <c r="CM261" t="e">
        <f>IF(Sheet1!#REF!,"AAAAAGyWr1o=",0)</f>
        <v>#REF!</v>
      </c>
      <c r="CN261" t="e">
        <f>IF(Sheet1!#REF!,"AAAAAGyWr1s=",0)</f>
        <v>#REF!</v>
      </c>
      <c r="CO261" t="e">
        <f>IF(Sheet1!#REF!,"AAAAAGyWr1w=",0)</f>
        <v>#REF!</v>
      </c>
      <c r="CP261" t="e">
        <f>IF(Sheet1!#REF!,"AAAAAGyWr10=",0)</f>
        <v>#REF!</v>
      </c>
      <c r="CQ261" t="e">
        <f>IF(Sheet1!#REF!,"AAAAAGyWr14=",0)</f>
        <v>#REF!</v>
      </c>
      <c r="CR261" t="e">
        <f>IF(Sheet1!#REF!,"AAAAAGyWr18=",0)</f>
        <v>#REF!</v>
      </c>
      <c r="CS261" t="e">
        <f>IF(Sheet1!#REF!,"AAAAAGyWr2A=",0)</f>
        <v>#REF!</v>
      </c>
      <c r="CT261" t="e">
        <f>IF(Sheet1!#REF!,"AAAAAGyWr2E=",0)</f>
        <v>#REF!</v>
      </c>
      <c r="CU261" t="e">
        <f>IF(Sheet1!#REF!,"AAAAAGyWr2I=",0)</f>
        <v>#REF!</v>
      </c>
      <c r="CV261" t="e">
        <f>IF(Sheet1!#REF!,"AAAAAGyWr2M=",0)</f>
        <v>#REF!</v>
      </c>
      <c r="CW261" t="e">
        <f>IF(Sheet1!#REF!,"AAAAAGyWr2Q=",0)</f>
        <v>#REF!</v>
      </c>
      <c r="CX261" t="e">
        <f>IF(Sheet1!#REF!,"AAAAAGyWr2U=",0)</f>
        <v>#REF!</v>
      </c>
      <c r="CY261" t="e">
        <f>IF(Sheet1!#REF!,"AAAAAGyWr2Y=",0)</f>
        <v>#REF!</v>
      </c>
      <c r="CZ261" t="e">
        <f>IF(Sheet1!#REF!,"AAAAAGyWr2c=",0)</f>
        <v>#REF!</v>
      </c>
      <c r="DA261" t="e">
        <f>IF(Sheet1!#REF!,"AAAAAGyWr2g=",0)</f>
        <v>#REF!</v>
      </c>
      <c r="DB261" t="e">
        <f>IF(Sheet1!#REF!,"AAAAAGyWr2k=",0)</f>
        <v>#REF!</v>
      </c>
      <c r="DC261" t="e">
        <f>IF(Sheet1!#REF!,"AAAAAGyWr2o=",0)</f>
        <v>#REF!</v>
      </c>
      <c r="DD261" t="e">
        <f>IF(Sheet1!#REF!,"AAAAAGyWr2s=",0)</f>
        <v>#REF!</v>
      </c>
      <c r="DE261" t="e">
        <f>IF(Sheet1!#REF!,"AAAAAGyWr2w=",0)</f>
        <v>#REF!</v>
      </c>
      <c r="DF261" t="e">
        <f>IF(Sheet1!#REF!,"AAAAAGyWr20=",0)</f>
        <v>#REF!</v>
      </c>
      <c r="DG261" t="e">
        <f>IF(Sheet1!#REF!,"AAAAAGyWr24=",0)</f>
        <v>#REF!</v>
      </c>
      <c r="DH261" t="e">
        <f>IF(Sheet1!#REF!,"AAAAAGyWr28=",0)</f>
        <v>#REF!</v>
      </c>
      <c r="DI261" t="e">
        <f>IF(Sheet1!#REF!,"AAAAAGyWr3A=",0)</f>
        <v>#REF!</v>
      </c>
      <c r="DJ261" t="e">
        <f>IF(Sheet1!#REF!,"AAAAAGyWr3E=",0)</f>
        <v>#REF!</v>
      </c>
      <c r="DK261" t="e">
        <f>IF(Sheet1!#REF!,"AAAAAGyWr3I=",0)</f>
        <v>#REF!</v>
      </c>
      <c r="DL261" t="e">
        <f>IF(Sheet1!#REF!,"AAAAAGyWr3M=",0)</f>
        <v>#REF!</v>
      </c>
      <c r="DM261" t="e">
        <f>IF(Sheet1!#REF!,"AAAAAGyWr3Q=",0)</f>
        <v>#REF!</v>
      </c>
      <c r="DN261" t="e">
        <f>IF(Sheet1!#REF!,"AAAAAGyWr3U=",0)</f>
        <v>#REF!</v>
      </c>
      <c r="DO261" t="e">
        <f>IF(Sheet1!#REF!,"AAAAAGyWr3Y=",0)</f>
        <v>#REF!</v>
      </c>
      <c r="DP261" t="e">
        <f>IF(Sheet1!#REF!,"AAAAAGyWr3c=",0)</f>
        <v>#REF!</v>
      </c>
      <c r="DQ261" t="e">
        <f>IF(Sheet1!#REF!,"AAAAAGyWr3g=",0)</f>
        <v>#REF!</v>
      </c>
      <c r="DR261" t="e">
        <f>IF(Sheet1!#REF!,"AAAAAGyWr3k=",0)</f>
        <v>#REF!</v>
      </c>
      <c r="DS261" t="e">
        <f>IF(Sheet1!#REF!,"AAAAAGyWr3o=",0)</f>
        <v>#REF!</v>
      </c>
      <c r="DT261" t="e">
        <f>IF(Sheet1!#REF!,"AAAAAGyWr3s=",0)</f>
        <v>#REF!</v>
      </c>
      <c r="DU261" t="e">
        <f>IF(Sheet1!#REF!,"AAAAAGyWr3w=",0)</f>
        <v>#REF!</v>
      </c>
      <c r="DV261" t="e">
        <f>IF(Sheet1!#REF!,"AAAAAGyWr30=",0)</f>
        <v>#REF!</v>
      </c>
      <c r="DW261" t="e">
        <f>IF(Sheet1!#REF!,"AAAAAGyWr34=",0)</f>
        <v>#REF!</v>
      </c>
      <c r="DX261" t="e">
        <f>IF(Sheet1!#REF!,"AAAAAGyWr38=",0)</f>
        <v>#REF!</v>
      </c>
      <c r="DY261" t="e">
        <f>IF(Sheet1!#REF!,"AAAAAGyWr4A=",0)</f>
        <v>#REF!</v>
      </c>
      <c r="DZ261" t="e">
        <f>IF(Sheet1!#REF!,"AAAAAGyWr4E=",0)</f>
        <v>#REF!</v>
      </c>
      <c r="EA261" t="e">
        <f>IF(Sheet1!#REF!,"AAAAAGyWr4I=",0)</f>
        <v>#REF!</v>
      </c>
      <c r="EB261" t="e">
        <f>IF(Sheet1!#REF!,"AAAAAGyWr4M=",0)</f>
        <v>#REF!</v>
      </c>
      <c r="EC261" t="e">
        <f>IF(Sheet1!#REF!,"AAAAAGyWr4Q=",0)</f>
        <v>#REF!</v>
      </c>
      <c r="ED261" t="e">
        <f>IF(Sheet1!#REF!,"AAAAAGyWr4U=",0)</f>
        <v>#REF!</v>
      </c>
      <c r="EE261" t="e">
        <f>IF(Sheet1!#REF!,"AAAAAGyWr4Y=",0)</f>
        <v>#REF!</v>
      </c>
      <c r="EF261" t="e">
        <f>IF(Sheet1!#REF!,"AAAAAGyWr4c=",0)</f>
        <v>#REF!</v>
      </c>
      <c r="EG261" t="e">
        <f>IF(Sheet1!#REF!,"AAAAAGyWr4g=",0)</f>
        <v>#REF!</v>
      </c>
      <c r="EH261" t="e">
        <f>IF(Sheet1!#REF!,"AAAAAGyWr4k=",0)</f>
        <v>#REF!</v>
      </c>
      <c r="EI261" t="e">
        <f>IF(Sheet1!#REF!,"AAAAAGyWr4o=",0)</f>
        <v>#REF!</v>
      </c>
      <c r="EJ261" t="e">
        <f>IF(Sheet1!#REF!,"AAAAAGyWr4s=",0)</f>
        <v>#REF!</v>
      </c>
      <c r="EK261" t="e">
        <f>IF(Sheet1!#REF!,"AAAAAGyWr4w=",0)</f>
        <v>#REF!</v>
      </c>
      <c r="EL261" t="e">
        <f>IF(Sheet1!#REF!,"AAAAAGyWr40=",0)</f>
        <v>#REF!</v>
      </c>
      <c r="EM261" t="e">
        <f>IF(Sheet1!#REF!,"AAAAAGyWr44=",0)</f>
        <v>#REF!</v>
      </c>
      <c r="EN261" t="e">
        <f>IF(Sheet1!#REF!,"AAAAAGyWr48=",0)</f>
        <v>#REF!</v>
      </c>
      <c r="EO261" t="e">
        <f>IF(Sheet1!#REF!,"AAAAAGyWr5A=",0)</f>
        <v>#REF!</v>
      </c>
      <c r="EP261" t="e">
        <f>IF(Sheet1!#REF!,"AAAAAGyWr5E=",0)</f>
        <v>#REF!</v>
      </c>
      <c r="EQ261" t="e">
        <f>IF(Sheet1!#REF!,"AAAAAGyWr5I=",0)</f>
        <v>#REF!</v>
      </c>
      <c r="ER261" t="e">
        <f>IF(Sheet1!#REF!,"AAAAAGyWr5M=",0)</f>
        <v>#REF!</v>
      </c>
      <c r="ES261" t="e">
        <f>IF(Sheet1!#REF!,"AAAAAGyWr5Q=",0)</f>
        <v>#REF!</v>
      </c>
      <c r="ET261" t="e">
        <f>IF(Sheet1!#REF!,"AAAAAGyWr5U=",0)</f>
        <v>#REF!</v>
      </c>
      <c r="EU261" t="e">
        <f>IF(Sheet1!#REF!,"AAAAAGyWr5Y=",0)</f>
        <v>#REF!</v>
      </c>
      <c r="EV261" t="e">
        <f>IF(Sheet1!#REF!,"AAAAAGyWr5c=",0)</f>
        <v>#REF!</v>
      </c>
      <c r="EW261" t="e">
        <f>IF(Sheet1!#REF!,"AAAAAGyWr5g=",0)</f>
        <v>#REF!</v>
      </c>
      <c r="EX261" t="e">
        <f>IF(Sheet1!#REF!,"AAAAAGyWr5k=",0)</f>
        <v>#REF!</v>
      </c>
      <c r="EY261" t="e">
        <f>IF(Sheet1!#REF!,"AAAAAGyWr5o=",0)</f>
        <v>#REF!</v>
      </c>
      <c r="EZ261" t="e">
        <f>IF(Sheet1!#REF!,"AAAAAGyWr5s=",0)</f>
        <v>#REF!</v>
      </c>
      <c r="FA261" t="e">
        <f>IF(Sheet1!#REF!,"AAAAAGyWr5w=",0)</f>
        <v>#REF!</v>
      </c>
      <c r="FB261" t="e">
        <f>IF(Sheet1!#REF!,"AAAAAGyWr50=",0)</f>
        <v>#REF!</v>
      </c>
      <c r="FC261" t="e">
        <f>IF(Sheet1!#REF!,"AAAAAGyWr54=",0)</f>
        <v>#REF!</v>
      </c>
      <c r="FD261" t="e">
        <f>IF(Sheet1!#REF!,"AAAAAGyWr58=",0)</f>
        <v>#REF!</v>
      </c>
      <c r="FE261" t="e">
        <f>IF(Sheet1!#REF!,"AAAAAGyWr6A=",0)</f>
        <v>#REF!</v>
      </c>
      <c r="FF261" t="e">
        <f>IF(Sheet1!#REF!,"AAAAAGyWr6E=",0)</f>
        <v>#REF!</v>
      </c>
      <c r="FG261" t="e">
        <f>IF(Sheet1!#REF!,"AAAAAGyWr6I=",0)</f>
        <v>#REF!</v>
      </c>
      <c r="FH261" t="e">
        <f>IF(Sheet1!#REF!,"AAAAAGyWr6M=",0)</f>
        <v>#REF!</v>
      </c>
      <c r="FI261" t="e">
        <f>IF(Sheet1!#REF!,"AAAAAGyWr6Q=",0)</f>
        <v>#REF!</v>
      </c>
      <c r="FJ261" t="e">
        <f>IF(Sheet1!#REF!,"AAAAAGyWr6U=",0)</f>
        <v>#REF!</v>
      </c>
      <c r="FK261" t="e">
        <f>IF(Sheet1!#REF!,"AAAAAGyWr6Y=",0)</f>
        <v>#REF!</v>
      </c>
      <c r="FL261" t="e">
        <f>IF(Sheet1!#REF!,"AAAAAGyWr6c=",0)</f>
        <v>#REF!</v>
      </c>
      <c r="FM261" t="e">
        <f>IF(Sheet1!#REF!,"AAAAAGyWr6g=",0)</f>
        <v>#REF!</v>
      </c>
      <c r="FN261" t="e">
        <f>IF(Sheet1!#REF!,"AAAAAGyWr6k=",0)</f>
        <v>#REF!</v>
      </c>
      <c r="FO261" t="e">
        <f>IF(Sheet1!#REF!,"AAAAAGyWr6o=",0)</f>
        <v>#REF!</v>
      </c>
      <c r="FP261" t="e">
        <f>IF(Sheet1!#REF!,"AAAAAGyWr6s=",0)</f>
        <v>#REF!</v>
      </c>
      <c r="FQ261" t="e">
        <f>IF(Sheet1!#REF!,"AAAAAGyWr6w=",0)</f>
        <v>#REF!</v>
      </c>
      <c r="FR261" t="e">
        <f>IF(Sheet1!#REF!,"AAAAAGyWr60=",0)</f>
        <v>#REF!</v>
      </c>
      <c r="FS261" t="e">
        <f>IF(Sheet1!#REF!,"AAAAAGyWr64=",0)</f>
        <v>#REF!</v>
      </c>
      <c r="FT261" t="e">
        <f>IF(Sheet1!#REF!,"AAAAAGyWr68=",0)</f>
        <v>#REF!</v>
      </c>
      <c r="FU261" t="e">
        <f>IF(Sheet1!#REF!,"AAAAAGyWr7A=",0)</f>
        <v>#REF!</v>
      </c>
      <c r="FV261" t="e">
        <f>IF(Sheet1!#REF!,"AAAAAGyWr7E=",0)</f>
        <v>#REF!</v>
      </c>
      <c r="FW261" t="e">
        <f>IF(Sheet1!#REF!,"AAAAAGyWr7I=",0)</f>
        <v>#REF!</v>
      </c>
      <c r="FX261" t="e">
        <f>IF(Sheet1!#REF!,"AAAAAGyWr7M=",0)</f>
        <v>#REF!</v>
      </c>
      <c r="FY261" t="e">
        <f>IF(Sheet1!#REF!,"AAAAAGyWr7Q=",0)</f>
        <v>#REF!</v>
      </c>
      <c r="FZ261" t="e">
        <f>IF(Sheet1!#REF!,"AAAAAGyWr7U=",0)</f>
        <v>#REF!</v>
      </c>
      <c r="GA261" t="e">
        <f>IF(Sheet1!#REF!,"AAAAAGyWr7Y=",0)</f>
        <v>#REF!</v>
      </c>
      <c r="GB261" t="e">
        <f>IF(Sheet1!#REF!,"AAAAAGyWr7c=",0)</f>
        <v>#REF!</v>
      </c>
      <c r="GC261" t="e">
        <f>IF(Sheet1!#REF!,"AAAAAGyWr7g=",0)</f>
        <v>#REF!</v>
      </c>
      <c r="GD261" t="e">
        <f>IF(Sheet1!#REF!,"AAAAAGyWr7k=",0)</f>
        <v>#REF!</v>
      </c>
      <c r="GE261" t="e">
        <f>IF(Sheet1!#REF!,"AAAAAGyWr7o=",0)</f>
        <v>#REF!</v>
      </c>
      <c r="GF261" t="e">
        <f>IF(Sheet1!#REF!,"AAAAAGyWr7s=",0)</f>
        <v>#REF!</v>
      </c>
      <c r="GG261" t="e">
        <f>IF(Sheet1!#REF!,"AAAAAGyWr7w=",0)</f>
        <v>#REF!</v>
      </c>
      <c r="GH261" t="e">
        <f>IF(Sheet1!#REF!,"AAAAAGyWr70=",0)</f>
        <v>#REF!</v>
      </c>
      <c r="GI261" t="e">
        <f>IF(Sheet1!#REF!,"AAAAAGyWr74=",0)</f>
        <v>#REF!</v>
      </c>
      <c r="GJ261" t="e">
        <f>IF(Sheet1!#REF!,"AAAAAGyWr78=",0)</f>
        <v>#REF!</v>
      </c>
      <c r="GK261" t="e">
        <f>IF(Sheet1!#REF!,"AAAAAGyWr8A=",0)</f>
        <v>#REF!</v>
      </c>
      <c r="GL261" t="e">
        <f>IF(Sheet1!#REF!,"AAAAAGyWr8E=",0)</f>
        <v>#REF!</v>
      </c>
      <c r="GM261" t="e">
        <f>IF(Sheet1!#REF!,"AAAAAGyWr8I=",0)</f>
        <v>#REF!</v>
      </c>
      <c r="GN261" t="e">
        <f>IF(Sheet1!#REF!,"AAAAAGyWr8M=",0)</f>
        <v>#REF!</v>
      </c>
      <c r="GO261" t="e">
        <f>IF(Sheet1!#REF!,"AAAAAGyWr8Q=",0)</f>
        <v>#REF!</v>
      </c>
      <c r="GP261" t="e">
        <f>IF(Sheet1!#REF!,"AAAAAGyWr8U=",0)</f>
        <v>#REF!</v>
      </c>
      <c r="GQ261" t="e">
        <f>IF(Sheet1!#REF!,"AAAAAGyWr8Y=",0)</f>
        <v>#REF!</v>
      </c>
      <c r="GR261" t="e">
        <f>IF(Sheet1!#REF!,"AAAAAGyWr8c=",0)</f>
        <v>#REF!</v>
      </c>
      <c r="GS261" t="e">
        <f>IF(Sheet1!#REF!,"AAAAAGyWr8g=",0)</f>
        <v>#REF!</v>
      </c>
      <c r="GT261" t="e">
        <f>IF(Sheet1!#REF!,"AAAAAGyWr8k=",0)</f>
        <v>#REF!</v>
      </c>
      <c r="GU261" t="e">
        <f>IF(Sheet1!#REF!,"AAAAAGyWr8o=",0)</f>
        <v>#REF!</v>
      </c>
      <c r="GV261" t="e">
        <f>IF(Sheet1!#REF!,"AAAAAGyWr8s=",0)</f>
        <v>#REF!</v>
      </c>
      <c r="GW261" t="e">
        <f>IF(Sheet1!#REF!,"AAAAAGyWr8w=",0)</f>
        <v>#REF!</v>
      </c>
      <c r="GX261" t="e">
        <f>IF(Sheet1!#REF!,"AAAAAGyWr80=",0)</f>
        <v>#REF!</v>
      </c>
      <c r="GY261" t="e">
        <f>IF(Sheet1!#REF!,"AAAAAGyWr84=",0)</f>
        <v>#REF!</v>
      </c>
      <c r="GZ261" t="e">
        <f>IF(Sheet1!#REF!,"AAAAAGyWr88=",0)</f>
        <v>#REF!</v>
      </c>
      <c r="HA261" t="e">
        <f>IF(Sheet1!#REF!,"AAAAAGyWr9A=",0)</f>
        <v>#REF!</v>
      </c>
      <c r="HB261" t="e">
        <f>IF(Sheet1!#REF!,"AAAAAGyWr9E=",0)</f>
        <v>#REF!</v>
      </c>
      <c r="HC261" t="e">
        <f>IF(Sheet1!#REF!,"AAAAAGyWr9I=",0)</f>
        <v>#REF!</v>
      </c>
      <c r="HD261" t="e">
        <f>IF(Sheet1!#REF!,"AAAAAGyWr9M=",0)</f>
        <v>#REF!</v>
      </c>
      <c r="HE261" t="e">
        <f>IF(Sheet1!#REF!,"AAAAAGyWr9Q=",0)</f>
        <v>#REF!</v>
      </c>
      <c r="HF261" t="e">
        <f>IF(Sheet1!#REF!,"AAAAAGyWr9U=",0)</f>
        <v>#REF!</v>
      </c>
      <c r="HG261" t="e">
        <f>IF(Sheet1!#REF!,"AAAAAGyWr9Y=",0)</f>
        <v>#REF!</v>
      </c>
      <c r="HH261" t="e">
        <f>IF(Sheet1!#REF!,"AAAAAGyWr9c=",0)</f>
        <v>#REF!</v>
      </c>
      <c r="HI261" t="e">
        <f>IF(Sheet1!#REF!,"AAAAAGyWr9g=",0)</f>
        <v>#REF!</v>
      </c>
      <c r="HJ261" t="e">
        <f>IF(Sheet1!#REF!,"AAAAAGyWr9k=",0)</f>
        <v>#REF!</v>
      </c>
      <c r="HK261" t="e">
        <f>IF(Sheet1!#REF!,"AAAAAGyWr9o=",0)</f>
        <v>#REF!</v>
      </c>
      <c r="HL261" t="e">
        <f>IF(Sheet1!#REF!,"AAAAAGyWr9s=",0)</f>
        <v>#REF!</v>
      </c>
      <c r="HM261" t="e">
        <f>IF(Sheet1!#REF!,"AAAAAGyWr9w=",0)</f>
        <v>#REF!</v>
      </c>
      <c r="HN261" t="e">
        <f>IF(Sheet1!#REF!,"AAAAAGyWr90=",0)</f>
        <v>#REF!</v>
      </c>
      <c r="HO261" t="e">
        <f>IF(Sheet1!#REF!,"AAAAAGyWr94=",0)</f>
        <v>#REF!</v>
      </c>
      <c r="HP261" t="e">
        <f>IF(Sheet1!#REF!,"AAAAAGyWr98=",0)</f>
        <v>#REF!</v>
      </c>
      <c r="HQ261" t="e">
        <f>IF(Sheet1!#REF!,"AAAAAGyWr+A=",0)</f>
        <v>#REF!</v>
      </c>
      <c r="HR261" t="e">
        <f>IF(Sheet1!#REF!,"AAAAAGyWr+E=",0)</f>
        <v>#REF!</v>
      </c>
      <c r="HS261" t="e">
        <f>IF(Sheet1!#REF!,"AAAAAGyWr+I=",0)</f>
        <v>#REF!</v>
      </c>
      <c r="HT261" t="e">
        <f>IF(Sheet1!#REF!,"AAAAAGyWr+M=",0)</f>
        <v>#REF!</v>
      </c>
      <c r="HU261" t="e">
        <f>IF(Sheet1!#REF!,"AAAAAGyWr+Q=",0)</f>
        <v>#REF!</v>
      </c>
      <c r="HV261" t="e">
        <f>IF(Sheet1!#REF!,"AAAAAGyWr+U=",0)</f>
        <v>#REF!</v>
      </c>
      <c r="HW261" t="e">
        <f>IF(Sheet1!#REF!,"AAAAAGyWr+Y=",0)</f>
        <v>#REF!</v>
      </c>
      <c r="HX261" t="e">
        <f>IF(Sheet1!#REF!,"AAAAAGyWr+c=",0)</f>
        <v>#REF!</v>
      </c>
      <c r="HY261" t="e">
        <f>IF(Sheet1!#REF!,"AAAAAGyWr+g=",0)</f>
        <v>#REF!</v>
      </c>
      <c r="HZ261" t="e">
        <f>IF(Sheet1!#REF!,"AAAAAGyWr+k=",0)</f>
        <v>#REF!</v>
      </c>
      <c r="IA261" t="e">
        <f>IF(Sheet1!#REF!,"AAAAAGyWr+o=",0)</f>
        <v>#REF!</v>
      </c>
      <c r="IB261" t="e">
        <f>IF(Sheet1!#REF!,"AAAAAGyWr+s=",0)</f>
        <v>#REF!</v>
      </c>
      <c r="IC261" t="e">
        <f>IF(Sheet1!#REF!,"AAAAAGyWr+w=",0)</f>
        <v>#REF!</v>
      </c>
      <c r="ID261" t="e">
        <f>IF(Sheet1!#REF!,"AAAAAGyWr+0=",0)</f>
        <v>#REF!</v>
      </c>
      <c r="IE261" t="e">
        <f>IF(Sheet1!#REF!,"AAAAAGyWr+4=",0)</f>
        <v>#REF!</v>
      </c>
      <c r="IF261" t="e">
        <f>IF(Sheet1!#REF!,"AAAAAGyWr+8=",0)</f>
        <v>#REF!</v>
      </c>
      <c r="IG261" t="e">
        <f>IF(Sheet1!#REF!,"AAAAAGyWr/A=",0)</f>
        <v>#REF!</v>
      </c>
      <c r="IH261" t="e">
        <f>IF(Sheet1!#REF!,"AAAAAGyWr/E=",0)</f>
        <v>#REF!</v>
      </c>
      <c r="II261" t="e">
        <f>IF(Sheet1!#REF!,"AAAAAGyWr/I=",0)</f>
        <v>#REF!</v>
      </c>
      <c r="IJ261" t="e">
        <f>IF(Sheet1!#REF!,"AAAAAGyWr/M=",0)</f>
        <v>#REF!</v>
      </c>
      <c r="IK261" t="e">
        <f>IF(Sheet1!#REF!,"AAAAAGyWr/Q=",0)</f>
        <v>#REF!</v>
      </c>
      <c r="IL261" t="e">
        <f>IF(Sheet1!#REF!,"AAAAAGyWr/U=",0)</f>
        <v>#REF!</v>
      </c>
      <c r="IM261" t="e">
        <f>IF(Sheet1!#REF!,"AAAAAGyWr/Y=",0)</f>
        <v>#REF!</v>
      </c>
      <c r="IN261" t="e">
        <f>IF(Sheet1!#REF!,"AAAAAGyWr/c=",0)</f>
        <v>#REF!</v>
      </c>
      <c r="IO261" t="e">
        <f>IF(Sheet1!#REF!,"AAAAAGyWr/g=",0)</f>
        <v>#REF!</v>
      </c>
      <c r="IP261" t="e">
        <f>IF(Sheet1!#REF!,"AAAAAGyWr/k=",0)</f>
        <v>#REF!</v>
      </c>
      <c r="IQ261" t="e">
        <f>IF(Sheet1!#REF!,"AAAAAGyWr/o=",0)</f>
        <v>#REF!</v>
      </c>
      <c r="IR261" t="e">
        <f>IF(Sheet1!#REF!,"AAAAAGyWr/s=",0)</f>
        <v>#REF!</v>
      </c>
      <c r="IS261" t="e">
        <f>IF(Sheet1!#REF!,"AAAAAGyWr/w=",0)</f>
        <v>#REF!</v>
      </c>
      <c r="IT261" t="e">
        <f>IF(Sheet1!#REF!,"AAAAAGyWr/0=",0)</f>
        <v>#REF!</v>
      </c>
      <c r="IU261" t="e">
        <f>IF(Sheet1!#REF!,"AAAAAGyWr/4=",0)</f>
        <v>#REF!</v>
      </c>
      <c r="IV261" t="e">
        <f>IF(Sheet1!#REF!,"AAAAAGyWr/8=",0)</f>
        <v>#REF!</v>
      </c>
    </row>
    <row r="262" spans="1:256" x14ac:dyDescent="0.2">
      <c r="A262" t="e">
        <f>IF(Sheet1!#REF!,"AAAAAEn8vwA=",0)</f>
        <v>#REF!</v>
      </c>
      <c r="B262" t="e">
        <f>IF(Sheet1!#REF!,"AAAAAEn8vwE=",0)</f>
        <v>#REF!</v>
      </c>
      <c r="C262" t="e">
        <f>IF(Sheet1!#REF!,"AAAAAEn8vwI=",0)</f>
        <v>#REF!</v>
      </c>
      <c r="D262" t="e">
        <f>IF(Sheet1!#REF!,"AAAAAEn8vwM=",0)</f>
        <v>#REF!</v>
      </c>
      <c r="E262" t="e">
        <f>IF(Sheet1!#REF!,"AAAAAEn8vwQ=",0)</f>
        <v>#REF!</v>
      </c>
      <c r="F262" t="e">
        <f>IF(Sheet1!#REF!,"AAAAAEn8vwU=",0)</f>
        <v>#REF!</v>
      </c>
      <c r="G262" t="e">
        <f>IF(Sheet1!#REF!,"AAAAAEn8vwY=",0)</f>
        <v>#REF!</v>
      </c>
      <c r="H262" t="e">
        <f>IF(Sheet1!#REF!,"AAAAAEn8vwc=",0)</f>
        <v>#REF!</v>
      </c>
      <c r="I262" t="e">
        <f>IF(Sheet1!#REF!,"AAAAAEn8vwg=",0)</f>
        <v>#REF!</v>
      </c>
      <c r="J262" t="e">
        <f>IF(Sheet1!#REF!,"AAAAAEn8vwk=",0)</f>
        <v>#REF!</v>
      </c>
      <c r="K262" t="e">
        <f>IF(Sheet1!#REF!,"AAAAAEn8vwo=",0)</f>
        <v>#REF!</v>
      </c>
      <c r="L262" t="e">
        <f>IF(Sheet1!#REF!,"AAAAAEn8vws=",0)</f>
        <v>#REF!</v>
      </c>
      <c r="M262" t="e">
        <f>IF(Sheet1!#REF!,"AAAAAEn8vww=",0)</f>
        <v>#REF!</v>
      </c>
      <c r="N262" t="e">
        <f>IF(Sheet1!#REF!,"AAAAAEn8vw0=",0)</f>
        <v>#REF!</v>
      </c>
      <c r="O262" t="e">
        <f>IF(Sheet1!#REF!,"AAAAAEn8vw4=",0)</f>
        <v>#REF!</v>
      </c>
      <c r="P262" t="e">
        <f>IF(Sheet1!#REF!,"AAAAAEn8vw8=",0)</f>
        <v>#REF!</v>
      </c>
      <c r="Q262" t="e">
        <f>IF(Sheet1!#REF!,"AAAAAEn8vxA=",0)</f>
        <v>#REF!</v>
      </c>
      <c r="R262" t="e">
        <f>IF(Sheet1!#REF!,"AAAAAEn8vxE=",0)</f>
        <v>#REF!</v>
      </c>
      <c r="S262" t="e">
        <f>IF(Sheet1!#REF!,"AAAAAEn8vxI=",0)</f>
        <v>#REF!</v>
      </c>
      <c r="T262" t="e">
        <f>IF(Sheet1!#REF!,"AAAAAEn8vxM=",0)</f>
        <v>#REF!</v>
      </c>
      <c r="U262" t="e">
        <f>IF(Sheet1!#REF!,"AAAAAEn8vxQ=",0)</f>
        <v>#REF!</v>
      </c>
      <c r="V262" t="e">
        <f>IF(Sheet1!#REF!,"AAAAAEn8vxU=",0)</f>
        <v>#REF!</v>
      </c>
      <c r="W262" t="e">
        <f>IF(Sheet1!#REF!,"AAAAAEn8vxY=",0)</f>
        <v>#REF!</v>
      </c>
      <c r="X262" t="e">
        <f>IF(Sheet1!#REF!,"AAAAAEn8vxc=",0)</f>
        <v>#REF!</v>
      </c>
      <c r="Y262" t="e">
        <f>IF(Sheet1!#REF!,"AAAAAEn8vxg=",0)</f>
        <v>#REF!</v>
      </c>
      <c r="Z262" t="e">
        <f>IF(Sheet1!#REF!,"AAAAAEn8vxk=",0)</f>
        <v>#REF!</v>
      </c>
      <c r="AA262" t="e">
        <f>IF(Sheet1!#REF!,"AAAAAEn8vxo=",0)</f>
        <v>#REF!</v>
      </c>
      <c r="AB262" t="e">
        <f>IF(Sheet1!#REF!,"AAAAAEn8vxs=",0)</f>
        <v>#REF!</v>
      </c>
      <c r="AC262" t="e">
        <f>IF(Sheet1!#REF!,"AAAAAEn8vxw=",0)</f>
        <v>#REF!</v>
      </c>
      <c r="AD262" t="e">
        <f>IF(Sheet1!#REF!,"AAAAAEn8vx0=",0)</f>
        <v>#REF!</v>
      </c>
      <c r="AE262" t="e">
        <f>IF(Sheet1!#REF!,"AAAAAEn8vx4=",0)</f>
        <v>#REF!</v>
      </c>
      <c r="AF262" t="e">
        <f>IF(Sheet1!#REF!,"AAAAAEn8vx8=",0)</f>
        <v>#REF!</v>
      </c>
      <c r="AG262" t="e">
        <f>IF(Sheet1!#REF!,"AAAAAEn8vyA=",0)</f>
        <v>#REF!</v>
      </c>
      <c r="AH262" t="e">
        <f>IF(Sheet1!#REF!,"AAAAAEn8vyE=",0)</f>
        <v>#REF!</v>
      </c>
      <c r="AI262" t="e">
        <f>IF(Sheet1!#REF!,"AAAAAEn8vyI=",0)</f>
        <v>#REF!</v>
      </c>
      <c r="AJ262" t="e">
        <f>IF(Sheet1!#REF!,"AAAAAEn8vyM=",0)</f>
        <v>#REF!</v>
      </c>
      <c r="AK262" t="e">
        <f>IF(Sheet1!#REF!,"AAAAAEn8vyQ=",0)</f>
        <v>#REF!</v>
      </c>
      <c r="AL262" t="e">
        <f>IF(Sheet1!#REF!,"AAAAAEn8vyU=",0)</f>
        <v>#REF!</v>
      </c>
      <c r="AM262" t="e">
        <f>IF(Sheet1!#REF!,"AAAAAEn8vyY=",0)</f>
        <v>#REF!</v>
      </c>
      <c r="AN262" t="e">
        <f>IF(Sheet1!#REF!,"AAAAAEn8vyc=",0)</f>
        <v>#REF!</v>
      </c>
      <c r="AO262" t="e">
        <f>IF(Sheet1!#REF!,"AAAAAEn8vyg=",0)</f>
        <v>#REF!</v>
      </c>
      <c r="AP262" t="e">
        <f>IF(Sheet1!#REF!,"AAAAAEn8vyk=",0)</f>
        <v>#REF!</v>
      </c>
      <c r="AQ262" t="e">
        <f>IF(Sheet1!#REF!,"AAAAAEn8vyo=",0)</f>
        <v>#REF!</v>
      </c>
      <c r="AR262" t="e">
        <f>IF(Sheet1!#REF!,"AAAAAEn8vys=",0)</f>
        <v>#REF!</v>
      </c>
      <c r="AS262" t="e">
        <f>IF(Sheet1!#REF!,"AAAAAEn8vyw=",0)</f>
        <v>#REF!</v>
      </c>
      <c r="AT262" t="e">
        <f>IF(Sheet1!#REF!,"AAAAAEn8vy0=",0)</f>
        <v>#REF!</v>
      </c>
      <c r="AU262" t="e">
        <f>IF(Sheet1!#REF!,"AAAAAEn8vy4=",0)</f>
        <v>#REF!</v>
      </c>
      <c r="AV262" t="e">
        <f>IF(Sheet1!#REF!,"AAAAAEn8vy8=",0)</f>
        <v>#REF!</v>
      </c>
      <c r="AW262" t="e">
        <f>IF(Sheet1!#REF!,"AAAAAEn8vzA=",0)</f>
        <v>#REF!</v>
      </c>
      <c r="AX262" t="e">
        <f>IF(Sheet1!#REF!,"AAAAAEn8vzE=",0)</f>
        <v>#REF!</v>
      </c>
      <c r="AY262" t="e">
        <f>IF(Sheet1!#REF!,"AAAAAEn8vzI=",0)</f>
        <v>#REF!</v>
      </c>
      <c r="AZ262" t="e">
        <f>IF(Sheet1!#REF!,"AAAAAEn8vzM=",0)</f>
        <v>#REF!</v>
      </c>
      <c r="BA262" t="e">
        <f>IF(Sheet1!#REF!,"AAAAAEn8vzQ=",0)</f>
        <v>#REF!</v>
      </c>
      <c r="BB262" t="e">
        <f>IF(Sheet1!#REF!,"AAAAAEn8vzU=",0)</f>
        <v>#REF!</v>
      </c>
      <c r="BC262" t="e">
        <f>IF(Sheet1!#REF!,"AAAAAEn8vzY=",0)</f>
        <v>#REF!</v>
      </c>
      <c r="BD262" t="e">
        <f>IF(Sheet1!#REF!,"AAAAAEn8vzc=",0)</f>
        <v>#REF!</v>
      </c>
      <c r="BE262" t="e">
        <f>IF(Sheet1!#REF!,"AAAAAEn8vzg=",0)</f>
        <v>#REF!</v>
      </c>
      <c r="BF262" t="e">
        <f>IF(Sheet1!#REF!,"AAAAAEn8vzk=",0)</f>
        <v>#REF!</v>
      </c>
      <c r="BG262" t="e">
        <f>IF(Sheet1!#REF!,"AAAAAEn8vzo=",0)</f>
        <v>#REF!</v>
      </c>
      <c r="BH262" t="e">
        <f>IF(Sheet1!#REF!,"AAAAAEn8vzs=",0)</f>
        <v>#REF!</v>
      </c>
      <c r="BI262" t="e">
        <f>IF(Sheet1!#REF!,"AAAAAEn8vzw=",0)</f>
        <v>#REF!</v>
      </c>
      <c r="BJ262" t="e">
        <f>IF(Sheet1!#REF!,"AAAAAEn8vz0=",0)</f>
        <v>#REF!</v>
      </c>
      <c r="BK262" t="e">
        <f>IF(Sheet1!#REF!,"AAAAAEn8vz4=",0)</f>
        <v>#REF!</v>
      </c>
      <c r="BL262" t="e">
        <f>IF(Sheet1!#REF!,"AAAAAEn8vz8=",0)</f>
        <v>#REF!</v>
      </c>
      <c r="BM262" t="e">
        <f>IF(Sheet1!#REF!,"AAAAAEn8v0A=",0)</f>
        <v>#REF!</v>
      </c>
      <c r="BN262" t="e">
        <f>IF(Sheet1!#REF!,"AAAAAEn8v0E=",0)</f>
        <v>#REF!</v>
      </c>
      <c r="BO262" t="e">
        <f>IF(Sheet1!#REF!,"AAAAAEn8v0I=",0)</f>
        <v>#REF!</v>
      </c>
      <c r="BP262" t="e">
        <f>IF(Sheet1!#REF!,"AAAAAEn8v0M=",0)</f>
        <v>#REF!</v>
      </c>
      <c r="BQ262" t="e">
        <f>IF(Sheet1!#REF!,"AAAAAEn8v0Q=",0)</f>
        <v>#REF!</v>
      </c>
      <c r="BR262" t="e">
        <f>IF(Sheet1!#REF!,"AAAAAEn8v0U=",0)</f>
        <v>#REF!</v>
      </c>
      <c r="BS262" t="e">
        <f>IF(Sheet1!#REF!,"AAAAAEn8v0Y=",0)</f>
        <v>#REF!</v>
      </c>
      <c r="BT262" t="e">
        <f>IF(Sheet1!#REF!,"AAAAAEn8v0c=",0)</f>
        <v>#REF!</v>
      </c>
      <c r="BU262" t="e">
        <f>IF(Sheet1!#REF!,"AAAAAEn8v0g=",0)</f>
        <v>#REF!</v>
      </c>
      <c r="BV262" t="e">
        <f>IF(Sheet1!#REF!,"AAAAAEn8v0k=",0)</f>
        <v>#REF!</v>
      </c>
      <c r="BW262" t="e">
        <f>IF(Sheet1!#REF!,"AAAAAEn8v0o=",0)</f>
        <v>#REF!</v>
      </c>
      <c r="BX262" t="e">
        <f>IF(Sheet1!#REF!,"AAAAAEn8v0s=",0)</f>
        <v>#REF!</v>
      </c>
      <c r="BY262" t="e">
        <f>IF(Sheet1!#REF!,"AAAAAEn8v0w=",0)</f>
        <v>#REF!</v>
      </c>
      <c r="BZ262" t="e">
        <f>IF(Sheet1!#REF!,"AAAAAEn8v00=",0)</f>
        <v>#REF!</v>
      </c>
      <c r="CA262" t="e">
        <f>IF(Sheet1!#REF!,"AAAAAEn8v04=",0)</f>
        <v>#REF!</v>
      </c>
      <c r="CB262" t="e">
        <f>IF(Sheet1!#REF!,"AAAAAEn8v08=",0)</f>
        <v>#REF!</v>
      </c>
      <c r="CC262" t="e">
        <f>IF(Sheet1!#REF!,"AAAAAEn8v1A=",0)</f>
        <v>#REF!</v>
      </c>
      <c r="CD262" t="e">
        <f>IF(Sheet1!#REF!,"AAAAAEn8v1E=",0)</f>
        <v>#REF!</v>
      </c>
      <c r="CE262" t="e">
        <f>IF(Sheet1!#REF!,"AAAAAEn8v1I=",0)</f>
        <v>#REF!</v>
      </c>
      <c r="CF262" t="e">
        <f>IF(Sheet1!#REF!,"AAAAAEn8v1M=",0)</f>
        <v>#REF!</v>
      </c>
      <c r="CG262" t="e">
        <f>IF(Sheet1!#REF!,"AAAAAEn8v1Q=",0)</f>
        <v>#REF!</v>
      </c>
      <c r="CH262" t="e">
        <f>IF(Sheet1!#REF!,"AAAAAEn8v1U=",0)</f>
        <v>#REF!</v>
      </c>
      <c r="CI262" t="e">
        <f>IF(Sheet1!#REF!,"AAAAAEn8v1Y=",0)</f>
        <v>#REF!</v>
      </c>
      <c r="CJ262" t="e">
        <f>IF(Sheet1!#REF!,"AAAAAEn8v1c=",0)</f>
        <v>#REF!</v>
      </c>
      <c r="CK262" t="e">
        <f>IF(Sheet1!#REF!,"AAAAAEn8v1g=",0)</f>
        <v>#REF!</v>
      </c>
      <c r="CL262" t="e">
        <f>IF(Sheet1!#REF!,"AAAAAEn8v1k=",0)</f>
        <v>#REF!</v>
      </c>
      <c r="CM262" t="e">
        <f>IF(Sheet1!#REF!,"AAAAAEn8v1o=",0)</f>
        <v>#REF!</v>
      </c>
      <c r="CN262" t="e">
        <f>IF(Sheet1!#REF!,"AAAAAEn8v1s=",0)</f>
        <v>#REF!</v>
      </c>
      <c r="CO262" t="e">
        <f>IF(Sheet1!#REF!,"AAAAAEn8v1w=",0)</f>
        <v>#REF!</v>
      </c>
      <c r="CP262" t="e">
        <f>IF(Sheet1!#REF!,"AAAAAEn8v10=",0)</f>
        <v>#REF!</v>
      </c>
      <c r="CQ262" t="e">
        <f>IF(Sheet1!#REF!,"AAAAAEn8v14=",0)</f>
        <v>#REF!</v>
      </c>
      <c r="CR262" t="e">
        <f>IF(Sheet1!#REF!,"AAAAAEn8v18=",0)</f>
        <v>#REF!</v>
      </c>
      <c r="CS262" t="e">
        <f>IF(Sheet1!#REF!,"AAAAAEn8v2A=",0)</f>
        <v>#REF!</v>
      </c>
      <c r="CT262" t="e">
        <f>IF(Sheet1!#REF!,"AAAAAEn8v2E=",0)</f>
        <v>#REF!</v>
      </c>
      <c r="CU262" t="e">
        <f>IF(Sheet1!#REF!,"AAAAAEn8v2I=",0)</f>
        <v>#REF!</v>
      </c>
      <c r="CV262" t="e">
        <f>IF(Sheet1!#REF!,"AAAAAEn8v2M=",0)</f>
        <v>#REF!</v>
      </c>
      <c r="CW262" t="e">
        <f>IF(Sheet1!#REF!,"AAAAAEn8v2Q=",0)</f>
        <v>#REF!</v>
      </c>
      <c r="CX262" t="e">
        <f>IF(Sheet1!#REF!,"AAAAAEn8v2U=",0)</f>
        <v>#REF!</v>
      </c>
      <c r="CY262" t="e">
        <f>IF(Sheet1!#REF!,"AAAAAEn8v2Y=",0)</f>
        <v>#REF!</v>
      </c>
      <c r="CZ262" t="e">
        <f>IF(Sheet1!#REF!,"AAAAAEn8v2c=",0)</f>
        <v>#REF!</v>
      </c>
      <c r="DA262" t="e">
        <f>IF(Sheet1!#REF!,"AAAAAEn8v2g=",0)</f>
        <v>#REF!</v>
      </c>
      <c r="DB262" t="e">
        <f>IF(Sheet1!#REF!,"AAAAAEn8v2k=",0)</f>
        <v>#REF!</v>
      </c>
      <c r="DC262" t="e">
        <f>IF(Sheet1!#REF!,"AAAAAEn8v2o=",0)</f>
        <v>#REF!</v>
      </c>
      <c r="DD262" t="e">
        <f>IF(Sheet1!#REF!,"AAAAAEn8v2s=",0)</f>
        <v>#REF!</v>
      </c>
      <c r="DE262" t="e">
        <f>IF(Sheet1!#REF!,"AAAAAEn8v2w=",0)</f>
        <v>#REF!</v>
      </c>
      <c r="DF262" t="e">
        <f>IF(Sheet1!#REF!,"AAAAAEn8v20=",0)</f>
        <v>#REF!</v>
      </c>
      <c r="DG262" t="e">
        <f>IF(Sheet1!#REF!,"AAAAAEn8v24=",0)</f>
        <v>#REF!</v>
      </c>
      <c r="DH262" t="e">
        <f>IF(Sheet1!#REF!,"AAAAAEn8v28=",0)</f>
        <v>#REF!</v>
      </c>
      <c r="DI262" t="e">
        <f>IF(Sheet1!#REF!,"AAAAAEn8v3A=",0)</f>
        <v>#REF!</v>
      </c>
      <c r="DJ262" t="e">
        <f>IF(Sheet1!#REF!,"AAAAAEn8v3E=",0)</f>
        <v>#REF!</v>
      </c>
      <c r="DK262" t="e">
        <f>IF(Sheet1!#REF!,"AAAAAEn8v3I=",0)</f>
        <v>#REF!</v>
      </c>
      <c r="DL262" t="e">
        <f>IF(Sheet1!#REF!,"AAAAAEn8v3M=",0)</f>
        <v>#REF!</v>
      </c>
      <c r="DM262" t="e">
        <f>IF(Sheet1!#REF!,"AAAAAEn8v3Q=",0)</f>
        <v>#REF!</v>
      </c>
      <c r="DN262" t="e">
        <f>IF(Sheet1!#REF!,"AAAAAEn8v3U=",0)</f>
        <v>#REF!</v>
      </c>
      <c r="DO262" t="e">
        <f>IF(Sheet1!#REF!,"AAAAAEn8v3Y=",0)</f>
        <v>#REF!</v>
      </c>
      <c r="DP262" t="e">
        <f>IF(Sheet1!#REF!,"AAAAAEn8v3c=",0)</f>
        <v>#REF!</v>
      </c>
      <c r="DQ262" t="e">
        <f>IF(Sheet1!#REF!,"AAAAAEn8v3g=",0)</f>
        <v>#REF!</v>
      </c>
      <c r="DR262" t="e">
        <f>IF(Sheet1!#REF!,"AAAAAEn8v3k=",0)</f>
        <v>#REF!</v>
      </c>
      <c r="DS262" t="e">
        <f>IF(Sheet1!#REF!,"AAAAAEn8v3o=",0)</f>
        <v>#REF!</v>
      </c>
      <c r="DT262" t="e">
        <f>IF(Sheet1!#REF!,"AAAAAEn8v3s=",0)</f>
        <v>#REF!</v>
      </c>
      <c r="DU262" t="e">
        <f>IF(Sheet1!#REF!,"AAAAAEn8v3w=",0)</f>
        <v>#REF!</v>
      </c>
      <c r="DV262" t="e">
        <f>IF(Sheet1!#REF!,"AAAAAEn8v30=",0)</f>
        <v>#REF!</v>
      </c>
      <c r="DW262" t="e">
        <f>IF(Sheet1!#REF!,"AAAAAEn8v34=",0)</f>
        <v>#REF!</v>
      </c>
      <c r="DX262" t="e">
        <f>IF(Sheet1!#REF!,"AAAAAEn8v38=",0)</f>
        <v>#REF!</v>
      </c>
      <c r="DY262" t="e">
        <f>IF(Sheet1!#REF!,"AAAAAEn8v4A=",0)</f>
        <v>#REF!</v>
      </c>
      <c r="DZ262" t="e">
        <f>IF(Sheet1!#REF!,"AAAAAEn8v4E=",0)</f>
        <v>#REF!</v>
      </c>
      <c r="EA262" t="e">
        <f>IF(Sheet1!#REF!,"AAAAAEn8v4I=",0)</f>
        <v>#REF!</v>
      </c>
      <c r="EB262" t="e">
        <f>IF(Sheet1!#REF!,"AAAAAEn8v4M=",0)</f>
        <v>#REF!</v>
      </c>
      <c r="EC262" t="e">
        <f>IF(Sheet1!#REF!,"AAAAAEn8v4Q=",0)</f>
        <v>#REF!</v>
      </c>
      <c r="ED262" t="e">
        <f>IF(Sheet1!#REF!,"AAAAAEn8v4U=",0)</f>
        <v>#REF!</v>
      </c>
      <c r="EE262" t="e">
        <f>IF(Sheet1!#REF!,"AAAAAEn8v4Y=",0)</f>
        <v>#REF!</v>
      </c>
      <c r="EF262" t="e">
        <f>IF(Sheet1!#REF!,"AAAAAEn8v4c=",0)</f>
        <v>#REF!</v>
      </c>
      <c r="EG262" t="e">
        <f>IF(Sheet1!#REF!,"AAAAAEn8v4g=",0)</f>
        <v>#REF!</v>
      </c>
      <c r="EH262" t="e">
        <f>IF(Sheet1!#REF!,"AAAAAEn8v4k=",0)</f>
        <v>#REF!</v>
      </c>
      <c r="EI262" t="e">
        <f>IF(Sheet1!#REF!,"AAAAAEn8v4o=",0)</f>
        <v>#REF!</v>
      </c>
      <c r="EJ262" t="e">
        <f>IF(Sheet1!#REF!,"AAAAAEn8v4s=",0)</f>
        <v>#REF!</v>
      </c>
      <c r="EK262" t="e">
        <f>IF(Sheet1!#REF!,"AAAAAEn8v4w=",0)</f>
        <v>#REF!</v>
      </c>
      <c r="EL262" t="e">
        <f>IF(Sheet1!#REF!,"AAAAAEn8v40=",0)</f>
        <v>#REF!</v>
      </c>
      <c r="EM262" t="e">
        <f>IF(Sheet1!#REF!,"AAAAAEn8v44=",0)</f>
        <v>#REF!</v>
      </c>
      <c r="EN262" t="e">
        <f>IF(Sheet1!#REF!,"AAAAAEn8v48=",0)</f>
        <v>#REF!</v>
      </c>
      <c r="EO262" t="e">
        <f>IF(Sheet1!#REF!,"AAAAAEn8v5A=",0)</f>
        <v>#REF!</v>
      </c>
      <c r="EP262" t="e">
        <f>IF(Sheet1!#REF!,"AAAAAEn8v5E=",0)</f>
        <v>#REF!</v>
      </c>
      <c r="EQ262" t="e">
        <f>IF(Sheet1!#REF!,"AAAAAEn8v5I=",0)</f>
        <v>#REF!</v>
      </c>
      <c r="ER262" t="e">
        <f>IF(Sheet1!#REF!,"AAAAAEn8v5M=",0)</f>
        <v>#REF!</v>
      </c>
      <c r="ES262" t="e">
        <f>IF(Sheet1!#REF!,"AAAAAEn8v5Q=",0)</f>
        <v>#REF!</v>
      </c>
      <c r="ET262" t="e">
        <f>IF(Sheet1!#REF!,"AAAAAEn8v5U=",0)</f>
        <v>#REF!</v>
      </c>
      <c r="EU262" t="e">
        <f>IF(Sheet1!#REF!,"AAAAAEn8v5Y=",0)</f>
        <v>#REF!</v>
      </c>
      <c r="EV262" t="e">
        <f>IF(Sheet1!#REF!,"AAAAAEn8v5c=",0)</f>
        <v>#REF!</v>
      </c>
      <c r="EW262" t="e">
        <f>IF(Sheet1!#REF!,"AAAAAEn8v5g=",0)</f>
        <v>#REF!</v>
      </c>
      <c r="EX262" t="e">
        <f>IF(Sheet1!#REF!,"AAAAAEn8v5k=",0)</f>
        <v>#REF!</v>
      </c>
      <c r="EY262" t="e">
        <f>IF(Sheet1!#REF!,"AAAAAEn8v5o=",0)</f>
        <v>#REF!</v>
      </c>
      <c r="EZ262" t="e">
        <f>IF(Sheet1!#REF!,"AAAAAEn8v5s=",0)</f>
        <v>#REF!</v>
      </c>
      <c r="FA262" t="e">
        <f>IF(Sheet1!#REF!,"AAAAAEn8v5w=",0)</f>
        <v>#REF!</v>
      </c>
      <c r="FB262" t="e">
        <f>IF(Sheet1!#REF!,"AAAAAEn8v50=",0)</f>
        <v>#REF!</v>
      </c>
      <c r="FC262" t="e">
        <f>IF(Sheet1!#REF!,"AAAAAEn8v54=",0)</f>
        <v>#REF!</v>
      </c>
      <c r="FD262" t="e">
        <f>IF(Sheet1!#REF!,"AAAAAEn8v58=",0)</f>
        <v>#REF!</v>
      </c>
      <c r="FE262" t="e">
        <f>IF(Sheet1!#REF!,"AAAAAEn8v6A=",0)</f>
        <v>#REF!</v>
      </c>
      <c r="FF262" t="e">
        <f>IF(Sheet1!#REF!,"AAAAAEn8v6E=",0)</f>
        <v>#REF!</v>
      </c>
      <c r="FG262" t="e">
        <f>IF(Sheet1!#REF!,"AAAAAEn8v6I=",0)</f>
        <v>#REF!</v>
      </c>
      <c r="FH262" t="e">
        <f>IF(Sheet1!#REF!,"AAAAAEn8v6M=",0)</f>
        <v>#REF!</v>
      </c>
      <c r="FI262" t="e">
        <f>IF(Sheet1!#REF!,"AAAAAEn8v6Q=",0)</f>
        <v>#REF!</v>
      </c>
      <c r="FJ262" t="e">
        <f>IF(Sheet1!#REF!,"AAAAAEn8v6U=",0)</f>
        <v>#REF!</v>
      </c>
      <c r="FK262" t="e">
        <f>IF(Sheet1!#REF!,"AAAAAEn8v6Y=",0)</f>
        <v>#REF!</v>
      </c>
      <c r="FL262" t="e">
        <f>IF(Sheet1!#REF!,"AAAAAEn8v6c=",0)</f>
        <v>#REF!</v>
      </c>
      <c r="FM262" t="e">
        <f>IF(Sheet1!#REF!,"AAAAAEn8v6g=",0)</f>
        <v>#REF!</v>
      </c>
      <c r="FN262" t="e">
        <f>IF(Sheet1!#REF!,"AAAAAEn8v6k=",0)</f>
        <v>#REF!</v>
      </c>
      <c r="FO262" t="e">
        <f>IF(Sheet1!#REF!,"AAAAAEn8v6o=",0)</f>
        <v>#REF!</v>
      </c>
      <c r="FP262" t="e">
        <f>IF(Sheet1!#REF!,"AAAAAEn8v6s=",0)</f>
        <v>#REF!</v>
      </c>
      <c r="FQ262" t="e">
        <f>IF(Sheet1!#REF!,"AAAAAEn8v6w=",0)</f>
        <v>#REF!</v>
      </c>
      <c r="FR262" t="e">
        <f>IF(Sheet1!#REF!,"AAAAAEn8v60=",0)</f>
        <v>#REF!</v>
      </c>
      <c r="FS262" t="e">
        <f>IF(Sheet1!#REF!,"AAAAAEn8v64=",0)</f>
        <v>#REF!</v>
      </c>
      <c r="FT262" t="e">
        <f>IF(Sheet1!#REF!,"AAAAAEn8v68=",0)</f>
        <v>#REF!</v>
      </c>
      <c r="FU262" t="e">
        <f>IF(Sheet1!#REF!,"AAAAAEn8v7A=",0)</f>
        <v>#REF!</v>
      </c>
      <c r="FV262" t="e">
        <f>IF(Sheet1!#REF!,"AAAAAEn8v7E=",0)</f>
        <v>#REF!</v>
      </c>
      <c r="FW262" t="e">
        <f>IF(Sheet1!#REF!,"AAAAAEn8v7I=",0)</f>
        <v>#REF!</v>
      </c>
      <c r="FX262" t="e">
        <f>IF(Sheet1!#REF!,"AAAAAEn8v7M=",0)</f>
        <v>#REF!</v>
      </c>
      <c r="FY262" t="e">
        <f>IF(Sheet1!#REF!,"AAAAAEn8v7Q=",0)</f>
        <v>#REF!</v>
      </c>
      <c r="FZ262" t="e">
        <f>IF(Sheet1!#REF!,"AAAAAEn8v7U=",0)</f>
        <v>#REF!</v>
      </c>
      <c r="GA262" t="e">
        <f>IF(Sheet1!#REF!,"AAAAAEn8v7Y=",0)</f>
        <v>#REF!</v>
      </c>
      <c r="GB262" t="e">
        <f>IF(Sheet1!#REF!,"AAAAAEn8v7c=",0)</f>
        <v>#REF!</v>
      </c>
      <c r="GC262" t="e">
        <f>IF(Sheet1!#REF!,"AAAAAEn8v7g=",0)</f>
        <v>#REF!</v>
      </c>
      <c r="GD262" t="e">
        <f>IF(Sheet1!#REF!,"AAAAAEn8v7k=",0)</f>
        <v>#REF!</v>
      </c>
      <c r="GE262" t="e">
        <f>IF(Sheet1!#REF!,"AAAAAEn8v7o=",0)</f>
        <v>#REF!</v>
      </c>
      <c r="GF262" t="e">
        <f>IF(Sheet1!#REF!,"AAAAAEn8v7s=",0)</f>
        <v>#REF!</v>
      </c>
      <c r="GG262" t="e">
        <f>IF(Sheet1!#REF!,"AAAAAEn8v7w=",0)</f>
        <v>#REF!</v>
      </c>
      <c r="GH262" t="e">
        <f>IF(Sheet1!#REF!,"AAAAAEn8v70=",0)</f>
        <v>#REF!</v>
      </c>
      <c r="GI262" t="e">
        <f>IF(Sheet1!#REF!,"AAAAAEn8v74=",0)</f>
        <v>#REF!</v>
      </c>
      <c r="GJ262" t="e">
        <f>IF(Sheet1!#REF!,"AAAAAEn8v78=",0)</f>
        <v>#REF!</v>
      </c>
      <c r="GK262" t="e">
        <f>IF(Sheet1!#REF!,"AAAAAEn8v8A=",0)</f>
        <v>#REF!</v>
      </c>
      <c r="GL262" t="e">
        <f>IF(Sheet1!#REF!,"AAAAAEn8v8E=",0)</f>
        <v>#REF!</v>
      </c>
      <c r="GM262" t="e">
        <f>IF(Sheet1!#REF!,"AAAAAEn8v8I=",0)</f>
        <v>#REF!</v>
      </c>
      <c r="GN262" t="e">
        <f>IF(Sheet1!#REF!,"AAAAAEn8v8M=",0)</f>
        <v>#REF!</v>
      </c>
      <c r="GO262" t="e">
        <f>IF(Sheet1!#REF!,"AAAAAEn8v8Q=",0)</f>
        <v>#REF!</v>
      </c>
      <c r="GP262" t="e">
        <f>IF(Sheet1!#REF!,"AAAAAEn8v8U=",0)</f>
        <v>#REF!</v>
      </c>
      <c r="GQ262" t="e">
        <f>IF(Sheet1!#REF!,"AAAAAEn8v8Y=",0)</f>
        <v>#REF!</v>
      </c>
      <c r="GR262" t="e">
        <f>IF(Sheet1!#REF!,"AAAAAEn8v8c=",0)</f>
        <v>#REF!</v>
      </c>
      <c r="GS262" t="e">
        <f>IF(Sheet1!#REF!,"AAAAAEn8v8g=",0)</f>
        <v>#REF!</v>
      </c>
      <c r="GT262" t="e">
        <f>IF(Sheet1!#REF!,"AAAAAEn8v8k=",0)</f>
        <v>#REF!</v>
      </c>
      <c r="GU262" t="e">
        <f>IF(Sheet1!#REF!,"AAAAAEn8v8o=",0)</f>
        <v>#REF!</v>
      </c>
      <c r="GV262" t="e">
        <f>IF(Sheet1!#REF!,"AAAAAEn8v8s=",0)</f>
        <v>#REF!</v>
      </c>
      <c r="GW262" t="e">
        <f>IF(Sheet1!#REF!,"AAAAAEn8v8w=",0)</f>
        <v>#REF!</v>
      </c>
      <c r="GX262" t="e">
        <f>IF(Sheet1!#REF!,"AAAAAEn8v80=",0)</f>
        <v>#REF!</v>
      </c>
      <c r="GY262" t="e">
        <f>IF(Sheet1!#REF!,"AAAAAEn8v84=",0)</f>
        <v>#REF!</v>
      </c>
      <c r="GZ262" t="e">
        <f>IF(Sheet1!#REF!,"AAAAAEn8v88=",0)</f>
        <v>#REF!</v>
      </c>
      <c r="HA262" t="e">
        <f>IF(Sheet1!#REF!,"AAAAAEn8v9A=",0)</f>
        <v>#REF!</v>
      </c>
      <c r="HB262" t="e">
        <f>IF(Sheet1!#REF!,"AAAAAEn8v9E=",0)</f>
        <v>#REF!</v>
      </c>
      <c r="HC262" t="e">
        <f>IF(Sheet1!#REF!,"AAAAAEn8v9I=",0)</f>
        <v>#REF!</v>
      </c>
      <c r="HD262" t="e">
        <f>IF(Sheet1!#REF!,"AAAAAEn8v9M=",0)</f>
        <v>#REF!</v>
      </c>
      <c r="HE262" t="e">
        <f>IF(Sheet1!#REF!,"AAAAAEn8v9Q=",0)</f>
        <v>#REF!</v>
      </c>
      <c r="HF262" t="e">
        <f>IF(Sheet1!#REF!,"AAAAAEn8v9U=",0)</f>
        <v>#REF!</v>
      </c>
      <c r="HG262" t="e">
        <f>IF(Sheet1!#REF!,"AAAAAEn8v9Y=",0)</f>
        <v>#REF!</v>
      </c>
      <c r="HH262" t="e">
        <f>IF(Sheet1!#REF!,"AAAAAEn8v9c=",0)</f>
        <v>#REF!</v>
      </c>
      <c r="HI262" t="e">
        <f>IF(Sheet1!#REF!,"AAAAAEn8v9g=",0)</f>
        <v>#REF!</v>
      </c>
      <c r="HJ262" t="e">
        <f>IF(Sheet1!#REF!,"AAAAAEn8v9k=",0)</f>
        <v>#REF!</v>
      </c>
      <c r="HK262" t="e">
        <f>IF(Sheet1!#REF!,"AAAAAEn8v9o=",0)</f>
        <v>#REF!</v>
      </c>
      <c r="HL262" t="e">
        <f>IF(Sheet1!#REF!,"AAAAAEn8v9s=",0)</f>
        <v>#REF!</v>
      </c>
      <c r="HM262" t="e">
        <f>IF(Sheet1!#REF!,"AAAAAEn8v9w=",0)</f>
        <v>#REF!</v>
      </c>
      <c r="HN262" t="e">
        <f>IF(Sheet1!#REF!,"AAAAAEn8v90=",0)</f>
        <v>#REF!</v>
      </c>
      <c r="HO262" t="e">
        <f>IF(Sheet1!#REF!,"AAAAAEn8v94=",0)</f>
        <v>#REF!</v>
      </c>
      <c r="HP262" t="e">
        <f>IF(Sheet1!#REF!,"AAAAAEn8v98=",0)</f>
        <v>#REF!</v>
      </c>
      <c r="HQ262" t="e">
        <f>IF(Sheet1!#REF!,"AAAAAEn8v+A=",0)</f>
        <v>#REF!</v>
      </c>
      <c r="HR262" t="e">
        <f>IF(Sheet1!#REF!,"AAAAAEn8v+E=",0)</f>
        <v>#REF!</v>
      </c>
      <c r="HS262" t="e">
        <f>IF(Sheet1!#REF!,"AAAAAEn8v+I=",0)</f>
        <v>#REF!</v>
      </c>
      <c r="HT262" t="e">
        <f>IF(Sheet1!#REF!,"AAAAAEn8v+M=",0)</f>
        <v>#REF!</v>
      </c>
      <c r="HU262" t="e">
        <f>IF(Sheet1!#REF!,"AAAAAEn8v+Q=",0)</f>
        <v>#REF!</v>
      </c>
      <c r="HV262" t="e">
        <f>IF(Sheet1!#REF!,"AAAAAEn8v+U=",0)</f>
        <v>#REF!</v>
      </c>
      <c r="HW262" t="e">
        <f>IF(Sheet1!#REF!,"AAAAAEn8v+Y=",0)</f>
        <v>#REF!</v>
      </c>
      <c r="HX262" t="e">
        <f>IF(Sheet1!#REF!,"AAAAAEn8v+c=",0)</f>
        <v>#REF!</v>
      </c>
      <c r="HY262" t="e">
        <f>IF(Sheet1!#REF!,"AAAAAEn8v+g=",0)</f>
        <v>#REF!</v>
      </c>
      <c r="HZ262" t="e">
        <f>IF(Sheet1!#REF!,"AAAAAEn8v+k=",0)</f>
        <v>#REF!</v>
      </c>
      <c r="IA262" t="e">
        <f>IF(Sheet1!#REF!,"AAAAAEn8v+o=",0)</f>
        <v>#REF!</v>
      </c>
      <c r="IB262" t="e">
        <f>IF(Sheet1!#REF!,"AAAAAEn8v+s=",0)</f>
        <v>#REF!</v>
      </c>
      <c r="IC262" t="e">
        <f>IF(Sheet1!#REF!,"AAAAAEn8v+w=",0)</f>
        <v>#REF!</v>
      </c>
      <c r="ID262" t="e">
        <f>IF(Sheet1!#REF!,"AAAAAEn8v+0=",0)</f>
        <v>#REF!</v>
      </c>
      <c r="IE262" t="e">
        <f>IF(Sheet1!#REF!,"AAAAAEn8v+4=",0)</f>
        <v>#REF!</v>
      </c>
      <c r="IF262" t="e">
        <f>IF(Sheet1!#REF!,"AAAAAEn8v+8=",0)</f>
        <v>#REF!</v>
      </c>
      <c r="IG262" t="e">
        <f>IF(Sheet1!#REF!,"AAAAAEn8v/A=",0)</f>
        <v>#REF!</v>
      </c>
      <c r="IH262" t="e">
        <f>IF(Sheet1!#REF!,"AAAAAEn8v/E=",0)</f>
        <v>#REF!</v>
      </c>
      <c r="II262" t="e">
        <f>IF(Sheet1!#REF!,"AAAAAEn8v/I=",0)</f>
        <v>#REF!</v>
      </c>
      <c r="IJ262" t="e">
        <f>IF(Sheet1!#REF!,"AAAAAEn8v/M=",0)</f>
        <v>#REF!</v>
      </c>
      <c r="IK262" t="e">
        <f>IF(Sheet1!#REF!,"AAAAAEn8v/Q=",0)</f>
        <v>#REF!</v>
      </c>
      <c r="IL262" t="e">
        <f>IF(Sheet1!#REF!,"AAAAAEn8v/U=",0)</f>
        <v>#REF!</v>
      </c>
      <c r="IM262" t="e">
        <f>IF(Sheet1!#REF!,"AAAAAEn8v/Y=",0)</f>
        <v>#REF!</v>
      </c>
      <c r="IN262" t="e">
        <f>IF(Sheet1!#REF!,"AAAAAEn8v/c=",0)</f>
        <v>#REF!</v>
      </c>
      <c r="IO262" t="e">
        <f>IF(Sheet1!#REF!,"AAAAAEn8v/g=",0)</f>
        <v>#REF!</v>
      </c>
      <c r="IP262" t="e">
        <f>IF(Sheet1!#REF!,"AAAAAEn8v/k=",0)</f>
        <v>#REF!</v>
      </c>
      <c r="IQ262" t="e">
        <f>IF(Sheet1!#REF!,"AAAAAEn8v/o=",0)</f>
        <v>#REF!</v>
      </c>
      <c r="IR262" t="e">
        <f>IF(Sheet1!#REF!,"AAAAAEn8v/s=",0)</f>
        <v>#REF!</v>
      </c>
      <c r="IS262" t="e">
        <f>IF(Sheet1!#REF!,"AAAAAEn8v/w=",0)</f>
        <v>#REF!</v>
      </c>
      <c r="IT262" t="e">
        <f>IF(Sheet1!#REF!,"AAAAAEn8v/0=",0)</f>
        <v>#REF!</v>
      </c>
      <c r="IU262" t="e">
        <f>IF(Sheet1!#REF!,"AAAAAEn8v/4=",0)</f>
        <v>#REF!</v>
      </c>
      <c r="IV262" t="e">
        <f>IF(Sheet1!#REF!,"AAAAAEn8v/8=",0)</f>
        <v>#REF!</v>
      </c>
    </row>
    <row r="263" spans="1:256" x14ac:dyDescent="0.2">
      <c r="A263" t="e">
        <f>IF(Sheet1!#REF!,"AAAAAF57+gA=",0)</f>
        <v>#REF!</v>
      </c>
      <c r="B263" t="e">
        <f>IF(Sheet1!#REF!,"AAAAAF57+gE=",0)</f>
        <v>#REF!</v>
      </c>
      <c r="C263" t="e">
        <f>IF(Sheet1!#REF!,"AAAAAF57+gI=",0)</f>
        <v>#REF!</v>
      </c>
      <c r="D263" t="e">
        <f>IF(Sheet1!#REF!,"AAAAAF57+gM=",0)</f>
        <v>#REF!</v>
      </c>
      <c r="E263" t="e">
        <f>IF(Sheet1!#REF!,"AAAAAF57+gQ=",0)</f>
        <v>#REF!</v>
      </c>
      <c r="F263" t="e">
        <f>IF(Sheet1!#REF!,"AAAAAF57+gU=",0)</f>
        <v>#REF!</v>
      </c>
      <c r="G263" t="e">
        <f>IF(Sheet1!#REF!,"AAAAAF57+gY=",0)</f>
        <v>#REF!</v>
      </c>
      <c r="H263" t="e">
        <f>IF(Sheet1!#REF!,"AAAAAF57+gc=",0)</f>
        <v>#REF!</v>
      </c>
      <c r="I263" t="e">
        <f>IF(Sheet1!#REF!,"AAAAAF57+gg=",0)</f>
        <v>#REF!</v>
      </c>
      <c r="J263" t="e">
        <f>IF(Sheet1!#REF!,"AAAAAF57+gk=",0)</f>
        <v>#REF!</v>
      </c>
      <c r="K263" t="e">
        <f>IF(Sheet1!#REF!,"AAAAAF57+go=",0)</f>
        <v>#REF!</v>
      </c>
      <c r="L263" t="e">
        <f>IF(Sheet1!#REF!,"AAAAAF57+gs=",0)</f>
        <v>#REF!</v>
      </c>
      <c r="M263" t="e">
        <f>IF(Sheet1!#REF!,"AAAAAF57+gw=",0)</f>
        <v>#REF!</v>
      </c>
      <c r="N263" t="e">
        <f>IF(Sheet1!#REF!,"AAAAAF57+g0=",0)</f>
        <v>#REF!</v>
      </c>
      <c r="O263" t="e">
        <f>IF(Sheet1!#REF!,"AAAAAF57+g4=",0)</f>
        <v>#REF!</v>
      </c>
      <c r="P263" t="e">
        <f>IF(Sheet1!#REF!,"AAAAAF57+g8=",0)</f>
        <v>#REF!</v>
      </c>
      <c r="Q263" t="e">
        <f>IF(Sheet1!#REF!,"AAAAAF57+hA=",0)</f>
        <v>#REF!</v>
      </c>
      <c r="R263" t="e">
        <f>IF(Sheet1!#REF!,"AAAAAF57+hE=",0)</f>
        <v>#REF!</v>
      </c>
      <c r="S263" t="e">
        <f>IF(Sheet1!#REF!,"AAAAAF57+hI=",0)</f>
        <v>#REF!</v>
      </c>
      <c r="T263" t="e">
        <f>IF(Sheet1!#REF!,"AAAAAF57+hM=",0)</f>
        <v>#REF!</v>
      </c>
      <c r="U263" t="e">
        <f>IF(Sheet1!#REF!,"AAAAAF57+hQ=",0)</f>
        <v>#REF!</v>
      </c>
      <c r="V263" t="e">
        <f>IF(Sheet1!#REF!,"AAAAAF57+hU=",0)</f>
        <v>#REF!</v>
      </c>
      <c r="W263" t="e">
        <f>IF(Sheet1!#REF!,"AAAAAF57+hY=",0)</f>
        <v>#REF!</v>
      </c>
      <c r="X263" t="e">
        <f>IF(Sheet1!#REF!,"AAAAAF57+hc=",0)</f>
        <v>#REF!</v>
      </c>
      <c r="Y263" t="e">
        <f>IF(Sheet1!#REF!,"AAAAAF57+hg=",0)</f>
        <v>#REF!</v>
      </c>
      <c r="Z263" t="e">
        <f>IF(Sheet1!#REF!,"AAAAAF57+hk=",0)</f>
        <v>#REF!</v>
      </c>
      <c r="AA263" t="e">
        <f>IF(Sheet1!#REF!,"AAAAAF57+ho=",0)</f>
        <v>#REF!</v>
      </c>
      <c r="AB263" t="e">
        <f>IF(Sheet1!#REF!,"AAAAAF57+hs=",0)</f>
        <v>#REF!</v>
      </c>
      <c r="AC263" t="e">
        <f>IF(Sheet1!#REF!,"AAAAAF57+hw=",0)</f>
        <v>#REF!</v>
      </c>
      <c r="AD263" t="e">
        <f>IF(Sheet1!#REF!,"AAAAAF57+h0=",0)</f>
        <v>#REF!</v>
      </c>
      <c r="AE263" t="e">
        <f>IF(Sheet1!#REF!,"AAAAAF57+h4=",0)</f>
        <v>#REF!</v>
      </c>
      <c r="AF263" t="e">
        <f>IF(Sheet1!#REF!,"AAAAAF57+h8=",0)</f>
        <v>#REF!</v>
      </c>
      <c r="AG263" t="e">
        <f>IF(Sheet1!#REF!,"AAAAAF57+iA=",0)</f>
        <v>#REF!</v>
      </c>
      <c r="AH263" t="e">
        <f>IF(Sheet1!#REF!,"AAAAAF57+iE=",0)</f>
        <v>#REF!</v>
      </c>
      <c r="AI263" t="e">
        <f>IF(Sheet1!#REF!,"AAAAAF57+iI=",0)</f>
        <v>#REF!</v>
      </c>
      <c r="AJ263" t="e">
        <f>IF(Sheet1!#REF!,"AAAAAF57+iM=",0)</f>
        <v>#REF!</v>
      </c>
      <c r="AK263" t="e">
        <f>IF(Sheet1!#REF!,"AAAAAF57+iQ=",0)</f>
        <v>#REF!</v>
      </c>
      <c r="AL263" t="e">
        <f>IF(Sheet1!#REF!,"AAAAAF57+iU=",0)</f>
        <v>#REF!</v>
      </c>
      <c r="AM263" t="e">
        <f>IF(Sheet1!#REF!,"AAAAAF57+iY=",0)</f>
        <v>#REF!</v>
      </c>
      <c r="AN263" t="e">
        <f>IF(Sheet1!#REF!,"AAAAAF57+ic=",0)</f>
        <v>#REF!</v>
      </c>
      <c r="AO263" t="e">
        <f>IF(Sheet1!#REF!,"AAAAAF57+ig=",0)</f>
        <v>#REF!</v>
      </c>
      <c r="AP263" t="e">
        <f>IF(Sheet1!#REF!,"AAAAAF57+ik=",0)</f>
        <v>#REF!</v>
      </c>
      <c r="AQ263" t="e">
        <f>IF(Sheet1!#REF!,"AAAAAF57+io=",0)</f>
        <v>#REF!</v>
      </c>
      <c r="AR263" t="e">
        <f>IF(Sheet1!#REF!,"AAAAAF57+is=",0)</f>
        <v>#REF!</v>
      </c>
      <c r="AS263" t="e">
        <f>IF(Sheet1!#REF!,"AAAAAF57+iw=",0)</f>
        <v>#REF!</v>
      </c>
      <c r="AT263" t="e">
        <f>IF(Sheet1!#REF!,"AAAAAF57+i0=",0)</f>
        <v>#REF!</v>
      </c>
      <c r="AU263" t="e">
        <f>IF(Sheet1!#REF!,"AAAAAF57+i4=",0)</f>
        <v>#REF!</v>
      </c>
      <c r="AV263" t="e">
        <f>IF(Sheet1!#REF!,"AAAAAF57+i8=",0)</f>
        <v>#REF!</v>
      </c>
      <c r="AW263" t="e">
        <f>IF(Sheet1!#REF!,"AAAAAF57+jA=",0)</f>
        <v>#REF!</v>
      </c>
      <c r="AX263" t="e">
        <f>IF(Sheet1!#REF!,"AAAAAF57+jE=",0)</f>
        <v>#REF!</v>
      </c>
      <c r="AY263" t="e">
        <f>IF(Sheet1!#REF!,"AAAAAF57+jI=",0)</f>
        <v>#REF!</v>
      </c>
      <c r="AZ263" t="e">
        <f>IF(Sheet1!#REF!,"AAAAAF57+jM=",0)</f>
        <v>#REF!</v>
      </c>
      <c r="BA263" t="e">
        <f>IF(Sheet1!#REF!,"AAAAAF57+jQ=",0)</f>
        <v>#REF!</v>
      </c>
      <c r="BB263" t="e">
        <f>IF(Sheet1!#REF!,"AAAAAF57+jU=",0)</f>
        <v>#REF!</v>
      </c>
      <c r="BC263" t="e">
        <f>IF(Sheet1!#REF!,"AAAAAF57+jY=",0)</f>
        <v>#REF!</v>
      </c>
      <c r="BD263" t="e">
        <f>IF(Sheet1!#REF!,"AAAAAF57+jc=",0)</f>
        <v>#REF!</v>
      </c>
      <c r="BE263" t="e">
        <f>IF(Sheet1!#REF!,"AAAAAF57+jg=",0)</f>
        <v>#REF!</v>
      </c>
      <c r="BF263" t="e">
        <f>IF(Sheet1!#REF!,"AAAAAF57+jk=",0)</f>
        <v>#REF!</v>
      </c>
      <c r="BG263" t="e">
        <f>IF(Sheet1!#REF!,"AAAAAF57+jo=",0)</f>
        <v>#REF!</v>
      </c>
      <c r="BH263" t="e">
        <f>IF(Sheet1!#REF!,"AAAAAF57+js=",0)</f>
        <v>#REF!</v>
      </c>
      <c r="BI263" t="e">
        <f>IF(Sheet1!#REF!,"AAAAAF57+jw=",0)</f>
        <v>#REF!</v>
      </c>
      <c r="BJ263" t="e">
        <f>IF(Sheet1!#REF!,"AAAAAF57+j0=",0)</f>
        <v>#REF!</v>
      </c>
      <c r="BK263" t="e">
        <f>IF(Sheet1!#REF!,"AAAAAF57+j4=",0)</f>
        <v>#REF!</v>
      </c>
      <c r="BL263" t="e">
        <f>IF(Sheet1!#REF!,"AAAAAF57+j8=",0)</f>
        <v>#REF!</v>
      </c>
      <c r="BM263" t="e">
        <f>IF(Sheet1!#REF!,"AAAAAF57+kA=",0)</f>
        <v>#REF!</v>
      </c>
      <c r="BN263" t="e">
        <f>IF(Sheet1!#REF!,"AAAAAF57+kE=",0)</f>
        <v>#REF!</v>
      </c>
      <c r="BO263" t="e">
        <f>IF(Sheet1!#REF!,"AAAAAF57+kI=",0)</f>
        <v>#REF!</v>
      </c>
      <c r="BP263" t="e">
        <f>IF(Sheet1!#REF!,"AAAAAF57+kM=",0)</f>
        <v>#REF!</v>
      </c>
      <c r="BQ263" t="e">
        <f>IF(Sheet1!#REF!,"AAAAAF57+kQ=",0)</f>
        <v>#REF!</v>
      </c>
      <c r="BR263" t="e">
        <f>IF(Sheet1!#REF!,"AAAAAF57+kU=",0)</f>
        <v>#REF!</v>
      </c>
      <c r="BS263" t="e">
        <f>IF(Sheet1!#REF!,"AAAAAF57+kY=",0)</f>
        <v>#REF!</v>
      </c>
      <c r="BT263" t="e">
        <f>IF(Sheet1!#REF!,"AAAAAF57+kc=",0)</f>
        <v>#REF!</v>
      </c>
      <c r="BU263" t="e">
        <f>IF(Sheet1!#REF!,"AAAAAF57+kg=",0)</f>
        <v>#REF!</v>
      </c>
      <c r="BV263" t="e">
        <f>IF(Sheet1!#REF!,"AAAAAF57+kk=",0)</f>
        <v>#REF!</v>
      </c>
      <c r="BW263" t="e">
        <f>IF(Sheet1!#REF!,"AAAAAF57+ko=",0)</f>
        <v>#REF!</v>
      </c>
      <c r="BX263" t="e">
        <f>IF(Sheet1!#REF!,"AAAAAF57+ks=",0)</f>
        <v>#REF!</v>
      </c>
      <c r="BY263" t="e">
        <f>IF(Sheet1!#REF!,"AAAAAF57+kw=",0)</f>
        <v>#REF!</v>
      </c>
      <c r="BZ263" t="e">
        <f>IF(Sheet1!#REF!,"AAAAAF57+k0=",0)</f>
        <v>#REF!</v>
      </c>
      <c r="CA263" t="e">
        <f>IF(Sheet1!#REF!,"AAAAAF57+k4=",0)</f>
        <v>#REF!</v>
      </c>
      <c r="CB263" t="e">
        <f>IF(Sheet1!#REF!,"AAAAAF57+k8=",0)</f>
        <v>#REF!</v>
      </c>
      <c r="CC263" t="e">
        <f>IF(Sheet1!#REF!,"AAAAAF57+lA=",0)</f>
        <v>#REF!</v>
      </c>
      <c r="CD263" t="e">
        <f>IF(Sheet1!#REF!,"AAAAAF57+lE=",0)</f>
        <v>#REF!</v>
      </c>
      <c r="CE263" t="e">
        <f>IF(Sheet1!#REF!,"AAAAAF57+lI=",0)</f>
        <v>#REF!</v>
      </c>
      <c r="CF263" t="e">
        <f>IF(Sheet1!#REF!,"AAAAAF57+lM=",0)</f>
        <v>#REF!</v>
      </c>
      <c r="CG263" t="e">
        <f>IF(Sheet1!#REF!,"AAAAAF57+lQ=",0)</f>
        <v>#REF!</v>
      </c>
      <c r="CH263" t="e">
        <f>IF(Sheet1!#REF!,"AAAAAF57+lU=",0)</f>
        <v>#REF!</v>
      </c>
      <c r="CI263" t="e">
        <f>IF(Sheet1!#REF!,"AAAAAF57+lY=",0)</f>
        <v>#REF!</v>
      </c>
      <c r="CJ263" t="e">
        <f>IF(Sheet1!#REF!,"AAAAAF57+lc=",0)</f>
        <v>#REF!</v>
      </c>
      <c r="CK263" t="e">
        <f>IF(Sheet1!#REF!,"AAAAAF57+lg=",0)</f>
        <v>#REF!</v>
      </c>
      <c r="CL263" t="e">
        <f>IF(Sheet1!#REF!,"AAAAAF57+lk=",0)</f>
        <v>#REF!</v>
      </c>
      <c r="CM263" t="e">
        <f>IF(Sheet1!#REF!,"AAAAAF57+lo=",0)</f>
        <v>#REF!</v>
      </c>
      <c r="CN263" t="e">
        <f>IF(Sheet1!#REF!,"AAAAAF57+ls=",0)</f>
        <v>#REF!</v>
      </c>
      <c r="CO263" t="e">
        <f>IF(Sheet1!#REF!,"AAAAAF57+lw=",0)</f>
        <v>#REF!</v>
      </c>
      <c r="CP263" t="e">
        <f>IF(Sheet1!#REF!,"AAAAAF57+l0=",0)</f>
        <v>#REF!</v>
      </c>
      <c r="CQ263" t="e">
        <f>IF(Sheet1!#REF!,"AAAAAF57+l4=",0)</f>
        <v>#REF!</v>
      </c>
      <c r="CR263" t="e">
        <f>IF(Sheet1!#REF!,"AAAAAF57+l8=",0)</f>
        <v>#REF!</v>
      </c>
      <c r="CS263" t="e">
        <f>IF(Sheet1!#REF!,"AAAAAF57+mA=",0)</f>
        <v>#REF!</v>
      </c>
      <c r="CT263" t="e">
        <f>IF(Sheet1!#REF!,"AAAAAF57+mE=",0)</f>
        <v>#REF!</v>
      </c>
      <c r="CU263" t="e">
        <f>IF(Sheet1!#REF!,"AAAAAF57+mI=",0)</f>
        <v>#REF!</v>
      </c>
      <c r="CV263" t="e">
        <f>IF(Sheet1!#REF!,"AAAAAF57+mM=",0)</f>
        <v>#REF!</v>
      </c>
      <c r="CW263" t="e">
        <f>IF(Sheet1!#REF!,"AAAAAF57+mQ=",0)</f>
        <v>#REF!</v>
      </c>
      <c r="CX263" t="e">
        <f>IF(Sheet1!#REF!,"AAAAAF57+mU=",0)</f>
        <v>#REF!</v>
      </c>
      <c r="CY263" t="e">
        <f>IF(Sheet1!#REF!,"AAAAAF57+mY=",0)</f>
        <v>#REF!</v>
      </c>
      <c r="CZ263" t="e">
        <f>IF(Sheet1!#REF!,"AAAAAF57+mc=",0)</f>
        <v>#REF!</v>
      </c>
      <c r="DA263" t="e">
        <f>IF(Sheet1!#REF!,"AAAAAF57+mg=",0)</f>
        <v>#REF!</v>
      </c>
      <c r="DB263" t="e">
        <f>IF(Sheet1!#REF!,"AAAAAF57+mk=",0)</f>
        <v>#REF!</v>
      </c>
      <c r="DC263" t="e">
        <f>IF(Sheet1!#REF!,"AAAAAF57+mo=",0)</f>
        <v>#REF!</v>
      </c>
      <c r="DD263" t="e">
        <f>IF(Sheet1!#REF!,"AAAAAF57+ms=",0)</f>
        <v>#REF!</v>
      </c>
      <c r="DE263" t="e">
        <f>IF(Sheet1!#REF!,"AAAAAF57+mw=",0)</f>
        <v>#REF!</v>
      </c>
      <c r="DF263" t="e">
        <f>IF(Sheet1!#REF!,"AAAAAF57+m0=",0)</f>
        <v>#REF!</v>
      </c>
      <c r="DG263" t="e">
        <f>IF(Sheet1!#REF!,"AAAAAF57+m4=",0)</f>
        <v>#REF!</v>
      </c>
      <c r="DH263" t="e">
        <f>IF(Sheet1!#REF!,"AAAAAF57+m8=",0)</f>
        <v>#REF!</v>
      </c>
      <c r="DI263" t="e">
        <f>IF(Sheet1!#REF!,"AAAAAF57+nA=",0)</f>
        <v>#REF!</v>
      </c>
      <c r="DJ263" t="e">
        <f>IF(Sheet1!#REF!,"AAAAAF57+nE=",0)</f>
        <v>#REF!</v>
      </c>
      <c r="DK263" t="e">
        <f>IF(Sheet1!#REF!,"AAAAAF57+nI=",0)</f>
        <v>#REF!</v>
      </c>
      <c r="DL263" t="e">
        <f>IF(Sheet1!#REF!,"AAAAAF57+nM=",0)</f>
        <v>#REF!</v>
      </c>
      <c r="DM263" t="e">
        <f>IF(Sheet1!#REF!,"AAAAAF57+nQ=",0)</f>
        <v>#REF!</v>
      </c>
      <c r="DN263" t="e">
        <f>IF(Sheet1!#REF!,"AAAAAF57+nU=",0)</f>
        <v>#REF!</v>
      </c>
      <c r="DO263" t="e">
        <f>IF(Sheet1!#REF!,"AAAAAF57+nY=",0)</f>
        <v>#REF!</v>
      </c>
      <c r="DP263" t="e">
        <f>IF(Sheet1!#REF!,"AAAAAF57+nc=",0)</f>
        <v>#REF!</v>
      </c>
      <c r="DQ263" t="e">
        <f>IF(Sheet1!#REF!,"AAAAAF57+ng=",0)</f>
        <v>#REF!</v>
      </c>
      <c r="DR263" t="e">
        <f>IF(Sheet1!#REF!,"AAAAAF57+nk=",0)</f>
        <v>#REF!</v>
      </c>
      <c r="DS263" t="e">
        <f>IF(Sheet1!#REF!,"AAAAAF57+no=",0)</f>
        <v>#REF!</v>
      </c>
      <c r="DT263" t="e">
        <f>IF(Sheet1!#REF!,"AAAAAF57+ns=",0)</f>
        <v>#REF!</v>
      </c>
      <c r="DU263" t="e">
        <f>IF(Sheet1!#REF!,"AAAAAF57+nw=",0)</f>
        <v>#REF!</v>
      </c>
      <c r="DV263" t="e">
        <f>IF(Sheet1!#REF!,"AAAAAF57+n0=",0)</f>
        <v>#REF!</v>
      </c>
      <c r="DW263" t="e">
        <f>IF(Sheet1!#REF!,"AAAAAF57+n4=",0)</f>
        <v>#REF!</v>
      </c>
      <c r="DX263" t="e">
        <f>IF(Sheet1!#REF!,"AAAAAF57+n8=",0)</f>
        <v>#REF!</v>
      </c>
      <c r="DY263" t="e">
        <f>IF(Sheet1!#REF!,"AAAAAF57+oA=",0)</f>
        <v>#REF!</v>
      </c>
      <c r="DZ263" t="e">
        <f>IF(Sheet1!#REF!,"AAAAAF57+oE=",0)</f>
        <v>#REF!</v>
      </c>
      <c r="EA263" t="e">
        <f>IF(Sheet1!#REF!,"AAAAAF57+oI=",0)</f>
        <v>#REF!</v>
      </c>
      <c r="EB263" t="e">
        <f>IF(Sheet1!#REF!,"AAAAAF57+oM=",0)</f>
        <v>#REF!</v>
      </c>
      <c r="EC263" t="e">
        <f>IF(Sheet1!#REF!,"AAAAAF57+oQ=",0)</f>
        <v>#REF!</v>
      </c>
      <c r="ED263" t="e">
        <f>IF(Sheet1!#REF!,"AAAAAF57+oU=",0)</f>
        <v>#REF!</v>
      </c>
      <c r="EE263" t="e">
        <f>IF(Sheet1!#REF!,"AAAAAF57+oY=",0)</f>
        <v>#REF!</v>
      </c>
      <c r="EF263" t="e">
        <f>IF(Sheet1!#REF!,"AAAAAF57+oc=",0)</f>
        <v>#REF!</v>
      </c>
      <c r="EG263" t="e">
        <f>IF(Sheet1!#REF!,"AAAAAF57+og=",0)</f>
        <v>#REF!</v>
      </c>
      <c r="EH263" t="e">
        <f>IF(Sheet1!#REF!,"AAAAAF57+ok=",0)</f>
        <v>#REF!</v>
      </c>
      <c r="EI263" t="e">
        <f>IF(Sheet1!#REF!,"AAAAAF57+oo=",0)</f>
        <v>#REF!</v>
      </c>
      <c r="EJ263" t="e">
        <f>IF(Sheet1!#REF!,"AAAAAF57+os=",0)</f>
        <v>#REF!</v>
      </c>
      <c r="EK263" t="e">
        <f>IF(Sheet1!#REF!,"AAAAAF57+ow=",0)</f>
        <v>#REF!</v>
      </c>
      <c r="EL263" t="e">
        <f>IF(Sheet1!#REF!,"AAAAAF57+o0=",0)</f>
        <v>#REF!</v>
      </c>
      <c r="EM263" t="e">
        <f>IF(Sheet1!#REF!,"AAAAAF57+o4=",0)</f>
        <v>#REF!</v>
      </c>
      <c r="EN263" t="e">
        <f>IF(Sheet1!#REF!,"AAAAAF57+o8=",0)</f>
        <v>#REF!</v>
      </c>
      <c r="EO263" t="e">
        <f>IF(Sheet1!#REF!,"AAAAAF57+pA=",0)</f>
        <v>#REF!</v>
      </c>
      <c r="EP263" t="e">
        <f>IF(Sheet1!#REF!,"AAAAAF57+pE=",0)</f>
        <v>#REF!</v>
      </c>
      <c r="EQ263" t="e">
        <f>IF(Sheet1!#REF!,"AAAAAF57+pI=",0)</f>
        <v>#REF!</v>
      </c>
      <c r="ER263" t="e">
        <f>IF(Sheet1!#REF!,"AAAAAF57+pM=",0)</f>
        <v>#REF!</v>
      </c>
      <c r="ES263" t="e">
        <f>IF(Sheet1!#REF!,"AAAAAF57+pQ=",0)</f>
        <v>#REF!</v>
      </c>
      <c r="ET263" t="e">
        <f>IF(Sheet1!#REF!,"AAAAAF57+pU=",0)</f>
        <v>#REF!</v>
      </c>
      <c r="EU263" t="e">
        <f>IF(Sheet1!#REF!,"AAAAAF57+pY=",0)</f>
        <v>#REF!</v>
      </c>
      <c r="EV263" t="e">
        <f>IF(Sheet1!#REF!,"AAAAAF57+pc=",0)</f>
        <v>#REF!</v>
      </c>
      <c r="EW263" t="e">
        <f>IF(Sheet1!#REF!,"AAAAAF57+pg=",0)</f>
        <v>#REF!</v>
      </c>
      <c r="EX263" t="e">
        <f>IF(Sheet1!#REF!,"AAAAAF57+pk=",0)</f>
        <v>#REF!</v>
      </c>
      <c r="EY263" t="e">
        <f>IF(Sheet1!#REF!,"AAAAAF57+po=",0)</f>
        <v>#REF!</v>
      </c>
      <c r="EZ263" t="e">
        <f>IF(Sheet1!#REF!,"AAAAAF57+ps=",0)</f>
        <v>#REF!</v>
      </c>
      <c r="FA263" t="e">
        <f>IF(Sheet1!#REF!,"AAAAAF57+pw=",0)</f>
        <v>#REF!</v>
      </c>
      <c r="FB263" t="e">
        <f>IF(Sheet1!#REF!,"AAAAAF57+p0=",0)</f>
        <v>#REF!</v>
      </c>
      <c r="FC263" t="e">
        <f>IF(Sheet1!#REF!,"AAAAAF57+p4=",0)</f>
        <v>#REF!</v>
      </c>
      <c r="FD263" t="e">
        <f>IF(Sheet1!#REF!,"AAAAAF57+p8=",0)</f>
        <v>#REF!</v>
      </c>
      <c r="FE263" t="e">
        <f>IF(Sheet1!#REF!,"AAAAAF57+qA=",0)</f>
        <v>#REF!</v>
      </c>
      <c r="FF263" t="e">
        <f>IF(Sheet1!#REF!,"AAAAAF57+qE=",0)</f>
        <v>#REF!</v>
      </c>
      <c r="FG263" t="e">
        <f>IF(Sheet1!#REF!,"AAAAAF57+qI=",0)</f>
        <v>#REF!</v>
      </c>
      <c r="FH263" t="e">
        <f>IF(Sheet1!#REF!,"AAAAAF57+qM=",0)</f>
        <v>#REF!</v>
      </c>
      <c r="FI263" t="e">
        <f>IF(Sheet1!#REF!,"AAAAAF57+qQ=",0)</f>
        <v>#REF!</v>
      </c>
      <c r="FJ263" t="e">
        <f>IF(Sheet1!#REF!,"AAAAAF57+qU=",0)</f>
        <v>#REF!</v>
      </c>
      <c r="FK263" t="e">
        <f>IF(Sheet1!#REF!,"AAAAAF57+qY=",0)</f>
        <v>#REF!</v>
      </c>
      <c r="FL263" t="e">
        <f>IF(Sheet1!#REF!,"AAAAAF57+qc=",0)</f>
        <v>#REF!</v>
      </c>
      <c r="FM263" t="e">
        <f>IF(Sheet1!#REF!,"AAAAAF57+qg=",0)</f>
        <v>#REF!</v>
      </c>
      <c r="FN263" t="e">
        <f>IF(Sheet1!#REF!,"AAAAAF57+qk=",0)</f>
        <v>#REF!</v>
      </c>
      <c r="FO263" t="e">
        <f>IF(Sheet1!#REF!,"AAAAAF57+qo=",0)</f>
        <v>#REF!</v>
      </c>
      <c r="FP263" t="e">
        <f>IF(Sheet1!#REF!,"AAAAAF57+qs=",0)</f>
        <v>#REF!</v>
      </c>
      <c r="FQ263" t="e">
        <f>IF(Sheet1!#REF!,"AAAAAF57+qw=",0)</f>
        <v>#REF!</v>
      </c>
      <c r="FR263" t="e">
        <f>IF(Sheet1!#REF!,"AAAAAF57+q0=",0)</f>
        <v>#REF!</v>
      </c>
      <c r="FS263" t="e">
        <f>IF(Sheet1!#REF!,"AAAAAF57+q4=",0)</f>
        <v>#REF!</v>
      </c>
      <c r="FT263" t="e">
        <f>IF(Sheet1!#REF!,"AAAAAF57+q8=",0)</f>
        <v>#REF!</v>
      </c>
      <c r="FU263" t="e">
        <f>IF(Sheet1!#REF!,"AAAAAF57+rA=",0)</f>
        <v>#REF!</v>
      </c>
      <c r="FV263" t="e">
        <f>IF(Sheet1!#REF!,"AAAAAF57+rE=",0)</f>
        <v>#REF!</v>
      </c>
      <c r="FW263" t="e">
        <f>IF(Sheet1!#REF!,"AAAAAF57+rI=",0)</f>
        <v>#REF!</v>
      </c>
      <c r="FX263" t="e">
        <f>IF(Sheet1!#REF!,"AAAAAF57+rM=",0)</f>
        <v>#REF!</v>
      </c>
      <c r="FY263" t="e">
        <f>IF(Sheet1!#REF!,"AAAAAF57+rQ=",0)</f>
        <v>#REF!</v>
      </c>
      <c r="FZ263" t="e">
        <f>IF(Sheet1!#REF!,"AAAAAF57+rU=",0)</f>
        <v>#REF!</v>
      </c>
      <c r="GA263" t="e">
        <f>IF(Sheet1!#REF!,"AAAAAF57+rY=",0)</f>
        <v>#REF!</v>
      </c>
      <c r="GB263" t="e">
        <f>IF(Sheet1!#REF!,"AAAAAF57+rc=",0)</f>
        <v>#REF!</v>
      </c>
      <c r="GC263" t="e">
        <f>IF(Sheet1!#REF!,"AAAAAF57+rg=",0)</f>
        <v>#REF!</v>
      </c>
      <c r="GD263" t="e">
        <f>IF(Sheet1!#REF!,"AAAAAF57+rk=",0)</f>
        <v>#REF!</v>
      </c>
      <c r="GE263" t="e">
        <f>IF(Sheet1!#REF!,"AAAAAF57+ro=",0)</f>
        <v>#REF!</v>
      </c>
      <c r="GF263" t="e">
        <f>IF(Sheet1!#REF!,"AAAAAF57+rs=",0)</f>
        <v>#REF!</v>
      </c>
      <c r="GG263" t="e">
        <f>IF(Sheet1!#REF!,"AAAAAF57+rw=",0)</f>
        <v>#REF!</v>
      </c>
      <c r="GH263" t="e">
        <f>IF(Sheet1!#REF!,"AAAAAF57+r0=",0)</f>
        <v>#REF!</v>
      </c>
      <c r="GI263" t="e">
        <f>IF(Sheet1!#REF!,"AAAAAF57+r4=",0)</f>
        <v>#REF!</v>
      </c>
      <c r="GJ263" t="e">
        <f>IF(Sheet1!#REF!,"AAAAAF57+r8=",0)</f>
        <v>#REF!</v>
      </c>
      <c r="GK263" t="e">
        <f>IF(Sheet1!#REF!,"AAAAAF57+sA=",0)</f>
        <v>#REF!</v>
      </c>
      <c r="GL263" t="e">
        <f>IF(Sheet1!#REF!,"AAAAAF57+sE=",0)</f>
        <v>#REF!</v>
      </c>
      <c r="GM263" t="e">
        <f>IF(Sheet1!#REF!,"AAAAAF57+sI=",0)</f>
        <v>#REF!</v>
      </c>
      <c r="GN263" t="e">
        <f>IF(Sheet1!#REF!,"AAAAAF57+sM=",0)</f>
        <v>#REF!</v>
      </c>
      <c r="GO263" t="e">
        <f>IF(Sheet1!#REF!,"AAAAAF57+sQ=",0)</f>
        <v>#REF!</v>
      </c>
      <c r="GP263" t="e">
        <f>IF(Sheet1!#REF!,"AAAAAF57+sU=",0)</f>
        <v>#REF!</v>
      </c>
      <c r="GQ263" t="e">
        <f>IF(Sheet1!#REF!,"AAAAAF57+sY=",0)</f>
        <v>#REF!</v>
      </c>
      <c r="GR263" t="e">
        <f>IF(Sheet1!#REF!,"AAAAAF57+sc=",0)</f>
        <v>#REF!</v>
      </c>
      <c r="GS263" t="e">
        <f>IF(Sheet1!#REF!,"AAAAAF57+sg=",0)</f>
        <v>#REF!</v>
      </c>
      <c r="GT263" t="e">
        <f>IF(Sheet1!#REF!,"AAAAAF57+sk=",0)</f>
        <v>#REF!</v>
      </c>
      <c r="GU263" t="e">
        <f>IF(Sheet1!#REF!,"AAAAAF57+so=",0)</f>
        <v>#REF!</v>
      </c>
      <c r="GV263" t="e">
        <f>IF(Sheet1!#REF!,"AAAAAF57+ss=",0)</f>
        <v>#REF!</v>
      </c>
      <c r="GW263" t="e">
        <f>IF(Sheet1!#REF!,"AAAAAF57+sw=",0)</f>
        <v>#REF!</v>
      </c>
      <c r="GX263" t="e">
        <f>IF(Sheet1!#REF!,"AAAAAF57+s0=",0)</f>
        <v>#REF!</v>
      </c>
      <c r="GY263" t="e">
        <f>IF(Sheet1!#REF!,"AAAAAF57+s4=",0)</f>
        <v>#REF!</v>
      </c>
      <c r="GZ263" t="e">
        <f>IF(Sheet1!#REF!,"AAAAAF57+s8=",0)</f>
        <v>#REF!</v>
      </c>
      <c r="HA263" t="e">
        <f>IF(Sheet1!#REF!,"AAAAAF57+tA=",0)</f>
        <v>#REF!</v>
      </c>
      <c r="HB263" t="e">
        <f>IF(Sheet1!#REF!,"AAAAAF57+tE=",0)</f>
        <v>#REF!</v>
      </c>
      <c r="HC263" t="e">
        <f>IF(Sheet1!#REF!,"AAAAAF57+tI=",0)</f>
        <v>#REF!</v>
      </c>
      <c r="HD263" t="e">
        <f>IF(Sheet1!#REF!,"AAAAAF57+tM=",0)</f>
        <v>#REF!</v>
      </c>
      <c r="HE263" t="e">
        <f>IF(Sheet1!#REF!,"AAAAAF57+tQ=",0)</f>
        <v>#REF!</v>
      </c>
      <c r="HF263" t="e">
        <f>IF(Sheet1!#REF!,"AAAAAF57+tU=",0)</f>
        <v>#REF!</v>
      </c>
      <c r="HG263" t="e">
        <f>IF(Sheet1!#REF!,"AAAAAF57+tY=",0)</f>
        <v>#REF!</v>
      </c>
      <c r="HH263" t="e">
        <f>IF(Sheet1!#REF!,"AAAAAF57+tc=",0)</f>
        <v>#REF!</v>
      </c>
      <c r="HI263" t="e">
        <f>IF(Sheet1!#REF!,"AAAAAF57+tg=",0)</f>
        <v>#REF!</v>
      </c>
      <c r="HJ263" t="e">
        <f>IF(Sheet1!#REF!,"AAAAAF57+tk=",0)</f>
        <v>#REF!</v>
      </c>
      <c r="HK263" t="e">
        <f>IF(Sheet1!#REF!,"AAAAAF57+to=",0)</f>
        <v>#REF!</v>
      </c>
      <c r="HL263" t="e">
        <f>IF(Sheet1!#REF!,"AAAAAF57+ts=",0)</f>
        <v>#REF!</v>
      </c>
      <c r="HM263" t="e">
        <f>IF(Sheet1!#REF!,"AAAAAF57+tw=",0)</f>
        <v>#REF!</v>
      </c>
      <c r="HN263" t="e">
        <f>IF(Sheet1!#REF!,"AAAAAF57+t0=",0)</f>
        <v>#REF!</v>
      </c>
      <c r="HO263" t="e">
        <f>IF(Sheet1!#REF!,"AAAAAF57+t4=",0)</f>
        <v>#REF!</v>
      </c>
      <c r="HP263" t="e">
        <f>IF(Sheet1!#REF!,"AAAAAF57+t8=",0)</f>
        <v>#REF!</v>
      </c>
      <c r="HQ263" t="e">
        <f>IF(Sheet1!#REF!,"AAAAAF57+uA=",0)</f>
        <v>#REF!</v>
      </c>
      <c r="HR263" t="e">
        <f>IF(Sheet1!#REF!,"AAAAAF57+uE=",0)</f>
        <v>#REF!</v>
      </c>
      <c r="HS263" t="e">
        <f>IF(Sheet1!#REF!,"AAAAAF57+uI=",0)</f>
        <v>#REF!</v>
      </c>
      <c r="HT263" t="e">
        <f>IF(Sheet1!#REF!,"AAAAAF57+uM=",0)</f>
        <v>#REF!</v>
      </c>
      <c r="HU263" t="e">
        <f>IF(Sheet1!#REF!,"AAAAAF57+uQ=",0)</f>
        <v>#REF!</v>
      </c>
      <c r="HV263" t="e">
        <f>IF(Sheet1!#REF!,"AAAAAF57+uU=",0)</f>
        <v>#REF!</v>
      </c>
      <c r="HW263" t="e">
        <f>IF(Sheet1!#REF!,"AAAAAF57+uY=",0)</f>
        <v>#REF!</v>
      </c>
      <c r="HX263" t="e">
        <f>IF(Sheet1!#REF!,"AAAAAF57+uc=",0)</f>
        <v>#REF!</v>
      </c>
      <c r="HY263" t="e">
        <f>IF(Sheet1!#REF!,"AAAAAF57+ug=",0)</f>
        <v>#REF!</v>
      </c>
      <c r="HZ263" t="e">
        <f>IF(Sheet1!#REF!,"AAAAAF57+uk=",0)</f>
        <v>#REF!</v>
      </c>
      <c r="IA263" t="e">
        <f>IF(Sheet1!#REF!,"AAAAAF57+uo=",0)</f>
        <v>#REF!</v>
      </c>
      <c r="IB263" t="e">
        <f>IF(Sheet1!#REF!,"AAAAAF57+us=",0)</f>
        <v>#REF!</v>
      </c>
      <c r="IC263" t="e">
        <f>IF(Sheet1!#REF!,"AAAAAF57+uw=",0)</f>
        <v>#REF!</v>
      </c>
      <c r="ID263" t="e">
        <f>IF(Sheet1!#REF!,"AAAAAF57+u0=",0)</f>
        <v>#REF!</v>
      </c>
      <c r="IE263" t="e">
        <f>IF(Sheet1!#REF!,"AAAAAF57+u4=",0)</f>
        <v>#REF!</v>
      </c>
      <c r="IF263" t="e">
        <f>IF(Sheet1!#REF!,"AAAAAF57+u8=",0)</f>
        <v>#REF!</v>
      </c>
      <c r="IG263" t="e">
        <f>IF(Sheet1!#REF!,"AAAAAF57+vA=",0)</f>
        <v>#REF!</v>
      </c>
      <c r="IH263" t="e">
        <f>IF(Sheet1!#REF!,"AAAAAF57+vE=",0)</f>
        <v>#REF!</v>
      </c>
      <c r="II263" t="e">
        <f>IF(Sheet1!#REF!,"AAAAAF57+vI=",0)</f>
        <v>#REF!</v>
      </c>
      <c r="IJ263" t="e">
        <f>IF(Sheet1!#REF!,"AAAAAF57+vM=",0)</f>
        <v>#REF!</v>
      </c>
      <c r="IK263" t="e">
        <f>IF(Sheet1!#REF!,"AAAAAF57+vQ=",0)</f>
        <v>#REF!</v>
      </c>
      <c r="IL263" t="e">
        <f>IF(Sheet1!#REF!,"AAAAAF57+vU=",0)</f>
        <v>#REF!</v>
      </c>
      <c r="IM263" t="e">
        <f>IF(Sheet1!#REF!,"AAAAAF57+vY=",0)</f>
        <v>#REF!</v>
      </c>
      <c r="IN263" t="e">
        <f>IF(Sheet1!#REF!,"AAAAAF57+vc=",0)</f>
        <v>#REF!</v>
      </c>
      <c r="IO263" t="e">
        <f>IF(Sheet1!#REF!,"AAAAAF57+vg=",0)</f>
        <v>#REF!</v>
      </c>
      <c r="IP263" t="e">
        <f>IF(Sheet1!#REF!,"AAAAAF57+vk=",0)</f>
        <v>#REF!</v>
      </c>
      <c r="IQ263" t="e">
        <f>IF(Sheet1!#REF!,"AAAAAF57+vo=",0)</f>
        <v>#REF!</v>
      </c>
      <c r="IR263" t="e">
        <f>IF(Sheet1!#REF!,"AAAAAF57+vs=",0)</f>
        <v>#REF!</v>
      </c>
      <c r="IS263" t="e">
        <f>IF(Sheet1!#REF!,"AAAAAF57+vw=",0)</f>
        <v>#REF!</v>
      </c>
      <c r="IT263" t="e">
        <f>IF(Sheet1!#REF!,"AAAAAF57+v0=",0)</f>
        <v>#REF!</v>
      </c>
      <c r="IU263" t="e">
        <f>IF(Sheet1!#REF!,"AAAAAF57+v4=",0)</f>
        <v>#REF!</v>
      </c>
      <c r="IV263" t="e">
        <f>IF(Sheet1!#REF!,"AAAAAF57+v8=",0)</f>
        <v>#REF!</v>
      </c>
    </row>
    <row r="264" spans="1:256" x14ac:dyDescent="0.2">
      <c r="A264" t="e">
        <f>IF(Sheet1!#REF!,"AAAAAHPrvwA=",0)</f>
        <v>#REF!</v>
      </c>
      <c r="B264" t="e">
        <f>IF(Sheet1!#REF!,"AAAAAHPrvwE=",0)</f>
        <v>#REF!</v>
      </c>
      <c r="C264" t="e">
        <f>IF(Sheet1!#REF!,"AAAAAHPrvwI=",0)</f>
        <v>#REF!</v>
      </c>
      <c r="D264" t="e">
        <f>IF(Sheet1!#REF!,"AAAAAHPrvwM=",0)</f>
        <v>#REF!</v>
      </c>
      <c r="E264" t="e">
        <f>IF(Sheet1!#REF!,"AAAAAHPrvwQ=",0)</f>
        <v>#REF!</v>
      </c>
      <c r="F264" t="e">
        <f>IF(Sheet1!#REF!,"AAAAAHPrvwU=",0)</f>
        <v>#REF!</v>
      </c>
      <c r="G264" t="e">
        <f>IF(Sheet1!#REF!,"AAAAAHPrvwY=",0)</f>
        <v>#REF!</v>
      </c>
      <c r="H264" t="e">
        <f>IF(Sheet1!#REF!,"AAAAAHPrvwc=",0)</f>
        <v>#REF!</v>
      </c>
      <c r="I264" t="e">
        <f>IF(Sheet1!#REF!,"AAAAAHPrvwg=",0)</f>
        <v>#REF!</v>
      </c>
      <c r="J264" t="e">
        <f>IF(Sheet1!#REF!,"AAAAAHPrvwk=",0)</f>
        <v>#REF!</v>
      </c>
      <c r="K264" t="e">
        <f>IF(Sheet1!#REF!,"AAAAAHPrvwo=",0)</f>
        <v>#REF!</v>
      </c>
      <c r="L264" t="e">
        <f>IF(Sheet1!#REF!,"AAAAAHPrvws=",0)</f>
        <v>#REF!</v>
      </c>
      <c r="M264" t="e">
        <f>IF(Sheet1!#REF!,"AAAAAHPrvww=",0)</f>
        <v>#REF!</v>
      </c>
      <c r="N264" t="e">
        <f>IF(Sheet1!#REF!,"AAAAAHPrvw0=",0)</f>
        <v>#REF!</v>
      </c>
      <c r="O264" t="e">
        <f>IF(Sheet1!#REF!,"AAAAAHPrvw4=",0)</f>
        <v>#REF!</v>
      </c>
      <c r="P264" t="e">
        <f>IF(Sheet1!#REF!,"AAAAAHPrvw8=",0)</f>
        <v>#REF!</v>
      </c>
      <c r="Q264" t="e">
        <f>IF(Sheet1!#REF!,"AAAAAHPrvxA=",0)</f>
        <v>#REF!</v>
      </c>
      <c r="R264" t="e">
        <f>IF(Sheet1!#REF!,"AAAAAHPrvxE=",0)</f>
        <v>#REF!</v>
      </c>
      <c r="S264" t="e">
        <f>IF(Sheet1!#REF!,"AAAAAHPrvxI=",0)</f>
        <v>#REF!</v>
      </c>
      <c r="T264" t="e">
        <f>IF(Sheet1!#REF!,"AAAAAHPrvxM=",0)</f>
        <v>#REF!</v>
      </c>
      <c r="U264" t="e">
        <f>IF(Sheet1!#REF!,"AAAAAHPrvxQ=",0)</f>
        <v>#REF!</v>
      </c>
      <c r="V264" t="e">
        <f>IF(Sheet1!#REF!,"AAAAAHPrvxU=",0)</f>
        <v>#REF!</v>
      </c>
      <c r="W264" t="e">
        <f>IF(Sheet1!#REF!,"AAAAAHPrvxY=",0)</f>
        <v>#REF!</v>
      </c>
      <c r="X264" t="e">
        <f>IF(Sheet1!#REF!,"AAAAAHPrvxc=",0)</f>
        <v>#REF!</v>
      </c>
      <c r="Y264" t="e">
        <f>IF(Sheet1!#REF!,"AAAAAHPrvxg=",0)</f>
        <v>#REF!</v>
      </c>
      <c r="Z264" t="e">
        <f>IF(Sheet1!#REF!,"AAAAAHPrvxk=",0)</f>
        <v>#REF!</v>
      </c>
      <c r="AA264" t="e">
        <f>IF(Sheet1!#REF!,"AAAAAHPrvxo=",0)</f>
        <v>#REF!</v>
      </c>
      <c r="AB264" t="e">
        <f>IF(Sheet1!#REF!,"AAAAAHPrvxs=",0)</f>
        <v>#REF!</v>
      </c>
      <c r="AC264" t="e">
        <f>IF(Sheet1!#REF!,"AAAAAHPrvxw=",0)</f>
        <v>#REF!</v>
      </c>
      <c r="AD264" t="e">
        <f>IF(Sheet1!#REF!,"AAAAAHPrvx0=",0)</f>
        <v>#REF!</v>
      </c>
      <c r="AE264" t="e">
        <f>IF(Sheet1!#REF!,"AAAAAHPrvx4=",0)</f>
        <v>#REF!</v>
      </c>
      <c r="AF264" t="e">
        <f>IF(Sheet1!#REF!,"AAAAAHPrvx8=",0)</f>
        <v>#REF!</v>
      </c>
      <c r="AG264" t="e">
        <f>IF(Sheet1!#REF!,"AAAAAHPrvyA=",0)</f>
        <v>#REF!</v>
      </c>
      <c r="AH264" t="e">
        <f>IF(Sheet1!#REF!,"AAAAAHPrvyE=",0)</f>
        <v>#REF!</v>
      </c>
      <c r="AI264" t="e">
        <f>IF(Sheet1!#REF!,"AAAAAHPrvyI=",0)</f>
        <v>#REF!</v>
      </c>
      <c r="AJ264" t="e">
        <f>IF(Sheet1!#REF!,"AAAAAHPrvyM=",0)</f>
        <v>#REF!</v>
      </c>
      <c r="AK264" t="e">
        <f>IF(Sheet1!#REF!,"AAAAAHPrvyQ=",0)</f>
        <v>#REF!</v>
      </c>
      <c r="AL264" t="e">
        <f>IF(Sheet1!#REF!,"AAAAAHPrvyU=",0)</f>
        <v>#REF!</v>
      </c>
      <c r="AM264" t="e">
        <f>IF(Sheet1!#REF!,"AAAAAHPrvyY=",0)</f>
        <v>#REF!</v>
      </c>
      <c r="AN264" t="e">
        <f>IF(Sheet1!#REF!,"AAAAAHPrvyc=",0)</f>
        <v>#REF!</v>
      </c>
      <c r="AO264" t="e">
        <f>IF(Sheet1!#REF!,"AAAAAHPrvyg=",0)</f>
        <v>#REF!</v>
      </c>
      <c r="AP264" t="e">
        <f>IF(Sheet1!#REF!,"AAAAAHPrvyk=",0)</f>
        <v>#REF!</v>
      </c>
      <c r="AQ264" t="e">
        <f>IF(Sheet1!#REF!,"AAAAAHPrvyo=",0)</f>
        <v>#REF!</v>
      </c>
      <c r="AR264" t="e">
        <f>IF(Sheet1!#REF!,"AAAAAHPrvys=",0)</f>
        <v>#REF!</v>
      </c>
      <c r="AS264" t="e">
        <f>IF(Sheet1!#REF!,"AAAAAHPrvyw=",0)</f>
        <v>#REF!</v>
      </c>
      <c r="AT264" t="e">
        <f>IF(Sheet1!#REF!,"AAAAAHPrvy0=",0)</f>
        <v>#REF!</v>
      </c>
      <c r="AU264" t="e">
        <f>IF(Sheet1!#REF!,"AAAAAHPrvy4=",0)</f>
        <v>#REF!</v>
      </c>
      <c r="AV264" t="e">
        <f>IF(Sheet1!#REF!,"AAAAAHPrvy8=",0)</f>
        <v>#REF!</v>
      </c>
      <c r="AW264" t="e">
        <f>IF(Sheet1!#REF!,"AAAAAHPrvzA=",0)</f>
        <v>#REF!</v>
      </c>
      <c r="AX264" t="e">
        <f>IF(Sheet1!#REF!,"AAAAAHPrvzE=",0)</f>
        <v>#REF!</v>
      </c>
      <c r="AY264" t="e">
        <f>IF(Sheet1!#REF!,"AAAAAHPrvzI=",0)</f>
        <v>#REF!</v>
      </c>
      <c r="AZ264" t="e">
        <f>IF(Sheet1!#REF!,"AAAAAHPrvzM=",0)</f>
        <v>#REF!</v>
      </c>
      <c r="BA264" t="e">
        <f>IF(Sheet1!#REF!,"AAAAAHPrvzQ=",0)</f>
        <v>#REF!</v>
      </c>
      <c r="BB264" t="e">
        <f>IF(Sheet1!#REF!,"AAAAAHPrvzU=",0)</f>
        <v>#REF!</v>
      </c>
      <c r="BC264" t="e">
        <f>IF(Sheet1!#REF!,"AAAAAHPrvzY=",0)</f>
        <v>#REF!</v>
      </c>
      <c r="BD264" t="e">
        <f>IF(Sheet1!#REF!,"AAAAAHPrvzc=",0)</f>
        <v>#REF!</v>
      </c>
      <c r="BE264" t="e">
        <f>IF(Sheet1!#REF!,"AAAAAHPrvzg=",0)</f>
        <v>#REF!</v>
      </c>
      <c r="BF264" t="e">
        <f>IF(Sheet1!#REF!,"AAAAAHPrvzk=",0)</f>
        <v>#REF!</v>
      </c>
      <c r="BG264" t="e">
        <f>IF(Sheet1!#REF!,"AAAAAHPrvzo=",0)</f>
        <v>#REF!</v>
      </c>
      <c r="BH264" t="e">
        <f>IF(Sheet1!#REF!,"AAAAAHPrvzs=",0)</f>
        <v>#REF!</v>
      </c>
      <c r="BI264" t="e">
        <f>IF(Sheet1!#REF!,"AAAAAHPrvzw=",0)</f>
        <v>#REF!</v>
      </c>
      <c r="BJ264" t="e">
        <f>IF(Sheet1!#REF!,"AAAAAHPrvz0=",0)</f>
        <v>#REF!</v>
      </c>
      <c r="BK264" t="e">
        <f>IF(Sheet1!#REF!,"AAAAAHPrvz4=",0)</f>
        <v>#REF!</v>
      </c>
      <c r="BL264" t="e">
        <f>IF(Sheet1!#REF!,"AAAAAHPrvz8=",0)</f>
        <v>#REF!</v>
      </c>
      <c r="BM264" t="e">
        <f>IF(Sheet1!#REF!,"AAAAAHPrv0A=",0)</f>
        <v>#REF!</v>
      </c>
      <c r="BN264" t="e">
        <f>IF(Sheet1!#REF!,"AAAAAHPrv0E=",0)</f>
        <v>#REF!</v>
      </c>
      <c r="BO264" t="e">
        <f>IF(Sheet1!#REF!,"AAAAAHPrv0I=",0)</f>
        <v>#REF!</v>
      </c>
      <c r="BP264" t="e">
        <f>IF(Sheet1!#REF!,"AAAAAHPrv0M=",0)</f>
        <v>#REF!</v>
      </c>
      <c r="BQ264" t="e">
        <f>IF(Sheet1!#REF!,"AAAAAHPrv0Q=",0)</f>
        <v>#REF!</v>
      </c>
      <c r="BR264" t="e">
        <f>IF(Sheet1!#REF!,"AAAAAHPrv0U=",0)</f>
        <v>#REF!</v>
      </c>
      <c r="BS264" t="e">
        <f>IF(Sheet1!#REF!,"AAAAAHPrv0Y=",0)</f>
        <v>#REF!</v>
      </c>
      <c r="BT264" t="e">
        <f>IF(Sheet1!#REF!,"AAAAAHPrv0c=",0)</f>
        <v>#REF!</v>
      </c>
      <c r="BU264" t="e">
        <f>IF(Sheet1!#REF!,"AAAAAHPrv0g=",0)</f>
        <v>#REF!</v>
      </c>
      <c r="BV264" t="e">
        <f>IF(Sheet1!#REF!,"AAAAAHPrv0k=",0)</f>
        <v>#REF!</v>
      </c>
      <c r="BW264" t="e">
        <f>IF(Sheet1!#REF!,"AAAAAHPrv0o=",0)</f>
        <v>#REF!</v>
      </c>
      <c r="BX264" t="e">
        <f>IF(Sheet1!#REF!,"AAAAAHPrv0s=",0)</f>
        <v>#REF!</v>
      </c>
      <c r="BY264" t="e">
        <f>IF(Sheet1!#REF!,"AAAAAHPrv0w=",0)</f>
        <v>#REF!</v>
      </c>
      <c r="BZ264" t="e">
        <f>IF(Sheet1!#REF!,"AAAAAHPrv00=",0)</f>
        <v>#REF!</v>
      </c>
      <c r="CA264" t="e">
        <f>IF(Sheet1!#REF!,"AAAAAHPrv04=",0)</f>
        <v>#REF!</v>
      </c>
      <c r="CB264" t="e">
        <f>IF(Sheet1!#REF!,"AAAAAHPrv08=",0)</f>
        <v>#REF!</v>
      </c>
      <c r="CC264" t="e">
        <f>IF(Sheet1!#REF!,"AAAAAHPrv1A=",0)</f>
        <v>#REF!</v>
      </c>
      <c r="CD264" t="e">
        <f>IF(Sheet1!#REF!,"AAAAAHPrv1E=",0)</f>
        <v>#REF!</v>
      </c>
      <c r="CE264" t="e">
        <f>IF(Sheet1!#REF!,"AAAAAHPrv1I=",0)</f>
        <v>#REF!</v>
      </c>
      <c r="CF264" t="e">
        <f>IF(Sheet1!#REF!,"AAAAAHPrv1M=",0)</f>
        <v>#REF!</v>
      </c>
      <c r="CG264" t="e">
        <f>IF(Sheet1!#REF!,"AAAAAHPrv1Q=",0)</f>
        <v>#REF!</v>
      </c>
      <c r="CH264" t="e">
        <f>IF(Sheet1!#REF!,"AAAAAHPrv1U=",0)</f>
        <v>#REF!</v>
      </c>
      <c r="CI264" t="e">
        <f>IF(Sheet1!#REF!,"AAAAAHPrv1Y=",0)</f>
        <v>#REF!</v>
      </c>
      <c r="CJ264" t="e">
        <f>IF(Sheet1!#REF!,"AAAAAHPrv1c=",0)</f>
        <v>#REF!</v>
      </c>
      <c r="CK264" t="e">
        <f>IF(Sheet1!#REF!,"AAAAAHPrv1g=",0)</f>
        <v>#REF!</v>
      </c>
      <c r="CL264" t="e">
        <f>IF(Sheet1!#REF!,"AAAAAHPrv1k=",0)</f>
        <v>#REF!</v>
      </c>
      <c r="CM264" t="e">
        <f>IF(Sheet1!#REF!,"AAAAAHPrv1o=",0)</f>
        <v>#REF!</v>
      </c>
      <c r="CN264" t="e">
        <f>IF(Sheet1!#REF!,"AAAAAHPrv1s=",0)</f>
        <v>#REF!</v>
      </c>
      <c r="CO264" t="e">
        <f>IF(Sheet1!#REF!,"AAAAAHPrv1w=",0)</f>
        <v>#REF!</v>
      </c>
      <c r="CP264" t="e">
        <f>IF(Sheet1!#REF!,"AAAAAHPrv10=",0)</f>
        <v>#REF!</v>
      </c>
      <c r="CQ264" t="e">
        <f>IF(Sheet1!#REF!,"AAAAAHPrv14=",0)</f>
        <v>#REF!</v>
      </c>
      <c r="CR264" t="e">
        <f>IF(Sheet1!#REF!,"AAAAAHPrv18=",0)</f>
        <v>#REF!</v>
      </c>
      <c r="CS264" t="e">
        <f>IF(Sheet1!#REF!,"AAAAAHPrv2A=",0)</f>
        <v>#REF!</v>
      </c>
      <c r="CT264" t="e">
        <f>IF(Sheet1!#REF!,"AAAAAHPrv2E=",0)</f>
        <v>#REF!</v>
      </c>
      <c r="CU264" t="e">
        <f>IF(Sheet1!#REF!,"AAAAAHPrv2I=",0)</f>
        <v>#REF!</v>
      </c>
      <c r="CV264" t="e">
        <f>IF(Sheet1!#REF!,"AAAAAHPrv2M=",0)</f>
        <v>#REF!</v>
      </c>
      <c r="CW264" t="e">
        <f>IF(Sheet1!#REF!,"AAAAAHPrv2Q=",0)</f>
        <v>#REF!</v>
      </c>
      <c r="CX264" t="e">
        <f>IF(Sheet1!#REF!,"AAAAAHPrv2U=",0)</f>
        <v>#REF!</v>
      </c>
      <c r="CY264" t="e">
        <f>IF(Sheet1!#REF!,"AAAAAHPrv2Y=",0)</f>
        <v>#REF!</v>
      </c>
      <c r="CZ264" t="e">
        <f>IF(Sheet1!#REF!,"AAAAAHPrv2c=",0)</f>
        <v>#REF!</v>
      </c>
      <c r="DA264" t="e">
        <f>IF(Sheet1!#REF!,"AAAAAHPrv2g=",0)</f>
        <v>#REF!</v>
      </c>
      <c r="DB264" t="e">
        <f>IF(Sheet1!#REF!,"AAAAAHPrv2k=",0)</f>
        <v>#REF!</v>
      </c>
      <c r="DC264" t="e">
        <f>IF(Sheet1!#REF!,"AAAAAHPrv2o=",0)</f>
        <v>#REF!</v>
      </c>
      <c r="DD264" t="e">
        <f>IF(Sheet1!#REF!,"AAAAAHPrv2s=",0)</f>
        <v>#REF!</v>
      </c>
      <c r="DE264" t="e">
        <f>IF(Sheet1!#REF!,"AAAAAHPrv2w=",0)</f>
        <v>#REF!</v>
      </c>
      <c r="DF264" t="e">
        <f>IF(Sheet1!#REF!,"AAAAAHPrv20=",0)</f>
        <v>#REF!</v>
      </c>
      <c r="DG264" t="e">
        <f>IF(Sheet1!#REF!,"AAAAAHPrv24=",0)</f>
        <v>#REF!</v>
      </c>
      <c r="DH264" t="e">
        <f>IF(Sheet1!#REF!,"AAAAAHPrv28=",0)</f>
        <v>#REF!</v>
      </c>
      <c r="DI264" t="e">
        <f>IF(Sheet1!#REF!,"AAAAAHPrv3A=",0)</f>
        <v>#REF!</v>
      </c>
      <c r="DJ264" t="e">
        <f>IF(Sheet1!#REF!,"AAAAAHPrv3E=",0)</f>
        <v>#REF!</v>
      </c>
      <c r="DK264" t="e">
        <f>IF(Sheet1!#REF!,"AAAAAHPrv3I=",0)</f>
        <v>#REF!</v>
      </c>
      <c r="DL264" t="e">
        <f>IF(Sheet1!#REF!,"AAAAAHPrv3M=",0)</f>
        <v>#REF!</v>
      </c>
      <c r="DM264" t="e">
        <f>IF(Sheet1!#REF!,"AAAAAHPrv3Q=",0)</f>
        <v>#REF!</v>
      </c>
      <c r="DN264" t="e">
        <f>IF(Sheet1!#REF!,"AAAAAHPrv3U=",0)</f>
        <v>#REF!</v>
      </c>
      <c r="DO264" t="e">
        <f>IF(Sheet1!#REF!,"AAAAAHPrv3Y=",0)</f>
        <v>#REF!</v>
      </c>
      <c r="DP264" t="e">
        <f>IF(Sheet1!#REF!,"AAAAAHPrv3c=",0)</f>
        <v>#REF!</v>
      </c>
      <c r="DQ264" t="e">
        <f>IF(Sheet1!#REF!,"AAAAAHPrv3g=",0)</f>
        <v>#REF!</v>
      </c>
      <c r="DR264" t="e">
        <f>IF(Sheet1!#REF!,"AAAAAHPrv3k=",0)</f>
        <v>#REF!</v>
      </c>
      <c r="DS264" t="e">
        <f>IF(Sheet1!#REF!,"AAAAAHPrv3o=",0)</f>
        <v>#REF!</v>
      </c>
      <c r="DT264" t="e">
        <f>IF(Sheet1!#REF!,"AAAAAHPrv3s=",0)</f>
        <v>#REF!</v>
      </c>
      <c r="DU264" t="e">
        <f>IF(Sheet1!#REF!,"AAAAAHPrv3w=",0)</f>
        <v>#REF!</v>
      </c>
      <c r="DV264" t="e">
        <f>IF(Sheet1!#REF!,"AAAAAHPrv30=",0)</f>
        <v>#REF!</v>
      </c>
      <c r="DW264" t="e">
        <f>IF(Sheet1!#REF!,"AAAAAHPrv34=",0)</f>
        <v>#REF!</v>
      </c>
      <c r="DX264" t="e">
        <f>IF(Sheet1!#REF!,"AAAAAHPrv38=",0)</f>
        <v>#REF!</v>
      </c>
      <c r="DY264" t="e">
        <f>IF(Sheet1!#REF!,"AAAAAHPrv4A=",0)</f>
        <v>#REF!</v>
      </c>
      <c r="DZ264" t="e">
        <f>IF(Sheet1!#REF!,"AAAAAHPrv4E=",0)</f>
        <v>#REF!</v>
      </c>
      <c r="EA264" t="e">
        <f>IF(Sheet1!#REF!,"AAAAAHPrv4I=",0)</f>
        <v>#REF!</v>
      </c>
      <c r="EB264" t="e">
        <f>IF(Sheet1!#REF!,"AAAAAHPrv4M=",0)</f>
        <v>#REF!</v>
      </c>
      <c r="EC264" t="e">
        <f>IF(Sheet1!#REF!,"AAAAAHPrv4Q=",0)</f>
        <v>#REF!</v>
      </c>
      <c r="ED264" t="e">
        <f>IF(Sheet1!#REF!,"AAAAAHPrv4U=",0)</f>
        <v>#REF!</v>
      </c>
      <c r="EE264" t="e">
        <f>IF(Sheet1!#REF!,"AAAAAHPrv4Y=",0)</f>
        <v>#REF!</v>
      </c>
      <c r="EF264" t="e">
        <f>IF(Sheet1!#REF!,"AAAAAHPrv4c=",0)</f>
        <v>#REF!</v>
      </c>
      <c r="EG264" t="e">
        <f>IF(Sheet1!#REF!,"AAAAAHPrv4g=",0)</f>
        <v>#REF!</v>
      </c>
      <c r="EH264" t="e">
        <f>IF(Sheet1!#REF!,"AAAAAHPrv4k=",0)</f>
        <v>#REF!</v>
      </c>
      <c r="EI264" t="e">
        <f>IF(Sheet1!#REF!,"AAAAAHPrv4o=",0)</f>
        <v>#REF!</v>
      </c>
      <c r="EJ264" t="e">
        <f>IF(Sheet1!#REF!,"AAAAAHPrv4s=",0)</f>
        <v>#REF!</v>
      </c>
      <c r="EK264" t="e">
        <f>IF(Sheet1!#REF!,"AAAAAHPrv4w=",0)</f>
        <v>#REF!</v>
      </c>
      <c r="EL264" t="e">
        <f>IF(Sheet1!#REF!,"AAAAAHPrv40=",0)</f>
        <v>#REF!</v>
      </c>
      <c r="EM264" t="e">
        <f>IF(Sheet1!#REF!,"AAAAAHPrv44=",0)</f>
        <v>#REF!</v>
      </c>
      <c r="EN264" t="e">
        <f>IF(Sheet1!#REF!,"AAAAAHPrv48=",0)</f>
        <v>#REF!</v>
      </c>
      <c r="EO264" t="e">
        <f>IF(Sheet1!#REF!,"AAAAAHPrv5A=",0)</f>
        <v>#REF!</v>
      </c>
      <c r="EP264" t="e">
        <f>IF(Sheet1!#REF!,"AAAAAHPrv5E=",0)</f>
        <v>#REF!</v>
      </c>
      <c r="EQ264" t="e">
        <f>IF(Sheet1!#REF!,"AAAAAHPrv5I=",0)</f>
        <v>#REF!</v>
      </c>
      <c r="ER264" t="e">
        <f>IF(Sheet1!#REF!,"AAAAAHPrv5M=",0)</f>
        <v>#REF!</v>
      </c>
      <c r="ES264" t="e">
        <f>IF(Sheet1!#REF!,"AAAAAHPrv5Q=",0)</f>
        <v>#REF!</v>
      </c>
      <c r="ET264" t="e">
        <f>IF(Sheet1!#REF!,"AAAAAHPrv5U=",0)</f>
        <v>#REF!</v>
      </c>
      <c r="EU264" t="e">
        <f>IF(Sheet1!#REF!,"AAAAAHPrv5Y=",0)</f>
        <v>#REF!</v>
      </c>
      <c r="EV264" t="e">
        <f>IF(Sheet1!#REF!,"AAAAAHPrv5c=",0)</f>
        <v>#REF!</v>
      </c>
      <c r="EW264" t="e">
        <f>IF(Sheet1!#REF!,"AAAAAHPrv5g=",0)</f>
        <v>#REF!</v>
      </c>
      <c r="EX264" t="e">
        <f>IF(Sheet1!#REF!,"AAAAAHPrv5k=",0)</f>
        <v>#REF!</v>
      </c>
      <c r="EY264" t="e">
        <f>IF(Sheet1!#REF!,"AAAAAHPrv5o=",0)</f>
        <v>#REF!</v>
      </c>
      <c r="EZ264" t="e">
        <f>IF(Sheet1!#REF!,"AAAAAHPrv5s=",0)</f>
        <v>#REF!</v>
      </c>
      <c r="FA264" t="e">
        <f>IF(Sheet1!#REF!,"AAAAAHPrv5w=",0)</f>
        <v>#REF!</v>
      </c>
      <c r="FB264" t="e">
        <f>IF(Sheet1!#REF!,"AAAAAHPrv50=",0)</f>
        <v>#REF!</v>
      </c>
      <c r="FC264" t="e">
        <f>IF(Sheet1!#REF!,"AAAAAHPrv54=",0)</f>
        <v>#REF!</v>
      </c>
      <c r="FD264" t="e">
        <f>IF(Sheet1!#REF!,"AAAAAHPrv58=",0)</f>
        <v>#REF!</v>
      </c>
      <c r="FE264" t="e">
        <f>IF(Sheet1!#REF!,"AAAAAHPrv6A=",0)</f>
        <v>#REF!</v>
      </c>
      <c r="FF264" t="e">
        <f>IF(Sheet1!#REF!,"AAAAAHPrv6E=",0)</f>
        <v>#REF!</v>
      </c>
      <c r="FG264" t="e">
        <f>IF(Sheet1!#REF!,"AAAAAHPrv6I=",0)</f>
        <v>#REF!</v>
      </c>
      <c r="FH264" t="e">
        <f>IF(Sheet1!#REF!,"AAAAAHPrv6M=",0)</f>
        <v>#REF!</v>
      </c>
      <c r="FI264" t="e">
        <f>IF(Sheet1!#REF!,"AAAAAHPrv6Q=",0)</f>
        <v>#REF!</v>
      </c>
      <c r="FJ264" t="e">
        <f>IF(Sheet1!#REF!,"AAAAAHPrv6U=",0)</f>
        <v>#REF!</v>
      </c>
      <c r="FK264" t="e">
        <f>IF(Sheet1!#REF!,"AAAAAHPrv6Y=",0)</f>
        <v>#REF!</v>
      </c>
      <c r="FL264" t="e">
        <f>IF(Sheet1!#REF!,"AAAAAHPrv6c=",0)</f>
        <v>#REF!</v>
      </c>
      <c r="FM264" t="e">
        <f>IF(Sheet1!#REF!,"AAAAAHPrv6g=",0)</f>
        <v>#REF!</v>
      </c>
      <c r="FN264" t="e">
        <f>IF(Sheet1!#REF!,"AAAAAHPrv6k=",0)</f>
        <v>#REF!</v>
      </c>
      <c r="FO264" t="e">
        <f>IF(Sheet1!#REF!,"AAAAAHPrv6o=",0)</f>
        <v>#REF!</v>
      </c>
      <c r="FP264" t="e">
        <f>IF(Sheet1!#REF!,"AAAAAHPrv6s=",0)</f>
        <v>#REF!</v>
      </c>
      <c r="FQ264" t="e">
        <f>IF(Sheet1!#REF!,"AAAAAHPrv6w=",0)</f>
        <v>#REF!</v>
      </c>
      <c r="FR264" t="e">
        <f>IF(Sheet1!#REF!,"AAAAAHPrv60=",0)</f>
        <v>#REF!</v>
      </c>
      <c r="FS264" t="e">
        <f>IF(Sheet1!#REF!,"AAAAAHPrv64=",0)</f>
        <v>#REF!</v>
      </c>
      <c r="FT264" t="e">
        <f>IF(Sheet1!#REF!,"AAAAAHPrv68=",0)</f>
        <v>#REF!</v>
      </c>
      <c r="FU264" t="e">
        <f>IF(Sheet1!#REF!,"AAAAAHPrv7A=",0)</f>
        <v>#REF!</v>
      </c>
      <c r="FV264" t="e">
        <f>IF(Sheet1!#REF!,"AAAAAHPrv7E=",0)</f>
        <v>#REF!</v>
      </c>
      <c r="FW264" t="e">
        <f>IF(Sheet1!#REF!,"AAAAAHPrv7I=",0)</f>
        <v>#REF!</v>
      </c>
      <c r="FX264" t="e">
        <f>IF(Sheet1!#REF!,"AAAAAHPrv7M=",0)</f>
        <v>#REF!</v>
      </c>
      <c r="FY264" t="e">
        <f>IF(Sheet1!#REF!,"AAAAAHPrv7Q=",0)</f>
        <v>#REF!</v>
      </c>
      <c r="FZ264" t="e">
        <f>IF(Sheet1!#REF!,"AAAAAHPrv7U=",0)</f>
        <v>#REF!</v>
      </c>
      <c r="GA264" t="e">
        <f>IF(Sheet1!#REF!,"AAAAAHPrv7Y=",0)</f>
        <v>#REF!</v>
      </c>
      <c r="GB264" t="e">
        <f>IF(Sheet1!#REF!,"AAAAAHPrv7c=",0)</f>
        <v>#REF!</v>
      </c>
      <c r="GC264" t="e">
        <f>IF(Sheet1!#REF!,"AAAAAHPrv7g=",0)</f>
        <v>#REF!</v>
      </c>
      <c r="GD264" t="e">
        <f>IF(Sheet1!#REF!,"AAAAAHPrv7k=",0)</f>
        <v>#REF!</v>
      </c>
      <c r="GE264" t="e">
        <f>IF(Sheet1!#REF!,"AAAAAHPrv7o=",0)</f>
        <v>#REF!</v>
      </c>
      <c r="GF264" t="e">
        <f>IF(Sheet1!#REF!,"AAAAAHPrv7s=",0)</f>
        <v>#REF!</v>
      </c>
      <c r="GG264" t="e">
        <f>IF(Sheet1!#REF!,"AAAAAHPrv7w=",0)</f>
        <v>#REF!</v>
      </c>
      <c r="GH264" t="e">
        <f>IF(Sheet1!#REF!,"AAAAAHPrv70=",0)</f>
        <v>#REF!</v>
      </c>
      <c r="GI264" t="e">
        <f>IF(Sheet1!#REF!,"AAAAAHPrv74=",0)</f>
        <v>#REF!</v>
      </c>
      <c r="GJ264" t="e">
        <f>IF(Sheet1!#REF!,"AAAAAHPrv78=",0)</f>
        <v>#REF!</v>
      </c>
      <c r="GK264" t="e">
        <f>IF(Sheet1!#REF!,"AAAAAHPrv8A=",0)</f>
        <v>#REF!</v>
      </c>
      <c r="GL264" t="e">
        <f>IF(Sheet1!#REF!,"AAAAAHPrv8E=",0)</f>
        <v>#REF!</v>
      </c>
      <c r="GM264" t="e">
        <f>IF(Sheet1!#REF!,"AAAAAHPrv8I=",0)</f>
        <v>#REF!</v>
      </c>
      <c r="GN264" t="e">
        <f>IF(Sheet1!#REF!,"AAAAAHPrv8M=",0)</f>
        <v>#REF!</v>
      </c>
      <c r="GO264" t="e">
        <f>IF(Sheet1!#REF!,"AAAAAHPrv8Q=",0)</f>
        <v>#REF!</v>
      </c>
      <c r="GP264" t="e">
        <f>IF(Sheet1!#REF!,"AAAAAHPrv8U=",0)</f>
        <v>#REF!</v>
      </c>
      <c r="GQ264" t="e">
        <f>IF(Sheet1!#REF!,"AAAAAHPrv8Y=",0)</f>
        <v>#REF!</v>
      </c>
      <c r="GR264" t="e">
        <f>IF(Sheet1!#REF!,"AAAAAHPrv8c=",0)</f>
        <v>#REF!</v>
      </c>
      <c r="GS264" t="e">
        <f>IF(Sheet1!#REF!,"AAAAAHPrv8g=",0)</f>
        <v>#REF!</v>
      </c>
      <c r="GT264" t="e">
        <f>IF(Sheet1!#REF!,"AAAAAHPrv8k=",0)</f>
        <v>#REF!</v>
      </c>
      <c r="GU264" t="e">
        <f>IF(Sheet1!#REF!,"AAAAAHPrv8o=",0)</f>
        <v>#REF!</v>
      </c>
      <c r="GV264" t="e">
        <f>IF(Sheet1!#REF!,"AAAAAHPrv8s=",0)</f>
        <v>#REF!</v>
      </c>
      <c r="GW264" t="e">
        <f>IF(Sheet1!#REF!,"AAAAAHPrv8w=",0)</f>
        <v>#REF!</v>
      </c>
      <c r="GX264" t="e">
        <f>IF(Sheet1!#REF!,"AAAAAHPrv80=",0)</f>
        <v>#REF!</v>
      </c>
      <c r="GY264" t="e">
        <f>IF(Sheet1!#REF!,"AAAAAHPrv84=",0)</f>
        <v>#REF!</v>
      </c>
      <c r="GZ264" t="e">
        <f>IF(Sheet1!#REF!,"AAAAAHPrv88=",0)</f>
        <v>#REF!</v>
      </c>
      <c r="HA264" t="e">
        <f>IF(Sheet1!#REF!,"AAAAAHPrv9A=",0)</f>
        <v>#REF!</v>
      </c>
      <c r="HB264" t="e">
        <f>IF(Sheet1!#REF!,"AAAAAHPrv9E=",0)</f>
        <v>#REF!</v>
      </c>
      <c r="HC264" t="e">
        <f>IF(Sheet1!#REF!,"AAAAAHPrv9I=",0)</f>
        <v>#REF!</v>
      </c>
      <c r="HD264" t="e">
        <f>IF(Sheet1!#REF!,"AAAAAHPrv9M=",0)</f>
        <v>#REF!</v>
      </c>
      <c r="HE264" t="e">
        <f>IF(Sheet1!#REF!,"AAAAAHPrv9Q=",0)</f>
        <v>#REF!</v>
      </c>
      <c r="HF264" t="e">
        <f>IF(Sheet1!#REF!,"AAAAAHPrv9U=",0)</f>
        <v>#REF!</v>
      </c>
      <c r="HG264" t="e">
        <f>IF(Sheet1!#REF!,"AAAAAHPrv9Y=",0)</f>
        <v>#REF!</v>
      </c>
      <c r="HH264" t="e">
        <f>IF(Sheet1!#REF!,"AAAAAHPrv9c=",0)</f>
        <v>#REF!</v>
      </c>
      <c r="HI264" t="e">
        <f>IF(Sheet1!#REF!,"AAAAAHPrv9g=",0)</f>
        <v>#REF!</v>
      </c>
      <c r="HJ264" t="e">
        <f>IF(Sheet1!#REF!,"AAAAAHPrv9k=",0)</f>
        <v>#REF!</v>
      </c>
      <c r="HK264" t="e">
        <f>IF(Sheet1!#REF!,"AAAAAHPrv9o=",0)</f>
        <v>#REF!</v>
      </c>
      <c r="HL264" t="e">
        <f>IF(Sheet1!#REF!,"AAAAAHPrv9s=",0)</f>
        <v>#REF!</v>
      </c>
      <c r="HM264" t="e">
        <f>IF(Sheet1!#REF!,"AAAAAHPrv9w=",0)</f>
        <v>#REF!</v>
      </c>
      <c r="HN264" t="e">
        <f>IF(Sheet1!#REF!,"AAAAAHPrv90=",0)</f>
        <v>#REF!</v>
      </c>
      <c r="HO264" t="e">
        <f>IF(Sheet1!#REF!,"AAAAAHPrv94=",0)</f>
        <v>#REF!</v>
      </c>
      <c r="HP264" t="e">
        <f>IF(Sheet1!#REF!,"AAAAAHPrv98=",0)</f>
        <v>#REF!</v>
      </c>
      <c r="HQ264" t="e">
        <f>IF(Sheet1!#REF!,"AAAAAHPrv+A=",0)</f>
        <v>#REF!</v>
      </c>
      <c r="HR264" t="e">
        <f>IF(Sheet1!#REF!,"AAAAAHPrv+E=",0)</f>
        <v>#REF!</v>
      </c>
      <c r="HS264" t="e">
        <f>IF(Sheet1!#REF!,"AAAAAHPrv+I=",0)</f>
        <v>#REF!</v>
      </c>
      <c r="HT264" t="e">
        <f>IF(Sheet1!#REF!,"AAAAAHPrv+M=",0)</f>
        <v>#REF!</v>
      </c>
      <c r="HU264" t="e">
        <f>IF(Sheet1!#REF!,"AAAAAHPrv+Q=",0)</f>
        <v>#REF!</v>
      </c>
      <c r="HV264" t="e">
        <f>IF(Sheet1!#REF!,"AAAAAHPrv+U=",0)</f>
        <v>#REF!</v>
      </c>
      <c r="HW264" t="e">
        <f>IF(Sheet1!#REF!,"AAAAAHPrv+Y=",0)</f>
        <v>#REF!</v>
      </c>
      <c r="HX264" t="e">
        <f>IF(Sheet1!#REF!,"AAAAAHPrv+c=",0)</f>
        <v>#REF!</v>
      </c>
      <c r="HY264" t="e">
        <f>IF(Sheet1!#REF!,"AAAAAHPrv+g=",0)</f>
        <v>#REF!</v>
      </c>
      <c r="HZ264" t="e">
        <f>IF(Sheet1!#REF!,"AAAAAHPrv+k=",0)</f>
        <v>#REF!</v>
      </c>
      <c r="IA264" t="e">
        <f>IF(Sheet1!#REF!,"AAAAAHPrv+o=",0)</f>
        <v>#REF!</v>
      </c>
      <c r="IB264" t="e">
        <f>IF(Sheet1!#REF!,"AAAAAHPrv+s=",0)</f>
        <v>#REF!</v>
      </c>
      <c r="IC264" t="e">
        <f>IF(Sheet1!#REF!,"AAAAAHPrv+w=",0)</f>
        <v>#REF!</v>
      </c>
      <c r="ID264" t="e">
        <f>IF(Sheet1!#REF!,"AAAAAHPrv+0=",0)</f>
        <v>#REF!</v>
      </c>
      <c r="IE264" t="e">
        <f>IF(Sheet1!#REF!,"AAAAAHPrv+4=",0)</f>
        <v>#REF!</v>
      </c>
      <c r="IF264" t="e">
        <f>IF(Sheet1!#REF!,"AAAAAHPrv+8=",0)</f>
        <v>#REF!</v>
      </c>
      <c r="IG264" t="e">
        <f>IF(Sheet1!#REF!,"AAAAAHPrv/A=",0)</f>
        <v>#REF!</v>
      </c>
      <c r="IH264" t="e">
        <f>IF(Sheet1!#REF!,"AAAAAHPrv/E=",0)</f>
        <v>#REF!</v>
      </c>
      <c r="II264" t="e">
        <f>IF(Sheet1!#REF!,"AAAAAHPrv/I=",0)</f>
        <v>#REF!</v>
      </c>
      <c r="IJ264" t="e">
        <f>IF(Sheet1!#REF!,"AAAAAHPrv/M=",0)</f>
        <v>#REF!</v>
      </c>
      <c r="IK264" t="e">
        <f>IF(Sheet1!#REF!,"AAAAAHPrv/Q=",0)</f>
        <v>#REF!</v>
      </c>
      <c r="IL264" t="e">
        <f>IF(Sheet1!#REF!,"AAAAAHPrv/U=",0)</f>
        <v>#REF!</v>
      </c>
      <c r="IM264" t="e">
        <f>IF(Sheet1!#REF!,"AAAAAHPrv/Y=",0)</f>
        <v>#REF!</v>
      </c>
      <c r="IN264" t="e">
        <f>IF(Sheet1!#REF!,"AAAAAHPrv/c=",0)</f>
        <v>#REF!</v>
      </c>
      <c r="IO264" t="e">
        <f>IF(Sheet1!#REF!,"AAAAAHPrv/g=",0)</f>
        <v>#REF!</v>
      </c>
      <c r="IP264" t="e">
        <f>IF(Sheet1!#REF!,"AAAAAHPrv/k=",0)</f>
        <v>#REF!</v>
      </c>
      <c r="IQ264" t="e">
        <f>IF(Sheet1!#REF!,"AAAAAHPrv/o=",0)</f>
        <v>#REF!</v>
      </c>
      <c r="IR264" t="e">
        <f>IF(Sheet1!#REF!,"AAAAAHPrv/s=",0)</f>
        <v>#REF!</v>
      </c>
      <c r="IS264" t="e">
        <f>IF(Sheet1!#REF!,"AAAAAHPrv/w=",0)</f>
        <v>#REF!</v>
      </c>
      <c r="IT264" t="e">
        <f>IF(Sheet1!#REF!,"AAAAAHPrv/0=",0)</f>
        <v>#REF!</v>
      </c>
      <c r="IU264" t="e">
        <f>IF(Sheet1!#REF!,"AAAAAHPrv/4=",0)</f>
        <v>#REF!</v>
      </c>
      <c r="IV264" t="e">
        <f>IF(Sheet1!#REF!,"AAAAAHPrv/8=",0)</f>
        <v>#REF!</v>
      </c>
    </row>
    <row r="265" spans="1:256" x14ac:dyDescent="0.2">
      <c r="A265" t="e">
        <f>IF(Sheet1!#REF!,"AAAAAHa/zQA=",0)</f>
        <v>#REF!</v>
      </c>
      <c r="B265" t="e">
        <f>IF(Sheet1!#REF!,"AAAAAHa/zQE=",0)</f>
        <v>#REF!</v>
      </c>
      <c r="C265" t="e">
        <f>IF(Sheet1!#REF!,"AAAAAHa/zQI=",0)</f>
        <v>#REF!</v>
      </c>
      <c r="D265" t="e">
        <f>IF(Sheet1!#REF!,"AAAAAHa/zQM=",0)</f>
        <v>#REF!</v>
      </c>
      <c r="E265" t="e">
        <f>IF(Sheet1!#REF!,"AAAAAHa/zQQ=",0)</f>
        <v>#REF!</v>
      </c>
      <c r="F265" t="e">
        <f>IF(Sheet1!#REF!,"AAAAAHa/zQU=",0)</f>
        <v>#REF!</v>
      </c>
      <c r="G265" t="e">
        <f>IF(Sheet1!#REF!,"AAAAAHa/zQY=",0)</f>
        <v>#REF!</v>
      </c>
      <c r="H265" t="e">
        <f>IF(Sheet1!#REF!,"AAAAAHa/zQc=",0)</f>
        <v>#REF!</v>
      </c>
      <c r="I265" t="e">
        <f>IF(Sheet1!#REF!,"AAAAAHa/zQg=",0)</f>
        <v>#REF!</v>
      </c>
      <c r="J265" t="e">
        <f>IF(Sheet1!#REF!,"AAAAAHa/zQk=",0)</f>
        <v>#REF!</v>
      </c>
      <c r="K265" t="e">
        <f>IF(Sheet1!#REF!,"AAAAAHa/zQo=",0)</f>
        <v>#REF!</v>
      </c>
      <c r="L265" t="e">
        <f>IF(Sheet1!#REF!,"AAAAAHa/zQs=",0)</f>
        <v>#REF!</v>
      </c>
      <c r="M265" t="e">
        <f>IF(Sheet1!#REF!,"AAAAAHa/zQw=",0)</f>
        <v>#REF!</v>
      </c>
      <c r="N265" t="e">
        <f>IF(Sheet1!#REF!,"AAAAAHa/zQ0=",0)</f>
        <v>#REF!</v>
      </c>
      <c r="O265" t="e">
        <f>IF(Sheet1!#REF!,"AAAAAHa/zQ4=",0)</f>
        <v>#REF!</v>
      </c>
      <c r="P265" t="e">
        <f>IF(Sheet1!#REF!,"AAAAAHa/zQ8=",0)</f>
        <v>#REF!</v>
      </c>
      <c r="Q265" t="e">
        <f>IF(Sheet1!#REF!,"AAAAAHa/zRA=",0)</f>
        <v>#REF!</v>
      </c>
      <c r="R265" t="e">
        <f>IF(Sheet1!#REF!,"AAAAAHa/zRE=",0)</f>
        <v>#REF!</v>
      </c>
      <c r="S265" t="e">
        <f>IF(Sheet1!#REF!,"AAAAAHa/zRI=",0)</f>
        <v>#REF!</v>
      </c>
      <c r="T265" t="e">
        <f>IF(Sheet1!#REF!,"AAAAAHa/zRM=",0)</f>
        <v>#REF!</v>
      </c>
      <c r="U265" t="e">
        <f>IF(Sheet1!#REF!,"AAAAAHa/zRQ=",0)</f>
        <v>#REF!</v>
      </c>
      <c r="V265" t="e">
        <f>IF(Sheet1!#REF!,"AAAAAHa/zRU=",0)</f>
        <v>#REF!</v>
      </c>
      <c r="W265" t="e">
        <f>IF(Sheet1!#REF!,"AAAAAHa/zRY=",0)</f>
        <v>#REF!</v>
      </c>
      <c r="X265" t="e">
        <f>IF(Sheet1!#REF!,"AAAAAHa/zRc=",0)</f>
        <v>#REF!</v>
      </c>
      <c r="Y265" t="e">
        <f>IF(Sheet1!#REF!,"AAAAAHa/zRg=",0)</f>
        <v>#REF!</v>
      </c>
      <c r="Z265" t="e">
        <f>IF(Sheet1!#REF!,"AAAAAHa/zRk=",0)</f>
        <v>#REF!</v>
      </c>
      <c r="AA265" t="e">
        <f>IF(Sheet1!#REF!,"AAAAAHa/zRo=",0)</f>
        <v>#REF!</v>
      </c>
      <c r="AB265" t="e">
        <f>IF(Sheet1!#REF!,"AAAAAHa/zRs=",0)</f>
        <v>#REF!</v>
      </c>
      <c r="AC265" t="e">
        <f>IF(Sheet1!#REF!,"AAAAAHa/zRw=",0)</f>
        <v>#REF!</v>
      </c>
      <c r="AD265" t="e">
        <f>IF(Sheet1!#REF!,"AAAAAHa/zR0=",0)</f>
        <v>#REF!</v>
      </c>
      <c r="AE265" t="e">
        <f>IF(Sheet1!#REF!,"AAAAAHa/zR4=",0)</f>
        <v>#REF!</v>
      </c>
      <c r="AF265" t="e">
        <f>IF(Sheet1!#REF!,"AAAAAHa/zR8=",0)</f>
        <v>#REF!</v>
      </c>
      <c r="AG265" t="e">
        <f>IF(Sheet1!#REF!,"AAAAAHa/zSA=",0)</f>
        <v>#REF!</v>
      </c>
      <c r="AH265" t="e">
        <f>IF(Sheet1!#REF!,"AAAAAHa/zSE=",0)</f>
        <v>#REF!</v>
      </c>
      <c r="AI265" t="e">
        <f>IF(Sheet1!#REF!,"AAAAAHa/zSI=",0)</f>
        <v>#REF!</v>
      </c>
      <c r="AJ265" t="e">
        <f>IF(Sheet1!#REF!,"AAAAAHa/zSM=",0)</f>
        <v>#REF!</v>
      </c>
      <c r="AK265" t="e">
        <f>IF(Sheet1!#REF!,"AAAAAHa/zSQ=",0)</f>
        <v>#REF!</v>
      </c>
      <c r="AL265" t="e">
        <f>IF(Sheet1!#REF!,"AAAAAHa/zSU=",0)</f>
        <v>#REF!</v>
      </c>
      <c r="AM265" t="e">
        <f>IF(Sheet1!#REF!,"AAAAAHa/zSY=",0)</f>
        <v>#REF!</v>
      </c>
      <c r="AN265" t="e">
        <f>IF(Sheet1!#REF!,"AAAAAHa/zSc=",0)</f>
        <v>#REF!</v>
      </c>
      <c r="AO265" t="e">
        <f>IF(Sheet1!#REF!,"AAAAAHa/zSg=",0)</f>
        <v>#REF!</v>
      </c>
      <c r="AP265" t="e">
        <f>IF(Sheet1!#REF!,"AAAAAHa/zSk=",0)</f>
        <v>#REF!</v>
      </c>
      <c r="AQ265" t="e">
        <f>IF(Sheet1!#REF!,"AAAAAHa/zSo=",0)</f>
        <v>#REF!</v>
      </c>
      <c r="AR265" t="e">
        <f>IF(Sheet1!#REF!,"AAAAAHa/zSs=",0)</f>
        <v>#REF!</v>
      </c>
      <c r="AS265" t="e">
        <f>IF(Sheet1!#REF!,"AAAAAHa/zSw=",0)</f>
        <v>#REF!</v>
      </c>
      <c r="AT265" t="e">
        <f>IF(Sheet1!#REF!,"AAAAAHa/zS0=",0)</f>
        <v>#REF!</v>
      </c>
      <c r="AU265" t="e">
        <f>IF(Sheet1!#REF!,"AAAAAHa/zS4=",0)</f>
        <v>#REF!</v>
      </c>
      <c r="AV265" t="e">
        <f>IF(Sheet1!#REF!,"AAAAAHa/zS8=",0)</f>
        <v>#REF!</v>
      </c>
      <c r="AW265" t="e">
        <f>IF(Sheet1!#REF!,"AAAAAHa/zTA=",0)</f>
        <v>#REF!</v>
      </c>
      <c r="AX265" t="e">
        <f>IF(Sheet1!#REF!,"AAAAAHa/zTE=",0)</f>
        <v>#REF!</v>
      </c>
      <c r="AY265" t="e">
        <f>IF(Sheet1!#REF!,"AAAAAHa/zTI=",0)</f>
        <v>#REF!</v>
      </c>
      <c r="AZ265" t="e">
        <f>IF(Sheet1!#REF!,"AAAAAHa/zTM=",0)</f>
        <v>#REF!</v>
      </c>
      <c r="BA265" t="e">
        <f>IF(Sheet1!#REF!,"AAAAAHa/zTQ=",0)</f>
        <v>#REF!</v>
      </c>
      <c r="BB265" t="e">
        <f>IF(Sheet1!#REF!,"AAAAAHa/zTU=",0)</f>
        <v>#REF!</v>
      </c>
      <c r="BC265" t="e">
        <f>IF(Sheet1!#REF!,"AAAAAHa/zTY=",0)</f>
        <v>#REF!</v>
      </c>
      <c r="BD265" t="e">
        <f>IF(Sheet1!#REF!,"AAAAAHa/zTc=",0)</f>
        <v>#REF!</v>
      </c>
      <c r="BE265" t="e">
        <f>IF(Sheet1!#REF!,"AAAAAHa/zTg=",0)</f>
        <v>#REF!</v>
      </c>
      <c r="BF265" t="e">
        <f>IF(Sheet1!#REF!,"AAAAAHa/zTk=",0)</f>
        <v>#REF!</v>
      </c>
      <c r="BG265" t="e">
        <f>IF(Sheet1!#REF!,"AAAAAHa/zTo=",0)</f>
        <v>#REF!</v>
      </c>
      <c r="BH265" t="e">
        <f>IF(Sheet1!#REF!,"AAAAAHa/zTs=",0)</f>
        <v>#REF!</v>
      </c>
      <c r="BI265" t="e">
        <f>IF(Sheet1!#REF!,"AAAAAHa/zTw=",0)</f>
        <v>#REF!</v>
      </c>
      <c r="BJ265" t="e">
        <f>IF(Sheet1!#REF!,"AAAAAHa/zT0=",0)</f>
        <v>#REF!</v>
      </c>
      <c r="BK265" t="e">
        <f>IF(Sheet1!#REF!,"AAAAAHa/zT4=",0)</f>
        <v>#REF!</v>
      </c>
      <c r="BL265" t="e">
        <f>IF(Sheet1!#REF!,"AAAAAHa/zT8=",0)</f>
        <v>#REF!</v>
      </c>
      <c r="BM265" t="e">
        <f>IF(Sheet1!#REF!,"AAAAAHa/zUA=",0)</f>
        <v>#REF!</v>
      </c>
      <c r="BN265" t="e">
        <f>IF(Sheet1!#REF!,"AAAAAHa/zUE=",0)</f>
        <v>#REF!</v>
      </c>
      <c r="BO265" t="e">
        <f>IF(Sheet1!#REF!,"AAAAAHa/zUI=",0)</f>
        <v>#REF!</v>
      </c>
      <c r="BP265" t="e">
        <f>IF(Sheet1!#REF!,"AAAAAHa/zUM=",0)</f>
        <v>#REF!</v>
      </c>
      <c r="BQ265" t="e">
        <f>IF(Sheet1!#REF!,"AAAAAHa/zUQ=",0)</f>
        <v>#REF!</v>
      </c>
      <c r="BR265" t="e">
        <f>IF(Sheet1!#REF!,"AAAAAHa/zUU=",0)</f>
        <v>#REF!</v>
      </c>
      <c r="BS265" t="e">
        <f>IF(Sheet1!#REF!,"AAAAAHa/zUY=",0)</f>
        <v>#REF!</v>
      </c>
      <c r="BT265" t="e">
        <f>IF(Sheet1!#REF!,"AAAAAHa/zUc=",0)</f>
        <v>#REF!</v>
      </c>
      <c r="BU265" t="e">
        <f>IF(Sheet1!#REF!,"AAAAAHa/zUg=",0)</f>
        <v>#REF!</v>
      </c>
      <c r="BV265" t="e">
        <f>IF(Sheet1!#REF!,"AAAAAHa/zUk=",0)</f>
        <v>#REF!</v>
      </c>
      <c r="BW265" t="e">
        <f>IF(Sheet1!#REF!,"AAAAAHa/zUo=",0)</f>
        <v>#REF!</v>
      </c>
      <c r="BX265" t="e">
        <f>IF(Sheet1!#REF!,"AAAAAHa/zUs=",0)</f>
        <v>#REF!</v>
      </c>
      <c r="BY265" t="e">
        <f>IF(Sheet1!#REF!,"AAAAAHa/zUw=",0)</f>
        <v>#REF!</v>
      </c>
      <c r="BZ265" t="e">
        <f>IF(Sheet1!#REF!,"AAAAAHa/zU0=",0)</f>
        <v>#REF!</v>
      </c>
      <c r="CA265" t="e">
        <f>IF(Sheet1!#REF!,"AAAAAHa/zU4=",0)</f>
        <v>#REF!</v>
      </c>
      <c r="CB265" t="e">
        <f>IF(Sheet1!#REF!,"AAAAAHa/zU8=",0)</f>
        <v>#REF!</v>
      </c>
      <c r="CC265" t="e">
        <f>IF(Sheet1!#REF!,"AAAAAHa/zVA=",0)</f>
        <v>#REF!</v>
      </c>
      <c r="CD265" t="e">
        <f>IF(Sheet1!#REF!,"AAAAAHa/zVE=",0)</f>
        <v>#REF!</v>
      </c>
      <c r="CE265" t="e">
        <f>IF(Sheet1!#REF!,"AAAAAHa/zVI=",0)</f>
        <v>#REF!</v>
      </c>
      <c r="CF265" t="e">
        <f>IF(Sheet1!#REF!,"AAAAAHa/zVM=",0)</f>
        <v>#REF!</v>
      </c>
      <c r="CG265" t="e">
        <f>IF(Sheet1!#REF!,"AAAAAHa/zVQ=",0)</f>
        <v>#REF!</v>
      </c>
      <c r="CH265" t="e">
        <f>IF(Sheet1!#REF!,"AAAAAHa/zVU=",0)</f>
        <v>#REF!</v>
      </c>
      <c r="CI265" t="e">
        <f>IF(Sheet1!#REF!,"AAAAAHa/zVY=",0)</f>
        <v>#REF!</v>
      </c>
      <c r="CJ265" t="e">
        <f>IF(Sheet1!#REF!,"AAAAAHa/zVc=",0)</f>
        <v>#REF!</v>
      </c>
      <c r="CK265" t="e">
        <f>IF(Sheet1!#REF!,"AAAAAHa/zVg=",0)</f>
        <v>#REF!</v>
      </c>
      <c r="CL265" t="e">
        <f>IF(Sheet1!#REF!,"AAAAAHa/zVk=",0)</f>
        <v>#REF!</v>
      </c>
      <c r="CM265" t="e">
        <f>IF(Sheet1!#REF!,"AAAAAHa/zVo=",0)</f>
        <v>#REF!</v>
      </c>
      <c r="CN265" t="e">
        <f>IF(Sheet1!#REF!,"AAAAAHa/zVs=",0)</f>
        <v>#REF!</v>
      </c>
      <c r="CO265" t="e">
        <f>IF(Sheet1!#REF!,"AAAAAHa/zVw=",0)</f>
        <v>#REF!</v>
      </c>
      <c r="CP265" t="e">
        <f>IF(Sheet1!#REF!,"AAAAAHa/zV0=",0)</f>
        <v>#REF!</v>
      </c>
      <c r="CQ265" t="e">
        <f>IF(Sheet1!#REF!,"AAAAAHa/zV4=",0)</f>
        <v>#REF!</v>
      </c>
      <c r="CR265" t="e">
        <f>IF(Sheet1!#REF!,"AAAAAHa/zV8=",0)</f>
        <v>#REF!</v>
      </c>
      <c r="CS265" t="e">
        <f>IF(Sheet1!#REF!,"AAAAAHa/zWA=",0)</f>
        <v>#REF!</v>
      </c>
      <c r="CT265" t="e">
        <f>IF(Sheet1!#REF!,"AAAAAHa/zWE=",0)</f>
        <v>#REF!</v>
      </c>
      <c r="CU265" t="e">
        <f>IF(Sheet1!#REF!,"AAAAAHa/zWI=",0)</f>
        <v>#REF!</v>
      </c>
      <c r="CV265" t="e">
        <f>IF(Sheet1!#REF!,"AAAAAHa/zWM=",0)</f>
        <v>#REF!</v>
      </c>
      <c r="CW265" t="e">
        <f>IF(Sheet1!#REF!,"AAAAAHa/zWQ=",0)</f>
        <v>#REF!</v>
      </c>
      <c r="CX265" t="e">
        <f>IF(Sheet1!#REF!,"AAAAAHa/zWU=",0)</f>
        <v>#REF!</v>
      </c>
      <c r="CY265" t="e">
        <f>IF(Sheet1!#REF!,"AAAAAHa/zWY=",0)</f>
        <v>#REF!</v>
      </c>
      <c r="CZ265" t="e">
        <f>IF(Sheet1!#REF!,"AAAAAHa/zWc=",0)</f>
        <v>#REF!</v>
      </c>
      <c r="DA265" t="e">
        <f>IF(Sheet1!#REF!,"AAAAAHa/zWg=",0)</f>
        <v>#REF!</v>
      </c>
      <c r="DB265" t="e">
        <f>IF(Sheet1!#REF!,"AAAAAHa/zWk=",0)</f>
        <v>#REF!</v>
      </c>
      <c r="DC265" t="e">
        <f>IF(Sheet1!#REF!,"AAAAAHa/zWo=",0)</f>
        <v>#REF!</v>
      </c>
      <c r="DD265" t="e">
        <f>IF(Sheet1!#REF!,"AAAAAHa/zWs=",0)</f>
        <v>#REF!</v>
      </c>
      <c r="DE265" t="e">
        <f>IF(Sheet1!#REF!,"AAAAAHa/zWw=",0)</f>
        <v>#REF!</v>
      </c>
      <c r="DF265" t="e">
        <f>IF(Sheet1!#REF!,"AAAAAHa/zW0=",0)</f>
        <v>#REF!</v>
      </c>
      <c r="DG265" t="e">
        <f>IF(Sheet1!#REF!,"AAAAAHa/zW4=",0)</f>
        <v>#REF!</v>
      </c>
      <c r="DH265" t="e">
        <f>IF(Sheet1!#REF!,"AAAAAHa/zW8=",0)</f>
        <v>#REF!</v>
      </c>
      <c r="DI265" t="e">
        <f>IF(Sheet1!#REF!,"AAAAAHa/zXA=",0)</f>
        <v>#REF!</v>
      </c>
      <c r="DJ265" t="e">
        <f>IF(Sheet1!#REF!,"AAAAAHa/zXE=",0)</f>
        <v>#REF!</v>
      </c>
      <c r="DK265" t="e">
        <f>IF(Sheet1!#REF!,"AAAAAHa/zXI=",0)</f>
        <v>#REF!</v>
      </c>
      <c r="DL265" t="e">
        <f>IF(Sheet1!#REF!,"AAAAAHa/zXM=",0)</f>
        <v>#REF!</v>
      </c>
      <c r="DM265" t="e">
        <f>IF(Sheet1!#REF!,"AAAAAHa/zXQ=",0)</f>
        <v>#REF!</v>
      </c>
      <c r="DN265" t="e">
        <f>IF(Sheet1!#REF!,"AAAAAHa/zXU=",0)</f>
        <v>#REF!</v>
      </c>
      <c r="DO265" t="e">
        <f>IF(Sheet1!#REF!,"AAAAAHa/zXY=",0)</f>
        <v>#REF!</v>
      </c>
      <c r="DP265" t="e">
        <f>IF(Sheet1!#REF!,"AAAAAHa/zXc=",0)</f>
        <v>#REF!</v>
      </c>
      <c r="DQ265" t="e">
        <f>IF(Sheet1!#REF!,"AAAAAHa/zXg=",0)</f>
        <v>#REF!</v>
      </c>
      <c r="DR265" t="e">
        <f>IF(Sheet1!#REF!,"AAAAAHa/zXk=",0)</f>
        <v>#REF!</v>
      </c>
      <c r="DS265" t="e">
        <f>IF(Sheet1!#REF!,"AAAAAHa/zXo=",0)</f>
        <v>#REF!</v>
      </c>
      <c r="DT265" t="e">
        <f>IF(Sheet1!#REF!,"AAAAAHa/zXs=",0)</f>
        <v>#REF!</v>
      </c>
      <c r="DU265" t="e">
        <f>IF(Sheet1!#REF!,"AAAAAHa/zXw=",0)</f>
        <v>#REF!</v>
      </c>
      <c r="DV265" t="e">
        <f>IF(Sheet1!#REF!,"AAAAAHa/zX0=",0)</f>
        <v>#REF!</v>
      </c>
      <c r="DW265" t="e">
        <f>IF(Sheet1!#REF!,"AAAAAHa/zX4=",0)</f>
        <v>#REF!</v>
      </c>
      <c r="DX265" t="e">
        <f>IF(Sheet1!#REF!,"AAAAAHa/zX8=",0)</f>
        <v>#REF!</v>
      </c>
      <c r="DY265" t="e">
        <f>IF(Sheet1!#REF!,"AAAAAHa/zYA=",0)</f>
        <v>#REF!</v>
      </c>
      <c r="DZ265" t="e">
        <f>IF(Sheet1!#REF!,"AAAAAHa/zYE=",0)</f>
        <v>#REF!</v>
      </c>
      <c r="EA265" t="e">
        <f>IF(Sheet1!#REF!,"AAAAAHa/zYI=",0)</f>
        <v>#REF!</v>
      </c>
      <c r="EB265" t="e">
        <f>IF(Sheet1!#REF!,"AAAAAHa/zYM=",0)</f>
        <v>#REF!</v>
      </c>
      <c r="EC265" t="e">
        <f>IF(Sheet1!#REF!,"AAAAAHa/zYQ=",0)</f>
        <v>#REF!</v>
      </c>
      <c r="ED265" t="e">
        <f>IF(Sheet1!#REF!,"AAAAAHa/zYU=",0)</f>
        <v>#REF!</v>
      </c>
      <c r="EE265" t="e">
        <f>IF(Sheet1!#REF!,"AAAAAHa/zYY=",0)</f>
        <v>#REF!</v>
      </c>
      <c r="EF265" t="e">
        <f>IF(Sheet1!#REF!,"AAAAAHa/zYc=",0)</f>
        <v>#REF!</v>
      </c>
      <c r="EG265" t="e">
        <f>IF(Sheet1!#REF!,"AAAAAHa/zYg=",0)</f>
        <v>#REF!</v>
      </c>
      <c r="EH265" t="e">
        <f>IF(Sheet1!#REF!,"AAAAAHa/zYk=",0)</f>
        <v>#REF!</v>
      </c>
      <c r="EI265" t="e">
        <f>IF(Sheet1!#REF!,"AAAAAHa/zYo=",0)</f>
        <v>#REF!</v>
      </c>
      <c r="EJ265" t="e">
        <f>IF(Sheet1!#REF!,"AAAAAHa/zYs=",0)</f>
        <v>#REF!</v>
      </c>
      <c r="EK265" t="e">
        <f>IF(Sheet1!#REF!,"AAAAAHa/zYw=",0)</f>
        <v>#REF!</v>
      </c>
      <c r="EL265" t="e">
        <f>IF(Sheet1!#REF!,"AAAAAHa/zY0=",0)</f>
        <v>#REF!</v>
      </c>
      <c r="EM265" t="e">
        <f>IF(Sheet1!#REF!,"AAAAAHa/zY4=",0)</f>
        <v>#REF!</v>
      </c>
      <c r="EN265" t="e">
        <f>IF(Sheet1!#REF!,"AAAAAHa/zY8=",0)</f>
        <v>#REF!</v>
      </c>
      <c r="EO265" t="e">
        <f>IF(Sheet1!#REF!,"AAAAAHa/zZA=",0)</f>
        <v>#REF!</v>
      </c>
      <c r="EP265" t="e">
        <f>IF(Sheet1!#REF!,"AAAAAHa/zZE=",0)</f>
        <v>#REF!</v>
      </c>
      <c r="EQ265" t="e">
        <f>IF(Sheet1!#REF!,"AAAAAHa/zZI=",0)</f>
        <v>#REF!</v>
      </c>
      <c r="ER265" t="e">
        <f>IF(Sheet1!#REF!,"AAAAAHa/zZM=",0)</f>
        <v>#REF!</v>
      </c>
      <c r="ES265" t="e">
        <f>IF(Sheet1!#REF!,"AAAAAHa/zZQ=",0)</f>
        <v>#REF!</v>
      </c>
      <c r="ET265" t="e">
        <f>IF(Sheet1!#REF!,"AAAAAHa/zZU=",0)</f>
        <v>#REF!</v>
      </c>
      <c r="EU265" t="e">
        <f>IF(Sheet1!#REF!,"AAAAAHa/zZY=",0)</f>
        <v>#REF!</v>
      </c>
      <c r="EV265" t="e">
        <f>IF(Sheet1!#REF!,"AAAAAHa/zZc=",0)</f>
        <v>#REF!</v>
      </c>
      <c r="EW265" t="e">
        <f>IF(Sheet1!#REF!,"AAAAAHa/zZg=",0)</f>
        <v>#REF!</v>
      </c>
      <c r="EX265" t="e">
        <f>IF(Sheet1!#REF!,"AAAAAHa/zZk=",0)</f>
        <v>#REF!</v>
      </c>
      <c r="EY265" t="e">
        <f>IF(Sheet1!#REF!,"AAAAAHa/zZo=",0)</f>
        <v>#REF!</v>
      </c>
      <c r="EZ265" t="e">
        <f>IF(Sheet1!#REF!,"AAAAAHa/zZs=",0)</f>
        <v>#REF!</v>
      </c>
      <c r="FA265" t="e">
        <f>IF(Sheet1!#REF!,"AAAAAHa/zZw=",0)</f>
        <v>#REF!</v>
      </c>
      <c r="FB265" t="e">
        <f>IF(Sheet1!#REF!,"AAAAAHa/zZ0=",0)</f>
        <v>#REF!</v>
      </c>
      <c r="FC265" t="e">
        <f>IF(Sheet1!#REF!,"AAAAAHa/zZ4=",0)</f>
        <v>#REF!</v>
      </c>
      <c r="FD265" t="e">
        <f>IF(Sheet1!#REF!,"AAAAAHa/zZ8=",0)</f>
        <v>#REF!</v>
      </c>
      <c r="FE265" t="e">
        <f>IF(Sheet1!#REF!,"AAAAAHa/zaA=",0)</f>
        <v>#REF!</v>
      </c>
      <c r="FF265" t="e">
        <f>IF(Sheet1!#REF!,"AAAAAHa/zaE=",0)</f>
        <v>#REF!</v>
      </c>
      <c r="FG265" t="e">
        <f>IF(Sheet1!#REF!,"AAAAAHa/zaI=",0)</f>
        <v>#REF!</v>
      </c>
      <c r="FH265" t="e">
        <f>IF(Sheet1!#REF!,"AAAAAHa/zaM=",0)</f>
        <v>#REF!</v>
      </c>
      <c r="FI265" t="e">
        <f>IF(Sheet1!#REF!,"AAAAAHa/zaQ=",0)</f>
        <v>#REF!</v>
      </c>
      <c r="FJ265" t="e">
        <f>IF(Sheet1!#REF!,"AAAAAHa/zaU=",0)</f>
        <v>#REF!</v>
      </c>
      <c r="FK265" t="e">
        <f>IF(Sheet1!#REF!,"AAAAAHa/zaY=",0)</f>
        <v>#REF!</v>
      </c>
      <c r="FL265" t="e">
        <f>IF(Sheet1!#REF!,"AAAAAHa/zac=",0)</f>
        <v>#REF!</v>
      </c>
      <c r="FM265" t="e">
        <f>IF(Sheet1!#REF!,"AAAAAHa/zag=",0)</f>
        <v>#REF!</v>
      </c>
      <c r="FN265" t="e">
        <f>IF(Sheet1!#REF!,"AAAAAHa/zak=",0)</f>
        <v>#REF!</v>
      </c>
      <c r="FO265" t="e">
        <f>IF(Sheet1!#REF!,"AAAAAHa/zao=",0)</f>
        <v>#REF!</v>
      </c>
      <c r="FP265" t="e">
        <f>IF(Sheet1!#REF!,"AAAAAHa/zas=",0)</f>
        <v>#REF!</v>
      </c>
      <c r="FQ265" t="e">
        <f>IF(Sheet1!#REF!,"AAAAAHa/zaw=",0)</f>
        <v>#REF!</v>
      </c>
      <c r="FR265" t="e">
        <f>IF(Sheet1!#REF!,"AAAAAHa/za0=",0)</f>
        <v>#REF!</v>
      </c>
      <c r="FS265" t="e">
        <f>IF(Sheet1!#REF!,"AAAAAHa/za4=",0)</f>
        <v>#REF!</v>
      </c>
      <c r="FT265" t="e">
        <f>IF(Sheet1!#REF!,"AAAAAHa/za8=",0)</f>
        <v>#REF!</v>
      </c>
      <c r="FU265" t="e">
        <f>IF(Sheet1!#REF!,"AAAAAHa/zbA=",0)</f>
        <v>#REF!</v>
      </c>
      <c r="FV265" t="e">
        <f>IF(Sheet1!#REF!,"AAAAAHa/zbE=",0)</f>
        <v>#REF!</v>
      </c>
      <c r="FW265" t="e">
        <f>IF(Sheet1!#REF!,"AAAAAHa/zbI=",0)</f>
        <v>#REF!</v>
      </c>
      <c r="FX265" t="e">
        <f>IF(Sheet1!#REF!,"AAAAAHa/zbM=",0)</f>
        <v>#REF!</v>
      </c>
      <c r="FY265" t="e">
        <f>IF(Sheet1!#REF!,"AAAAAHa/zbQ=",0)</f>
        <v>#REF!</v>
      </c>
      <c r="FZ265" t="e">
        <f>IF(Sheet1!#REF!,"AAAAAHa/zbU=",0)</f>
        <v>#REF!</v>
      </c>
      <c r="GA265" t="e">
        <f>IF(Sheet1!#REF!,"AAAAAHa/zbY=",0)</f>
        <v>#REF!</v>
      </c>
      <c r="GB265" t="e">
        <f>IF(Sheet1!#REF!,"AAAAAHa/zbc=",0)</f>
        <v>#REF!</v>
      </c>
      <c r="GC265" t="e">
        <f>IF(Sheet1!#REF!,"AAAAAHa/zbg=",0)</f>
        <v>#REF!</v>
      </c>
      <c r="GD265" t="e">
        <f>IF(Sheet1!#REF!,"AAAAAHa/zbk=",0)</f>
        <v>#REF!</v>
      </c>
      <c r="GE265" t="e">
        <f>IF(Sheet1!#REF!,"AAAAAHa/zbo=",0)</f>
        <v>#REF!</v>
      </c>
      <c r="GF265" t="e">
        <f>IF(Sheet1!#REF!,"AAAAAHa/zbs=",0)</f>
        <v>#REF!</v>
      </c>
      <c r="GG265" t="e">
        <f>IF(Sheet1!#REF!,"AAAAAHa/zbw=",0)</f>
        <v>#REF!</v>
      </c>
      <c r="GH265" t="e">
        <f>IF(Sheet1!#REF!,"AAAAAHa/zb0=",0)</f>
        <v>#REF!</v>
      </c>
      <c r="GI265" t="e">
        <f>IF(Sheet1!#REF!,"AAAAAHa/zb4=",0)</f>
        <v>#REF!</v>
      </c>
      <c r="GJ265" t="e">
        <f>IF(Sheet1!#REF!,"AAAAAHa/zb8=",0)</f>
        <v>#REF!</v>
      </c>
      <c r="GK265" t="e">
        <f>IF(Sheet1!#REF!,"AAAAAHa/zcA=",0)</f>
        <v>#REF!</v>
      </c>
      <c r="GL265" t="e">
        <f>IF(Sheet1!#REF!,"AAAAAHa/zcE=",0)</f>
        <v>#REF!</v>
      </c>
      <c r="GM265" t="e">
        <f>IF(Sheet1!#REF!,"AAAAAHa/zcI=",0)</f>
        <v>#REF!</v>
      </c>
      <c r="GN265" t="e">
        <f>IF(Sheet1!#REF!,"AAAAAHa/zcM=",0)</f>
        <v>#REF!</v>
      </c>
      <c r="GO265" t="e">
        <f>IF(Sheet1!#REF!,"AAAAAHa/zcQ=",0)</f>
        <v>#REF!</v>
      </c>
      <c r="GP265" t="e">
        <f>IF(Sheet1!#REF!,"AAAAAHa/zcU=",0)</f>
        <v>#REF!</v>
      </c>
      <c r="GQ265" t="e">
        <f>IF(Sheet1!#REF!,"AAAAAHa/zcY=",0)</f>
        <v>#REF!</v>
      </c>
      <c r="GR265" t="e">
        <f>IF(Sheet1!#REF!,"AAAAAHa/zcc=",0)</f>
        <v>#REF!</v>
      </c>
      <c r="GS265" t="e">
        <f>IF(Sheet1!#REF!,"AAAAAHa/zcg=",0)</f>
        <v>#REF!</v>
      </c>
      <c r="GT265" t="e">
        <f>IF(Sheet1!#REF!,"AAAAAHa/zck=",0)</f>
        <v>#REF!</v>
      </c>
      <c r="GU265" t="e">
        <f>IF(Sheet1!#REF!,"AAAAAHa/zco=",0)</f>
        <v>#REF!</v>
      </c>
      <c r="GV265" t="e">
        <f>IF(Sheet1!#REF!,"AAAAAHa/zcs=",0)</f>
        <v>#REF!</v>
      </c>
      <c r="GW265" t="e">
        <f>IF(Sheet1!#REF!,"AAAAAHa/zcw=",0)</f>
        <v>#REF!</v>
      </c>
      <c r="GX265" t="e">
        <f>IF(Sheet1!#REF!,"AAAAAHa/zc0=",0)</f>
        <v>#REF!</v>
      </c>
      <c r="GY265" t="e">
        <f>IF(Sheet1!#REF!,"AAAAAHa/zc4=",0)</f>
        <v>#REF!</v>
      </c>
      <c r="GZ265" t="e">
        <f>IF(Sheet1!#REF!,"AAAAAHa/zc8=",0)</f>
        <v>#REF!</v>
      </c>
      <c r="HA265" t="e">
        <f>IF(Sheet1!#REF!,"AAAAAHa/zdA=",0)</f>
        <v>#REF!</v>
      </c>
      <c r="HB265" t="e">
        <f>IF(Sheet1!#REF!,"AAAAAHa/zdE=",0)</f>
        <v>#REF!</v>
      </c>
      <c r="HC265" t="e">
        <f>IF(Sheet1!#REF!,"AAAAAHa/zdI=",0)</f>
        <v>#REF!</v>
      </c>
      <c r="HD265" t="e">
        <f>IF(Sheet1!#REF!,"AAAAAHa/zdM=",0)</f>
        <v>#REF!</v>
      </c>
      <c r="HE265" t="e">
        <f>IF(Sheet1!#REF!,"AAAAAHa/zdQ=",0)</f>
        <v>#REF!</v>
      </c>
      <c r="HF265" t="e">
        <f>IF(Sheet1!#REF!,"AAAAAHa/zdU=",0)</f>
        <v>#REF!</v>
      </c>
      <c r="HG265" t="e">
        <f>IF(Sheet1!#REF!,"AAAAAHa/zdY=",0)</f>
        <v>#REF!</v>
      </c>
      <c r="HH265" t="e">
        <f>IF(Sheet1!#REF!,"AAAAAHa/zdc=",0)</f>
        <v>#REF!</v>
      </c>
      <c r="HI265" t="e">
        <f>IF(Sheet1!#REF!,"AAAAAHa/zdg=",0)</f>
        <v>#REF!</v>
      </c>
      <c r="HJ265" t="e">
        <f>IF(Sheet1!#REF!,"AAAAAHa/zdk=",0)</f>
        <v>#REF!</v>
      </c>
      <c r="HK265" t="e">
        <f>IF(Sheet1!#REF!,"AAAAAHa/zdo=",0)</f>
        <v>#REF!</v>
      </c>
      <c r="HL265" t="e">
        <f>IF(Sheet1!#REF!,"AAAAAHa/zds=",0)</f>
        <v>#REF!</v>
      </c>
      <c r="HM265" t="e">
        <f>IF(Sheet1!#REF!,"AAAAAHa/zdw=",0)</f>
        <v>#REF!</v>
      </c>
      <c r="HN265" t="e">
        <f>IF(Sheet1!#REF!,"AAAAAHa/zd0=",0)</f>
        <v>#REF!</v>
      </c>
      <c r="HO265" t="e">
        <f>IF(Sheet1!#REF!,"AAAAAHa/zd4=",0)</f>
        <v>#REF!</v>
      </c>
      <c r="HP265" t="e">
        <f>IF(Sheet1!#REF!,"AAAAAHa/zd8=",0)</f>
        <v>#REF!</v>
      </c>
      <c r="HQ265" t="e">
        <f>IF(Sheet1!#REF!,"AAAAAHa/zeA=",0)</f>
        <v>#REF!</v>
      </c>
      <c r="HR265" t="e">
        <f>IF(Sheet1!#REF!,"AAAAAHa/zeE=",0)</f>
        <v>#REF!</v>
      </c>
      <c r="HS265" t="e">
        <f>IF(Sheet1!#REF!,"AAAAAHa/zeI=",0)</f>
        <v>#REF!</v>
      </c>
      <c r="HT265" t="e">
        <f>IF(Sheet1!#REF!,"AAAAAHa/zeM=",0)</f>
        <v>#REF!</v>
      </c>
      <c r="HU265" t="e">
        <f>IF(Sheet1!#REF!,"AAAAAHa/zeQ=",0)</f>
        <v>#REF!</v>
      </c>
      <c r="HV265" t="e">
        <f>IF(Sheet1!#REF!,"AAAAAHa/zeU=",0)</f>
        <v>#REF!</v>
      </c>
      <c r="HW265" t="e">
        <f>IF(Sheet1!#REF!,"AAAAAHa/zeY=",0)</f>
        <v>#REF!</v>
      </c>
      <c r="HX265" t="e">
        <f>IF(Sheet1!#REF!,"AAAAAHa/zec=",0)</f>
        <v>#REF!</v>
      </c>
      <c r="HY265" t="e">
        <f>IF(Sheet1!#REF!,"AAAAAHa/zeg=",0)</f>
        <v>#REF!</v>
      </c>
      <c r="HZ265" t="e">
        <f>IF(Sheet1!#REF!,"AAAAAHa/zek=",0)</f>
        <v>#REF!</v>
      </c>
      <c r="IA265" t="e">
        <f>IF(Sheet1!#REF!,"AAAAAHa/zeo=",0)</f>
        <v>#REF!</v>
      </c>
      <c r="IB265" t="e">
        <f>IF(Sheet1!#REF!,"AAAAAHa/zes=",0)</f>
        <v>#REF!</v>
      </c>
      <c r="IC265" t="e">
        <f>IF(Sheet1!#REF!,"AAAAAHa/zew=",0)</f>
        <v>#REF!</v>
      </c>
      <c r="ID265" t="e">
        <f>IF(Sheet1!#REF!,"AAAAAHa/ze0=",0)</f>
        <v>#REF!</v>
      </c>
      <c r="IE265" t="e">
        <f>IF(Sheet1!#REF!,"AAAAAHa/ze4=",0)</f>
        <v>#REF!</v>
      </c>
      <c r="IF265" t="e">
        <f>IF(Sheet1!#REF!,"AAAAAHa/ze8=",0)</f>
        <v>#REF!</v>
      </c>
      <c r="IG265" t="e">
        <f>IF(Sheet1!#REF!,"AAAAAHa/zfA=",0)</f>
        <v>#REF!</v>
      </c>
      <c r="IH265" t="e">
        <f>IF(Sheet1!#REF!,"AAAAAHa/zfE=",0)</f>
        <v>#REF!</v>
      </c>
      <c r="II265" t="e">
        <f>IF(Sheet1!#REF!,"AAAAAHa/zfI=",0)</f>
        <v>#REF!</v>
      </c>
      <c r="IJ265" t="e">
        <f>IF(Sheet1!#REF!,"AAAAAHa/zfM=",0)</f>
        <v>#REF!</v>
      </c>
      <c r="IK265" t="e">
        <f>IF(Sheet1!#REF!,"AAAAAHa/zfQ=",0)</f>
        <v>#REF!</v>
      </c>
      <c r="IL265" t="e">
        <f>IF(Sheet1!#REF!,"AAAAAHa/zfU=",0)</f>
        <v>#REF!</v>
      </c>
      <c r="IM265" t="e">
        <f>IF(Sheet1!#REF!,"AAAAAHa/zfY=",0)</f>
        <v>#REF!</v>
      </c>
      <c r="IN265" t="e">
        <f>IF(Sheet1!#REF!,"AAAAAHa/zfc=",0)</f>
        <v>#REF!</v>
      </c>
      <c r="IO265" t="e">
        <f>IF(Sheet1!#REF!,"AAAAAHa/zfg=",0)</f>
        <v>#REF!</v>
      </c>
      <c r="IP265" t="e">
        <f>IF(Sheet1!#REF!,"AAAAAHa/zfk=",0)</f>
        <v>#REF!</v>
      </c>
      <c r="IQ265" t="e">
        <f>IF(Sheet1!#REF!,"AAAAAHa/zfo=",0)</f>
        <v>#REF!</v>
      </c>
      <c r="IR265" t="e">
        <f>IF(Sheet1!#REF!,"AAAAAHa/zfs=",0)</f>
        <v>#REF!</v>
      </c>
      <c r="IS265" t="e">
        <f>IF(Sheet1!#REF!,"AAAAAHa/zfw=",0)</f>
        <v>#REF!</v>
      </c>
      <c r="IT265" t="e">
        <f>IF(Sheet1!#REF!,"AAAAAHa/zf0=",0)</f>
        <v>#REF!</v>
      </c>
      <c r="IU265" t="e">
        <f>IF(Sheet1!#REF!,"AAAAAHa/zf4=",0)</f>
        <v>#REF!</v>
      </c>
      <c r="IV265" t="e">
        <f>IF(Sheet1!#REF!,"AAAAAHa/zf8=",0)</f>
        <v>#REF!</v>
      </c>
    </row>
    <row r="266" spans="1:256" x14ac:dyDescent="0.2">
      <c r="A266" t="e">
        <f>IF(Sheet1!#REF!,"AAAAAGXO7gA=",0)</f>
        <v>#REF!</v>
      </c>
      <c r="B266" t="e">
        <f>IF(Sheet1!#REF!,"AAAAAGXO7gE=",0)</f>
        <v>#REF!</v>
      </c>
      <c r="C266" t="e">
        <f>IF(Sheet1!#REF!,"AAAAAGXO7gI=",0)</f>
        <v>#REF!</v>
      </c>
      <c r="D266" t="e">
        <f>IF(Sheet1!#REF!,"AAAAAGXO7gM=",0)</f>
        <v>#REF!</v>
      </c>
      <c r="E266" t="e">
        <f>IF(Sheet1!#REF!,"AAAAAGXO7gQ=",0)</f>
        <v>#REF!</v>
      </c>
      <c r="F266" t="e">
        <f>IF(Sheet1!#REF!,"AAAAAGXO7gU=",0)</f>
        <v>#REF!</v>
      </c>
      <c r="G266" t="e">
        <f>IF(Sheet1!#REF!,"AAAAAGXO7gY=",0)</f>
        <v>#REF!</v>
      </c>
      <c r="H266" t="e">
        <f>IF(Sheet1!#REF!,"AAAAAGXO7gc=",0)</f>
        <v>#REF!</v>
      </c>
      <c r="I266" t="e">
        <f>IF(Sheet1!#REF!,"AAAAAGXO7gg=",0)</f>
        <v>#REF!</v>
      </c>
      <c r="J266" t="e">
        <f>IF(Sheet1!#REF!,"AAAAAGXO7gk=",0)</f>
        <v>#REF!</v>
      </c>
      <c r="K266" t="e">
        <f>IF(Sheet1!#REF!,"AAAAAGXO7go=",0)</f>
        <v>#REF!</v>
      </c>
      <c r="L266" t="e">
        <f>IF(Sheet1!#REF!,"AAAAAGXO7gs=",0)</f>
        <v>#REF!</v>
      </c>
      <c r="M266" t="e">
        <f>IF(Sheet1!#REF!,"AAAAAGXO7gw=",0)</f>
        <v>#REF!</v>
      </c>
      <c r="N266" t="e">
        <f>IF(Sheet1!#REF!,"AAAAAGXO7g0=",0)</f>
        <v>#REF!</v>
      </c>
      <c r="O266" t="e">
        <f>IF(Sheet1!#REF!,"AAAAAGXO7g4=",0)</f>
        <v>#REF!</v>
      </c>
      <c r="P266" t="e">
        <f>IF(Sheet1!#REF!,"AAAAAGXO7g8=",0)</f>
        <v>#REF!</v>
      </c>
      <c r="Q266" t="e">
        <f>IF(Sheet1!#REF!,"AAAAAGXO7hA=",0)</f>
        <v>#REF!</v>
      </c>
      <c r="R266" t="e">
        <f>IF(Sheet1!#REF!,"AAAAAGXO7hE=",0)</f>
        <v>#REF!</v>
      </c>
      <c r="S266" t="e">
        <f>IF(Sheet1!#REF!,"AAAAAGXO7hI=",0)</f>
        <v>#REF!</v>
      </c>
      <c r="T266" t="e">
        <f>IF(Sheet1!#REF!,"AAAAAGXO7hM=",0)</f>
        <v>#REF!</v>
      </c>
      <c r="U266" t="e">
        <f>IF(Sheet1!#REF!,"AAAAAGXO7hQ=",0)</f>
        <v>#REF!</v>
      </c>
      <c r="V266" t="e">
        <f>IF(Sheet1!#REF!,"AAAAAGXO7hU=",0)</f>
        <v>#REF!</v>
      </c>
      <c r="W266" t="e">
        <f>IF(Sheet1!#REF!,"AAAAAGXO7hY=",0)</f>
        <v>#REF!</v>
      </c>
      <c r="X266" t="e">
        <f>IF(Sheet1!#REF!,"AAAAAGXO7hc=",0)</f>
        <v>#REF!</v>
      </c>
      <c r="Y266" t="e">
        <f>IF(Sheet1!#REF!,"AAAAAGXO7hg=",0)</f>
        <v>#REF!</v>
      </c>
      <c r="Z266" t="e">
        <f>IF(Sheet1!#REF!,"AAAAAGXO7hk=",0)</f>
        <v>#REF!</v>
      </c>
      <c r="AA266" t="e">
        <f>IF(Sheet1!#REF!,"AAAAAGXO7ho=",0)</f>
        <v>#REF!</v>
      </c>
      <c r="AB266" t="e">
        <f>IF(Sheet1!#REF!,"AAAAAGXO7hs=",0)</f>
        <v>#REF!</v>
      </c>
      <c r="AC266" t="e">
        <f>IF(Sheet1!#REF!,"AAAAAGXO7hw=",0)</f>
        <v>#REF!</v>
      </c>
      <c r="AD266" t="e">
        <f>IF(Sheet1!#REF!,"AAAAAGXO7h0=",0)</f>
        <v>#REF!</v>
      </c>
      <c r="AE266" t="e">
        <f>IF(Sheet1!#REF!,"AAAAAGXO7h4=",0)</f>
        <v>#REF!</v>
      </c>
      <c r="AF266" t="e">
        <f>IF(Sheet1!#REF!,"AAAAAGXO7h8=",0)</f>
        <v>#REF!</v>
      </c>
      <c r="AG266" t="e">
        <f>IF(Sheet1!#REF!,"AAAAAGXO7iA=",0)</f>
        <v>#REF!</v>
      </c>
      <c r="AH266" t="e">
        <f>IF(Sheet1!#REF!,"AAAAAGXO7iE=",0)</f>
        <v>#REF!</v>
      </c>
      <c r="AI266" t="e">
        <f>IF(Sheet1!#REF!,"AAAAAGXO7iI=",0)</f>
        <v>#REF!</v>
      </c>
      <c r="AJ266" t="e">
        <f>IF(Sheet1!#REF!,"AAAAAGXO7iM=",0)</f>
        <v>#REF!</v>
      </c>
      <c r="AK266" t="e">
        <f>IF(Sheet1!#REF!,"AAAAAGXO7iQ=",0)</f>
        <v>#REF!</v>
      </c>
      <c r="AL266" t="e">
        <f>IF(Sheet1!#REF!,"AAAAAGXO7iU=",0)</f>
        <v>#REF!</v>
      </c>
      <c r="AM266" t="e">
        <f>IF(Sheet1!#REF!,"AAAAAGXO7iY=",0)</f>
        <v>#REF!</v>
      </c>
      <c r="AN266" t="e">
        <f>IF(Sheet1!#REF!,"AAAAAGXO7ic=",0)</f>
        <v>#REF!</v>
      </c>
      <c r="AO266" t="e">
        <f>IF(Sheet1!#REF!,"AAAAAGXO7ig=",0)</f>
        <v>#REF!</v>
      </c>
      <c r="AP266" t="e">
        <f>IF(Sheet1!#REF!,"AAAAAGXO7ik=",0)</f>
        <v>#REF!</v>
      </c>
      <c r="AQ266" t="e">
        <f>IF(Sheet1!#REF!,"AAAAAGXO7io=",0)</f>
        <v>#REF!</v>
      </c>
      <c r="AR266" t="e">
        <f>IF(Sheet1!#REF!,"AAAAAGXO7is=",0)</f>
        <v>#REF!</v>
      </c>
      <c r="AS266" t="e">
        <f>IF(Sheet1!#REF!,"AAAAAGXO7iw=",0)</f>
        <v>#REF!</v>
      </c>
      <c r="AT266" t="e">
        <f>IF(Sheet1!#REF!,"AAAAAGXO7i0=",0)</f>
        <v>#REF!</v>
      </c>
      <c r="AU266" t="e">
        <f>IF(Sheet1!#REF!,"AAAAAGXO7i4=",0)</f>
        <v>#REF!</v>
      </c>
      <c r="AV266" t="e">
        <f>IF(Sheet1!#REF!,"AAAAAGXO7i8=",0)</f>
        <v>#REF!</v>
      </c>
      <c r="AW266" t="e">
        <f>IF(Sheet1!#REF!,"AAAAAGXO7jA=",0)</f>
        <v>#REF!</v>
      </c>
      <c r="AX266" t="e">
        <f>IF(Sheet1!#REF!,"AAAAAGXO7jE=",0)</f>
        <v>#REF!</v>
      </c>
      <c r="AY266" t="e">
        <f>IF(Sheet1!#REF!,"AAAAAGXO7jI=",0)</f>
        <v>#REF!</v>
      </c>
      <c r="AZ266" t="e">
        <f>IF(Sheet1!#REF!,"AAAAAGXO7jM=",0)</f>
        <v>#REF!</v>
      </c>
      <c r="BA266" t="e">
        <f>IF(Sheet1!#REF!,"AAAAAGXO7jQ=",0)</f>
        <v>#REF!</v>
      </c>
      <c r="BB266" t="e">
        <f>IF(Sheet1!#REF!,"AAAAAGXO7jU=",0)</f>
        <v>#REF!</v>
      </c>
      <c r="BC266" t="e">
        <f>IF(Sheet1!#REF!,"AAAAAGXO7jY=",0)</f>
        <v>#REF!</v>
      </c>
      <c r="BD266" t="e">
        <f>IF(Sheet1!#REF!,"AAAAAGXO7jc=",0)</f>
        <v>#REF!</v>
      </c>
      <c r="BE266" t="e">
        <f>IF(Sheet1!#REF!,"AAAAAGXO7jg=",0)</f>
        <v>#REF!</v>
      </c>
      <c r="BF266" t="e">
        <f>IF(Sheet1!#REF!,"AAAAAGXO7jk=",0)</f>
        <v>#REF!</v>
      </c>
      <c r="BG266" t="e">
        <f>IF(Sheet1!#REF!,"AAAAAGXO7jo=",0)</f>
        <v>#REF!</v>
      </c>
      <c r="BH266" t="e">
        <f>IF(Sheet1!#REF!,"AAAAAGXO7js=",0)</f>
        <v>#REF!</v>
      </c>
      <c r="BI266" t="e">
        <f>IF(Sheet1!#REF!,"AAAAAGXO7jw=",0)</f>
        <v>#REF!</v>
      </c>
      <c r="BJ266" t="e">
        <f>IF(Sheet1!#REF!,"AAAAAGXO7j0=",0)</f>
        <v>#REF!</v>
      </c>
      <c r="BK266" t="e">
        <f>IF(Sheet1!#REF!,"AAAAAGXO7j4=",0)</f>
        <v>#REF!</v>
      </c>
      <c r="BL266" t="e">
        <f>IF(Sheet1!#REF!,"AAAAAGXO7j8=",0)</f>
        <v>#REF!</v>
      </c>
      <c r="BM266" t="e">
        <f>IF(Sheet1!#REF!,"AAAAAGXO7kA=",0)</f>
        <v>#REF!</v>
      </c>
      <c r="BN266" t="e">
        <f>IF(Sheet1!#REF!,"AAAAAGXO7kE=",0)</f>
        <v>#REF!</v>
      </c>
      <c r="BO266" t="e">
        <f>IF(Sheet1!#REF!,"AAAAAGXO7kI=",0)</f>
        <v>#REF!</v>
      </c>
      <c r="BP266" t="e">
        <f>IF(Sheet1!#REF!,"AAAAAGXO7kM=",0)</f>
        <v>#REF!</v>
      </c>
      <c r="BQ266" t="e">
        <f>IF(Sheet1!#REF!,"AAAAAGXO7kQ=",0)</f>
        <v>#REF!</v>
      </c>
      <c r="BR266" t="e">
        <f>IF(Sheet1!#REF!,"AAAAAGXO7kU=",0)</f>
        <v>#REF!</v>
      </c>
      <c r="BS266" t="e">
        <f>IF(Sheet1!#REF!,"AAAAAGXO7kY=",0)</f>
        <v>#REF!</v>
      </c>
      <c r="BT266" t="e">
        <f>IF(Sheet1!#REF!,"AAAAAGXO7kc=",0)</f>
        <v>#REF!</v>
      </c>
      <c r="BU266" t="e">
        <f>IF(Sheet1!#REF!,"AAAAAGXO7kg=",0)</f>
        <v>#REF!</v>
      </c>
      <c r="BV266" t="e">
        <f>IF(Sheet1!#REF!,"AAAAAGXO7kk=",0)</f>
        <v>#REF!</v>
      </c>
      <c r="BW266" t="e">
        <f>IF(Sheet1!#REF!,"AAAAAGXO7ko=",0)</f>
        <v>#REF!</v>
      </c>
      <c r="BX266" t="e">
        <f>IF(Sheet1!#REF!,"AAAAAGXO7ks=",0)</f>
        <v>#REF!</v>
      </c>
      <c r="BY266" t="e">
        <f>IF(Sheet1!#REF!,"AAAAAGXO7kw=",0)</f>
        <v>#REF!</v>
      </c>
      <c r="BZ266" t="e">
        <f>IF(Sheet1!#REF!,"AAAAAGXO7k0=",0)</f>
        <v>#REF!</v>
      </c>
      <c r="CA266" t="e">
        <f>IF(Sheet1!#REF!,"AAAAAGXO7k4=",0)</f>
        <v>#REF!</v>
      </c>
      <c r="CB266" t="e">
        <f>IF(Sheet1!#REF!,"AAAAAGXO7k8=",0)</f>
        <v>#REF!</v>
      </c>
      <c r="CC266" t="e">
        <f>IF(Sheet1!#REF!,"AAAAAGXO7lA=",0)</f>
        <v>#REF!</v>
      </c>
      <c r="CD266" t="e">
        <f>IF(Sheet1!#REF!,"AAAAAGXO7lE=",0)</f>
        <v>#REF!</v>
      </c>
      <c r="CE266" t="e">
        <f>IF(Sheet1!#REF!,"AAAAAGXO7lI=",0)</f>
        <v>#REF!</v>
      </c>
      <c r="CF266" t="e">
        <f>IF(Sheet1!#REF!,"AAAAAGXO7lM=",0)</f>
        <v>#REF!</v>
      </c>
      <c r="CG266" t="e">
        <f>IF(Sheet1!#REF!,"AAAAAGXO7lQ=",0)</f>
        <v>#REF!</v>
      </c>
      <c r="CH266" t="e">
        <f>IF(Sheet1!#REF!,"AAAAAGXO7lU=",0)</f>
        <v>#REF!</v>
      </c>
      <c r="CI266" t="e">
        <f>IF(Sheet1!#REF!,"AAAAAGXO7lY=",0)</f>
        <v>#REF!</v>
      </c>
      <c r="CJ266" t="e">
        <f>IF(Sheet1!#REF!,"AAAAAGXO7lc=",0)</f>
        <v>#REF!</v>
      </c>
      <c r="CK266" t="e">
        <f>IF(Sheet1!#REF!,"AAAAAGXO7lg=",0)</f>
        <v>#REF!</v>
      </c>
      <c r="CL266" t="e">
        <f>IF(Sheet1!#REF!,"AAAAAGXO7lk=",0)</f>
        <v>#REF!</v>
      </c>
      <c r="CM266" t="e">
        <f>IF(Sheet1!#REF!,"AAAAAGXO7lo=",0)</f>
        <v>#REF!</v>
      </c>
      <c r="CN266" t="e">
        <f>IF(Sheet1!#REF!,"AAAAAGXO7ls=",0)</f>
        <v>#REF!</v>
      </c>
      <c r="CO266" t="e">
        <f>IF(Sheet1!#REF!,"AAAAAGXO7lw=",0)</f>
        <v>#REF!</v>
      </c>
      <c r="CP266" t="e">
        <f>IF(Sheet1!#REF!,"AAAAAGXO7l0=",0)</f>
        <v>#REF!</v>
      </c>
      <c r="CQ266" t="e">
        <f>IF(Sheet1!#REF!,"AAAAAGXO7l4=",0)</f>
        <v>#REF!</v>
      </c>
      <c r="CR266" t="e">
        <f>IF(Sheet1!#REF!,"AAAAAGXO7l8=",0)</f>
        <v>#REF!</v>
      </c>
      <c r="CS266" t="e">
        <f>IF(Sheet1!#REF!,"AAAAAGXO7mA=",0)</f>
        <v>#REF!</v>
      </c>
      <c r="CT266" t="e">
        <f>IF(Sheet1!#REF!,"AAAAAGXO7mE=",0)</f>
        <v>#REF!</v>
      </c>
      <c r="CU266" t="e">
        <f>IF(Sheet1!#REF!,"AAAAAGXO7mI=",0)</f>
        <v>#REF!</v>
      </c>
      <c r="CV266" t="e">
        <f>IF(Sheet1!#REF!,"AAAAAGXO7mM=",0)</f>
        <v>#REF!</v>
      </c>
      <c r="CW266" t="e">
        <f>IF(Sheet1!#REF!,"AAAAAGXO7mQ=",0)</f>
        <v>#REF!</v>
      </c>
      <c r="CX266" t="e">
        <f>IF(Sheet1!#REF!,"AAAAAGXO7mU=",0)</f>
        <v>#REF!</v>
      </c>
      <c r="CY266" t="e">
        <f>IF(Sheet1!#REF!,"AAAAAGXO7mY=",0)</f>
        <v>#REF!</v>
      </c>
      <c r="CZ266" t="e">
        <f>IF(Sheet1!#REF!,"AAAAAGXO7mc=",0)</f>
        <v>#REF!</v>
      </c>
      <c r="DA266" t="e">
        <f>IF(Sheet1!#REF!,"AAAAAGXO7mg=",0)</f>
        <v>#REF!</v>
      </c>
      <c r="DB266" t="e">
        <f>IF(Sheet1!#REF!,"AAAAAGXO7mk=",0)</f>
        <v>#REF!</v>
      </c>
      <c r="DC266" t="e">
        <f>IF(Sheet1!#REF!,"AAAAAGXO7mo=",0)</f>
        <v>#REF!</v>
      </c>
      <c r="DD266" t="e">
        <f>IF(Sheet1!#REF!,"AAAAAGXO7ms=",0)</f>
        <v>#REF!</v>
      </c>
      <c r="DE266" t="e">
        <f>IF(Sheet1!#REF!,"AAAAAGXO7mw=",0)</f>
        <v>#REF!</v>
      </c>
      <c r="DF266" t="e">
        <f>IF(Sheet1!#REF!,"AAAAAGXO7m0=",0)</f>
        <v>#REF!</v>
      </c>
      <c r="DG266" t="e">
        <f>IF(Sheet1!#REF!,"AAAAAGXO7m4=",0)</f>
        <v>#REF!</v>
      </c>
      <c r="DH266" t="e">
        <f>IF(Sheet1!#REF!,"AAAAAGXO7m8=",0)</f>
        <v>#REF!</v>
      </c>
      <c r="DI266" t="e">
        <f>IF(Sheet1!#REF!,"AAAAAGXO7nA=",0)</f>
        <v>#REF!</v>
      </c>
      <c r="DJ266" t="e">
        <f>IF(Sheet1!#REF!,"AAAAAGXO7nE=",0)</f>
        <v>#REF!</v>
      </c>
      <c r="DK266" t="e">
        <f>IF(Sheet1!#REF!,"AAAAAGXO7nI=",0)</f>
        <v>#REF!</v>
      </c>
      <c r="DL266" t="e">
        <f>IF(Sheet1!#REF!,"AAAAAGXO7nM=",0)</f>
        <v>#REF!</v>
      </c>
      <c r="DM266" t="e">
        <f>IF(Sheet1!#REF!,"AAAAAGXO7nQ=",0)</f>
        <v>#REF!</v>
      </c>
      <c r="DN266" t="e">
        <f>IF(Sheet1!#REF!,"AAAAAGXO7nU=",0)</f>
        <v>#REF!</v>
      </c>
      <c r="DO266" t="e">
        <f>IF(Sheet1!#REF!,"AAAAAGXO7nY=",0)</f>
        <v>#REF!</v>
      </c>
      <c r="DP266" t="e">
        <f>IF(Sheet1!#REF!,"AAAAAGXO7nc=",0)</f>
        <v>#REF!</v>
      </c>
      <c r="DQ266" t="e">
        <f>IF(Sheet1!#REF!,"AAAAAGXO7ng=",0)</f>
        <v>#REF!</v>
      </c>
      <c r="DR266" t="e">
        <f>IF(Sheet1!#REF!,"AAAAAGXO7nk=",0)</f>
        <v>#REF!</v>
      </c>
      <c r="DS266" t="e">
        <f>IF(Sheet1!#REF!,"AAAAAGXO7no=",0)</f>
        <v>#REF!</v>
      </c>
      <c r="DT266" t="e">
        <f>IF(Sheet1!#REF!,"AAAAAGXO7ns=",0)</f>
        <v>#REF!</v>
      </c>
      <c r="DU266" t="e">
        <f>IF(Sheet1!#REF!,"AAAAAGXO7nw=",0)</f>
        <v>#REF!</v>
      </c>
      <c r="DV266" t="e">
        <f>IF(Sheet1!#REF!,"AAAAAGXO7n0=",0)</f>
        <v>#REF!</v>
      </c>
      <c r="DW266" t="e">
        <f>IF(Sheet1!#REF!,"AAAAAGXO7n4=",0)</f>
        <v>#REF!</v>
      </c>
      <c r="DX266" t="e">
        <f>IF(Sheet1!#REF!,"AAAAAGXO7n8=",0)</f>
        <v>#REF!</v>
      </c>
      <c r="DY266" t="e">
        <f>IF(Sheet1!#REF!,"AAAAAGXO7oA=",0)</f>
        <v>#REF!</v>
      </c>
      <c r="DZ266" t="e">
        <f>IF(Sheet1!#REF!,"AAAAAGXO7oE=",0)</f>
        <v>#REF!</v>
      </c>
      <c r="EA266" t="e">
        <f>IF(Sheet1!#REF!,"AAAAAGXO7oI=",0)</f>
        <v>#REF!</v>
      </c>
      <c r="EB266" t="e">
        <f>IF(Sheet1!#REF!,"AAAAAGXO7oM=",0)</f>
        <v>#REF!</v>
      </c>
      <c r="EC266" t="e">
        <f>IF(Sheet1!#REF!,"AAAAAGXO7oQ=",0)</f>
        <v>#REF!</v>
      </c>
      <c r="ED266" t="e">
        <f>IF(Sheet1!#REF!,"AAAAAGXO7oU=",0)</f>
        <v>#REF!</v>
      </c>
      <c r="EE266" t="e">
        <f>IF(Sheet1!#REF!,"AAAAAGXO7oY=",0)</f>
        <v>#REF!</v>
      </c>
      <c r="EF266" t="e">
        <f>IF(Sheet1!#REF!,"AAAAAGXO7oc=",0)</f>
        <v>#REF!</v>
      </c>
      <c r="EG266" t="e">
        <f>IF(Sheet1!#REF!,"AAAAAGXO7og=",0)</f>
        <v>#REF!</v>
      </c>
      <c r="EH266" t="e">
        <f>IF(Sheet1!#REF!,"AAAAAGXO7ok=",0)</f>
        <v>#REF!</v>
      </c>
      <c r="EI266" t="e">
        <f>IF(Sheet1!#REF!,"AAAAAGXO7oo=",0)</f>
        <v>#REF!</v>
      </c>
      <c r="EJ266" t="e">
        <f>IF(Sheet1!#REF!,"AAAAAGXO7os=",0)</f>
        <v>#REF!</v>
      </c>
      <c r="EK266" t="e">
        <f>IF(Sheet1!#REF!,"AAAAAGXO7ow=",0)</f>
        <v>#REF!</v>
      </c>
      <c r="EL266" t="e">
        <f>IF(Sheet1!#REF!,"AAAAAGXO7o0=",0)</f>
        <v>#REF!</v>
      </c>
      <c r="EM266" t="e">
        <f>IF(Sheet1!#REF!,"AAAAAGXO7o4=",0)</f>
        <v>#REF!</v>
      </c>
      <c r="EN266" t="e">
        <f>IF(Sheet1!#REF!,"AAAAAGXO7o8=",0)</f>
        <v>#REF!</v>
      </c>
      <c r="EO266" t="e">
        <f>IF(Sheet1!#REF!,"AAAAAGXO7pA=",0)</f>
        <v>#REF!</v>
      </c>
      <c r="EP266" t="e">
        <f>IF(Sheet1!#REF!,"AAAAAGXO7pE=",0)</f>
        <v>#REF!</v>
      </c>
      <c r="EQ266" t="e">
        <f>IF(Sheet1!#REF!,"AAAAAGXO7pI=",0)</f>
        <v>#REF!</v>
      </c>
      <c r="ER266" t="e">
        <f>IF(Sheet1!#REF!,"AAAAAGXO7pM=",0)</f>
        <v>#REF!</v>
      </c>
      <c r="ES266" t="e">
        <f>IF(Sheet1!#REF!,"AAAAAGXO7pQ=",0)</f>
        <v>#REF!</v>
      </c>
      <c r="ET266" t="e">
        <f>IF(Sheet1!#REF!,"AAAAAGXO7pU=",0)</f>
        <v>#REF!</v>
      </c>
      <c r="EU266" t="e">
        <f>IF(Sheet1!#REF!,"AAAAAGXO7pY=",0)</f>
        <v>#REF!</v>
      </c>
      <c r="EV266" t="e">
        <f>IF(Sheet1!#REF!,"AAAAAGXO7pc=",0)</f>
        <v>#REF!</v>
      </c>
      <c r="EW266" t="e">
        <f>IF(Sheet1!#REF!,"AAAAAGXO7pg=",0)</f>
        <v>#REF!</v>
      </c>
      <c r="EX266" t="e">
        <f>IF(Sheet1!#REF!,"AAAAAGXO7pk=",0)</f>
        <v>#REF!</v>
      </c>
      <c r="EY266" t="e">
        <f>IF(Sheet1!#REF!,"AAAAAGXO7po=",0)</f>
        <v>#REF!</v>
      </c>
      <c r="EZ266" t="e">
        <f>IF(Sheet1!#REF!,"AAAAAGXO7ps=",0)</f>
        <v>#REF!</v>
      </c>
      <c r="FA266" t="e">
        <f>IF(Sheet1!#REF!,"AAAAAGXO7pw=",0)</f>
        <v>#REF!</v>
      </c>
      <c r="FB266" t="e">
        <f>IF(Sheet1!#REF!,"AAAAAGXO7p0=",0)</f>
        <v>#REF!</v>
      </c>
      <c r="FC266" t="e">
        <f>IF(Sheet1!#REF!,"AAAAAGXO7p4=",0)</f>
        <v>#REF!</v>
      </c>
      <c r="FD266" t="e">
        <f>IF(Sheet1!#REF!,"AAAAAGXO7p8=",0)</f>
        <v>#REF!</v>
      </c>
      <c r="FE266" t="e">
        <f>IF(Sheet1!#REF!,"AAAAAGXO7qA=",0)</f>
        <v>#REF!</v>
      </c>
      <c r="FF266" t="e">
        <f>IF(Sheet1!#REF!,"AAAAAGXO7qE=",0)</f>
        <v>#REF!</v>
      </c>
      <c r="FG266" t="e">
        <f>IF(Sheet1!#REF!,"AAAAAGXO7qI=",0)</f>
        <v>#REF!</v>
      </c>
      <c r="FH266" t="e">
        <f>IF(Sheet1!#REF!,"AAAAAGXO7qM=",0)</f>
        <v>#REF!</v>
      </c>
      <c r="FI266" t="e">
        <f>IF(Sheet1!#REF!,"AAAAAGXO7qQ=",0)</f>
        <v>#REF!</v>
      </c>
      <c r="FJ266" t="e">
        <f>IF(Sheet1!#REF!,"AAAAAGXO7qU=",0)</f>
        <v>#REF!</v>
      </c>
      <c r="FK266" t="e">
        <f>IF(Sheet1!#REF!,"AAAAAGXO7qY=",0)</f>
        <v>#REF!</v>
      </c>
      <c r="FL266" t="e">
        <f>IF(Sheet1!#REF!,"AAAAAGXO7qc=",0)</f>
        <v>#REF!</v>
      </c>
      <c r="FM266" t="e">
        <f>IF(Sheet1!#REF!,"AAAAAGXO7qg=",0)</f>
        <v>#REF!</v>
      </c>
      <c r="FN266" t="e">
        <f>IF(Sheet1!#REF!,"AAAAAGXO7qk=",0)</f>
        <v>#REF!</v>
      </c>
      <c r="FO266" t="e">
        <f>IF(Sheet1!#REF!,"AAAAAGXO7qo=",0)</f>
        <v>#REF!</v>
      </c>
      <c r="FP266" t="e">
        <f>IF(Sheet1!#REF!,"AAAAAGXO7qs=",0)</f>
        <v>#REF!</v>
      </c>
      <c r="FQ266" t="e">
        <f>IF(Sheet1!#REF!,"AAAAAGXO7qw=",0)</f>
        <v>#REF!</v>
      </c>
      <c r="FR266" t="e">
        <f>IF(Sheet1!#REF!,"AAAAAGXO7q0=",0)</f>
        <v>#REF!</v>
      </c>
      <c r="FS266" t="e">
        <f>IF(Sheet1!#REF!,"AAAAAGXO7q4=",0)</f>
        <v>#REF!</v>
      </c>
      <c r="FT266" t="e">
        <f>IF(Sheet1!#REF!,"AAAAAGXO7q8=",0)</f>
        <v>#REF!</v>
      </c>
      <c r="FU266" t="e">
        <f>IF(Sheet1!#REF!,"AAAAAGXO7rA=",0)</f>
        <v>#REF!</v>
      </c>
      <c r="FV266" t="e">
        <f>IF(Sheet1!#REF!,"AAAAAGXO7rE=",0)</f>
        <v>#REF!</v>
      </c>
      <c r="FW266" t="e">
        <f>IF(Sheet1!#REF!,"AAAAAGXO7rI=",0)</f>
        <v>#REF!</v>
      </c>
      <c r="FX266" t="e">
        <f>IF(Sheet1!#REF!,"AAAAAGXO7rM=",0)</f>
        <v>#REF!</v>
      </c>
      <c r="FY266" t="e">
        <f>IF(Sheet1!#REF!,"AAAAAGXO7rQ=",0)</f>
        <v>#REF!</v>
      </c>
      <c r="FZ266" t="e">
        <f>IF(Sheet1!#REF!,"AAAAAGXO7rU=",0)</f>
        <v>#REF!</v>
      </c>
      <c r="GA266" t="e">
        <f>IF(Sheet1!#REF!,"AAAAAGXO7rY=",0)</f>
        <v>#REF!</v>
      </c>
      <c r="GB266" t="e">
        <f>IF(Sheet1!#REF!,"AAAAAGXO7rc=",0)</f>
        <v>#REF!</v>
      </c>
      <c r="GC266" t="e">
        <f>IF(Sheet1!#REF!,"AAAAAGXO7rg=",0)</f>
        <v>#REF!</v>
      </c>
      <c r="GD266" t="e">
        <f>IF(Sheet1!#REF!,"AAAAAGXO7rk=",0)</f>
        <v>#REF!</v>
      </c>
      <c r="GE266" t="e">
        <f>IF(Sheet1!#REF!,"AAAAAGXO7ro=",0)</f>
        <v>#REF!</v>
      </c>
      <c r="GF266" t="e">
        <f>IF(Sheet1!#REF!,"AAAAAGXO7rs=",0)</f>
        <v>#REF!</v>
      </c>
      <c r="GG266" t="e">
        <f>IF(Sheet1!#REF!,"AAAAAGXO7rw=",0)</f>
        <v>#REF!</v>
      </c>
      <c r="GH266" t="e">
        <f>IF(Sheet1!#REF!,"AAAAAGXO7r0=",0)</f>
        <v>#REF!</v>
      </c>
      <c r="GI266" t="e">
        <f>IF(Sheet1!#REF!,"AAAAAGXO7r4=",0)</f>
        <v>#REF!</v>
      </c>
      <c r="GJ266" t="e">
        <f>IF(Sheet1!#REF!,"AAAAAGXO7r8=",0)</f>
        <v>#REF!</v>
      </c>
      <c r="GK266" t="e">
        <f>IF(Sheet1!#REF!,"AAAAAGXO7sA=",0)</f>
        <v>#REF!</v>
      </c>
      <c r="GL266" t="e">
        <f>IF(Sheet1!#REF!,"AAAAAGXO7sE=",0)</f>
        <v>#REF!</v>
      </c>
      <c r="GM266" t="e">
        <f>IF(Sheet1!#REF!,"AAAAAGXO7sI=",0)</f>
        <v>#REF!</v>
      </c>
      <c r="GN266" t="e">
        <f>IF(Sheet1!#REF!,"AAAAAGXO7sM=",0)</f>
        <v>#REF!</v>
      </c>
      <c r="GO266" t="e">
        <f>IF(Sheet1!#REF!,"AAAAAGXO7sQ=",0)</f>
        <v>#REF!</v>
      </c>
      <c r="GP266" t="e">
        <f>IF(Sheet1!#REF!,"AAAAAGXO7sU=",0)</f>
        <v>#REF!</v>
      </c>
      <c r="GQ266" t="e">
        <f>IF(Sheet1!#REF!,"AAAAAGXO7sY=",0)</f>
        <v>#REF!</v>
      </c>
      <c r="GR266" t="e">
        <f>IF(Sheet1!#REF!,"AAAAAGXO7sc=",0)</f>
        <v>#REF!</v>
      </c>
      <c r="GS266" t="e">
        <f>IF(Sheet1!#REF!,"AAAAAGXO7sg=",0)</f>
        <v>#REF!</v>
      </c>
      <c r="GT266" t="e">
        <f>IF(Sheet1!#REF!,"AAAAAGXO7sk=",0)</f>
        <v>#REF!</v>
      </c>
      <c r="GU266" t="e">
        <f>IF(Sheet1!#REF!,"AAAAAGXO7so=",0)</f>
        <v>#REF!</v>
      </c>
      <c r="GV266" t="e">
        <f>IF(Sheet1!#REF!,"AAAAAGXO7ss=",0)</f>
        <v>#REF!</v>
      </c>
      <c r="GW266" t="e">
        <f>IF(Sheet1!#REF!,"AAAAAGXO7sw=",0)</f>
        <v>#REF!</v>
      </c>
      <c r="GX266" t="e">
        <f>IF(Sheet1!#REF!,"AAAAAGXO7s0=",0)</f>
        <v>#REF!</v>
      </c>
      <c r="GY266" t="e">
        <f>IF(Sheet1!#REF!,"AAAAAGXO7s4=",0)</f>
        <v>#REF!</v>
      </c>
      <c r="GZ266" t="e">
        <f>IF(Sheet1!#REF!,"AAAAAGXO7s8=",0)</f>
        <v>#REF!</v>
      </c>
      <c r="HA266" t="e">
        <f>IF(Sheet1!#REF!,"AAAAAGXO7tA=",0)</f>
        <v>#REF!</v>
      </c>
      <c r="HB266" t="e">
        <f>IF(Sheet1!#REF!,"AAAAAGXO7tE=",0)</f>
        <v>#REF!</v>
      </c>
      <c r="HC266" t="e">
        <f>IF(Sheet1!#REF!,"AAAAAGXO7tI=",0)</f>
        <v>#REF!</v>
      </c>
      <c r="HD266" t="e">
        <f>IF(Sheet1!#REF!,"AAAAAGXO7tM=",0)</f>
        <v>#REF!</v>
      </c>
      <c r="HE266" t="e">
        <f>IF(Sheet1!#REF!,"AAAAAGXO7tQ=",0)</f>
        <v>#REF!</v>
      </c>
      <c r="HF266" t="e">
        <f>IF(Sheet1!#REF!,"AAAAAGXO7tU=",0)</f>
        <v>#REF!</v>
      </c>
      <c r="HG266" t="e">
        <f>IF(Sheet1!#REF!,"AAAAAGXO7tY=",0)</f>
        <v>#REF!</v>
      </c>
      <c r="HH266" t="e">
        <f>IF(Sheet1!#REF!,"AAAAAGXO7tc=",0)</f>
        <v>#REF!</v>
      </c>
      <c r="HI266" t="e">
        <f>IF(Sheet1!#REF!,"AAAAAGXO7tg=",0)</f>
        <v>#REF!</v>
      </c>
      <c r="HJ266" t="e">
        <f>IF(Sheet1!#REF!,"AAAAAGXO7tk=",0)</f>
        <v>#REF!</v>
      </c>
      <c r="HK266" t="e">
        <f>IF(Sheet1!#REF!,"AAAAAGXO7to=",0)</f>
        <v>#REF!</v>
      </c>
      <c r="HL266" t="e">
        <f>IF(Sheet1!#REF!,"AAAAAGXO7ts=",0)</f>
        <v>#REF!</v>
      </c>
      <c r="HM266" t="e">
        <f>IF(Sheet1!#REF!,"AAAAAGXO7tw=",0)</f>
        <v>#REF!</v>
      </c>
      <c r="HN266" t="e">
        <f>IF(Sheet1!#REF!,"AAAAAGXO7t0=",0)</f>
        <v>#REF!</v>
      </c>
      <c r="HO266" t="e">
        <f>IF(Sheet1!#REF!,"AAAAAGXO7t4=",0)</f>
        <v>#REF!</v>
      </c>
      <c r="HP266" t="e">
        <f>IF(Sheet1!#REF!,"AAAAAGXO7t8=",0)</f>
        <v>#REF!</v>
      </c>
      <c r="HQ266" t="e">
        <f>IF(Sheet1!#REF!,"AAAAAGXO7uA=",0)</f>
        <v>#REF!</v>
      </c>
      <c r="HR266" t="e">
        <f>IF(Sheet1!#REF!,"AAAAAGXO7uE=",0)</f>
        <v>#REF!</v>
      </c>
      <c r="HS266" t="e">
        <f>IF(Sheet1!#REF!,"AAAAAGXO7uI=",0)</f>
        <v>#REF!</v>
      </c>
      <c r="HT266" t="e">
        <f>IF(Sheet1!#REF!,"AAAAAGXO7uM=",0)</f>
        <v>#REF!</v>
      </c>
      <c r="HU266" t="e">
        <f>IF(Sheet1!#REF!,"AAAAAGXO7uQ=",0)</f>
        <v>#REF!</v>
      </c>
      <c r="HV266" t="e">
        <f>IF(Sheet1!#REF!,"AAAAAGXO7uU=",0)</f>
        <v>#REF!</v>
      </c>
      <c r="HW266" t="e">
        <f>IF(Sheet1!#REF!,"AAAAAGXO7uY=",0)</f>
        <v>#REF!</v>
      </c>
      <c r="HX266" t="e">
        <f>IF(Sheet1!#REF!,"AAAAAGXO7uc=",0)</f>
        <v>#REF!</v>
      </c>
      <c r="HY266" t="e">
        <f>IF(Sheet1!#REF!,"AAAAAGXO7ug=",0)</f>
        <v>#REF!</v>
      </c>
      <c r="HZ266" t="e">
        <f>IF(Sheet1!#REF!,"AAAAAGXO7uk=",0)</f>
        <v>#REF!</v>
      </c>
      <c r="IA266" t="e">
        <f>IF(Sheet1!#REF!,"AAAAAGXO7uo=",0)</f>
        <v>#REF!</v>
      </c>
      <c r="IB266" t="e">
        <f>IF(Sheet1!#REF!,"AAAAAGXO7us=",0)</f>
        <v>#REF!</v>
      </c>
      <c r="IC266" t="e">
        <f>IF(Sheet1!#REF!,"AAAAAGXO7uw=",0)</f>
        <v>#REF!</v>
      </c>
      <c r="ID266" t="e">
        <f>IF(Sheet1!#REF!,"AAAAAGXO7u0=",0)</f>
        <v>#REF!</v>
      </c>
      <c r="IE266" t="e">
        <f>IF(Sheet1!#REF!,"AAAAAGXO7u4=",0)</f>
        <v>#REF!</v>
      </c>
      <c r="IF266" t="e">
        <f>IF(Sheet1!#REF!,"AAAAAGXO7u8=",0)</f>
        <v>#REF!</v>
      </c>
      <c r="IG266" t="e">
        <f>IF(Sheet1!#REF!,"AAAAAGXO7vA=",0)</f>
        <v>#REF!</v>
      </c>
      <c r="IH266" t="e">
        <f>IF(Sheet1!#REF!,"AAAAAGXO7vE=",0)</f>
        <v>#REF!</v>
      </c>
      <c r="II266" t="e">
        <f>IF(Sheet1!#REF!,"AAAAAGXO7vI=",0)</f>
        <v>#REF!</v>
      </c>
      <c r="IJ266" t="e">
        <f>IF(Sheet1!#REF!,"AAAAAGXO7vM=",0)</f>
        <v>#REF!</v>
      </c>
      <c r="IK266" t="e">
        <f>IF(Sheet1!#REF!,"AAAAAGXO7vQ=",0)</f>
        <v>#REF!</v>
      </c>
      <c r="IL266" t="e">
        <f>IF(Sheet1!#REF!,"AAAAAGXO7vU=",0)</f>
        <v>#REF!</v>
      </c>
      <c r="IM266" t="e">
        <f>IF(Sheet1!#REF!,"AAAAAGXO7vY=",0)</f>
        <v>#REF!</v>
      </c>
      <c r="IN266" t="e">
        <f>IF(Sheet1!#REF!,"AAAAAGXO7vc=",0)</f>
        <v>#REF!</v>
      </c>
      <c r="IO266" t="e">
        <f>IF(Sheet1!#REF!,"AAAAAGXO7vg=",0)</f>
        <v>#REF!</v>
      </c>
      <c r="IP266" t="e">
        <f>IF(Sheet1!#REF!,"AAAAAGXO7vk=",0)</f>
        <v>#REF!</v>
      </c>
      <c r="IQ266" t="e">
        <f>IF(Sheet1!#REF!,"AAAAAGXO7vo=",0)</f>
        <v>#REF!</v>
      </c>
      <c r="IR266" t="e">
        <f>IF(Sheet1!#REF!,"AAAAAGXO7vs=",0)</f>
        <v>#REF!</v>
      </c>
      <c r="IS266" t="e">
        <f>IF(Sheet1!#REF!,"AAAAAGXO7vw=",0)</f>
        <v>#REF!</v>
      </c>
      <c r="IT266" t="e">
        <f>IF(Sheet1!#REF!,"AAAAAGXO7v0=",0)</f>
        <v>#REF!</v>
      </c>
      <c r="IU266" t="e">
        <f>IF(Sheet1!#REF!,"AAAAAGXO7v4=",0)</f>
        <v>#REF!</v>
      </c>
      <c r="IV266" t="e">
        <f>IF(Sheet1!#REF!,"AAAAAGXO7v8=",0)</f>
        <v>#REF!</v>
      </c>
    </row>
    <row r="267" spans="1:256" x14ac:dyDescent="0.2">
      <c r="A267" t="e">
        <f>IF(Sheet1!#REF!,"AAAAAHP/jgA=",0)</f>
        <v>#REF!</v>
      </c>
      <c r="B267" t="e">
        <f>IF(Sheet1!#REF!,"AAAAAHP/jgE=",0)</f>
        <v>#REF!</v>
      </c>
      <c r="C267" t="e">
        <f>IF(Sheet1!#REF!,"AAAAAHP/jgI=",0)</f>
        <v>#REF!</v>
      </c>
      <c r="D267" t="e">
        <f>IF(Sheet1!#REF!,"AAAAAHP/jgM=",0)</f>
        <v>#REF!</v>
      </c>
      <c r="E267" t="e">
        <f>IF(Sheet1!#REF!,"AAAAAHP/jgQ=",0)</f>
        <v>#REF!</v>
      </c>
      <c r="F267" t="e">
        <f>IF(Sheet1!#REF!,"AAAAAHP/jgU=",0)</f>
        <v>#REF!</v>
      </c>
      <c r="G267" t="e">
        <f>IF(Sheet1!#REF!,"AAAAAHP/jgY=",0)</f>
        <v>#REF!</v>
      </c>
      <c r="H267" t="e">
        <f>IF(Sheet1!#REF!,"AAAAAHP/jgc=",0)</f>
        <v>#REF!</v>
      </c>
      <c r="I267" t="e">
        <f>IF(Sheet1!#REF!,"AAAAAHP/jgg=",0)</f>
        <v>#REF!</v>
      </c>
      <c r="J267" t="e">
        <f>IF(Sheet1!#REF!,"AAAAAHP/jgk=",0)</f>
        <v>#REF!</v>
      </c>
      <c r="K267" t="e">
        <f>IF(Sheet1!#REF!,"AAAAAHP/jgo=",0)</f>
        <v>#REF!</v>
      </c>
      <c r="L267" t="e">
        <f>IF(Sheet1!#REF!,"AAAAAHP/jgs=",0)</f>
        <v>#REF!</v>
      </c>
      <c r="M267" t="e">
        <f>IF(Sheet1!#REF!,"AAAAAHP/jgw=",0)</f>
        <v>#REF!</v>
      </c>
      <c r="N267" t="e">
        <f>IF(Sheet1!#REF!,"AAAAAHP/jg0=",0)</f>
        <v>#REF!</v>
      </c>
      <c r="O267" t="e">
        <f>IF(Sheet1!#REF!,"AAAAAHP/jg4=",0)</f>
        <v>#REF!</v>
      </c>
      <c r="P267" t="e">
        <f>IF(Sheet1!#REF!,"AAAAAHP/jg8=",0)</f>
        <v>#REF!</v>
      </c>
      <c r="Q267" t="e">
        <f>IF(Sheet1!#REF!,"AAAAAHP/jhA=",0)</f>
        <v>#REF!</v>
      </c>
      <c r="R267" t="e">
        <f>IF(Sheet1!#REF!,"AAAAAHP/jhE=",0)</f>
        <v>#REF!</v>
      </c>
      <c r="S267" t="e">
        <f>IF(Sheet1!#REF!,"AAAAAHP/jhI=",0)</f>
        <v>#REF!</v>
      </c>
      <c r="T267" t="e">
        <f>IF(Sheet1!#REF!,"AAAAAHP/jhM=",0)</f>
        <v>#REF!</v>
      </c>
      <c r="U267" t="e">
        <f>IF(Sheet1!#REF!,"AAAAAHP/jhQ=",0)</f>
        <v>#REF!</v>
      </c>
      <c r="V267" t="e">
        <f>IF(Sheet1!#REF!,"AAAAAHP/jhU=",0)</f>
        <v>#REF!</v>
      </c>
      <c r="W267" t="e">
        <f>IF(Sheet1!#REF!,"AAAAAHP/jhY=",0)</f>
        <v>#REF!</v>
      </c>
      <c r="X267" t="e">
        <f>IF(Sheet1!#REF!,"AAAAAHP/jhc=",0)</f>
        <v>#REF!</v>
      </c>
      <c r="Y267" t="e">
        <f>IF(Sheet1!#REF!,"AAAAAHP/jhg=",0)</f>
        <v>#REF!</v>
      </c>
      <c r="Z267" t="e">
        <f>IF(Sheet1!#REF!,"AAAAAHP/jhk=",0)</f>
        <v>#REF!</v>
      </c>
      <c r="AA267" t="e">
        <f>IF(Sheet1!#REF!,"AAAAAHP/jho=",0)</f>
        <v>#REF!</v>
      </c>
      <c r="AB267" t="e">
        <f>IF(Sheet1!#REF!,"AAAAAHP/jhs=",0)</f>
        <v>#REF!</v>
      </c>
      <c r="AC267" t="e">
        <f>IF(Sheet1!#REF!,"AAAAAHP/jhw=",0)</f>
        <v>#REF!</v>
      </c>
      <c r="AD267" t="e">
        <f>IF(Sheet1!#REF!,"AAAAAHP/jh0=",0)</f>
        <v>#REF!</v>
      </c>
      <c r="AE267" t="e">
        <f>IF(Sheet1!#REF!,"AAAAAHP/jh4=",0)</f>
        <v>#REF!</v>
      </c>
      <c r="AF267" t="e">
        <f>IF(Sheet1!#REF!,"AAAAAHP/jh8=",0)</f>
        <v>#REF!</v>
      </c>
      <c r="AG267" t="e">
        <f>IF(Sheet1!#REF!,"AAAAAHP/jiA=",0)</f>
        <v>#REF!</v>
      </c>
      <c r="AH267" t="e">
        <f>IF(Sheet1!#REF!,"AAAAAHP/jiE=",0)</f>
        <v>#REF!</v>
      </c>
      <c r="AI267" t="e">
        <f>IF(Sheet1!#REF!,"AAAAAHP/jiI=",0)</f>
        <v>#REF!</v>
      </c>
      <c r="AJ267" t="e">
        <f>IF(Sheet1!#REF!,"AAAAAHP/jiM=",0)</f>
        <v>#REF!</v>
      </c>
      <c r="AK267" t="e">
        <f>IF(Sheet1!#REF!,"AAAAAHP/jiQ=",0)</f>
        <v>#REF!</v>
      </c>
      <c r="AL267" t="e">
        <f>IF(Sheet1!#REF!,"AAAAAHP/jiU=",0)</f>
        <v>#REF!</v>
      </c>
      <c r="AM267" t="e">
        <f>IF(Sheet1!#REF!,"AAAAAHP/jiY=",0)</f>
        <v>#REF!</v>
      </c>
      <c r="AN267" t="e">
        <f>IF(Sheet1!#REF!,"AAAAAHP/jic=",0)</f>
        <v>#REF!</v>
      </c>
      <c r="AO267" t="e">
        <f>IF(Sheet1!#REF!,"AAAAAHP/jig=",0)</f>
        <v>#REF!</v>
      </c>
      <c r="AP267" t="e">
        <f>IF(Sheet1!#REF!,"AAAAAHP/jik=",0)</f>
        <v>#REF!</v>
      </c>
      <c r="AQ267" t="e">
        <f>IF(Sheet1!#REF!,"AAAAAHP/jio=",0)</f>
        <v>#REF!</v>
      </c>
      <c r="AR267" t="e">
        <f>IF(Sheet1!#REF!,"AAAAAHP/jis=",0)</f>
        <v>#REF!</v>
      </c>
      <c r="AS267" t="e">
        <f>IF(Sheet1!#REF!,"AAAAAHP/jiw=",0)</f>
        <v>#REF!</v>
      </c>
      <c r="AT267" t="e">
        <f>IF(Sheet1!#REF!,"AAAAAHP/ji0=",0)</f>
        <v>#REF!</v>
      </c>
      <c r="AU267" t="e">
        <f>IF(Sheet1!#REF!,"AAAAAHP/ji4=",0)</f>
        <v>#REF!</v>
      </c>
      <c r="AV267" t="e">
        <f>IF(Sheet1!#REF!,"AAAAAHP/ji8=",0)</f>
        <v>#REF!</v>
      </c>
      <c r="AW267" t="e">
        <f>IF(Sheet1!#REF!,"AAAAAHP/jjA=",0)</f>
        <v>#REF!</v>
      </c>
      <c r="AX267" t="e">
        <f>IF(Sheet1!#REF!,"AAAAAHP/jjE=",0)</f>
        <v>#REF!</v>
      </c>
      <c r="AY267" t="e">
        <f>IF(Sheet1!#REF!,"AAAAAHP/jjI=",0)</f>
        <v>#REF!</v>
      </c>
      <c r="AZ267" t="e">
        <f>IF(Sheet1!#REF!,"AAAAAHP/jjM=",0)</f>
        <v>#REF!</v>
      </c>
      <c r="BA267" t="e">
        <f>IF(Sheet1!#REF!,"AAAAAHP/jjQ=",0)</f>
        <v>#REF!</v>
      </c>
      <c r="BB267" t="e">
        <f>IF(Sheet1!#REF!,"AAAAAHP/jjU=",0)</f>
        <v>#REF!</v>
      </c>
      <c r="BC267" t="e">
        <f>IF(Sheet1!#REF!,"AAAAAHP/jjY=",0)</f>
        <v>#REF!</v>
      </c>
      <c r="BD267" t="e">
        <f>IF(Sheet1!#REF!,"AAAAAHP/jjc=",0)</f>
        <v>#REF!</v>
      </c>
      <c r="BE267" t="e">
        <f>IF(Sheet1!#REF!,"AAAAAHP/jjg=",0)</f>
        <v>#REF!</v>
      </c>
      <c r="BF267" t="e">
        <f>IF(Sheet1!#REF!,"AAAAAHP/jjk=",0)</f>
        <v>#REF!</v>
      </c>
      <c r="BG267" t="e">
        <f>IF(Sheet1!#REF!,"AAAAAHP/jjo=",0)</f>
        <v>#REF!</v>
      </c>
      <c r="BH267" t="e">
        <f>IF(Sheet1!#REF!,"AAAAAHP/jjs=",0)</f>
        <v>#REF!</v>
      </c>
      <c r="BI267" t="e">
        <f>IF(Sheet1!#REF!,"AAAAAHP/jjw=",0)</f>
        <v>#REF!</v>
      </c>
      <c r="BJ267" t="e">
        <f>IF(Sheet1!#REF!,"AAAAAHP/jj0=",0)</f>
        <v>#REF!</v>
      </c>
      <c r="BK267" t="e">
        <f>IF(Sheet1!#REF!,"AAAAAHP/jj4=",0)</f>
        <v>#REF!</v>
      </c>
      <c r="BL267" t="e">
        <f>IF(Sheet1!#REF!,"AAAAAHP/jj8=",0)</f>
        <v>#REF!</v>
      </c>
      <c r="BM267" t="e">
        <f>IF(Sheet1!#REF!,"AAAAAHP/jkA=",0)</f>
        <v>#REF!</v>
      </c>
      <c r="BN267" t="e">
        <f>IF(Sheet1!#REF!,"AAAAAHP/jkE=",0)</f>
        <v>#REF!</v>
      </c>
      <c r="BO267" t="e">
        <f>IF(Sheet1!#REF!,"AAAAAHP/jkI=",0)</f>
        <v>#REF!</v>
      </c>
      <c r="BP267" t="e">
        <f>IF(Sheet1!#REF!,"AAAAAHP/jkM=",0)</f>
        <v>#REF!</v>
      </c>
      <c r="BQ267" t="e">
        <f>IF(Sheet1!#REF!,"AAAAAHP/jkQ=",0)</f>
        <v>#REF!</v>
      </c>
      <c r="BR267" t="e">
        <f>IF(Sheet1!#REF!,"AAAAAHP/jkU=",0)</f>
        <v>#REF!</v>
      </c>
      <c r="BS267" t="e">
        <f>IF(Sheet1!#REF!,"AAAAAHP/jkY=",0)</f>
        <v>#REF!</v>
      </c>
      <c r="BT267" t="e">
        <f>IF(Sheet1!#REF!,"AAAAAHP/jkc=",0)</f>
        <v>#REF!</v>
      </c>
      <c r="BU267" t="e">
        <f>IF(Sheet1!#REF!,"AAAAAHP/jkg=",0)</f>
        <v>#REF!</v>
      </c>
      <c r="BV267" t="e">
        <f>IF(Sheet1!#REF!,"AAAAAHP/jkk=",0)</f>
        <v>#REF!</v>
      </c>
      <c r="BW267" t="e">
        <f>IF(Sheet1!#REF!,"AAAAAHP/jko=",0)</f>
        <v>#REF!</v>
      </c>
      <c r="BX267" t="e">
        <f>IF(Sheet1!#REF!,"AAAAAHP/jks=",0)</f>
        <v>#REF!</v>
      </c>
      <c r="BY267" t="e">
        <f>IF(Sheet1!#REF!,"AAAAAHP/jkw=",0)</f>
        <v>#REF!</v>
      </c>
      <c r="BZ267" t="e">
        <f>IF(Sheet1!#REF!,"AAAAAHP/jk0=",0)</f>
        <v>#REF!</v>
      </c>
      <c r="CA267" t="e">
        <f>IF(Sheet1!#REF!,"AAAAAHP/jk4=",0)</f>
        <v>#REF!</v>
      </c>
      <c r="CB267" t="e">
        <f>IF(Sheet1!#REF!,"AAAAAHP/jk8=",0)</f>
        <v>#REF!</v>
      </c>
      <c r="CC267" t="e">
        <f>IF(Sheet1!#REF!,"AAAAAHP/jlA=",0)</f>
        <v>#REF!</v>
      </c>
      <c r="CD267" t="e">
        <f>IF(Sheet1!#REF!,"AAAAAHP/jlE=",0)</f>
        <v>#REF!</v>
      </c>
      <c r="CE267" t="e">
        <f>IF(Sheet1!#REF!,"AAAAAHP/jlI=",0)</f>
        <v>#REF!</v>
      </c>
      <c r="CF267" t="e">
        <f>IF(Sheet1!#REF!,"AAAAAHP/jlM=",0)</f>
        <v>#REF!</v>
      </c>
      <c r="CG267" t="e">
        <f>IF(Sheet1!#REF!,"AAAAAHP/jlQ=",0)</f>
        <v>#REF!</v>
      </c>
      <c r="CH267" t="e">
        <f>IF(Sheet1!#REF!,"AAAAAHP/jlU=",0)</f>
        <v>#REF!</v>
      </c>
      <c r="CI267" t="e">
        <f>IF(Sheet1!#REF!,"AAAAAHP/jlY=",0)</f>
        <v>#REF!</v>
      </c>
      <c r="CJ267" t="e">
        <f>IF(Sheet1!#REF!,"AAAAAHP/jlc=",0)</f>
        <v>#REF!</v>
      </c>
      <c r="CK267" t="e">
        <f>IF(Sheet1!#REF!,"AAAAAHP/jlg=",0)</f>
        <v>#REF!</v>
      </c>
      <c r="CL267" t="e">
        <f>IF(Sheet1!#REF!,"AAAAAHP/jlk=",0)</f>
        <v>#REF!</v>
      </c>
      <c r="CM267" t="e">
        <f>IF(Sheet1!#REF!,"AAAAAHP/jlo=",0)</f>
        <v>#REF!</v>
      </c>
      <c r="CN267" t="e">
        <f>IF(Sheet1!#REF!,"AAAAAHP/jls=",0)</f>
        <v>#REF!</v>
      </c>
      <c r="CO267" t="e">
        <f>IF(Sheet1!#REF!,"AAAAAHP/jlw=",0)</f>
        <v>#REF!</v>
      </c>
      <c r="CP267" t="e">
        <f>IF(Sheet1!#REF!,"AAAAAHP/jl0=",0)</f>
        <v>#REF!</v>
      </c>
      <c r="CQ267" t="e">
        <f>IF(Sheet1!#REF!,"AAAAAHP/jl4=",0)</f>
        <v>#REF!</v>
      </c>
      <c r="CR267" t="e">
        <f>IF(Sheet1!#REF!,"AAAAAHP/jl8=",0)</f>
        <v>#REF!</v>
      </c>
      <c r="CS267" t="e">
        <f>IF(Sheet1!#REF!,"AAAAAHP/jmA=",0)</f>
        <v>#REF!</v>
      </c>
      <c r="CT267" t="e">
        <f>IF(Sheet1!#REF!,"AAAAAHP/jmE=",0)</f>
        <v>#REF!</v>
      </c>
      <c r="CU267" t="e">
        <f>IF(Sheet1!#REF!,"AAAAAHP/jmI=",0)</f>
        <v>#REF!</v>
      </c>
      <c r="CV267" t="e">
        <f>IF(Sheet1!#REF!,"AAAAAHP/jmM=",0)</f>
        <v>#REF!</v>
      </c>
      <c r="CW267" t="e">
        <f>IF(Sheet1!#REF!,"AAAAAHP/jmQ=",0)</f>
        <v>#REF!</v>
      </c>
      <c r="CX267" t="e">
        <f>IF(Sheet1!#REF!,"AAAAAHP/jmU=",0)</f>
        <v>#REF!</v>
      </c>
      <c r="CY267" t="e">
        <f>IF(Sheet1!#REF!,"AAAAAHP/jmY=",0)</f>
        <v>#REF!</v>
      </c>
      <c r="CZ267" t="e">
        <f>IF(Sheet1!#REF!,"AAAAAHP/jmc=",0)</f>
        <v>#REF!</v>
      </c>
      <c r="DA267" t="e">
        <f>IF(Sheet1!#REF!,"AAAAAHP/jmg=",0)</f>
        <v>#REF!</v>
      </c>
      <c r="DB267" t="e">
        <f>IF(Sheet1!#REF!,"AAAAAHP/jmk=",0)</f>
        <v>#REF!</v>
      </c>
      <c r="DC267" t="e">
        <f>IF(Sheet1!#REF!,"AAAAAHP/jmo=",0)</f>
        <v>#REF!</v>
      </c>
      <c r="DD267" t="e">
        <f>IF(Sheet1!#REF!,"AAAAAHP/jms=",0)</f>
        <v>#REF!</v>
      </c>
      <c r="DE267" t="e">
        <f>IF(Sheet1!#REF!,"AAAAAHP/jmw=",0)</f>
        <v>#REF!</v>
      </c>
      <c r="DF267" t="e">
        <f>IF(Sheet1!#REF!,"AAAAAHP/jm0=",0)</f>
        <v>#REF!</v>
      </c>
      <c r="DG267" t="e">
        <f>IF(Sheet1!#REF!,"AAAAAHP/jm4=",0)</f>
        <v>#REF!</v>
      </c>
      <c r="DH267" t="e">
        <f>IF(Sheet1!#REF!,"AAAAAHP/jm8=",0)</f>
        <v>#REF!</v>
      </c>
      <c r="DI267" t="e">
        <f>IF(Sheet1!#REF!,"AAAAAHP/jnA=",0)</f>
        <v>#REF!</v>
      </c>
      <c r="DJ267" t="e">
        <f>IF(Sheet1!#REF!,"AAAAAHP/jnE=",0)</f>
        <v>#REF!</v>
      </c>
      <c r="DK267" t="e">
        <f>IF(Sheet1!#REF!,"AAAAAHP/jnI=",0)</f>
        <v>#REF!</v>
      </c>
      <c r="DL267" t="e">
        <f>IF(Sheet1!#REF!,"AAAAAHP/jnM=",0)</f>
        <v>#REF!</v>
      </c>
      <c r="DM267" t="e">
        <f>IF(Sheet1!#REF!,"AAAAAHP/jnQ=",0)</f>
        <v>#REF!</v>
      </c>
      <c r="DN267" t="e">
        <f>IF(Sheet1!#REF!,"AAAAAHP/jnU=",0)</f>
        <v>#REF!</v>
      </c>
      <c r="DO267" t="e">
        <f>IF(Sheet1!#REF!,"AAAAAHP/jnY=",0)</f>
        <v>#REF!</v>
      </c>
      <c r="DP267" t="e">
        <f>IF(Sheet1!#REF!,"AAAAAHP/jnc=",0)</f>
        <v>#REF!</v>
      </c>
      <c r="DQ267" t="e">
        <f>IF(Sheet1!#REF!,"AAAAAHP/jng=",0)</f>
        <v>#REF!</v>
      </c>
      <c r="DR267" t="e">
        <f>IF(Sheet1!#REF!,"AAAAAHP/jnk=",0)</f>
        <v>#REF!</v>
      </c>
      <c r="DS267" t="e">
        <f>IF(Sheet1!#REF!,"AAAAAHP/jno=",0)</f>
        <v>#REF!</v>
      </c>
      <c r="DT267" t="e">
        <f>IF(Sheet1!#REF!,"AAAAAHP/jns=",0)</f>
        <v>#REF!</v>
      </c>
      <c r="DU267" t="e">
        <f>IF(Sheet1!#REF!,"AAAAAHP/jnw=",0)</f>
        <v>#REF!</v>
      </c>
      <c r="DV267" t="e">
        <f>IF(Sheet1!#REF!,"AAAAAHP/jn0=",0)</f>
        <v>#REF!</v>
      </c>
      <c r="DW267" t="e">
        <f>IF(Sheet1!#REF!,"AAAAAHP/jn4=",0)</f>
        <v>#REF!</v>
      </c>
      <c r="DX267" t="e">
        <f>IF(Sheet1!#REF!,"AAAAAHP/jn8=",0)</f>
        <v>#REF!</v>
      </c>
      <c r="DY267" t="e">
        <f>IF(Sheet1!#REF!,"AAAAAHP/joA=",0)</f>
        <v>#REF!</v>
      </c>
      <c r="DZ267" t="e">
        <f>IF(Sheet1!#REF!,"AAAAAHP/joE=",0)</f>
        <v>#REF!</v>
      </c>
      <c r="EA267" t="e">
        <f>IF(Sheet1!#REF!,"AAAAAHP/joI=",0)</f>
        <v>#REF!</v>
      </c>
      <c r="EB267" t="e">
        <f>IF(Sheet1!#REF!,"AAAAAHP/joM=",0)</f>
        <v>#REF!</v>
      </c>
      <c r="EC267" t="e">
        <f>IF(Sheet1!#REF!,"AAAAAHP/joQ=",0)</f>
        <v>#REF!</v>
      </c>
      <c r="ED267" t="e">
        <f>IF(Sheet1!#REF!,"AAAAAHP/joU=",0)</f>
        <v>#REF!</v>
      </c>
      <c r="EE267" t="e">
        <f>IF(Sheet1!#REF!,"AAAAAHP/joY=",0)</f>
        <v>#REF!</v>
      </c>
      <c r="EF267" t="e">
        <f>IF(Sheet1!#REF!,"AAAAAHP/joc=",0)</f>
        <v>#REF!</v>
      </c>
      <c r="EG267" t="e">
        <f>IF(Sheet1!#REF!,"AAAAAHP/jog=",0)</f>
        <v>#REF!</v>
      </c>
      <c r="EH267" t="e">
        <f>IF(Sheet1!#REF!,"AAAAAHP/jok=",0)</f>
        <v>#REF!</v>
      </c>
      <c r="EI267" t="e">
        <f>IF(Sheet1!#REF!,"AAAAAHP/joo=",0)</f>
        <v>#REF!</v>
      </c>
      <c r="EJ267" t="e">
        <f>IF(Sheet1!#REF!,"AAAAAHP/jos=",0)</f>
        <v>#REF!</v>
      </c>
      <c r="EK267" t="e">
        <f>IF(Sheet1!#REF!,"AAAAAHP/jow=",0)</f>
        <v>#REF!</v>
      </c>
      <c r="EL267" t="e">
        <f>IF(Sheet1!#REF!,"AAAAAHP/jo0=",0)</f>
        <v>#REF!</v>
      </c>
      <c r="EM267" t="e">
        <f>IF(Sheet1!#REF!,"AAAAAHP/jo4=",0)</f>
        <v>#REF!</v>
      </c>
      <c r="EN267" t="e">
        <f>IF(Sheet1!#REF!,"AAAAAHP/jo8=",0)</f>
        <v>#REF!</v>
      </c>
      <c r="EO267" t="e">
        <f>IF(Sheet1!#REF!,"AAAAAHP/jpA=",0)</f>
        <v>#REF!</v>
      </c>
      <c r="EP267" t="e">
        <f>IF(Sheet1!#REF!,"AAAAAHP/jpE=",0)</f>
        <v>#REF!</v>
      </c>
      <c r="EQ267" t="e">
        <f>IF(Sheet1!#REF!,"AAAAAHP/jpI=",0)</f>
        <v>#REF!</v>
      </c>
      <c r="ER267" t="e">
        <f>IF(Sheet1!#REF!,"AAAAAHP/jpM=",0)</f>
        <v>#REF!</v>
      </c>
      <c r="ES267" t="e">
        <f>IF(Sheet1!#REF!,"AAAAAHP/jpQ=",0)</f>
        <v>#REF!</v>
      </c>
      <c r="ET267" t="e">
        <f>IF(Sheet1!#REF!,"AAAAAHP/jpU=",0)</f>
        <v>#REF!</v>
      </c>
      <c r="EU267" t="e">
        <f>IF(Sheet1!#REF!,"AAAAAHP/jpY=",0)</f>
        <v>#REF!</v>
      </c>
      <c r="EV267" t="e">
        <f>IF(Sheet1!#REF!,"AAAAAHP/jpc=",0)</f>
        <v>#REF!</v>
      </c>
      <c r="EW267" t="e">
        <f>IF(Sheet1!#REF!,"AAAAAHP/jpg=",0)</f>
        <v>#REF!</v>
      </c>
      <c r="EX267" t="e">
        <f>IF(Sheet1!#REF!,"AAAAAHP/jpk=",0)</f>
        <v>#REF!</v>
      </c>
      <c r="EY267" t="e">
        <f>IF(Sheet1!#REF!,"AAAAAHP/jpo=",0)</f>
        <v>#REF!</v>
      </c>
      <c r="EZ267" t="e">
        <f>IF(Sheet1!#REF!,"AAAAAHP/jps=",0)</f>
        <v>#REF!</v>
      </c>
      <c r="FA267" t="e">
        <f>IF(Sheet1!#REF!,"AAAAAHP/jpw=",0)</f>
        <v>#REF!</v>
      </c>
      <c r="FB267" t="e">
        <f>IF(Sheet1!#REF!,"AAAAAHP/jp0=",0)</f>
        <v>#REF!</v>
      </c>
      <c r="FC267" t="e">
        <f>IF(Sheet1!#REF!,"AAAAAHP/jp4=",0)</f>
        <v>#REF!</v>
      </c>
      <c r="FD267" t="e">
        <f>IF(Sheet1!#REF!,"AAAAAHP/jp8=",0)</f>
        <v>#REF!</v>
      </c>
      <c r="FE267" t="e">
        <f>IF(Sheet1!#REF!,"AAAAAHP/jqA=",0)</f>
        <v>#REF!</v>
      </c>
      <c r="FF267" t="e">
        <f>IF(Sheet1!#REF!,"AAAAAHP/jqE=",0)</f>
        <v>#REF!</v>
      </c>
      <c r="FG267" t="e">
        <f>IF(Sheet1!#REF!,"AAAAAHP/jqI=",0)</f>
        <v>#REF!</v>
      </c>
      <c r="FH267" t="e">
        <f>IF(Sheet1!#REF!,"AAAAAHP/jqM=",0)</f>
        <v>#REF!</v>
      </c>
      <c r="FI267" t="e">
        <f>IF(Sheet1!#REF!,"AAAAAHP/jqQ=",0)</f>
        <v>#REF!</v>
      </c>
      <c r="FJ267" t="e">
        <f>IF(Sheet1!#REF!,"AAAAAHP/jqU=",0)</f>
        <v>#REF!</v>
      </c>
      <c r="FK267" t="e">
        <f>IF(Sheet1!#REF!,"AAAAAHP/jqY=",0)</f>
        <v>#REF!</v>
      </c>
      <c r="FL267" t="e">
        <f>IF(Sheet1!#REF!,"AAAAAHP/jqc=",0)</f>
        <v>#REF!</v>
      </c>
      <c r="FM267" t="e">
        <f>IF(Sheet1!#REF!,"AAAAAHP/jqg=",0)</f>
        <v>#REF!</v>
      </c>
      <c r="FN267" t="e">
        <f>IF(Sheet1!#REF!,"AAAAAHP/jqk=",0)</f>
        <v>#REF!</v>
      </c>
      <c r="FO267" t="e">
        <f>IF(Sheet1!#REF!,"AAAAAHP/jqo=",0)</f>
        <v>#REF!</v>
      </c>
      <c r="FP267" t="e">
        <f>IF(Sheet1!#REF!,"AAAAAHP/jqs=",0)</f>
        <v>#REF!</v>
      </c>
      <c r="FQ267" t="e">
        <f>IF(Sheet1!#REF!,"AAAAAHP/jqw=",0)</f>
        <v>#REF!</v>
      </c>
      <c r="FR267" t="e">
        <f>IF(Sheet1!#REF!,"AAAAAHP/jq0=",0)</f>
        <v>#REF!</v>
      </c>
      <c r="FS267" t="e">
        <f>IF(Sheet1!#REF!,"AAAAAHP/jq4=",0)</f>
        <v>#REF!</v>
      </c>
      <c r="FT267" t="e">
        <f>IF(Sheet1!#REF!,"AAAAAHP/jq8=",0)</f>
        <v>#REF!</v>
      </c>
      <c r="FU267" t="e">
        <f>IF(Sheet1!#REF!,"AAAAAHP/jrA=",0)</f>
        <v>#REF!</v>
      </c>
      <c r="FV267" t="e">
        <f>IF(Sheet1!#REF!,"AAAAAHP/jrE=",0)</f>
        <v>#REF!</v>
      </c>
      <c r="FW267" t="e">
        <f>IF(Sheet1!#REF!,"AAAAAHP/jrI=",0)</f>
        <v>#REF!</v>
      </c>
      <c r="FX267" t="e">
        <f>IF(Sheet1!#REF!,"AAAAAHP/jrM=",0)</f>
        <v>#REF!</v>
      </c>
      <c r="FY267" t="e">
        <f>IF(Sheet1!#REF!,"AAAAAHP/jrQ=",0)</f>
        <v>#REF!</v>
      </c>
      <c r="FZ267" t="e">
        <f>IF(Sheet1!#REF!,"AAAAAHP/jrU=",0)</f>
        <v>#REF!</v>
      </c>
      <c r="GA267" t="e">
        <f>IF(Sheet1!#REF!,"AAAAAHP/jrY=",0)</f>
        <v>#REF!</v>
      </c>
      <c r="GB267" t="e">
        <f>IF(Sheet1!#REF!,"AAAAAHP/jrc=",0)</f>
        <v>#REF!</v>
      </c>
      <c r="GC267" t="e">
        <f>IF(Sheet1!#REF!,"AAAAAHP/jrg=",0)</f>
        <v>#REF!</v>
      </c>
      <c r="GD267" t="e">
        <f>IF(Sheet1!#REF!,"AAAAAHP/jrk=",0)</f>
        <v>#REF!</v>
      </c>
      <c r="GE267" t="e">
        <f>IF(Sheet1!#REF!,"AAAAAHP/jro=",0)</f>
        <v>#REF!</v>
      </c>
      <c r="GF267" t="e">
        <f>IF(Sheet1!#REF!,"AAAAAHP/jrs=",0)</f>
        <v>#REF!</v>
      </c>
      <c r="GG267" t="e">
        <f>IF(Sheet1!#REF!,"AAAAAHP/jrw=",0)</f>
        <v>#REF!</v>
      </c>
      <c r="GH267" t="e">
        <f>IF(Sheet1!#REF!,"AAAAAHP/jr0=",0)</f>
        <v>#REF!</v>
      </c>
      <c r="GI267" t="e">
        <f>IF(Sheet1!#REF!,"AAAAAHP/jr4=",0)</f>
        <v>#REF!</v>
      </c>
      <c r="GJ267" t="e">
        <f>IF(Sheet1!#REF!,"AAAAAHP/jr8=",0)</f>
        <v>#REF!</v>
      </c>
      <c r="GK267" t="e">
        <f>IF(Sheet1!#REF!,"AAAAAHP/jsA=",0)</f>
        <v>#REF!</v>
      </c>
      <c r="GL267" t="e">
        <f>IF(Sheet1!#REF!,"AAAAAHP/jsE=",0)</f>
        <v>#REF!</v>
      </c>
      <c r="GM267" t="e">
        <f>IF(Sheet1!#REF!,"AAAAAHP/jsI=",0)</f>
        <v>#REF!</v>
      </c>
      <c r="GN267" t="e">
        <f>IF(Sheet1!#REF!,"AAAAAHP/jsM=",0)</f>
        <v>#REF!</v>
      </c>
      <c r="GO267" t="e">
        <f>IF(Sheet1!#REF!,"AAAAAHP/jsQ=",0)</f>
        <v>#REF!</v>
      </c>
      <c r="GP267" t="e">
        <f>IF(Sheet1!#REF!,"AAAAAHP/jsU=",0)</f>
        <v>#REF!</v>
      </c>
      <c r="GQ267" t="e">
        <f>IF(Sheet1!#REF!,"AAAAAHP/jsY=",0)</f>
        <v>#REF!</v>
      </c>
      <c r="GR267" t="e">
        <f>IF(Sheet1!#REF!,"AAAAAHP/jsc=",0)</f>
        <v>#REF!</v>
      </c>
      <c r="GS267" t="e">
        <f>IF(Sheet1!#REF!,"AAAAAHP/jsg=",0)</f>
        <v>#REF!</v>
      </c>
      <c r="GT267" t="e">
        <f>IF(Sheet1!#REF!,"AAAAAHP/jsk=",0)</f>
        <v>#REF!</v>
      </c>
      <c r="GU267" t="e">
        <f>IF(Sheet1!#REF!,"AAAAAHP/jso=",0)</f>
        <v>#REF!</v>
      </c>
      <c r="GV267" t="e">
        <f>IF(Sheet1!#REF!,"AAAAAHP/jss=",0)</f>
        <v>#REF!</v>
      </c>
      <c r="GW267" t="e">
        <f>IF(Sheet1!#REF!,"AAAAAHP/jsw=",0)</f>
        <v>#REF!</v>
      </c>
      <c r="GX267" t="e">
        <f>IF(Sheet1!#REF!,"AAAAAHP/js0=",0)</f>
        <v>#REF!</v>
      </c>
      <c r="GY267" t="e">
        <f>IF(Sheet1!#REF!,"AAAAAHP/js4=",0)</f>
        <v>#REF!</v>
      </c>
      <c r="GZ267" t="e">
        <f>IF(Sheet1!#REF!,"AAAAAHP/js8=",0)</f>
        <v>#REF!</v>
      </c>
      <c r="HA267" t="e">
        <f>IF(Sheet1!#REF!,"AAAAAHP/jtA=",0)</f>
        <v>#REF!</v>
      </c>
      <c r="HB267" t="e">
        <f>IF(Sheet1!#REF!,"AAAAAHP/jtE=",0)</f>
        <v>#REF!</v>
      </c>
      <c r="HC267" t="e">
        <f>IF(Sheet1!#REF!,"AAAAAHP/jtI=",0)</f>
        <v>#REF!</v>
      </c>
      <c r="HD267" t="e">
        <f>IF(Sheet1!#REF!,"AAAAAHP/jtM=",0)</f>
        <v>#REF!</v>
      </c>
      <c r="HE267" t="e">
        <f>IF(Sheet1!#REF!,"AAAAAHP/jtQ=",0)</f>
        <v>#REF!</v>
      </c>
      <c r="HF267" t="e">
        <f>IF(Sheet1!#REF!,"AAAAAHP/jtU=",0)</f>
        <v>#REF!</v>
      </c>
      <c r="HG267" t="e">
        <f>IF(Sheet1!#REF!,"AAAAAHP/jtY=",0)</f>
        <v>#REF!</v>
      </c>
      <c r="HH267" t="e">
        <f>IF(Sheet1!#REF!,"AAAAAHP/jtc=",0)</f>
        <v>#REF!</v>
      </c>
      <c r="HI267" t="e">
        <f>IF(Sheet1!#REF!,"AAAAAHP/jtg=",0)</f>
        <v>#REF!</v>
      </c>
      <c r="HJ267" t="e">
        <f>IF(Sheet1!#REF!,"AAAAAHP/jtk=",0)</f>
        <v>#REF!</v>
      </c>
      <c r="HK267" t="e">
        <f>IF(Sheet1!#REF!,"AAAAAHP/jto=",0)</f>
        <v>#REF!</v>
      </c>
      <c r="HL267" t="e">
        <f>IF(Sheet1!#REF!,"AAAAAHP/jts=",0)</f>
        <v>#REF!</v>
      </c>
      <c r="HM267" t="e">
        <f>IF(Sheet1!#REF!,"AAAAAHP/jtw=",0)</f>
        <v>#REF!</v>
      </c>
      <c r="HN267" t="e">
        <f>IF(Sheet1!#REF!,"AAAAAHP/jt0=",0)</f>
        <v>#REF!</v>
      </c>
      <c r="HO267" t="e">
        <f>IF(Sheet1!#REF!,"AAAAAHP/jt4=",0)</f>
        <v>#REF!</v>
      </c>
      <c r="HP267" t="e">
        <f>IF(Sheet1!#REF!,"AAAAAHP/jt8=",0)</f>
        <v>#REF!</v>
      </c>
      <c r="HQ267" t="e">
        <f>IF(Sheet1!#REF!,"AAAAAHP/juA=",0)</f>
        <v>#REF!</v>
      </c>
      <c r="HR267" t="e">
        <f>IF(Sheet1!#REF!,"AAAAAHP/juE=",0)</f>
        <v>#REF!</v>
      </c>
      <c r="HS267" t="e">
        <f>IF(Sheet1!#REF!,"AAAAAHP/juI=",0)</f>
        <v>#REF!</v>
      </c>
      <c r="HT267" t="e">
        <f>IF(Sheet1!#REF!,"AAAAAHP/juM=",0)</f>
        <v>#REF!</v>
      </c>
      <c r="HU267" t="e">
        <f>IF(Sheet1!#REF!,"AAAAAHP/juQ=",0)</f>
        <v>#REF!</v>
      </c>
      <c r="HV267" t="e">
        <f>IF(Sheet1!#REF!,"AAAAAHP/juU=",0)</f>
        <v>#REF!</v>
      </c>
      <c r="HW267" t="e">
        <f>IF(Sheet1!#REF!,"AAAAAHP/juY=",0)</f>
        <v>#REF!</v>
      </c>
      <c r="HX267" t="e">
        <f>IF(Sheet1!#REF!,"AAAAAHP/juc=",0)</f>
        <v>#REF!</v>
      </c>
      <c r="HY267" t="e">
        <f>IF(Sheet1!#REF!,"AAAAAHP/jug=",0)</f>
        <v>#REF!</v>
      </c>
      <c r="HZ267" t="e">
        <f>IF(Sheet1!#REF!,"AAAAAHP/juk=",0)</f>
        <v>#REF!</v>
      </c>
      <c r="IA267" t="e">
        <f>IF(Sheet1!#REF!,"AAAAAHP/juo=",0)</f>
        <v>#REF!</v>
      </c>
      <c r="IB267" t="e">
        <f>IF(Sheet1!#REF!,"AAAAAHP/jus=",0)</f>
        <v>#REF!</v>
      </c>
      <c r="IC267" t="e">
        <f>IF(Sheet1!#REF!,"AAAAAHP/juw=",0)</f>
        <v>#REF!</v>
      </c>
      <c r="ID267" t="e">
        <f>IF(Sheet1!#REF!,"AAAAAHP/ju0=",0)</f>
        <v>#REF!</v>
      </c>
      <c r="IE267" t="e">
        <f>IF(Sheet1!#REF!,"AAAAAHP/ju4=",0)</f>
        <v>#REF!</v>
      </c>
      <c r="IF267" t="e">
        <f>IF(Sheet1!#REF!,"AAAAAHP/ju8=",0)</f>
        <v>#REF!</v>
      </c>
      <c r="IG267" t="e">
        <f>IF(Sheet1!#REF!,"AAAAAHP/jvA=",0)</f>
        <v>#REF!</v>
      </c>
      <c r="IH267" t="e">
        <f>IF(Sheet1!#REF!,"AAAAAHP/jvE=",0)</f>
        <v>#REF!</v>
      </c>
      <c r="II267" t="e">
        <f>IF(Sheet1!#REF!,"AAAAAHP/jvI=",0)</f>
        <v>#REF!</v>
      </c>
      <c r="IJ267" t="e">
        <f>IF(Sheet1!#REF!,"AAAAAHP/jvM=",0)</f>
        <v>#REF!</v>
      </c>
      <c r="IK267" t="e">
        <f>IF(Sheet1!#REF!,"AAAAAHP/jvQ=",0)</f>
        <v>#REF!</v>
      </c>
      <c r="IL267" t="e">
        <f>IF(Sheet1!#REF!,"AAAAAHP/jvU=",0)</f>
        <v>#REF!</v>
      </c>
      <c r="IM267" t="e">
        <f>IF(Sheet1!#REF!,"AAAAAHP/jvY=",0)</f>
        <v>#REF!</v>
      </c>
      <c r="IN267" t="e">
        <f>IF(Sheet1!#REF!,"AAAAAHP/jvc=",0)</f>
        <v>#REF!</v>
      </c>
      <c r="IO267" t="e">
        <f>IF(Sheet1!#REF!,"AAAAAHP/jvg=",0)</f>
        <v>#REF!</v>
      </c>
      <c r="IP267" t="e">
        <f>IF(Sheet1!#REF!,"AAAAAHP/jvk=",0)</f>
        <v>#REF!</v>
      </c>
      <c r="IQ267" t="e">
        <f>IF(Sheet1!#REF!,"AAAAAHP/jvo=",0)</f>
        <v>#REF!</v>
      </c>
      <c r="IR267" t="e">
        <f>IF(Sheet1!#REF!,"AAAAAHP/jvs=",0)</f>
        <v>#REF!</v>
      </c>
      <c r="IS267" t="e">
        <f>IF(Sheet1!#REF!,"AAAAAHP/jvw=",0)</f>
        <v>#REF!</v>
      </c>
      <c r="IT267" t="e">
        <f>IF(Sheet1!#REF!,"AAAAAHP/jv0=",0)</f>
        <v>#REF!</v>
      </c>
      <c r="IU267" t="e">
        <f>IF(Sheet1!#REF!,"AAAAAHP/jv4=",0)</f>
        <v>#REF!</v>
      </c>
      <c r="IV267" t="e">
        <f>IF(Sheet1!#REF!,"AAAAAHP/jv8=",0)</f>
        <v>#REF!</v>
      </c>
    </row>
    <row r="268" spans="1:256" x14ac:dyDescent="0.2">
      <c r="A268" t="e">
        <f>IF(Sheet1!#REF!,"AAAAAHnPvgA=",0)</f>
        <v>#REF!</v>
      </c>
      <c r="B268" t="e">
        <f>IF(Sheet1!#REF!,"AAAAAHnPvgE=",0)</f>
        <v>#REF!</v>
      </c>
      <c r="C268" t="e">
        <f>IF(Sheet1!#REF!,"AAAAAHnPvgI=",0)</f>
        <v>#REF!</v>
      </c>
      <c r="D268" t="e">
        <f>IF(Sheet1!#REF!,"AAAAAHnPvgM=",0)</f>
        <v>#REF!</v>
      </c>
      <c r="E268" t="e">
        <f>IF(Sheet1!#REF!,"AAAAAHnPvgQ=",0)</f>
        <v>#REF!</v>
      </c>
      <c r="F268" t="e">
        <f>IF(Sheet1!#REF!,"AAAAAHnPvgU=",0)</f>
        <v>#REF!</v>
      </c>
      <c r="G268" t="e">
        <f>IF(Sheet1!#REF!,"AAAAAHnPvgY=",0)</f>
        <v>#REF!</v>
      </c>
      <c r="H268" t="e">
        <f>IF(Sheet1!#REF!,"AAAAAHnPvgc=",0)</f>
        <v>#REF!</v>
      </c>
      <c r="I268" t="e">
        <f>IF(Sheet1!#REF!,"AAAAAHnPvgg=",0)</f>
        <v>#REF!</v>
      </c>
      <c r="J268" t="e">
        <f>IF(Sheet1!#REF!,"AAAAAHnPvgk=",0)</f>
        <v>#REF!</v>
      </c>
      <c r="K268" t="e">
        <f>IF(Sheet1!#REF!,"AAAAAHnPvgo=",0)</f>
        <v>#REF!</v>
      </c>
      <c r="L268" t="e">
        <f>IF(Sheet1!#REF!,"AAAAAHnPvgs=",0)</f>
        <v>#REF!</v>
      </c>
      <c r="M268" t="e">
        <f>IF(Sheet1!#REF!,"AAAAAHnPvgw=",0)</f>
        <v>#REF!</v>
      </c>
      <c r="N268" t="e">
        <f>IF(Sheet1!#REF!,"AAAAAHnPvg0=",0)</f>
        <v>#REF!</v>
      </c>
      <c r="O268" t="e">
        <f>IF(Sheet1!#REF!,"AAAAAHnPvg4=",0)</f>
        <v>#REF!</v>
      </c>
      <c r="P268" t="e">
        <f>IF(Sheet1!#REF!,"AAAAAHnPvg8=",0)</f>
        <v>#REF!</v>
      </c>
      <c r="Q268" t="e">
        <f>IF(Sheet1!#REF!,"AAAAAHnPvhA=",0)</f>
        <v>#REF!</v>
      </c>
      <c r="R268" t="e">
        <f>IF(Sheet1!#REF!,"AAAAAHnPvhE=",0)</f>
        <v>#REF!</v>
      </c>
      <c r="S268" t="e">
        <f>IF(Sheet1!#REF!,"AAAAAHnPvhI=",0)</f>
        <v>#REF!</v>
      </c>
      <c r="T268" t="e">
        <f>IF(Sheet1!#REF!,"AAAAAHnPvhM=",0)</f>
        <v>#REF!</v>
      </c>
      <c r="U268" t="e">
        <f>IF(Sheet1!#REF!,"AAAAAHnPvhQ=",0)</f>
        <v>#REF!</v>
      </c>
      <c r="V268" t="e">
        <f>IF(Sheet1!#REF!,"AAAAAHnPvhU=",0)</f>
        <v>#REF!</v>
      </c>
      <c r="W268" t="e">
        <f>IF(Sheet1!#REF!,"AAAAAHnPvhY=",0)</f>
        <v>#REF!</v>
      </c>
      <c r="X268" t="e">
        <f>IF(Sheet1!#REF!,"AAAAAHnPvhc=",0)</f>
        <v>#REF!</v>
      </c>
      <c r="Y268" t="e">
        <f>IF(Sheet1!#REF!,"AAAAAHnPvhg=",0)</f>
        <v>#REF!</v>
      </c>
      <c r="Z268" t="e">
        <f>IF(Sheet1!#REF!,"AAAAAHnPvhk=",0)</f>
        <v>#REF!</v>
      </c>
      <c r="AA268" t="e">
        <f>IF(Sheet1!#REF!,"AAAAAHnPvho=",0)</f>
        <v>#REF!</v>
      </c>
      <c r="AB268" t="e">
        <f>IF(Sheet1!#REF!,"AAAAAHnPvhs=",0)</f>
        <v>#REF!</v>
      </c>
      <c r="AC268" t="e">
        <f>IF(Sheet1!#REF!,"AAAAAHnPvhw=",0)</f>
        <v>#REF!</v>
      </c>
      <c r="AD268" t="e">
        <f>IF(Sheet1!#REF!,"AAAAAHnPvh0=",0)</f>
        <v>#REF!</v>
      </c>
      <c r="AE268" t="e">
        <f>IF(Sheet1!#REF!,"AAAAAHnPvh4=",0)</f>
        <v>#REF!</v>
      </c>
      <c r="AF268" t="e">
        <f>IF(Sheet1!#REF!,"AAAAAHnPvh8=",0)</f>
        <v>#REF!</v>
      </c>
      <c r="AG268" t="e">
        <f>IF(Sheet1!#REF!,"AAAAAHnPviA=",0)</f>
        <v>#REF!</v>
      </c>
      <c r="AH268" t="e">
        <f>IF(Sheet1!#REF!,"AAAAAHnPviE=",0)</f>
        <v>#REF!</v>
      </c>
      <c r="AI268" t="e">
        <f>IF(Sheet1!#REF!,"AAAAAHnPviI=",0)</f>
        <v>#REF!</v>
      </c>
      <c r="AJ268" t="e">
        <f>IF(Sheet1!#REF!,"AAAAAHnPviM=",0)</f>
        <v>#REF!</v>
      </c>
      <c r="AK268" t="e">
        <f>IF(Sheet1!#REF!,"AAAAAHnPviQ=",0)</f>
        <v>#REF!</v>
      </c>
      <c r="AL268" t="e">
        <f>IF(Sheet1!#REF!,"AAAAAHnPviU=",0)</f>
        <v>#REF!</v>
      </c>
      <c r="AM268" t="e">
        <f>IF(Sheet1!#REF!,"AAAAAHnPviY=",0)</f>
        <v>#REF!</v>
      </c>
      <c r="AN268" t="e">
        <f>IF(Sheet1!#REF!,"AAAAAHnPvic=",0)</f>
        <v>#REF!</v>
      </c>
      <c r="AO268" t="e">
        <f>IF(Sheet1!#REF!,"AAAAAHnPvig=",0)</f>
        <v>#REF!</v>
      </c>
      <c r="AP268" t="e">
        <f>IF(Sheet1!#REF!,"AAAAAHnPvik=",0)</f>
        <v>#REF!</v>
      </c>
      <c r="AQ268" t="e">
        <f>IF(Sheet1!#REF!,"AAAAAHnPvio=",0)</f>
        <v>#REF!</v>
      </c>
      <c r="AR268" t="e">
        <f>IF(Sheet1!#REF!,"AAAAAHnPvis=",0)</f>
        <v>#REF!</v>
      </c>
      <c r="AS268" t="e">
        <f>IF(Sheet1!#REF!,"AAAAAHnPviw=",0)</f>
        <v>#REF!</v>
      </c>
      <c r="AT268" t="e">
        <f>IF(Sheet1!#REF!,"AAAAAHnPvi0=",0)</f>
        <v>#REF!</v>
      </c>
      <c r="AU268" t="e">
        <f>IF(Sheet1!#REF!,"AAAAAHnPvi4=",0)</f>
        <v>#REF!</v>
      </c>
      <c r="AV268" t="e">
        <f>IF(Sheet1!#REF!,"AAAAAHnPvi8=",0)</f>
        <v>#REF!</v>
      </c>
      <c r="AW268" t="e">
        <f>IF(Sheet1!#REF!,"AAAAAHnPvjA=",0)</f>
        <v>#REF!</v>
      </c>
      <c r="AX268" t="e">
        <f>IF(Sheet1!#REF!,"AAAAAHnPvjE=",0)</f>
        <v>#REF!</v>
      </c>
      <c r="AY268" t="e">
        <f>IF(Sheet1!#REF!,"AAAAAHnPvjI=",0)</f>
        <v>#REF!</v>
      </c>
      <c r="AZ268" t="e">
        <f>IF(Sheet1!#REF!,"AAAAAHnPvjM=",0)</f>
        <v>#REF!</v>
      </c>
      <c r="BA268" t="e">
        <f>IF(Sheet1!#REF!,"AAAAAHnPvjQ=",0)</f>
        <v>#REF!</v>
      </c>
      <c r="BB268" t="e">
        <f>IF(Sheet1!#REF!,"AAAAAHnPvjU=",0)</f>
        <v>#REF!</v>
      </c>
      <c r="BC268" t="e">
        <f>IF(Sheet1!#REF!,"AAAAAHnPvjY=",0)</f>
        <v>#REF!</v>
      </c>
      <c r="BD268" t="e">
        <f>IF(Sheet1!#REF!,"AAAAAHnPvjc=",0)</f>
        <v>#REF!</v>
      </c>
      <c r="BE268" t="e">
        <f>IF(Sheet1!#REF!,"AAAAAHnPvjg=",0)</f>
        <v>#REF!</v>
      </c>
      <c r="BF268" t="e">
        <f>IF(Sheet1!#REF!,"AAAAAHnPvjk=",0)</f>
        <v>#REF!</v>
      </c>
      <c r="BG268" t="e">
        <f>IF(Sheet1!#REF!,"AAAAAHnPvjo=",0)</f>
        <v>#REF!</v>
      </c>
      <c r="BH268" t="e">
        <f>IF(Sheet1!#REF!,"AAAAAHnPvjs=",0)</f>
        <v>#REF!</v>
      </c>
      <c r="BI268" t="e">
        <f>IF(Sheet1!#REF!,"AAAAAHnPvjw=",0)</f>
        <v>#REF!</v>
      </c>
      <c r="BJ268" t="e">
        <f>IF(Sheet1!#REF!,"AAAAAHnPvj0=",0)</f>
        <v>#REF!</v>
      </c>
      <c r="BK268" t="e">
        <f>IF(Sheet1!#REF!,"AAAAAHnPvj4=",0)</f>
        <v>#REF!</v>
      </c>
      <c r="BL268" t="e">
        <f>IF(Sheet1!#REF!,"AAAAAHnPvj8=",0)</f>
        <v>#REF!</v>
      </c>
      <c r="BM268" t="e">
        <f>IF(Sheet1!#REF!,"AAAAAHnPvkA=",0)</f>
        <v>#REF!</v>
      </c>
      <c r="BN268" t="e">
        <f>IF(Sheet1!#REF!,"AAAAAHnPvkE=",0)</f>
        <v>#REF!</v>
      </c>
      <c r="BO268" t="e">
        <f>IF(Sheet1!#REF!,"AAAAAHnPvkI=",0)</f>
        <v>#REF!</v>
      </c>
      <c r="BP268" t="e">
        <f>IF(Sheet1!#REF!,"AAAAAHnPvkM=",0)</f>
        <v>#REF!</v>
      </c>
      <c r="BQ268" t="e">
        <f>IF(Sheet1!#REF!,"AAAAAHnPvkQ=",0)</f>
        <v>#REF!</v>
      </c>
      <c r="BR268" t="e">
        <f>IF(Sheet1!#REF!,"AAAAAHnPvkU=",0)</f>
        <v>#REF!</v>
      </c>
      <c r="BS268" t="e">
        <f>IF(Sheet1!#REF!,"AAAAAHnPvkY=",0)</f>
        <v>#REF!</v>
      </c>
      <c r="BT268" t="e">
        <f>IF(Sheet1!#REF!,"AAAAAHnPvkc=",0)</f>
        <v>#REF!</v>
      </c>
      <c r="BU268" t="e">
        <f>IF(Sheet1!#REF!,"AAAAAHnPvkg=",0)</f>
        <v>#REF!</v>
      </c>
      <c r="BV268" t="e">
        <f>IF(Sheet1!#REF!,"AAAAAHnPvkk=",0)</f>
        <v>#REF!</v>
      </c>
      <c r="BW268" t="e">
        <f>IF(Sheet1!#REF!,"AAAAAHnPvko=",0)</f>
        <v>#REF!</v>
      </c>
      <c r="BX268" t="e">
        <f>IF(Sheet1!#REF!,"AAAAAHnPvks=",0)</f>
        <v>#REF!</v>
      </c>
      <c r="BY268" t="e">
        <f>IF(Sheet1!#REF!,"AAAAAHnPvkw=",0)</f>
        <v>#REF!</v>
      </c>
      <c r="BZ268" t="e">
        <f>IF(Sheet1!#REF!,"AAAAAHnPvk0=",0)</f>
        <v>#REF!</v>
      </c>
      <c r="CA268" t="e">
        <f>IF(Sheet1!#REF!,"AAAAAHnPvk4=",0)</f>
        <v>#REF!</v>
      </c>
      <c r="CB268" t="e">
        <f>IF(Sheet1!#REF!,"AAAAAHnPvk8=",0)</f>
        <v>#REF!</v>
      </c>
      <c r="CC268" t="e">
        <f>IF(Sheet1!#REF!,"AAAAAHnPvlA=",0)</f>
        <v>#REF!</v>
      </c>
      <c r="CD268" t="e">
        <f>IF(Sheet1!#REF!,"AAAAAHnPvlE=",0)</f>
        <v>#REF!</v>
      </c>
      <c r="CE268" t="e">
        <f>IF(Sheet1!#REF!,"AAAAAHnPvlI=",0)</f>
        <v>#REF!</v>
      </c>
      <c r="CF268" t="e">
        <f>IF(Sheet1!#REF!,"AAAAAHnPvlM=",0)</f>
        <v>#REF!</v>
      </c>
      <c r="CG268" t="e">
        <f>IF(Sheet1!#REF!,"AAAAAHnPvlQ=",0)</f>
        <v>#REF!</v>
      </c>
      <c r="CH268" t="e">
        <f>IF(Sheet1!#REF!,"AAAAAHnPvlU=",0)</f>
        <v>#REF!</v>
      </c>
      <c r="CI268" t="e">
        <f>IF(Sheet1!#REF!,"AAAAAHnPvlY=",0)</f>
        <v>#REF!</v>
      </c>
      <c r="CJ268" t="e">
        <f>IF(Sheet1!#REF!,"AAAAAHnPvlc=",0)</f>
        <v>#REF!</v>
      </c>
      <c r="CK268" t="e">
        <f>IF(Sheet1!#REF!,"AAAAAHnPvlg=",0)</f>
        <v>#REF!</v>
      </c>
      <c r="CL268" t="e">
        <f>IF(Sheet1!#REF!,"AAAAAHnPvlk=",0)</f>
        <v>#REF!</v>
      </c>
      <c r="CM268" t="e">
        <f>IF(Sheet1!#REF!,"AAAAAHnPvlo=",0)</f>
        <v>#REF!</v>
      </c>
      <c r="CN268" t="e">
        <f>IF(Sheet1!#REF!,"AAAAAHnPvls=",0)</f>
        <v>#REF!</v>
      </c>
      <c r="CO268" t="e">
        <f>IF(Sheet1!#REF!,"AAAAAHnPvlw=",0)</f>
        <v>#REF!</v>
      </c>
      <c r="CP268" t="e">
        <f>IF(Sheet1!#REF!,"AAAAAHnPvl0=",0)</f>
        <v>#REF!</v>
      </c>
      <c r="CQ268" t="e">
        <f>IF(Sheet1!#REF!,"AAAAAHnPvl4=",0)</f>
        <v>#REF!</v>
      </c>
      <c r="CR268" t="e">
        <f>IF(Sheet1!#REF!,"AAAAAHnPvl8=",0)</f>
        <v>#REF!</v>
      </c>
      <c r="CS268" t="e">
        <f>IF(Sheet1!#REF!,"AAAAAHnPvmA=",0)</f>
        <v>#REF!</v>
      </c>
      <c r="CT268" t="e">
        <f>IF(Sheet1!#REF!,"AAAAAHnPvmE=",0)</f>
        <v>#REF!</v>
      </c>
      <c r="CU268" t="e">
        <f>IF(Sheet1!#REF!,"AAAAAHnPvmI=",0)</f>
        <v>#REF!</v>
      </c>
      <c r="CV268" t="e">
        <f>IF(Sheet1!#REF!,"AAAAAHnPvmM=",0)</f>
        <v>#REF!</v>
      </c>
      <c r="CW268" t="e">
        <f>IF(Sheet1!#REF!,"AAAAAHnPvmQ=",0)</f>
        <v>#REF!</v>
      </c>
      <c r="CX268" t="e">
        <f>IF(Sheet1!#REF!,"AAAAAHnPvmU=",0)</f>
        <v>#REF!</v>
      </c>
      <c r="CY268" t="e">
        <f>IF(Sheet1!#REF!,"AAAAAHnPvmY=",0)</f>
        <v>#REF!</v>
      </c>
      <c r="CZ268" t="e">
        <f>IF(Sheet1!#REF!,"AAAAAHnPvmc=",0)</f>
        <v>#REF!</v>
      </c>
      <c r="DA268" t="e">
        <f>IF(Sheet1!#REF!,"AAAAAHnPvmg=",0)</f>
        <v>#REF!</v>
      </c>
      <c r="DB268" t="e">
        <f>IF(Sheet1!#REF!,"AAAAAHnPvmk=",0)</f>
        <v>#REF!</v>
      </c>
      <c r="DC268" t="e">
        <f>IF(Sheet1!#REF!,"AAAAAHnPvmo=",0)</f>
        <v>#REF!</v>
      </c>
      <c r="DD268" t="e">
        <f>IF(Sheet1!#REF!,"AAAAAHnPvms=",0)</f>
        <v>#REF!</v>
      </c>
      <c r="DE268" t="e">
        <f>IF(Sheet1!#REF!,"AAAAAHnPvmw=",0)</f>
        <v>#REF!</v>
      </c>
      <c r="DF268" t="e">
        <f>IF(Sheet1!#REF!,"AAAAAHnPvm0=",0)</f>
        <v>#REF!</v>
      </c>
      <c r="DG268" t="e">
        <f>IF(Sheet1!#REF!,"AAAAAHnPvm4=",0)</f>
        <v>#REF!</v>
      </c>
      <c r="DH268" t="e">
        <f>IF(Sheet1!#REF!,"AAAAAHnPvm8=",0)</f>
        <v>#REF!</v>
      </c>
      <c r="DI268" t="e">
        <f>IF(Sheet1!#REF!,"AAAAAHnPvnA=",0)</f>
        <v>#REF!</v>
      </c>
      <c r="DJ268" t="e">
        <f>IF(Sheet1!#REF!,"AAAAAHnPvnE=",0)</f>
        <v>#REF!</v>
      </c>
      <c r="DK268" t="e">
        <f>IF(Sheet1!#REF!,"AAAAAHnPvnI=",0)</f>
        <v>#REF!</v>
      </c>
      <c r="DL268" t="e">
        <f>IF(Sheet1!#REF!,"AAAAAHnPvnM=",0)</f>
        <v>#REF!</v>
      </c>
      <c r="DM268" t="e">
        <f>IF(Sheet1!#REF!,"AAAAAHnPvnQ=",0)</f>
        <v>#REF!</v>
      </c>
      <c r="DN268" t="e">
        <f>IF(Sheet1!#REF!,"AAAAAHnPvnU=",0)</f>
        <v>#REF!</v>
      </c>
      <c r="DO268" t="e">
        <f>IF(Sheet1!#REF!,"AAAAAHnPvnY=",0)</f>
        <v>#REF!</v>
      </c>
      <c r="DP268" t="e">
        <f>IF(Sheet1!#REF!,"AAAAAHnPvnc=",0)</f>
        <v>#REF!</v>
      </c>
      <c r="DQ268" t="e">
        <f>IF(Sheet1!#REF!,"AAAAAHnPvng=",0)</f>
        <v>#REF!</v>
      </c>
      <c r="DR268" t="e">
        <f>IF(Sheet1!#REF!,"AAAAAHnPvnk=",0)</f>
        <v>#REF!</v>
      </c>
      <c r="DS268" t="e">
        <f>IF(Sheet1!#REF!,"AAAAAHnPvno=",0)</f>
        <v>#REF!</v>
      </c>
      <c r="DT268" t="e">
        <f>IF(Sheet1!#REF!,"AAAAAHnPvns=",0)</f>
        <v>#REF!</v>
      </c>
      <c r="DU268" t="e">
        <f>IF(Sheet1!#REF!,"AAAAAHnPvnw=",0)</f>
        <v>#REF!</v>
      </c>
      <c r="DV268" t="e">
        <f>IF(Sheet1!#REF!,"AAAAAHnPvn0=",0)</f>
        <v>#REF!</v>
      </c>
      <c r="DW268" t="e">
        <f>IF(Sheet1!#REF!,"AAAAAHnPvn4=",0)</f>
        <v>#REF!</v>
      </c>
      <c r="DX268" t="e">
        <f>IF(Sheet1!#REF!,"AAAAAHnPvn8=",0)</f>
        <v>#REF!</v>
      </c>
      <c r="DY268" t="e">
        <f>IF(Sheet1!#REF!,"AAAAAHnPvoA=",0)</f>
        <v>#REF!</v>
      </c>
      <c r="DZ268" t="e">
        <f>IF(Sheet1!#REF!,"AAAAAHnPvoE=",0)</f>
        <v>#REF!</v>
      </c>
      <c r="EA268" t="e">
        <f>IF(Sheet1!#REF!,"AAAAAHnPvoI=",0)</f>
        <v>#REF!</v>
      </c>
      <c r="EB268" t="e">
        <f>IF(Sheet1!#REF!,"AAAAAHnPvoM=",0)</f>
        <v>#REF!</v>
      </c>
      <c r="EC268" t="e">
        <f>IF(Sheet1!#REF!,"AAAAAHnPvoQ=",0)</f>
        <v>#REF!</v>
      </c>
      <c r="ED268" t="e">
        <f>IF(Sheet1!#REF!,"AAAAAHnPvoU=",0)</f>
        <v>#REF!</v>
      </c>
      <c r="EE268" t="e">
        <f>IF(Sheet1!#REF!,"AAAAAHnPvoY=",0)</f>
        <v>#REF!</v>
      </c>
      <c r="EF268" t="e">
        <f>IF(Sheet1!#REF!,"AAAAAHnPvoc=",0)</f>
        <v>#REF!</v>
      </c>
      <c r="EG268" t="e">
        <f>IF(Sheet1!#REF!,"AAAAAHnPvog=",0)</f>
        <v>#REF!</v>
      </c>
      <c r="EH268" t="e">
        <f>IF(Sheet1!#REF!,"AAAAAHnPvok=",0)</f>
        <v>#REF!</v>
      </c>
      <c r="EI268" t="e">
        <f>IF(Sheet1!#REF!,"AAAAAHnPvoo=",0)</f>
        <v>#REF!</v>
      </c>
      <c r="EJ268" t="e">
        <f>IF(Sheet1!#REF!,"AAAAAHnPvos=",0)</f>
        <v>#REF!</v>
      </c>
      <c r="EK268" t="e">
        <f>IF(Sheet1!#REF!,"AAAAAHnPvow=",0)</f>
        <v>#REF!</v>
      </c>
      <c r="EL268" t="e">
        <f>IF(Sheet1!#REF!,"AAAAAHnPvo0=",0)</f>
        <v>#REF!</v>
      </c>
      <c r="EM268" t="e">
        <f>IF(Sheet1!#REF!,"AAAAAHnPvo4=",0)</f>
        <v>#REF!</v>
      </c>
      <c r="EN268" t="e">
        <f>IF(Sheet1!#REF!,"AAAAAHnPvo8=",0)</f>
        <v>#REF!</v>
      </c>
      <c r="EO268" t="e">
        <f>IF(Sheet1!#REF!,"AAAAAHnPvpA=",0)</f>
        <v>#REF!</v>
      </c>
      <c r="EP268" t="e">
        <f>IF(Sheet1!#REF!,"AAAAAHnPvpE=",0)</f>
        <v>#REF!</v>
      </c>
      <c r="EQ268" t="e">
        <f>IF(Sheet1!#REF!,"AAAAAHnPvpI=",0)</f>
        <v>#REF!</v>
      </c>
      <c r="ER268" t="e">
        <f>IF(Sheet1!#REF!,"AAAAAHnPvpM=",0)</f>
        <v>#REF!</v>
      </c>
      <c r="ES268" t="e">
        <f>IF(Sheet1!#REF!,"AAAAAHnPvpQ=",0)</f>
        <v>#REF!</v>
      </c>
      <c r="ET268" t="e">
        <f>IF(Sheet1!#REF!,"AAAAAHnPvpU=",0)</f>
        <v>#REF!</v>
      </c>
      <c r="EU268" t="e">
        <f>IF(Sheet1!#REF!,"AAAAAHnPvpY=",0)</f>
        <v>#REF!</v>
      </c>
      <c r="EV268" t="e">
        <f>IF(Sheet1!#REF!,"AAAAAHnPvpc=",0)</f>
        <v>#REF!</v>
      </c>
      <c r="EW268" t="e">
        <f>IF(Sheet1!#REF!,"AAAAAHnPvpg=",0)</f>
        <v>#REF!</v>
      </c>
      <c r="EX268" t="e">
        <f>IF(Sheet1!#REF!,"AAAAAHnPvpk=",0)</f>
        <v>#REF!</v>
      </c>
      <c r="EY268" t="e">
        <f>IF(Sheet1!#REF!,"AAAAAHnPvpo=",0)</f>
        <v>#REF!</v>
      </c>
      <c r="EZ268" t="e">
        <f>IF(Sheet1!#REF!,"AAAAAHnPvps=",0)</f>
        <v>#REF!</v>
      </c>
      <c r="FA268" t="e">
        <f>IF(Sheet1!#REF!,"AAAAAHnPvpw=",0)</f>
        <v>#REF!</v>
      </c>
      <c r="FB268" t="e">
        <f>IF(Sheet1!#REF!,"AAAAAHnPvp0=",0)</f>
        <v>#REF!</v>
      </c>
      <c r="FC268" t="e">
        <f>IF(Sheet1!#REF!,"AAAAAHnPvp4=",0)</f>
        <v>#REF!</v>
      </c>
      <c r="FD268" t="e">
        <f>IF(Sheet1!#REF!,"AAAAAHnPvp8=",0)</f>
        <v>#REF!</v>
      </c>
      <c r="FE268" t="e">
        <f>IF(Sheet1!#REF!,"AAAAAHnPvqA=",0)</f>
        <v>#REF!</v>
      </c>
      <c r="FF268" t="e">
        <f>IF(Sheet1!#REF!,"AAAAAHnPvqE=",0)</f>
        <v>#REF!</v>
      </c>
      <c r="FG268" t="e">
        <f>IF(Sheet1!#REF!,"AAAAAHnPvqI=",0)</f>
        <v>#REF!</v>
      </c>
      <c r="FH268" t="e">
        <f>IF(Sheet1!#REF!,"AAAAAHnPvqM=",0)</f>
        <v>#REF!</v>
      </c>
      <c r="FI268" t="e">
        <f>IF(Sheet1!#REF!,"AAAAAHnPvqQ=",0)</f>
        <v>#REF!</v>
      </c>
      <c r="FJ268" t="e">
        <f>IF(Sheet1!#REF!,"AAAAAHnPvqU=",0)</f>
        <v>#REF!</v>
      </c>
      <c r="FK268" t="e">
        <f>IF(Sheet1!#REF!,"AAAAAHnPvqY=",0)</f>
        <v>#REF!</v>
      </c>
      <c r="FL268" t="e">
        <f>IF(Sheet1!#REF!,"AAAAAHnPvqc=",0)</f>
        <v>#REF!</v>
      </c>
      <c r="FM268" t="e">
        <f>IF(Sheet1!#REF!,"AAAAAHnPvqg=",0)</f>
        <v>#REF!</v>
      </c>
      <c r="FN268" t="e">
        <f>IF(Sheet1!#REF!,"AAAAAHnPvqk=",0)</f>
        <v>#REF!</v>
      </c>
      <c r="FO268" t="e">
        <f>IF(Sheet1!#REF!,"AAAAAHnPvqo=",0)</f>
        <v>#REF!</v>
      </c>
      <c r="FP268" t="e">
        <f>IF(Sheet1!#REF!,"AAAAAHnPvqs=",0)</f>
        <v>#REF!</v>
      </c>
      <c r="FQ268" t="e">
        <f>IF(Sheet1!#REF!,"AAAAAHnPvqw=",0)</f>
        <v>#REF!</v>
      </c>
      <c r="FR268" t="e">
        <f>IF(Sheet1!#REF!,"AAAAAHnPvq0=",0)</f>
        <v>#REF!</v>
      </c>
      <c r="FS268" t="e">
        <f>IF(Sheet1!#REF!,"AAAAAHnPvq4=",0)</f>
        <v>#REF!</v>
      </c>
      <c r="FT268" t="e">
        <f>IF(Sheet1!#REF!,"AAAAAHnPvq8=",0)</f>
        <v>#REF!</v>
      </c>
      <c r="FU268" t="e">
        <f>IF(Sheet1!#REF!,"AAAAAHnPvrA=",0)</f>
        <v>#REF!</v>
      </c>
      <c r="FV268" t="e">
        <f>IF(Sheet1!#REF!,"AAAAAHnPvrE=",0)</f>
        <v>#REF!</v>
      </c>
      <c r="FW268" t="e">
        <f>IF(Sheet1!#REF!,"AAAAAHnPvrI=",0)</f>
        <v>#REF!</v>
      </c>
      <c r="FX268" t="e">
        <f>IF(Sheet1!#REF!,"AAAAAHnPvrM=",0)</f>
        <v>#REF!</v>
      </c>
      <c r="FY268" t="e">
        <f>IF(Sheet1!#REF!,"AAAAAHnPvrQ=",0)</f>
        <v>#REF!</v>
      </c>
      <c r="FZ268" t="e">
        <f>IF(Sheet1!#REF!,"AAAAAHnPvrU=",0)</f>
        <v>#REF!</v>
      </c>
      <c r="GA268" t="e">
        <f>IF(Sheet1!#REF!,"AAAAAHnPvrY=",0)</f>
        <v>#REF!</v>
      </c>
      <c r="GB268" t="e">
        <f>IF(Sheet1!#REF!,"AAAAAHnPvrc=",0)</f>
        <v>#REF!</v>
      </c>
      <c r="GC268" t="e">
        <f>IF(Sheet1!#REF!,"AAAAAHnPvrg=",0)</f>
        <v>#REF!</v>
      </c>
      <c r="GD268" t="e">
        <f>IF(Sheet1!#REF!,"AAAAAHnPvrk=",0)</f>
        <v>#REF!</v>
      </c>
      <c r="GE268" t="e">
        <f>IF(Sheet1!#REF!,"AAAAAHnPvro=",0)</f>
        <v>#REF!</v>
      </c>
      <c r="GF268" t="e">
        <f>IF(Sheet1!#REF!,"AAAAAHnPvrs=",0)</f>
        <v>#REF!</v>
      </c>
      <c r="GG268" t="e">
        <f>IF(Sheet1!#REF!,"AAAAAHnPvrw=",0)</f>
        <v>#REF!</v>
      </c>
      <c r="GH268" t="e">
        <f>IF(Sheet1!#REF!,"AAAAAHnPvr0=",0)</f>
        <v>#REF!</v>
      </c>
      <c r="GI268" t="e">
        <f>IF(Sheet1!#REF!,"AAAAAHnPvr4=",0)</f>
        <v>#REF!</v>
      </c>
      <c r="GJ268" t="e">
        <f>IF(Sheet1!#REF!,"AAAAAHnPvr8=",0)</f>
        <v>#REF!</v>
      </c>
      <c r="GK268" t="e">
        <f>IF(Sheet1!#REF!,"AAAAAHnPvsA=",0)</f>
        <v>#REF!</v>
      </c>
      <c r="GL268" t="e">
        <f>IF(Sheet1!#REF!,"AAAAAHnPvsE=",0)</f>
        <v>#REF!</v>
      </c>
      <c r="GM268" t="e">
        <f>IF(Sheet1!#REF!,"AAAAAHnPvsI=",0)</f>
        <v>#REF!</v>
      </c>
      <c r="GN268" t="e">
        <f>IF(Sheet1!#REF!,"AAAAAHnPvsM=",0)</f>
        <v>#REF!</v>
      </c>
      <c r="GO268" t="e">
        <f>IF(Sheet1!#REF!,"AAAAAHnPvsQ=",0)</f>
        <v>#REF!</v>
      </c>
      <c r="GP268" t="e">
        <f>IF(Sheet1!#REF!,"AAAAAHnPvsU=",0)</f>
        <v>#REF!</v>
      </c>
      <c r="GQ268" t="e">
        <f>IF(Sheet1!#REF!,"AAAAAHnPvsY=",0)</f>
        <v>#REF!</v>
      </c>
      <c r="GR268" t="e">
        <f>IF(Sheet1!#REF!,"AAAAAHnPvsc=",0)</f>
        <v>#REF!</v>
      </c>
      <c r="GS268" t="e">
        <f>IF(Sheet1!#REF!,"AAAAAHnPvsg=",0)</f>
        <v>#REF!</v>
      </c>
      <c r="GT268" t="e">
        <f>IF(Sheet1!#REF!,"AAAAAHnPvsk=",0)</f>
        <v>#REF!</v>
      </c>
      <c r="GU268" t="e">
        <f>IF(Sheet1!#REF!,"AAAAAHnPvso=",0)</f>
        <v>#REF!</v>
      </c>
      <c r="GV268" t="e">
        <f>IF(Sheet1!#REF!,"AAAAAHnPvss=",0)</f>
        <v>#REF!</v>
      </c>
      <c r="GW268" t="e">
        <f>IF(Sheet1!#REF!,"AAAAAHnPvsw=",0)</f>
        <v>#REF!</v>
      </c>
      <c r="GX268" t="e">
        <f>IF(Sheet1!#REF!,"AAAAAHnPvs0=",0)</f>
        <v>#REF!</v>
      </c>
      <c r="GY268" t="e">
        <f>IF(Sheet1!#REF!,"AAAAAHnPvs4=",0)</f>
        <v>#REF!</v>
      </c>
      <c r="GZ268" t="e">
        <f>IF(Sheet1!#REF!,"AAAAAHnPvs8=",0)</f>
        <v>#REF!</v>
      </c>
      <c r="HA268" t="e">
        <f>IF(Sheet1!#REF!,"AAAAAHnPvtA=",0)</f>
        <v>#REF!</v>
      </c>
      <c r="HB268" t="e">
        <f>IF(Sheet1!#REF!,"AAAAAHnPvtE=",0)</f>
        <v>#REF!</v>
      </c>
      <c r="HC268" t="e">
        <f>IF(Sheet1!#REF!,"AAAAAHnPvtI=",0)</f>
        <v>#REF!</v>
      </c>
      <c r="HD268" t="e">
        <f>IF(Sheet1!#REF!,"AAAAAHnPvtM=",0)</f>
        <v>#REF!</v>
      </c>
      <c r="HE268" t="e">
        <f>IF(Sheet1!#REF!,"AAAAAHnPvtQ=",0)</f>
        <v>#REF!</v>
      </c>
      <c r="HF268" t="e">
        <f>IF(Sheet1!#REF!,"AAAAAHnPvtU=",0)</f>
        <v>#REF!</v>
      </c>
      <c r="HG268" t="e">
        <f>IF(Sheet1!#REF!,"AAAAAHnPvtY=",0)</f>
        <v>#REF!</v>
      </c>
      <c r="HH268" t="e">
        <f>IF(Sheet1!#REF!,"AAAAAHnPvtc=",0)</f>
        <v>#REF!</v>
      </c>
      <c r="HI268" t="e">
        <f>IF(Sheet1!#REF!,"AAAAAHnPvtg=",0)</f>
        <v>#REF!</v>
      </c>
      <c r="HJ268" t="e">
        <f>IF(Sheet1!#REF!,"AAAAAHnPvtk=",0)</f>
        <v>#REF!</v>
      </c>
      <c r="HK268" t="e">
        <f>IF(Sheet1!#REF!,"AAAAAHnPvto=",0)</f>
        <v>#REF!</v>
      </c>
      <c r="HL268" t="e">
        <f>IF(Sheet1!#REF!,"AAAAAHnPvts=",0)</f>
        <v>#REF!</v>
      </c>
      <c r="HM268" t="e">
        <f>IF(Sheet1!#REF!,"AAAAAHnPvtw=",0)</f>
        <v>#REF!</v>
      </c>
      <c r="HN268" t="e">
        <f>IF(Sheet1!#REF!,"AAAAAHnPvt0=",0)</f>
        <v>#REF!</v>
      </c>
      <c r="HO268" t="e">
        <f>IF(Sheet1!#REF!,"AAAAAHnPvt4=",0)</f>
        <v>#REF!</v>
      </c>
      <c r="HP268" t="e">
        <f>IF(Sheet1!#REF!,"AAAAAHnPvt8=",0)</f>
        <v>#REF!</v>
      </c>
      <c r="HQ268" t="e">
        <f>IF(Sheet1!#REF!,"AAAAAHnPvuA=",0)</f>
        <v>#REF!</v>
      </c>
      <c r="HR268" t="e">
        <f>IF(Sheet1!#REF!,"AAAAAHnPvuE=",0)</f>
        <v>#REF!</v>
      </c>
      <c r="HS268" t="e">
        <f>IF(Sheet1!#REF!,"AAAAAHnPvuI=",0)</f>
        <v>#REF!</v>
      </c>
      <c r="HT268" t="e">
        <f>IF(Sheet1!#REF!,"AAAAAHnPvuM=",0)</f>
        <v>#REF!</v>
      </c>
      <c r="HU268" t="e">
        <f>IF(Sheet1!#REF!,"AAAAAHnPvuQ=",0)</f>
        <v>#REF!</v>
      </c>
      <c r="HV268" t="e">
        <f>IF(Sheet1!#REF!,"AAAAAHnPvuU=",0)</f>
        <v>#REF!</v>
      </c>
      <c r="HW268" t="e">
        <f>IF(Sheet1!#REF!,"AAAAAHnPvuY=",0)</f>
        <v>#REF!</v>
      </c>
      <c r="HX268" t="e">
        <f>IF(Sheet1!#REF!,"AAAAAHnPvuc=",0)</f>
        <v>#REF!</v>
      </c>
      <c r="HY268" t="e">
        <f>IF(Sheet1!#REF!,"AAAAAHnPvug=",0)</f>
        <v>#REF!</v>
      </c>
      <c r="HZ268" t="e">
        <f>IF(Sheet1!#REF!,"AAAAAHnPvuk=",0)</f>
        <v>#REF!</v>
      </c>
      <c r="IA268" t="e">
        <f>IF(Sheet1!#REF!,"AAAAAHnPvuo=",0)</f>
        <v>#REF!</v>
      </c>
      <c r="IB268" t="e">
        <f>IF(Sheet1!#REF!,"AAAAAHnPvus=",0)</f>
        <v>#REF!</v>
      </c>
      <c r="IC268" t="e">
        <f>IF(Sheet1!#REF!,"AAAAAHnPvuw=",0)</f>
        <v>#REF!</v>
      </c>
      <c r="ID268" t="e">
        <f>IF(Sheet1!#REF!,"AAAAAHnPvu0=",0)</f>
        <v>#REF!</v>
      </c>
      <c r="IE268" t="e">
        <f>IF(Sheet1!#REF!,"AAAAAHnPvu4=",0)</f>
        <v>#REF!</v>
      </c>
      <c r="IF268" t="e">
        <f>IF(Sheet1!#REF!,"AAAAAHnPvu8=",0)</f>
        <v>#REF!</v>
      </c>
      <c r="IG268" t="e">
        <f>IF(Sheet1!#REF!,"AAAAAHnPvvA=",0)</f>
        <v>#REF!</v>
      </c>
      <c r="IH268" t="e">
        <f>IF(Sheet1!#REF!,"AAAAAHnPvvE=",0)</f>
        <v>#REF!</v>
      </c>
      <c r="II268" t="e">
        <f>IF(Sheet1!#REF!,"AAAAAHnPvvI=",0)</f>
        <v>#REF!</v>
      </c>
      <c r="IJ268" t="e">
        <f>IF(Sheet1!#REF!,"AAAAAHnPvvM=",0)</f>
        <v>#REF!</v>
      </c>
      <c r="IK268" t="e">
        <f>IF(Sheet1!#REF!,"AAAAAHnPvvQ=",0)</f>
        <v>#REF!</v>
      </c>
      <c r="IL268" t="e">
        <f>IF(Sheet1!#REF!,"AAAAAHnPvvU=",0)</f>
        <v>#REF!</v>
      </c>
      <c r="IM268" t="e">
        <f>IF(Sheet1!#REF!,"AAAAAHnPvvY=",0)</f>
        <v>#REF!</v>
      </c>
      <c r="IN268" t="e">
        <f>IF(Sheet1!#REF!,"AAAAAHnPvvc=",0)</f>
        <v>#REF!</v>
      </c>
      <c r="IO268" t="e">
        <f>IF(Sheet1!#REF!,"AAAAAHnPvvg=",0)</f>
        <v>#REF!</v>
      </c>
      <c r="IP268" t="e">
        <f>IF(Sheet1!#REF!,"AAAAAHnPvvk=",0)</f>
        <v>#REF!</v>
      </c>
      <c r="IQ268" t="e">
        <f>IF(Sheet1!#REF!,"AAAAAHnPvvo=",0)</f>
        <v>#REF!</v>
      </c>
      <c r="IR268" t="e">
        <f>IF(Sheet1!#REF!,"AAAAAHnPvvs=",0)</f>
        <v>#REF!</v>
      </c>
      <c r="IS268" t="e">
        <f>IF(Sheet1!#REF!,"AAAAAHnPvvw=",0)</f>
        <v>#REF!</v>
      </c>
      <c r="IT268" t="e">
        <f>IF(Sheet1!#REF!,"AAAAAHnPvv0=",0)</f>
        <v>#REF!</v>
      </c>
      <c r="IU268" t="e">
        <f>IF(Sheet1!#REF!,"AAAAAHnPvv4=",0)</f>
        <v>#REF!</v>
      </c>
      <c r="IV268" t="e">
        <f>IF(Sheet1!#REF!,"AAAAAHnPvv8=",0)</f>
        <v>#REF!</v>
      </c>
    </row>
    <row r="269" spans="1:256" x14ac:dyDescent="0.2">
      <c r="A269" t="e">
        <f>IF(Sheet1!#REF!,"AAAAAGn/twA=",0)</f>
        <v>#REF!</v>
      </c>
      <c r="B269" t="e">
        <f>IF(Sheet1!#REF!,"AAAAAGn/twE=",0)</f>
        <v>#REF!</v>
      </c>
      <c r="C269" t="e">
        <f>IF(Sheet1!#REF!,"AAAAAGn/twI=",0)</f>
        <v>#REF!</v>
      </c>
      <c r="D269" t="e">
        <f>IF(Sheet1!#REF!,"AAAAAGn/twM=",0)</f>
        <v>#REF!</v>
      </c>
      <c r="E269" t="e">
        <f>IF(Sheet1!#REF!,"AAAAAGn/twQ=",0)</f>
        <v>#REF!</v>
      </c>
      <c r="F269" t="e">
        <f>IF(Sheet1!#REF!,"AAAAAGn/twU=",0)</f>
        <v>#REF!</v>
      </c>
      <c r="G269" t="e">
        <f>IF(Sheet1!#REF!,"AAAAAGn/twY=",0)</f>
        <v>#REF!</v>
      </c>
      <c r="H269" t="e">
        <f>IF(Sheet1!#REF!,"AAAAAGn/twc=",0)</f>
        <v>#REF!</v>
      </c>
      <c r="I269" t="e">
        <f>IF(Sheet1!#REF!,"AAAAAGn/twg=",0)</f>
        <v>#REF!</v>
      </c>
      <c r="J269" t="e">
        <f>IF(Sheet1!#REF!,"AAAAAGn/twk=",0)</f>
        <v>#REF!</v>
      </c>
      <c r="K269" t="e">
        <f>IF(Sheet1!#REF!,"AAAAAGn/two=",0)</f>
        <v>#REF!</v>
      </c>
      <c r="L269" t="e">
        <f>IF(Sheet1!#REF!,"AAAAAGn/tws=",0)</f>
        <v>#REF!</v>
      </c>
      <c r="M269" t="e">
        <f>IF(Sheet1!#REF!,"AAAAAGn/tww=",0)</f>
        <v>#REF!</v>
      </c>
      <c r="N269" t="e">
        <f>IF(Sheet1!#REF!,"AAAAAGn/tw0=",0)</f>
        <v>#REF!</v>
      </c>
      <c r="O269" t="e">
        <f>IF(Sheet1!#REF!,"AAAAAGn/tw4=",0)</f>
        <v>#REF!</v>
      </c>
      <c r="P269" t="e">
        <f>IF(Sheet1!#REF!,"AAAAAGn/tw8=",0)</f>
        <v>#REF!</v>
      </c>
      <c r="Q269" t="e">
        <f>IF(Sheet1!#REF!,"AAAAAGn/txA=",0)</f>
        <v>#REF!</v>
      </c>
      <c r="R269" t="e">
        <f>IF(Sheet1!#REF!,"AAAAAGn/txE=",0)</f>
        <v>#REF!</v>
      </c>
      <c r="S269" t="e">
        <f>IF(Sheet1!#REF!,"AAAAAGn/txI=",0)</f>
        <v>#REF!</v>
      </c>
      <c r="T269" t="e">
        <f>IF(Sheet1!#REF!,"AAAAAGn/txM=",0)</f>
        <v>#REF!</v>
      </c>
      <c r="U269" t="e">
        <f>IF(Sheet1!#REF!,"AAAAAGn/txQ=",0)</f>
        <v>#REF!</v>
      </c>
      <c r="V269" t="e">
        <f>IF(Sheet1!#REF!,"AAAAAGn/txU=",0)</f>
        <v>#REF!</v>
      </c>
      <c r="W269" t="e">
        <f>IF(Sheet1!#REF!,"AAAAAGn/txY=",0)</f>
        <v>#REF!</v>
      </c>
      <c r="X269" t="e">
        <f>IF(Sheet1!#REF!,"AAAAAGn/txc=",0)</f>
        <v>#REF!</v>
      </c>
      <c r="Y269" t="e">
        <f>IF(Sheet1!#REF!,"AAAAAGn/txg=",0)</f>
        <v>#REF!</v>
      </c>
      <c r="Z269" t="e">
        <f>IF(Sheet1!#REF!,"AAAAAGn/txk=",0)</f>
        <v>#REF!</v>
      </c>
      <c r="AA269" t="e">
        <f>IF(Sheet1!#REF!,"AAAAAGn/txo=",0)</f>
        <v>#REF!</v>
      </c>
      <c r="AB269" t="e">
        <f>IF(Sheet1!#REF!,"AAAAAGn/txs=",0)</f>
        <v>#REF!</v>
      </c>
      <c r="AC269" t="e">
        <f>IF(Sheet1!#REF!,"AAAAAGn/txw=",0)</f>
        <v>#REF!</v>
      </c>
      <c r="AD269" t="e">
        <f>IF(Sheet1!#REF!,"AAAAAGn/tx0=",0)</f>
        <v>#REF!</v>
      </c>
      <c r="AE269" t="e">
        <f>IF(Sheet1!#REF!,"AAAAAGn/tx4=",0)</f>
        <v>#REF!</v>
      </c>
      <c r="AF269" t="e">
        <f>IF(Sheet1!#REF!,"AAAAAGn/tx8=",0)</f>
        <v>#REF!</v>
      </c>
      <c r="AG269" t="e">
        <f>IF(Sheet1!#REF!,"AAAAAGn/tyA=",0)</f>
        <v>#REF!</v>
      </c>
      <c r="AH269" t="e">
        <f>IF(Sheet1!#REF!,"AAAAAGn/tyE=",0)</f>
        <v>#REF!</v>
      </c>
      <c r="AI269" t="e">
        <f>IF(Sheet1!#REF!,"AAAAAGn/tyI=",0)</f>
        <v>#REF!</v>
      </c>
      <c r="AJ269" t="e">
        <f>IF(Sheet1!#REF!,"AAAAAGn/tyM=",0)</f>
        <v>#REF!</v>
      </c>
      <c r="AK269" t="e">
        <f>IF(Sheet1!#REF!,"AAAAAGn/tyQ=",0)</f>
        <v>#REF!</v>
      </c>
      <c r="AL269" t="e">
        <f>IF(Sheet1!#REF!,"AAAAAGn/tyU=",0)</f>
        <v>#REF!</v>
      </c>
      <c r="AM269" t="e">
        <f>IF(Sheet1!#REF!,"AAAAAGn/tyY=",0)</f>
        <v>#REF!</v>
      </c>
      <c r="AN269" t="e">
        <f>IF(Sheet1!#REF!,"AAAAAGn/tyc=",0)</f>
        <v>#REF!</v>
      </c>
      <c r="AO269" t="e">
        <f>IF(Sheet1!#REF!,"AAAAAGn/tyg=",0)</f>
        <v>#REF!</v>
      </c>
      <c r="AP269" t="e">
        <f>IF(Sheet1!#REF!,"AAAAAGn/tyk=",0)</f>
        <v>#REF!</v>
      </c>
      <c r="AQ269" t="e">
        <f>IF(Sheet1!#REF!,"AAAAAGn/tyo=",0)</f>
        <v>#REF!</v>
      </c>
      <c r="AR269" t="e">
        <f>IF(Sheet1!#REF!,"AAAAAGn/tys=",0)</f>
        <v>#REF!</v>
      </c>
      <c r="AS269" t="e">
        <f>IF(Sheet1!#REF!,"AAAAAGn/tyw=",0)</f>
        <v>#REF!</v>
      </c>
      <c r="AT269" t="e">
        <f>IF(Sheet1!#REF!,"AAAAAGn/ty0=",0)</f>
        <v>#REF!</v>
      </c>
      <c r="AU269" t="e">
        <f>IF(Sheet1!#REF!,"AAAAAGn/ty4=",0)</f>
        <v>#REF!</v>
      </c>
      <c r="AV269" t="e">
        <f>IF(Sheet1!#REF!,"AAAAAGn/ty8=",0)</f>
        <v>#REF!</v>
      </c>
      <c r="AW269" t="e">
        <f>IF(Sheet1!#REF!,"AAAAAGn/tzA=",0)</f>
        <v>#REF!</v>
      </c>
      <c r="AX269" t="e">
        <f>IF(Sheet1!#REF!,"AAAAAGn/tzE=",0)</f>
        <v>#REF!</v>
      </c>
      <c r="AY269" t="e">
        <f>IF(Sheet1!#REF!,"AAAAAGn/tzI=",0)</f>
        <v>#REF!</v>
      </c>
      <c r="AZ269" t="e">
        <f>IF(Sheet1!#REF!,"AAAAAGn/tzM=",0)</f>
        <v>#REF!</v>
      </c>
      <c r="BA269" t="e">
        <f>IF(Sheet1!#REF!,"AAAAAGn/tzQ=",0)</f>
        <v>#REF!</v>
      </c>
      <c r="BB269" t="e">
        <f>IF(Sheet1!#REF!,"AAAAAGn/tzU=",0)</f>
        <v>#REF!</v>
      </c>
      <c r="BC269" t="e">
        <f>IF(Sheet1!#REF!,"AAAAAGn/tzY=",0)</f>
        <v>#REF!</v>
      </c>
      <c r="BD269" t="e">
        <f>IF(Sheet1!#REF!,"AAAAAGn/tzc=",0)</f>
        <v>#REF!</v>
      </c>
      <c r="BE269" t="e">
        <f>IF(Sheet1!#REF!,"AAAAAGn/tzg=",0)</f>
        <v>#REF!</v>
      </c>
      <c r="BF269" t="e">
        <f>IF(Sheet1!#REF!,"AAAAAGn/tzk=",0)</f>
        <v>#REF!</v>
      </c>
      <c r="BG269" t="e">
        <f>IF(Sheet1!#REF!,"AAAAAGn/tzo=",0)</f>
        <v>#REF!</v>
      </c>
      <c r="BH269" t="e">
        <f>IF(Sheet1!#REF!,"AAAAAGn/tzs=",0)</f>
        <v>#REF!</v>
      </c>
      <c r="BI269" t="e">
        <f>IF(Sheet1!#REF!,"AAAAAGn/tzw=",0)</f>
        <v>#REF!</v>
      </c>
      <c r="BJ269" t="e">
        <f>IF(Sheet1!#REF!,"AAAAAGn/tz0=",0)</f>
        <v>#REF!</v>
      </c>
      <c r="BK269" t="e">
        <f>IF(Sheet1!#REF!,"AAAAAGn/tz4=",0)</f>
        <v>#REF!</v>
      </c>
      <c r="BL269" t="e">
        <f>IF(Sheet1!#REF!,"AAAAAGn/tz8=",0)</f>
        <v>#REF!</v>
      </c>
      <c r="BM269" t="e">
        <f>IF(Sheet1!#REF!,"AAAAAGn/t0A=",0)</f>
        <v>#REF!</v>
      </c>
      <c r="BN269" t="e">
        <f>IF(Sheet1!#REF!,"AAAAAGn/t0E=",0)</f>
        <v>#REF!</v>
      </c>
      <c r="BO269" t="e">
        <f>IF(Sheet1!#REF!,"AAAAAGn/t0I=",0)</f>
        <v>#REF!</v>
      </c>
      <c r="BP269" t="e">
        <f>IF(Sheet1!#REF!,"AAAAAGn/t0M=",0)</f>
        <v>#REF!</v>
      </c>
      <c r="BQ269" t="e">
        <f>IF(Sheet1!#REF!,"AAAAAGn/t0Q=",0)</f>
        <v>#REF!</v>
      </c>
      <c r="BR269" t="e">
        <f>IF(Sheet1!#REF!,"AAAAAGn/t0U=",0)</f>
        <v>#REF!</v>
      </c>
      <c r="BS269" t="e">
        <f>IF(Sheet1!#REF!,"AAAAAGn/t0Y=",0)</f>
        <v>#REF!</v>
      </c>
      <c r="BT269" t="e">
        <f>IF(Sheet1!#REF!,"AAAAAGn/t0c=",0)</f>
        <v>#REF!</v>
      </c>
      <c r="BU269" t="e">
        <f>IF(Sheet1!#REF!,"AAAAAGn/t0g=",0)</f>
        <v>#REF!</v>
      </c>
      <c r="BV269" t="e">
        <f>IF(Sheet1!#REF!,"AAAAAGn/t0k=",0)</f>
        <v>#REF!</v>
      </c>
      <c r="BW269" t="e">
        <f>IF(Sheet1!#REF!,"AAAAAGn/t0o=",0)</f>
        <v>#REF!</v>
      </c>
      <c r="BX269" t="e">
        <f>IF(Sheet1!#REF!,"AAAAAGn/t0s=",0)</f>
        <v>#REF!</v>
      </c>
      <c r="BY269" t="e">
        <f>IF(Sheet1!#REF!,"AAAAAGn/t0w=",0)</f>
        <v>#REF!</v>
      </c>
      <c r="BZ269" t="e">
        <f>IF(Sheet1!#REF!,"AAAAAGn/t00=",0)</f>
        <v>#REF!</v>
      </c>
      <c r="CA269" t="e">
        <f>IF(Sheet1!#REF!,"AAAAAGn/t04=",0)</f>
        <v>#REF!</v>
      </c>
      <c r="CB269" t="e">
        <f>IF(Sheet1!#REF!,"AAAAAGn/t08=",0)</f>
        <v>#REF!</v>
      </c>
      <c r="CC269" t="e">
        <f>IF(Sheet1!#REF!,"AAAAAGn/t1A=",0)</f>
        <v>#REF!</v>
      </c>
      <c r="CD269" t="e">
        <f>IF(Sheet1!#REF!,"AAAAAGn/t1E=",0)</f>
        <v>#REF!</v>
      </c>
      <c r="CE269" t="e">
        <f>IF(Sheet1!#REF!,"AAAAAGn/t1I=",0)</f>
        <v>#REF!</v>
      </c>
      <c r="CF269" t="e">
        <f>IF(Sheet1!#REF!,"AAAAAGn/t1M=",0)</f>
        <v>#REF!</v>
      </c>
      <c r="CG269" t="e">
        <f>IF(Sheet1!#REF!,"AAAAAGn/t1Q=",0)</f>
        <v>#REF!</v>
      </c>
      <c r="CH269" t="e">
        <f>IF(Sheet1!#REF!,"AAAAAGn/t1U=",0)</f>
        <v>#REF!</v>
      </c>
      <c r="CI269" t="e">
        <f>IF(Sheet1!#REF!,"AAAAAGn/t1Y=",0)</f>
        <v>#REF!</v>
      </c>
      <c r="CJ269" t="e">
        <f>IF(Sheet1!#REF!,"AAAAAGn/t1c=",0)</f>
        <v>#REF!</v>
      </c>
      <c r="CK269" t="e">
        <f>IF(Sheet1!#REF!,"AAAAAGn/t1g=",0)</f>
        <v>#REF!</v>
      </c>
      <c r="CL269" t="e">
        <f>IF(Sheet1!#REF!,"AAAAAGn/t1k=",0)</f>
        <v>#REF!</v>
      </c>
      <c r="CM269" t="e">
        <f>IF(Sheet1!#REF!,"AAAAAGn/t1o=",0)</f>
        <v>#REF!</v>
      </c>
      <c r="CN269" t="e">
        <f>IF(Sheet1!#REF!,"AAAAAGn/t1s=",0)</f>
        <v>#REF!</v>
      </c>
      <c r="CO269" t="e">
        <f>IF(Sheet1!#REF!,"AAAAAGn/t1w=",0)</f>
        <v>#REF!</v>
      </c>
      <c r="CP269" t="e">
        <f>IF(Sheet1!#REF!,"AAAAAGn/t10=",0)</f>
        <v>#REF!</v>
      </c>
      <c r="CQ269" t="e">
        <f>IF(Sheet1!#REF!,"AAAAAGn/t14=",0)</f>
        <v>#REF!</v>
      </c>
      <c r="CR269" t="e">
        <f>IF(Sheet1!#REF!,"AAAAAGn/t18=",0)</f>
        <v>#REF!</v>
      </c>
      <c r="CS269" t="e">
        <f>IF(Sheet1!#REF!,"AAAAAGn/t2A=",0)</f>
        <v>#REF!</v>
      </c>
      <c r="CT269" t="e">
        <f>IF(Sheet1!#REF!,"AAAAAGn/t2E=",0)</f>
        <v>#REF!</v>
      </c>
      <c r="CU269" t="e">
        <f>IF(Sheet1!#REF!,"AAAAAGn/t2I=",0)</f>
        <v>#REF!</v>
      </c>
      <c r="CV269" t="e">
        <f>IF(Sheet1!#REF!,"AAAAAGn/t2M=",0)</f>
        <v>#REF!</v>
      </c>
      <c r="CW269" t="e">
        <f>IF(Sheet1!#REF!,"AAAAAGn/t2Q=",0)</f>
        <v>#REF!</v>
      </c>
      <c r="CX269" t="e">
        <f>IF(Sheet1!#REF!,"AAAAAGn/t2U=",0)</f>
        <v>#REF!</v>
      </c>
      <c r="CY269" t="e">
        <f>IF(Sheet1!#REF!,"AAAAAGn/t2Y=",0)</f>
        <v>#REF!</v>
      </c>
      <c r="CZ269" t="e">
        <f>IF(Sheet1!#REF!,"AAAAAGn/t2c=",0)</f>
        <v>#REF!</v>
      </c>
      <c r="DA269" t="e">
        <f>IF(Sheet1!#REF!,"AAAAAGn/t2g=",0)</f>
        <v>#REF!</v>
      </c>
      <c r="DB269" t="e">
        <f>IF(Sheet1!#REF!,"AAAAAGn/t2k=",0)</f>
        <v>#REF!</v>
      </c>
      <c r="DC269" t="e">
        <f>IF(Sheet1!#REF!,"AAAAAGn/t2o=",0)</f>
        <v>#REF!</v>
      </c>
      <c r="DD269" t="e">
        <f>IF(Sheet1!#REF!,"AAAAAGn/t2s=",0)</f>
        <v>#REF!</v>
      </c>
      <c r="DE269" t="e">
        <f>IF(Sheet1!#REF!,"AAAAAGn/t2w=",0)</f>
        <v>#REF!</v>
      </c>
      <c r="DF269" t="e">
        <f>IF(Sheet1!#REF!,"AAAAAGn/t20=",0)</f>
        <v>#REF!</v>
      </c>
      <c r="DG269" t="e">
        <f>IF(Sheet1!#REF!,"AAAAAGn/t24=",0)</f>
        <v>#REF!</v>
      </c>
      <c r="DH269" t="e">
        <f>IF(Sheet1!#REF!,"AAAAAGn/t28=",0)</f>
        <v>#REF!</v>
      </c>
      <c r="DI269" t="e">
        <f>IF(Sheet1!#REF!,"AAAAAGn/t3A=",0)</f>
        <v>#REF!</v>
      </c>
      <c r="DJ269" t="e">
        <f>IF(Sheet1!#REF!,"AAAAAGn/t3E=",0)</f>
        <v>#REF!</v>
      </c>
      <c r="DK269" t="e">
        <f>IF(Sheet1!#REF!,"AAAAAGn/t3I=",0)</f>
        <v>#REF!</v>
      </c>
      <c r="DL269" t="e">
        <f>IF(Sheet1!#REF!,"AAAAAGn/t3M=",0)</f>
        <v>#REF!</v>
      </c>
      <c r="DM269" t="e">
        <f>IF(Sheet1!#REF!,"AAAAAGn/t3Q=",0)</f>
        <v>#REF!</v>
      </c>
      <c r="DN269" t="e">
        <f>IF(Sheet1!#REF!,"AAAAAGn/t3U=",0)</f>
        <v>#REF!</v>
      </c>
      <c r="DO269" t="e">
        <f>IF(Sheet1!#REF!,"AAAAAGn/t3Y=",0)</f>
        <v>#REF!</v>
      </c>
      <c r="DP269" t="e">
        <f>IF(Sheet1!#REF!,"AAAAAGn/t3c=",0)</f>
        <v>#REF!</v>
      </c>
      <c r="DQ269" t="e">
        <f>IF(Sheet1!#REF!,"AAAAAGn/t3g=",0)</f>
        <v>#REF!</v>
      </c>
      <c r="DR269" t="e">
        <f>IF(Sheet1!#REF!,"AAAAAGn/t3k=",0)</f>
        <v>#REF!</v>
      </c>
      <c r="DS269" t="e">
        <f>IF(Sheet1!#REF!,"AAAAAGn/t3o=",0)</f>
        <v>#REF!</v>
      </c>
      <c r="DT269" t="e">
        <f>IF(Sheet1!#REF!,"AAAAAGn/t3s=",0)</f>
        <v>#REF!</v>
      </c>
      <c r="DU269" t="e">
        <f>IF(Sheet1!#REF!,"AAAAAGn/t3w=",0)</f>
        <v>#REF!</v>
      </c>
      <c r="DV269" t="e">
        <f>IF(Sheet1!#REF!,"AAAAAGn/t30=",0)</f>
        <v>#REF!</v>
      </c>
      <c r="DW269" t="e">
        <f>IF(Sheet1!#REF!,"AAAAAGn/t34=",0)</f>
        <v>#REF!</v>
      </c>
      <c r="DX269" t="e">
        <f>IF(Sheet1!#REF!,"AAAAAGn/t38=",0)</f>
        <v>#REF!</v>
      </c>
      <c r="DY269" t="e">
        <f>IF(Sheet1!#REF!,"AAAAAGn/t4A=",0)</f>
        <v>#REF!</v>
      </c>
      <c r="DZ269" t="e">
        <f>IF(Sheet1!#REF!,"AAAAAGn/t4E=",0)</f>
        <v>#REF!</v>
      </c>
      <c r="EA269" t="e">
        <f>IF(Sheet1!#REF!,"AAAAAGn/t4I=",0)</f>
        <v>#REF!</v>
      </c>
      <c r="EB269" t="e">
        <f>IF(Sheet1!#REF!,"AAAAAGn/t4M=",0)</f>
        <v>#REF!</v>
      </c>
      <c r="EC269" t="e">
        <f>IF(Sheet1!#REF!,"AAAAAGn/t4Q=",0)</f>
        <v>#REF!</v>
      </c>
      <c r="ED269" t="e">
        <f>IF(Sheet1!#REF!,"AAAAAGn/t4U=",0)</f>
        <v>#REF!</v>
      </c>
      <c r="EE269" t="e">
        <f>IF(Sheet1!#REF!,"AAAAAGn/t4Y=",0)</f>
        <v>#REF!</v>
      </c>
      <c r="EF269" t="e">
        <f>IF(Sheet1!#REF!,"AAAAAGn/t4c=",0)</f>
        <v>#REF!</v>
      </c>
      <c r="EG269" t="e">
        <f>IF(Sheet1!#REF!,"AAAAAGn/t4g=",0)</f>
        <v>#REF!</v>
      </c>
      <c r="EH269" t="e">
        <f>IF(Sheet1!#REF!,"AAAAAGn/t4k=",0)</f>
        <v>#REF!</v>
      </c>
      <c r="EI269" t="e">
        <f>IF(Sheet1!#REF!,"AAAAAGn/t4o=",0)</f>
        <v>#REF!</v>
      </c>
      <c r="EJ269" t="e">
        <f>IF(Sheet1!#REF!,"AAAAAGn/t4s=",0)</f>
        <v>#REF!</v>
      </c>
      <c r="EK269" t="e">
        <f>IF(Sheet1!#REF!,"AAAAAGn/t4w=",0)</f>
        <v>#REF!</v>
      </c>
      <c r="EL269" t="e">
        <f>IF(Sheet1!#REF!,"AAAAAGn/t40=",0)</f>
        <v>#REF!</v>
      </c>
      <c r="EM269" t="e">
        <f>IF(Sheet1!#REF!,"AAAAAGn/t44=",0)</f>
        <v>#REF!</v>
      </c>
      <c r="EN269" t="e">
        <f>IF(Sheet1!#REF!,"AAAAAGn/t48=",0)</f>
        <v>#REF!</v>
      </c>
      <c r="EO269" t="e">
        <f>IF(Sheet1!#REF!,"AAAAAGn/t5A=",0)</f>
        <v>#REF!</v>
      </c>
      <c r="EP269" t="e">
        <f>IF(Sheet1!#REF!,"AAAAAGn/t5E=",0)</f>
        <v>#REF!</v>
      </c>
      <c r="EQ269" t="e">
        <f>IF(Sheet1!#REF!,"AAAAAGn/t5I=",0)</f>
        <v>#REF!</v>
      </c>
      <c r="ER269" t="e">
        <f>IF(Sheet1!#REF!,"AAAAAGn/t5M=",0)</f>
        <v>#REF!</v>
      </c>
      <c r="ES269" t="e">
        <f>IF(Sheet1!#REF!,"AAAAAGn/t5Q=",0)</f>
        <v>#REF!</v>
      </c>
      <c r="ET269" t="e">
        <f>IF(Sheet1!#REF!,"AAAAAGn/t5U=",0)</f>
        <v>#REF!</v>
      </c>
      <c r="EU269" t="e">
        <f>IF(Sheet1!#REF!,"AAAAAGn/t5Y=",0)</f>
        <v>#REF!</v>
      </c>
      <c r="EV269" t="e">
        <f>IF(Sheet1!#REF!,"AAAAAGn/t5c=",0)</f>
        <v>#REF!</v>
      </c>
      <c r="EW269" t="e">
        <f>IF(Sheet1!#REF!,"AAAAAGn/t5g=",0)</f>
        <v>#REF!</v>
      </c>
      <c r="EX269" t="e">
        <f>IF(Sheet1!#REF!,"AAAAAGn/t5k=",0)</f>
        <v>#REF!</v>
      </c>
      <c r="EY269" t="e">
        <f>IF(Sheet1!#REF!,"AAAAAGn/t5o=",0)</f>
        <v>#REF!</v>
      </c>
      <c r="EZ269" t="e">
        <f>IF(Sheet1!#REF!,"AAAAAGn/t5s=",0)</f>
        <v>#REF!</v>
      </c>
      <c r="FA269" t="e">
        <f>IF(Sheet1!#REF!,"AAAAAGn/t5w=",0)</f>
        <v>#REF!</v>
      </c>
      <c r="FB269" t="e">
        <f>IF(Sheet1!#REF!,"AAAAAGn/t50=",0)</f>
        <v>#REF!</v>
      </c>
      <c r="FC269" t="e">
        <f>IF(Sheet1!#REF!,"AAAAAGn/t54=",0)</f>
        <v>#REF!</v>
      </c>
      <c r="FD269" t="e">
        <f>IF(Sheet1!#REF!,"AAAAAGn/t58=",0)</f>
        <v>#REF!</v>
      </c>
      <c r="FE269" t="e">
        <f>IF(Sheet1!#REF!,"AAAAAGn/t6A=",0)</f>
        <v>#REF!</v>
      </c>
      <c r="FF269" t="e">
        <f>IF(Sheet1!#REF!,"AAAAAGn/t6E=",0)</f>
        <v>#REF!</v>
      </c>
      <c r="FG269" t="e">
        <f>IF(Sheet1!#REF!,"AAAAAGn/t6I=",0)</f>
        <v>#REF!</v>
      </c>
      <c r="FH269" t="e">
        <f>IF(Sheet1!#REF!,"AAAAAGn/t6M=",0)</f>
        <v>#REF!</v>
      </c>
      <c r="FI269" t="e">
        <f>IF(Sheet1!#REF!,"AAAAAGn/t6Q=",0)</f>
        <v>#REF!</v>
      </c>
      <c r="FJ269" t="e">
        <f>IF(Sheet1!#REF!,"AAAAAGn/t6U=",0)</f>
        <v>#REF!</v>
      </c>
      <c r="FK269" t="e">
        <f>IF(Sheet1!#REF!,"AAAAAGn/t6Y=",0)</f>
        <v>#REF!</v>
      </c>
      <c r="FL269" t="e">
        <f>IF(Sheet1!#REF!,"AAAAAGn/t6c=",0)</f>
        <v>#REF!</v>
      </c>
      <c r="FM269" t="e">
        <f>IF(Sheet1!#REF!,"AAAAAGn/t6g=",0)</f>
        <v>#REF!</v>
      </c>
      <c r="FN269" t="e">
        <f>IF(Sheet1!#REF!,"AAAAAGn/t6k=",0)</f>
        <v>#REF!</v>
      </c>
      <c r="FO269" t="e">
        <f>IF(Sheet1!#REF!,"AAAAAGn/t6o=",0)</f>
        <v>#REF!</v>
      </c>
      <c r="FP269" t="e">
        <f>IF(Sheet1!#REF!,"AAAAAGn/t6s=",0)</f>
        <v>#REF!</v>
      </c>
      <c r="FQ269" t="e">
        <f>IF(Sheet1!#REF!,"AAAAAGn/t6w=",0)</f>
        <v>#REF!</v>
      </c>
      <c r="FR269" t="e">
        <f>IF(Sheet1!#REF!,"AAAAAGn/t60=",0)</f>
        <v>#REF!</v>
      </c>
      <c r="FS269" t="e">
        <f>IF(Sheet1!#REF!,"AAAAAGn/t64=",0)</f>
        <v>#REF!</v>
      </c>
      <c r="FT269" t="e">
        <f>IF(Sheet1!#REF!,"AAAAAGn/t68=",0)</f>
        <v>#REF!</v>
      </c>
      <c r="FU269" t="e">
        <f>IF(Sheet1!#REF!,"AAAAAGn/t7A=",0)</f>
        <v>#REF!</v>
      </c>
      <c r="FV269" t="e">
        <f>IF(Sheet1!#REF!,"AAAAAGn/t7E=",0)</f>
        <v>#REF!</v>
      </c>
      <c r="FW269" t="e">
        <f>IF(Sheet1!#REF!,"AAAAAGn/t7I=",0)</f>
        <v>#REF!</v>
      </c>
      <c r="FX269" t="e">
        <f>IF(Sheet1!#REF!,"AAAAAGn/t7M=",0)</f>
        <v>#REF!</v>
      </c>
      <c r="FY269" t="e">
        <f>IF(Sheet1!#REF!,"AAAAAGn/t7Q=",0)</f>
        <v>#REF!</v>
      </c>
      <c r="FZ269" t="e">
        <f>IF(Sheet1!#REF!,"AAAAAGn/t7U=",0)</f>
        <v>#REF!</v>
      </c>
      <c r="GA269" t="e">
        <f>IF(Sheet1!#REF!,"AAAAAGn/t7Y=",0)</f>
        <v>#REF!</v>
      </c>
      <c r="GB269" t="e">
        <f>IF(Sheet1!#REF!,"AAAAAGn/t7c=",0)</f>
        <v>#REF!</v>
      </c>
      <c r="GC269" t="e">
        <f>IF(Sheet1!#REF!,"AAAAAGn/t7g=",0)</f>
        <v>#REF!</v>
      </c>
      <c r="GD269" t="e">
        <f>IF(Sheet1!#REF!,"AAAAAGn/t7k=",0)</f>
        <v>#REF!</v>
      </c>
      <c r="GE269" t="e">
        <f>IF(Sheet1!#REF!,"AAAAAGn/t7o=",0)</f>
        <v>#REF!</v>
      </c>
      <c r="GF269" t="e">
        <f>IF(Sheet1!#REF!,"AAAAAGn/t7s=",0)</f>
        <v>#REF!</v>
      </c>
      <c r="GG269" t="e">
        <f>IF(Sheet1!#REF!,"AAAAAGn/t7w=",0)</f>
        <v>#REF!</v>
      </c>
      <c r="GH269" t="e">
        <f>IF(Sheet1!#REF!,"AAAAAGn/t70=",0)</f>
        <v>#REF!</v>
      </c>
      <c r="GI269" t="e">
        <f>IF(Sheet1!#REF!,"AAAAAGn/t74=",0)</f>
        <v>#REF!</v>
      </c>
      <c r="GJ269" t="e">
        <f>IF(Sheet1!#REF!,"AAAAAGn/t78=",0)</f>
        <v>#REF!</v>
      </c>
      <c r="GK269" t="e">
        <f>IF(Sheet1!#REF!,"AAAAAGn/t8A=",0)</f>
        <v>#REF!</v>
      </c>
      <c r="GL269" t="e">
        <f>IF(Sheet1!#REF!,"AAAAAGn/t8E=",0)</f>
        <v>#REF!</v>
      </c>
      <c r="GM269" t="e">
        <f>IF(Sheet1!#REF!,"AAAAAGn/t8I=",0)</f>
        <v>#REF!</v>
      </c>
      <c r="GN269" t="e">
        <f>IF(Sheet1!#REF!,"AAAAAGn/t8M=",0)</f>
        <v>#REF!</v>
      </c>
      <c r="GO269" t="e">
        <f>IF(Sheet1!#REF!,"AAAAAGn/t8Q=",0)</f>
        <v>#REF!</v>
      </c>
      <c r="GP269" t="e">
        <f>IF(Sheet1!#REF!,"AAAAAGn/t8U=",0)</f>
        <v>#REF!</v>
      </c>
      <c r="GQ269" t="e">
        <f>IF(Sheet1!#REF!,"AAAAAGn/t8Y=",0)</f>
        <v>#REF!</v>
      </c>
      <c r="GR269" t="e">
        <f>IF(Sheet1!#REF!,"AAAAAGn/t8c=",0)</f>
        <v>#REF!</v>
      </c>
      <c r="GS269" t="e">
        <f>IF(Sheet1!#REF!,"AAAAAGn/t8g=",0)</f>
        <v>#REF!</v>
      </c>
      <c r="GT269" t="e">
        <f>IF(Sheet1!#REF!,"AAAAAGn/t8k=",0)</f>
        <v>#REF!</v>
      </c>
      <c r="GU269" t="e">
        <f>IF(Sheet1!#REF!,"AAAAAGn/t8o=",0)</f>
        <v>#REF!</v>
      </c>
      <c r="GV269" t="e">
        <f>IF(Sheet1!#REF!,"AAAAAGn/t8s=",0)</f>
        <v>#REF!</v>
      </c>
      <c r="GW269" t="e">
        <f>IF(Sheet1!#REF!,"AAAAAGn/t8w=",0)</f>
        <v>#REF!</v>
      </c>
      <c r="GX269" t="e">
        <f>IF(Sheet1!#REF!,"AAAAAGn/t80=",0)</f>
        <v>#REF!</v>
      </c>
      <c r="GY269" t="e">
        <f>IF(Sheet1!#REF!,"AAAAAGn/t84=",0)</f>
        <v>#REF!</v>
      </c>
      <c r="GZ269" t="e">
        <f>IF(Sheet1!#REF!,"AAAAAGn/t88=",0)</f>
        <v>#REF!</v>
      </c>
      <c r="HA269" t="e">
        <f>IF(Sheet1!#REF!,"AAAAAGn/t9A=",0)</f>
        <v>#REF!</v>
      </c>
      <c r="HB269" t="e">
        <f>IF(Sheet1!#REF!,"AAAAAGn/t9E=",0)</f>
        <v>#REF!</v>
      </c>
      <c r="HC269" t="e">
        <f>IF(Sheet1!#REF!,"AAAAAGn/t9I=",0)</f>
        <v>#REF!</v>
      </c>
      <c r="HD269" t="e">
        <f>IF(Sheet1!#REF!,"AAAAAGn/t9M=",0)</f>
        <v>#REF!</v>
      </c>
      <c r="HE269" t="e">
        <f>IF(Sheet1!#REF!,"AAAAAGn/t9Q=",0)</f>
        <v>#REF!</v>
      </c>
      <c r="HF269" t="e">
        <f>IF(Sheet1!#REF!,"AAAAAGn/t9U=",0)</f>
        <v>#REF!</v>
      </c>
      <c r="HG269" t="e">
        <f>IF(Sheet1!#REF!,"AAAAAGn/t9Y=",0)</f>
        <v>#REF!</v>
      </c>
      <c r="HH269" t="e">
        <f>IF(Sheet1!#REF!,"AAAAAGn/t9c=",0)</f>
        <v>#REF!</v>
      </c>
      <c r="HI269" t="e">
        <f>IF(Sheet1!#REF!,"AAAAAGn/t9g=",0)</f>
        <v>#REF!</v>
      </c>
      <c r="HJ269" t="e">
        <f>IF(Sheet1!#REF!,"AAAAAGn/t9k=",0)</f>
        <v>#REF!</v>
      </c>
      <c r="HK269" t="e">
        <f>IF(Sheet1!#REF!,"AAAAAGn/t9o=",0)</f>
        <v>#REF!</v>
      </c>
      <c r="HL269" t="e">
        <f>IF(Sheet1!#REF!,"AAAAAGn/t9s=",0)</f>
        <v>#REF!</v>
      </c>
      <c r="HM269" t="e">
        <f>IF(Sheet1!#REF!,"AAAAAGn/t9w=",0)</f>
        <v>#REF!</v>
      </c>
      <c r="HN269" t="e">
        <f>IF(Sheet1!#REF!,"AAAAAGn/t90=",0)</f>
        <v>#REF!</v>
      </c>
      <c r="HO269" t="e">
        <f>IF(Sheet1!#REF!,"AAAAAGn/t94=",0)</f>
        <v>#REF!</v>
      </c>
      <c r="HP269" t="e">
        <f>IF(Sheet1!#REF!,"AAAAAGn/t98=",0)</f>
        <v>#REF!</v>
      </c>
      <c r="HQ269" t="e">
        <f>IF(Sheet1!#REF!,"AAAAAGn/t+A=",0)</f>
        <v>#REF!</v>
      </c>
      <c r="HR269" t="e">
        <f>IF(Sheet1!#REF!,"AAAAAGn/t+E=",0)</f>
        <v>#REF!</v>
      </c>
      <c r="HS269" t="e">
        <f>IF(Sheet1!#REF!,"AAAAAGn/t+I=",0)</f>
        <v>#REF!</v>
      </c>
      <c r="HT269" t="e">
        <f>IF(Sheet1!#REF!,"AAAAAGn/t+M=",0)</f>
        <v>#REF!</v>
      </c>
      <c r="HU269" t="e">
        <f>IF(Sheet1!#REF!,"AAAAAGn/t+Q=",0)</f>
        <v>#REF!</v>
      </c>
      <c r="HV269" t="e">
        <f>IF(Sheet1!#REF!,"AAAAAGn/t+U=",0)</f>
        <v>#REF!</v>
      </c>
      <c r="HW269" t="e">
        <f>IF(Sheet1!#REF!,"AAAAAGn/t+Y=",0)</f>
        <v>#REF!</v>
      </c>
      <c r="HX269" t="e">
        <f>IF(Sheet1!#REF!,"AAAAAGn/t+c=",0)</f>
        <v>#REF!</v>
      </c>
      <c r="HY269" t="e">
        <f>IF(Sheet1!#REF!,"AAAAAGn/t+g=",0)</f>
        <v>#REF!</v>
      </c>
      <c r="HZ269" t="e">
        <f>IF(Sheet1!#REF!,"AAAAAGn/t+k=",0)</f>
        <v>#REF!</v>
      </c>
      <c r="IA269" t="e">
        <f>IF(Sheet1!#REF!,"AAAAAGn/t+o=",0)</f>
        <v>#REF!</v>
      </c>
      <c r="IB269" t="e">
        <f>IF(Sheet1!#REF!,"AAAAAGn/t+s=",0)</f>
        <v>#REF!</v>
      </c>
      <c r="IC269" t="e">
        <f>IF(Sheet1!#REF!,"AAAAAGn/t+w=",0)</f>
        <v>#REF!</v>
      </c>
      <c r="ID269" t="e">
        <f>IF(Sheet1!#REF!,"AAAAAGn/t+0=",0)</f>
        <v>#REF!</v>
      </c>
      <c r="IE269" t="e">
        <f>IF(Sheet1!#REF!,"AAAAAGn/t+4=",0)</f>
        <v>#REF!</v>
      </c>
      <c r="IF269" t="e">
        <f>IF(Sheet1!#REF!,"AAAAAGn/t+8=",0)</f>
        <v>#REF!</v>
      </c>
      <c r="IG269" t="e">
        <f>IF(Sheet1!#REF!,"AAAAAGn/t/A=",0)</f>
        <v>#REF!</v>
      </c>
      <c r="IH269" t="e">
        <f>IF(Sheet1!#REF!,"AAAAAGn/t/E=",0)</f>
        <v>#REF!</v>
      </c>
      <c r="II269" t="e">
        <f>IF(Sheet1!#REF!,"AAAAAGn/t/I=",0)</f>
        <v>#REF!</v>
      </c>
      <c r="IJ269" t="e">
        <f>IF(Sheet1!#REF!,"AAAAAGn/t/M=",0)</f>
        <v>#REF!</v>
      </c>
      <c r="IK269" t="e">
        <f>IF(Sheet1!#REF!,"AAAAAGn/t/Q=",0)</f>
        <v>#REF!</v>
      </c>
      <c r="IL269" t="e">
        <f>IF(Sheet1!#REF!,"AAAAAGn/t/U=",0)</f>
        <v>#REF!</v>
      </c>
      <c r="IM269" t="e">
        <f>IF(Sheet1!#REF!,"AAAAAGn/t/Y=",0)</f>
        <v>#REF!</v>
      </c>
      <c r="IN269" t="e">
        <f>IF(Sheet1!#REF!,"AAAAAGn/t/c=",0)</f>
        <v>#REF!</v>
      </c>
      <c r="IO269" t="e">
        <f>IF(Sheet1!#REF!,"AAAAAGn/t/g=",0)</f>
        <v>#REF!</v>
      </c>
      <c r="IP269" t="e">
        <f>IF(Sheet1!#REF!,"AAAAAGn/t/k=",0)</f>
        <v>#REF!</v>
      </c>
      <c r="IQ269" t="e">
        <f>IF(Sheet1!#REF!,"AAAAAGn/t/o=",0)</f>
        <v>#REF!</v>
      </c>
      <c r="IR269" t="e">
        <f>IF(Sheet1!#REF!,"AAAAAGn/t/s=",0)</f>
        <v>#REF!</v>
      </c>
      <c r="IS269" t="e">
        <f>IF(Sheet1!#REF!,"AAAAAGn/t/w=",0)</f>
        <v>#REF!</v>
      </c>
      <c r="IT269" t="e">
        <f>IF(Sheet1!#REF!,"AAAAAGn/t/0=",0)</f>
        <v>#REF!</v>
      </c>
      <c r="IU269" t="e">
        <f>IF(Sheet1!#REF!,"AAAAAGn/t/4=",0)</f>
        <v>#REF!</v>
      </c>
      <c r="IV269" t="e">
        <f>IF(Sheet1!#REF!,"AAAAAGn/t/8=",0)</f>
        <v>#REF!</v>
      </c>
    </row>
    <row r="270" spans="1:256" x14ac:dyDescent="0.2">
      <c r="A270" t="e">
        <f>IF(Sheet1!#REF!,"AAAAAHs9gwA=",0)</f>
        <v>#REF!</v>
      </c>
      <c r="B270" t="e">
        <f>IF(Sheet1!#REF!,"AAAAAHs9gwE=",0)</f>
        <v>#REF!</v>
      </c>
      <c r="C270" t="e">
        <f>IF(Sheet1!#REF!,"AAAAAHs9gwI=",0)</f>
        <v>#REF!</v>
      </c>
      <c r="D270" t="e">
        <f>IF(Sheet1!#REF!,"AAAAAHs9gwM=",0)</f>
        <v>#REF!</v>
      </c>
      <c r="E270" t="e">
        <f>IF(Sheet1!#REF!,"AAAAAHs9gwQ=",0)</f>
        <v>#REF!</v>
      </c>
      <c r="F270" t="e">
        <f>IF(Sheet1!#REF!,"AAAAAHs9gwU=",0)</f>
        <v>#REF!</v>
      </c>
      <c r="G270" t="e">
        <f>IF(Sheet1!#REF!,"AAAAAHs9gwY=",0)</f>
        <v>#REF!</v>
      </c>
      <c r="H270" t="e">
        <f>IF(Sheet1!#REF!,"AAAAAHs9gwc=",0)</f>
        <v>#REF!</v>
      </c>
      <c r="I270" t="e">
        <f>IF(Sheet1!#REF!,"AAAAAHs9gwg=",0)</f>
        <v>#REF!</v>
      </c>
      <c r="J270" t="e">
        <f>IF(Sheet1!#REF!,"AAAAAHs9gwk=",0)</f>
        <v>#REF!</v>
      </c>
      <c r="K270" t="e">
        <f>IF(Sheet1!#REF!,"AAAAAHs9gwo=",0)</f>
        <v>#REF!</v>
      </c>
      <c r="L270" t="e">
        <f>IF(Sheet1!#REF!,"AAAAAHs9gws=",0)</f>
        <v>#REF!</v>
      </c>
      <c r="M270" t="e">
        <f>IF(Sheet1!#REF!,"AAAAAHs9gww=",0)</f>
        <v>#REF!</v>
      </c>
      <c r="N270" t="e">
        <f>IF(Sheet1!#REF!,"AAAAAHs9gw0=",0)</f>
        <v>#REF!</v>
      </c>
      <c r="O270" t="e">
        <f>IF(Sheet1!#REF!,"AAAAAHs9gw4=",0)</f>
        <v>#REF!</v>
      </c>
      <c r="P270" t="e">
        <f>IF(Sheet1!#REF!,"AAAAAHs9gw8=",0)</f>
        <v>#REF!</v>
      </c>
      <c r="Q270" t="e">
        <f>IF(Sheet1!#REF!,"AAAAAHs9gxA=",0)</f>
        <v>#REF!</v>
      </c>
      <c r="R270" t="e">
        <f>IF(Sheet1!#REF!,"AAAAAHs9gxE=",0)</f>
        <v>#REF!</v>
      </c>
      <c r="S270" t="e">
        <f>IF(Sheet1!#REF!,"AAAAAHs9gxI=",0)</f>
        <v>#REF!</v>
      </c>
      <c r="T270" t="e">
        <f>IF(Sheet1!#REF!,"AAAAAHs9gxM=",0)</f>
        <v>#REF!</v>
      </c>
      <c r="U270" t="e">
        <f>IF(Sheet1!#REF!,"AAAAAHs9gxQ=",0)</f>
        <v>#REF!</v>
      </c>
      <c r="V270" t="e">
        <f>IF(Sheet1!#REF!,"AAAAAHs9gxU=",0)</f>
        <v>#REF!</v>
      </c>
      <c r="W270" t="e">
        <f>IF(Sheet1!#REF!,"AAAAAHs9gxY=",0)</f>
        <v>#REF!</v>
      </c>
      <c r="X270" t="e">
        <f>IF(Sheet1!#REF!,"AAAAAHs9gxc=",0)</f>
        <v>#REF!</v>
      </c>
      <c r="Y270" t="e">
        <f>IF(Sheet1!#REF!,"AAAAAHs9gxg=",0)</f>
        <v>#REF!</v>
      </c>
      <c r="Z270" t="e">
        <f>IF(Sheet1!#REF!,"AAAAAHs9gxk=",0)</f>
        <v>#REF!</v>
      </c>
      <c r="AA270" t="e">
        <f>IF(Sheet1!#REF!,"AAAAAHs9gxo=",0)</f>
        <v>#REF!</v>
      </c>
      <c r="AB270" t="e">
        <f>IF(Sheet1!#REF!,"AAAAAHs9gxs=",0)</f>
        <v>#REF!</v>
      </c>
      <c r="AC270" t="e">
        <f>IF(Sheet1!#REF!,"AAAAAHs9gxw=",0)</f>
        <v>#REF!</v>
      </c>
      <c r="AD270" t="e">
        <f>IF(Sheet1!#REF!,"AAAAAHs9gx0=",0)</f>
        <v>#REF!</v>
      </c>
      <c r="AE270" t="e">
        <f>IF(Sheet1!#REF!,"AAAAAHs9gx4=",0)</f>
        <v>#REF!</v>
      </c>
      <c r="AF270" t="e">
        <f>IF(Sheet1!#REF!,"AAAAAHs9gx8=",0)</f>
        <v>#REF!</v>
      </c>
      <c r="AG270" t="e">
        <f>IF(Sheet1!#REF!,"AAAAAHs9gyA=",0)</f>
        <v>#REF!</v>
      </c>
      <c r="AH270" t="e">
        <f>IF(Sheet1!#REF!,"AAAAAHs9gyE=",0)</f>
        <v>#REF!</v>
      </c>
      <c r="AI270" t="e">
        <f>IF(Sheet1!#REF!,"AAAAAHs9gyI=",0)</f>
        <v>#REF!</v>
      </c>
      <c r="AJ270" t="e">
        <f>IF(Sheet1!#REF!,"AAAAAHs9gyM=",0)</f>
        <v>#REF!</v>
      </c>
      <c r="AK270" t="e">
        <f>IF(Sheet1!#REF!,"AAAAAHs9gyQ=",0)</f>
        <v>#REF!</v>
      </c>
      <c r="AL270" t="e">
        <f>IF(Sheet1!#REF!,"AAAAAHs9gyU=",0)</f>
        <v>#REF!</v>
      </c>
      <c r="AM270" t="e">
        <f>IF(Sheet1!#REF!,"AAAAAHs9gyY=",0)</f>
        <v>#REF!</v>
      </c>
      <c r="AN270" t="e">
        <f>IF(Sheet1!#REF!,"AAAAAHs9gyc=",0)</f>
        <v>#REF!</v>
      </c>
      <c r="AO270" t="e">
        <f>IF(Sheet1!#REF!,"AAAAAHs9gyg=",0)</f>
        <v>#REF!</v>
      </c>
      <c r="AP270" t="e">
        <f>IF(Sheet1!#REF!,"AAAAAHs9gyk=",0)</f>
        <v>#REF!</v>
      </c>
      <c r="AQ270" t="e">
        <f>IF(Sheet1!#REF!,"AAAAAHs9gyo=",0)</f>
        <v>#REF!</v>
      </c>
      <c r="AR270" t="e">
        <f>IF(Sheet1!#REF!,"AAAAAHs9gys=",0)</f>
        <v>#REF!</v>
      </c>
      <c r="AS270" t="e">
        <f>IF(Sheet1!#REF!,"AAAAAHs9gyw=",0)</f>
        <v>#REF!</v>
      </c>
      <c r="AT270" t="e">
        <f>IF(Sheet1!#REF!,"AAAAAHs9gy0=",0)</f>
        <v>#REF!</v>
      </c>
      <c r="AU270" t="e">
        <f>IF(Sheet1!#REF!,"AAAAAHs9gy4=",0)</f>
        <v>#REF!</v>
      </c>
      <c r="AV270" t="e">
        <f>IF(Sheet1!#REF!,"AAAAAHs9gy8=",0)</f>
        <v>#REF!</v>
      </c>
      <c r="AW270" t="e">
        <f>IF(Sheet1!#REF!,"AAAAAHs9gzA=",0)</f>
        <v>#REF!</v>
      </c>
      <c r="AX270" t="e">
        <f>IF(Sheet1!#REF!,"AAAAAHs9gzE=",0)</f>
        <v>#REF!</v>
      </c>
      <c r="AY270" t="e">
        <f>IF(Sheet1!#REF!,"AAAAAHs9gzI=",0)</f>
        <v>#REF!</v>
      </c>
      <c r="AZ270" t="e">
        <f>IF(Sheet1!#REF!,"AAAAAHs9gzM=",0)</f>
        <v>#REF!</v>
      </c>
      <c r="BA270" t="e">
        <f>IF(Sheet1!#REF!,"AAAAAHs9gzQ=",0)</f>
        <v>#REF!</v>
      </c>
      <c r="BB270" t="e">
        <f>IF(Sheet1!#REF!,"AAAAAHs9gzU=",0)</f>
        <v>#REF!</v>
      </c>
      <c r="BC270" t="e">
        <f>IF(Sheet1!#REF!,"AAAAAHs9gzY=",0)</f>
        <v>#REF!</v>
      </c>
      <c r="BD270" t="e">
        <f>IF(Sheet1!#REF!,"AAAAAHs9gzc=",0)</f>
        <v>#REF!</v>
      </c>
      <c r="BE270" t="e">
        <f>IF(Sheet1!#REF!,"AAAAAHs9gzg=",0)</f>
        <v>#REF!</v>
      </c>
      <c r="BF270" t="e">
        <f>IF(Sheet1!#REF!,"AAAAAHs9gzk=",0)</f>
        <v>#REF!</v>
      </c>
      <c r="BG270" t="e">
        <f>IF(Sheet1!#REF!,"AAAAAHs9gzo=",0)</f>
        <v>#REF!</v>
      </c>
      <c r="BH270" t="e">
        <f>IF(Sheet1!#REF!,"AAAAAHs9gzs=",0)</f>
        <v>#REF!</v>
      </c>
      <c r="BI270" t="e">
        <f>IF(Sheet1!#REF!,"AAAAAHs9gzw=",0)</f>
        <v>#REF!</v>
      </c>
      <c r="BJ270" t="e">
        <f>IF(Sheet1!#REF!,"AAAAAHs9gz0=",0)</f>
        <v>#REF!</v>
      </c>
      <c r="BK270" t="e">
        <f>IF(Sheet1!#REF!,"AAAAAHs9gz4=",0)</f>
        <v>#REF!</v>
      </c>
      <c r="BL270" t="e">
        <f>IF(Sheet1!#REF!,"AAAAAHs9gz8=",0)</f>
        <v>#REF!</v>
      </c>
      <c r="BM270" t="e">
        <f>IF(Sheet1!#REF!,"AAAAAHs9g0A=",0)</f>
        <v>#REF!</v>
      </c>
      <c r="BN270" t="e">
        <f>IF(Sheet1!#REF!,"AAAAAHs9g0E=",0)</f>
        <v>#REF!</v>
      </c>
      <c r="BO270" t="e">
        <f>IF(Sheet1!#REF!,"AAAAAHs9g0I=",0)</f>
        <v>#REF!</v>
      </c>
      <c r="BP270" t="e">
        <f>IF(Sheet1!#REF!,"AAAAAHs9g0M=",0)</f>
        <v>#REF!</v>
      </c>
      <c r="BQ270" t="e">
        <f>IF(Sheet1!#REF!,"AAAAAHs9g0Q=",0)</f>
        <v>#REF!</v>
      </c>
      <c r="BR270" t="e">
        <f>IF(Sheet1!#REF!,"AAAAAHs9g0U=",0)</f>
        <v>#REF!</v>
      </c>
      <c r="BS270" t="e">
        <f>IF(Sheet1!#REF!,"AAAAAHs9g0Y=",0)</f>
        <v>#REF!</v>
      </c>
      <c r="BT270" t="e">
        <f>IF(Sheet1!#REF!,"AAAAAHs9g0c=",0)</f>
        <v>#REF!</v>
      </c>
      <c r="BU270" t="e">
        <f>IF(Sheet1!#REF!,"AAAAAHs9g0g=",0)</f>
        <v>#REF!</v>
      </c>
      <c r="BV270" t="e">
        <f>IF(Sheet1!#REF!,"AAAAAHs9g0k=",0)</f>
        <v>#REF!</v>
      </c>
      <c r="BW270" t="e">
        <f>IF(Sheet1!#REF!,"AAAAAHs9g0o=",0)</f>
        <v>#REF!</v>
      </c>
      <c r="BX270" t="e">
        <f>IF(Sheet1!#REF!,"AAAAAHs9g0s=",0)</f>
        <v>#REF!</v>
      </c>
      <c r="BY270" t="e">
        <f>IF(Sheet1!#REF!,"AAAAAHs9g0w=",0)</f>
        <v>#REF!</v>
      </c>
      <c r="BZ270" t="e">
        <f>IF(Sheet1!#REF!,"AAAAAHs9g00=",0)</f>
        <v>#REF!</v>
      </c>
      <c r="CA270" t="e">
        <f>IF(Sheet1!#REF!,"AAAAAHs9g04=",0)</f>
        <v>#REF!</v>
      </c>
      <c r="CB270" t="e">
        <f>IF(Sheet1!#REF!,"AAAAAHs9g08=",0)</f>
        <v>#REF!</v>
      </c>
      <c r="CC270" t="e">
        <f>IF(Sheet1!#REF!,"AAAAAHs9g1A=",0)</f>
        <v>#REF!</v>
      </c>
      <c r="CD270" t="e">
        <f>IF(Sheet1!#REF!,"AAAAAHs9g1E=",0)</f>
        <v>#REF!</v>
      </c>
      <c r="CE270" t="e">
        <f>IF(Sheet1!#REF!,"AAAAAHs9g1I=",0)</f>
        <v>#REF!</v>
      </c>
      <c r="CF270" t="e">
        <f>IF(Sheet1!#REF!,"AAAAAHs9g1M=",0)</f>
        <v>#REF!</v>
      </c>
      <c r="CG270" t="e">
        <f>IF(Sheet1!#REF!,"AAAAAHs9g1Q=",0)</f>
        <v>#REF!</v>
      </c>
      <c r="CH270" t="e">
        <f>IF(Sheet1!#REF!,"AAAAAHs9g1U=",0)</f>
        <v>#REF!</v>
      </c>
      <c r="CI270" t="e">
        <f>IF(Sheet1!#REF!,"AAAAAHs9g1Y=",0)</f>
        <v>#REF!</v>
      </c>
      <c r="CJ270" t="e">
        <f>IF(Sheet1!#REF!,"AAAAAHs9g1c=",0)</f>
        <v>#REF!</v>
      </c>
      <c r="CK270" t="e">
        <f>IF(Sheet1!#REF!,"AAAAAHs9g1g=",0)</f>
        <v>#REF!</v>
      </c>
      <c r="CL270" t="e">
        <f>IF(Sheet1!#REF!,"AAAAAHs9g1k=",0)</f>
        <v>#REF!</v>
      </c>
      <c r="CM270" t="e">
        <f>IF(Sheet1!#REF!,"AAAAAHs9g1o=",0)</f>
        <v>#REF!</v>
      </c>
      <c r="CN270" t="e">
        <f>IF(Sheet1!#REF!,"AAAAAHs9g1s=",0)</f>
        <v>#REF!</v>
      </c>
      <c r="CO270" t="e">
        <f>IF(Sheet1!#REF!,"AAAAAHs9g1w=",0)</f>
        <v>#REF!</v>
      </c>
      <c r="CP270" t="e">
        <f>IF(Sheet1!#REF!,"AAAAAHs9g10=",0)</f>
        <v>#REF!</v>
      </c>
      <c r="CQ270" t="e">
        <f>IF(Sheet1!#REF!,"AAAAAHs9g14=",0)</f>
        <v>#REF!</v>
      </c>
      <c r="CR270" t="e">
        <f>IF(Sheet1!#REF!,"AAAAAHs9g18=",0)</f>
        <v>#REF!</v>
      </c>
      <c r="CS270" t="e">
        <f>IF(Sheet1!#REF!,"AAAAAHs9g2A=",0)</f>
        <v>#REF!</v>
      </c>
      <c r="CT270" t="e">
        <f>IF(Sheet1!#REF!,"AAAAAHs9g2E=",0)</f>
        <v>#REF!</v>
      </c>
      <c r="CU270" t="e">
        <f>IF(Sheet1!#REF!,"AAAAAHs9g2I=",0)</f>
        <v>#REF!</v>
      </c>
      <c r="CV270" t="e">
        <f>IF(Sheet1!#REF!,"AAAAAHs9g2M=",0)</f>
        <v>#REF!</v>
      </c>
      <c r="CW270" t="e">
        <f>IF(Sheet1!#REF!,"AAAAAHs9g2Q=",0)</f>
        <v>#REF!</v>
      </c>
      <c r="CX270" t="e">
        <f>IF(Sheet1!#REF!,"AAAAAHs9g2U=",0)</f>
        <v>#REF!</v>
      </c>
      <c r="CY270" t="e">
        <f>IF(Sheet1!#REF!,"AAAAAHs9g2Y=",0)</f>
        <v>#REF!</v>
      </c>
      <c r="CZ270" t="e">
        <f>IF(Sheet1!#REF!,"AAAAAHs9g2c=",0)</f>
        <v>#REF!</v>
      </c>
      <c r="DA270" t="e">
        <f>IF(Sheet1!#REF!,"AAAAAHs9g2g=",0)</f>
        <v>#REF!</v>
      </c>
      <c r="DB270" t="e">
        <f>IF(Sheet1!#REF!,"AAAAAHs9g2k=",0)</f>
        <v>#REF!</v>
      </c>
      <c r="DC270" t="e">
        <f>IF(Sheet1!#REF!,"AAAAAHs9g2o=",0)</f>
        <v>#REF!</v>
      </c>
      <c r="DD270" t="e">
        <f>IF(Sheet1!#REF!,"AAAAAHs9g2s=",0)</f>
        <v>#REF!</v>
      </c>
      <c r="DE270" t="e">
        <f>IF(Sheet1!#REF!,"AAAAAHs9g2w=",0)</f>
        <v>#REF!</v>
      </c>
      <c r="DF270" t="e">
        <f>IF(Sheet1!#REF!,"AAAAAHs9g20=",0)</f>
        <v>#REF!</v>
      </c>
      <c r="DG270" t="e">
        <f>IF(Sheet1!#REF!,"AAAAAHs9g24=",0)</f>
        <v>#REF!</v>
      </c>
      <c r="DH270" t="e">
        <f>IF(Sheet1!#REF!,"AAAAAHs9g28=",0)</f>
        <v>#REF!</v>
      </c>
      <c r="DI270" t="e">
        <f>IF(Sheet1!#REF!,"AAAAAHs9g3A=",0)</f>
        <v>#REF!</v>
      </c>
      <c r="DJ270" t="e">
        <f>IF(Sheet1!#REF!,"AAAAAHs9g3E=",0)</f>
        <v>#REF!</v>
      </c>
      <c r="DK270" t="e">
        <f>IF(Sheet1!#REF!,"AAAAAHs9g3I=",0)</f>
        <v>#REF!</v>
      </c>
      <c r="DL270" t="e">
        <f>IF(Sheet1!#REF!,"AAAAAHs9g3M=",0)</f>
        <v>#REF!</v>
      </c>
      <c r="DM270" t="e">
        <f>IF(Sheet1!#REF!,"AAAAAHs9g3Q=",0)</f>
        <v>#REF!</v>
      </c>
      <c r="DN270" t="e">
        <f>IF(Sheet1!#REF!,"AAAAAHs9g3U=",0)</f>
        <v>#REF!</v>
      </c>
      <c r="DO270" t="e">
        <f>IF(Sheet1!#REF!,"AAAAAHs9g3Y=",0)</f>
        <v>#REF!</v>
      </c>
      <c r="DP270" t="e">
        <f>IF(Sheet1!#REF!,"AAAAAHs9g3c=",0)</f>
        <v>#REF!</v>
      </c>
      <c r="DQ270" t="e">
        <f>IF(Sheet1!#REF!,"AAAAAHs9g3g=",0)</f>
        <v>#REF!</v>
      </c>
      <c r="DR270" t="e">
        <f>IF(Sheet1!#REF!,"AAAAAHs9g3k=",0)</f>
        <v>#REF!</v>
      </c>
      <c r="DS270" t="e">
        <f>IF(Sheet1!#REF!,"AAAAAHs9g3o=",0)</f>
        <v>#REF!</v>
      </c>
      <c r="DT270" t="e">
        <f>IF(Sheet1!#REF!,"AAAAAHs9g3s=",0)</f>
        <v>#REF!</v>
      </c>
      <c r="DU270" t="e">
        <f>IF(Sheet1!#REF!,"AAAAAHs9g3w=",0)</f>
        <v>#REF!</v>
      </c>
      <c r="DV270" t="e">
        <f>IF(Sheet1!#REF!,"AAAAAHs9g30=",0)</f>
        <v>#REF!</v>
      </c>
      <c r="DW270" t="e">
        <f>IF(Sheet1!#REF!,"AAAAAHs9g34=",0)</f>
        <v>#REF!</v>
      </c>
      <c r="DX270" t="e">
        <f>IF(Sheet1!#REF!,"AAAAAHs9g38=",0)</f>
        <v>#REF!</v>
      </c>
      <c r="DY270" t="e">
        <f>IF(Sheet1!#REF!,"AAAAAHs9g4A=",0)</f>
        <v>#REF!</v>
      </c>
      <c r="DZ270" t="e">
        <f>IF(Sheet1!#REF!,"AAAAAHs9g4E=",0)</f>
        <v>#REF!</v>
      </c>
      <c r="EA270" t="e">
        <f>IF(Sheet1!#REF!,"AAAAAHs9g4I=",0)</f>
        <v>#REF!</v>
      </c>
      <c r="EB270" t="e">
        <f>IF(Sheet1!#REF!,"AAAAAHs9g4M=",0)</f>
        <v>#REF!</v>
      </c>
      <c r="EC270" t="e">
        <f>IF(Sheet1!#REF!,"AAAAAHs9g4Q=",0)</f>
        <v>#REF!</v>
      </c>
      <c r="ED270" t="e">
        <f>IF(Sheet1!#REF!,"AAAAAHs9g4U=",0)</f>
        <v>#REF!</v>
      </c>
      <c r="EE270" t="e">
        <f>IF(Sheet1!#REF!,"AAAAAHs9g4Y=",0)</f>
        <v>#REF!</v>
      </c>
      <c r="EF270" t="e">
        <f>IF(Sheet1!#REF!,"AAAAAHs9g4c=",0)</f>
        <v>#REF!</v>
      </c>
      <c r="EG270" t="e">
        <f>IF(Sheet1!#REF!,"AAAAAHs9g4g=",0)</f>
        <v>#REF!</v>
      </c>
      <c r="EH270" t="e">
        <f>IF(Sheet1!#REF!,"AAAAAHs9g4k=",0)</f>
        <v>#REF!</v>
      </c>
      <c r="EI270" t="e">
        <f>IF(Sheet1!#REF!,"AAAAAHs9g4o=",0)</f>
        <v>#REF!</v>
      </c>
      <c r="EJ270" t="e">
        <f>IF(Sheet1!#REF!,"AAAAAHs9g4s=",0)</f>
        <v>#REF!</v>
      </c>
      <c r="EK270" t="e">
        <f>IF(Sheet1!#REF!,"AAAAAHs9g4w=",0)</f>
        <v>#REF!</v>
      </c>
      <c r="EL270" t="e">
        <f>IF(Sheet1!#REF!,"AAAAAHs9g40=",0)</f>
        <v>#REF!</v>
      </c>
      <c r="EM270" t="e">
        <f>IF(Sheet1!#REF!,"AAAAAHs9g44=",0)</f>
        <v>#REF!</v>
      </c>
      <c r="EN270" t="e">
        <f>IF(Sheet1!#REF!,"AAAAAHs9g48=",0)</f>
        <v>#REF!</v>
      </c>
      <c r="EO270" t="e">
        <f>IF(Sheet1!#REF!,"AAAAAHs9g5A=",0)</f>
        <v>#REF!</v>
      </c>
      <c r="EP270" t="e">
        <f>IF(Sheet1!#REF!,"AAAAAHs9g5E=",0)</f>
        <v>#REF!</v>
      </c>
      <c r="EQ270" t="e">
        <f>IF(Sheet1!#REF!,"AAAAAHs9g5I=",0)</f>
        <v>#REF!</v>
      </c>
      <c r="ER270" t="e">
        <f>IF(Sheet1!#REF!,"AAAAAHs9g5M=",0)</f>
        <v>#REF!</v>
      </c>
      <c r="ES270" t="e">
        <f>IF(Sheet1!#REF!,"AAAAAHs9g5Q=",0)</f>
        <v>#REF!</v>
      </c>
      <c r="ET270" t="e">
        <f>IF(Sheet1!#REF!,"AAAAAHs9g5U=",0)</f>
        <v>#REF!</v>
      </c>
      <c r="EU270" t="e">
        <f>IF(Sheet1!#REF!,"AAAAAHs9g5Y=",0)</f>
        <v>#REF!</v>
      </c>
      <c r="EV270" t="e">
        <f>IF(Sheet1!#REF!,"AAAAAHs9g5c=",0)</f>
        <v>#REF!</v>
      </c>
      <c r="EW270" t="e">
        <f>IF(Sheet1!#REF!,"AAAAAHs9g5g=",0)</f>
        <v>#REF!</v>
      </c>
      <c r="EX270" t="e">
        <f>IF(Sheet1!#REF!,"AAAAAHs9g5k=",0)</f>
        <v>#REF!</v>
      </c>
      <c r="EY270" t="e">
        <f>IF(Sheet1!#REF!,"AAAAAHs9g5o=",0)</f>
        <v>#REF!</v>
      </c>
      <c r="EZ270" t="e">
        <f>IF(Sheet1!#REF!,"AAAAAHs9g5s=",0)</f>
        <v>#REF!</v>
      </c>
      <c r="FA270" t="e">
        <f>IF(Sheet1!#REF!,"AAAAAHs9g5w=",0)</f>
        <v>#REF!</v>
      </c>
      <c r="FB270" t="e">
        <f>IF(Sheet1!#REF!,"AAAAAHs9g50=",0)</f>
        <v>#REF!</v>
      </c>
      <c r="FC270" t="e">
        <f>IF(Sheet1!#REF!,"AAAAAHs9g54=",0)</f>
        <v>#REF!</v>
      </c>
      <c r="FD270" t="e">
        <f>IF(Sheet1!#REF!,"AAAAAHs9g58=",0)</f>
        <v>#REF!</v>
      </c>
      <c r="FE270" t="e">
        <f>IF(Sheet1!#REF!,"AAAAAHs9g6A=",0)</f>
        <v>#REF!</v>
      </c>
      <c r="FF270" t="e">
        <f>IF(Sheet1!#REF!,"AAAAAHs9g6E=",0)</f>
        <v>#REF!</v>
      </c>
      <c r="FG270" t="e">
        <f>IF(Sheet1!#REF!,"AAAAAHs9g6I=",0)</f>
        <v>#REF!</v>
      </c>
      <c r="FH270" t="e">
        <f>IF(Sheet1!#REF!,"AAAAAHs9g6M=",0)</f>
        <v>#REF!</v>
      </c>
      <c r="FI270" t="e">
        <f>IF(Sheet1!#REF!,"AAAAAHs9g6Q=",0)</f>
        <v>#REF!</v>
      </c>
      <c r="FJ270" t="e">
        <f>IF(Sheet1!#REF!,"AAAAAHs9g6U=",0)</f>
        <v>#REF!</v>
      </c>
      <c r="FK270" t="e">
        <f>IF(Sheet1!#REF!,"AAAAAHs9g6Y=",0)</f>
        <v>#REF!</v>
      </c>
      <c r="FL270" t="e">
        <f>IF(Sheet1!#REF!,"AAAAAHs9g6c=",0)</f>
        <v>#REF!</v>
      </c>
      <c r="FM270" t="e">
        <f>IF(Sheet1!#REF!,"AAAAAHs9g6g=",0)</f>
        <v>#REF!</v>
      </c>
      <c r="FN270" t="e">
        <f>IF(Sheet1!#REF!,"AAAAAHs9g6k=",0)</f>
        <v>#REF!</v>
      </c>
      <c r="FO270" t="e">
        <f>IF(Sheet1!#REF!,"AAAAAHs9g6o=",0)</f>
        <v>#REF!</v>
      </c>
      <c r="FP270" t="e">
        <f>IF(Sheet1!#REF!,"AAAAAHs9g6s=",0)</f>
        <v>#REF!</v>
      </c>
      <c r="FQ270" t="e">
        <f>IF(Sheet1!#REF!,"AAAAAHs9g6w=",0)</f>
        <v>#REF!</v>
      </c>
      <c r="FR270" t="e">
        <f>IF(Sheet1!#REF!,"AAAAAHs9g60=",0)</f>
        <v>#REF!</v>
      </c>
      <c r="FS270" t="e">
        <f>IF(Sheet1!#REF!,"AAAAAHs9g64=",0)</f>
        <v>#REF!</v>
      </c>
      <c r="FT270" t="e">
        <f>IF(Sheet1!#REF!,"AAAAAHs9g68=",0)</f>
        <v>#REF!</v>
      </c>
      <c r="FU270" t="e">
        <f>IF(Sheet1!#REF!,"AAAAAHs9g7A=",0)</f>
        <v>#REF!</v>
      </c>
      <c r="FV270" t="e">
        <f>IF(Sheet1!#REF!,"AAAAAHs9g7E=",0)</f>
        <v>#REF!</v>
      </c>
      <c r="FW270" t="e">
        <f>IF(Sheet1!#REF!,"AAAAAHs9g7I=",0)</f>
        <v>#REF!</v>
      </c>
      <c r="FX270" t="e">
        <f>IF(Sheet1!#REF!,"AAAAAHs9g7M=",0)</f>
        <v>#REF!</v>
      </c>
      <c r="FY270" t="e">
        <f>IF(Sheet1!#REF!,"AAAAAHs9g7Q=",0)</f>
        <v>#REF!</v>
      </c>
      <c r="FZ270" t="e">
        <f>IF(Sheet1!#REF!,"AAAAAHs9g7U=",0)</f>
        <v>#REF!</v>
      </c>
      <c r="GA270" t="e">
        <f>IF(Sheet1!#REF!,"AAAAAHs9g7Y=",0)</f>
        <v>#REF!</v>
      </c>
      <c r="GB270" t="e">
        <f>IF(Sheet1!#REF!,"AAAAAHs9g7c=",0)</f>
        <v>#REF!</v>
      </c>
      <c r="GC270" t="e">
        <f>IF(Sheet1!#REF!,"AAAAAHs9g7g=",0)</f>
        <v>#REF!</v>
      </c>
      <c r="GD270" t="e">
        <f>IF(Sheet1!#REF!,"AAAAAHs9g7k=",0)</f>
        <v>#REF!</v>
      </c>
      <c r="GE270" t="e">
        <f>IF(Sheet1!#REF!,"AAAAAHs9g7o=",0)</f>
        <v>#REF!</v>
      </c>
      <c r="GF270" t="e">
        <f>IF(Sheet1!#REF!,"AAAAAHs9g7s=",0)</f>
        <v>#REF!</v>
      </c>
      <c r="GG270" t="e">
        <f>IF(Sheet1!#REF!,"AAAAAHs9g7w=",0)</f>
        <v>#REF!</v>
      </c>
      <c r="GH270" t="e">
        <f>IF(Sheet1!#REF!,"AAAAAHs9g70=",0)</f>
        <v>#REF!</v>
      </c>
      <c r="GI270" t="e">
        <f>IF(Sheet1!#REF!,"AAAAAHs9g74=",0)</f>
        <v>#REF!</v>
      </c>
      <c r="GJ270" t="e">
        <f>IF(Sheet1!#REF!,"AAAAAHs9g78=",0)</f>
        <v>#REF!</v>
      </c>
      <c r="GK270" t="e">
        <f>IF(Sheet1!#REF!,"AAAAAHs9g8A=",0)</f>
        <v>#REF!</v>
      </c>
      <c r="GL270" t="e">
        <f>IF(Sheet1!#REF!,"AAAAAHs9g8E=",0)</f>
        <v>#REF!</v>
      </c>
      <c r="GM270" t="e">
        <f>IF(Sheet1!#REF!,"AAAAAHs9g8I=",0)</f>
        <v>#REF!</v>
      </c>
      <c r="GN270" t="e">
        <f>IF(Sheet1!#REF!,"AAAAAHs9g8M=",0)</f>
        <v>#REF!</v>
      </c>
      <c r="GO270" t="e">
        <f>IF(Sheet1!#REF!,"AAAAAHs9g8Q=",0)</f>
        <v>#REF!</v>
      </c>
      <c r="GP270" t="e">
        <f>IF(Sheet1!#REF!,"AAAAAHs9g8U=",0)</f>
        <v>#REF!</v>
      </c>
      <c r="GQ270" t="e">
        <f>IF(Sheet1!#REF!,"AAAAAHs9g8Y=",0)</f>
        <v>#REF!</v>
      </c>
      <c r="GR270" t="e">
        <f>IF(Sheet1!#REF!,"AAAAAHs9g8c=",0)</f>
        <v>#REF!</v>
      </c>
      <c r="GS270" t="e">
        <f>IF(Sheet1!#REF!,"AAAAAHs9g8g=",0)</f>
        <v>#REF!</v>
      </c>
      <c r="GT270" t="e">
        <f>IF(Sheet1!#REF!,"AAAAAHs9g8k=",0)</f>
        <v>#REF!</v>
      </c>
      <c r="GU270" t="e">
        <f>IF(Sheet1!#REF!,"AAAAAHs9g8o=",0)</f>
        <v>#REF!</v>
      </c>
      <c r="GV270" t="e">
        <f>IF(Sheet1!#REF!,"AAAAAHs9g8s=",0)</f>
        <v>#REF!</v>
      </c>
      <c r="GW270" t="e">
        <f>IF(Sheet1!#REF!,"AAAAAHs9g8w=",0)</f>
        <v>#REF!</v>
      </c>
      <c r="GX270" t="e">
        <f>IF(Sheet1!#REF!,"AAAAAHs9g80=",0)</f>
        <v>#REF!</v>
      </c>
      <c r="GY270" t="e">
        <f>IF(Sheet1!#REF!,"AAAAAHs9g84=",0)</f>
        <v>#REF!</v>
      </c>
      <c r="GZ270" t="e">
        <f>IF(Sheet1!#REF!,"AAAAAHs9g88=",0)</f>
        <v>#REF!</v>
      </c>
      <c r="HA270" t="e">
        <f>IF(Sheet1!#REF!,"AAAAAHs9g9A=",0)</f>
        <v>#REF!</v>
      </c>
      <c r="HB270" t="e">
        <f>IF(Sheet1!#REF!,"AAAAAHs9g9E=",0)</f>
        <v>#REF!</v>
      </c>
      <c r="HC270" t="e">
        <f>IF(Sheet1!#REF!,"AAAAAHs9g9I=",0)</f>
        <v>#REF!</v>
      </c>
      <c r="HD270" t="e">
        <f>IF(Sheet1!#REF!,"AAAAAHs9g9M=",0)</f>
        <v>#REF!</v>
      </c>
      <c r="HE270" t="e">
        <f>IF(Sheet1!#REF!,"AAAAAHs9g9Q=",0)</f>
        <v>#REF!</v>
      </c>
      <c r="HF270" t="e">
        <f>IF(Sheet1!#REF!,"AAAAAHs9g9U=",0)</f>
        <v>#REF!</v>
      </c>
      <c r="HG270" t="e">
        <f>IF(Sheet1!#REF!,"AAAAAHs9g9Y=",0)</f>
        <v>#REF!</v>
      </c>
      <c r="HH270" t="e">
        <f>IF(Sheet1!#REF!,"AAAAAHs9g9c=",0)</f>
        <v>#REF!</v>
      </c>
      <c r="HI270" t="e">
        <f>IF(Sheet1!#REF!,"AAAAAHs9g9g=",0)</f>
        <v>#REF!</v>
      </c>
      <c r="HJ270" t="e">
        <f>IF(Sheet1!#REF!,"AAAAAHs9g9k=",0)</f>
        <v>#REF!</v>
      </c>
      <c r="HK270" t="e">
        <f>IF(Sheet1!#REF!,"AAAAAHs9g9o=",0)</f>
        <v>#REF!</v>
      </c>
      <c r="HL270" t="e">
        <f>IF(Sheet1!#REF!,"AAAAAHs9g9s=",0)</f>
        <v>#REF!</v>
      </c>
      <c r="HM270" t="e">
        <f>IF(Sheet1!#REF!,"AAAAAHs9g9w=",0)</f>
        <v>#REF!</v>
      </c>
      <c r="HN270" t="e">
        <f>IF(Sheet1!#REF!,"AAAAAHs9g90=",0)</f>
        <v>#REF!</v>
      </c>
      <c r="HO270" t="e">
        <f>IF(Sheet1!#REF!,"AAAAAHs9g94=",0)</f>
        <v>#REF!</v>
      </c>
      <c r="HP270" t="e">
        <f>IF(Sheet1!#REF!,"AAAAAHs9g98=",0)</f>
        <v>#REF!</v>
      </c>
      <c r="HQ270" t="e">
        <f>IF(Sheet1!#REF!,"AAAAAHs9g+A=",0)</f>
        <v>#REF!</v>
      </c>
      <c r="HR270" t="e">
        <f>IF(Sheet1!#REF!,"AAAAAHs9g+E=",0)</f>
        <v>#REF!</v>
      </c>
      <c r="HS270" t="e">
        <f>IF(Sheet1!#REF!,"AAAAAHs9g+I=",0)</f>
        <v>#REF!</v>
      </c>
      <c r="HT270" t="e">
        <f>IF(Sheet1!#REF!,"AAAAAHs9g+M=",0)</f>
        <v>#REF!</v>
      </c>
      <c r="HU270" t="e">
        <f>IF(Sheet1!#REF!,"AAAAAHs9g+Q=",0)</f>
        <v>#REF!</v>
      </c>
      <c r="HV270" t="e">
        <f>IF(Sheet1!#REF!,"AAAAAHs9g+U=",0)</f>
        <v>#REF!</v>
      </c>
      <c r="HW270" t="e">
        <f>IF(Sheet1!#REF!,"AAAAAHs9g+Y=",0)</f>
        <v>#REF!</v>
      </c>
      <c r="HX270" t="e">
        <f>IF(Sheet1!#REF!,"AAAAAHs9g+c=",0)</f>
        <v>#REF!</v>
      </c>
      <c r="HY270" t="e">
        <f>IF(Sheet1!#REF!,"AAAAAHs9g+g=",0)</f>
        <v>#REF!</v>
      </c>
      <c r="HZ270" t="e">
        <f>IF(Sheet1!#REF!,"AAAAAHs9g+k=",0)</f>
        <v>#REF!</v>
      </c>
      <c r="IA270" t="e">
        <f>IF(Sheet1!#REF!,"AAAAAHs9g+o=",0)</f>
        <v>#REF!</v>
      </c>
      <c r="IB270" t="e">
        <f>IF(Sheet1!#REF!,"AAAAAHs9g+s=",0)</f>
        <v>#REF!</v>
      </c>
      <c r="IC270" t="e">
        <f>IF(Sheet1!#REF!,"AAAAAHs9g+w=",0)</f>
        <v>#REF!</v>
      </c>
      <c r="ID270" t="e">
        <f>IF(Sheet1!#REF!,"AAAAAHs9g+0=",0)</f>
        <v>#REF!</v>
      </c>
      <c r="IE270" t="e">
        <f>IF(Sheet1!#REF!,"AAAAAHs9g+4=",0)</f>
        <v>#REF!</v>
      </c>
      <c r="IF270" t="e">
        <f>IF(Sheet1!#REF!,"AAAAAHs9g+8=",0)</f>
        <v>#REF!</v>
      </c>
      <c r="IG270" t="e">
        <f>IF(Sheet1!#REF!,"AAAAAHs9g/A=",0)</f>
        <v>#REF!</v>
      </c>
      <c r="IH270" t="e">
        <f>IF(Sheet1!#REF!,"AAAAAHs9g/E=",0)</f>
        <v>#REF!</v>
      </c>
      <c r="II270" t="e">
        <f>IF(Sheet1!#REF!,"AAAAAHs9g/I=",0)</f>
        <v>#REF!</v>
      </c>
      <c r="IJ270" t="e">
        <f>IF(Sheet1!#REF!,"AAAAAHs9g/M=",0)</f>
        <v>#REF!</v>
      </c>
      <c r="IK270" t="e">
        <f>IF(Sheet1!#REF!,"AAAAAHs9g/Q=",0)</f>
        <v>#REF!</v>
      </c>
      <c r="IL270" t="e">
        <f>IF(Sheet1!#REF!,"AAAAAHs9g/U=",0)</f>
        <v>#REF!</v>
      </c>
      <c r="IM270" t="e">
        <f>IF(Sheet1!#REF!,"AAAAAHs9g/Y=",0)</f>
        <v>#REF!</v>
      </c>
      <c r="IN270" t="e">
        <f>IF(Sheet1!#REF!,"AAAAAHs9g/c=",0)</f>
        <v>#REF!</v>
      </c>
      <c r="IO270" t="e">
        <f>IF(Sheet1!#REF!,"AAAAAHs9g/g=",0)</f>
        <v>#REF!</v>
      </c>
      <c r="IP270" t="e">
        <f>IF(Sheet1!#REF!,"AAAAAHs9g/k=",0)</f>
        <v>#REF!</v>
      </c>
      <c r="IQ270" t="e">
        <f>IF(Sheet1!#REF!,"AAAAAHs9g/o=",0)</f>
        <v>#REF!</v>
      </c>
      <c r="IR270" t="e">
        <f>IF(Sheet1!#REF!,"AAAAAHs9g/s=",0)</f>
        <v>#REF!</v>
      </c>
      <c r="IS270" t="e">
        <f>IF(Sheet1!#REF!,"AAAAAHs9g/w=",0)</f>
        <v>#REF!</v>
      </c>
      <c r="IT270" t="e">
        <f>IF(Sheet1!#REF!,"AAAAAHs9g/0=",0)</f>
        <v>#REF!</v>
      </c>
      <c r="IU270" t="e">
        <f>IF(Sheet1!#REF!,"AAAAAHs9g/4=",0)</f>
        <v>#REF!</v>
      </c>
      <c r="IV270" t="e">
        <f>IF(Sheet1!#REF!,"AAAAAHs9g/8=",0)</f>
        <v>#REF!</v>
      </c>
    </row>
    <row r="271" spans="1:256" x14ac:dyDescent="0.2">
      <c r="A271" t="e">
        <f>IF(Sheet1!#REF!,"AAAAAHs2PAA=",0)</f>
        <v>#REF!</v>
      </c>
      <c r="B271" t="e">
        <f>IF(Sheet1!#REF!,"AAAAAHs2PAE=",0)</f>
        <v>#REF!</v>
      </c>
      <c r="C271" t="e">
        <f>IF(Sheet1!#REF!,"AAAAAHs2PAI=",0)</f>
        <v>#REF!</v>
      </c>
      <c r="D271" t="e">
        <f>IF(Sheet1!#REF!,"AAAAAHs2PAM=",0)</f>
        <v>#REF!</v>
      </c>
      <c r="E271" t="e">
        <f>IF(Sheet1!#REF!,"AAAAAHs2PAQ=",0)</f>
        <v>#REF!</v>
      </c>
      <c r="F271" t="e">
        <f>IF(Sheet1!#REF!,"AAAAAHs2PAU=",0)</f>
        <v>#REF!</v>
      </c>
      <c r="G271" t="e">
        <f>IF(Sheet1!#REF!,"AAAAAHs2PAY=",0)</f>
        <v>#REF!</v>
      </c>
      <c r="H271" t="e">
        <f>IF(Sheet1!#REF!,"AAAAAHs2PAc=",0)</f>
        <v>#REF!</v>
      </c>
      <c r="I271" t="e">
        <f>IF(Sheet1!#REF!,"AAAAAHs2PAg=",0)</f>
        <v>#REF!</v>
      </c>
      <c r="J271" t="e">
        <f>IF(Sheet1!#REF!,"AAAAAHs2PAk=",0)</f>
        <v>#REF!</v>
      </c>
      <c r="K271" t="e">
        <f>IF(Sheet1!#REF!,"AAAAAHs2PAo=",0)</f>
        <v>#REF!</v>
      </c>
      <c r="L271" t="e">
        <f>IF(Sheet1!#REF!,"AAAAAHs2PAs=",0)</f>
        <v>#REF!</v>
      </c>
      <c r="M271" t="e">
        <f>IF(Sheet1!#REF!,"AAAAAHs2PAw=",0)</f>
        <v>#REF!</v>
      </c>
      <c r="N271" t="e">
        <f>IF(Sheet1!#REF!,"AAAAAHs2PA0=",0)</f>
        <v>#REF!</v>
      </c>
      <c r="O271" t="e">
        <f>IF(Sheet1!#REF!,"AAAAAHs2PA4=",0)</f>
        <v>#REF!</v>
      </c>
      <c r="P271" t="e">
        <f>IF(Sheet1!#REF!,"AAAAAHs2PA8=",0)</f>
        <v>#REF!</v>
      </c>
      <c r="Q271" t="e">
        <f>IF(Sheet1!#REF!,"AAAAAHs2PBA=",0)</f>
        <v>#REF!</v>
      </c>
      <c r="R271" t="e">
        <f>IF(Sheet1!#REF!,"AAAAAHs2PBE=",0)</f>
        <v>#REF!</v>
      </c>
      <c r="S271" t="e">
        <f>IF(Sheet1!#REF!,"AAAAAHs2PBI=",0)</f>
        <v>#REF!</v>
      </c>
      <c r="T271" t="e">
        <f>IF(Sheet1!#REF!,"AAAAAHs2PBM=",0)</f>
        <v>#REF!</v>
      </c>
      <c r="U271" t="e">
        <f>IF(Sheet1!#REF!,"AAAAAHs2PBQ=",0)</f>
        <v>#REF!</v>
      </c>
      <c r="V271" t="e">
        <f>IF(Sheet1!#REF!,"AAAAAHs2PBU=",0)</f>
        <v>#REF!</v>
      </c>
      <c r="W271" t="e">
        <f>IF(Sheet1!#REF!,"AAAAAHs2PBY=",0)</f>
        <v>#REF!</v>
      </c>
      <c r="X271" t="e">
        <f>IF(Sheet1!#REF!,"AAAAAHs2PBc=",0)</f>
        <v>#REF!</v>
      </c>
      <c r="Y271" t="e">
        <f>IF(Sheet1!#REF!,"AAAAAHs2PBg=",0)</f>
        <v>#REF!</v>
      </c>
      <c r="Z271" t="e">
        <f>IF(Sheet1!#REF!,"AAAAAHs2PBk=",0)</f>
        <v>#REF!</v>
      </c>
      <c r="AA271" t="e">
        <f>IF(Sheet1!#REF!,"AAAAAHs2PBo=",0)</f>
        <v>#REF!</v>
      </c>
      <c r="AB271" t="e">
        <f>IF(Sheet1!#REF!,"AAAAAHs2PBs=",0)</f>
        <v>#REF!</v>
      </c>
      <c r="AC271" t="e">
        <f>IF(Sheet1!#REF!,"AAAAAHs2PBw=",0)</f>
        <v>#REF!</v>
      </c>
      <c r="AD271" t="e">
        <f>IF(Sheet1!#REF!,"AAAAAHs2PB0=",0)</f>
        <v>#REF!</v>
      </c>
      <c r="AE271" t="e">
        <f>IF(Sheet1!#REF!,"AAAAAHs2PB4=",0)</f>
        <v>#REF!</v>
      </c>
      <c r="AF271" t="e">
        <f>IF(Sheet1!#REF!,"AAAAAHs2PB8=",0)</f>
        <v>#REF!</v>
      </c>
      <c r="AG271" t="e">
        <f>IF(Sheet1!#REF!,"AAAAAHs2PCA=",0)</f>
        <v>#REF!</v>
      </c>
      <c r="AH271" t="e">
        <f>IF(Sheet1!#REF!,"AAAAAHs2PCE=",0)</f>
        <v>#REF!</v>
      </c>
      <c r="AI271" t="e">
        <f>IF(Sheet1!#REF!,"AAAAAHs2PCI=",0)</f>
        <v>#REF!</v>
      </c>
      <c r="AJ271" t="e">
        <f>IF(Sheet1!#REF!,"AAAAAHs2PCM=",0)</f>
        <v>#REF!</v>
      </c>
      <c r="AK271" t="e">
        <f>IF(Sheet1!#REF!,"AAAAAHs2PCQ=",0)</f>
        <v>#REF!</v>
      </c>
      <c r="AL271" t="e">
        <f>IF(Sheet1!#REF!,"AAAAAHs2PCU=",0)</f>
        <v>#REF!</v>
      </c>
      <c r="AM271" t="e">
        <f>IF(Sheet1!#REF!,"AAAAAHs2PCY=",0)</f>
        <v>#REF!</v>
      </c>
      <c r="AN271" t="e">
        <f>IF(Sheet1!#REF!,"AAAAAHs2PCc=",0)</f>
        <v>#REF!</v>
      </c>
      <c r="AO271" t="e">
        <f>IF(Sheet1!#REF!,"AAAAAHs2PCg=",0)</f>
        <v>#REF!</v>
      </c>
      <c r="AP271" t="e">
        <f>IF(Sheet1!#REF!,"AAAAAHs2PCk=",0)</f>
        <v>#REF!</v>
      </c>
      <c r="AQ271" t="e">
        <f>IF(Sheet1!#REF!,"AAAAAHs2PCo=",0)</f>
        <v>#REF!</v>
      </c>
      <c r="AR271" t="e">
        <f>IF(Sheet1!#REF!,"AAAAAHs2PCs=",0)</f>
        <v>#REF!</v>
      </c>
      <c r="AS271" t="e">
        <f>IF(Sheet1!#REF!,"AAAAAHs2PCw=",0)</f>
        <v>#REF!</v>
      </c>
      <c r="AT271" t="e">
        <f>IF(Sheet1!#REF!,"AAAAAHs2PC0=",0)</f>
        <v>#REF!</v>
      </c>
      <c r="AU271" t="e">
        <f>IF(Sheet1!#REF!,"AAAAAHs2PC4=",0)</f>
        <v>#REF!</v>
      </c>
      <c r="AV271" t="e">
        <f>IF(Sheet1!#REF!,"AAAAAHs2PC8=",0)</f>
        <v>#REF!</v>
      </c>
      <c r="AW271" t="e">
        <f>IF(Sheet1!#REF!,"AAAAAHs2PDA=",0)</f>
        <v>#REF!</v>
      </c>
      <c r="AX271" t="e">
        <f>IF(Sheet1!#REF!,"AAAAAHs2PDE=",0)</f>
        <v>#REF!</v>
      </c>
      <c r="AY271" t="e">
        <f>IF(Sheet1!#REF!,"AAAAAHs2PDI=",0)</f>
        <v>#REF!</v>
      </c>
      <c r="AZ271" t="e">
        <f>IF(Sheet1!#REF!,"AAAAAHs2PDM=",0)</f>
        <v>#REF!</v>
      </c>
      <c r="BA271" t="e">
        <f>IF(Sheet1!#REF!,"AAAAAHs2PDQ=",0)</f>
        <v>#REF!</v>
      </c>
      <c r="BB271" t="e">
        <f>IF(Sheet1!#REF!,"AAAAAHs2PDU=",0)</f>
        <v>#REF!</v>
      </c>
      <c r="BC271" t="e">
        <f>IF(Sheet1!#REF!,"AAAAAHs2PDY=",0)</f>
        <v>#REF!</v>
      </c>
      <c r="BD271" t="e">
        <f>IF(Sheet1!#REF!,"AAAAAHs2PDc=",0)</f>
        <v>#REF!</v>
      </c>
      <c r="BE271" t="e">
        <f>IF(Sheet1!#REF!,"AAAAAHs2PDg=",0)</f>
        <v>#REF!</v>
      </c>
      <c r="BF271" t="e">
        <f>IF(Sheet1!#REF!,"AAAAAHs2PDk=",0)</f>
        <v>#REF!</v>
      </c>
      <c r="BG271" t="e">
        <f>IF(Sheet1!#REF!,"AAAAAHs2PDo=",0)</f>
        <v>#REF!</v>
      </c>
      <c r="BH271" t="e">
        <f>IF(Sheet1!#REF!,"AAAAAHs2PDs=",0)</f>
        <v>#REF!</v>
      </c>
      <c r="BI271" t="e">
        <f>IF(Sheet1!#REF!,"AAAAAHs2PDw=",0)</f>
        <v>#REF!</v>
      </c>
      <c r="BJ271" t="e">
        <f>IF(Sheet1!#REF!,"AAAAAHs2PD0=",0)</f>
        <v>#REF!</v>
      </c>
      <c r="BK271" t="e">
        <f>IF(Sheet1!#REF!,"AAAAAHs2PD4=",0)</f>
        <v>#REF!</v>
      </c>
      <c r="BL271" t="e">
        <f>IF(Sheet1!#REF!,"AAAAAHs2PD8=",0)</f>
        <v>#REF!</v>
      </c>
      <c r="BM271" t="e">
        <f>IF(Sheet1!#REF!,"AAAAAHs2PEA=",0)</f>
        <v>#REF!</v>
      </c>
      <c r="BN271" t="e">
        <f>IF(Sheet1!#REF!,"AAAAAHs2PEE=",0)</f>
        <v>#REF!</v>
      </c>
      <c r="BO271" t="e">
        <f>IF(Sheet1!#REF!,"AAAAAHs2PEI=",0)</f>
        <v>#REF!</v>
      </c>
      <c r="BP271" t="e">
        <f>IF(Sheet1!#REF!,"AAAAAHs2PEM=",0)</f>
        <v>#REF!</v>
      </c>
      <c r="BQ271" t="e">
        <f>IF(Sheet1!#REF!,"AAAAAHs2PEQ=",0)</f>
        <v>#REF!</v>
      </c>
      <c r="BR271" t="e">
        <f>IF(Sheet1!#REF!,"AAAAAHs2PEU=",0)</f>
        <v>#REF!</v>
      </c>
      <c r="BS271" t="e">
        <f>IF(Sheet1!#REF!,"AAAAAHs2PEY=",0)</f>
        <v>#REF!</v>
      </c>
      <c r="BT271" t="e">
        <f>IF(Sheet1!#REF!,"AAAAAHs2PEc=",0)</f>
        <v>#REF!</v>
      </c>
      <c r="BU271" t="e">
        <f>IF(Sheet1!#REF!,"AAAAAHs2PEg=",0)</f>
        <v>#REF!</v>
      </c>
      <c r="BV271" t="e">
        <f>IF(Sheet1!#REF!,"AAAAAHs2PEk=",0)</f>
        <v>#REF!</v>
      </c>
      <c r="BW271" t="e">
        <f>IF(Sheet1!#REF!,"AAAAAHs2PEo=",0)</f>
        <v>#REF!</v>
      </c>
      <c r="BX271" t="e">
        <f>IF(Sheet1!#REF!,"AAAAAHs2PEs=",0)</f>
        <v>#REF!</v>
      </c>
      <c r="BY271" t="e">
        <f>IF(Sheet1!#REF!,"AAAAAHs2PEw=",0)</f>
        <v>#REF!</v>
      </c>
      <c r="BZ271" t="e">
        <f>IF(Sheet1!#REF!,"AAAAAHs2PE0=",0)</f>
        <v>#REF!</v>
      </c>
      <c r="CA271" t="e">
        <f>IF(Sheet1!#REF!,"AAAAAHs2PE4=",0)</f>
        <v>#REF!</v>
      </c>
      <c r="CB271" t="e">
        <f>IF(Sheet1!#REF!,"AAAAAHs2PE8=",0)</f>
        <v>#REF!</v>
      </c>
      <c r="CC271" t="e">
        <f>IF(Sheet1!#REF!,"AAAAAHs2PFA=",0)</f>
        <v>#REF!</v>
      </c>
      <c r="CD271" t="e">
        <f>IF(Sheet1!#REF!,"AAAAAHs2PFE=",0)</f>
        <v>#REF!</v>
      </c>
      <c r="CE271" t="e">
        <f>IF(Sheet1!#REF!,"AAAAAHs2PFI=",0)</f>
        <v>#REF!</v>
      </c>
      <c r="CF271" t="e">
        <f>IF(Sheet1!#REF!,"AAAAAHs2PFM=",0)</f>
        <v>#REF!</v>
      </c>
      <c r="CG271" t="e">
        <f>IF(Sheet1!#REF!,"AAAAAHs2PFQ=",0)</f>
        <v>#REF!</v>
      </c>
      <c r="CH271" t="e">
        <f>IF(Sheet1!#REF!,"AAAAAHs2PFU=",0)</f>
        <v>#REF!</v>
      </c>
      <c r="CI271" t="e">
        <f>IF(Sheet1!#REF!,"AAAAAHs2PFY=",0)</f>
        <v>#REF!</v>
      </c>
      <c r="CJ271" t="e">
        <f>IF(Sheet1!#REF!,"AAAAAHs2PFc=",0)</f>
        <v>#REF!</v>
      </c>
      <c r="CK271" t="e">
        <f>IF(Sheet1!#REF!,"AAAAAHs2PFg=",0)</f>
        <v>#REF!</v>
      </c>
      <c r="CL271" t="e">
        <f>IF(Sheet1!#REF!,"AAAAAHs2PFk=",0)</f>
        <v>#REF!</v>
      </c>
      <c r="CM271" t="e">
        <f>IF(Sheet1!#REF!,"AAAAAHs2PFo=",0)</f>
        <v>#REF!</v>
      </c>
      <c r="CN271" t="e">
        <f>IF(Sheet1!#REF!,"AAAAAHs2PFs=",0)</f>
        <v>#REF!</v>
      </c>
      <c r="CO271" t="e">
        <f>IF(Sheet1!#REF!,"AAAAAHs2PFw=",0)</f>
        <v>#REF!</v>
      </c>
      <c r="CP271" t="e">
        <f>IF(Sheet1!#REF!,"AAAAAHs2PF0=",0)</f>
        <v>#REF!</v>
      </c>
      <c r="CQ271" t="e">
        <f>IF(Sheet1!#REF!,"AAAAAHs2PF4=",0)</f>
        <v>#REF!</v>
      </c>
      <c r="CR271" t="e">
        <f>IF(Sheet1!#REF!,"AAAAAHs2PF8=",0)</f>
        <v>#REF!</v>
      </c>
      <c r="CS271" t="e">
        <f>IF(Sheet1!#REF!,"AAAAAHs2PGA=",0)</f>
        <v>#REF!</v>
      </c>
      <c r="CT271" t="e">
        <f>IF(Sheet1!#REF!,"AAAAAHs2PGE=",0)</f>
        <v>#REF!</v>
      </c>
      <c r="CU271" t="e">
        <f>IF(Sheet1!#REF!,"AAAAAHs2PGI=",0)</f>
        <v>#REF!</v>
      </c>
      <c r="CV271" t="e">
        <f>IF(Sheet1!#REF!,"AAAAAHs2PGM=",0)</f>
        <v>#REF!</v>
      </c>
      <c r="CW271" t="e">
        <f>IF(Sheet1!#REF!,"AAAAAHs2PGQ=",0)</f>
        <v>#REF!</v>
      </c>
      <c r="CX271" t="e">
        <f>IF(Sheet1!#REF!,"AAAAAHs2PGU=",0)</f>
        <v>#REF!</v>
      </c>
      <c r="CY271" t="e">
        <f>IF(Sheet1!#REF!,"AAAAAHs2PGY=",0)</f>
        <v>#REF!</v>
      </c>
      <c r="CZ271" t="e">
        <f>IF(Sheet1!#REF!,"AAAAAHs2PGc=",0)</f>
        <v>#REF!</v>
      </c>
      <c r="DA271" t="e">
        <f>IF(Sheet1!#REF!,"AAAAAHs2PGg=",0)</f>
        <v>#REF!</v>
      </c>
      <c r="DB271" t="e">
        <f>IF(Sheet1!#REF!,"AAAAAHs2PGk=",0)</f>
        <v>#REF!</v>
      </c>
      <c r="DC271" t="e">
        <f>IF(Sheet1!#REF!,"AAAAAHs2PGo=",0)</f>
        <v>#REF!</v>
      </c>
      <c r="DD271" t="e">
        <f>IF(Sheet1!#REF!,"AAAAAHs2PGs=",0)</f>
        <v>#REF!</v>
      </c>
      <c r="DE271" t="e">
        <f>IF(Sheet1!#REF!,"AAAAAHs2PGw=",0)</f>
        <v>#REF!</v>
      </c>
      <c r="DF271" t="e">
        <f>IF(Sheet1!#REF!,"AAAAAHs2PG0=",0)</f>
        <v>#REF!</v>
      </c>
      <c r="DG271" t="e">
        <f>IF(Sheet1!A:A,"AAAAAHs2PG4=",0)</f>
        <v>#VALUE!</v>
      </c>
      <c r="DH271" t="e">
        <f>IF(Sheet1!B:B,"AAAAAHs2PG8=",0)</f>
        <v>#VALUE!</v>
      </c>
      <c r="DI271">
        <f>IF(Sheet1!C:C,"AAAAAHs2PHA=",0)</f>
        <v>0</v>
      </c>
      <c r="DJ271" t="str">
        <f>IF(Sheet1!D:D,"AAAAAHs2PHE=",0)</f>
        <v>AAAAAHs2PHE=</v>
      </c>
      <c r="DK271" t="e">
        <f>IF(Sheet1!E:E,"AAAAAHs2PHI=",0)</f>
        <v>#VALUE!</v>
      </c>
      <c r="DL271">
        <f>IF(Sheet1!F:F,"AAAAAHs2PHM=",0)</f>
        <v>0</v>
      </c>
      <c r="DM271" t="str">
        <f>IF(Sheet1!G:G,"AAAAAHs2PHQ=",0)</f>
        <v>AAAAAHs2PHQ=</v>
      </c>
      <c r="DN271" t="str">
        <f>IF(Sheet1!H:H,"AAAAAHs2PHU=",0)</f>
        <v>AAAAAHs2PHU=</v>
      </c>
      <c r="DO271">
        <f>IF(Sheet1!I:I,"AAAAAHs2PHY=",0)</f>
        <v>0</v>
      </c>
      <c r="DP271">
        <f>IF(Sheet1!J:J,"AAAAAHs2PHc=",0)</f>
        <v>0</v>
      </c>
      <c r="DQ271" t="e">
        <f>IF(Sheet1!K:K,"AAAAAHs2PHg=",0)</f>
        <v>#VALUE!</v>
      </c>
      <c r="DR271">
        <f>IF(Sheet1!L:L,"AAAAAHs2PHk=",0)</f>
        <v>0</v>
      </c>
      <c r="DS271" t="str">
        <f>IF(Sheet1!M:M,"AAAAAHs2PHo=",0)</f>
        <v>AAAAAHs2PHo=</v>
      </c>
      <c r="DT271" t="e">
        <f>IF(Sheet1!N:N,"AAAAAHs2PHs=",0)</f>
        <v>#VALUE!</v>
      </c>
      <c r="DU271" t="e">
        <f>IF(Sheet1!#REF!,"AAAAAHs2PHw=",0)</f>
        <v>#REF!</v>
      </c>
      <c r="DV271" t="e">
        <f>IF(Sheet1!#REF!,"AAAAAHs2PH0=",0)</f>
        <v>#REF!</v>
      </c>
      <c r="DW271" t="e">
        <f>IF(Sheet1!#REF!,"AAAAAHs2PH4=",0)</f>
        <v>#REF!</v>
      </c>
      <c r="DX271" t="e">
        <f>IF(Sheet1!#REF!,"AAAAAHs2PH8=",0)</f>
        <v>#REF!</v>
      </c>
      <c r="DY271">
        <f>IF(Sheet2!1:1,"AAAAAHs2PIA=",0)</f>
        <v>0</v>
      </c>
      <c r="DZ271" t="e">
        <f>AND(Sheet2!A1,"AAAAAHs2PIE=")</f>
        <v>#VALUE!</v>
      </c>
      <c r="EA271">
        <f>IF(Sheet2!A:A,"AAAAAHs2PII=",0)</f>
        <v>0</v>
      </c>
      <c r="EB271">
        <f>IF(Sheet3!1:1,"AAAAAHs2PIM=",0)</f>
        <v>0</v>
      </c>
      <c r="EC271" t="e">
        <f>AND(Sheet3!A1,"AAAAAHs2PIQ=")</f>
        <v>#VALUE!</v>
      </c>
      <c r="ED271">
        <f>IF(Sheet3!A:A,"AAAAAHs2PIU=",0)</f>
        <v>0</v>
      </c>
      <c r="EE271" t="s">
        <v>8865</v>
      </c>
      <c r="EF271" s="93" t="s">
        <v>8866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McGrath</dc:creator>
  <cp:lastModifiedBy>Peter Reilly</cp:lastModifiedBy>
  <dcterms:created xsi:type="dcterms:W3CDTF">2009-06-08T14:23:23Z</dcterms:created>
  <dcterms:modified xsi:type="dcterms:W3CDTF">2017-11-19T17:36:38Z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false</vt:lpwstr>
  </property>
  <property fmtid="{D5CDD505-2E9C-101B-9397-08002B2CF9AE}" pid="3" name="Google.Documents.DocumentId">
    <vt:lpwstr>1KSCyTz356WAkmVl-RlZq2LUyABEubQ_j_s6mFtyn9qM</vt:lpwstr>
  </property>
  <property fmtid="{D5CDD505-2E9C-101B-9397-08002B2CF9AE}" pid="4" name="Google.Documents.RevisionId">
    <vt:lpwstr>09757269074476293843</vt:lpwstr>
  </property>
  <property fmtid="{D5CDD505-2E9C-101B-9397-08002B2CF9AE}" pid="5" name="Google.Documents.PreviousRevisionId">
    <vt:lpwstr>06700844618680122792</vt:lpwstr>
  </property>
  <property fmtid="{D5CDD505-2E9C-101B-9397-08002B2CF9AE}" pid="6" name="Google.Documents.PluginVersion">
    <vt:lpwstr>2.0.2662.553</vt:lpwstr>
  </property>
  <property fmtid="{D5CDD505-2E9C-101B-9397-08002B2CF9AE}" pid="7" name="Google.Documents.MergeIncapabilityFlags">
    <vt:i4>0</vt:i4>
  </property>
</Properties>
</file>